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0" windowWidth="11400" windowHeight="5895"/>
  </bookViews>
  <sheets>
    <sheet name="TDSheet" sheetId="1" r:id="rId1"/>
  </sheets>
  <calcPr calcId="125725" refMode="R1C1"/>
</workbook>
</file>

<file path=xl/calcChain.xml><?xml version="1.0" encoding="utf-8"?>
<calcChain xmlns="http://schemas.openxmlformats.org/spreadsheetml/2006/main">
  <c r="V6303" i="1"/>
  <c r="U6303"/>
  <c r="V6302"/>
  <c r="U6302"/>
  <c r="V6301"/>
  <c r="U6301"/>
  <c r="V6300"/>
  <c r="U6300"/>
  <c r="V6299"/>
  <c r="U6299"/>
  <c r="V6298"/>
  <c r="U6298"/>
  <c r="V6297"/>
  <c r="U6297"/>
  <c r="V6296"/>
  <c r="U6296"/>
  <c r="V6295"/>
  <c r="U6295"/>
  <c r="V6294"/>
  <c r="U6294"/>
  <c r="V6293"/>
  <c r="U6293"/>
  <c r="V6292"/>
  <c r="U6292"/>
  <c r="V6291"/>
  <c r="U6291"/>
  <c r="V6290"/>
  <c r="U6290"/>
  <c r="V6289"/>
  <c r="U6289"/>
  <c r="V6288"/>
  <c r="U6288"/>
  <c r="V6287"/>
  <c r="U6287"/>
  <c r="V6286"/>
  <c r="U6286"/>
  <c r="V6285"/>
  <c r="U6285"/>
  <c r="V6284"/>
  <c r="U6284"/>
  <c r="V6283"/>
  <c r="U6283"/>
  <c r="V6282"/>
  <c r="U6282"/>
  <c r="V6281"/>
  <c r="U6281"/>
  <c r="V6280"/>
  <c r="U6280"/>
  <c r="U6279"/>
  <c r="V6278"/>
  <c r="U6278"/>
  <c r="V6277"/>
  <c r="U6277"/>
  <c r="V6276"/>
  <c r="U6276"/>
  <c r="V6275"/>
  <c r="U6275"/>
  <c r="V6274"/>
  <c r="U6274"/>
  <c r="V6273"/>
  <c r="U6273"/>
  <c r="V6272"/>
  <c r="U6272"/>
  <c r="V6271"/>
  <c r="U6271"/>
  <c r="V6270"/>
  <c r="U6270"/>
  <c r="V6269"/>
  <c r="U6269"/>
  <c r="V6268"/>
  <c r="U6268"/>
  <c r="V6267"/>
  <c r="U6267"/>
  <c r="V6266"/>
  <c r="U6266"/>
  <c r="V6265"/>
  <c r="U6265"/>
  <c r="V6264"/>
  <c r="U6264"/>
  <c r="V6263"/>
  <c r="U6263"/>
  <c r="V6262"/>
  <c r="U6262"/>
  <c r="V6261"/>
  <c r="U6261"/>
  <c r="V6260"/>
  <c r="V6259"/>
  <c r="U6259"/>
  <c r="V6258"/>
  <c r="U6258"/>
  <c r="V6257"/>
  <c r="U6257"/>
  <c r="V6256"/>
  <c r="U6256"/>
  <c r="V6255"/>
  <c r="U6255"/>
  <c r="V6254"/>
  <c r="U6254"/>
  <c r="V6253"/>
  <c r="U6253"/>
  <c r="U6252"/>
  <c r="V6251"/>
  <c r="U6251"/>
  <c r="V6250"/>
  <c r="U6250"/>
  <c r="U6249"/>
  <c r="V6248"/>
  <c r="U6248"/>
  <c r="V6247"/>
  <c r="U6247"/>
  <c r="V6246"/>
  <c r="U6246"/>
  <c r="V6245"/>
  <c r="U6245"/>
  <c r="V6244"/>
  <c r="U6244"/>
  <c r="V6243"/>
  <c r="U6243"/>
  <c r="V6242"/>
  <c r="U6242"/>
  <c r="U6241"/>
  <c r="V6240"/>
  <c r="U6240"/>
  <c r="V6239"/>
  <c r="U6239"/>
  <c r="V6238"/>
  <c r="U6238"/>
  <c r="V6237"/>
  <c r="U6237"/>
  <c r="V6236"/>
  <c r="U6236"/>
  <c r="U6235"/>
  <c r="U6234"/>
  <c r="V6233"/>
  <c r="U6233"/>
  <c r="V6232"/>
  <c r="U6232"/>
  <c r="V6231"/>
  <c r="U6231"/>
  <c r="V6230"/>
  <c r="U6230"/>
  <c r="U6229"/>
  <c r="V6228"/>
  <c r="U6228"/>
  <c r="V6227"/>
  <c r="U6227"/>
  <c r="U6226"/>
  <c r="V6225"/>
  <c r="U6225"/>
  <c r="V6224"/>
  <c r="U6224"/>
  <c r="V6223"/>
  <c r="U6223"/>
  <c r="V6222"/>
  <c r="U6222"/>
  <c r="V6221"/>
  <c r="U6221"/>
  <c r="U6220"/>
  <c r="V6219"/>
  <c r="U6219"/>
  <c r="V6218"/>
  <c r="U6218"/>
  <c r="V6217"/>
  <c r="U6217"/>
  <c r="V6216"/>
  <c r="U6216"/>
  <c r="V6215"/>
  <c r="U6215"/>
  <c r="V6214"/>
  <c r="U6214"/>
  <c r="V6213"/>
  <c r="U6213"/>
  <c r="V6212"/>
  <c r="U6212"/>
  <c r="V6211"/>
  <c r="U6211"/>
  <c r="V6210"/>
  <c r="U6210"/>
  <c r="V6209"/>
  <c r="U6209"/>
  <c r="V6208"/>
  <c r="U6208"/>
  <c r="V6207"/>
  <c r="U6207"/>
  <c r="V6206"/>
  <c r="U6206"/>
  <c r="V6205"/>
  <c r="U6205"/>
  <c r="V6204"/>
  <c r="U6204"/>
  <c r="V6203"/>
  <c r="U6203"/>
  <c r="V6202"/>
  <c r="U6202"/>
  <c r="V6201"/>
  <c r="U6201"/>
  <c r="U6200"/>
  <c r="V6199"/>
  <c r="U6199"/>
  <c r="U6198"/>
  <c r="V6197"/>
  <c r="U6197"/>
  <c r="V6196"/>
  <c r="U6196"/>
  <c r="V6195"/>
  <c r="U6195"/>
  <c r="V6194"/>
  <c r="U6194"/>
  <c r="V6193"/>
  <c r="U6193"/>
  <c r="V6192"/>
  <c r="U6192"/>
  <c r="V6191"/>
  <c r="U6191"/>
  <c r="V6190"/>
  <c r="U6190"/>
  <c r="V6189"/>
  <c r="U6189"/>
  <c r="U6188"/>
  <c r="U6187"/>
  <c r="V6186"/>
  <c r="U6186"/>
  <c r="V6185"/>
  <c r="U6185"/>
  <c r="V6184"/>
  <c r="U6184"/>
  <c r="U6183"/>
  <c r="V6182"/>
  <c r="U6182"/>
  <c r="V6181"/>
  <c r="U6181"/>
  <c r="V6180"/>
  <c r="U6180"/>
  <c r="V6179"/>
  <c r="U6179"/>
  <c r="V6178"/>
  <c r="U6178"/>
  <c r="V6177"/>
  <c r="U6177"/>
  <c r="V6176"/>
  <c r="U6176"/>
  <c r="V6175"/>
  <c r="U6175"/>
  <c r="V6174"/>
  <c r="U6174"/>
  <c r="V6173"/>
  <c r="U6173"/>
  <c r="V6172"/>
  <c r="U6172"/>
  <c r="V6171"/>
  <c r="U6171"/>
  <c r="V6170"/>
  <c r="U6170"/>
  <c r="V6169"/>
  <c r="U6169"/>
  <c r="V6168"/>
  <c r="U6168"/>
  <c r="U6167"/>
  <c r="V6166"/>
  <c r="U6166"/>
  <c r="V6165"/>
  <c r="U6165"/>
  <c r="V6164"/>
  <c r="U6164"/>
  <c r="V6163"/>
  <c r="U6163"/>
  <c r="V6162"/>
  <c r="U6162"/>
  <c r="V6161"/>
  <c r="U6161"/>
  <c r="V6160"/>
  <c r="U6160"/>
  <c r="V6159"/>
  <c r="U6159"/>
  <c r="V6158"/>
  <c r="U6158"/>
  <c r="V6157"/>
  <c r="U6157"/>
  <c r="V6156"/>
  <c r="U6156"/>
  <c r="V6155"/>
  <c r="U6155"/>
  <c r="V6154"/>
  <c r="U6154"/>
  <c r="V6153"/>
  <c r="U6153"/>
  <c r="V6152"/>
  <c r="U6152"/>
  <c r="V6151"/>
  <c r="U6151"/>
  <c r="V6150"/>
  <c r="U6150"/>
  <c r="V6149"/>
  <c r="U6149"/>
  <c r="V6148"/>
  <c r="U6148"/>
  <c r="V6147"/>
  <c r="U6147"/>
  <c r="V6146"/>
  <c r="U6146"/>
  <c r="V6145"/>
  <c r="U6145"/>
  <c r="V6144"/>
  <c r="U6144"/>
  <c r="V6143"/>
  <c r="U6143"/>
  <c r="V6142"/>
  <c r="U6142"/>
  <c r="V6141"/>
  <c r="U6141"/>
  <c r="V6140"/>
  <c r="V6139"/>
  <c r="U6139"/>
  <c r="V6138"/>
  <c r="U6138"/>
  <c r="V6137"/>
  <c r="U6137"/>
  <c r="V6136"/>
  <c r="U6136"/>
  <c r="V6135"/>
  <c r="U6135"/>
  <c r="V6134"/>
  <c r="U6134"/>
  <c r="V6133"/>
  <c r="U6133"/>
  <c r="V6132"/>
  <c r="U6132"/>
  <c r="V6131"/>
  <c r="U6131"/>
  <c r="V6130"/>
  <c r="U6130"/>
  <c r="V6129"/>
  <c r="U6129"/>
  <c r="V6128"/>
  <c r="U6128"/>
  <c r="V6127"/>
  <c r="U6127"/>
  <c r="V6126"/>
  <c r="U6126"/>
  <c r="V6125"/>
  <c r="U6125"/>
  <c r="V6124"/>
  <c r="U6124"/>
  <c r="V6123"/>
  <c r="U6123"/>
  <c r="V6122"/>
  <c r="U6122"/>
  <c r="V6121"/>
  <c r="U6121"/>
  <c r="V6120"/>
  <c r="U6120"/>
  <c r="V6119"/>
  <c r="U6119"/>
  <c r="V6118"/>
  <c r="U6118"/>
  <c r="V6117"/>
  <c r="U6117"/>
  <c r="V6116"/>
  <c r="U6116"/>
  <c r="V6115"/>
  <c r="U6115"/>
  <c r="V6114"/>
  <c r="U6114"/>
  <c r="V6113"/>
  <c r="U6113"/>
  <c r="V6112"/>
  <c r="U6112"/>
  <c r="V6111"/>
  <c r="U6111"/>
  <c r="V6110"/>
  <c r="U6110"/>
  <c r="V6109"/>
  <c r="U6109"/>
  <c r="V6108"/>
  <c r="U6108"/>
  <c r="V6107"/>
  <c r="U6107"/>
  <c r="V6106"/>
  <c r="U6106"/>
  <c r="V6105"/>
  <c r="U6105"/>
  <c r="V6104"/>
  <c r="U6104"/>
  <c r="V6103"/>
  <c r="U6103"/>
  <c r="V6102"/>
  <c r="U6102"/>
  <c r="V6101"/>
  <c r="U6101"/>
  <c r="V6100"/>
  <c r="U6100"/>
  <c r="V6099"/>
  <c r="U6099"/>
  <c r="V6098"/>
  <c r="U6098"/>
  <c r="V6097"/>
  <c r="U6097"/>
  <c r="V6096"/>
  <c r="U6096"/>
  <c r="V6095"/>
  <c r="U6095"/>
  <c r="V6094"/>
  <c r="U6094"/>
  <c r="V6093"/>
  <c r="U6093"/>
  <c r="V6092"/>
  <c r="U6092"/>
  <c r="V6091"/>
  <c r="U6091"/>
  <c r="V6090"/>
  <c r="U6090"/>
  <c r="V6089"/>
  <c r="U6089"/>
  <c r="V6088"/>
  <c r="U6088"/>
  <c r="V6087"/>
  <c r="U6087"/>
  <c r="V6086"/>
  <c r="U6086"/>
  <c r="V6085"/>
  <c r="U6085"/>
  <c r="V6084"/>
  <c r="U6084"/>
  <c r="V6083"/>
  <c r="U6083"/>
  <c r="V6082"/>
  <c r="U6082"/>
  <c r="V6081"/>
  <c r="U6081"/>
  <c r="V6080"/>
  <c r="U6080"/>
  <c r="V6079"/>
  <c r="U6079"/>
  <c r="U6078"/>
  <c r="U6077"/>
  <c r="V6076"/>
  <c r="U6076"/>
  <c r="V6075"/>
  <c r="U6075"/>
  <c r="V6074"/>
  <c r="U6074"/>
  <c r="V6073"/>
  <c r="U6073"/>
  <c r="V6072"/>
  <c r="U6072"/>
  <c r="V6071"/>
  <c r="U6071"/>
  <c r="V6070"/>
  <c r="U6070"/>
  <c r="V6069"/>
  <c r="U6069"/>
  <c r="V6068"/>
  <c r="U6068"/>
  <c r="V6067"/>
  <c r="U6067"/>
  <c r="V6066"/>
  <c r="U6066"/>
  <c r="V6065"/>
  <c r="U6065"/>
  <c r="V6064"/>
  <c r="U6064"/>
  <c r="V6063"/>
  <c r="U6063"/>
  <c r="V6062"/>
  <c r="U6062"/>
  <c r="V6061"/>
  <c r="U6061"/>
  <c r="V6060"/>
  <c r="U6060"/>
  <c r="V6059"/>
  <c r="U6059"/>
  <c r="V6058"/>
  <c r="U6058"/>
  <c r="V6057"/>
  <c r="U6057"/>
  <c r="V6056"/>
  <c r="U6056"/>
  <c r="V6055"/>
  <c r="U6055"/>
  <c r="V6054"/>
  <c r="U6054"/>
  <c r="V6053"/>
  <c r="U6053"/>
  <c r="V6052"/>
  <c r="U6052"/>
  <c r="V6051"/>
  <c r="U6051"/>
  <c r="V6050"/>
  <c r="U6050"/>
  <c r="V6049"/>
  <c r="U6049"/>
  <c r="V6048"/>
  <c r="U6048"/>
  <c r="V6047"/>
  <c r="U6047"/>
  <c r="V6046"/>
  <c r="U6046"/>
  <c r="V6045"/>
  <c r="U6045"/>
  <c r="V6044"/>
  <c r="U6044"/>
  <c r="V6043"/>
  <c r="U6043"/>
  <c r="V6042"/>
  <c r="U6042"/>
  <c r="V6041"/>
  <c r="U6041"/>
  <c r="V6040"/>
  <c r="U6040"/>
  <c r="V6039"/>
  <c r="U6039"/>
  <c r="V6038"/>
  <c r="U6038"/>
  <c r="V6037"/>
  <c r="U6037"/>
  <c r="V6036"/>
  <c r="U6036"/>
  <c r="V6035"/>
  <c r="U6035"/>
  <c r="V6034"/>
  <c r="U6034"/>
  <c r="V6033"/>
  <c r="U6033"/>
  <c r="V6032"/>
  <c r="U6032"/>
  <c r="V6031"/>
  <c r="U6031"/>
  <c r="V6030"/>
  <c r="U6030"/>
  <c r="V6029"/>
  <c r="U6029"/>
  <c r="V6028"/>
  <c r="U6028"/>
  <c r="V6027"/>
  <c r="U6027"/>
  <c r="V6026"/>
  <c r="U6026"/>
  <c r="V6025"/>
  <c r="U6025"/>
  <c r="V6024"/>
  <c r="U6024"/>
  <c r="V6023"/>
  <c r="U6023"/>
  <c r="V6022"/>
  <c r="U6022"/>
  <c r="V6021"/>
  <c r="U6021"/>
  <c r="V6020"/>
  <c r="U6020"/>
  <c r="V6019"/>
  <c r="U6019"/>
  <c r="V6018"/>
  <c r="U6018"/>
  <c r="V6017"/>
  <c r="U6017"/>
  <c r="V6016"/>
  <c r="U6016"/>
  <c r="V6015"/>
  <c r="U6015"/>
  <c r="V6014"/>
  <c r="U6014"/>
  <c r="V6013"/>
  <c r="U6013"/>
  <c r="V6012"/>
  <c r="U6012"/>
  <c r="V6011"/>
  <c r="U6011"/>
  <c r="V6010"/>
  <c r="U6010"/>
  <c r="V6009"/>
  <c r="U6009"/>
  <c r="V6008"/>
  <c r="U6008"/>
  <c r="V6007"/>
  <c r="U6007"/>
  <c r="V6006"/>
  <c r="U6006"/>
  <c r="V6005"/>
  <c r="U6005"/>
  <c r="V6004"/>
  <c r="U6004"/>
  <c r="V6003"/>
  <c r="U6003"/>
  <c r="V6002"/>
  <c r="U6002"/>
  <c r="V6001"/>
  <c r="U6001"/>
  <c r="V6000"/>
  <c r="U6000"/>
  <c r="V5999"/>
  <c r="U5999"/>
  <c r="V5998"/>
  <c r="U5998"/>
  <c r="V5997"/>
  <c r="U5997"/>
  <c r="V5996"/>
  <c r="U5996"/>
  <c r="V5995"/>
  <c r="U5995"/>
  <c r="V5994"/>
  <c r="U5994"/>
  <c r="V5993"/>
  <c r="U5993"/>
  <c r="V5992"/>
  <c r="U5992"/>
  <c r="V5991"/>
  <c r="U5991"/>
  <c r="V5990"/>
  <c r="U5990"/>
  <c r="V5989"/>
  <c r="U5989"/>
  <c r="V5988"/>
  <c r="U5988"/>
  <c r="V5987"/>
  <c r="U5987"/>
  <c r="V5986"/>
  <c r="U5986"/>
  <c r="V5985"/>
  <c r="U5985"/>
  <c r="V5984"/>
  <c r="U5984"/>
  <c r="V5983"/>
  <c r="U5983"/>
  <c r="V5982"/>
  <c r="U5982"/>
  <c r="V5981"/>
  <c r="U5981"/>
  <c r="V5980"/>
  <c r="U5980"/>
  <c r="V5979"/>
  <c r="U5979"/>
  <c r="V5978"/>
  <c r="U5978"/>
  <c r="V5977"/>
  <c r="U5977"/>
  <c r="V5976"/>
  <c r="U5976"/>
  <c r="V5975"/>
  <c r="U5975"/>
  <c r="V5974"/>
  <c r="U5974"/>
  <c r="V5973"/>
  <c r="U5973"/>
  <c r="V5972"/>
  <c r="U5972"/>
  <c r="V5971"/>
  <c r="U5971"/>
  <c r="V5970"/>
  <c r="U5970"/>
  <c r="V5969"/>
  <c r="U5969"/>
  <c r="V5968"/>
  <c r="U5968"/>
  <c r="V5967"/>
  <c r="U5967"/>
  <c r="U5966"/>
  <c r="V5965"/>
  <c r="U5965"/>
  <c r="V5964"/>
  <c r="U5964"/>
  <c r="V5963"/>
  <c r="U5963"/>
  <c r="V5962"/>
  <c r="U5962"/>
  <c r="V5961"/>
  <c r="U5961"/>
  <c r="V5960"/>
  <c r="U5960"/>
  <c r="V5959"/>
  <c r="U5959"/>
  <c r="V5958"/>
  <c r="U5958"/>
  <c r="V5957"/>
  <c r="U5957"/>
  <c r="V5956"/>
  <c r="U5956"/>
  <c r="V5955"/>
  <c r="U5955"/>
  <c r="V5954"/>
  <c r="U5954"/>
  <c r="V5953"/>
  <c r="U5953"/>
  <c r="V5952"/>
  <c r="U5952"/>
  <c r="V5951"/>
  <c r="U5951"/>
  <c r="V5950"/>
  <c r="U5950"/>
  <c r="V5949"/>
  <c r="U5949"/>
  <c r="V5948"/>
  <c r="U5948"/>
  <c r="V5947"/>
  <c r="U5947"/>
  <c r="V5946"/>
  <c r="U5946"/>
  <c r="V5945"/>
  <c r="U5945"/>
  <c r="V5944"/>
  <c r="U5944"/>
  <c r="V5943"/>
  <c r="U5943"/>
  <c r="V5942"/>
  <c r="U5942"/>
  <c r="V5941"/>
  <c r="U5941"/>
  <c r="V5940"/>
  <c r="U5940"/>
  <c r="V5939"/>
  <c r="U5939"/>
  <c r="V5938"/>
  <c r="U5938"/>
  <c r="V5937"/>
  <c r="U5937"/>
  <c r="V5936"/>
  <c r="U5936"/>
  <c r="V5935"/>
  <c r="U5935"/>
  <c r="V5934"/>
  <c r="U5934"/>
  <c r="V5933"/>
  <c r="U5933"/>
  <c r="V5932"/>
  <c r="U5932"/>
  <c r="V5931"/>
  <c r="U5931"/>
  <c r="V5930"/>
  <c r="U5930"/>
  <c r="V5929"/>
  <c r="U5929"/>
  <c r="V5928"/>
  <c r="U5928"/>
  <c r="V5927"/>
  <c r="U5927"/>
  <c r="V5926"/>
  <c r="U5926"/>
  <c r="V5925"/>
  <c r="U5925"/>
  <c r="V5924"/>
  <c r="U5924"/>
  <c r="V5923"/>
  <c r="U5923"/>
  <c r="V5922"/>
  <c r="U5922"/>
  <c r="V5921"/>
  <c r="U5921"/>
  <c r="V5920"/>
  <c r="U5920"/>
  <c r="U5919"/>
  <c r="V5918"/>
  <c r="U5918"/>
  <c r="V5917"/>
  <c r="U5917"/>
  <c r="V5916"/>
  <c r="U5916"/>
  <c r="V5915"/>
  <c r="U5915"/>
  <c r="V5914"/>
  <c r="U5914"/>
  <c r="V5913"/>
  <c r="U5913"/>
  <c r="V5912"/>
  <c r="U5912"/>
  <c r="V5911"/>
  <c r="U5911"/>
  <c r="V5910"/>
  <c r="U5910"/>
  <c r="V5909"/>
  <c r="U5909"/>
  <c r="V5908"/>
  <c r="U5908"/>
  <c r="V5907"/>
  <c r="U5907"/>
  <c r="V5906"/>
  <c r="U5906"/>
  <c r="U5905"/>
  <c r="V5904"/>
  <c r="U5904"/>
  <c r="V5903"/>
  <c r="U5903"/>
  <c r="V5902"/>
  <c r="U5902"/>
  <c r="U5901"/>
  <c r="V5900"/>
  <c r="U5900"/>
  <c r="V5899"/>
  <c r="U5899"/>
  <c r="V5898"/>
  <c r="U5898"/>
  <c r="U5897"/>
  <c r="V5896"/>
  <c r="U5896"/>
  <c r="V5895"/>
  <c r="U5895"/>
  <c r="V5894"/>
  <c r="U5894"/>
  <c r="V5893"/>
  <c r="U5893"/>
  <c r="V5892"/>
  <c r="U5892"/>
  <c r="V5891"/>
  <c r="U5891"/>
  <c r="V5890"/>
  <c r="U5890"/>
  <c r="V5889"/>
  <c r="U5889"/>
  <c r="V5888"/>
  <c r="U5888"/>
  <c r="V5887"/>
  <c r="U5887"/>
  <c r="V5886"/>
  <c r="U5886"/>
  <c r="V5885"/>
  <c r="U5885"/>
  <c r="V5884"/>
  <c r="U5884"/>
  <c r="V5883"/>
  <c r="U5883"/>
  <c r="V5882"/>
  <c r="U5882"/>
  <c r="V5881"/>
  <c r="U5881"/>
  <c r="U5880"/>
  <c r="V5879"/>
  <c r="U5879"/>
  <c r="V5878"/>
  <c r="U5878"/>
  <c r="V5877"/>
  <c r="U5877"/>
  <c r="V5876"/>
  <c r="U5876"/>
  <c r="V5875"/>
  <c r="U5875"/>
  <c r="V5874"/>
  <c r="U5874"/>
  <c r="V5873"/>
  <c r="U5873"/>
  <c r="V5872"/>
  <c r="U5872"/>
  <c r="V5871"/>
  <c r="U5871"/>
  <c r="V5870"/>
  <c r="U5870"/>
  <c r="V5869"/>
  <c r="U5869"/>
  <c r="U5868"/>
  <c r="U5867"/>
  <c r="V5866"/>
  <c r="U5866"/>
  <c r="V5865"/>
  <c r="U5865"/>
  <c r="V5864"/>
  <c r="U5864"/>
  <c r="U5863"/>
  <c r="V5862"/>
  <c r="U5862"/>
  <c r="V5861"/>
  <c r="U5861"/>
  <c r="V5860"/>
  <c r="U5860"/>
  <c r="V5859"/>
  <c r="U5859"/>
  <c r="U5858"/>
  <c r="U5857"/>
  <c r="V5856"/>
  <c r="U5856"/>
  <c r="V5855"/>
  <c r="U5855"/>
  <c r="V5854"/>
  <c r="U5854"/>
  <c r="V5853"/>
  <c r="U5853"/>
  <c r="V5852"/>
  <c r="U5852"/>
  <c r="V5851"/>
  <c r="U5851"/>
  <c r="V5850"/>
  <c r="U5850"/>
  <c r="V5849"/>
  <c r="U5849"/>
  <c r="U5848"/>
  <c r="V5847"/>
  <c r="U5847"/>
  <c r="V5846"/>
  <c r="U5846"/>
  <c r="V5845"/>
  <c r="U5845"/>
  <c r="V5844"/>
  <c r="U5844"/>
  <c r="V5843"/>
  <c r="U5843"/>
  <c r="U5842"/>
  <c r="V5841"/>
  <c r="U5841"/>
  <c r="V5840"/>
  <c r="U5840"/>
  <c r="U5839"/>
  <c r="V5838"/>
  <c r="U5838"/>
  <c r="V5837"/>
  <c r="U5837"/>
  <c r="V5836"/>
  <c r="U5836"/>
  <c r="V5835"/>
  <c r="U5835"/>
  <c r="V5834"/>
  <c r="U5834"/>
  <c r="V5833"/>
  <c r="U5833"/>
  <c r="V5832"/>
  <c r="U5832"/>
  <c r="V5831"/>
  <c r="U5831"/>
  <c r="V5830"/>
  <c r="U5830"/>
  <c r="V5829"/>
  <c r="U5829"/>
  <c r="V5828"/>
  <c r="U5828"/>
  <c r="U5827"/>
  <c r="V5826"/>
  <c r="U5826"/>
  <c r="V5825"/>
  <c r="U5825"/>
  <c r="V5824"/>
  <c r="U5824"/>
  <c r="V5823"/>
  <c r="U5823"/>
  <c r="V5822"/>
  <c r="U5822"/>
  <c r="U5821"/>
  <c r="V5820"/>
  <c r="U5820"/>
  <c r="V5819"/>
  <c r="U5819"/>
  <c r="V5818"/>
  <c r="U5818"/>
  <c r="V5817"/>
  <c r="U5817"/>
  <c r="U5816"/>
  <c r="U5815"/>
  <c r="V5814"/>
  <c r="U5814"/>
  <c r="V5813"/>
  <c r="U5813"/>
  <c r="V5812"/>
  <c r="U5812"/>
  <c r="V5811"/>
  <c r="U5811"/>
  <c r="V5810"/>
  <c r="U5810"/>
  <c r="V5809"/>
  <c r="U5809"/>
  <c r="V5808"/>
  <c r="U5808"/>
  <c r="V5807"/>
  <c r="U5807"/>
  <c r="V5806"/>
  <c r="U5806"/>
  <c r="V5805"/>
  <c r="U5805"/>
  <c r="V5804"/>
  <c r="U5804"/>
  <c r="V5803"/>
  <c r="U5803"/>
  <c r="V5802"/>
  <c r="U5802"/>
  <c r="V5801"/>
  <c r="U5801"/>
  <c r="V5800"/>
  <c r="U5800"/>
  <c r="V5799"/>
  <c r="U5799"/>
  <c r="V5798"/>
  <c r="U5798"/>
  <c r="V5797"/>
  <c r="U5797"/>
  <c r="U5796"/>
  <c r="V5795"/>
  <c r="U5795"/>
  <c r="V5794"/>
  <c r="U5794"/>
  <c r="U5793"/>
  <c r="V5792"/>
  <c r="U5792"/>
  <c r="V5791"/>
  <c r="U5791"/>
  <c r="V5790"/>
  <c r="U5790"/>
  <c r="V5789"/>
  <c r="U5789"/>
  <c r="V5788"/>
  <c r="U5788"/>
  <c r="V5787"/>
  <c r="U5787"/>
  <c r="V5786"/>
  <c r="U5786"/>
  <c r="V5785"/>
  <c r="U5785"/>
  <c r="V5784"/>
  <c r="U5784"/>
  <c r="V5783"/>
  <c r="U5783"/>
  <c r="V5782"/>
  <c r="U5782"/>
  <c r="V5781"/>
  <c r="U5781"/>
  <c r="V5780"/>
  <c r="U5780"/>
  <c r="V5779"/>
  <c r="U5779"/>
  <c r="V5778"/>
  <c r="U5778"/>
  <c r="V5777"/>
  <c r="U5777"/>
  <c r="V5776"/>
  <c r="U5776"/>
  <c r="V5775"/>
  <c r="U5775"/>
  <c r="V5774"/>
  <c r="U5774"/>
  <c r="V5773"/>
  <c r="U5773"/>
  <c r="V5772"/>
  <c r="U5772"/>
  <c r="V5771"/>
  <c r="U5771"/>
  <c r="V5770"/>
  <c r="U5770"/>
  <c r="V5769"/>
  <c r="U5769"/>
  <c r="V5768"/>
  <c r="U5768"/>
  <c r="V5767"/>
  <c r="U5767"/>
  <c r="V5766"/>
  <c r="U5766"/>
  <c r="V5765"/>
  <c r="U5765"/>
  <c r="V5764"/>
  <c r="U5764"/>
  <c r="V5763"/>
  <c r="U5763"/>
  <c r="V5762"/>
  <c r="U5762"/>
  <c r="V5761"/>
  <c r="U5761"/>
  <c r="V5760"/>
  <c r="U5760"/>
  <c r="V5759"/>
  <c r="U5759"/>
  <c r="V5758"/>
  <c r="U5758"/>
  <c r="V5757"/>
  <c r="U5757"/>
  <c r="V5756"/>
  <c r="U5756"/>
  <c r="V5755"/>
  <c r="U5755"/>
  <c r="V5754"/>
  <c r="U5754"/>
  <c r="U5753"/>
  <c r="V5752"/>
  <c r="U5752"/>
  <c r="V5751"/>
  <c r="U5751"/>
  <c r="V5750"/>
  <c r="U5750"/>
  <c r="V5749"/>
  <c r="U5749"/>
  <c r="V5748"/>
  <c r="U5748"/>
  <c r="V5747"/>
  <c r="U5747"/>
  <c r="V5746"/>
  <c r="U5746"/>
  <c r="V5745"/>
  <c r="U5745"/>
  <c r="V5744"/>
  <c r="U5744"/>
  <c r="V5743"/>
  <c r="U5743"/>
  <c r="V5742"/>
  <c r="U5742"/>
  <c r="V5741"/>
  <c r="U5741"/>
  <c r="V5740"/>
  <c r="U5740"/>
  <c r="V5739"/>
  <c r="U5739"/>
  <c r="V5738"/>
  <c r="U5738"/>
  <c r="V5737"/>
  <c r="U5737"/>
  <c r="V5736"/>
  <c r="U5736"/>
  <c r="V5735"/>
  <c r="U5735"/>
  <c r="V5734"/>
  <c r="U5734"/>
  <c r="V5733"/>
  <c r="U5733"/>
  <c r="V5732"/>
  <c r="U5732"/>
  <c r="V5731"/>
  <c r="U5731"/>
  <c r="V5730"/>
  <c r="U5730"/>
  <c r="V5729"/>
  <c r="U5729"/>
  <c r="V5728"/>
  <c r="U5728"/>
  <c r="V5727"/>
  <c r="U5727"/>
  <c r="V5726"/>
  <c r="U5726"/>
  <c r="V5725"/>
  <c r="U5725"/>
  <c r="V5724"/>
  <c r="U5724"/>
  <c r="V5723"/>
  <c r="U5723"/>
  <c r="V5722"/>
  <c r="U5722"/>
  <c r="V5721"/>
  <c r="U5721"/>
  <c r="U5720"/>
  <c r="V5719"/>
  <c r="U5719"/>
  <c r="V5718"/>
  <c r="U5718"/>
  <c r="V5717"/>
  <c r="U5717"/>
  <c r="V5716"/>
  <c r="U5716"/>
  <c r="V5715"/>
  <c r="U5715"/>
  <c r="V5714"/>
  <c r="U5714"/>
  <c r="V5713"/>
  <c r="U5713"/>
  <c r="V5712"/>
  <c r="U5712"/>
  <c r="V5711"/>
  <c r="U5711"/>
  <c r="V5710"/>
  <c r="U5710"/>
  <c r="V5709"/>
  <c r="U5709"/>
  <c r="V5708"/>
  <c r="U5708"/>
  <c r="V5707"/>
  <c r="U5707"/>
  <c r="V5706"/>
  <c r="U5706"/>
  <c r="V5705"/>
  <c r="U5705"/>
  <c r="V5704"/>
  <c r="U5704"/>
  <c r="V5703"/>
  <c r="U5703"/>
  <c r="V5702"/>
  <c r="U5702"/>
  <c r="V5701"/>
  <c r="U5701"/>
  <c r="V5700"/>
  <c r="U5700"/>
  <c r="V5699"/>
  <c r="U5699"/>
  <c r="V5698"/>
  <c r="U5698"/>
  <c r="V5697"/>
  <c r="U5697"/>
  <c r="V5696"/>
  <c r="U5696"/>
  <c r="V5695"/>
  <c r="U5695"/>
  <c r="V5694"/>
  <c r="U5694"/>
  <c r="V5693"/>
  <c r="U5693"/>
  <c r="V5692"/>
  <c r="U5692"/>
  <c r="V5691"/>
  <c r="U5691"/>
  <c r="V5690"/>
  <c r="U5690"/>
  <c r="V5689"/>
  <c r="U5689"/>
  <c r="U5688"/>
  <c r="V5687"/>
  <c r="U5687"/>
  <c r="V5686"/>
  <c r="U5686"/>
  <c r="V5685"/>
  <c r="U5685"/>
  <c r="V5684"/>
  <c r="U5684"/>
  <c r="V5683"/>
  <c r="U5683"/>
  <c r="V5681"/>
  <c r="U5681"/>
  <c r="V5680"/>
  <c r="U5680"/>
  <c r="V5679"/>
  <c r="U5679"/>
  <c r="V5678"/>
  <c r="U5678"/>
  <c r="V5677"/>
  <c r="U5677"/>
  <c r="V5676"/>
  <c r="U5676"/>
  <c r="V5675"/>
  <c r="U5675"/>
  <c r="V5674"/>
  <c r="U5674"/>
  <c r="V5673"/>
  <c r="U5673"/>
  <c r="V5672"/>
  <c r="U5672"/>
  <c r="V5671"/>
  <c r="U5671"/>
  <c r="V5670"/>
  <c r="U5670"/>
  <c r="V5669"/>
  <c r="U5669"/>
  <c r="U5668"/>
  <c r="V5667"/>
  <c r="U5667"/>
  <c r="V5666"/>
  <c r="U5666"/>
  <c r="V5665"/>
  <c r="U5665"/>
  <c r="V5664"/>
  <c r="U5664"/>
  <c r="V5663"/>
  <c r="U5663"/>
  <c r="V5662"/>
  <c r="U5662"/>
  <c r="V5661"/>
  <c r="U5661"/>
  <c r="V5660"/>
  <c r="U5660"/>
  <c r="V5659"/>
  <c r="U5659"/>
  <c r="V5658"/>
  <c r="U5658"/>
  <c r="U5657"/>
  <c r="V5656"/>
  <c r="U5656"/>
  <c r="V5655"/>
  <c r="U5655"/>
  <c r="V5654"/>
  <c r="U5654"/>
  <c r="V5653"/>
  <c r="U5653"/>
  <c r="V5652"/>
  <c r="U5652"/>
  <c r="V5651"/>
  <c r="U5651"/>
  <c r="V5650"/>
  <c r="U5650"/>
  <c r="V5649"/>
  <c r="U5649"/>
  <c r="V5648"/>
  <c r="U5648"/>
  <c r="V5647"/>
  <c r="U5647"/>
  <c r="V5646"/>
  <c r="U5646"/>
  <c r="V5645"/>
  <c r="U5645"/>
  <c r="V5644"/>
  <c r="U5644"/>
  <c r="V5643"/>
  <c r="U5643"/>
  <c r="V5642"/>
  <c r="U5642"/>
  <c r="V5641"/>
  <c r="U5641"/>
  <c r="V5640"/>
  <c r="U5640"/>
  <c r="U5639"/>
  <c r="V5638"/>
  <c r="U5638"/>
  <c r="V5637"/>
  <c r="U5637"/>
  <c r="V5636"/>
  <c r="U5636"/>
  <c r="V5635"/>
  <c r="U5635"/>
  <c r="V5634"/>
  <c r="U5634"/>
  <c r="V5633"/>
  <c r="U5633"/>
  <c r="V5632"/>
  <c r="U5632"/>
  <c r="V5631"/>
  <c r="U5631"/>
  <c r="U5630"/>
  <c r="V5629"/>
  <c r="U5629"/>
  <c r="V5628"/>
  <c r="U5628"/>
  <c r="V5627"/>
  <c r="U5627"/>
  <c r="V5626"/>
  <c r="U5626"/>
  <c r="V5625"/>
  <c r="U5625"/>
  <c r="V5624"/>
  <c r="U5624"/>
  <c r="V5623"/>
  <c r="U5623"/>
  <c r="V5622"/>
  <c r="U5622"/>
  <c r="U5621"/>
  <c r="U5620"/>
  <c r="V5619"/>
  <c r="U5619"/>
  <c r="V5618"/>
  <c r="U5618"/>
  <c r="V5617"/>
  <c r="U5617"/>
  <c r="V5616"/>
  <c r="U5616"/>
  <c r="V5615"/>
  <c r="U5615"/>
  <c r="V5614"/>
  <c r="U5614"/>
  <c r="U5613"/>
  <c r="V5612"/>
  <c r="U5612"/>
  <c r="V5611"/>
  <c r="U5611"/>
  <c r="V5610"/>
  <c r="U5610"/>
  <c r="V5609"/>
  <c r="U5609"/>
  <c r="V5608"/>
  <c r="U5608"/>
  <c r="U5607"/>
  <c r="U5606"/>
  <c r="V5605"/>
  <c r="U5605"/>
  <c r="V5604"/>
  <c r="U5604"/>
  <c r="U5603"/>
  <c r="V5602"/>
  <c r="U5602"/>
  <c r="V5601"/>
  <c r="U5601"/>
  <c r="V5600"/>
  <c r="U5600"/>
  <c r="V5599"/>
  <c r="U5599"/>
  <c r="V5598"/>
  <c r="U5598"/>
  <c r="V5597"/>
  <c r="U5597"/>
  <c r="V5596"/>
  <c r="U5596"/>
  <c r="V5595"/>
  <c r="U5595"/>
  <c r="V5594"/>
  <c r="U5594"/>
  <c r="V5593"/>
  <c r="U5593"/>
  <c r="V5592"/>
  <c r="U5592"/>
  <c r="V5591"/>
  <c r="U5591"/>
  <c r="V5590"/>
  <c r="U5590"/>
  <c r="V5589"/>
  <c r="U5589"/>
  <c r="V5588"/>
  <c r="U5588"/>
  <c r="V5587"/>
  <c r="U5587"/>
  <c r="V5586"/>
  <c r="U5586"/>
  <c r="V5585"/>
  <c r="U5585"/>
  <c r="V5584"/>
  <c r="U5584"/>
  <c r="U5583"/>
  <c r="V5582"/>
  <c r="U5582"/>
  <c r="V5581"/>
  <c r="U5581"/>
  <c r="V5580"/>
  <c r="U5580"/>
  <c r="V5579"/>
  <c r="U5579"/>
  <c r="V5578"/>
  <c r="U5578"/>
  <c r="V5577"/>
  <c r="U5577"/>
  <c r="V5576"/>
  <c r="U5576"/>
  <c r="V5575"/>
  <c r="U5575"/>
  <c r="V5574"/>
  <c r="U5574"/>
  <c r="V5573"/>
  <c r="U5573"/>
  <c r="V5572"/>
  <c r="U5572"/>
  <c r="V5571"/>
  <c r="U5571"/>
  <c r="V5570"/>
  <c r="U5570"/>
  <c r="V5569"/>
  <c r="U5569"/>
  <c r="V5568"/>
  <c r="U5568"/>
  <c r="V5567"/>
  <c r="U5567"/>
  <c r="V5566"/>
  <c r="U5566"/>
  <c r="V5565"/>
  <c r="U5565"/>
  <c r="V5564"/>
  <c r="U5564"/>
  <c r="V5563"/>
  <c r="U5563"/>
  <c r="V5562"/>
  <c r="U5562"/>
  <c r="V5561"/>
  <c r="U5561"/>
  <c r="V5560"/>
  <c r="U5560"/>
  <c r="V5559"/>
  <c r="U5559"/>
  <c r="V5558"/>
  <c r="U5558"/>
  <c r="V5557"/>
  <c r="U5557"/>
  <c r="V5556"/>
  <c r="U5556"/>
  <c r="U5555"/>
  <c r="U5554"/>
  <c r="V5553"/>
  <c r="U5553"/>
  <c r="V5552"/>
  <c r="U5552"/>
  <c r="V5551"/>
  <c r="U5551"/>
  <c r="V5550"/>
  <c r="U5550"/>
  <c r="V5549"/>
  <c r="U5549"/>
  <c r="V5548"/>
  <c r="U5548"/>
  <c r="V5547"/>
  <c r="U5547"/>
  <c r="V5546"/>
  <c r="U5546"/>
  <c r="V5545"/>
  <c r="U5545"/>
  <c r="V5544"/>
  <c r="U5544"/>
  <c r="V5543"/>
  <c r="U5543"/>
  <c r="V5542"/>
  <c r="U5542"/>
  <c r="V5541"/>
  <c r="U5541"/>
  <c r="V5540"/>
  <c r="U5540"/>
  <c r="V5539"/>
  <c r="U5539"/>
  <c r="V5538"/>
  <c r="U5538"/>
  <c r="V5537"/>
  <c r="U5537"/>
  <c r="V5536"/>
  <c r="U5536"/>
  <c r="V5535"/>
  <c r="U5535"/>
  <c r="V5534"/>
  <c r="U5534"/>
  <c r="V5533"/>
  <c r="U5533"/>
  <c r="V5532"/>
  <c r="U5532"/>
  <c r="V5531"/>
  <c r="U5531"/>
  <c r="V5530"/>
  <c r="U5530"/>
  <c r="V5529"/>
  <c r="U5529"/>
  <c r="V5528"/>
  <c r="U5528"/>
  <c r="V5527"/>
  <c r="U5527"/>
  <c r="V5526"/>
  <c r="U5526"/>
  <c r="V5525"/>
  <c r="U5525"/>
  <c r="V5524"/>
  <c r="U5524"/>
  <c r="V5523"/>
  <c r="U5523"/>
  <c r="V5522"/>
  <c r="U5522"/>
  <c r="V5521"/>
  <c r="U5521"/>
  <c r="V5520"/>
  <c r="U5520"/>
  <c r="V5519"/>
  <c r="U5519"/>
  <c r="V5518"/>
  <c r="U5518"/>
  <c r="V5517"/>
  <c r="U5517"/>
  <c r="V5516"/>
  <c r="U5516"/>
  <c r="V5515"/>
  <c r="U5515"/>
  <c r="V5514"/>
  <c r="U5514"/>
  <c r="V5513"/>
  <c r="U5513"/>
  <c r="V5512"/>
  <c r="U5512"/>
  <c r="V5511"/>
  <c r="U5511"/>
  <c r="V5510"/>
  <c r="U5510"/>
  <c r="V5509"/>
  <c r="U5509"/>
  <c r="V5508"/>
  <c r="U5508"/>
  <c r="V5507"/>
  <c r="U5507"/>
  <c r="V5506"/>
  <c r="U5506"/>
  <c r="V5505"/>
  <c r="U5505"/>
  <c r="V5504"/>
  <c r="U5504"/>
  <c r="U5503"/>
  <c r="V5502"/>
  <c r="U5502"/>
  <c r="V5501"/>
  <c r="U5501"/>
  <c r="V5500"/>
  <c r="U5500"/>
  <c r="V5499"/>
  <c r="U5499"/>
  <c r="V5498"/>
  <c r="U5498"/>
  <c r="V5497"/>
  <c r="U5497"/>
  <c r="V5496"/>
  <c r="U5496"/>
  <c r="V5495"/>
  <c r="U5495"/>
  <c r="V5494"/>
  <c r="U5494"/>
  <c r="V5493"/>
  <c r="U5493"/>
  <c r="V5492"/>
  <c r="U5492"/>
  <c r="V5491"/>
  <c r="U5491"/>
  <c r="V5490"/>
  <c r="U5490"/>
  <c r="V5489"/>
  <c r="U5489"/>
  <c r="V5488"/>
  <c r="U5488"/>
  <c r="V5487"/>
  <c r="U5487"/>
  <c r="V5486"/>
  <c r="U5486"/>
  <c r="V5485"/>
  <c r="U5485"/>
  <c r="U5484"/>
  <c r="V5483"/>
  <c r="U5483"/>
  <c r="V5482"/>
  <c r="U5482"/>
  <c r="V5481"/>
  <c r="U5481"/>
  <c r="V5480"/>
  <c r="U5480"/>
  <c r="V5479"/>
  <c r="U5479"/>
  <c r="V5478"/>
  <c r="U5478"/>
  <c r="V5477"/>
  <c r="U5477"/>
  <c r="V5476"/>
  <c r="U5476"/>
  <c r="V5475"/>
  <c r="U5475"/>
  <c r="V5474"/>
  <c r="U5474"/>
  <c r="V5473"/>
  <c r="U5473"/>
  <c r="V5472"/>
  <c r="U5472"/>
  <c r="V5471"/>
  <c r="U5471"/>
  <c r="V5470"/>
  <c r="U5470"/>
  <c r="V5469"/>
  <c r="U5469"/>
  <c r="V5468"/>
  <c r="U5468"/>
  <c r="V5467"/>
  <c r="U5467"/>
  <c r="V5466"/>
  <c r="U5466"/>
  <c r="V5465"/>
  <c r="U5465"/>
  <c r="V5464"/>
  <c r="U5464"/>
  <c r="V5463"/>
  <c r="U5463"/>
  <c r="V5462"/>
  <c r="U5462"/>
  <c r="V5461"/>
  <c r="U5461"/>
  <c r="V5460"/>
  <c r="U5460"/>
  <c r="V5459"/>
  <c r="U5459"/>
  <c r="V5458"/>
  <c r="U5458"/>
  <c r="V5457"/>
  <c r="U5457"/>
  <c r="V5456"/>
  <c r="U5456"/>
  <c r="V5455"/>
  <c r="U5455"/>
  <c r="V5454"/>
  <c r="U5454"/>
  <c r="V5453"/>
  <c r="U5453"/>
  <c r="V5452"/>
  <c r="U5452"/>
  <c r="V5451"/>
  <c r="U5451"/>
  <c r="V5450"/>
  <c r="U5450"/>
  <c r="V5449"/>
  <c r="U5449"/>
  <c r="V5448"/>
  <c r="U5448"/>
  <c r="V5447"/>
  <c r="U5447"/>
  <c r="V5446"/>
  <c r="U5446"/>
  <c r="V5445"/>
  <c r="U5445"/>
  <c r="V5444"/>
  <c r="U5444"/>
  <c r="V5443"/>
  <c r="U5443"/>
  <c r="V5442"/>
  <c r="V5441"/>
  <c r="U5441"/>
  <c r="V5440"/>
  <c r="U5440"/>
  <c r="V5439"/>
  <c r="U5439"/>
  <c r="V5438"/>
  <c r="U5438"/>
  <c r="U5437"/>
  <c r="V5436"/>
  <c r="U5436"/>
  <c r="V5435"/>
  <c r="U5435"/>
  <c r="V5434"/>
  <c r="U5434"/>
  <c r="V5433"/>
  <c r="U5433"/>
  <c r="V5432"/>
  <c r="U5432"/>
  <c r="V5431"/>
  <c r="U5431"/>
  <c r="V5430"/>
  <c r="U5430"/>
  <c r="V5429"/>
  <c r="U5429"/>
  <c r="V5428"/>
  <c r="U5428"/>
  <c r="V5427"/>
  <c r="U5427"/>
  <c r="V5426"/>
  <c r="U5426"/>
  <c r="V5425"/>
  <c r="U5425"/>
  <c r="V5424"/>
  <c r="U5424"/>
  <c r="V5423"/>
  <c r="U5423"/>
  <c r="V5422"/>
  <c r="U5422"/>
  <c r="V5421"/>
  <c r="U5421"/>
  <c r="V5420"/>
  <c r="U5420"/>
  <c r="V5419"/>
  <c r="U5419"/>
  <c r="V5418"/>
  <c r="U5418"/>
  <c r="U5417"/>
  <c r="V5416"/>
  <c r="U5416"/>
  <c r="V5415"/>
  <c r="U5415"/>
  <c r="V5414"/>
  <c r="U5414"/>
  <c r="V5413"/>
  <c r="U5413"/>
  <c r="V5412"/>
  <c r="U5412"/>
  <c r="V5411"/>
  <c r="U5411"/>
  <c r="V5410"/>
  <c r="U5410"/>
  <c r="V5409"/>
  <c r="U5409"/>
  <c r="V5408"/>
  <c r="U5408"/>
  <c r="V5407"/>
  <c r="U5407"/>
  <c r="V5406"/>
  <c r="U5406"/>
  <c r="V5405"/>
  <c r="U5405"/>
  <c r="V5404"/>
  <c r="U5404"/>
  <c r="V5403"/>
  <c r="U5403"/>
  <c r="V5402"/>
  <c r="U5402"/>
  <c r="U5401"/>
  <c r="V5400"/>
  <c r="U5400"/>
  <c r="V5399"/>
  <c r="U5399"/>
  <c r="V5398"/>
  <c r="U5398"/>
  <c r="V5397"/>
  <c r="U5397"/>
  <c r="V5396"/>
  <c r="U5396"/>
  <c r="V5395"/>
  <c r="U5395"/>
  <c r="V5394"/>
  <c r="U5394"/>
  <c r="V5393"/>
  <c r="U5393"/>
  <c r="V5392"/>
  <c r="U5392"/>
  <c r="V5391"/>
  <c r="U5391"/>
  <c r="V5390"/>
  <c r="U5390"/>
  <c r="V5389"/>
  <c r="U5389"/>
  <c r="U5388"/>
  <c r="V5387"/>
  <c r="U5387"/>
  <c r="V5386"/>
  <c r="U5386"/>
  <c r="V5385"/>
  <c r="U5385"/>
  <c r="V5384"/>
  <c r="U5384"/>
  <c r="V5383"/>
  <c r="U5383"/>
  <c r="V5382"/>
  <c r="U5382"/>
  <c r="V5381"/>
  <c r="U5381"/>
  <c r="V5380"/>
  <c r="U5380"/>
  <c r="V5379"/>
  <c r="U5379"/>
  <c r="V5378"/>
  <c r="U5378"/>
  <c r="V5377"/>
  <c r="U5377"/>
  <c r="V5376"/>
  <c r="U5376"/>
  <c r="V5375"/>
  <c r="U5375"/>
  <c r="U5374"/>
  <c r="V5373"/>
  <c r="U5373"/>
  <c r="V5372"/>
  <c r="U5372"/>
  <c r="V5371"/>
  <c r="U5371"/>
  <c r="V5370"/>
  <c r="U5370"/>
  <c r="V5369"/>
  <c r="U5369"/>
  <c r="V5368"/>
  <c r="U5368"/>
  <c r="V5367"/>
  <c r="U5367"/>
  <c r="V5366"/>
  <c r="U5366"/>
  <c r="V5365"/>
  <c r="U5365"/>
  <c r="V5364"/>
  <c r="U5364"/>
  <c r="V5363"/>
  <c r="U5363"/>
  <c r="V5362"/>
  <c r="U5362"/>
  <c r="U5361"/>
  <c r="V5360"/>
  <c r="U5360"/>
  <c r="V5359"/>
  <c r="U5359"/>
  <c r="V5358"/>
  <c r="U5358"/>
  <c r="V5357"/>
  <c r="U5357"/>
  <c r="V5356"/>
  <c r="U5356"/>
  <c r="V5355"/>
  <c r="U5355"/>
  <c r="V5354"/>
  <c r="U5354"/>
  <c r="V5353"/>
  <c r="U5353"/>
  <c r="V5352"/>
  <c r="U5352"/>
  <c r="V5351"/>
  <c r="V5350"/>
  <c r="U5350"/>
  <c r="V5349"/>
  <c r="U5349"/>
  <c r="V5348"/>
  <c r="U5348"/>
  <c r="V5347"/>
  <c r="U5347"/>
  <c r="V5346"/>
  <c r="U5346"/>
  <c r="V5345"/>
  <c r="U5345"/>
  <c r="V5344"/>
  <c r="U5344"/>
  <c r="V5343"/>
  <c r="U5343"/>
  <c r="V5342"/>
  <c r="U5342"/>
  <c r="V5341"/>
  <c r="U5341"/>
  <c r="V5340"/>
  <c r="U5340"/>
  <c r="V5339"/>
  <c r="U5339"/>
  <c r="V5338"/>
  <c r="U5338"/>
  <c r="V5337"/>
  <c r="U5337"/>
  <c r="V5336"/>
  <c r="U5336"/>
  <c r="V5335"/>
  <c r="U5335"/>
  <c r="V5334"/>
  <c r="U5334"/>
  <c r="V5333"/>
  <c r="U5333"/>
  <c r="V5332"/>
  <c r="U5332"/>
  <c r="V5331"/>
  <c r="U5331"/>
  <c r="V5330"/>
  <c r="U5330"/>
  <c r="V5329"/>
  <c r="U5329"/>
  <c r="V5328"/>
  <c r="U5328"/>
  <c r="V5327"/>
  <c r="U5327"/>
  <c r="U5326"/>
  <c r="V5325"/>
  <c r="U5325"/>
  <c r="V5324"/>
  <c r="U5324"/>
  <c r="V5323"/>
  <c r="U5323"/>
  <c r="V5322"/>
  <c r="U5322"/>
  <c r="V5321"/>
  <c r="U5321"/>
  <c r="V5320"/>
  <c r="U5320"/>
  <c r="V5319"/>
  <c r="U5319"/>
  <c r="V5318"/>
  <c r="U5318"/>
  <c r="V5317"/>
  <c r="U5317"/>
  <c r="V5316"/>
  <c r="U5316"/>
  <c r="V5315"/>
  <c r="V5314"/>
  <c r="U5314"/>
  <c r="V5313"/>
  <c r="U5313"/>
  <c r="V5312"/>
  <c r="U5312"/>
  <c r="V5311"/>
  <c r="U5311"/>
  <c r="V5310"/>
  <c r="U5310"/>
  <c r="V5309"/>
  <c r="U5309"/>
  <c r="V5308"/>
  <c r="U5308"/>
  <c r="V5307"/>
  <c r="U5307"/>
  <c r="V5306"/>
  <c r="U5306"/>
  <c r="V5305"/>
  <c r="U5305"/>
  <c r="V5304"/>
  <c r="U5304"/>
  <c r="V5303"/>
  <c r="U5303"/>
  <c r="V5302"/>
  <c r="U5302"/>
  <c r="V5301"/>
  <c r="U5301"/>
  <c r="V5300"/>
  <c r="U5300"/>
  <c r="V5299"/>
  <c r="U5299"/>
  <c r="V5298"/>
  <c r="U5298"/>
  <c r="V5297"/>
  <c r="U5297"/>
  <c r="V5296"/>
  <c r="U5296"/>
  <c r="V5295"/>
  <c r="U5295"/>
  <c r="V5294"/>
  <c r="U5294"/>
  <c r="V5293"/>
  <c r="U5293"/>
  <c r="V5292"/>
  <c r="U5292"/>
  <c r="U5291"/>
  <c r="V5290"/>
  <c r="U5290"/>
  <c r="V5289"/>
  <c r="U5289"/>
  <c r="V5288"/>
  <c r="U5288"/>
  <c r="V5287"/>
  <c r="U5287"/>
  <c r="V5286"/>
  <c r="U5286"/>
  <c r="V5285"/>
  <c r="U5285"/>
  <c r="V5284"/>
  <c r="U5284"/>
  <c r="V5283"/>
  <c r="U5283"/>
  <c r="V5282"/>
  <c r="U5282"/>
  <c r="V5281"/>
  <c r="U5281"/>
  <c r="V5280"/>
  <c r="U5280"/>
  <c r="V5279"/>
  <c r="U5279"/>
  <c r="V5278"/>
  <c r="U5278"/>
  <c r="V5277"/>
  <c r="U5277"/>
  <c r="V5276"/>
  <c r="U5276"/>
  <c r="V5275"/>
  <c r="U5275"/>
  <c r="V5274"/>
  <c r="U5274"/>
  <c r="V5273"/>
  <c r="U5273"/>
  <c r="V5272"/>
  <c r="U5272"/>
  <c r="V5271"/>
  <c r="U5271"/>
  <c r="V5270"/>
  <c r="U5270"/>
  <c r="V5269"/>
  <c r="U5269"/>
  <c r="V5268"/>
  <c r="U5268"/>
  <c r="U5267"/>
  <c r="V5266"/>
  <c r="U5266"/>
  <c r="V5265"/>
  <c r="U5265"/>
  <c r="V5264"/>
  <c r="U5264"/>
  <c r="V5263"/>
  <c r="U5263"/>
  <c r="V5262"/>
  <c r="U5262"/>
  <c r="V5261"/>
  <c r="U5261"/>
  <c r="V5260"/>
  <c r="U5260"/>
  <c r="V5259"/>
  <c r="U5259"/>
  <c r="V5258"/>
  <c r="U5258"/>
  <c r="V5257"/>
  <c r="U5257"/>
  <c r="V5256"/>
  <c r="U5256"/>
  <c r="V5255"/>
  <c r="U5255"/>
  <c r="V5254"/>
  <c r="U5254"/>
  <c r="V5253"/>
  <c r="U5253"/>
  <c r="V5252"/>
  <c r="U5252"/>
  <c r="U5251"/>
  <c r="V5250"/>
  <c r="U5250"/>
  <c r="V5249"/>
  <c r="U5249"/>
  <c r="V5248"/>
  <c r="U5248"/>
  <c r="V5247"/>
  <c r="U5247"/>
  <c r="V5246"/>
  <c r="U5246"/>
  <c r="V5245"/>
  <c r="U5245"/>
  <c r="V5244"/>
  <c r="U5244"/>
  <c r="V5243"/>
  <c r="U5243"/>
  <c r="V5242"/>
  <c r="U5242"/>
  <c r="V5241"/>
  <c r="U5241"/>
  <c r="V5240"/>
  <c r="U5240"/>
  <c r="V5239"/>
  <c r="U5239"/>
  <c r="V5238"/>
  <c r="U5238"/>
  <c r="V5237"/>
  <c r="U5237"/>
  <c r="V5236"/>
  <c r="U5236"/>
  <c r="V5235"/>
  <c r="U5235"/>
  <c r="V5234"/>
  <c r="U5234"/>
  <c r="V5233"/>
  <c r="U5233"/>
  <c r="V5232"/>
  <c r="U5232"/>
  <c r="V5231"/>
  <c r="U5231"/>
  <c r="V5230"/>
  <c r="U5230"/>
  <c r="V5229"/>
  <c r="U5229"/>
  <c r="V5228"/>
  <c r="U5228"/>
  <c r="U5227"/>
  <c r="V5226"/>
  <c r="U5226"/>
  <c r="V5225"/>
  <c r="U5225"/>
  <c r="V5224"/>
  <c r="U5224"/>
  <c r="V5223"/>
  <c r="U5223"/>
  <c r="V5222"/>
  <c r="U5222"/>
  <c r="V5221"/>
  <c r="U5221"/>
  <c r="V5220"/>
  <c r="U5220"/>
  <c r="U5219"/>
  <c r="V5218"/>
  <c r="U5218"/>
  <c r="V5217"/>
  <c r="U5217"/>
  <c r="V5216"/>
  <c r="U5216"/>
  <c r="V5215"/>
  <c r="U5215"/>
  <c r="V5214"/>
  <c r="U5214"/>
  <c r="V5213"/>
  <c r="U5213"/>
  <c r="V5212"/>
  <c r="U5212"/>
  <c r="V5211"/>
  <c r="U5211"/>
  <c r="V5210"/>
  <c r="U5210"/>
  <c r="U5209"/>
  <c r="V5208"/>
  <c r="U5208"/>
  <c r="V5207"/>
  <c r="U5207"/>
  <c r="V5206"/>
  <c r="U5206"/>
  <c r="V5205"/>
  <c r="U5205"/>
  <c r="V5204"/>
  <c r="U5204"/>
  <c r="V5203"/>
  <c r="U5203"/>
  <c r="V5202"/>
  <c r="U5202"/>
  <c r="V5201"/>
  <c r="U5201"/>
  <c r="V5200"/>
  <c r="U5200"/>
  <c r="V5199"/>
  <c r="U5199"/>
  <c r="V5198"/>
  <c r="U5198"/>
  <c r="V5197"/>
  <c r="U5197"/>
  <c r="V5196"/>
  <c r="U5196"/>
  <c r="V5195"/>
  <c r="U5195"/>
  <c r="V5194"/>
  <c r="U5194"/>
  <c r="V5193"/>
  <c r="U5193"/>
  <c r="V5192"/>
  <c r="U5192"/>
  <c r="U5191"/>
  <c r="V5190"/>
  <c r="U5190"/>
  <c r="V5189"/>
  <c r="U5189"/>
  <c r="U5188"/>
  <c r="V5187"/>
  <c r="U5187"/>
  <c r="V5186"/>
  <c r="U5186"/>
  <c r="V5185"/>
  <c r="U5185"/>
  <c r="V5184"/>
  <c r="U5184"/>
  <c r="V5183"/>
  <c r="U5183"/>
  <c r="V5182"/>
  <c r="U5182"/>
  <c r="V5181"/>
  <c r="U5181"/>
  <c r="U5180"/>
  <c r="V5179"/>
  <c r="U5179"/>
  <c r="V5178"/>
  <c r="U5178"/>
  <c r="V5177"/>
  <c r="U5177"/>
  <c r="V5176"/>
  <c r="U5176"/>
  <c r="U5175"/>
  <c r="V5174"/>
  <c r="U5174"/>
  <c r="V5173"/>
  <c r="U5173"/>
  <c r="V5172"/>
  <c r="U5172"/>
  <c r="V5171"/>
  <c r="U5171"/>
  <c r="V5170"/>
  <c r="U5170"/>
  <c r="V5169"/>
  <c r="U5169"/>
  <c r="V5168"/>
  <c r="U5168"/>
  <c r="V5167"/>
  <c r="U5167"/>
  <c r="U5166"/>
  <c r="V5165"/>
  <c r="U5165"/>
  <c r="V5164"/>
  <c r="U5164"/>
  <c r="V5163"/>
  <c r="U5163"/>
  <c r="V5162"/>
  <c r="U5162"/>
  <c r="V5161"/>
  <c r="U5161"/>
  <c r="V5160"/>
  <c r="U5160"/>
  <c r="V5159"/>
  <c r="U5159"/>
  <c r="V5158"/>
  <c r="U5158"/>
  <c r="V5157"/>
  <c r="U5157"/>
  <c r="V5156"/>
  <c r="U5156"/>
  <c r="V5155"/>
  <c r="U5155"/>
  <c r="V5154"/>
  <c r="U5154"/>
  <c r="V5153"/>
  <c r="U5153"/>
  <c r="V5152"/>
  <c r="U5152"/>
  <c r="U5150"/>
  <c r="V5149"/>
  <c r="U5149"/>
  <c r="V5148"/>
  <c r="U5148"/>
  <c r="V5147"/>
  <c r="U5147"/>
  <c r="V5146"/>
  <c r="U5146"/>
  <c r="V5145"/>
  <c r="U5145"/>
  <c r="V5144"/>
  <c r="U5144"/>
  <c r="V5143"/>
  <c r="U5143"/>
  <c r="V5142"/>
  <c r="U5142"/>
  <c r="V5141"/>
  <c r="U5141"/>
  <c r="V5140"/>
  <c r="U5140"/>
  <c r="V5139"/>
  <c r="U5139"/>
  <c r="V5138"/>
  <c r="U5138"/>
  <c r="V5137"/>
  <c r="U5137"/>
  <c r="V5136"/>
  <c r="U5136"/>
  <c r="V5135"/>
  <c r="U5135"/>
  <c r="V5134"/>
  <c r="U5134"/>
  <c r="V5133"/>
  <c r="U5133"/>
  <c r="U5132"/>
  <c r="V5131"/>
  <c r="U5131"/>
  <c r="V5130"/>
  <c r="U5130"/>
  <c r="V5129"/>
  <c r="U5129"/>
  <c r="V5128"/>
  <c r="U5128"/>
  <c r="V5127"/>
  <c r="U5127"/>
  <c r="V5126"/>
  <c r="U5126"/>
  <c r="V5125"/>
  <c r="U5125"/>
  <c r="V5124"/>
  <c r="U5124"/>
  <c r="V5123"/>
  <c r="U5123"/>
  <c r="V5122"/>
  <c r="U5122"/>
  <c r="V5121"/>
  <c r="U5121"/>
  <c r="V5120"/>
  <c r="U5120"/>
  <c r="V5119"/>
  <c r="U5119"/>
  <c r="V5118"/>
  <c r="U5118"/>
  <c r="V5117"/>
  <c r="U5117"/>
  <c r="U5116"/>
  <c r="U5115"/>
  <c r="U5114"/>
  <c r="U5113"/>
  <c r="V5112"/>
  <c r="U5112"/>
  <c r="V5111"/>
  <c r="U5111"/>
  <c r="V5110"/>
  <c r="U5110"/>
  <c r="V5109"/>
  <c r="U5109"/>
  <c r="V5108"/>
  <c r="U5108"/>
  <c r="V5107"/>
  <c r="U5107"/>
  <c r="U5106"/>
  <c r="V5105"/>
  <c r="U5105"/>
  <c r="V5104"/>
  <c r="U5104"/>
  <c r="V5103"/>
  <c r="U5103"/>
  <c r="V5102"/>
  <c r="U5102"/>
  <c r="V5101"/>
  <c r="U5101"/>
  <c r="V5100"/>
  <c r="U5100"/>
  <c r="V5099"/>
  <c r="U5099"/>
  <c r="V5098"/>
  <c r="U5098"/>
  <c r="V5097"/>
  <c r="U5097"/>
  <c r="V5096"/>
  <c r="U5096"/>
  <c r="V5095"/>
  <c r="U5095"/>
  <c r="V5094"/>
  <c r="U5094"/>
  <c r="V5093"/>
  <c r="U5093"/>
  <c r="V5092"/>
  <c r="U5092"/>
  <c r="V5091"/>
  <c r="U5091"/>
  <c r="V5090"/>
  <c r="U5090"/>
  <c r="V5089"/>
  <c r="U5089"/>
  <c r="U5088"/>
  <c r="V5087"/>
  <c r="U5087"/>
  <c r="V5086"/>
  <c r="U5086"/>
  <c r="V5085"/>
  <c r="U5085"/>
  <c r="V5084"/>
  <c r="U5084"/>
  <c r="V5083"/>
  <c r="U5083"/>
  <c r="V5082"/>
  <c r="U5082"/>
  <c r="V5081"/>
  <c r="U5081"/>
  <c r="V5080"/>
  <c r="U5080"/>
  <c r="V5079"/>
  <c r="U5079"/>
  <c r="V5078"/>
  <c r="U5078"/>
  <c r="V5077"/>
  <c r="U5077"/>
  <c r="V5076"/>
  <c r="U5076"/>
  <c r="V5075"/>
  <c r="U5075"/>
  <c r="V5074"/>
  <c r="U5074"/>
  <c r="V5073"/>
  <c r="U5073"/>
  <c r="V5072"/>
  <c r="U5072"/>
  <c r="V5071"/>
  <c r="U5071"/>
  <c r="V5070"/>
  <c r="U5070"/>
  <c r="V5069"/>
  <c r="U5069"/>
  <c r="V5068"/>
  <c r="U5068"/>
  <c r="V5067"/>
  <c r="U5067"/>
  <c r="V5066"/>
  <c r="U5066"/>
  <c r="V5065"/>
  <c r="U5065"/>
  <c r="V5064"/>
  <c r="U5064"/>
  <c r="V5063"/>
  <c r="U5063"/>
  <c r="V5062"/>
  <c r="U5062"/>
  <c r="V5061"/>
  <c r="U5061"/>
  <c r="V5060"/>
  <c r="U5060"/>
  <c r="V5059"/>
  <c r="U5059"/>
  <c r="V5058"/>
  <c r="U5058"/>
  <c r="V5057"/>
  <c r="U5057"/>
  <c r="V5056"/>
  <c r="U5056"/>
  <c r="V5055"/>
  <c r="U5055"/>
  <c r="V5054"/>
  <c r="U5054"/>
  <c r="V5053"/>
  <c r="U5053"/>
  <c r="V5052"/>
  <c r="U5052"/>
  <c r="V5051"/>
  <c r="U5051"/>
  <c r="V5050"/>
  <c r="U5050"/>
  <c r="V5049"/>
  <c r="U5049"/>
  <c r="V5048"/>
  <c r="U5048"/>
  <c r="V5047"/>
  <c r="U5047"/>
  <c r="V5046"/>
  <c r="U5046"/>
  <c r="V5045"/>
  <c r="U5045"/>
  <c r="V5044"/>
  <c r="U5044"/>
  <c r="V5043"/>
  <c r="U5043"/>
  <c r="V5042"/>
  <c r="U5042"/>
  <c r="V5041"/>
  <c r="U5041"/>
  <c r="V5040"/>
  <c r="U5040"/>
  <c r="V5039"/>
  <c r="U5039"/>
  <c r="V5038"/>
  <c r="U5038"/>
  <c r="V5037"/>
  <c r="U5037"/>
  <c r="V5036"/>
  <c r="U5036"/>
  <c r="V5035"/>
  <c r="U5035"/>
  <c r="V5034"/>
  <c r="U5034"/>
  <c r="V5033"/>
  <c r="U5033"/>
  <c r="V5032"/>
  <c r="U5032"/>
  <c r="V5031"/>
  <c r="U5031"/>
  <c r="V5030"/>
  <c r="U5030"/>
  <c r="V5029"/>
  <c r="U5029"/>
  <c r="V5028"/>
  <c r="U5028"/>
  <c r="V5027"/>
  <c r="U5027"/>
  <c r="V5026"/>
  <c r="U5026"/>
  <c r="V5025"/>
  <c r="U5025"/>
  <c r="V5024"/>
  <c r="U5024"/>
  <c r="V5023"/>
  <c r="U5023"/>
  <c r="V5022"/>
  <c r="U5022"/>
  <c r="V5021"/>
  <c r="U5021"/>
  <c r="V5020"/>
  <c r="U5020"/>
  <c r="V5019"/>
  <c r="U5019"/>
  <c r="V5018"/>
  <c r="U5018"/>
  <c r="V5017"/>
  <c r="U5017"/>
  <c r="V5016"/>
  <c r="U5016"/>
  <c r="V5015"/>
  <c r="U5015"/>
  <c r="V5014"/>
  <c r="U5014"/>
  <c r="V5013"/>
  <c r="U5013"/>
  <c r="V5012"/>
  <c r="U5012"/>
  <c r="V5011"/>
  <c r="U5011"/>
  <c r="V5010"/>
  <c r="U5010"/>
  <c r="V5009"/>
  <c r="U5009"/>
  <c r="V5008"/>
  <c r="U5008"/>
  <c r="V5007"/>
  <c r="U5007"/>
  <c r="V5006"/>
  <c r="U5006"/>
  <c r="V5005"/>
  <c r="U5005"/>
  <c r="V5004"/>
  <c r="U5004"/>
  <c r="V5003"/>
  <c r="U5003"/>
  <c r="V5002"/>
  <c r="U5002"/>
  <c r="V5001"/>
  <c r="U5001"/>
  <c r="V5000"/>
  <c r="U5000"/>
  <c r="V4999"/>
  <c r="U4999"/>
  <c r="V4998"/>
  <c r="U4998"/>
  <c r="V4997"/>
  <c r="U4997"/>
  <c r="V4996"/>
  <c r="U4996"/>
  <c r="V4995"/>
  <c r="U4995"/>
  <c r="V4994"/>
  <c r="U4994"/>
  <c r="V4993"/>
  <c r="U4993"/>
  <c r="V4992"/>
  <c r="U4992"/>
  <c r="V4991"/>
  <c r="U4991"/>
  <c r="V4990"/>
  <c r="U4990"/>
  <c r="V4989"/>
  <c r="U4989"/>
  <c r="V4988"/>
  <c r="U4988"/>
  <c r="V4987"/>
  <c r="U4987"/>
  <c r="V4986"/>
  <c r="U4986"/>
  <c r="V4985"/>
  <c r="U4985"/>
  <c r="V4984"/>
  <c r="U4984"/>
  <c r="V4983"/>
  <c r="U4983"/>
  <c r="V4982"/>
  <c r="U4982"/>
  <c r="V4981"/>
  <c r="U4981"/>
  <c r="V4980"/>
  <c r="U4980"/>
  <c r="V4979"/>
  <c r="U4979"/>
  <c r="V4978"/>
  <c r="U4978"/>
  <c r="V4977"/>
  <c r="U4977"/>
  <c r="V4976"/>
  <c r="U4976"/>
  <c r="V4975"/>
  <c r="U4975"/>
  <c r="V4974"/>
  <c r="U4974"/>
  <c r="V4973"/>
  <c r="U4973"/>
  <c r="V4972"/>
  <c r="U4972"/>
  <c r="V4971"/>
  <c r="U4971"/>
  <c r="V4970"/>
  <c r="U4970"/>
  <c r="V4969"/>
  <c r="U4969"/>
  <c r="V4968"/>
  <c r="U4968"/>
  <c r="V4967"/>
  <c r="U4967"/>
  <c r="V4966"/>
  <c r="U4966"/>
  <c r="V4965"/>
  <c r="U4965"/>
  <c r="V4964"/>
  <c r="U4964"/>
  <c r="V4963"/>
  <c r="U4963"/>
  <c r="V4962"/>
  <c r="U4962"/>
  <c r="V4961"/>
  <c r="U4961"/>
  <c r="V4960"/>
  <c r="U4960"/>
  <c r="V4959"/>
  <c r="U4959"/>
  <c r="V4958"/>
  <c r="U4958"/>
  <c r="V4957"/>
  <c r="U4957"/>
  <c r="V4956"/>
  <c r="U4956"/>
  <c r="U4955"/>
  <c r="V4954"/>
  <c r="U4954"/>
  <c r="V4953"/>
  <c r="U4953"/>
  <c r="V4952"/>
  <c r="U4952"/>
  <c r="V4951"/>
  <c r="U4951"/>
  <c r="V4950"/>
  <c r="U4950"/>
  <c r="V4949"/>
  <c r="U4949"/>
  <c r="V4948"/>
  <c r="U4948"/>
  <c r="V4947"/>
  <c r="U4947"/>
  <c r="V4946"/>
  <c r="U4946"/>
  <c r="V4945"/>
  <c r="U4945"/>
  <c r="V4944"/>
  <c r="U4944"/>
  <c r="V4943"/>
  <c r="U4943"/>
  <c r="V4942"/>
  <c r="U4942"/>
  <c r="V4941"/>
  <c r="U4941"/>
  <c r="V4940"/>
  <c r="U4940"/>
  <c r="U4939"/>
  <c r="V4938"/>
  <c r="U4938"/>
  <c r="V4937"/>
  <c r="U4937"/>
  <c r="V4936"/>
  <c r="U4936"/>
  <c r="V4935"/>
  <c r="U4935"/>
  <c r="V4934"/>
  <c r="U4934"/>
  <c r="V4933"/>
  <c r="U4933"/>
  <c r="V4932"/>
  <c r="U4932"/>
  <c r="V4931"/>
  <c r="U4931"/>
  <c r="V4930"/>
  <c r="U4930"/>
  <c r="V4929"/>
  <c r="U4929"/>
  <c r="U4928"/>
  <c r="V4927"/>
  <c r="U4927"/>
  <c r="V4926"/>
  <c r="U4926"/>
  <c r="U4925"/>
  <c r="V4924"/>
  <c r="U4924"/>
  <c r="V4923"/>
  <c r="U4923"/>
  <c r="U4922"/>
  <c r="V4921"/>
  <c r="U4921"/>
  <c r="V4920"/>
  <c r="U4920"/>
  <c r="V4919"/>
  <c r="U4919"/>
  <c r="V4918"/>
  <c r="U4918"/>
  <c r="V4917"/>
  <c r="U4917"/>
  <c r="V4916"/>
  <c r="U4916"/>
  <c r="V4915"/>
  <c r="U4915"/>
  <c r="V4914"/>
  <c r="U4914"/>
  <c r="V4913"/>
  <c r="U4913"/>
  <c r="V4912"/>
  <c r="U4912"/>
  <c r="V4911"/>
  <c r="U4911"/>
  <c r="V4910"/>
  <c r="U4910"/>
  <c r="V4909"/>
  <c r="U4909"/>
  <c r="V4908"/>
  <c r="U4908"/>
  <c r="U4907"/>
  <c r="V4906"/>
  <c r="U4906"/>
  <c r="V4905"/>
  <c r="U4905"/>
  <c r="V4904"/>
  <c r="U4904"/>
  <c r="V4903"/>
  <c r="U4903"/>
  <c r="V4902"/>
  <c r="U4902"/>
  <c r="V4901"/>
  <c r="U4901"/>
  <c r="V4900"/>
  <c r="U4900"/>
  <c r="U4899"/>
  <c r="V4898"/>
  <c r="U4898"/>
  <c r="V4897"/>
  <c r="U4897"/>
  <c r="V4896"/>
  <c r="U4896"/>
  <c r="V4895"/>
  <c r="U4895"/>
  <c r="V4894"/>
  <c r="U4894"/>
  <c r="V4893"/>
  <c r="U4893"/>
  <c r="V4892"/>
  <c r="U4892"/>
  <c r="V4891"/>
  <c r="U4891"/>
  <c r="V4890"/>
  <c r="U4890"/>
  <c r="V4889"/>
  <c r="U4889"/>
  <c r="V4888"/>
  <c r="U4888"/>
  <c r="V4887"/>
  <c r="U4887"/>
  <c r="V4886"/>
  <c r="U4886"/>
  <c r="V4885"/>
  <c r="U4885"/>
  <c r="V4884"/>
  <c r="U4884"/>
  <c r="V4883"/>
  <c r="U4883"/>
  <c r="V4882"/>
  <c r="U4882"/>
  <c r="V4881"/>
  <c r="U4881"/>
  <c r="V4880"/>
  <c r="U4880"/>
  <c r="V4879"/>
  <c r="U4879"/>
  <c r="V4878"/>
  <c r="U4878"/>
  <c r="V4877"/>
  <c r="U4877"/>
  <c r="V4876"/>
  <c r="U4876"/>
  <c r="U4875"/>
  <c r="V4874"/>
  <c r="U4874"/>
  <c r="V4873"/>
  <c r="U4873"/>
  <c r="V4872"/>
  <c r="U4872"/>
  <c r="V4871"/>
  <c r="U4871"/>
  <c r="V4870"/>
  <c r="U4870"/>
  <c r="V4869"/>
  <c r="U4869"/>
  <c r="V4868"/>
  <c r="U4868"/>
  <c r="V4867"/>
  <c r="U4867"/>
  <c r="V4866"/>
  <c r="U4866"/>
  <c r="V4865"/>
  <c r="U4865"/>
  <c r="V4864"/>
  <c r="U4864"/>
  <c r="V4863"/>
  <c r="U4863"/>
  <c r="V4862"/>
  <c r="U4862"/>
  <c r="V4861"/>
  <c r="U4861"/>
  <c r="V4860"/>
  <c r="U4860"/>
  <c r="V4859"/>
  <c r="U4859"/>
  <c r="V4858"/>
  <c r="U4858"/>
  <c r="V4857"/>
  <c r="U4857"/>
  <c r="V4856"/>
  <c r="U4856"/>
  <c r="V4855"/>
  <c r="U4855"/>
  <c r="V4854"/>
  <c r="U4854"/>
  <c r="V4853"/>
  <c r="U4853"/>
  <c r="V4852"/>
  <c r="U4852"/>
  <c r="V4851"/>
  <c r="U4851"/>
  <c r="V4850"/>
  <c r="U4850"/>
  <c r="V4849"/>
  <c r="U4849"/>
  <c r="V4848"/>
  <c r="U4848"/>
  <c r="V4847"/>
  <c r="U4847"/>
  <c r="V4846"/>
  <c r="U4846"/>
  <c r="V4845"/>
  <c r="U4845"/>
  <c r="V4844"/>
  <c r="U4844"/>
  <c r="V4843"/>
  <c r="U4843"/>
  <c r="V4842"/>
  <c r="U4842"/>
  <c r="V4841"/>
  <c r="U4841"/>
  <c r="V4840"/>
  <c r="U4840"/>
  <c r="V4839"/>
  <c r="U4839"/>
  <c r="V4838"/>
  <c r="U4838"/>
  <c r="V4837"/>
  <c r="U4837"/>
  <c r="V4836"/>
  <c r="U4836"/>
  <c r="V4835"/>
  <c r="U4835"/>
  <c r="V4834"/>
  <c r="U4834"/>
  <c r="U4833"/>
  <c r="V4832"/>
  <c r="U4832"/>
  <c r="V4831"/>
  <c r="U4831"/>
  <c r="V4830"/>
  <c r="V4829"/>
  <c r="U4829"/>
  <c r="V4828"/>
  <c r="U4828"/>
  <c r="V4827"/>
  <c r="U4827"/>
  <c r="V4826"/>
  <c r="U4826"/>
  <c r="V4825"/>
  <c r="U4825"/>
  <c r="V4824"/>
  <c r="U4824"/>
  <c r="V4823"/>
  <c r="U4823"/>
  <c r="U4822"/>
  <c r="V4821"/>
  <c r="U4821"/>
  <c r="V4820"/>
  <c r="U4820"/>
  <c r="V4819"/>
  <c r="U4819"/>
  <c r="V4818"/>
  <c r="U4818"/>
  <c r="V4817"/>
  <c r="U4817"/>
  <c r="V4816"/>
  <c r="U4816"/>
  <c r="V4815"/>
  <c r="U4815"/>
  <c r="V4814"/>
  <c r="U4814"/>
  <c r="V4813"/>
  <c r="U4813"/>
  <c r="V4812"/>
  <c r="U4812"/>
  <c r="V4811"/>
  <c r="U4811"/>
  <c r="V4810"/>
  <c r="U4810"/>
  <c r="V4809"/>
  <c r="U4809"/>
  <c r="V4808"/>
  <c r="U4808"/>
  <c r="V4807"/>
  <c r="U4807"/>
  <c r="V4806"/>
  <c r="U4806"/>
  <c r="V4805"/>
  <c r="U4805"/>
  <c r="V4804"/>
  <c r="U4804"/>
  <c r="V4803"/>
  <c r="U4803"/>
  <c r="V4802"/>
  <c r="U4802"/>
  <c r="V4801"/>
  <c r="U4801"/>
  <c r="V4800"/>
  <c r="U4800"/>
  <c r="V4799"/>
  <c r="U4799"/>
  <c r="V4798"/>
  <c r="U4798"/>
  <c r="V4797"/>
  <c r="U4797"/>
  <c r="V4796"/>
  <c r="U4796"/>
  <c r="V4795"/>
  <c r="U4795"/>
  <c r="U4794"/>
  <c r="V4793"/>
  <c r="U4793"/>
  <c r="V4792"/>
  <c r="U4792"/>
  <c r="V4791"/>
  <c r="U4791"/>
  <c r="V4790"/>
  <c r="U4790"/>
  <c r="V4789"/>
  <c r="U4789"/>
  <c r="V4788"/>
  <c r="U4788"/>
  <c r="U4787"/>
  <c r="V4786"/>
  <c r="U4786"/>
  <c r="V4785"/>
  <c r="U4785"/>
  <c r="V4784"/>
  <c r="U4784"/>
  <c r="V4783"/>
  <c r="U4783"/>
  <c r="V4782"/>
  <c r="U4782"/>
  <c r="V4781"/>
  <c r="U4781"/>
  <c r="V4780"/>
  <c r="U4780"/>
  <c r="V4779"/>
  <c r="U4779"/>
  <c r="V4778"/>
  <c r="U4778"/>
  <c r="V4777"/>
  <c r="U4777"/>
  <c r="V4776"/>
  <c r="U4776"/>
  <c r="V4775"/>
  <c r="U4775"/>
  <c r="V4774"/>
  <c r="U4774"/>
  <c r="V4773"/>
  <c r="U4773"/>
  <c r="V4772"/>
  <c r="U4772"/>
  <c r="V4771"/>
  <c r="U4771"/>
  <c r="V4770"/>
  <c r="U4770"/>
  <c r="V4769"/>
  <c r="U4769"/>
  <c r="V4768"/>
  <c r="U4768"/>
  <c r="V4767"/>
  <c r="U4767"/>
  <c r="V4766"/>
  <c r="U4766"/>
  <c r="V4765"/>
  <c r="U4765"/>
  <c r="V4764"/>
  <c r="U4764"/>
  <c r="V4763"/>
  <c r="U4763"/>
  <c r="V4762"/>
  <c r="U4762"/>
  <c r="V4761"/>
  <c r="U4761"/>
  <c r="V4760"/>
  <c r="U4760"/>
  <c r="V4759"/>
  <c r="U4759"/>
  <c r="V4758"/>
  <c r="U4758"/>
  <c r="V4757"/>
  <c r="U4757"/>
  <c r="V4756"/>
  <c r="U4756"/>
  <c r="V4755"/>
  <c r="U4755"/>
  <c r="V4754"/>
  <c r="U4754"/>
  <c r="V4753"/>
  <c r="U4753"/>
  <c r="V4752"/>
  <c r="U4752"/>
  <c r="V4751"/>
  <c r="U4751"/>
  <c r="V4750"/>
  <c r="U4750"/>
  <c r="V4749"/>
  <c r="U4749"/>
  <c r="V4748"/>
  <c r="U4748"/>
  <c r="V4747"/>
  <c r="U4747"/>
  <c r="V4746"/>
  <c r="U4746"/>
  <c r="V4745"/>
  <c r="U4745"/>
  <c r="V4744"/>
  <c r="U4744"/>
  <c r="V4743"/>
  <c r="U4743"/>
  <c r="V4742"/>
  <c r="U4742"/>
  <c r="V4741"/>
  <c r="U4741"/>
  <c r="V4740"/>
  <c r="U4740"/>
  <c r="V4739"/>
  <c r="U4739"/>
  <c r="V4738"/>
  <c r="U4738"/>
  <c r="V4737"/>
  <c r="U4737"/>
  <c r="V4736"/>
  <c r="U4736"/>
  <c r="V4735"/>
  <c r="U4735"/>
  <c r="V4734"/>
  <c r="U4734"/>
  <c r="V4733"/>
  <c r="U4733"/>
  <c r="V4732"/>
  <c r="U4732"/>
  <c r="V4731"/>
  <c r="U4731"/>
  <c r="V4730"/>
  <c r="U4730"/>
  <c r="V4729"/>
  <c r="U4729"/>
  <c r="V4728"/>
  <c r="U4728"/>
  <c r="V4727"/>
  <c r="U4727"/>
  <c r="V4726"/>
  <c r="U4726"/>
  <c r="V4725"/>
  <c r="U4725"/>
  <c r="V4724"/>
  <c r="U4724"/>
  <c r="V4723"/>
  <c r="U4723"/>
  <c r="V4722"/>
  <c r="U4722"/>
  <c r="V4721"/>
  <c r="U4721"/>
  <c r="V4720"/>
  <c r="U4720"/>
  <c r="V4719"/>
  <c r="U4719"/>
  <c r="V4718"/>
  <c r="U4718"/>
  <c r="V4717"/>
  <c r="U4717"/>
  <c r="V4716"/>
  <c r="U4716"/>
  <c r="V4715"/>
  <c r="U4715"/>
  <c r="V4714"/>
  <c r="U4714"/>
  <c r="V4713"/>
  <c r="U4713"/>
  <c r="V4712"/>
  <c r="U4712"/>
  <c r="V4711"/>
  <c r="U4711"/>
  <c r="V4710"/>
  <c r="U4710"/>
  <c r="V4709"/>
  <c r="U4709"/>
  <c r="V4708"/>
  <c r="U4708"/>
  <c r="U4707"/>
  <c r="V4706"/>
  <c r="U4706"/>
  <c r="V4705"/>
  <c r="U4705"/>
  <c r="V4704"/>
  <c r="U4704"/>
  <c r="V4703"/>
  <c r="U4703"/>
  <c r="V4702"/>
  <c r="U4702"/>
  <c r="V4701"/>
  <c r="U4701"/>
  <c r="U4700"/>
  <c r="V4699"/>
  <c r="U4699"/>
  <c r="V4698"/>
  <c r="U4698"/>
  <c r="V4697"/>
  <c r="U4697"/>
  <c r="V4696"/>
  <c r="U4696"/>
  <c r="V4695"/>
  <c r="U4695"/>
  <c r="V4694"/>
  <c r="U4694"/>
  <c r="V4693"/>
  <c r="U4693"/>
  <c r="V4692"/>
  <c r="U4692"/>
  <c r="V4691"/>
  <c r="U4691"/>
  <c r="V4690"/>
  <c r="U4690"/>
  <c r="V4689"/>
  <c r="U4689"/>
  <c r="V4688"/>
  <c r="U4688"/>
  <c r="V4687"/>
  <c r="U4687"/>
  <c r="V4686"/>
  <c r="U4686"/>
  <c r="V4685"/>
  <c r="U4685"/>
  <c r="V4684"/>
  <c r="U4684"/>
  <c r="V4683"/>
  <c r="U4683"/>
  <c r="V4682"/>
  <c r="U4682"/>
  <c r="V4681"/>
  <c r="U4681"/>
  <c r="V4680"/>
  <c r="U4680"/>
  <c r="U4679"/>
  <c r="V4678"/>
  <c r="U4678"/>
  <c r="V4677"/>
  <c r="U4677"/>
  <c r="V4676"/>
  <c r="U4676"/>
  <c r="V4675"/>
  <c r="U4675"/>
  <c r="V4674"/>
  <c r="U4674"/>
  <c r="V4673"/>
  <c r="U4673"/>
  <c r="V4672"/>
  <c r="U4672"/>
  <c r="V4671"/>
  <c r="U4671"/>
  <c r="V4670"/>
  <c r="U4670"/>
  <c r="V4669"/>
  <c r="U4669"/>
  <c r="V4668"/>
  <c r="U4668"/>
  <c r="V4667"/>
  <c r="U4667"/>
  <c r="V4666"/>
  <c r="U4666"/>
  <c r="V4665"/>
  <c r="U4665"/>
  <c r="V4664"/>
  <c r="U4664"/>
  <c r="V4663"/>
  <c r="U4663"/>
  <c r="V4662"/>
  <c r="U4662"/>
  <c r="V4661"/>
  <c r="U4661"/>
  <c r="V4660"/>
  <c r="U4660"/>
  <c r="V4659"/>
  <c r="U4659"/>
  <c r="V4658"/>
  <c r="U4658"/>
  <c r="V4657"/>
  <c r="U4657"/>
  <c r="V4656"/>
  <c r="U4656"/>
  <c r="V4655"/>
  <c r="U4655"/>
  <c r="V4654"/>
  <c r="U4654"/>
  <c r="V4653"/>
  <c r="U4653"/>
  <c r="V4652"/>
  <c r="U4652"/>
  <c r="V4651"/>
  <c r="U4651"/>
  <c r="V4650"/>
  <c r="U4650"/>
  <c r="V4649"/>
  <c r="U4649"/>
  <c r="V4648"/>
  <c r="U4648"/>
  <c r="V4647"/>
  <c r="U4647"/>
  <c r="V4646"/>
  <c r="U4646"/>
  <c r="V4645"/>
  <c r="U4645"/>
  <c r="V4644"/>
  <c r="U4644"/>
  <c r="V4643"/>
  <c r="U4643"/>
  <c r="V4642"/>
  <c r="U4642"/>
  <c r="V4641"/>
  <c r="U4641"/>
  <c r="V4640"/>
  <c r="U4640"/>
  <c r="V4639"/>
  <c r="U4639"/>
  <c r="V4638"/>
  <c r="U4638"/>
  <c r="V4637"/>
  <c r="U4637"/>
  <c r="V4636"/>
  <c r="U4636"/>
  <c r="V4635"/>
  <c r="U4635"/>
  <c r="V4634"/>
  <c r="U4634"/>
  <c r="V4633"/>
  <c r="U4633"/>
  <c r="V4632"/>
  <c r="U4632"/>
  <c r="V4631"/>
  <c r="U4631"/>
  <c r="V4630"/>
  <c r="V4629"/>
  <c r="U4629"/>
  <c r="V4628"/>
  <c r="U4628"/>
  <c r="V4627"/>
  <c r="U4627"/>
  <c r="V4626"/>
  <c r="U4626"/>
  <c r="V4625"/>
  <c r="U4625"/>
  <c r="V4624"/>
  <c r="U4624"/>
  <c r="V4623"/>
  <c r="U4623"/>
  <c r="V4622"/>
  <c r="U4622"/>
  <c r="V4621"/>
  <c r="U4621"/>
  <c r="V4620"/>
  <c r="U4620"/>
  <c r="V4619"/>
  <c r="U4619"/>
  <c r="V4618"/>
  <c r="U4618"/>
  <c r="V4617"/>
  <c r="U4617"/>
  <c r="V4616"/>
  <c r="U4616"/>
  <c r="V4615"/>
  <c r="U4615"/>
  <c r="V4614"/>
  <c r="U4614"/>
  <c r="V4613"/>
  <c r="U4613"/>
  <c r="V4612"/>
  <c r="U4612"/>
  <c r="V4611"/>
  <c r="U4611"/>
  <c r="V4610"/>
  <c r="U4610"/>
  <c r="V4609"/>
  <c r="U4609"/>
  <c r="V4608"/>
  <c r="U4608"/>
  <c r="V4607"/>
  <c r="U4607"/>
  <c r="V4606"/>
  <c r="U4606"/>
  <c r="V4605"/>
  <c r="U4605"/>
  <c r="V4604"/>
  <c r="U4604"/>
  <c r="V4603"/>
  <c r="U4603"/>
  <c r="U4602"/>
  <c r="V4601"/>
  <c r="U4601"/>
  <c r="V4600"/>
  <c r="U4600"/>
  <c r="V4599"/>
  <c r="U4599"/>
  <c r="U4598"/>
  <c r="V4597"/>
  <c r="U4597"/>
  <c r="U4596"/>
  <c r="V4595"/>
  <c r="U4595"/>
  <c r="V4594"/>
  <c r="U4594"/>
  <c r="V4593"/>
  <c r="U4593"/>
  <c r="V4592"/>
  <c r="U4592"/>
  <c r="V4591"/>
  <c r="U4591"/>
  <c r="V4590"/>
  <c r="U4590"/>
  <c r="V4589"/>
  <c r="U4589"/>
  <c r="V4588"/>
  <c r="U4588"/>
  <c r="V4587"/>
  <c r="U4587"/>
  <c r="V4586"/>
  <c r="U4586"/>
  <c r="V4585"/>
  <c r="U4585"/>
  <c r="V4584"/>
  <c r="U4584"/>
  <c r="V4583"/>
  <c r="U4583"/>
  <c r="V4582"/>
  <c r="U4582"/>
  <c r="U4581"/>
  <c r="V4580"/>
  <c r="U4580"/>
  <c r="V4579"/>
  <c r="U4579"/>
  <c r="V4578"/>
  <c r="U4578"/>
  <c r="V4577"/>
  <c r="U4577"/>
  <c r="V4576"/>
  <c r="U4576"/>
  <c r="V4575"/>
  <c r="U4575"/>
  <c r="V4574"/>
  <c r="U4574"/>
  <c r="V4573"/>
  <c r="U4573"/>
  <c r="V4572"/>
  <c r="U4572"/>
  <c r="V4571"/>
  <c r="U4571"/>
  <c r="V4570"/>
  <c r="U4570"/>
  <c r="V4569"/>
  <c r="U4569"/>
  <c r="V4568"/>
  <c r="U4568"/>
  <c r="V4567"/>
  <c r="U4567"/>
  <c r="V4566"/>
  <c r="U4566"/>
  <c r="V4565"/>
  <c r="U4565"/>
  <c r="V4564"/>
  <c r="U4564"/>
  <c r="V4563"/>
  <c r="U4563"/>
  <c r="V4562"/>
  <c r="U4562"/>
  <c r="V4561"/>
  <c r="U4561"/>
  <c r="V4560"/>
  <c r="U4560"/>
  <c r="V4559"/>
  <c r="U4559"/>
  <c r="V4558"/>
  <c r="U4558"/>
  <c r="V4557"/>
  <c r="U4557"/>
  <c r="V4556"/>
  <c r="U4556"/>
  <c r="V4555"/>
  <c r="U4555"/>
  <c r="V4554"/>
  <c r="U4554"/>
  <c r="V4553"/>
  <c r="U4553"/>
  <c r="V4552"/>
  <c r="U4552"/>
  <c r="V4551"/>
  <c r="U4551"/>
  <c r="V4550"/>
  <c r="U4550"/>
  <c r="V4549"/>
  <c r="U4549"/>
  <c r="V4548"/>
  <c r="U4548"/>
  <c r="V4547"/>
  <c r="U4547"/>
  <c r="V4546"/>
  <c r="U4546"/>
  <c r="V4545"/>
  <c r="U4545"/>
  <c r="V4544"/>
  <c r="U4544"/>
  <c r="V4543"/>
  <c r="U4543"/>
  <c r="V4542"/>
  <c r="U4542"/>
  <c r="V4541"/>
  <c r="U4541"/>
  <c r="V4540"/>
  <c r="U4540"/>
  <c r="V4539"/>
  <c r="U4539"/>
  <c r="U4538"/>
  <c r="V4537"/>
  <c r="V4536"/>
  <c r="U4536"/>
  <c r="V4535"/>
  <c r="U4535"/>
  <c r="V4534"/>
  <c r="U4534"/>
  <c r="V4533"/>
  <c r="U4533"/>
  <c r="V4532"/>
  <c r="U4532"/>
  <c r="V4531"/>
  <c r="U4531"/>
  <c r="V4530"/>
  <c r="U4530"/>
  <c r="V4529"/>
  <c r="U4529"/>
  <c r="V4528"/>
  <c r="U4528"/>
  <c r="V4527"/>
  <c r="U4527"/>
  <c r="V4526"/>
  <c r="U4526"/>
  <c r="V4525"/>
  <c r="U4525"/>
  <c r="V4524"/>
  <c r="U4524"/>
  <c r="V4523"/>
  <c r="U4523"/>
  <c r="V4522"/>
  <c r="U4522"/>
  <c r="V4521"/>
  <c r="U4521"/>
  <c r="V4520"/>
  <c r="U4520"/>
  <c r="V4519"/>
  <c r="U4519"/>
  <c r="V4518"/>
  <c r="U4518"/>
  <c r="V4517"/>
  <c r="U4517"/>
  <c r="V4516"/>
  <c r="U4516"/>
  <c r="V4515"/>
  <c r="U4515"/>
  <c r="V4514"/>
  <c r="U4514"/>
  <c r="V4513"/>
  <c r="U4513"/>
  <c r="V4512"/>
  <c r="U4512"/>
  <c r="V4511"/>
  <c r="U4511"/>
  <c r="V4510"/>
  <c r="U4510"/>
  <c r="V4509"/>
  <c r="U4509"/>
  <c r="V4508"/>
  <c r="U4508"/>
  <c r="V4507"/>
  <c r="U4507"/>
  <c r="V4506"/>
  <c r="U4506"/>
  <c r="V4505"/>
  <c r="U4505"/>
  <c r="V4504"/>
  <c r="U4504"/>
  <c r="V4503"/>
  <c r="U4503"/>
  <c r="U4502"/>
  <c r="V4501"/>
  <c r="U4501"/>
  <c r="V4500"/>
  <c r="U4500"/>
  <c r="V4499"/>
  <c r="U4499"/>
  <c r="V4498"/>
  <c r="U4498"/>
  <c r="V4497"/>
  <c r="U4497"/>
  <c r="V4496"/>
  <c r="U4496"/>
  <c r="V4495"/>
  <c r="U4495"/>
  <c r="V4494"/>
  <c r="U4494"/>
  <c r="V4493"/>
  <c r="U4493"/>
  <c r="V4492"/>
  <c r="U4492"/>
  <c r="V4491"/>
  <c r="U4491"/>
  <c r="V4490"/>
  <c r="U4490"/>
  <c r="V4489"/>
  <c r="U4489"/>
  <c r="V4488"/>
  <c r="U4488"/>
  <c r="V4487"/>
  <c r="U4487"/>
  <c r="V4486"/>
  <c r="U4486"/>
  <c r="V4485"/>
  <c r="U4485"/>
  <c r="V4484"/>
  <c r="U4484"/>
  <c r="V4483"/>
  <c r="U4483"/>
  <c r="V4482"/>
  <c r="U4482"/>
  <c r="U4481"/>
  <c r="V4480"/>
  <c r="U4480"/>
  <c r="V4479"/>
  <c r="U4479"/>
  <c r="V4478"/>
  <c r="U4478"/>
  <c r="V4477"/>
  <c r="U4477"/>
  <c r="V4476"/>
  <c r="U4476"/>
  <c r="V4475"/>
  <c r="U4475"/>
  <c r="V4474"/>
  <c r="U4474"/>
  <c r="V4473"/>
  <c r="U4473"/>
  <c r="V4472"/>
  <c r="U4472"/>
  <c r="V4471"/>
  <c r="U4471"/>
  <c r="V4470"/>
  <c r="V4469"/>
  <c r="U4469"/>
  <c r="V4468"/>
  <c r="U4468"/>
  <c r="V4467"/>
  <c r="U4467"/>
  <c r="V4466"/>
  <c r="U4466"/>
  <c r="U4465"/>
  <c r="V4464"/>
  <c r="U4464"/>
  <c r="V4463"/>
  <c r="U4463"/>
  <c r="V4462"/>
  <c r="U4462"/>
  <c r="V4461"/>
  <c r="U4461"/>
  <c r="V4460"/>
  <c r="U4460"/>
  <c r="V4459"/>
  <c r="U4459"/>
  <c r="V4458"/>
  <c r="U4458"/>
  <c r="V4457"/>
  <c r="U4457"/>
  <c r="V4456"/>
  <c r="U4456"/>
  <c r="V4455"/>
  <c r="U4455"/>
  <c r="V4454"/>
  <c r="U4454"/>
  <c r="V4453"/>
  <c r="U4453"/>
  <c r="V4452"/>
  <c r="U4452"/>
  <c r="V4451"/>
  <c r="U4451"/>
  <c r="V4450"/>
  <c r="U4450"/>
  <c r="V4449"/>
  <c r="U4449"/>
  <c r="V4448"/>
  <c r="U4448"/>
  <c r="V4447"/>
  <c r="U4447"/>
  <c r="U4446"/>
  <c r="V4445"/>
  <c r="U4445"/>
  <c r="V4444"/>
  <c r="U4444"/>
  <c r="V4443"/>
  <c r="U4443"/>
  <c r="V4442"/>
  <c r="U4442"/>
  <c r="V4441"/>
  <c r="U4441"/>
  <c r="V4440"/>
  <c r="U4440"/>
  <c r="V4439"/>
  <c r="U4439"/>
  <c r="U4438"/>
  <c r="V4437"/>
  <c r="U4437"/>
  <c r="V4436"/>
  <c r="U4436"/>
  <c r="V4435"/>
  <c r="U4435"/>
  <c r="V4434"/>
  <c r="U4434"/>
  <c r="V4433"/>
  <c r="U4433"/>
  <c r="V4432"/>
  <c r="U4432"/>
  <c r="V4431"/>
  <c r="U4431"/>
  <c r="V4430"/>
  <c r="U4430"/>
  <c r="V4429"/>
  <c r="U4429"/>
  <c r="V4428"/>
  <c r="U4428"/>
  <c r="V4427"/>
  <c r="U4427"/>
  <c r="V4426"/>
  <c r="U4426"/>
  <c r="V4425"/>
  <c r="U4425"/>
  <c r="V4424"/>
  <c r="U4424"/>
  <c r="U4423"/>
  <c r="V4422"/>
  <c r="U4422"/>
  <c r="V4421"/>
  <c r="U4421"/>
  <c r="V4420"/>
  <c r="U4420"/>
  <c r="V4419"/>
  <c r="U4419"/>
  <c r="V4418"/>
  <c r="U4418"/>
  <c r="V4417"/>
  <c r="U4417"/>
  <c r="V4416"/>
  <c r="U4416"/>
  <c r="V4415"/>
  <c r="U4415"/>
  <c r="V4414"/>
  <c r="U4414"/>
  <c r="V4413"/>
  <c r="U4413"/>
  <c r="V4412"/>
  <c r="U4412"/>
  <c r="V4411"/>
  <c r="U4411"/>
  <c r="V4410"/>
  <c r="U4410"/>
  <c r="V4409"/>
  <c r="U4409"/>
  <c r="V4408"/>
  <c r="U4408"/>
  <c r="V4407"/>
  <c r="U4407"/>
  <c r="V4406"/>
  <c r="U4406"/>
  <c r="V4405"/>
  <c r="U4405"/>
  <c r="V4404"/>
  <c r="U4404"/>
  <c r="U4403"/>
  <c r="V4402"/>
  <c r="U4402"/>
  <c r="V4401"/>
  <c r="U4401"/>
  <c r="V4400"/>
  <c r="U4400"/>
  <c r="V4399"/>
  <c r="U4399"/>
  <c r="U4398"/>
  <c r="V4397"/>
  <c r="U4397"/>
  <c r="V4396"/>
  <c r="U4396"/>
  <c r="V4395"/>
  <c r="U4395"/>
  <c r="V4394"/>
  <c r="U4394"/>
  <c r="V4393"/>
  <c r="U4393"/>
  <c r="V4392"/>
  <c r="U4392"/>
  <c r="V4391"/>
  <c r="U4391"/>
  <c r="V4390"/>
  <c r="U4390"/>
  <c r="V4389"/>
  <c r="U4389"/>
  <c r="V4388"/>
  <c r="U4388"/>
  <c r="V4387"/>
  <c r="U4387"/>
  <c r="V4386"/>
  <c r="U4386"/>
  <c r="U4385"/>
  <c r="U4384"/>
  <c r="V4383"/>
  <c r="U4383"/>
  <c r="V4382"/>
  <c r="U4382"/>
  <c r="V4381"/>
  <c r="U4381"/>
  <c r="V4380"/>
  <c r="U4380"/>
  <c r="V4379"/>
  <c r="U4379"/>
  <c r="V4378"/>
  <c r="U4378"/>
  <c r="V4377"/>
  <c r="U4377"/>
  <c r="V4376"/>
  <c r="U4376"/>
  <c r="V4375"/>
  <c r="U4375"/>
  <c r="V4374"/>
  <c r="U4374"/>
  <c r="V4373"/>
  <c r="U4373"/>
  <c r="V4372"/>
  <c r="U4372"/>
  <c r="V4371"/>
  <c r="U4371"/>
  <c r="V4370"/>
  <c r="U4370"/>
  <c r="V4369"/>
  <c r="U4369"/>
  <c r="V4368"/>
  <c r="U4368"/>
  <c r="V4367"/>
  <c r="U4367"/>
  <c r="V4366"/>
  <c r="U4366"/>
  <c r="V4365"/>
  <c r="U4365"/>
  <c r="V4364"/>
  <c r="U4364"/>
  <c r="V4363"/>
  <c r="U4363"/>
  <c r="V4362"/>
  <c r="U4362"/>
  <c r="V4361"/>
  <c r="U4361"/>
  <c r="V4360"/>
  <c r="U4360"/>
  <c r="V4359"/>
  <c r="U4359"/>
  <c r="U4358"/>
  <c r="V4357"/>
  <c r="U4357"/>
  <c r="V4356"/>
  <c r="U4356"/>
  <c r="V4355"/>
  <c r="U4355"/>
  <c r="V4354"/>
  <c r="U4354"/>
  <c r="V4353"/>
  <c r="U4353"/>
  <c r="V4352"/>
  <c r="U4352"/>
  <c r="V4351"/>
  <c r="U4351"/>
  <c r="V4350"/>
  <c r="U4350"/>
  <c r="V4349"/>
  <c r="U4349"/>
  <c r="V4348"/>
  <c r="U4348"/>
  <c r="V4347"/>
  <c r="U4347"/>
  <c r="U4346"/>
  <c r="V4345"/>
  <c r="U4345"/>
  <c r="V4344"/>
  <c r="U4344"/>
  <c r="V4343"/>
  <c r="U4343"/>
  <c r="V4342"/>
  <c r="U4342"/>
  <c r="V4341"/>
  <c r="U4341"/>
  <c r="V4340"/>
  <c r="U4340"/>
  <c r="V4339"/>
  <c r="U4339"/>
  <c r="U4338"/>
  <c r="U4337"/>
  <c r="V4336"/>
  <c r="U4336"/>
  <c r="V4335"/>
  <c r="U4335"/>
  <c r="V4334"/>
  <c r="U4334"/>
  <c r="V4333"/>
  <c r="U4333"/>
  <c r="V4332"/>
  <c r="U4332"/>
  <c r="V4331"/>
  <c r="U4331"/>
  <c r="V4330"/>
  <c r="U4330"/>
  <c r="V4329"/>
  <c r="U4329"/>
  <c r="V4328"/>
  <c r="U4328"/>
  <c r="V4327"/>
  <c r="U4327"/>
  <c r="V4326"/>
  <c r="U4326"/>
  <c r="V4325"/>
  <c r="U4325"/>
  <c r="V4324"/>
  <c r="U4324"/>
  <c r="U4323"/>
  <c r="V4322"/>
  <c r="U4322"/>
  <c r="V4321"/>
  <c r="U4321"/>
  <c r="V4320"/>
  <c r="U4320"/>
  <c r="V4319"/>
  <c r="U4319"/>
  <c r="V4318"/>
  <c r="U4318"/>
  <c r="V4317"/>
  <c r="U4317"/>
  <c r="V4316"/>
  <c r="U4316"/>
  <c r="V4315"/>
  <c r="U4315"/>
  <c r="V4314"/>
  <c r="U4314"/>
  <c r="V4313"/>
  <c r="U4313"/>
  <c r="V4312"/>
  <c r="U4312"/>
  <c r="V4311"/>
  <c r="U4311"/>
  <c r="V4310"/>
  <c r="U4310"/>
  <c r="V4309"/>
  <c r="U4309"/>
  <c r="V4308"/>
  <c r="U4308"/>
  <c r="U4307"/>
  <c r="V4306"/>
  <c r="U4306"/>
  <c r="V4305"/>
  <c r="U4305"/>
  <c r="V4304"/>
  <c r="U4304"/>
  <c r="V4303"/>
  <c r="U4303"/>
  <c r="V4302"/>
  <c r="U4302"/>
  <c r="V4301"/>
  <c r="U4301"/>
  <c r="V4300"/>
  <c r="U4300"/>
  <c r="V4299"/>
  <c r="U4299"/>
  <c r="V4298"/>
  <c r="U4298"/>
  <c r="V4297"/>
  <c r="U4297"/>
  <c r="V4296"/>
  <c r="U4296"/>
  <c r="V4295"/>
  <c r="U4295"/>
  <c r="U4294"/>
  <c r="V4293"/>
  <c r="U4293"/>
  <c r="V4292"/>
  <c r="U4292"/>
  <c r="V4291"/>
  <c r="U4291"/>
  <c r="V4290"/>
  <c r="U4290"/>
  <c r="V4289"/>
  <c r="U4289"/>
  <c r="V4288"/>
  <c r="U4288"/>
  <c r="V4287"/>
  <c r="U4287"/>
  <c r="V4286"/>
  <c r="U4286"/>
  <c r="V4285"/>
  <c r="U4285"/>
  <c r="V4284"/>
  <c r="U4284"/>
  <c r="V4283"/>
  <c r="U4283"/>
  <c r="V4282"/>
  <c r="U4282"/>
  <c r="V4281"/>
  <c r="U4281"/>
  <c r="V4280"/>
  <c r="U4280"/>
  <c r="V4279"/>
  <c r="U4279"/>
  <c r="V4278"/>
  <c r="U4278"/>
  <c r="V4277"/>
  <c r="U4277"/>
  <c r="V4276"/>
  <c r="U4276"/>
  <c r="V4275"/>
  <c r="U4275"/>
  <c r="V4274"/>
  <c r="U4274"/>
  <c r="V4273"/>
  <c r="U4273"/>
  <c r="V4272"/>
  <c r="U4272"/>
  <c r="U4271"/>
  <c r="V4270"/>
  <c r="U4270"/>
  <c r="V4269"/>
  <c r="U4269"/>
  <c r="V4268"/>
  <c r="U4268"/>
  <c r="V4267"/>
  <c r="U4267"/>
  <c r="V4266"/>
  <c r="U4266"/>
  <c r="V4265"/>
  <c r="U4265"/>
  <c r="V4264"/>
  <c r="U4264"/>
  <c r="V4263"/>
  <c r="U4263"/>
  <c r="V4262"/>
  <c r="U4262"/>
  <c r="V4261"/>
  <c r="U4261"/>
  <c r="V4260"/>
  <c r="U4260"/>
  <c r="V4259"/>
  <c r="U4259"/>
  <c r="V4258"/>
  <c r="U4258"/>
  <c r="V4257"/>
  <c r="U4257"/>
  <c r="V4256"/>
  <c r="U4256"/>
  <c r="V4255"/>
  <c r="U4255"/>
  <c r="V4254"/>
  <c r="U4254"/>
  <c r="V4253"/>
  <c r="U4253"/>
  <c r="V4252"/>
  <c r="U4252"/>
  <c r="V4251"/>
  <c r="U4251"/>
  <c r="V4250"/>
  <c r="U4250"/>
  <c r="V4249"/>
  <c r="U4249"/>
  <c r="V4248"/>
  <c r="U4248"/>
  <c r="V4247"/>
  <c r="U4247"/>
  <c r="V4246"/>
  <c r="U4246"/>
  <c r="V4245"/>
  <c r="U4245"/>
  <c r="V4244"/>
  <c r="U4244"/>
  <c r="V4243"/>
  <c r="U4243"/>
  <c r="V4242"/>
  <c r="U4242"/>
  <c r="V4241"/>
  <c r="U4241"/>
  <c r="V4240"/>
  <c r="U4240"/>
  <c r="V4239"/>
  <c r="U4239"/>
  <c r="V4238"/>
  <c r="U4238"/>
  <c r="V4237"/>
  <c r="U4237"/>
  <c r="V4236"/>
  <c r="U4236"/>
  <c r="V4235"/>
  <c r="U4235"/>
  <c r="V4234"/>
  <c r="U4234"/>
  <c r="V4233"/>
  <c r="U4233"/>
  <c r="V4232"/>
  <c r="U4232"/>
  <c r="V4231"/>
  <c r="U4231"/>
  <c r="V4230"/>
  <c r="U4230"/>
  <c r="V4229"/>
  <c r="U4229"/>
  <c r="V4228"/>
  <c r="U4228"/>
  <c r="V4227"/>
  <c r="U4227"/>
  <c r="V4226"/>
  <c r="U4226"/>
  <c r="V4225"/>
  <c r="U4225"/>
  <c r="V4224"/>
  <c r="U4224"/>
  <c r="V4223"/>
  <c r="V4222"/>
  <c r="U4222"/>
  <c r="V4221"/>
  <c r="U4221"/>
  <c r="V4220"/>
  <c r="U4220"/>
  <c r="U4219"/>
  <c r="V4218"/>
  <c r="U4218"/>
  <c r="V4217"/>
  <c r="U4217"/>
  <c r="V4216"/>
  <c r="U4216"/>
  <c r="V4215"/>
  <c r="U4215"/>
  <c r="V4214"/>
  <c r="U4214"/>
  <c r="V4213"/>
  <c r="U4213"/>
  <c r="V4212"/>
  <c r="U4212"/>
  <c r="V4211"/>
  <c r="U4211"/>
  <c r="U4210"/>
  <c r="V4209"/>
  <c r="U4209"/>
  <c r="V4208"/>
  <c r="U4208"/>
  <c r="V4207"/>
  <c r="U4207"/>
  <c r="V4206"/>
  <c r="U4206"/>
  <c r="V4205"/>
  <c r="U4205"/>
  <c r="V4204"/>
  <c r="U4204"/>
  <c r="V4203"/>
  <c r="U4203"/>
  <c r="V4202"/>
  <c r="U4202"/>
  <c r="V4201"/>
  <c r="U4201"/>
  <c r="V4200"/>
  <c r="U4200"/>
  <c r="V4199"/>
  <c r="U4199"/>
  <c r="V4198"/>
  <c r="U4198"/>
  <c r="V4197"/>
  <c r="U4197"/>
  <c r="V4196"/>
  <c r="U4196"/>
  <c r="V4195"/>
  <c r="U4195"/>
  <c r="V4194"/>
  <c r="U4194"/>
  <c r="V4193"/>
  <c r="U4193"/>
  <c r="V4192"/>
  <c r="V4191"/>
  <c r="U4191"/>
  <c r="V4190"/>
  <c r="U4190"/>
  <c r="V4189"/>
  <c r="U4189"/>
  <c r="V4188"/>
  <c r="U4188"/>
  <c r="V4187"/>
  <c r="U4187"/>
  <c r="V4186"/>
  <c r="U4186"/>
  <c r="V4185"/>
  <c r="U4185"/>
  <c r="V4184"/>
  <c r="U4184"/>
  <c r="V4183"/>
  <c r="U4183"/>
  <c r="V4182"/>
  <c r="U4182"/>
  <c r="V4181"/>
  <c r="U4181"/>
  <c r="V4180"/>
  <c r="U4180"/>
  <c r="V4179"/>
  <c r="U4179"/>
  <c r="V4178"/>
  <c r="U4178"/>
  <c r="V4177"/>
  <c r="U4177"/>
  <c r="U4176"/>
  <c r="V4175"/>
  <c r="U4175"/>
  <c r="V4174"/>
  <c r="U4174"/>
  <c r="V4173"/>
  <c r="U4173"/>
  <c r="V4172"/>
  <c r="U4172"/>
  <c r="V4171"/>
  <c r="U4171"/>
  <c r="V4170"/>
  <c r="U4170"/>
  <c r="V4169"/>
  <c r="U4169"/>
  <c r="V4168"/>
  <c r="U4168"/>
  <c r="V4167"/>
  <c r="U4167"/>
  <c r="V4166"/>
  <c r="U4166"/>
  <c r="V4165"/>
  <c r="U4165"/>
  <c r="V4164"/>
  <c r="U4164"/>
  <c r="U4163"/>
  <c r="V4162"/>
  <c r="U4162"/>
  <c r="V4161"/>
  <c r="U4161"/>
  <c r="V4160"/>
  <c r="U4160"/>
  <c r="V4159"/>
  <c r="U4159"/>
  <c r="V4158"/>
  <c r="U4158"/>
  <c r="V4157"/>
  <c r="U4157"/>
  <c r="V4156"/>
  <c r="U4156"/>
  <c r="V4155"/>
  <c r="U4155"/>
  <c r="V4154"/>
  <c r="U4154"/>
  <c r="V4153"/>
  <c r="U4153"/>
  <c r="V4152"/>
  <c r="U4152"/>
  <c r="V4151"/>
  <c r="U4151"/>
  <c r="V4150"/>
  <c r="U4150"/>
  <c r="V4149"/>
  <c r="U4149"/>
  <c r="V4148"/>
  <c r="U4148"/>
  <c r="V4147"/>
  <c r="U4147"/>
  <c r="V4146"/>
  <c r="U4146"/>
  <c r="V4145"/>
  <c r="U4145"/>
  <c r="U4144"/>
  <c r="V4143"/>
  <c r="U4143"/>
  <c r="V4142"/>
  <c r="U4142"/>
  <c r="V4141"/>
  <c r="U4141"/>
  <c r="V4140"/>
  <c r="U4140"/>
  <c r="V4139"/>
  <c r="U4139"/>
  <c r="V4138"/>
  <c r="U4138"/>
  <c r="V4137"/>
  <c r="U4137"/>
  <c r="V4136"/>
  <c r="U4136"/>
  <c r="V4135"/>
  <c r="U4135"/>
  <c r="V4134"/>
  <c r="U4134"/>
  <c r="V4133"/>
  <c r="U4133"/>
  <c r="V4132"/>
  <c r="U4132"/>
  <c r="V4131"/>
  <c r="U4131"/>
  <c r="V4130"/>
  <c r="U4130"/>
  <c r="V4129"/>
  <c r="U4129"/>
  <c r="V4128"/>
  <c r="U4128"/>
  <c r="V4127"/>
  <c r="U4127"/>
  <c r="V4126"/>
  <c r="U4126"/>
  <c r="V4125"/>
  <c r="U4125"/>
  <c r="V4124"/>
  <c r="U4124"/>
  <c r="V4123"/>
  <c r="U4123"/>
  <c r="V4122"/>
  <c r="U4122"/>
  <c r="U4121"/>
  <c r="V4120"/>
  <c r="U4120"/>
  <c r="U4119"/>
  <c r="V4118"/>
  <c r="U4118"/>
  <c r="V4117"/>
  <c r="U4117"/>
  <c r="U4116"/>
  <c r="V4115"/>
  <c r="U4115"/>
  <c r="U4114"/>
  <c r="V4113"/>
  <c r="U4113"/>
  <c r="V4112"/>
  <c r="U4112"/>
  <c r="V4111"/>
  <c r="U4111"/>
  <c r="V4110"/>
  <c r="U4110"/>
  <c r="V4109"/>
  <c r="U4109"/>
  <c r="V4108"/>
  <c r="U4108"/>
  <c r="V4107"/>
  <c r="U4107"/>
  <c r="V4106"/>
  <c r="U4106"/>
  <c r="V4105"/>
  <c r="U4105"/>
  <c r="V4104"/>
  <c r="U4104"/>
  <c r="V4103"/>
  <c r="U4103"/>
  <c r="V4102"/>
  <c r="U4102"/>
  <c r="V4101"/>
  <c r="U4101"/>
  <c r="V4100"/>
  <c r="U4100"/>
  <c r="V4099"/>
  <c r="U4099"/>
  <c r="V4098"/>
  <c r="U4098"/>
  <c r="V4097"/>
  <c r="U4097"/>
  <c r="V4096"/>
  <c r="U4096"/>
  <c r="V4095"/>
  <c r="U4095"/>
  <c r="V4094"/>
  <c r="U4094"/>
  <c r="V4093"/>
  <c r="U4093"/>
  <c r="V4092"/>
  <c r="U4092"/>
  <c r="V4091"/>
  <c r="U4091"/>
  <c r="V4090"/>
  <c r="U4090"/>
  <c r="V4089"/>
  <c r="U4089"/>
  <c r="V4088"/>
  <c r="U4088"/>
  <c r="V4087"/>
  <c r="U4087"/>
  <c r="V4086"/>
  <c r="U4086"/>
  <c r="V4085"/>
  <c r="U4085"/>
  <c r="V4084"/>
  <c r="U4084"/>
  <c r="V4083"/>
  <c r="U4083"/>
  <c r="V4082"/>
  <c r="U4082"/>
  <c r="V4081"/>
  <c r="U4081"/>
  <c r="V4080"/>
  <c r="U4080"/>
  <c r="V4079"/>
  <c r="U4079"/>
  <c r="V4078"/>
  <c r="U4078"/>
  <c r="V4077"/>
  <c r="U4077"/>
  <c r="V4076"/>
  <c r="U4076"/>
  <c r="V4075"/>
  <c r="U4075"/>
  <c r="V4074"/>
  <c r="U4074"/>
  <c r="V4073"/>
  <c r="U4073"/>
  <c r="V4072"/>
  <c r="U4072"/>
  <c r="V4071"/>
  <c r="U4071"/>
  <c r="V4070"/>
  <c r="U4070"/>
  <c r="V4069"/>
  <c r="U4069"/>
  <c r="V4068"/>
  <c r="U4068"/>
  <c r="V4067"/>
  <c r="U4067"/>
  <c r="V4066"/>
  <c r="U4066"/>
  <c r="U4065"/>
  <c r="V4064"/>
  <c r="U4064"/>
  <c r="V4063"/>
  <c r="U4063"/>
  <c r="U4062"/>
  <c r="V4061"/>
  <c r="U4061"/>
  <c r="V4060"/>
  <c r="U4060"/>
  <c r="V4059"/>
  <c r="U4059"/>
  <c r="V4058"/>
  <c r="U4058"/>
  <c r="V4057"/>
  <c r="U4057"/>
  <c r="V4056"/>
  <c r="U4056"/>
  <c r="V4055"/>
  <c r="V4054"/>
  <c r="U4054"/>
  <c r="V4053"/>
  <c r="U4053"/>
  <c r="V4052"/>
  <c r="U4052"/>
  <c r="V4051"/>
  <c r="U4051"/>
  <c r="V4050"/>
  <c r="U4050"/>
  <c r="V4049"/>
  <c r="U4049"/>
  <c r="V4048"/>
  <c r="U4048"/>
  <c r="V4047"/>
  <c r="U4047"/>
  <c r="V4046"/>
  <c r="U4046"/>
  <c r="V4045"/>
  <c r="U4045"/>
  <c r="U4044"/>
  <c r="V4043"/>
  <c r="U4043"/>
  <c r="V4042"/>
  <c r="U4042"/>
  <c r="V4041"/>
  <c r="U4041"/>
  <c r="V4040"/>
  <c r="U4040"/>
  <c r="V4039"/>
  <c r="U4039"/>
  <c r="V4038"/>
  <c r="U4038"/>
  <c r="V4037"/>
  <c r="U4037"/>
  <c r="V4036"/>
  <c r="U4036"/>
  <c r="U4035"/>
  <c r="V4034"/>
  <c r="U4034"/>
  <c r="U4033"/>
  <c r="V4032"/>
  <c r="U4032"/>
  <c r="V4031"/>
  <c r="U4031"/>
  <c r="V4030"/>
  <c r="U4030"/>
  <c r="V4029"/>
  <c r="U4029"/>
  <c r="V4028"/>
  <c r="U4028"/>
  <c r="V4027"/>
  <c r="U4027"/>
  <c r="V4026"/>
  <c r="U4026"/>
  <c r="V4025"/>
  <c r="U4025"/>
  <c r="V4024"/>
  <c r="U4024"/>
  <c r="V4023"/>
  <c r="U4023"/>
  <c r="V4022"/>
  <c r="U4022"/>
  <c r="V4021"/>
  <c r="U4021"/>
  <c r="V4020"/>
  <c r="U4020"/>
  <c r="V4019"/>
  <c r="U4019"/>
  <c r="V4018"/>
  <c r="U4018"/>
  <c r="V4017"/>
  <c r="U4017"/>
  <c r="V4016"/>
  <c r="U4016"/>
  <c r="V4015"/>
  <c r="U4015"/>
  <c r="V4014"/>
  <c r="U4014"/>
  <c r="V4013"/>
  <c r="U4013"/>
  <c r="V4012"/>
  <c r="U4012"/>
  <c r="V4011"/>
  <c r="U4011"/>
  <c r="V4010"/>
  <c r="U4010"/>
  <c r="V4009"/>
  <c r="U4009"/>
  <c r="V4008"/>
  <c r="U4008"/>
  <c r="V4007"/>
  <c r="U4007"/>
  <c r="V4006"/>
  <c r="U4006"/>
  <c r="V4005"/>
  <c r="U4005"/>
  <c r="V4004"/>
  <c r="U4004"/>
  <c r="V4003"/>
  <c r="U4003"/>
  <c r="V4002"/>
  <c r="U4002"/>
  <c r="V4001"/>
  <c r="U4001"/>
  <c r="V4000"/>
  <c r="U4000"/>
  <c r="U3999"/>
  <c r="V3998"/>
  <c r="U3998"/>
  <c r="V3997"/>
  <c r="U3997"/>
  <c r="V3996"/>
  <c r="U3996"/>
  <c r="V3995"/>
  <c r="U3995"/>
  <c r="V3994"/>
  <c r="U3994"/>
  <c r="V3993"/>
  <c r="U3993"/>
  <c r="V3992"/>
  <c r="U3992"/>
  <c r="V3991"/>
  <c r="U3991"/>
  <c r="V3990"/>
  <c r="U3990"/>
  <c r="V3989"/>
  <c r="U3989"/>
  <c r="V3988"/>
  <c r="U3988"/>
  <c r="V3987"/>
  <c r="U3987"/>
  <c r="V3986"/>
  <c r="U3986"/>
  <c r="V3985"/>
  <c r="U3985"/>
  <c r="V3984"/>
  <c r="U3984"/>
  <c r="V3983"/>
  <c r="U3983"/>
  <c r="V3982"/>
  <c r="U3982"/>
  <c r="V3981"/>
  <c r="U3981"/>
  <c r="V3980"/>
  <c r="U3980"/>
  <c r="V3979"/>
  <c r="U3979"/>
  <c r="V3978"/>
  <c r="U3978"/>
  <c r="V3977"/>
  <c r="U3977"/>
  <c r="V3976"/>
  <c r="U3976"/>
  <c r="V3975"/>
  <c r="U3975"/>
  <c r="V3974"/>
  <c r="U3974"/>
  <c r="U3973"/>
  <c r="U3972"/>
  <c r="V3971"/>
  <c r="U3971"/>
  <c r="V3970"/>
  <c r="U3970"/>
  <c r="V3969"/>
  <c r="U3969"/>
  <c r="V3968"/>
  <c r="U3968"/>
  <c r="V3967"/>
  <c r="U3967"/>
  <c r="V3966"/>
  <c r="U3966"/>
  <c r="V3965"/>
  <c r="U3965"/>
  <c r="V3964"/>
  <c r="U3964"/>
  <c r="V3963"/>
  <c r="U3963"/>
  <c r="U3962"/>
  <c r="V3961"/>
  <c r="U3961"/>
  <c r="V3960"/>
  <c r="U3960"/>
  <c r="V3959"/>
  <c r="U3959"/>
  <c r="V3958"/>
  <c r="U3958"/>
  <c r="V3957"/>
  <c r="U3957"/>
  <c r="V3956"/>
  <c r="U3956"/>
  <c r="V3955"/>
  <c r="U3955"/>
  <c r="V3954"/>
  <c r="U3954"/>
  <c r="V3953"/>
  <c r="U3953"/>
  <c r="V3952"/>
  <c r="U3952"/>
  <c r="V3951"/>
  <c r="U3951"/>
  <c r="V3950"/>
  <c r="U3950"/>
  <c r="V3949"/>
  <c r="U3949"/>
  <c r="V3948"/>
  <c r="U3948"/>
  <c r="V3947"/>
  <c r="U3947"/>
  <c r="V3946"/>
  <c r="U3946"/>
  <c r="V3945"/>
  <c r="U3945"/>
  <c r="V3944"/>
  <c r="U3944"/>
  <c r="V3943"/>
  <c r="U3943"/>
  <c r="V3942"/>
  <c r="U3942"/>
  <c r="V3941"/>
  <c r="U3941"/>
  <c r="V3940"/>
  <c r="U3940"/>
  <c r="V3939"/>
  <c r="U3939"/>
  <c r="V3938"/>
  <c r="U3938"/>
  <c r="V3937"/>
  <c r="U3937"/>
  <c r="U3936"/>
  <c r="V3935"/>
  <c r="U3935"/>
  <c r="V3934"/>
  <c r="U3934"/>
  <c r="V3933"/>
  <c r="U3933"/>
  <c r="V3932"/>
  <c r="U3932"/>
  <c r="V3931"/>
  <c r="U3931"/>
  <c r="V3930"/>
  <c r="U3930"/>
  <c r="V3929"/>
  <c r="U3929"/>
  <c r="V3928"/>
  <c r="U3928"/>
  <c r="V3927"/>
  <c r="U3927"/>
  <c r="V3926"/>
  <c r="U3926"/>
  <c r="V3925"/>
  <c r="U3925"/>
  <c r="V3924"/>
  <c r="U3924"/>
  <c r="V3923"/>
  <c r="U3923"/>
  <c r="V3922"/>
  <c r="U3922"/>
  <c r="U3921"/>
  <c r="U3920"/>
  <c r="V3919"/>
  <c r="U3919"/>
  <c r="V3918"/>
  <c r="U3918"/>
  <c r="V3917"/>
  <c r="U3917"/>
  <c r="V3916"/>
  <c r="U3916"/>
  <c r="V3915"/>
  <c r="U3915"/>
  <c r="V3914"/>
  <c r="U3914"/>
  <c r="V3913"/>
  <c r="U3913"/>
  <c r="V3912"/>
  <c r="U3912"/>
  <c r="V3911"/>
  <c r="U3911"/>
  <c r="V3910"/>
  <c r="U3910"/>
  <c r="U3909"/>
  <c r="V3908"/>
  <c r="U3908"/>
  <c r="V3907"/>
  <c r="U3907"/>
  <c r="V3906"/>
  <c r="U3906"/>
  <c r="V3905"/>
  <c r="U3905"/>
  <c r="V3904"/>
  <c r="U3904"/>
  <c r="U3903"/>
  <c r="V3902"/>
  <c r="U3902"/>
  <c r="V3901"/>
  <c r="U3901"/>
  <c r="V3900"/>
  <c r="U3900"/>
  <c r="V3899"/>
  <c r="U3899"/>
  <c r="V3898"/>
  <c r="U3898"/>
  <c r="V3897"/>
  <c r="U3897"/>
  <c r="V3896"/>
  <c r="U3896"/>
  <c r="V3895"/>
  <c r="U3895"/>
  <c r="V3894"/>
  <c r="U3894"/>
  <c r="V3893"/>
  <c r="U3893"/>
  <c r="V3892"/>
  <c r="U3892"/>
  <c r="V3891"/>
  <c r="U3891"/>
  <c r="V3890"/>
  <c r="U3890"/>
  <c r="V3889"/>
  <c r="U3889"/>
  <c r="V3888"/>
  <c r="U3888"/>
  <c r="V3887"/>
  <c r="U3887"/>
  <c r="V3886"/>
  <c r="U3886"/>
  <c r="V3885"/>
  <c r="U3885"/>
  <c r="V3884"/>
  <c r="U3884"/>
  <c r="V3883"/>
  <c r="U3883"/>
  <c r="U3882"/>
  <c r="V3881"/>
  <c r="U3881"/>
  <c r="V3880"/>
  <c r="U3880"/>
  <c r="V3879"/>
  <c r="U3879"/>
  <c r="V3878"/>
  <c r="U3878"/>
  <c r="V3877"/>
  <c r="U3877"/>
  <c r="V3876"/>
  <c r="U3876"/>
  <c r="V3875"/>
  <c r="U3875"/>
  <c r="V3874"/>
  <c r="U3874"/>
  <c r="V3873"/>
  <c r="U3873"/>
  <c r="V3872"/>
  <c r="U3872"/>
  <c r="V3871"/>
  <c r="U3871"/>
  <c r="V3870"/>
  <c r="U3870"/>
  <c r="V3869"/>
  <c r="U3869"/>
  <c r="V3868"/>
  <c r="U3868"/>
  <c r="V3867"/>
  <c r="U3867"/>
  <c r="U3866"/>
  <c r="V3865"/>
  <c r="V3864"/>
  <c r="U3864"/>
  <c r="V3863"/>
  <c r="U3863"/>
  <c r="V3862"/>
  <c r="U3862"/>
  <c r="V3861"/>
  <c r="U3861"/>
  <c r="V3860"/>
  <c r="U3860"/>
  <c r="U3859"/>
  <c r="U3858"/>
  <c r="V3857"/>
  <c r="U3857"/>
  <c r="V3856"/>
  <c r="U3856"/>
  <c r="V3855"/>
  <c r="U3855"/>
  <c r="U3854"/>
  <c r="V3853"/>
  <c r="U3853"/>
  <c r="U3852"/>
  <c r="V3851"/>
  <c r="U3851"/>
  <c r="V3850"/>
  <c r="U3850"/>
  <c r="V3849"/>
  <c r="U3849"/>
  <c r="V3848"/>
  <c r="U3848"/>
  <c r="V3847"/>
  <c r="U3847"/>
  <c r="V3846"/>
  <c r="U3846"/>
  <c r="V3845"/>
  <c r="U3845"/>
  <c r="V3844"/>
  <c r="U3844"/>
  <c r="V3843"/>
  <c r="U3843"/>
  <c r="V3842"/>
  <c r="U3842"/>
  <c r="U3841"/>
  <c r="V3840"/>
  <c r="U3840"/>
  <c r="V3839"/>
  <c r="U3839"/>
  <c r="V3838"/>
  <c r="U3838"/>
  <c r="V3837"/>
  <c r="U3837"/>
  <c r="V3836"/>
  <c r="U3836"/>
  <c r="V3835"/>
  <c r="U3835"/>
  <c r="V3834"/>
  <c r="U3834"/>
  <c r="V3833"/>
  <c r="U3833"/>
  <c r="V3832"/>
  <c r="U3832"/>
  <c r="V3831"/>
  <c r="U3831"/>
  <c r="V3830"/>
  <c r="U3830"/>
  <c r="V3829"/>
  <c r="U3829"/>
  <c r="V3828"/>
  <c r="U3828"/>
  <c r="V3827"/>
  <c r="U3827"/>
  <c r="V3826"/>
  <c r="U3826"/>
  <c r="V3825"/>
  <c r="U3825"/>
  <c r="V3824"/>
  <c r="U3824"/>
  <c r="V3823"/>
  <c r="U3823"/>
  <c r="V3822"/>
  <c r="U3822"/>
  <c r="V3821"/>
  <c r="U3821"/>
  <c r="V3820"/>
  <c r="U3820"/>
  <c r="V3819"/>
  <c r="U3819"/>
  <c r="V3818"/>
  <c r="U3818"/>
  <c r="V3817"/>
  <c r="U3817"/>
  <c r="V3816"/>
  <c r="U3816"/>
  <c r="V3815"/>
  <c r="U3815"/>
  <c r="V3814"/>
  <c r="U3814"/>
  <c r="V3813"/>
  <c r="U3813"/>
  <c r="V3812"/>
  <c r="U3812"/>
  <c r="V3811"/>
  <c r="U3811"/>
  <c r="V3810"/>
  <c r="U3810"/>
  <c r="V3809"/>
  <c r="U3809"/>
  <c r="V3808"/>
  <c r="U3808"/>
  <c r="V3807"/>
  <c r="U3807"/>
  <c r="V3806"/>
  <c r="U3806"/>
  <c r="V3805"/>
  <c r="U3805"/>
  <c r="V3804"/>
  <c r="U3804"/>
  <c r="V3803"/>
  <c r="U3803"/>
  <c r="V3802"/>
  <c r="U3802"/>
  <c r="V3801"/>
  <c r="U3801"/>
  <c r="V3800"/>
  <c r="U3800"/>
  <c r="V3799"/>
  <c r="U3799"/>
  <c r="V3798"/>
  <c r="U3798"/>
  <c r="V3797"/>
  <c r="U3797"/>
  <c r="V3796"/>
  <c r="U3796"/>
  <c r="V3795"/>
  <c r="U3795"/>
  <c r="V3794"/>
  <c r="U3794"/>
  <c r="V3793"/>
  <c r="U3793"/>
  <c r="V3792"/>
  <c r="U3792"/>
  <c r="V3791"/>
  <c r="U3791"/>
  <c r="V3790"/>
  <c r="U3790"/>
  <c r="V3789"/>
  <c r="U3789"/>
  <c r="V3788"/>
  <c r="U3788"/>
  <c r="V3787"/>
  <c r="U3787"/>
  <c r="V3786"/>
  <c r="U3786"/>
  <c r="V3785"/>
  <c r="U3785"/>
  <c r="V3784"/>
  <c r="U3784"/>
  <c r="V3783"/>
  <c r="U3783"/>
  <c r="V3782"/>
  <c r="U3782"/>
  <c r="V3781"/>
  <c r="U3781"/>
  <c r="V3780"/>
  <c r="U3780"/>
  <c r="V3779"/>
  <c r="U3779"/>
  <c r="V3778"/>
  <c r="U3778"/>
  <c r="V3777"/>
  <c r="U3777"/>
  <c r="V3776"/>
  <c r="U3776"/>
  <c r="V3775"/>
  <c r="U3775"/>
  <c r="V3774"/>
  <c r="U3774"/>
  <c r="V3773"/>
  <c r="U3773"/>
  <c r="V3772"/>
  <c r="U3772"/>
  <c r="V3771"/>
  <c r="U3771"/>
  <c r="V3770"/>
  <c r="U3770"/>
  <c r="V3769"/>
  <c r="U3769"/>
  <c r="V3768"/>
  <c r="U3768"/>
  <c r="V3767"/>
  <c r="U3767"/>
  <c r="V3766"/>
  <c r="U3766"/>
  <c r="V3765"/>
  <c r="U3765"/>
  <c r="V3764"/>
  <c r="U3764"/>
  <c r="V3763"/>
  <c r="U3763"/>
  <c r="V3762"/>
  <c r="U3762"/>
  <c r="V3761"/>
  <c r="U3761"/>
  <c r="V3760"/>
  <c r="U3760"/>
  <c r="U3759"/>
  <c r="V3758"/>
  <c r="U3758"/>
  <c r="V3757"/>
  <c r="U3757"/>
  <c r="V3756"/>
  <c r="U3756"/>
  <c r="V3755"/>
  <c r="U3755"/>
  <c r="V3754"/>
  <c r="U3754"/>
  <c r="V3753"/>
  <c r="U3753"/>
  <c r="V3752"/>
  <c r="U3752"/>
  <c r="V3751"/>
  <c r="U3751"/>
  <c r="V3750"/>
  <c r="U3750"/>
  <c r="V3749"/>
  <c r="U3749"/>
  <c r="V3748"/>
  <c r="U3748"/>
  <c r="V3747"/>
  <c r="U3747"/>
  <c r="V3746"/>
  <c r="U3746"/>
  <c r="V3745"/>
  <c r="U3745"/>
  <c r="V3744"/>
  <c r="U3744"/>
  <c r="V3743"/>
  <c r="U3743"/>
  <c r="V3742"/>
  <c r="U3742"/>
  <c r="V3741"/>
  <c r="U3741"/>
  <c r="U3740"/>
  <c r="V3739"/>
  <c r="U3739"/>
  <c r="V3738"/>
  <c r="U3738"/>
  <c r="V3737"/>
  <c r="U3737"/>
  <c r="V3736"/>
  <c r="U3736"/>
  <c r="V3735"/>
  <c r="U3735"/>
  <c r="V3734"/>
  <c r="U3734"/>
  <c r="V3733"/>
  <c r="U3733"/>
  <c r="V3732"/>
  <c r="U3732"/>
  <c r="V3731"/>
  <c r="U3731"/>
  <c r="V3730"/>
  <c r="U3730"/>
  <c r="V3729"/>
  <c r="U3729"/>
  <c r="V3728"/>
  <c r="U3728"/>
  <c r="V3727"/>
  <c r="U3727"/>
  <c r="V3726"/>
  <c r="U3726"/>
  <c r="V3725"/>
  <c r="U3725"/>
  <c r="V3724"/>
  <c r="U3724"/>
  <c r="V3723"/>
  <c r="U3723"/>
  <c r="V3722"/>
  <c r="U3722"/>
  <c r="V3721"/>
  <c r="U3721"/>
  <c r="U3720"/>
  <c r="V3719"/>
  <c r="U3719"/>
  <c r="V3718"/>
  <c r="U3718"/>
  <c r="V3717"/>
  <c r="U3717"/>
  <c r="V3716"/>
  <c r="U3716"/>
  <c r="V3715"/>
  <c r="U3715"/>
  <c r="V3714"/>
  <c r="U3714"/>
  <c r="V3713"/>
  <c r="U3713"/>
  <c r="V3712"/>
  <c r="U3712"/>
  <c r="V3711"/>
  <c r="U3711"/>
  <c r="V3710"/>
  <c r="U3710"/>
  <c r="V3709"/>
  <c r="U3709"/>
  <c r="V3708"/>
  <c r="U3708"/>
  <c r="V3707"/>
  <c r="U3707"/>
  <c r="V3706"/>
  <c r="U3706"/>
  <c r="V3705"/>
  <c r="U3705"/>
  <c r="V3704"/>
  <c r="U3704"/>
  <c r="V3703"/>
  <c r="U3703"/>
  <c r="V3702"/>
  <c r="U3702"/>
  <c r="V3701"/>
  <c r="U3701"/>
  <c r="V3700"/>
  <c r="U3700"/>
  <c r="V3699"/>
  <c r="U3699"/>
  <c r="V3698"/>
  <c r="U3698"/>
  <c r="V3697"/>
  <c r="U3697"/>
  <c r="V3696"/>
  <c r="U3696"/>
  <c r="V3695"/>
  <c r="U3695"/>
  <c r="V3694"/>
  <c r="U3694"/>
  <c r="V3693"/>
  <c r="U3693"/>
  <c r="V3692"/>
  <c r="U3692"/>
  <c r="V3691"/>
  <c r="U3691"/>
  <c r="V3690"/>
  <c r="U3690"/>
  <c r="V3689"/>
  <c r="U3689"/>
  <c r="V3688"/>
  <c r="U3688"/>
  <c r="V3687"/>
  <c r="U3687"/>
  <c r="V3686"/>
  <c r="U3686"/>
  <c r="V3685"/>
  <c r="U3685"/>
  <c r="V3684"/>
  <c r="U3684"/>
  <c r="V3683"/>
  <c r="U3683"/>
  <c r="V3682"/>
  <c r="V3681"/>
  <c r="U3681"/>
  <c r="V3680"/>
  <c r="U3680"/>
  <c r="V3679"/>
  <c r="U3679"/>
  <c r="V3678"/>
  <c r="U3678"/>
  <c r="U3677"/>
  <c r="V3676"/>
  <c r="U3676"/>
  <c r="V3675"/>
  <c r="U3675"/>
  <c r="U3674"/>
  <c r="V3673"/>
  <c r="U3673"/>
  <c r="V3672"/>
  <c r="U3672"/>
  <c r="V3671"/>
  <c r="U3671"/>
  <c r="V3670"/>
  <c r="U3670"/>
  <c r="V3669"/>
  <c r="U3669"/>
  <c r="V3668"/>
  <c r="U3668"/>
  <c r="V3667"/>
  <c r="U3667"/>
  <c r="V3666"/>
  <c r="U3666"/>
  <c r="V3665"/>
  <c r="U3665"/>
  <c r="V3664"/>
  <c r="U3664"/>
  <c r="V3663"/>
  <c r="U3663"/>
  <c r="V3662"/>
  <c r="U3662"/>
  <c r="V3661"/>
  <c r="U3661"/>
  <c r="V3660"/>
  <c r="U3660"/>
  <c r="V3659"/>
  <c r="U3659"/>
  <c r="V3658"/>
  <c r="U3658"/>
  <c r="V3657"/>
  <c r="U3657"/>
  <c r="V3656"/>
  <c r="U3656"/>
  <c r="V3655"/>
  <c r="U3655"/>
  <c r="V3654"/>
  <c r="U3654"/>
  <c r="V3653"/>
  <c r="U3653"/>
  <c r="V3652"/>
  <c r="U3652"/>
  <c r="V3651"/>
  <c r="U3651"/>
  <c r="V3650"/>
  <c r="U3650"/>
  <c r="V3649"/>
  <c r="U3649"/>
  <c r="V3648"/>
  <c r="U3648"/>
  <c r="V3647"/>
  <c r="U3647"/>
  <c r="V3646"/>
  <c r="U3646"/>
  <c r="V3645"/>
  <c r="U3645"/>
  <c r="V3644"/>
  <c r="U3644"/>
  <c r="V3643"/>
  <c r="U3643"/>
  <c r="V3642"/>
  <c r="U3642"/>
  <c r="V3641"/>
  <c r="U3641"/>
  <c r="V3640"/>
  <c r="U3640"/>
  <c r="V3639"/>
  <c r="U3639"/>
  <c r="V3638"/>
  <c r="U3638"/>
  <c r="V3637"/>
  <c r="U3637"/>
  <c r="V3636"/>
  <c r="U3636"/>
  <c r="V3635"/>
  <c r="U3635"/>
  <c r="V3634"/>
  <c r="U3634"/>
  <c r="V3633"/>
  <c r="U3633"/>
  <c r="V3632"/>
  <c r="U3632"/>
  <c r="V3631"/>
  <c r="U3631"/>
  <c r="V3630"/>
  <c r="U3630"/>
  <c r="V3629"/>
  <c r="U3629"/>
  <c r="V3628"/>
  <c r="U3628"/>
  <c r="V3627"/>
  <c r="U3627"/>
  <c r="V3626"/>
  <c r="U3626"/>
  <c r="V3625"/>
  <c r="U3625"/>
  <c r="V3624"/>
  <c r="U3624"/>
  <c r="V3623"/>
  <c r="U3623"/>
  <c r="V3622"/>
  <c r="U3622"/>
  <c r="V3621"/>
  <c r="U3621"/>
  <c r="V3620"/>
  <c r="U3620"/>
  <c r="V3619"/>
  <c r="U3619"/>
  <c r="V3618"/>
  <c r="U3618"/>
  <c r="V3617"/>
  <c r="U3617"/>
  <c r="V3616"/>
  <c r="U3616"/>
  <c r="V3615"/>
  <c r="U3615"/>
  <c r="V3614"/>
  <c r="U3614"/>
  <c r="V3613"/>
  <c r="U3613"/>
  <c r="V3612"/>
  <c r="U3612"/>
  <c r="U3611"/>
  <c r="V3610"/>
  <c r="U3610"/>
  <c r="V3609"/>
  <c r="U3609"/>
  <c r="V3608"/>
  <c r="U3608"/>
  <c r="U3607"/>
  <c r="V3606"/>
  <c r="U3606"/>
  <c r="V3605"/>
  <c r="U3605"/>
  <c r="U3604"/>
  <c r="V3603"/>
  <c r="U3603"/>
  <c r="V3602"/>
  <c r="U3602"/>
  <c r="V3601"/>
  <c r="U3601"/>
  <c r="V3600"/>
  <c r="U3600"/>
  <c r="V3599"/>
  <c r="U3599"/>
  <c r="V3598"/>
  <c r="U3598"/>
  <c r="V3597"/>
  <c r="U3597"/>
  <c r="V3596"/>
  <c r="U3596"/>
  <c r="V3595"/>
  <c r="U3595"/>
  <c r="V3594"/>
  <c r="U3594"/>
  <c r="V3593"/>
  <c r="U3593"/>
  <c r="V3592"/>
  <c r="U3592"/>
  <c r="V3591"/>
  <c r="U3591"/>
  <c r="V3590"/>
  <c r="U3590"/>
  <c r="V3589"/>
  <c r="U3589"/>
  <c r="V3588"/>
  <c r="U3588"/>
  <c r="V3587"/>
  <c r="U3587"/>
  <c r="V3586"/>
  <c r="U3586"/>
  <c r="V3585"/>
  <c r="U3585"/>
  <c r="V3584"/>
  <c r="U3584"/>
  <c r="V3583"/>
  <c r="U3583"/>
  <c r="V3582"/>
  <c r="U3582"/>
  <c r="V3581"/>
  <c r="U3581"/>
  <c r="V3580"/>
  <c r="U3580"/>
  <c r="V3579"/>
  <c r="U3579"/>
  <c r="V3578"/>
  <c r="U3578"/>
  <c r="V3577"/>
  <c r="U3577"/>
  <c r="V3576"/>
  <c r="U3576"/>
  <c r="V3575"/>
  <c r="U3575"/>
  <c r="V3574"/>
  <c r="U3574"/>
  <c r="V3573"/>
  <c r="U3573"/>
  <c r="V3572"/>
  <c r="U3572"/>
  <c r="V3571"/>
  <c r="U3571"/>
  <c r="V3570"/>
  <c r="U3570"/>
  <c r="V3569"/>
  <c r="U3569"/>
  <c r="V3568"/>
  <c r="U3568"/>
  <c r="V3567"/>
  <c r="U3567"/>
  <c r="V3566"/>
  <c r="U3566"/>
  <c r="V3565"/>
  <c r="U3565"/>
  <c r="V3564"/>
  <c r="U3564"/>
  <c r="V3563"/>
  <c r="U3563"/>
  <c r="V3562"/>
  <c r="U3562"/>
  <c r="V3561"/>
  <c r="U3561"/>
  <c r="V3560"/>
  <c r="U3560"/>
  <c r="V3559"/>
  <c r="U3559"/>
  <c r="V3558"/>
  <c r="U3558"/>
  <c r="V3557"/>
  <c r="U3557"/>
  <c r="V3556"/>
  <c r="U3556"/>
  <c r="V3555"/>
  <c r="U3555"/>
  <c r="V3554"/>
  <c r="U3554"/>
  <c r="V3553"/>
  <c r="U3553"/>
  <c r="V3552"/>
  <c r="U3552"/>
  <c r="V3551"/>
  <c r="U3551"/>
  <c r="V3550"/>
  <c r="U3550"/>
  <c r="V3549"/>
  <c r="U3549"/>
  <c r="V3548"/>
  <c r="U3548"/>
  <c r="V3547"/>
  <c r="U3547"/>
  <c r="V3546"/>
  <c r="U3546"/>
  <c r="V3545"/>
  <c r="U3545"/>
  <c r="V3544"/>
  <c r="U3544"/>
  <c r="V3543"/>
  <c r="U3543"/>
  <c r="V3542"/>
  <c r="U3542"/>
  <c r="V3541"/>
  <c r="U3541"/>
  <c r="V3540"/>
  <c r="U3540"/>
  <c r="V3539"/>
  <c r="U3539"/>
  <c r="V3538"/>
  <c r="U3538"/>
  <c r="V3537"/>
  <c r="U3537"/>
  <c r="V3536"/>
  <c r="U3536"/>
  <c r="V3535"/>
  <c r="U3535"/>
  <c r="V3534"/>
  <c r="U3534"/>
  <c r="V3533"/>
  <c r="U3533"/>
  <c r="V3532"/>
  <c r="U3532"/>
  <c r="V3531"/>
  <c r="U3531"/>
  <c r="V3530"/>
  <c r="U3530"/>
  <c r="V3529"/>
  <c r="U3529"/>
  <c r="V3528"/>
  <c r="U3528"/>
  <c r="V3527"/>
  <c r="U3527"/>
  <c r="V3526"/>
  <c r="U3526"/>
  <c r="V3525"/>
  <c r="U3525"/>
  <c r="V3524"/>
  <c r="U3524"/>
  <c r="V3523"/>
  <c r="U3523"/>
  <c r="V3522"/>
  <c r="U3522"/>
  <c r="V3521"/>
  <c r="U3521"/>
  <c r="V3520"/>
  <c r="U3520"/>
  <c r="V3519"/>
  <c r="U3519"/>
  <c r="V3518"/>
  <c r="U3518"/>
  <c r="V3517"/>
  <c r="U3517"/>
  <c r="V3516"/>
  <c r="U3516"/>
  <c r="V3515"/>
  <c r="U3515"/>
  <c r="V3514"/>
  <c r="U3514"/>
  <c r="V3513"/>
  <c r="U3513"/>
  <c r="V3512"/>
  <c r="U3512"/>
  <c r="V3511"/>
  <c r="U3511"/>
  <c r="V3510"/>
  <c r="U3510"/>
  <c r="V3509"/>
  <c r="U3509"/>
  <c r="V3508"/>
  <c r="U3508"/>
  <c r="V3507"/>
  <c r="U3507"/>
  <c r="V3506"/>
  <c r="U3506"/>
  <c r="V3505"/>
  <c r="U3505"/>
  <c r="V3504"/>
  <c r="U3504"/>
  <c r="V3503"/>
  <c r="U3503"/>
  <c r="V3502"/>
  <c r="U3502"/>
  <c r="V3501"/>
  <c r="U3501"/>
  <c r="V3500"/>
  <c r="U3500"/>
  <c r="V3499"/>
  <c r="U3499"/>
  <c r="V3498"/>
  <c r="U3498"/>
  <c r="V3497"/>
  <c r="U3497"/>
  <c r="V3496"/>
  <c r="U3496"/>
  <c r="U3495"/>
  <c r="V3494"/>
  <c r="U3494"/>
  <c r="V3493"/>
  <c r="U3493"/>
  <c r="V3492"/>
  <c r="U3492"/>
  <c r="V3491"/>
  <c r="U3491"/>
  <c r="V3490"/>
  <c r="U3490"/>
  <c r="V3489"/>
  <c r="U3489"/>
  <c r="V3488"/>
  <c r="U3488"/>
  <c r="V3487"/>
  <c r="U3487"/>
  <c r="V3486"/>
  <c r="U3486"/>
  <c r="V3485"/>
  <c r="U3485"/>
  <c r="U3484"/>
  <c r="V3483"/>
  <c r="U3483"/>
  <c r="V3482"/>
  <c r="U3482"/>
  <c r="V3481"/>
  <c r="U3481"/>
  <c r="V3480"/>
  <c r="U3480"/>
  <c r="V3479"/>
  <c r="U3479"/>
  <c r="V3478"/>
  <c r="U3478"/>
  <c r="V3477"/>
  <c r="U3477"/>
  <c r="V3476"/>
  <c r="U3476"/>
  <c r="V3475"/>
  <c r="U3475"/>
  <c r="V3474"/>
  <c r="U3474"/>
  <c r="V3473"/>
  <c r="U3473"/>
  <c r="U3472"/>
  <c r="V3471"/>
  <c r="U3471"/>
  <c r="U3470"/>
  <c r="V3469"/>
  <c r="U3469"/>
  <c r="V3468"/>
  <c r="U3468"/>
  <c r="V3467"/>
  <c r="U3467"/>
  <c r="V3466"/>
  <c r="U3466"/>
  <c r="V3465"/>
  <c r="U3465"/>
  <c r="V3464"/>
  <c r="U3464"/>
  <c r="V3463"/>
  <c r="U3463"/>
  <c r="V3462"/>
  <c r="U3462"/>
  <c r="V3461"/>
  <c r="U3461"/>
  <c r="V3460"/>
  <c r="U3460"/>
  <c r="V3459"/>
  <c r="U3459"/>
  <c r="V3458"/>
  <c r="U3458"/>
  <c r="V3457"/>
  <c r="U3457"/>
  <c r="V3456"/>
  <c r="U3456"/>
  <c r="V3455"/>
  <c r="U3455"/>
  <c r="V3454"/>
  <c r="U3454"/>
  <c r="V3453"/>
  <c r="U3453"/>
  <c r="V3452"/>
  <c r="U3452"/>
  <c r="V3451"/>
  <c r="U3451"/>
  <c r="V3450"/>
  <c r="U3450"/>
  <c r="V3449"/>
  <c r="U3449"/>
  <c r="V3448"/>
  <c r="U3448"/>
  <c r="V3447"/>
  <c r="U3447"/>
  <c r="V3446"/>
  <c r="U3446"/>
  <c r="V3445"/>
  <c r="U3445"/>
  <c r="V3444"/>
  <c r="U3444"/>
  <c r="V3443"/>
  <c r="U3443"/>
  <c r="V3442"/>
  <c r="U3442"/>
  <c r="V3441"/>
  <c r="U3441"/>
  <c r="V3440"/>
  <c r="U3440"/>
  <c r="U3439"/>
  <c r="V3438"/>
  <c r="U3438"/>
  <c r="V3437"/>
  <c r="U3437"/>
  <c r="V3436"/>
  <c r="U3436"/>
  <c r="V3435"/>
  <c r="U3435"/>
  <c r="V3434"/>
  <c r="U3434"/>
  <c r="V3433"/>
  <c r="U3433"/>
  <c r="V3432"/>
  <c r="U3432"/>
  <c r="V3431"/>
  <c r="U3431"/>
  <c r="V3430"/>
  <c r="U3430"/>
  <c r="V3429"/>
  <c r="U3429"/>
  <c r="V3428"/>
  <c r="U3428"/>
  <c r="V3427"/>
  <c r="U3427"/>
  <c r="V3426"/>
  <c r="U3426"/>
  <c r="V3425"/>
  <c r="U3425"/>
  <c r="V3424"/>
  <c r="U3424"/>
  <c r="V3423"/>
  <c r="U3423"/>
  <c r="V3422"/>
  <c r="U3422"/>
  <c r="V3421"/>
  <c r="U3421"/>
  <c r="V3420"/>
  <c r="U3420"/>
  <c r="V3419"/>
  <c r="U3419"/>
  <c r="V3418"/>
  <c r="U3418"/>
  <c r="V3417"/>
  <c r="U3417"/>
  <c r="V3416"/>
  <c r="U3416"/>
  <c r="V3415"/>
  <c r="U3415"/>
  <c r="V3414"/>
  <c r="U3414"/>
  <c r="V3413"/>
  <c r="U3413"/>
  <c r="V3412"/>
  <c r="U3412"/>
  <c r="V3411"/>
  <c r="U3411"/>
  <c r="V3410"/>
  <c r="U3410"/>
  <c r="V3409"/>
  <c r="U3409"/>
  <c r="V3408"/>
  <c r="U3408"/>
  <c r="V3407"/>
  <c r="U3407"/>
  <c r="V3406"/>
  <c r="U3406"/>
  <c r="V3405"/>
  <c r="U3405"/>
  <c r="V3404"/>
  <c r="U3404"/>
  <c r="V3403"/>
  <c r="U3403"/>
  <c r="V3402"/>
  <c r="U3402"/>
  <c r="V3401"/>
  <c r="U3401"/>
  <c r="V3400"/>
  <c r="U3400"/>
  <c r="V3399"/>
  <c r="U3399"/>
  <c r="V3398"/>
  <c r="U3398"/>
  <c r="V3397"/>
  <c r="U3397"/>
  <c r="V3396"/>
  <c r="U3396"/>
  <c r="V3395"/>
  <c r="U3395"/>
  <c r="V3394"/>
  <c r="U3394"/>
  <c r="V3393"/>
  <c r="U3393"/>
  <c r="V3392"/>
  <c r="U3392"/>
  <c r="V3391"/>
  <c r="U3391"/>
  <c r="V3390"/>
  <c r="U3390"/>
  <c r="V3389"/>
  <c r="U3389"/>
  <c r="V3388"/>
  <c r="U3388"/>
  <c r="V3387"/>
  <c r="U3387"/>
  <c r="V3386"/>
  <c r="U3386"/>
  <c r="V3385"/>
  <c r="U3385"/>
  <c r="V3384"/>
  <c r="U3384"/>
  <c r="V3383"/>
  <c r="U3383"/>
  <c r="V3382"/>
  <c r="U3382"/>
  <c r="V3381"/>
  <c r="U3381"/>
  <c r="V3380"/>
  <c r="U3380"/>
  <c r="V3379"/>
  <c r="U3379"/>
  <c r="V3378"/>
  <c r="U3378"/>
  <c r="V3377"/>
  <c r="U3377"/>
  <c r="V3376"/>
  <c r="U3376"/>
  <c r="V3375"/>
  <c r="U3375"/>
  <c r="V3374"/>
  <c r="U3374"/>
  <c r="U3373"/>
  <c r="V3372"/>
  <c r="U3372"/>
  <c r="V3371"/>
  <c r="U3371"/>
  <c r="V3370"/>
  <c r="U3370"/>
  <c r="V3369"/>
  <c r="U3369"/>
  <c r="V3368"/>
  <c r="U3368"/>
  <c r="V3367"/>
  <c r="U3367"/>
  <c r="V3366"/>
  <c r="U3366"/>
  <c r="V3365"/>
  <c r="U3365"/>
  <c r="V3364"/>
  <c r="U3364"/>
  <c r="V3363"/>
  <c r="U3363"/>
  <c r="V3362"/>
  <c r="U3362"/>
  <c r="V3361"/>
  <c r="U3361"/>
  <c r="V3360"/>
  <c r="U3360"/>
  <c r="V3359"/>
  <c r="U3359"/>
  <c r="V3358"/>
  <c r="U3358"/>
  <c r="V3357"/>
  <c r="U3357"/>
  <c r="V3356"/>
  <c r="U3356"/>
  <c r="V3355"/>
  <c r="U3355"/>
  <c r="U3354"/>
  <c r="V3353"/>
  <c r="U3353"/>
  <c r="V3352"/>
  <c r="U3352"/>
  <c r="V3351"/>
  <c r="U3351"/>
  <c r="U3350"/>
  <c r="V3349"/>
  <c r="U3349"/>
  <c r="V3348"/>
  <c r="U3348"/>
  <c r="V3347"/>
  <c r="U3347"/>
  <c r="V3346"/>
  <c r="U3346"/>
  <c r="V3345"/>
  <c r="U3345"/>
  <c r="V3344"/>
  <c r="U3344"/>
  <c r="V3343"/>
  <c r="U3343"/>
  <c r="U3342"/>
  <c r="V3341"/>
  <c r="U3341"/>
  <c r="V3340"/>
  <c r="U3340"/>
  <c r="V3339"/>
  <c r="U3339"/>
  <c r="V3338"/>
  <c r="U3338"/>
  <c r="V3337"/>
  <c r="U3337"/>
  <c r="V3336"/>
  <c r="U3336"/>
  <c r="V3335"/>
  <c r="U3335"/>
  <c r="V3334"/>
  <c r="U3334"/>
  <c r="V3333"/>
  <c r="U3333"/>
  <c r="V3332"/>
  <c r="U3332"/>
  <c r="U3331"/>
  <c r="V3330"/>
  <c r="U3330"/>
  <c r="V3329"/>
  <c r="U3329"/>
  <c r="V3328"/>
  <c r="U3328"/>
  <c r="V3327"/>
  <c r="U3327"/>
  <c r="V3326"/>
  <c r="U3326"/>
  <c r="V3325"/>
  <c r="U3325"/>
  <c r="V3324"/>
  <c r="U3324"/>
  <c r="V3323"/>
  <c r="U3323"/>
  <c r="V3322"/>
  <c r="U3322"/>
  <c r="V3321"/>
  <c r="U3321"/>
  <c r="V3320"/>
  <c r="U3320"/>
  <c r="V3319"/>
  <c r="U3319"/>
  <c r="V3318"/>
  <c r="U3318"/>
  <c r="V3317"/>
  <c r="U3317"/>
  <c r="V3316"/>
  <c r="U3316"/>
  <c r="V3315"/>
  <c r="U3315"/>
  <c r="V3314"/>
  <c r="U3314"/>
  <c r="V3313"/>
  <c r="U3313"/>
  <c r="V3312"/>
  <c r="U3312"/>
  <c r="V3311"/>
  <c r="U3311"/>
  <c r="V3310"/>
  <c r="U3310"/>
  <c r="V3309"/>
  <c r="U3309"/>
  <c r="V3308"/>
  <c r="U3308"/>
  <c r="V3307"/>
  <c r="U3307"/>
  <c r="V3306"/>
  <c r="U3306"/>
  <c r="V3305"/>
  <c r="U3305"/>
  <c r="V3304"/>
  <c r="U3304"/>
  <c r="V3303"/>
  <c r="U3303"/>
  <c r="V3302"/>
  <c r="U3302"/>
  <c r="V3301"/>
  <c r="U3301"/>
  <c r="V3300"/>
  <c r="U3300"/>
  <c r="V3299"/>
  <c r="U3299"/>
  <c r="V3298"/>
  <c r="U3298"/>
  <c r="V3297"/>
  <c r="U3297"/>
  <c r="V3296"/>
  <c r="U3296"/>
  <c r="V3295"/>
  <c r="U3295"/>
  <c r="V3294"/>
  <c r="U3294"/>
  <c r="V3293"/>
  <c r="U3293"/>
  <c r="V3292"/>
  <c r="U3292"/>
  <c r="V3291"/>
  <c r="U3291"/>
  <c r="V3290"/>
  <c r="U3290"/>
  <c r="V3289"/>
  <c r="U3289"/>
  <c r="V3288"/>
  <c r="U3288"/>
  <c r="V3287"/>
  <c r="U3287"/>
  <c r="U3286"/>
  <c r="U3285"/>
  <c r="V3284"/>
  <c r="U3284"/>
  <c r="V3283"/>
  <c r="U3283"/>
  <c r="V3282"/>
  <c r="U3282"/>
  <c r="V3281"/>
  <c r="U3281"/>
  <c r="V3280"/>
  <c r="U3280"/>
  <c r="V3279"/>
  <c r="U3279"/>
  <c r="V3278"/>
  <c r="U3278"/>
  <c r="V3277"/>
  <c r="U3277"/>
  <c r="V3276"/>
  <c r="U3276"/>
  <c r="V3275"/>
  <c r="U3275"/>
  <c r="V3274"/>
  <c r="U3274"/>
  <c r="V3273"/>
  <c r="U3273"/>
  <c r="V3272"/>
  <c r="U3272"/>
  <c r="V3271"/>
  <c r="U3271"/>
  <c r="V3270"/>
  <c r="U3270"/>
  <c r="V3269"/>
  <c r="U3269"/>
  <c r="V3268"/>
  <c r="U3268"/>
  <c r="V3267"/>
  <c r="U3267"/>
  <c r="V3266"/>
  <c r="U3266"/>
  <c r="V3265"/>
  <c r="U3265"/>
  <c r="V3264"/>
  <c r="U3264"/>
  <c r="V3263"/>
  <c r="U3263"/>
  <c r="V3262"/>
  <c r="U3262"/>
  <c r="V3261"/>
  <c r="U3261"/>
  <c r="V3260"/>
  <c r="U3260"/>
  <c r="V3259"/>
  <c r="U3259"/>
  <c r="V3258"/>
  <c r="U3258"/>
  <c r="V3257"/>
  <c r="U3257"/>
  <c r="V3256"/>
  <c r="U3256"/>
  <c r="V3255"/>
  <c r="U3255"/>
  <c r="V3254"/>
  <c r="U3254"/>
  <c r="V3253"/>
  <c r="U3253"/>
  <c r="U3252"/>
  <c r="V3251"/>
  <c r="U3251"/>
  <c r="V3250"/>
  <c r="U3250"/>
  <c r="V3249"/>
  <c r="U3249"/>
  <c r="V3248"/>
  <c r="U3248"/>
  <c r="V3247"/>
  <c r="U3247"/>
  <c r="V3246"/>
  <c r="U3246"/>
  <c r="V3245"/>
  <c r="U3245"/>
  <c r="V3244"/>
  <c r="U3244"/>
  <c r="V3243"/>
  <c r="U3243"/>
  <c r="V3242"/>
  <c r="U3242"/>
  <c r="V3241"/>
  <c r="U3241"/>
  <c r="V3240"/>
  <c r="U3240"/>
  <c r="V3239"/>
  <c r="U3239"/>
  <c r="V3238"/>
  <c r="U3238"/>
  <c r="V3237"/>
  <c r="U3237"/>
  <c r="V3236"/>
  <c r="U3236"/>
  <c r="V3235"/>
  <c r="U3235"/>
  <c r="V3234"/>
  <c r="U3234"/>
  <c r="V3233"/>
  <c r="U3233"/>
  <c r="V3232"/>
  <c r="U3232"/>
  <c r="V3231"/>
  <c r="U3231"/>
  <c r="V3230"/>
  <c r="U3230"/>
  <c r="V3229"/>
  <c r="U3229"/>
  <c r="V3228"/>
  <c r="U3228"/>
  <c r="V3227"/>
  <c r="U3227"/>
  <c r="V3226"/>
  <c r="U3226"/>
  <c r="V3225"/>
  <c r="U3225"/>
  <c r="V3224"/>
  <c r="U3224"/>
  <c r="V3223"/>
  <c r="U3223"/>
  <c r="V3222"/>
  <c r="U3222"/>
  <c r="V3221"/>
  <c r="U3221"/>
  <c r="V3220"/>
  <c r="U3220"/>
  <c r="V3219"/>
  <c r="U3219"/>
  <c r="V3218"/>
  <c r="U3218"/>
  <c r="V3217"/>
  <c r="U3217"/>
  <c r="U3216"/>
  <c r="V3215"/>
  <c r="U3215"/>
  <c r="V3214"/>
  <c r="U3214"/>
  <c r="V3213"/>
  <c r="U3213"/>
  <c r="V3212"/>
  <c r="U3212"/>
  <c r="V3211"/>
  <c r="U3211"/>
  <c r="V3210"/>
  <c r="U3210"/>
  <c r="V3209"/>
  <c r="U3209"/>
  <c r="V3208"/>
  <c r="U3208"/>
  <c r="V3207"/>
  <c r="U3207"/>
  <c r="V3206"/>
  <c r="U3206"/>
  <c r="V3205"/>
  <c r="U3205"/>
  <c r="V3204"/>
  <c r="U3204"/>
  <c r="V3203"/>
  <c r="U3203"/>
  <c r="V3202"/>
  <c r="U3202"/>
  <c r="V3201"/>
  <c r="U3201"/>
  <c r="V3200"/>
  <c r="U3200"/>
  <c r="V3199"/>
  <c r="U3199"/>
  <c r="V3198"/>
  <c r="U3198"/>
  <c r="V3197"/>
  <c r="U3197"/>
  <c r="V3196"/>
  <c r="U3196"/>
  <c r="V3195"/>
  <c r="U3195"/>
  <c r="V3194"/>
  <c r="U3194"/>
  <c r="V3193"/>
  <c r="U3193"/>
  <c r="V3192"/>
  <c r="U3192"/>
  <c r="V3191"/>
  <c r="U3191"/>
  <c r="V3190"/>
  <c r="U3190"/>
  <c r="V3189"/>
  <c r="U3189"/>
  <c r="V3188"/>
  <c r="U3188"/>
  <c r="V3187"/>
  <c r="U3187"/>
  <c r="V3186"/>
  <c r="U3186"/>
  <c r="V3185"/>
  <c r="U3185"/>
  <c r="V3184"/>
  <c r="U3184"/>
  <c r="U3183"/>
  <c r="V3182"/>
  <c r="U3182"/>
  <c r="V3181"/>
  <c r="U3181"/>
  <c r="V3180"/>
  <c r="U3180"/>
  <c r="V3179"/>
  <c r="U3179"/>
  <c r="V3178"/>
  <c r="U3178"/>
  <c r="V3177"/>
  <c r="U3177"/>
  <c r="V3176"/>
  <c r="U3176"/>
  <c r="V3175"/>
  <c r="U3175"/>
  <c r="V3174"/>
  <c r="U3174"/>
  <c r="V3173"/>
  <c r="U3173"/>
  <c r="V3172"/>
  <c r="U3172"/>
  <c r="V3171"/>
  <c r="U3171"/>
  <c r="V3170"/>
  <c r="U3170"/>
  <c r="V3169"/>
  <c r="U3169"/>
  <c r="V3168"/>
  <c r="U3168"/>
  <c r="V3167"/>
  <c r="U3167"/>
  <c r="V3166"/>
  <c r="U3166"/>
  <c r="V3165"/>
  <c r="U3165"/>
  <c r="V3164"/>
  <c r="U3164"/>
  <c r="V3163"/>
  <c r="U3163"/>
  <c r="V3162"/>
  <c r="U3162"/>
  <c r="V3161"/>
  <c r="U3161"/>
  <c r="V3160"/>
  <c r="U3160"/>
  <c r="V3159"/>
  <c r="U3159"/>
  <c r="V3158"/>
  <c r="U3158"/>
  <c r="V3157"/>
  <c r="U3157"/>
  <c r="V3156"/>
  <c r="U3156"/>
  <c r="V3155"/>
  <c r="U3155"/>
  <c r="V3154"/>
  <c r="U3154"/>
  <c r="V3153"/>
  <c r="U3153"/>
  <c r="V3152"/>
  <c r="U3152"/>
  <c r="V3151"/>
  <c r="U3151"/>
  <c r="V3150"/>
  <c r="U3150"/>
  <c r="V3149"/>
  <c r="U3149"/>
  <c r="V3148"/>
  <c r="U3148"/>
  <c r="V3147"/>
  <c r="U3147"/>
  <c r="V3146"/>
  <c r="U3146"/>
  <c r="V3145"/>
  <c r="U3145"/>
  <c r="V3144"/>
  <c r="U3144"/>
  <c r="V3143"/>
  <c r="U3143"/>
  <c r="V3142"/>
  <c r="U3142"/>
  <c r="V3141"/>
  <c r="U3141"/>
  <c r="V3140"/>
  <c r="U3140"/>
  <c r="V3139"/>
  <c r="U3139"/>
  <c r="V3138"/>
  <c r="U3138"/>
  <c r="V3137"/>
  <c r="U3137"/>
  <c r="V3136"/>
  <c r="U3136"/>
  <c r="V3135"/>
  <c r="U3135"/>
  <c r="V3134"/>
  <c r="U3134"/>
  <c r="V3133"/>
  <c r="U3133"/>
  <c r="V3132"/>
  <c r="U3132"/>
  <c r="V3131"/>
  <c r="U3131"/>
  <c r="V3130"/>
  <c r="U3130"/>
  <c r="V3129"/>
  <c r="U3129"/>
  <c r="V3128"/>
  <c r="U3128"/>
  <c r="V3127"/>
  <c r="U3127"/>
  <c r="V3126"/>
  <c r="U3126"/>
  <c r="V3125"/>
  <c r="U3125"/>
  <c r="V3124"/>
  <c r="U3124"/>
  <c r="V3123"/>
  <c r="U3123"/>
  <c r="V3122"/>
  <c r="U3122"/>
  <c r="V3121"/>
  <c r="U3121"/>
  <c r="V3120"/>
  <c r="U3120"/>
  <c r="U3119"/>
  <c r="V3118"/>
  <c r="U3118"/>
  <c r="V3117"/>
  <c r="U3117"/>
  <c r="V3116"/>
  <c r="U3116"/>
  <c r="V3115"/>
  <c r="U3115"/>
  <c r="V3114"/>
  <c r="U3114"/>
  <c r="V3113"/>
  <c r="U3113"/>
  <c r="V3112"/>
  <c r="U3112"/>
  <c r="V3111"/>
  <c r="U3111"/>
  <c r="V3110"/>
  <c r="U3110"/>
  <c r="V3109"/>
  <c r="U3109"/>
  <c r="V3108"/>
  <c r="U3108"/>
  <c r="V3107"/>
  <c r="U3107"/>
  <c r="V3106"/>
  <c r="U3106"/>
  <c r="V3105"/>
  <c r="U3105"/>
  <c r="V3104"/>
  <c r="U3104"/>
  <c r="V3103"/>
  <c r="U3103"/>
  <c r="V3102"/>
  <c r="U3102"/>
  <c r="V3101"/>
  <c r="U3101"/>
  <c r="V3100"/>
  <c r="U3100"/>
  <c r="V3099"/>
  <c r="U3099"/>
  <c r="V3098"/>
  <c r="U3098"/>
  <c r="V3097"/>
  <c r="U3097"/>
  <c r="V3096"/>
  <c r="U3096"/>
  <c r="V3095"/>
  <c r="U3095"/>
  <c r="V3094"/>
  <c r="U3094"/>
  <c r="V3093"/>
  <c r="U3093"/>
  <c r="V3092"/>
  <c r="U3092"/>
  <c r="V3091"/>
  <c r="U3091"/>
  <c r="V3090"/>
  <c r="U3090"/>
  <c r="V3089"/>
  <c r="U3089"/>
  <c r="V3088"/>
  <c r="U3088"/>
  <c r="V3087"/>
  <c r="U3087"/>
  <c r="V3086"/>
  <c r="U3086"/>
  <c r="V3085"/>
  <c r="U3085"/>
  <c r="V3084"/>
  <c r="U3084"/>
  <c r="V3083"/>
  <c r="U3083"/>
  <c r="V3082"/>
  <c r="U3082"/>
  <c r="V3081"/>
  <c r="U3081"/>
  <c r="V3080"/>
  <c r="U3080"/>
  <c r="U3079"/>
  <c r="V3078"/>
  <c r="U3078"/>
  <c r="V3077"/>
  <c r="U3077"/>
  <c r="V3076"/>
  <c r="U3076"/>
  <c r="V3075"/>
  <c r="U3075"/>
  <c r="V3074"/>
  <c r="U3074"/>
  <c r="U3073"/>
  <c r="V3072"/>
  <c r="U3072"/>
  <c r="V3071"/>
  <c r="U3071"/>
  <c r="V3070"/>
  <c r="U3070"/>
  <c r="V3069"/>
  <c r="U3069"/>
  <c r="V3068"/>
  <c r="U3068"/>
  <c r="V3067"/>
  <c r="U3067"/>
  <c r="V3066"/>
  <c r="U3066"/>
  <c r="V3065"/>
  <c r="U3065"/>
  <c r="V3064"/>
  <c r="U3064"/>
  <c r="V3063"/>
  <c r="U3063"/>
  <c r="V3062"/>
  <c r="U3062"/>
  <c r="V3061"/>
  <c r="U3061"/>
  <c r="V3060"/>
  <c r="U3060"/>
  <c r="V3059"/>
  <c r="U3059"/>
  <c r="V3058"/>
  <c r="U3058"/>
  <c r="V3057"/>
  <c r="U3057"/>
  <c r="V3056"/>
  <c r="U3056"/>
  <c r="V3055"/>
  <c r="U3055"/>
  <c r="V3054"/>
  <c r="U3054"/>
  <c r="V3053"/>
  <c r="U3053"/>
  <c r="V3052"/>
  <c r="U3052"/>
  <c r="V3051"/>
  <c r="U3051"/>
  <c r="V3050"/>
  <c r="U3050"/>
  <c r="V3049"/>
  <c r="U3049"/>
  <c r="V3048"/>
  <c r="U3048"/>
  <c r="V3047"/>
  <c r="U3047"/>
  <c r="U3046"/>
  <c r="V3045"/>
  <c r="U3045"/>
  <c r="V3044"/>
  <c r="U3044"/>
  <c r="V3043"/>
  <c r="U3043"/>
  <c r="V3042"/>
  <c r="U3042"/>
  <c r="V3041"/>
  <c r="U3041"/>
  <c r="V3040"/>
  <c r="U3040"/>
  <c r="V3039"/>
  <c r="U3039"/>
  <c r="V3038"/>
  <c r="U3038"/>
  <c r="V3037"/>
  <c r="U3037"/>
  <c r="V3036"/>
  <c r="U3036"/>
  <c r="U3035"/>
  <c r="V3034"/>
  <c r="U3034"/>
  <c r="V3033"/>
  <c r="U3033"/>
  <c r="V3032"/>
  <c r="U3032"/>
  <c r="V3031"/>
  <c r="U3031"/>
  <c r="V3030"/>
  <c r="U3030"/>
  <c r="V3029"/>
  <c r="U3029"/>
  <c r="V3028"/>
  <c r="U3028"/>
  <c r="V3027"/>
  <c r="U3027"/>
  <c r="V3026"/>
  <c r="U3026"/>
  <c r="V3025"/>
  <c r="U3025"/>
  <c r="V3024"/>
  <c r="U3024"/>
  <c r="V3023"/>
  <c r="U3023"/>
  <c r="V3022"/>
  <c r="U3022"/>
  <c r="V3021"/>
  <c r="U3021"/>
  <c r="V3020"/>
  <c r="U3020"/>
  <c r="V3019"/>
  <c r="U3019"/>
  <c r="V3018"/>
  <c r="U3018"/>
  <c r="V3017"/>
  <c r="U3017"/>
  <c r="V3016"/>
  <c r="U3016"/>
  <c r="V3015"/>
  <c r="U3015"/>
  <c r="V3014"/>
  <c r="U3014"/>
  <c r="V3013"/>
  <c r="U3013"/>
  <c r="V3012"/>
  <c r="U3012"/>
  <c r="V3011"/>
  <c r="U3011"/>
  <c r="V3010"/>
  <c r="U3010"/>
  <c r="V3009"/>
  <c r="U3009"/>
  <c r="U3008"/>
  <c r="V3007"/>
  <c r="U3007"/>
  <c r="V3006"/>
  <c r="U3006"/>
  <c r="V3005"/>
  <c r="U3005"/>
  <c r="V3004"/>
  <c r="U3004"/>
  <c r="V3003"/>
  <c r="U3003"/>
  <c r="V3002"/>
  <c r="U3002"/>
  <c r="V3001"/>
  <c r="U3001"/>
  <c r="V3000"/>
  <c r="U3000"/>
  <c r="V2999"/>
  <c r="U2999"/>
  <c r="V2998"/>
  <c r="U2998"/>
  <c r="V2997"/>
  <c r="U2997"/>
  <c r="V2996"/>
  <c r="U2996"/>
  <c r="V2995"/>
  <c r="U2995"/>
  <c r="V2994"/>
  <c r="U2994"/>
  <c r="V2993"/>
  <c r="U2993"/>
  <c r="V2992"/>
  <c r="U2992"/>
  <c r="V2991"/>
  <c r="U2991"/>
  <c r="V2990"/>
  <c r="U2990"/>
  <c r="V2989"/>
  <c r="U2989"/>
  <c r="V2988"/>
  <c r="U2988"/>
  <c r="V2987"/>
  <c r="U2987"/>
  <c r="V2986"/>
  <c r="U2986"/>
  <c r="V2985"/>
  <c r="U2985"/>
  <c r="V2984"/>
  <c r="V2983"/>
  <c r="U2983"/>
  <c r="V2982"/>
  <c r="U2982"/>
  <c r="V2981"/>
  <c r="U2981"/>
  <c r="V2980"/>
  <c r="U2980"/>
  <c r="U2979"/>
  <c r="V2978"/>
  <c r="U2978"/>
  <c r="U2977"/>
  <c r="V2976"/>
  <c r="U2976"/>
  <c r="V2975"/>
  <c r="U2975"/>
  <c r="V2974"/>
  <c r="U2974"/>
  <c r="V2973"/>
  <c r="U2973"/>
  <c r="V2972"/>
  <c r="U2972"/>
  <c r="V2971"/>
  <c r="U2971"/>
  <c r="V2970"/>
  <c r="U2970"/>
  <c r="V2969"/>
  <c r="U2969"/>
  <c r="V2968"/>
  <c r="U2968"/>
  <c r="V2967"/>
  <c r="U2967"/>
  <c r="V2966"/>
  <c r="U2966"/>
  <c r="V2965"/>
  <c r="U2965"/>
  <c r="V2964"/>
  <c r="U2964"/>
  <c r="V2963"/>
  <c r="U2963"/>
  <c r="V2962"/>
  <c r="U2962"/>
  <c r="V2961"/>
  <c r="U2961"/>
  <c r="V2960"/>
  <c r="U2960"/>
  <c r="U2959"/>
  <c r="V2958"/>
  <c r="U2958"/>
  <c r="V2957"/>
  <c r="U2957"/>
  <c r="V2956"/>
  <c r="U2956"/>
  <c r="V2955"/>
  <c r="U2955"/>
  <c r="V2954"/>
  <c r="U2954"/>
  <c r="V2953"/>
  <c r="U2953"/>
  <c r="V2952"/>
  <c r="U2952"/>
  <c r="V2951"/>
  <c r="U2951"/>
  <c r="V2950"/>
  <c r="U2950"/>
  <c r="U2949"/>
  <c r="V2948"/>
  <c r="U2948"/>
  <c r="V2947"/>
  <c r="U2947"/>
  <c r="V2946"/>
  <c r="U2946"/>
  <c r="V2945"/>
  <c r="U2945"/>
  <c r="V2944"/>
  <c r="U2944"/>
  <c r="V2943"/>
  <c r="U2943"/>
  <c r="V2942"/>
  <c r="U2942"/>
  <c r="V2941"/>
  <c r="U2941"/>
  <c r="V2940"/>
  <c r="U2940"/>
  <c r="V2939"/>
  <c r="U2939"/>
  <c r="V2938"/>
  <c r="U2938"/>
  <c r="V2937"/>
  <c r="U2937"/>
  <c r="V2936"/>
  <c r="U2936"/>
  <c r="V2935"/>
  <c r="U2935"/>
  <c r="V2934"/>
  <c r="U2934"/>
  <c r="V2933"/>
  <c r="U2933"/>
  <c r="V2932"/>
  <c r="U2932"/>
  <c r="V2931"/>
  <c r="U2931"/>
  <c r="V2930"/>
  <c r="U2930"/>
  <c r="V2929"/>
  <c r="U2929"/>
  <c r="V2928"/>
  <c r="U2928"/>
  <c r="V2927"/>
  <c r="U2927"/>
  <c r="V2926"/>
  <c r="U2926"/>
  <c r="V2925"/>
  <c r="U2925"/>
  <c r="V2924"/>
  <c r="U2924"/>
  <c r="V2923"/>
  <c r="U2923"/>
  <c r="V2922"/>
  <c r="U2922"/>
  <c r="V2921"/>
  <c r="U2921"/>
  <c r="V2920"/>
  <c r="U2920"/>
  <c r="U2919"/>
  <c r="V2918"/>
  <c r="U2918"/>
  <c r="V2917"/>
  <c r="U2917"/>
  <c r="V2916"/>
  <c r="U2916"/>
  <c r="V2915"/>
  <c r="U2915"/>
  <c r="V2914"/>
  <c r="U2914"/>
  <c r="V2913"/>
  <c r="U2913"/>
  <c r="V2912"/>
  <c r="U2912"/>
  <c r="V2911"/>
  <c r="U2911"/>
  <c r="V2910"/>
  <c r="U2910"/>
  <c r="V2909"/>
  <c r="U2909"/>
  <c r="V2908"/>
  <c r="U2908"/>
  <c r="V2907"/>
  <c r="U2907"/>
  <c r="V2906"/>
  <c r="U2906"/>
  <c r="V2905"/>
  <c r="U2905"/>
  <c r="V2904"/>
  <c r="U2904"/>
  <c r="V2903"/>
  <c r="U2903"/>
  <c r="V2902"/>
  <c r="U2902"/>
  <c r="V2901"/>
  <c r="U2901"/>
  <c r="V2900"/>
  <c r="U2900"/>
  <c r="V2899"/>
  <c r="U2899"/>
  <c r="V2898"/>
  <c r="U2898"/>
  <c r="V2897"/>
  <c r="U2897"/>
  <c r="V2896"/>
  <c r="U2896"/>
  <c r="V2895"/>
  <c r="U2895"/>
  <c r="V2894"/>
  <c r="U2894"/>
  <c r="V2893"/>
  <c r="U2893"/>
  <c r="V2892"/>
  <c r="U2892"/>
  <c r="V2891"/>
  <c r="U2891"/>
  <c r="V2890"/>
  <c r="V2889"/>
  <c r="U2889"/>
  <c r="V2888"/>
  <c r="U2888"/>
  <c r="U2887"/>
  <c r="V2886"/>
  <c r="U2886"/>
  <c r="V2885"/>
  <c r="U2885"/>
  <c r="V2884"/>
  <c r="U2884"/>
  <c r="V2883"/>
  <c r="U2883"/>
  <c r="V2882"/>
  <c r="U2882"/>
  <c r="V2881"/>
  <c r="U2881"/>
  <c r="V2880"/>
  <c r="U2880"/>
  <c r="V2879"/>
  <c r="U2879"/>
  <c r="V2878"/>
  <c r="U2878"/>
  <c r="V2877"/>
  <c r="U2877"/>
  <c r="V2876"/>
  <c r="U2876"/>
  <c r="V2875"/>
  <c r="U2875"/>
  <c r="V2874"/>
  <c r="U2874"/>
  <c r="V2873"/>
  <c r="U2873"/>
  <c r="V2872"/>
  <c r="U2872"/>
  <c r="U2871"/>
  <c r="V2870"/>
  <c r="U2870"/>
  <c r="V2869"/>
  <c r="U2869"/>
  <c r="V2868"/>
  <c r="U2868"/>
  <c r="V2867"/>
  <c r="U2867"/>
  <c r="V2866"/>
  <c r="U2866"/>
  <c r="V2865"/>
  <c r="U2865"/>
  <c r="V2864"/>
  <c r="U2864"/>
  <c r="V2863"/>
  <c r="U2863"/>
  <c r="V2862"/>
  <c r="U2862"/>
  <c r="V2861"/>
  <c r="U2861"/>
  <c r="V2860"/>
  <c r="U2860"/>
  <c r="U2859"/>
  <c r="V2858"/>
  <c r="U2858"/>
  <c r="V2857"/>
  <c r="U2857"/>
  <c r="V2856"/>
  <c r="U2856"/>
  <c r="U2855"/>
  <c r="U2854"/>
  <c r="V2853"/>
  <c r="U2853"/>
  <c r="V2852"/>
  <c r="U2852"/>
  <c r="V2851"/>
  <c r="U2851"/>
  <c r="V2850"/>
  <c r="U2850"/>
  <c r="V2849"/>
  <c r="U2849"/>
  <c r="V2848"/>
  <c r="U2848"/>
  <c r="V2847"/>
  <c r="U2847"/>
  <c r="V2846"/>
  <c r="U2846"/>
  <c r="V2845"/>
  <c r="V2844"/>
  <c r="U2844"/>
  <c r="V2843"/>
  <c r="U2843"/>
  <c r="V2842"/>
  <c r="U2842"/>
  <c r="V2841"/>
  <c r="U2841"/>
  <c r="V2840"/>
  <c r="U2840"/>
  <c r="V2839"/>
  <c r="U2839"/>
  <c r="V2838"/>
  <c r="U2838"/>
  <c r="V2837"/>
  <c r="U2837"/>
  <c r="V2836"/>
  <c r="U2836"/>
  <c r="V2835"/>
  <c r="U2835"/>
  <c r="V2834"/>
  <c r="U2834"/>
  <c r="V2833"/>
  <c r="U2833"/>
  <c r="V2832"/>
  <c r="U2832"/>
  <c r="V2831"/>
  <c r="U2831"/>
  <c r="V2830"/>
  <c r="U2830"/>
  <c r="V2829"/>
  <c r="U2829"/>
  <c r="V2828"/>
  <c r="U2828"/>
  <c r="V2827"/>
  <c r="U2827"/>
  <c r="V2826"/>
  <c r="U2826"/>
  <c r="V2825"/>
  <c r="U2825"/>
  <c r="V2824"/>
  <c r="U2824"/>
  <c r="V2823"/>
  <c r="U2823"/>
  <c r="V2822"/>
  <c r="U2822"/>
  <c r="V2821"/>
  <c r="U2821"/>
  <c r="V2820"/>
  <c r="U2820"/>
  <c r="V2819"/>
  <c r="U2819"/>
  <c r="V2818"/>
  <c r="U2818"/>
  <c r="V2817"/>
  <c r="U2817"/>
  <c r="V2816"/>
  <c r="U2816"/>
  <c r="V2815"/>
  <c r="U2815"/>
  <c r="V2814"/>
  <c r="U2814"/>
  <c r="V2813"/>
  <c r="U2813"/>
  <c r="V2812"/>
  <c r="U2812"/>
  <c r="U2811"/>
  <c r="V2810"/>
  <c r="U2810"/>
  <c r="V2809"/>
  <c r="U2809"/>
  <c r="V2808"/>
  <c r="U2808"/>
  <c r="V2807"/>
  <c r="U2807"/>
  <c r="V2806"/>
  <c r="U2806"/>
  <c r="V2805"/>
  <c r="U2805"/>
  <c r="V2804"/>
  <c r="U2804"/>
  <c r="V2803"/>
  <c r="U2803"/>
  <c r="V2802"/>
  <c r="U2802"/>
  <c r="V2801"/>
  <c r="U2801"/>
  <c r="V2800"/>
  <c r="U2800"/>
  <c r="V2799"/>
  <c r="U2799"/>
  <c r="V2798"/>
  <c r="U2798"/>
  <c r="V2797"/>
  <c r="U2797"/>
  <c r="V2796"/>
  <c r="U2796"/>
  <c r="V2795"/>
  <c r="U2795"/>
  <c r="U2794"/>
  <c r="V2793"/>
  <c r="U2793"/>
  <c r="V2792"/>
  <c r="U2792"/>
  <c r="V2791"/>
  <c r="U2791"/>
  <c r="V2790"/>
  <c r="U2790"/>
  <c r="V2789"/>
  <c r="U2789"/>
  <c r="V2788"/>
  <c r="U2788"/>
  <c r="V2787"/>
  <c r="U2787"/>
  <c r="V2786"/>
  <c r="U2786"/>
  <c r="V2785"/>
  <c r="U2785"/>
  <c r="U2784"/>
  <c r="V2783"/>
  <c r="U2783"/>
  <c r="U2782"/>
  <c r="U2781"/>
  <c r="U2780"/>
  <c r="U2778"/>
  <c r="U2777"/>
  <c r="U2776"/>
  <c r="U2775"/>
  <c r="U2774"/>
  <c r="V2773"/>
  <c r="U2773"/>
  <c r="V2772"/>
  <c r="U2772"/>
  <c r="V2771"/>
  <c r="U2771"/>
  <c r="V2770"/>
  <c r="U2770"/>
  <c r="U2769"/>
  <c r="V2768"/>
  <c r="U2768"/>
  <c r="V2767"/>
  <c r="U2767"/>
  <c r="U2766"/>
  <c r="V2765"/>
  <c r="U2765"/>
  <c r="V2764"/>
  <c r="U2764"/>
  <c r="V2763"/>
  <c r="U2763"/>
  <c r="V2762"/>
  <c r="U2762"/>
  <c r="V2761"/>
  <c r="U2761"/>
  <c r="V2760"/>
  <c r="U2760"/>
  <c r="V2759"/>
  <c r="U2759"/>
  <c r="V2758"/>
  <c r="U2758"/>
  <c r="V2757"/>
  <c r="U2757"/>
  <c r="V2756"/>
  <c r="U2756"/>
  <c r="V2755"/>
  <c r="U2755"/>
  <c r="V2754"/>
  <c r="U2754"/>
  <c r="V2753"/>
  <c r="U2753"/>
  <c r="V2752"/>
  <c r="U2752"/>
  <c r="V2751"/>
  <c r="U2751"/>
  <c r="V2750"/>
  <c r="U2750"/>
  <c r="V2749"/>
  <c r="U2749"/>
  <c r="V2748"/>
  <c r="U2748"/>
  <c r="V2747"/>
  <c r="U2747"/>
  <c r="V2746"/>
  <c r="U2746"/>
  <c r="V2745"/>
  <c r="U2745"/>
  <c r="V2744"/>
  <c r="U2744"/>
  <c r="V2743"/>
  <c r="U2743"/>
  <c r="V2742"/>
  <c r="U2742"/>
  <c r="V2741"/>
  <c r="U2741"/>
  <c r="V2740"/>
  <c r="U2740"/>
  <c r="V2739"/>
  <c r="U2739"/>
  <c r="V2738"/>
  <c r="U2738"/>
  <c r="V2737"/>
  <c r="U2737"/>
  <c r="V2736"/>
  <c r="U2736"/>
  <c r="V2735"/>
  <c r="U2735"/>
  <c r="V2734"/>
  <c r="U2734"/>
  <c r="V2733"/>
  <c r="U2733"/>
  <c r="V2732"/>
  <c r="U2732"/>
  <c r="V2731"/>
  <c r="U2731"/>
  <c r="V2730"/>
  <c r="U2730"/>
  <c r="V2729"/>
  <c r="U2729"/>
  <c r="V2728"/>
  <c r="U2728"/>
  <c r="V2727"/>
  <c r="U2727"/>
  <c r="V2726"/>
  <c r="U2726"/>
  <c r="V2725"/>
  <c r="U2725"/>
  <c r="V2724"/>
  <c r="U2724"/>
  <c r="U2723"/>
  <c r="V2722"/>
  <c r="U2722"/>
  <c r="U2721"/>
  <c r="U2720"/>
  <c r="V2719"/>
  <c r="U2719"/>
  <c r="V2718"/>
  <c r="U2718"/>
  <c r="V2717"/>
  <c r="U2717"/>
  <c r="U2716"/>
  <c r="V2715"/>
  <c r="U2715"/>
  <c r="V2714"/>
  <c r="U2714"/>
  <c r="V2713"/>
  <c r="U2713"/>
  <c r="V2712"/>
  <c r="U2712"/>
  <c r="V2711"/>
  <c r="U2711"/>
  <c r="V2710"/>
  <c r="U2710"/>
  <c r="V2709"/>
  <c r="U2709"/>
  <c r="V2708"/>
  <c r="U2708"/>
  <c r="V2707"/>
  <c r="U2707"/>
  <c r="V2706"/>
  <c r="U2706"/>
  <c r="V2705"/>
  <c r="U2705"/>
  <c r="V2704"/>
  <c r="U2704"/>
  <c r="V2703"/>
  <c r="U2703"/>
  <c r="V2702"/>
  <c r="U2702"/>
  <c r="V2701"/>
  <c r="U2701"/>
  <c r="V2700"/>
  <c r="U2700"/>
  <c r="V2699"/>
  <c r="U2699"/>
  <c r="V2698"/>
  <c r="U2698"/>
  <c r="V2697"/>
  <c r="U2697"/>
  <c r="V2696"/>
  <c r="U2696"/>
  <c r="V2695"/>
  <c r="U2695"/>
  <c r="V2694"/>
  <c r="U2694"/>
  <c r="V2693"/>
  <c r="U2693"/>
  <c r="V2692"/>
  <c r="U2692"/>
  <c r="V2691"/>
  <c r="U2691"/>
  <c r="U2690"/>
  <c r="V2689"/>
  <c r="U2689"/>
  <c r="V2688"/>
  <c r="U2688"/>
  <c r="V2687"/>
  <c r="U2687"/>
  <c r="V2686"/>
  <c r="U2686"/>
  <c r="V2685"/>
  <c r="U2685"/>
  <c r="V2684"/>
  <c r="U2684"/>
  <c r="V2683"/>
  <c r="U2683"/>
  <c r="V2682"/>
  <c r="U2682"/>
  <c r="V2681"/>
  <c r="U2681"/>
  <c r="V2680"/>
  <c r="U2680"/>
  <c r="V2679"/>
  <c r="U2679"/>
  <c r="V2678"/>
  <c r="U2678"/>
  <c r="V2677"/>
  <c r="U2677"/>
  <c r="U2676"/>
  <c r="V2675"/>
  <c r="U2675"/>
  <c r="V2674"/>
  <c r="U2674"/>
  <c r="V2673"/>
  <c r="U2673"/>
  <c r="V2672"/>
  <c r="U2672"/>
  <c r="V2671"/>
  <c r="U2671"/>
  <c r="V2670"/>
  <c r="U2670"/>
  <c r="V2669"/>
  <c r="U2669"/>
  <c r="V2668"/>
  <c r="U2668"/>
  <c r="V2667"/>
  <c r="U2667"/>
  <c r="V2666"/>
  <c r="U2666"/>
  <c r="V2665"/>
  <c r="U2665"/>
  <c r="V2664"/>
  <c r="U2664"/>
  <c r="V2663"/>
  <c r="U2663"/>
  <c r="V2662"/>
  <c r="U2662"/>
  <c r="V2661"/>
  <c r="U2661"/>
  <c r="V2660"/>
  <c r="U2660"/>
  <c r="V2659"/>
  <c r="U2659"/>
  <c r="V2658"/>
  <c r="U2658"/>
  <c r="V2657"/>
  <c r="U2657"/>
  <c r="V2656"/>
  <c r="U2656"/>
  <c r="V2655"/>
  <c r="U2655"/>
  <c r="V2654"/>
  <c r="U2654"/>
  <c r="V2653"/>
  <c r="U2653"/>
  <c r="V2652"/>
  <c r="U2652"/>
  <c r="V2651"/>
  <c r="U2651"/>
  <c r="V2650"/>
  <c r="U2650"/>
  <c r="V2649"/>
  <c r="U2649"/>
  <c r="V2648"/>
  <c r="U2648"/>
  <c r="V2647"/>
  <c r="U2647"/>
  <c r="V2646"/>
  <c r="U2646"/>
  <c r="V2645"/>
  <c r="U2645"/>
  <c r="V2644"/>
  <c r="U2644"/>
  <c r="V2643"/>
  <c r="U2643"/>
  <c r="V2642"/>
  <c r="U2642"/>
  <c r="V2641"/>
  <c r="U2641"/>
  <c r="V2640"/>
  <c r="U2640"/>
  <c r="V2639"/>
  <c r="U2639"/>
  <c r="V2638"/>
  <c r="U2638"/>
  <c r="V2637"/>
  <c r="U2637"/>
  <c r="V2636"/>
  <c r="U2636"/>
  <c r="V2635"/>
  <c r="U2635"/>
  <c r="V2634"/>
  <c r="U2634"/>
  <c r="V2633"/>
  <c r="U2633"/>
  <c r="V2632"/>
  <c r="U2632"/>
  <c r="V2631"/>
  <c r="U2631"/>
  <c r="V2630"/>
  <c r="U2630"/>
  <c r="V2629"/>
  <c r="U2629"/>
  <c r="V2628"/>
  <c r="U2628"/>
  <c r="V2627"/>
  <c r="U2627"/>
  <c r="V2626"/>
  <c r="U2626"/>
  <c r="V2625"/>
  <c r="U2625"/>
  <c r="V2624"/>
  <c r="U2624"/>
  <c r="V2623"/>
  <c r="U2623"/>
  <c r="V2622"/>
  <c r="U2622"/>
  <c r="V2621"/>
  <c r="U2621"/>
  <c r="V2620"/>
  <c r="U2620"/>
  <c r="V2619"/>
  <c r="U2619"/>
  <c r="V2618"/>
  <c r="U2618"/>
  <c r="V2617"/>
  <c r="U2617"/>
  <c r="U2616"/>
  <c r="U2615"/>
  <c r="V2614"/>
  <c r="U2614"/>
  <c r="V2613"/>
  <c r="U2613"/>
  <c r="U2612"/>
  <c r="V2611"/>
  <c r="U2611"/>
  <c r="V2610"/>
  <c r="U2610"/>
  <c r="V2609"/>
  <c r="U2609"/>
  <c r="V2608"/>
  <c r="U2608"/>
  <c r="V2607"/>
  <c r="U2607"/>
  <c r="V2606"/>
  <c r="U2606"/>
  <c r="V2605"/>
  <c r="U2605"/>
  <c r="V2604"/>
  <c r="U2604"/>
  <c r="V2603"/>
  <c r="U2603"/>
  <c r="V2602"/>
  <c r="U2602"/>
  <c r="V2601"/>
  <c r="U2601"/>
  <c r="V2600"/>
  <c r="U2600"/>
  <c r="V2599"/>
  <c r="U2599"/>
  <c r="V2598"/>
  <c r="V2597"/>
  <c r="U2597"/>
  <c r="V2596"/>
  <c r="U2596"/>
  <c r="V2595"/>
  <c r="U2595"/>
  <c r="V2594"/>
  <c r="U2594"/>
  <c r="V2593"/>
  <c r="U2593"/>
  <c r="V2592"/>
  <c r="U2592"/>
  <c r="V2591"/>
  <c r="U2591"/>
  <c r="V2590"/>
  <c r="U2590"/>
  <c r="V2589"/>
  <c r="U2589"/>
  <c r="V2588"/>
  <c r="U2588"/>
  <c r="V2587"/>
  <c r="U2587"/>
  <c r="V2586"/>
  <c r="U2586"/>
  <c r="V2585"/>
  <c r="U2585"/>
  <c r="V2584"/>
  <c r="U2584"/>
  <c r="V2583"/>
  <c r="U2583"/>
  <c r="V2582"/>
  <c r="U2582"/>
  <c r="V2581"/>
  <c r="U2581"/>
  <c r="V2580"/>
  <c r="U2580"/>
  <c r="V2579"/>
  <c r="U2579"/>
  <c r="V2578"/>
  <c r="U2578"/>
  <c r="V2577"/>
  <c r="U2577"/>
  <c r="V2576"/>
  <c r="U2576"/>
  <c r="V2575"/>
  <c r="U2575"/>
  <c r="V2574"/>
  <c r="U2574"/>
  <c r="V2573"/>
  <c r="U2573"/>
  <c r="V2572"/>
  <c r="U2572"/>
  <c r="V2571"/>
  <c r="U2571"/>
  <c r="U2570"/>
  <c r="U2569"/>
  <c r="V2568"/>
  <c r="U2568"/>
  <c r="V2567"/>
  <c r="U2567"/>
  <c r="V2566"/>
  <c r="U2566"/>
  <c r="V2565"/>
  <c r="U2565"/>
  <c r="U2564"/>
  <c r="V2563"/>
  <c r="U2563"/>
  <c r="V2562"/>
  <c r="U2562"/>
  <c r="V2561"/>
  <c r="U2561"/>
  <c r="V2560"/>
  <c r="U2560"/>
  <c r="V2559"/>
  <c r="U2559"/>
  <c r="V2558"/>
  <c r="U2558"/>
  <c r="V2557"/>
  <c r="U2557"/>
  <c r="V2556"/>
  <c r="U2556"/>
  <c r="V2555"/>
  <c r="U2555"/>
  <c r="V2554"/>
  <c r="U2554"/>
  <c r="V2553"/>
  <c r="U2553"/>
  <c r="V2552"/>
  <c r="U2552"/>
  <c r="V2551"/>
  <c r="U2551"/>
  <c r="U2550"/>
  <c r="V2549"/>
  <c r="U2549"/>
  <c r="V2548"/>
  <c r="U2548"/>
  <c r="V2547"/>
  <c r="U2547"/>
  <c r="V2546"/>
  <c r="U2546"/>
  <c r="V2545"/>
  <c r="U2545"/>
  <c r="V2544"/>
  <c r="U2544"/>
  <c r="V2543"/>
  <c r="U2543"/>
  <c r="V2542"/>
  <c r="U2542"/>
  <c r="V2541"/>
  <c r="U2541"/>
  <c r="V2540"/>
  <c r="U2540"/>
  <c r="V2539"/>
  <c r="U2539"/>
  <c r="V2538"/>
  <c r="U2538"/>
  <c r="V2537"/>
  <c r="U2537"/>
  <c r="V2536"/>
  <c r="U2536"/>
  <c r="V2535"/>
  <c r="U2535"/>
  <c r="V2534"/>
  <c r="U2534"/>
  <c r="V2533"/>
  <c r="U2533"/>
  <c r="V2532"/>
  <c r="U2532"/>
  <c r="V2531"/>
  <c r="U2531"/>
  <c r="U2530"/>
  <c r="V2529"/>
  <c r="U2529"/>
  <c r="V2528"/>
  <c r="U2528"/>
  <c r="V2527"/>
  <c r="U2527"/>
  <c r="V2526"/>
  <c r="U2526"/>
  <c r="V2525"/>
  <c r="U2525"/>
  <c r="V2524"/>
  <c r="U2524"/>
  <c r="V2523"/>
  <c r="U2523"/>
  <c r="V2522"/>
  <c r="U2522"/>
  <c r="V2521"/>
  <c r="V2520"/>
  <c r="U2520"/>
  <c r="V2519"/>
  <c r="U2519"/>
  <c r="V2518"/>
  <c r="U2518"/>
  <c r="V2517"/>
  <c r="U2517"/>
  <c r="V2516"/>
  <c r="U2516"/>
  <c r="V2515"/>
  <c r="U2515"/>
  <c r="V2514"/>
  <c r="U2514"/>
  <c r="V2513"/>
  <c r="U2513"/>
  <c r="V2512"/>
  <c r="U2512"/>
  <c r="V2511"/>
  <c r="U2511"/>
  <c r="V2510"/>
  <c r="U2510"/>
  <c r="V2509"/>
  <c r="U2509"/>
  <c r="V2508"/>
  <c r="U2508"/>
  <c r="V2507"/>
  <c r="U2507"/>
  <c r="V2506"/>
  <c r="U2506"/>
  <c r="V2505"/>
  <c r="U2505"/>
  <c r="V2504"/>
  <c r="U2504"/>
  <c r="V2503"/>
  <c r="U2503"/>
  <c r="V2502"/>
  <c r="U2502"/>
  <c r="V2501"/>
  <c r="U2501"/>
  <c r="V2500"/>
  <c r="U2500"/>
  <c r="V2499"/>
  <c r="U2499"/>
  <c r="V2498"/>
  <c r="U2498"/>
  <c r="V2497"/>
  <c r="U2497"/>
  <c r="V2496"/>
  <c r="U2496"/>
  <c r="V2495"/>
  <c r="U2495"/>
  <c r="V2494"/>
  <c r="U2494"/>
  <c r="V2493"/>
  <c r="U2493"/>
  <c r="V2492"/>
  <c r="U2492"/>
  <c r="V2491"/>
  <c r="U2491"/>
  <c r="V2490"/>
  <c r="U2490"/>
  <c r="V2489"/>
  <c r="U2489"/>
  <c r="V2488"/>
  <c r="U2488"/>
  <c r="V2487"/>
  <c r="U2487"/>
  <c r="V2486"/>
  <c r="U2486"/>
  <c r="V2485"/>
  <c r="U2485"/>
  <c r="V2484"/>
  <c r="U2484"/>
  <c r="V2483"/>
  <c r="U2483"/>
  <c r="V2482"/>
  <c r="U2482"/>
  <c r="V2481"/>
  <c r="U2481"/>
  <c r="V2480"/>
  <c r="U2480"/>
  <c r="V2479"/>
  <c r="U2479"/>
  <c r="V2478"/>
  <c r="U2478"/>
  <c r="V2477"/>
  <c r="U2477"/>
  <c r="V2476"/>
  <c r="U2476"/>
  <c r="V2475"/>
  <c r="U2475"/>
  <c r="V2474"/>
  <c r="U2474"/>
  <c r="V2473"/>
  <c r="U2473"/>
  <c r="V2472"/>
  <c r="U2472"/>
  <c r="V2471"/>
  <c r="U2471"/>
  <c r="V2470"/>
  <c r="U2470"/>
  <c r="V2469"/>
  <c r="U2469"/>
  <c r="V2468"/>
  <c r="U2468"/>
  <c r="V2467"/>
  <c r="U2467"/>
  <c r="V2466"/>
  <c r="U2466"/>
  <c r="U2465"/>
  <c r="V2464"/>
  <c r="U2464"/>
  <c r="V2463"/>
  <c r="U2463"/>
  <c r="V2462"/>
  <c r="U2462"/>
  <c r="V2461"/>
  <c r="V2460"/>
  <c r="U2460"/>
  <c r="V2459"/>
  <c r="U2459"/>
  <c r="V2458"/>
  <c r="U2458"/>
  <c r="V2457"/>
  <c r="U2457"/>
  <c r="V2456"/>
  <c r="U2456"/>
  <c r="V2455"/>
  <c r="U2455"/>
  <c r="V2454"/>
  <c r="U2454"/>
  <c r="V2453"/>
  <c r="U2453"/>
  <c r="V2452"/>
  <c r="U2452"/>
  <c r="V2451"/>
  <c r="U2451"/>
  <c r="V2450"/>
  <c r="U2450"/>
  <c r="V2449"/>
  <c r="U2449"/>
  <c r="V2448"/>
  <c r="U2448"/>
  <c r="V2447"/>
  <c r="U2447"/>
  <c r="V2446"/>
  <c r="U2446"/>
  <c r="V2445"/>
  <c r="U2445"/>
  <c r="V2444"/>
  <c r="U2444"/>
  <c r="V2443"/>
  <c r="U2443"/>
  <c r="V2442"/>
  <c r="U2442"/>
  <c r="V2441"/>
  <c r="U2441"/>
  <c r="V2440"/>
  <c r="U2440"/>
  <c r="V2439"/>
  <c r="U2439"/>
  <c r="V2438"/>
  <c r="U2438"/>
  <c r="V2437"/>
  <c r="U2437"/>
  <c r="V2436"/>
  <c r="U2436"/>
  <c r="V2435"/>
  <c r="U2435"/>
  <c r="V2434"/>
  <c r="U2434"/>
  <c r="V2433"/>
  <c r="U2433"/>
  <c r="V2432"/>
  <c r="U2432"/>
  <c r="V2431"/>
  <c r="U2431"/>
  <c r="V2430"/>
  <c r="U2430"/>
  <c r="V2429"/>
  <c r="U2429"/>
  <c r="V2428"/>
  <c r="U2428"/>
  <c r="V2427"/>
  <c r="U2427"/>
  <c r="V2426"/>
  <c r="U2426"/>
  <c r="V2425"/>
  <c r="U2425"/>
  <c r="V2424"/>
  <c r="U2424"/>
  <c r="V2423"/>
  <c r="U2423"/>
  <c r="V2422"/>
  <c r="U2422"/>
  <c r="V2421"/>
  <c r="U2421"/>
  <c r="V2420"/>
  <c r="U2420"/>
  <c r="V2419"/>
  <c r="U2419"/>
  <c r="V2418"/>
  <c r="U2418"/>
  <c r="V2417"/>
  <c r="U2417"/>
  <c r="V2416"/>
  <c r="U2416"/>
  <c r="V2415"/>
  <c r="U2415"/>
  <c r="V2414"/>
  <c r="U2414"/>
  <c r="V2413"/>
  <c r="U2413"/>
  <c r="V2412"/>
  <c r="U2412"/>
  <c r="V2411"/>
  <c r="U2411"/>
  <c r="V2410"/>
  <c r="U2410"/>
  <c r="V2409"/>
  <c r="U2409"/>
  <c r="U2408"/>
  <c r="V2407"/>
  <c r="U2407"/>
  <c r="V2406"/>
  <c r="U2406"/>
  <c r="V2405"/>
  <c r="U2405"/>
  <c r="V2404"/>
  <c r="U2404"/>
  <c r="V2403"/>
  <c r="U2403"/>
  <c r="V2402"/>
  <c r="U2402"/>
  <c r="V2401"/>
  <c r="U2401"/>
  <c r="V2400"/>
  <c r="U2400"/>
  <c r="V2399"/>
  <c r="U2399"/>
  <c r="V2398"/>
  <c r="U2398"/>
  <c r="V2397"/>
  <c r="U2397"/>
  <c r="V2396"/>
  <c r="U2396"/>
  <c r="V2395"/>
  <c r="U2395"/>
  <c r="V2394"/>
  <c r="U2394"/>
  <c r="V2393"/>
  <c r="U2393"/>
  <c r="V2392"/>
  <c r="U2392"/>
  <c r="V2391"/>
  <c r="U2391"/>
  <c r="V2390"/>
  <c r="U2390"/>
  <c r="V2389"/>
  <c r="U2389"/>
  <c r="V2388"/>
  <c r="U2388"/>
  <c r="V2387"/>
  <c r="U2387"/>
  <c r="V2386"/>
  <c r="U2386"/>
  <c r="V2385"/>
  <c r="U2385"/>
  <c r="V2384"/>
  <c r="U2384"/>
  <c r="V2383"/>
  <c r="U2383"/>
  <c r="V2382"/>
  <c r="U2382"/>
  <c r="V2381"/>
  <c r="V2380"/>
  <c r="U2380"/>
  <c r="V2379"/>
  <c r="U2379"/>
  <c r="V2378"/>
  <c r="U2378"/>
  <c r="V2377"/>
  <c r="U2377"/>
  <c r="V2376"/>
  <c r="U2376"/>
  <c r="V2375"/>
  <c r="U2375"/>
  <c r="V2374"/>
  <c r="U2374"/>
  <c r="V2373"/>
  <c r="U2373"/>
  <c r="V2372"/>
  <c r="U2372"/>
  <c r="V2371"/>
  <c r="U2371"/>
  <c r="V2370"/>
  <c r="U2370"/>
  <c r="V2369"/>
  <c r="U2369"/>
  <c r="V2368"/>
  <c r="U2368"/>
  <c r="V2367"/>
  <c r="U2367"/>
  <c r="U2366"/>
  <c r="V2365"/>
  <c r="U2365"/>
  <c r="V2364"/>
  <c r="U2364"/>
  <c r="V2363"/>
  <c r="U2363"/>
  <c r="V2362"/>
  <c r="U2362"/>
  <c r="V2361"/>
  <c r="U2361"/>
  <c r="V2360"/>
  <c r="U2360"/>
  <c r="V2359"/>
  <c r="U2359"/>
  <c r="V2358"/>
  <c r="U2358"/>
  <c r="V2357"/>
  <c r="U2357"/>
  <c r="V2356"/>
  <c r="U2356"/>
  <c r="V2355"/>
  <c r="U2355"/>
  <c r="V2354"/>
  <c r="U2354"/>
  <c r="V2353"/>
  <c r="U2353"/>
  <c r="V2352"/>
  <c r="U2352"/>
  <c r="V2351"/>
  <c r="U2351"/>
  <c r="V2350"/>
  <c r="U2350"/>
  <c r="V2349"/>
  <c r="U2349"/>
  <c r="V2348"/>
  <c r="U2348"/>
  <c r="V2347"/>
  <c r="U2347"/>
  <c r="V2346"/>
  <c r="U2346"/>
  <c r="V2345"/>
  <c r="U2345"/>
  <c r="V2344"/>
  <c r="U2344"/>
  <c r="V2343"/>
  <c r="U2343"/>
  <c r="V2342"/>
  <c r="U2342"/>
  <c r="V2341"/>
  <c r="U2341"/>
  <c r="V2340"/>
  <c r="U2340"/>
  <c r="V2339"/>
  <c r="U2339"/>
  <c r="V2338"/>
  <c r="U2338"/>
  <c r="V2337"/>
  <c r="U2337"/>
  <c r="V2336"/>
  <c r="U2336"/>
  <c r="V2335"/>
  <c r="U2335"/>
  <c r="V2334"/>
  <c r="U2334"/>
  <c r="V2333"/>
  <c r="U2333"/>
  <c r="V2332"/>
  <c r="U2332"/>
  <c r="V2331"/>
  <c r="U2331"/>
  <c r="V2330"/>
  <c r="U2330"/>
  <c r="V2329"/>
  <c r="U2329"/>
  <c r="V2328"/>
  <c r="U2328"/>
  <c r="V2327"/>
  <c r="U2327"/>
  <c r="V2326"/>
  <c r="U2326"/>
  <c r="V2325"/>
  <c r="U2325"/>
  <c r="V2324"/>
  <c r="V2323"/>
  <c r="U2323"/>
  <c r="V2322"/>
  <c r="U2322"/>
  <c r="V2321"/>
  <c r="U2321"/>
  <c r="V2320"/>
  <c r="U2320"/>
  <c r="V2319"/>
  <c r="U2319"/>
  <c r="V2318"/>
  <c r="U2318"/>
  <c r="V2317"/>
  <c r="U2317"/>
  <c r="V2316"/>
  <c r="U2316"/>
  <c r="V2315"/>
  <c r="U2315"/>
  <c r="V2314"/>
  <c r="U2314"/>
  <c r="V2313"/>
  <c r="U2313"/>
  <c r="V2312"/>
  <c r="U2312"/>
  <c r="V2311"/>
  <c r="U2311"/>
  <c r="V2310"/>
  <c r="U2310"/>
  <c r="V2309"/>
  <c r="U2309"/>
  <c r="V2308"/>
  <c r="U2308"/>
  <c r="V2307"/>
  <c r="U2307"/>
  <c r="V2306"/>
  <c r="U2306"/>
  <c r="V2305"/>
  <c r="U2305"/>
  <c r="V2304"/>
  <c r="U2304"/>
  <c r="V2303"/>
  <c r="U2303"/>
  <c r="V2302"/>
  <c r="U2302"/>
  <c r="V2301"/>
  <c r="U2301"/>
  <c r="V2300"/>
  <c r="U2300"/>
  <c r="V2299"/>
  <c r="U2299"/>
  <c r="V2298"/>
  <c r="U2298"/>
  <c r="V2297"/>
  <c r="U2297"/>
  <c r="V2296"/>
  <c r="U2296"/>
  <c r="V2295"/>
  <c r="U2295"/>
  <c r="V2294"/>
  <c r="U2294"/>
  <c r="V2293"/>
  <c r="U2293"/>
  <c r="V2292"/>
  <c r="U2292"/>
  <c r="V2291"/>
  <c r="U2291"/>
  <c r="V2290"/>
  <c r="U2290"/>
  <c r="U2289"/>
  <c r="U2288"/>
  <c r="V2287"/>
  <c r="U2287"/>
  <c r="V2286"/>
  <c r="U2286"/>
  <c r="V2285"/>
  <c r="U2285"/>
  <c r="V2284"/>
  <c r="U2284"/>
  <c r="V2283"/>
  <c r="U2283"/>
  <c r="V2282"/>
  <c r="U2282"/>
  <c r="V2281"/>
  <c r="U2281"/>
  <c r="V2280"/>
  <c r="U2280"/>
  <c r="V2279"/>
  <c r="U2279"/>
  <c r="V2278"/>
  <c r="U2278"/>
  <c r="V2277"/>
  <c r="U2277"/>
  <c r="V2276"/>
  <c r="U2276"/>
  <c r="V2275"/>
  <c r="U2275"/>
  <c r="V2274"/>
  <c r="U2274"/>
  <c r="V2273"/>
  <c r="U2273"/>
  <c r="V2272"/>
  <c r="U2272"/>
  <c r="V2271"/>
  <c r="U2271"/>
  <c r="V2270"/>
  <c r="U2270"/>
  <c r="V2269"/>
  <c r="U2269"/>
  <c r="V2268"/>
  <c r="U2268"/>
  <c r="V2267"/>
  <c r="U2267"/>
  <c r="V2266"/>
  <c r="U2266"/>
  <c r="V2265"/>
  <c r="U2265"/>
  <c r="V2264"/>
  <c r="U2264"/>
  <c r="V2263"/>
  <c r="U2263"/>
  <c r="V2262"/>
  <c r="U2262"/>
  <c r="V2261"/>
  <c r="U2261"/>
  <c r="V2260"/>
  <c r="U2260"/>
  <c r="V2259"/>
  <c r="U2259"/>
  <c r="V2258"/>
  <c r="U2258"/>
  <c r="V2257"/>
  <c r="U2257"/>
  <c r="V2256"/>
  <c r="U2256"/>
  <c r="V2255"/>
  <c r="U2255"/>
  <c r="V2254"/>
  <c r="U2254"/>
  <c r="V2253"/>
  <c r="U2253"/>
  <c r="V2252"/>
  <c r="U2252"/>
  <c r="V2251"/>
  <c r="U2251"/>
  <c r="V2250"/>
  <c r="U2250"/>
  <c r="V2249"/>
  <c r="U2249"/>
  <c r="V2248"/>
  <c r="U2248"/>
  <c r="V2247"/>
  <c r="U2247"/>
  <c r="V2246"/>
  <c r="U2246"/>
  <c r="V2245"/>
  <c r="U2245"/>
  <c r="V2244"/>
  <c r="U2244"/>
  <c r="V2243"/>
  <c r="U2243"/>
  <c r="V2242"/>
  <c r="U2242"/>
  <c r="V2241"/>
  <c r="U2241"/>
  <c r="V2240"/>
  <c r="U2240"/>
  <c r="V2239"/>
  <c r="U2239"/>
  <c r="V2238"/>
  <c r="U2238"/>
  <c r="V2237"/>
  <c r="U2237"/>
  <c r="V2236"/>
  <c r="U2236"/>
  <c r="V2235"/>
  <c r="V2234"/>
  <c r="U2234"/>
  <c r="V2233"/>
  <c r="U2233"/>
  <c r="V2232"/>
  <c r="U2232"/>
  <c r="V2231"/>
  <c r="U2231"/>
  <c r="V2230"/>
  <c r="U2230"/>
  <c r="V2229"/>
  <c r="U2229"/>
  <c r="V2228"/>
  <c r="U2228"/>
  <c r="V2227"/>
  <c r="U2227"/>
  <c r="V2226"/>
  <c r="U2226"/>
  <c r="V2225"/>
  <c r="U2225"/>
  <c r="V2224"/>
  <c r="U2224"/>
  <c r="V2223"/>
  <c r="U2223"/>
  <c r="V2222"/>
  <c r="U2222"/>
  <c r="V2221"/>
  <c r="U2221"/>
  <c r="V2220"/>
  <c r="U2220"/>
  <c r="U2219"/>
  <c r="V2218"/>
  <c r="U2218"/>
  <c r="V2217"/>
  <c r="U2217"/>
  <c r="V2216"/>
  <c r="U2216"/>
  <c r="V2215"/>
  <c r="U2215"/>
  <c r="V2214"/>
  <c r="U2214"/>
  <c r="V2213"/>
  <c r="U2213"/>
  <c r="V2212"/>
  <c r="U2212"/>
  <c r="V2211"/>
  <c r="U2211"/>
  <c r="V2210"/>
  <c r="V2209"/>
  <c r="U2209"/>
  <c r="V2208"/>
  <c r="U2208"/>
  <c r="V2207"/>
  <c r="U2207"/>
  <c r="V2206"/>
  <c r="U2206"/>
  <c r="V2205"/>
  <c r="U2205"/>
  <c r="V2204"/>
  <c r="U2204"/>
  <c r="V2203"/>
  <c r="U2203"/>
  <c r="V2202"/>
  <c r="U2202"/>
  <c r="V2201"/>
  <c r="U2201"/>
  <c r="V2200"/>
  <c r="U2200"/>
  <c r="V2199"/>
  <c r="U2199"/>
  <c r="V2198"/>
  <c r="U2198"/>
  <c r="V2197"/>
  <c r="U2197"/>
  <c r="U2196"/>
  <c r="U2195"/>
  <c r="V2194"/>
  <c r="U2194"/>
  <c r="U2192"/>
  <c r="V2191"/>
  <c r="U2191"/>
  <c r="V2190"/>
  <c r="U2190"/>
  <c r="V2189"/>
  <c r="U2189"/>
  <c r="V2188"/>
  <c r="U2188"/>
  <c r="V2187"/>
  <c r="U2187"/>
  <c r="V2186"/>
  <c r="U2186"/>
  <c r="V2185"/>
  <c r="U2185"/>
  <c r="V2184"/>
  <c r="U2184"/>
  <c r="V2183"/>
  <c r="U2183"/>
  <c r="V2182"/>
  <c r="U2182"/>
  <c r="V2181"/>
  <c r="U2181"/>
  <c r="V2180"/>
  <c r="U2180"/>
  <c r="V2179"/>
  <c r="U2179"/>
  <c r="V2178"/>
  <c r="U2178"/>
  <c r="V2177"/>
  <c r="U2177"/>
  <c r="V2176"/>
  <c r="U2176"/>
  <c r="V2175"/>
  <c r="U2175"/>
  <c r="U2174"/>
  <c r="V2173"/>
  <c r="U2173"/>
  <c r="V2172"/>
  <c r="U2172"/>
  <c r="U2171"/>
  <c r="V2170"/>
  <c r="U2170"/>
  <c r="V2169"/>
  <c r="U2169"/>
  <c r="V2168"/>
  <c r="U2168"/>
  <c r="V2167"/>
  <c r="U2167"/>
  <c r="V2166"/>
  <c r="U2166"/>
  <c r="V2165"/>
  <c r="U2165"/>
  <c r="V2164"/>
  <c r="U2164"/>
  <c r="V2163"/>
  <c r="U2163"/>
  <c r="V2162"/>
  <c r="U2162"/>
  <c r="V2161"/>
  <c r="U2161"/>
  <c r="V2160"/>
  <c r="U2160"/>
  <c r="V2159"/>
  <c r="U2159"/>
  <c r="U2158"/>
  <c r="V2157"/>
  <c r="U2157"/>
  <c r="V2156"/>
  <c r="U2156"/>
  <c r="V2155"/>
  <c r="U2155"/>
  <c r="V2154"/>
  <c r="U2154"/>
  <c r="V2153"/>
  <c r="U2153"/>
  <c r="V2152"/>
  <c r="U2152"/>
  <c r="V2151"/>
  <c r="U2151"/>
  <c r="V2150"/>
  <c r="U2150"/>
  <c r="V2149"/>
  <c r="U2149"/>
  <c r="V2148"/>
  <c r="U2148"/>
  <c r="V2147"/>
  <c r="U2147"/>
  <c r="V2146"/>
  <c r="U2146"/>
  <c r="V2145"/>
  <c r="U2145"/>
  <c r="V2144"/>
  <c r="U2144"/>
  <c r="V2143"/>
  <c r="U2143"/>
  <c r="V2142"/>
  <c r="U2142"/>
  <c r="V2141"/>
  <c r="U2141"/>
  <c r="V2140"/>
  <c r="U2140"/>
  <c r="V2139"/>
  <c r="U2139"/>
  <c r="V2138"/>
  <c r="U2138"/>
  <c r="V2137"/>
  <c r="U2137"/>
  <c r="V2136"/>
  <c r="U2136"/>
  <c r="V2135"/>
  <c r="U2135"/>
  <c r="V2134"/>
  <c r="U2134"/>
  <c r="V2133"/>
  <c r="U2133"/>
  <c r="V2132"/>
  <c r="U2132"/>
  <c r="V2131"/>
  <c r="U2131"/>
  <c r="V2130"/>
  <c r="U2130"/>
  <c r="V2129"/>
  <c r="U2129"/>
  <c r="V2128"/>
  <c r="U2128"/>
  <c r="V2127"/>
  <c r="U2127"/>
  <c r="V2126"/>
  <c r="U2126"/>
  <c r="V2125"/>
  <c r="U2125"/>
  <c r="V2124"/>
  <c r="U2124"/>
  <c r="V2123"/>
  <c r="U2123"/>
  <c r="V2122"/>
  <c r="U2122"/>
  <c r="V2121"/>
  <c r="U2121"/>
  <c r="U2120"/>
  <c r="V2119"/>
  <c r="U2119"/>
  <c r="V2118"/>
  <c r="U2118"/>
  <c r="V2117"/>
  <c r="U2117"/>
  <c r="V2116"/>
  <c r="U2116"/>
  <c r="V2115"/>
  <c r="U2115"/>
  <c r="V2114"/>
  <c r="U2114"/>
  <c r="V2113"/>
  <c r="U2113"/>
  <c r="V2112"/>
  <c r="U2112"/>
  <c r="V2111"/>
  <c r="U2111"/>
  <c r="V2110"/>
  <c r="U2110"/>
  <c r="V2109"/>
  <c r="U2109"/>
  <c r="V2108"/>
  <c r="U2108"/>
  <c r="V2107"/>
  <c r="U2107"/>
  <c r="V2106"/>
  <c r="U2106"/>
  <c r="V2105"/>
  <c r="U2105"/>
  <c r="V2104"/>
  <c r="U2104"/>
  <c r="V2103"/>
  <c r="U2103"/>
  <c r="V2102"/>
  <c r="U2102"/>
  <c r="V2101"/>
  <c r="U2101"/>
  <c r="V2100"/>
  <c r="U2100"/>
  <c r="V2099"/>
  <c r="U2099"/>
  <c r="U2098"/>
  <c r="V2097"/>
  <c r="U2097"/>
  <c r="U2096"/>
  <c r="V2095"/>
  <c r="U2095"/>
  <c r="V2094"/>
  <c r="U2094"/>
  <c r="V2093"/>
  <c r="U2093"/>
  <c r="V2092"/>
  <c r="U2092"/>
  <c r="V2091"/>
  <c r="U2091"/>
  <c r="V2090"/>
  <c r="U2090"/>
  <c r="V2089"/>
  <c r="U2089"/>
  <c r="V2088"/>
  <c r="U2088"/>
  <c r="V2087"/>
  <c r="U2087"/>
  <c r="V2086"/>
  <c r="U2086"/>
  <c r="V2085"/>
  <c r="U2085"/>
  <c r="V2084"/>
  <c r="U2084"/>
  <c r="V2083"/>
  <c r="U2083"/>
  <c r="V2082"/>
  <c r="U2082"/>
  <c r="V2081"/>
  <c r="U2081"/>
  <c r="U2080"/>
  <c r="V2079"/>
  <c r="U2079"/>
  <c r="V2078"/>
  <c r="U2078"/>
  <c r="V2077"/>
  <c r="U2077"/>
  <c r="V2076"/>
  <c r="U2076"/>
  <c r="V2075"/>
  <c r="U2075"/>
  <c r="V2074"/>
  <c r="U2074"/>
  <c r="V2073"/>
  <c r="U2073"/>
  <c r="V2072"/>
  <c r="U2072"/>
  <c r="V2071"/>
  <c r="U2071"/>
  <c r="V2070"/>
  <c r="U2070"/>
  <c r="V2069"/>
  <c r="U2069"/>
  <c r="V2068"/>
  <c r="U2068"/>
  <c r="V2067"/>
  <c r="U2067"/>
  <c r="U2066"/>
  <c r="V2065"/>
  <c r="U2065"/>
  <c r="V2064"/>
  <c r="U2064"/>
  <c r="V2063"/>
  <c r="U2063"/>
  <c r="V2062"/>
  <c r="V2061"/>
  <c r="U2061"/>
  <c r="V2060"/>
  <c r="U2060"/>
  <c r="V2059"/>
  <c r="U2059"/>
  <c r="V2058"/>
  <c r="U2058"/>
  <c r="V2057"/>
  <c r="U2057"/>
  <c r="V2056"/>
  <c r="U2056"/>
  <c r="U2055"/>
  <c r="V2054"/>
  <c r="U2054"/>
  <c r="V2053"/>
  <c r="U2053"/>
  <c r="V2052"/>
  <c r="U2052"/>
  <c r="V2051"/>
  <c r="U2051"/>
  <c r="V2050"/>
  <c r="U2050"/>
  <c r="V2049"/>
  <c r="U2049"/>
  <c r="V2048"/>
  <c r="U2048"/>
  <c r="V2047"/>
  <c r="U2047"/>
  <c r="V2046"/>
  <c r="U2046"/>
  <c r="V2045"/>
  <c r="U2045"/>
  <c r="V2044"/>
  <c r="U2044"/>
  <c r="V2043"/>
  <c r="U2043"/>
  <c r="V2042"/>
  <c r="U2042"/>
  <c r="V2041"/>
  <c r="U2041"/>
  <c r="V2040"/>
  <c r="U2040"/>
  <c r="V2039"/>
  <c r="U2039"/>
  <c r="V2038"/>
  <c r="U2038"/>
  <c r="V2037"/>
  <c r="U2037"/>
  <c r="V2036"/>
  <c r="U2036"/>
  <c r="V2035"/>
  <c r="U2035"/>
  <c r="V2034"/>
  <c r="U2034"/>
  <c r="V2033"/>
  <c r="U2033"/>
  <c r="V2032"/>
  <c r="U2032"/>
  <c r="V2031"/>
  <c r="U2031"/>
  <c r="V2030"/>
  <c r="U2030"/>
  <c r="V2029"/>
  <c r="U2029"/>
  <c r="V2028"/>
  <c r="U2028"/>
  <c r="V2027"/>
  <c r="U2027"/>
  <c r="V2026"/>
  <c r="U2026"/>
  <c r="V2025"/>
  <c r="U2025"/>
  <c r="V2024"/>
  <c r="U2024"/>
  <c r="V2023"/>
  <c r="U2023"/>
  <c r="V2022"/>
  <c r="U2022"/>
  <c r="V2021"/>
  <c r="U2021"/>
  <c r="V2020"/>
  <c r="U2020"/>
  <c r="V2019"/>
  <c r="U2019"/>
  <c r="V2018"/>
  <c r="U2018"/>
  <c r="V2017"/>
  <c r="U2017"/>
  <c r="V2016"/>
  <c r="U2016"/>
  <c r="V2015"/>
  <c r="U2015"/>
  <c r="V2014"/>
  <c r="U2014"/>
  <c r="V2013"/>
  <c r="U2013"/>
  <c r="V2012"/>
  <c r="U2012"/>
  <c r="V2011"/>
  <c r="U2011"/>
  <c r="V2010"/>
  <c r="U2010"/>
  <c r="V2009"/>
  <c r="U2009"/>
  <c r="V2008"/>
  <c r="U2008"/>
  <c r="V2007"/>
  <c r="U2007"/>
  <c r="V2006"/>
  <c r="U2006"/>
  <c r="V2005"/>
  <c r="U2005"/>
  <c r="V2004"/>
  <c r="U2004"/>
  <c r="V2003"/>
  <c r="U2003"/>
  <c r="V2002"/>
  <c r="U2002"/>
  <c r="V2001"/>
  <c r="U2001"/>
  <c r="V2000"/>
  <c r="U2000"/>
  <c r="V1999"/>
  <c r="U1999"/>
  <c r="V1998"/>
  <c r="U1998"/>
  <c r="V1997"/>
  <c r="U1997"/>
  <c r="V1996"/>
  <c r="U1996"/>
  <c r="V1995"/>
  <c r="U1995"/>
  <c r="V1994"/>
  <c r="U1994"/>
  <c r="V1993"/>
  <c r="U1993"/>
  <c r="V1992"/>
  <c r="U1992"/>
  <c r="V1991"/>
  <c r="U1991"/>
  <c r="V1990"/>
  <c r="U1990"/>
  <c r="V1989"/>
  <c r="U1989"/>
  <c r="V1988"/>
  <c r="U1988"/>
  <c r="V1987"/>
  <c r="U1987"/>
  <c r="V1986"/>
  <c r="U1986"/>
  <c r="V1985"/>
  <c r="U1985"/>
  <c r="V1984"/>
  <c r="U1984"/>
  <c r="V1983"/>
  <c r="U1983"/>
  <c r="V1982"/>
  <c r="U1982"/>
  <c r="V1981"/>
  <c r="U1981"/>
  <c r="V1980"/>
  <c r="U1980"/>
  <c r="V1979"/>
  <c r="U1979"/>
  <c r="V1978"/>
  <c r="U1978"/>
  <c r="V1977"/>
  <c r="U1977"/>
  <c r="V1976"/>
  <c r="U1976"/>
  <c r="U1975"/>
  <c r="V1974"/>
  <c r="U1974"/>
  <c r="V1973"/>
  <c r="U1973"/>
  <c r="V1972"/>
  <c r="U1972"/>
  <c r="V1971"/>
  <c r="U1971"/>
  <c r="V1970"/>
  <c r="U1970"/>
  <c r="V1969"/>
  <c r="U1969"/>
  <c r="V1968"/>
  <c r="U1968"/>
  <c r="V1967"/>
  <c r="U1967"/>
  <c r="V1966"/>
  <c r="U1966"/>
  <c r="V1965"/>
  <c r="U1965"/>
  <c r="V1964"/>
  <c r="U1964"/>
  <c r="V1963"/>
  <c r="U1963"/>
  <c r="V1962"/>
  <c r="U1962"/>
  <c r="V1961"/>
  <c r="U1961"/>
  <c r="V1960"/>
  <c r="U1960"/>
  <c r="U1959"/>
  <c r="V1958"/>
  <c r="U1958"/>
  <c r="V1957"/>
  <c r="U1957"/>
  <c r="V1956"/>
  <c r="U1956"/>
  <c r="V1955"/>
  <c r="U1955"/>
  <c r="U1954"/>
  <c r="V1953"/>
  <c r="U1953"/>
  <c r="V1952"/>
  <c r="U1952"/>
  <c r="V1951"/>
  <c r="U1951"/>
  <c r="V1950"/>
  <c r="U1950"/>
  <c r="V1949"/>
  <c r="U1949"/>
  <c r="V1948"/>
  <c r="U1948"/>
  <c r="V1947"/>
  <c r="U1947"/>
  <c r="V1946"/>
  <c r="U1946"/>
  <c r="U1945"/>
  <c r="V1944"/>
  <c r="U1944"/>
  <c r="V1943"/>
  <c r="U1943"/>
  <c r="V1942"/>
  <c r="U1942"/>
  <c r="V1941"/>
  <c r="U1941"/>
  <c r="V1940"/>
  <c r="U1940"/>
  <c r="V1939"/>
  <c r="U1939"/>
  <c r="V1938"/>
  <c r="U1938"/>
  <c r="V1937"/>
  <c r="U1937"/>
  <c r="V1936"/>
  <c r="U1936"/>
  <c r="V1935"/>
  <c r="U1935"/>
  <c r="V1934"/>
  <c r="U1934"/>
  <c r="V1933"/>
  <c r="U1933"/>
  <c r="V1932"/>
  <c r="U1932"/>
  <c r="V1931"/>
  <c r="U1931"/>
  <c r="V1930"/>
  <c r="U1930"/>
  <c r="V1929"/>
  <c r="U1929"/>
  <c r="V1928"/>
  <c r="U1928"/>
  <c r="V1927"/>
  <c r="U1927"/>
  <c r="V1926"/>
  <c r="U1926"/>
  <c r="V1925"/>
  <c r="U1925"/>
  <c r="V1924"/>
  <c r="U1924"/>
  <c r="V1923"/>
  <c r="U1923"/>
  <c r="V1922"/>
  <c r="U1922"/>
  <c r="V1921"/>
  <c r="U1921"/>
  <c r="V1920"/>
  <c r="U1920"/>
  <c r="V1919"/>
  <c r="U1919"/>
  <c r="V1918"/>
  <c r="U1918"/>
  <c r="V1917"/>
  <c r="U1917"/>
  <c r="V1916"/>
  <c r="U1916"/>
  <c r="V1915"/>
  <c r="U1915"/>
  <c r="V1914"/>
  <c r="U1914"/>
  <c r="V1913"/>
  <c r="U1913"/>
  <c r="V1912"/>
  <c r="U1912"/>
  <c r="V1911"/>
  <c r="U1911"/>
  <c r="V1910"/>
  <c r="U1910"/>
  <c r="V1909"/>
  <c r="U1909"/>
  <c r="V1908"/>
  <c r="U1908"/>
  <c r="V1907"/>
  <c r="U1907"/>
  <c r="V1906"/>
  <c r="U1906"/>
  <c r="V1905"/>
  <c r="U1905"/>
  <c r="V1904"/>
  <c r="U1904"/>
  <c r="V1903"/>
  <c r="U1903"/>
  <c r="V1902"/>
  <c r="U1902"/>
  <c r="V1901"/>
  <c r="U1901"/>
  <c r="V1900"/>
  <c r="U1900"/>
  <c r="V1899"/>
  <c r="U1899"/>
  <c r="V1898"/>
  <c r="U1898"/>
  <c r="V1897"/>
  <c r="U1897"/>
  <c r="V1896"/>
  <c r="U1896"/>
  <c r="V1895"/>
  <c r="U1895"/>
  <c r="V1894"/>
  <c r="U1894"/>
  <c r="V1893"/>
  <c r="U1893"/>
  <c r="V1892"/>
  <c r="U1892"/>
  <c r="V1891"/>
  <c r="U1891"/>
  <c r="V1890"/>
  <c r="U1890"/>
  <c r="V1889"/>
  <c r="U1889"/>
  <c r="V1888"/>
  <c r="U1888"/>
  <c r="V1887"/>
  <c r="U1887"/>
  <c r="V1886"/>
  <c r="U1886"/>
  <c r="V1885"/>
  <c r="U1885"/>
  <c r="V1884"/>
  <c r="U1884"/>
  <c r="V1883"/>
  <c r="U1883"/>
  <c r="V1882"/>
  <c r="U1882"/>
  <c r="V1881"/>
  <c r="U1881"/>
  <c r="V1880"/>
  <c r="U1880"/>
  <c r="V1879"/>
  <c r="U1879"/>
  <c r="V1878"/>
  <c r="U1878"/>
  <c r="V1877"/>
  <c r="V1876"/>
  <c r="U1876"/>
  <c r="V1875"/>
  <c r="U1875"/>
  <c r="V1874"/>
  <c r="U1874"/>
  <c r="V1873"/>
  <c r="U1873"/>
  <c r="U1872"/>
  <c r="U1871"/>
  <c r="V1870"/>
  <c r="U1870"/>
  <c r="V1869"/>
  <c r="U1869"/>
  <c r="V1868"/>
  <c r="U1868"/>
  <c r="V1867"/>
  <c r="U1867"/>
  <c r="V1866"/>
  <c r="U1866"/>
  <c r="V1865"/>
  <c r="V1864"/>
  <c r="U1864"/>
  <c r="V1863"/>
  <c r="U1863"/>
  <c r="V1862"/>
  <c r="U1862"/>
  <c r="U1861"/>
  <c r="V1860"/>
  <c r="U1860"/>
  <c r="V1859"/>
  <c r="U1859"/>
  <c r="V1858"/>
  <c r="U1858"/>
  <c r="V1857"/>
  <c r="U1857"/>
  <c r="V1856"/>
  <c r="U1856"/>
  <c r="V1855"/>
  <c r="U1855"/>
  <c r="V1854"/>
  <c r="U1854"/>
  <c r="V1853"/>
  <c r="U1853"/>
  <c r="V1852"/>
  <c r="U1852"/>
  <c r="V1851"/>
  <c r="U1851"/>
  <c r="V1850"/>
  <c r="U1850"/>
  <c r="V1849"/>
  <c r="U1849"/>
  <c r="V1848"/>
  <c r="U1848"/>
  <c r="V1847"/>
  <c r="U1847"/>
  <c r="V1846"/>
  <c r="U1846"/>
  <c r="V1845"/>
  <c r="U1845"/>
  <c r="V1844"/>
  <c r="U1844"/>
  <c r="V1843"/>
  <c r="U1843"/>
  <c r="V1842"/>
  <c r="U1842"/>
  <c r="V1841"/>
  <c r="U1841"/>
  <c r="V1840"/>
  <c r="U1840"/>
  <c r="V1839"/>
  <c r="U1839"/>
  <c r="V1838"/>
  <c r="U1838"/>
  <c r="V1837"/>
  <c r="U1837"/>
  <c r="V1836"/>
  <c r="U1836"/>
  <c r="V1835"/>
  <c r="U1835"/>
  <c r="V1834"/>
  <c r="U1834"/>
  <c r="U1833"/>
  <c r="V1832"/>
  <c r="U1832"/>
  <c r="V1831"/>
  <c r="U1831"/>
  <c r="U1830"/>
  <c r="V1829"/>
  <c r="U1829"/>
  <c r="V1828"/>
  <c r="U1828"/>
  <c r="V1827"/>
  <c r="U1827"/>
  <c r="V1826"/>
  <c r="U1826"/>
  <c r="V1825"/>
  <c r="U1825"/>
  <c r="V1824"/>
  <c r="U1824"/>
  <c r="V1823"/>
  <c r="U1823"/>
  <c r="V1822"/>
  <c r="U1822"/>
  <c r="V1821"/>
  <c r="U1821"/>
  <c r="V1820"/>
  <c r="U1820"/>
  <c r="V1819"/>
  <c r="U1819"/>
  <c r="V1818"/>
  <c r="U1818"/>
  <c r="V1817"/>
  <c r="U1817"/>
  <c r="U1816"/>
  <c r="V1815"/>
  <c r="U1815"/>
  <c r="V1814"/>
  <c r="U1814"/>
  <c r="V1813"/>
  <c r="U1813"/>
  <c r="V1812"/>
  <c r="U1812"/>
  <c r="V1811"/>
  <c r="U1811"/>
  <c r="V1810"/>
  <c r="U1810"/>
  <c r="V1809"/>
  <c r="U1809"/>
  <c r="V1808"/>
  <c r="U1808"/>
  <c r="V1807"/>
  <c r="U1807"/>
  <c r="V1806"/>
  <c r="U1806"/>
  <c r="V1805"/>
  <c r="U1805"/>
  <c r="V1804"/>
  <c r="U1804"/>
  <c r="V1803"/>
  <c r="U1803"/>
  <c r="V1802"/>
  <c r="U1802"/>
  <c r="V1801"/>
  <c r="U1801"/>
  <c r="V1800"/>
  <c r="U1800"/>
  <c r="V1799"/>
  <c r="V1798"/>
  <c r="U1798"/>
  <c r="V1797"/>
  <c r="U1797"/>
  <c r="V1796"/>
  <c r="U1796"/>
  <c r="V1795"/>
  <c r="U1795"/>
  <c r="V1794"/>
  <c r="U1794"/>
  <c r="V1793"/>
  <c r="U1793"/>
  <c r="V1792"/>
  <c r="V1791"/>
  <c r="U1791"/>
  <c r="V1790"/>
  <c r="U1790"/>
  <c r="V1789"/>
  <c r="U1789"/>
  <c r="V1788"/>
  <c r="U1788"/>
  <c r="V1787"/>
  <c r="U1787"/>
  <c r="V1786"/>
  <c r="U1786"/>
  <c r="V1785"/>
  <c r="U1785"/>
  <c r="V1784"/>
  <c r="U1784"/>
  <c r="V1783"/>
  <c r="U1783"/>
  <c r="V1782"/>
  <c r="U1782"/>
  <c r="V1781"/>
  <c r="U1781"/>
  <c r="V1780"/>
  <c r="U1780"/>
  <c r="V1779"/>
  <c r="U1779"/>
  <c r="V1778"/>
  <c r="U1778"/>
  <c r="V1777"/>
  <c r="U1777"/>
  <c r="V1776"/>
  <c r="U1776"/>
  <c r="V1775"/>
  <c r="U1775"/>
  <c r="V1774"/>
  <c r="U1774"/>
  <c r="V1773"/>
  <c r="U1773"/>
  <c r="V1772"/>
  <c r="U1772"/>
  <c r="V1771"/>
  <c r="U1771"/>
  <c r="V1770"/>
  <c r="U1770"/>
  <c r="V1769"/>
  <c r="U1769"/>
  <c r="V1768"/>
  <c r="U1768"/>
  <c r="V1767"/>
  <c r="U1767"/>
  <c r="V1766"/>
  <c r="U1766"/>
  <c r="V1765"/>
  <c r="U1765"/>
  <c r="V1764"/>
  <c r="U1764"/>
  <c r="V1763"/>
  <c r="U1763"/>
  <c r="V1762"/>
  <c r="U1762"/>
  <c r="V1761"/>
  <c r="U1761"/>
  <c r="V1760"/>
  <c r="U1760"/>
  <c r="V1759"/>
  <c r="U1759"/>
  <c r="V1758"/>
  <c r="U1758"/>
  <c r="V1757"/>
  <c r="U1757"/>
  <c r="V1756"/>
  <c r="U1756"/>
  <c r="V1755"/>
  <c r="U1755"/>
  <c r="V1754"/>
  <c r="U1754"/>
  <c r="V1753"/>
  <c r="U1753"/>
  <c r="V1752"/>
  <c r="U1752"/>
  <c r="V1751"/>
  <c r="U1751"/>
  <c r="V1750"/>
  <c r="U1750"/>
  <c r="V1749"/>
  <c r="U1749"/>
  <c r="V1748"/>
  <c r="U1748"/>
  <c r="V1747"/>
  <c r="U1747"/>
  <c r="V1746"/>
  <c r="U1746"/>
  <c r="V1745"/>
  <c r="U1745"/>
  <c r="V1744"/>
  <c r="U1744"/>
  <c r="V1743"/>
  <c r="U1743"/>
  <c r="V1742"/>
  <c r="U1742"/>
  <c r="V1741"/>
  <c r="U1741"/>
  <c r="V1740"/>
  <c r="U1740"/>
  <c r="V1739"/>
  <c r="U1739"/>
  <c r="V1738"/>
  <c r="U1738"/>
  <c r="V1737"/>
  <c r="U1737"/>
  <c r="V1736"/>
  <c r="U1736"/>
  <c r="V1735"/>
  <c r="U1735"/>
  <c r="V1734"/>
  <c r="U1734"/>
  <c r="V1733"/>
  <c r="U1733"/>
  <c r="V1732"/>
  <c r="U1732"/>
  <c r="V1731"/>
  <c r="U1731"/>
  <c r="V1730"/>
  <c r="U1730"/>
  <c r="V1729"/>
  <c r="U1729"/>
  <c r="V1728"/>
  <c r="U1728"/>
  <c r="V1727"/>
  <c r="U1727"/>
  <c r="V1726"/>
  <c r="U1726"/>
  <c r="V1725"/>
  <c r="U1725"/>
  <c r="V1724"/>
  <c r="U1724"/>
  <c r="V1723"/>
  <c r="U1723"/>
  <c r="V1722"/>
  <c r="U1722"/>
  <c r="V1721"/>
  <c r="U1721"/>
  <c r="V1720"/>
  <c r="U1720"/>
  <c r="V1719"/>
  <c r="U1719"/>
  <c r="V1718"/>
  <c r="U1718"/>
  <c r="V1717"/>
  <c r="U1717"/>
  <c r="V1716"/>
  <c r="U1716"/>
  <c r="V1715"/>
  <c r="U1715"/>
  <c r="V1714"/>
  <c r="U1714"/>
  <c r="V1713"/>
  <c r="U1713"/>
  <c r="V1712"/>
  <c r="U1712"/>
  <c r="V1711"/>
  <c r="U1711"/>
  <c r="V1710"/>
  <c r="U1710"/>
  <c r="V1709"/>
  <c r="U1709"/>
  <c r="V1708"/>
  <c r="U1708"/>
  <c r="V1707"/>
  <c r="U1707"/>
  <c r="V1706"/>
  <c r="U1706"/>
  <c r="V1705"/>
  <c r="V1704"/>
  <c r="U1704"/>
  <c r="V1703"/>
  <c r="U1703"/>
  <c r="V1702"/>
  <c r="U1702"/>
  <c r="V1701"/>
  <c r="U1701"/>
  <c r="V1700"/>
  <c r="U1700"/>
  <c r="V1699"/>
  <c r="U1699"/>
  <c r="V1698"/>
  <c r="U1698"/>
  <c r="V1697"/>
  <c r="U1697"/>
  <c r="V1696"/>
  <c r="U1696"/>
  <c r="V1695"/>
  <c r="U1695"/>
  <c r="V1694"/>
  <c r="U1694"/>
  <c r="V1693"/>
  <c r="U1693"/>
  <c r="V1692"/>
  <c r="U1692"/>
  <c r="V1691"/>
  <c r="U1691"/>
  <c r="V1690"/>
  <c r="U1690"/>
  <c r="V1689"/>
  <c r="U1689"/>
  <c r="V1688"/>
  <c r="U1688"/>
  <c r="V1687"/>
  <c r="U1687"/>
  <c r="V1686"/>
  <c r="U1686"/>
  <c r="V1685"/>
  <c r="U1685"/>
  <c r="V1684"/>
  <c r="U1684"/>
  <c r="V1683"/>
  <c r="U1683"/>
  <c r="V1682"/>
  <c r="U1682"/>
  <c r="V1681"/>
  <c r="U1681"/>
  <c r="V1680"/>
  <c r="U1680"/>
  <c r="V1679"/>
  <c r="U1679"/>
  <c r="U1678"/>
  <c r="V1677"/>
  <c r="U1677"/>
  <c r="V1676"/>
  <c r="U1676"/>
  <c r="U1675"/>
  <c r="V1674"/>
  <c r="U1674"/>
  <c r="V1673"/>
  <c r="U1673"/>
  <c r="U1672"/>
  <c r="V1671"/>
  <c r="U1671"/>
  <c r="V1670"/>
  <c r="U1670"/>
  <c r="V1669"/>
  <c r="U1669"/>
  <c r="V1668"/>
  <c r="U1668"/>
  <c r="V1667"/>
  <c r="U1667"/>
  <c r="V1666"/>
  <c r="U1666"/>
  <c r="V1665"/>
  <c r="U1665"/>
  <c r="V1664"/>
  <c r="U1664"/>
  <c r="V1663"/>
  <c r="U1663"/>
  <c r="V1662"/>
  <c r="U1662"/>
  <c r="V1661"/>
  <c r="U1661"/>
  <c r="V1660"/>
  <c r="U1660"/>
  <c r="V1659"/>
  <c r="U1659"/>
  <c r="V1658"/>
  <c r="U1658"/>
  <c r="V1657"/>
  <c r="V1656"/>
  <c r="U1656"/>
  <c r="U1655"/>
  <c r="V1654"/>
  <c r="U1654"/>
  <c r="V1653"/>
  <c r="U1653"/>
  <c r="V1652"/>
  <c r="U1652"/>
  <c r="V1651"/>
  <c r="U1651"/>
  <c r="V1650"/>
  <c r="U1650"/>
  <c r="V1649"/>
  <c r="U1649"/>
  <c r="V1648"/>
  <c r="U1648"/>
  <c r="V1647"/>
  <c r="U1647"/>
  <c r="V1646"/>
  <c r="U1646"/>
  <c r="V1645"/>
  <c r="U1645"/>
  <c r="V1644"/>
  <c r="U1644"/>
  <c r="V1643"/>
  <c r="U1643"/>
  <c r="V1642"/>
  <c r="U1642"/>
  <c r="V1641"/>
  <c r="U1641"/>
  <c r="V1640"/>
  <c r="U1640"/>
  <c r="V1639"/>
  <c r="U1639"/>
  <c r="V1638"/>
  <c r="U1638"/>
  <c r="V1637"/>
  <c r="U1637"/>
  <c r="V1636"/>
  <c r="U1636"/>
  <c r="V1635"/>
  <c r="U1635"/>
  <c r="V1634"/>
  <c r="U1634"/>
  <c r="V1633"/>
  <c r="U1633"/>
  <c r="V1632"/>
  <c r="U1632"/>
  <c r="V1631"/>
  <c r="U1631"/>
  <c r="V1630"/>
  <c r="U1630"/>
  <c r="V1629"/>
  <c r="U1629"/>
  <c r="V1628"/>
  <c r="U1628"/>
  <c r="U1627"/>
  <c r="V1626"/>
  <c r="U1626"/>
  <c r="V1625"/>
  <c r="U1625"/>
  <c r="V1624"/>
  <c r="U1624"/>
  <c r="V1623"/>
  <c r="U1623"/>
  <c r="V1622"/>
  <c r="U1622"/>
  <c r="V1621"/>
  <c r="U1621"/>
  <c r="V1620"/>
  <c r="U1620"/>
  <c r="V1619"/>
  <c r="U1619"/>
  <c r="V1618"/>
  <c r="U1618"/>
  <c r="V1617"/>
  <c r="U1617"/>
  <c r="V1616"/>
  <c r="U1616"/>
  <c r="V1615"/>
  <c r="U1615"/>
  <c r="V1614"/>
  <c r="U1614"/>
  <c r="V1613"/>
  <c r="U1613"/>
  <c r="V1612"/>
  <c r="U1612"/>
  <c r="V1611"/>
  <c r="U1611"/>
  <c r="V1610"/>
  <c r="U1610"/>
  <c r="V1609"/>
  <c r="U1609"/>
  <c r="V1608"/>
  <c r="U1608"/>
  <c r="V1607"/>
  <c r="U1607"/>
  <c r="V1606"/>
  <c r="U1606"/>
  <c r="V1605"/>
  <c r="U1605"/>
  <c r="V1604"/>
  <c r="U1604"/>
  <c r="V1603"/>
  <c r="U1603"/>
  <c r="V1602"/>
  <c r="U1602"/>
  <c r="V1601"/>
  <c r="U1601"/>
  <c r="V1600"/>
  <c r="U1600"/>
  <c r="V1599"/>
  <c r="U1599"/>
  <c r="V1598"/>
  <c r="U1598"/>
  <c r="V1597"/>
  <c r="U1597"/>
  <c r="V1596"/>
  <c r="U1596"/>
  <c r="V1595"/>
  <c r="U1595"/>
  <c r="V1594"/>
  <c r="U1594"/>
  <c r="V1593"/>
  <c r="U1593"/>
  <c r="V1592"/>
  <c r="U1592"/>
  <c r="V1591"/>
  <c r="U1591"/>
  <c r="V1590"/>
  <c r="U1590"/>
  <c r="V1589"/>
  <c r="U1589"/>
  <c r="V1588"/>
  <c r="U1588"/>
  <c r="V1587"/>
  <c r="U1587"/>
  <c r="V1586"/>
  <c r="U1586"/>
  <c r="U1585"/>
  <c r="V1584"/>
  <c r="U1584"/>
  <c r="V1583"/>
  <c r="U1583"/>
  <c r="V1582"/>
  <c r="U1582"/>
  <c r="V1581"/>
  <c r="U1581"/>
  <c r="V1580"/>
  <c r="U1580"/>
  <c r="V1579"/>
  <c r="U1579"/>
  <c r="V1578"/>
  <c r="U1578"/>
  <c r="V1577"/>
  <c r="U1577"/>
  <c r="V1576"/>
  <c r="U1576"/>
  <c r="V1575"/>
  <c r="U1575"/>
  <c r="V1574"/>
  <c r="U1574"/>
  <c r="V1573"/>
  <c r="U1573"/>
  <c r="V1572"/>
  <c r="U1572"/>
  <c r="V1571"/>
  <c r="U1571"/>
  <c r="V1570"/>
  <c r="U1570"/>
  <c r="V1569"/>
  <c r="U1569"/>
  <c r="V1568"/>
  <c r="U1568"/>
  <c r="V1567"/>
  <c r="U1567"/>
  <c r="V1566"/>
  <c r="U1566"/>
  <c r="V1565"/>
  <c r="U1565"/>
  <c r="V1564"/>
  <c r="U1564"/>
  <c r="V1563"/>
  <c r="U1563"/>
  <c r="V1562"/>
  <c r="U1562"/>
  <c r="V1561"/>
  <c r="U1561"/>
  <c r="V1560"/>
  <c r="U1560"/>
  <c r="V1559"/>
  <c r="U1559"/>
  <c r="V1558"/>
  <c r="U1558"/>
  <c r="V1557"/>
  <c r="U1557"/>
  <c r="V1556"/>
  <c r="U1556"/>
  <c r="V1555"/>
  <c r="U1555"/>
  <c r="V1554"/>
  <c r="U1554"/>
  <c r="V1553"/>
  <c r="U1553"/>
  <c r="V1552"/>
  <c r="U1552"/>
  <c r="V1551"/>
  <c r="U1551"/>
  <c r="V1550"/>
  <c r="U1550"/>
  <c r="V1549"/>
  <c r="U1549"/>
  <c r="V1548"/>
  <c r="U1548"/>
  <c r="V1547"/>
  <c r="U1547"/>
  <c r="V1546"/>
  <c r="U1546"/>
  <c r="V1545"/>
  <c r="U1545"/>
  <c r="V1544"/>
  <c r="U1544"/>
  <c r="V1543"/>
  <c r="U1543"/>
  <c r="V1542"/>
  <c r="U1542"/>
  <c r="V1541"/>
  <c r="U1541"/>
  <c r="V1540"/>
  <c r="U1540"/>
  <c r="V1539"/>
  <c r="U1539"/>
  <c r="V1538"/>
  <c r="U1538"/>
  <c r="V1537"/>
  <c r="V1536"/>
  <c r="U1536"/>
  <c r="V1535"/>
  <c r="U1535"/>
  <c r="V1534"/>
  <c r="U1534"/>
  <c r="V1533"/>
  <c r="U1533"/>
  <c r="V1532"/>
  <c r="U1532"/>
  <c r="V1531"/>
  <c r="U1531"/>
  <c r="V1530"/>
  <c r="U1530"/>
  <c r="V1529"/>
  <c r="U1529"/>
  <c r="V1528"/>
  <c r="U1528"/>
  <c r="V1527"/>
  <c r="U1527"/>
  <c r="V1526"/>
  <c r="U1526"/>
  <c r="V1525"/>
  <c r="U1525"/>
  <c r="V1524"/>
  <c r="U1524"/>
  <c r="V1523"/>
  <c r="U1523"/>
  <c r="V1522"/>
  <c r="U1522"/>
  <c r="V1521"/>
  <c r="U1521"/>
  <c r="V1520"/>
  <c r="U1520"/>
  <c r="V1519"/>
  <c r="U1519"/>
  <c r="V1518"/>
  <c r="U1518"/>
  <c r="V1517"/>
  <c r="U1517"/>
  <c r="V1516"/>
  <c r="U1516"/>
  <c r="V1515"/>
  <c r="U1515"/>
  <c r="V1514"/>
  <c r="U1514"/>
  <c r="U1513"/>
  <c r="V1512"/>
  <c r="U1512"/>
  <c r="V1511"/>
  <c r="U1511"/>
  <c r="V1510"/>
  <c r="U1510"/>
  <c r="V1509"/>
  <c r="U1509"/>
  <c r="V1508"/>
  <c r="U1508"/>
  <c r="V1507"/>
  <c r="U1507"/>
  <c r="V1506"/>
  <c r="U1506"/>
  <c r="V1505"/>
  <c r="U1505"/>
  <c r="V1504"/>
  <c r="U1504"/>
  <c r="V1503"/>
  <c r="U1503"/>
  <c r="V1502"/>
  <c r="U1502"/>
  <c r="V1501"/>
  <c r="U1501"/>
  <c r="V1500"/>
  <c r="U1500"/>
  <c r="V1499"/>
  <c r="U1499"/>
  <c r="V1498"/>
  <c r="U1498"/>
  <c r="V1497"/>
  <c r="U1497"/>
  <c r="V1496"/>
  <c r="U1496"/>
  <c r="V1495"/>
  <c r="U1495"/>
  <c r="V1494"/>
  <c r="U1494"/>
  <c r="V1493"/>
  <c r="U1493"/>
  <c r="V1492"/>
  <c r="U1492"/>
  <c r="V1491"/>
  <c r="U1491"/>
  <c r="V1490"/>
  <c r="U1490"/>
  <c r="V1489"/>
  <c r="U1489"/>
  <c r="V1488"/>
  <c r="U1488"/>
  <c r="V1487"/>
  <c r="U1487"/>
  <c r="V1486"/>
  <c r="U1486"/>
  <c r="V1485"/>
  <c r="U1485"/>
  <c r="V1484"/>
  <c r="U1484"/>
  <c r="V1483"/>
  <c r="U1483"/>
  <c r="V1482"/>
  <c r="U1482"/>
  <c r="U1481"/>
  <c r="V1480"/>
  <c r="U1480"/>
  <c r="U1479"/>
  <c r="V1478"/>
  <c r="U1478"/>
  <c r="V1477"/>
  <c r="U1477"/>
  <c r="V1476"/>
  <c r="U1476"/>
  <c r="V1475"/>
  <c r="U1475"/>
  <c r="U1474"/>
  <c r="V1473"/>
  <c r="U1473"/>
  <c r="V1472"/>
  <c r="U1472"/>
  <c r="V1471"/>
  <c r="U1471"/>
  <c r="V1470"/>
  <c r="U1470"/>
  <c r="V1469"/>
  <c r="U1469"/>
  <c r="V1468"/>
  <c r="U1468"/>
  <c r="V1467"/>
  <c r="U1467"/>
  <c r="V1466"/>
  <c r="U1466"/>
  <c r="V1465"/>
  <c r="U1465"/>
  <c r="V1464"/>
  <c r="U1464"/>
  <c r="V1463"/>
  <c r="U1463"/>
  <c r="V1462"/>
  <c r="U1462"/>
  <c r="V1461"/>
  <c r="U1461"/>
  <c r="V1460"/>
  <c r="U1460"/>
  <c r="V1459"/>
  <c r="U1459"/>
  <c r="V1458"/>
  <c r="U1458"/>
  <c r="V1457"/>
  <c r="U1457"/>
  <c r="V1456"/>
  <c r="U1456"/>
  <c r="V1455"/>
  <c r="U1455"/>
  <c r="V1454"/>
  <c r="U1454"/>
  <c r="V1453"/>
  <c r="U1453"/>
  <c r="U1452"/>
  <c r="V1451"/>
  <c r="U1451"/>
  <c r="V1450"/>
  <c r="U1450"/>
  <c r="V1449"/>
  <c r="U1449"/>
  <c r="V1448"/>
  <c r="U1448"/>
  <c r="V1447"/>
  <c r="U1447"/>
  <c r="V1446"/>
  <c r="U1446"/>
  <c r="V1445"/>
  <c r="U1445"/>
  <c r="V1444"/>
  <c r="U1444"/>
  <c r="V1443"/>
  <c r="U1443"/>
  <c r="V1442"/>
  <c r="U1442"/>
  <c r="V1441"/>
  <c r="U1441"/>
  <c r="V1440"/>
  <c r="U1440"/>
  <c r="V1439"/>
  <c r="U1439"/>
  <c r="V1438"/>
  <c r="U1438"/>
  <c r="V1437"/>
  <c r="U1437"/>
  <c r="U1436"/>
  <c r="V1435"/>
  <c r="U1435"/>
  <c r="V1434"/>
  <c r="U1434"/>
  <c r="V1433"/>
  <c r="U1433"/>
  <c r="V1432"/>
  <c r="U1432"/>
  <c r="V1431"/>
  <c r="U1431"/>
  <c r="V1430"/>
  <c r="U1430"/>
  <c r="U1429"/>
  <c r="V1428"/>
  <c r="U1428"/>
  <c r="V1427"/>
  <c r="U1427"/>
  <c r="V1426"/>
  <c r="U1426"/>
  <c r="V1425"/>
  <c r="U1425"/>
  <c r="V1424"/>
  <c r="U1424"/>
  <c r="V1423"/>
  <c r="U1423"/>
  <c r="V1422"/>
  <c r="U1422"/>
  <c r="V1421"/>
  <c r="U1421"/>
  <c r="V1420"/>
  <c r="U1420"/>
  <c r="V1419"/>
  <c r="U1419"/>
  <c r="V1418"/>
  <c r="U1418"/>
  <c r="V1417"/>
  <c r="U1417"/>
  <c r="V1416"/>
  <c r="U1416"/>
  <c r="V1415"/>
  <c r="U1415"/>
  <c r="V1414"/>
  <c r="U1414"/>
  <c r="V1413"/>
  <c r="U1413"/>
  <c r="V1412"/>
  <c r="U1412"/>
  <c r="V1411"/>
  <c r="U1411"/>
  <c r="V1410"/>
  <c r="U1410"/>
  <c r="V1409"/>
  <c r="U1409"/>
  <c r="V1408"/>
  <c r="U1408"/>
  <c r="V1407"/>
  <c r="U1407"/>
  <c r="V1406"/>
  <c r="U1406"/>
  <c r="V1405"/>
  <c r="U1405"/>
  <c r="V1404"/>
  <c r="U1404"/>
  <c r="V1403"/>
  <c r="U1403"/>
  <c r="V1402"/>
  <c r="U1402"/>
  <c r="V1401"/>
  <c r="U1401"/>
  <c r="V1400"/>
  <c r="U1400"/>
  <c r="V1399"/>
  <c r="U1399"/>
  <c r="V1398"/>
  <c r="U1398"/>
  <c r="V1397"/>
  <c r="U1397"/>
  <c r="V1396"/>
  <c r="U1396"/>
  <c r="V1395"/>
  <c r="U1395"/>
  <c r="V1394"/>
  <c r="U1394"/>
  <c r="V1393"/>
  <c r="U1393"/>
  <c r="U1392"/>
  <c r="V1391"/>
  <c r="U1391"/>
  <c r="V1390"/>
  <c r="U1390"/>
  <c r="V1389"/>
  <c r="U1389"/>
  <c r="V1388"/>
  <c r="U1388"/>
  <c r="V1387"/>
  <c r="U1387"/>
  <c r="V1386"/>
  <c r="U1386"/>
  <c r="V1385"/>
  <c r="U1385"/>
  <c r="V1384"/>
  <c r="U1384"/>
  <c r="V1383"/>
  <c r="V1382"/>
  <c r="U1382"/>
  <c r="V1381"/>
  <c r="U1381"/>
  <c r="V1380"/>
  <c r="U1380"/>
  <c r="V1379"/>
  <c r="U1379"/>
  <c r="V1378"/>
  <c r="U1378"/>
  <c r="V1377"/>
  <c r="U1377"/>
  <c r="V1376"/>
  <c r="U1376"/>
  <c r="V1375"/>
  <c r="U1375"/>
  <c r="V1374"/>
  <c r="U1374"/>
  <c r="V1373"/>
  <c r="U1373"/>
  <c r="V1372"/>
  <c r="U1372"/>
  <c r="V1371"/>
  <c r="U1371"/>
  <c r="U1370"/>
  <c r="V1369"/>
  <c r="U1369"/>
  <c r="V1368"/>
  <c r="U1368"/>
  <c r="V1367"/>
  <c r="U1367"/>
  <c r="V1366"/>
  <c r="U1366"/>
  <c r="V1365"/>
  <c r="U1365"/>
  <c r="V1364"/>
  <c r="U1364"/>
  <c r="V1363"/>
  <c r="U1363"/>
  <c r="V1362"/>
  <c r="U1362"/>
  <c r="V1361"/>
  <c r="U1361"/>
  <c r="V1360"/>
  <c r="U1360"/>
  <c r="V1359"/>
  <c r="U1359"/>
  <c r="V1358"/>
  <c r="U1358"/>
  <c r="V1357"/>
  <c r="U1357"/>
  <c r="V1356"/>
  <c r="U1356"/>
  <c r="U1355"/>
  <c r="U1354"/>
  <c r="V1353"/>
  <c r="U1353"/>
  <c r="V1352"/>
  <c r="U1352"/>
  <c r="V1351"/>
  <c r="U1351"/>
  <c r="V1350"/>
  <c r="U1350"/>
  <c r="V1349"/>
  <c r="U1349"/>
  <c r="V1348"/>
  <c r="U1348"/>
  <c r="V1347"/>
  <c r="U1347"/>
  <c r="V1346"/>
  <c r="U1346"/>
  <c r="V1345"/>
  <c r="U1345"/>
  <c r="V1344"/>
  <c r="U1344"/>
  <c r="V1343"/>
  <c r="U1343"/>
  <c r="V1342"/>
  <c r="U1342"/>
  <c r="V1341"/>
  <c r="U1341"/>
  <c r="V1340"/>
  <c r="U1340"/>
  <c r="V1339"/>
  <c r="U1339"/>
  <c r="V1338"/>
  <c r="U1338"/>
  <c r="V1337"/>
  <c r="U1337"/>
  <c r="V1336"/>
  <c r="U1336"/>
  <c r="V1335"/>
  <c r="U1335"/>
  <c r="V1334"/>
  <c r="U1334"/>
  <c r="V1333"/>
  <c r="U1333"/>
  <c r="V1332"/>
  <c r="U1332"/>
  <c r="V1331"/>
  <c r="U1331"/>
  <c r="V1330"/>
  <c r="U1330"/>
  <c r="V1329"/>
  <c r="U1329"/>
  <c r="V1328"/>
  <c r="U1328"/>
  <c r="V1327"/>
  <c r="U1327"/>
  <c r="V1326"/>
  <c r="U1326"/>
  <c r="V1325"/>
  <c r="U1325"/>
  <c r="V1324"/>
  <c r="U1324"/>
  <c r="V1323"/>
  <c r="U1323"/>
  <c r="V1322"/>
  <c r="U1322"/>
  <c r="V1321"/>
  <c r="U1321"/>
  <c r="V1320"/>
  <c r="U1320"/>
  <c r="V1319"/>
  <c r="U1319"/>
  <c r="V1318"/>
  <c r="U1318"/>
  <c r="V1317"/>
  <c r="U1317"/>
  <c r="V1316"/>
  <c r="U1316"/>
  <c r="U1315"/>
  <c r="V1314"/>
  <c r="U1314"/>
  <c r="V1313"/>
  <c r="U1313"/>
  <c r="U1312"/>
  <c r="V1311"/>
  <c r="U1311"/>
  <c r="V1310"/>
  <c r="U1310"/>
  <c r="V1309"/>
  <c r="U1309"/>
  <c r="V1308"/>
  <c r="U1308"/>
  <c r="V1307"/>
  <c r="U1307"/>
  <c r="V1306"/>
  <c r="U1306"/>
  <c r="V1305"/>
  <c r="U1305"/>
  <c r="V1304"/>
  <c r="U1304"/>
  <c r="V1303"/>
  <c r="U1303"/>
  <c r="V1302"/>
  <c r="U1302"/>
  <c r="V1301"/>
  <c r="U1301"/>
  <c r="V1300"/>
  <c r="U1300"/>
  <c r="V1299"/>
  <c r="U1299"/>
  <c r="V1298"/>
  <c r="U1298"/>
  <c r="V1297"/>
  <c r="U1297"/>
  <c r="V1296"/>
  <c r="U1296"/>
  <c r="V1295"/>
  <c r="U1295"/>
  <c r="V1294"/>
  <c r="U1294"/>
  <c r="V1293"/>
  <c r="U1293"/>
  <c r="V1292"/>
  <c r="U1292"/>
  <c r="V1291"/>
  <c r="U1291"/>
  <c r="V1290"/>
  <c r="U1290"/>
  <c r="V1289"/>
  <c r="U1289"/>
  <c r="V1288"/>
  <c r="U1288"/>
  <c r="V1287"/>
  <c r="U1287"/>
  <c r="V1286"/>
  <c r="U1286"/>
  <c r="V1285"/>
  <c r="U1285"/>
  <c r="V1284"/>
  <c r="U1284"/>
  <c r="V1283"/>
  <c r="U1283"/>
  <c r="V1282"/>
  <c r="U1282"/>
  <c r="U1281"/>
  <c r="U1280"/>
  <c r="V1279"/>
  <c r="U1279"/>
  <c r="V1278"/>
  <c r="U1278"/>
  <c r="V1277"/>
  <c r="U1277"/>
  <c r="U1276"/>
  <c r="V1275"/>
  <c r="U1275"/>
  <c r="V1274"/>
  <c r="U1274"/>
  <c r="V1273"/>
  <c r="U1273"/>
  <c r="V1272"/>
  <c r="U1272"/>
  <c r="V1271"/>
  <c r="U1271"/>
  <c r="V1270"/>
  <c r="U1270"/>
  <c r="V1269"/>
  <c r="U1269"/>
  <c r="V1268"/>
  <c r="U1268"/>
  <c r="V1267"/>
  <c r="U1267"/>
  <c r="V1266"/>
  <c r="U1266"/>
  <c r="V1265"/>
  <c r="U1265"/>
  <c r="V1264"/>
  <c r="U1264"/>
  <c r="V1263"/>
  <c r="U1263"/>
  <c r="V1262"/>
  <c r="U1262"/>
  <c r="V1261"/>
  <c r="U1261"/>
  <c r="V1260"/>
  <c r="U1260"/>
  <c r="V1259"/>
  <c r="U1259"/>
  <c r="V1258"/>
  <c r="U1258"/>
  <c r="V1257"/>
  <c r="U1257"/>
  <c r="V1256"/>
  <c r="U1256"/>
  <c r="V1255"/>
  <c r="U1255"/>
  <c r="V1254"/>
  <c r="U1254"/>
  <c r="V1253"/>
  <c r="U1253"/>
  <c r="V1252"/>
  <c r="U1252"/>
  <c r="U1251"/>
  <c r="V1250"/>
  <c r="U1250"/>
  <c r="V1249"/>
  <c r="U1249"/>
  <c r="V1248"/>
  <c r="U1248"/>
  <c r="V1247"/>
  <c r="U1247"/>
  <c r="V1246"/>
  <c r="U1246"/>
  <c r="V1245"/>
  <c r="U1245"/>
  <c r="V1244"/>
  <c r="U1244"/>
  <c r="V1243"/>
  <c r="U1243"/>
  <c r="V1242"/>
  <c r="U1242"/>
  <c r="V1241"/>
  <c r="U1241"/>
  <c r="V1240"/>
  <c r="U1240"/>
  <c r="V1239"/>
  <c r="U1239"/>
  <c r="V1238"/>
  <c r="U1238"/>
  <c r="V1237"/>
  <c r="U1237"/>
  <c r="V1236"/>
  <c r="U1236"/>
  <c r="U1235"/>
  <c r="V1234"/>
  <c r="U1234"/>
  <c r="V1233"/>
  <c r="U1233"/>
  <c r="V1232"/>
  <c r="U1232"/>
  <c r="V1231"/>
  <c r="U1231"/>
  <c r="V1230"/>
  <c r="U1230"/>
  <c r="V1229"/>
  <c r="U1229"/>
  <c r="V1228"/>
  <c r="U1228"/>
  <c r="V1227"/>
  <c r="U1227"/>
  <c r="V1226"/>
  <c r="U1226"/>
  <c r="V1225"/>
  <c r="U1225"/>
  <c r="V1224"/>
  <c r="U1224"/>
  <c r="V1223"/>
  <c r="U1223"/>
  <c r="V1222"/>
  <c r="U1222"/>
  <c r="V1221"/>
  <c r="U1221"/>
  <c r="V1220"/>
  <c r="U1220"/>
  <c r="V1219"/>
  <c r="U1219"/>
  <c r="V1218"/>
  <c r="U1218"/>
  <c r="V1217"/>
  <c r="U1217"/>
  <c r="V1216"/>
  <c r="U1216"/>
  <c r="V1215"/>
  <c r="U1215"/>
  <c r="U1214"/>
  <c r="V1213"/>
  <c r="U1213"/>
  <c r="V1212"/>
  <c r="U1212"/>
  <c r="V1211"/>
  <c r="U1211"/>
  <c r="V1210"/>
  <c r="U1210"/>
  <c r="V1209"/>
  <c r="U1209"/>
  <c r="V1208"/>
  <c r="U1208"/>
  <c r="V1207"/>
  <c r="U1207"/>
  <c r="U1206"/>
  <c r="V1205"/>
  <c r="U1205"/>
  <c r="V1204"/>
  <c r="U1204"/>
  <c r="V1203"/>
  <c r="U1203"/>
  <c r="V1202"/>
  <c r="U1202"/>
  <c r="U1201"/>
  <c r="V1200"/>
  <c r="U1200"/>
  <c r="V1199"/>
  <c r="U1199"/>
  <c r="V1198"/>
  <c r="U1198"/>
  <c r="V1197"/>
  <c r="U1197"/>
  <c r="V1196"/>
  <c r="U1196"/>
  <c r="V1195"/>
  <c r="U1195"/>
  <c r="V1194"/>
  <c r="U1194"/>
  <c r="V1193"/>
  <c r="U1193"/>
  <c r="V1192"/>
  <c r="U1192"/>
  <c r="V1191"/>
  <c r="U1191"/>
  <c r="V1190"/>
  <c r="U1190"/>
  <c r="U1189"/>
  <c r="V1188"/>
  <c r="U1188"/>
  <c r="V1187"/>
  <c r="U1187"/>
  <c r="V1186"/>
  <c r="U1186"/>
  <c r="V1185"/>
  <c r="U1185"/>
  <c r="V1184"/>
  <c r="U1184"/>
  <c r="V1183"/>
  <c r="U1183"/>
  <c r="V1182"/>
  <c r="U1182"/>
  <c r="V1181"/>
  <c r="U1181"/>
  <c r="V1180"/>
  <c r="U1180"/>
  <c r="V1179"/>
  <c r="U1179"/>
  <c r="V1178"/>
  <c r="U1178"/>
  <c r="V1177"/>
  <c r="U1177"/>
  <c r="V1176"/>
  <c r="U1176"/>
  <c r="U1175"/>
  <c r="V1174"/>
  <c r="U1174"/>
  <c r="V1173"/>
  <c r="U1173"/>
  <c r="V1172"/>
  <c r="U1172"/>
  <c r="U1171"/>
  <c r="V1170"/>
  <c r="U1170"/>
  <c r="V1169"/>
  <c r="U1169"/>
  <c r="V1168"/>
  <c r="U1168"/>
  <c r="V1167"/>
  <c r="U1167"/>
  <c r="V1166"/>
  <c r="U1166"/>
  <c r="V1165"/>
  <c r="U1165"/>
  <c r="V1164"/>
  <c r="U1164"/>
  <c r="V1163"/>
  <c r="U1163"/>
  <c r="V1162"/>
  <c r="U1162"/>
  <c r="V1161"/>
  <c r="U1161"/>
  <c r="V1160"/>
  <c r="U1160"/>
  <c r="V1159"/>
  <c r="U1159"/>
  <c r="V1158"/>
  <c r="U1158"/>
  <c r="V1157"/>
  <c r="U1157"/>
  <c r="V1156"/>
  <c r="U1156"/>
  <c r="V1155"/>
  <c r="U1155"/>
  <c r="V1154"/>
  <c r="U1154"/>
  <c r="V1153"/>
  <c r="U1153"/>
  <c r="V1152"/>
  <c r="U1152"/>
  <c r="V1151"/>
  <c r="U1151"/>
  <c r="V1150"/>
  <c r="U1150"/>
  <c r="V1149"/>
  <c r="U1149"/>
  <c r="V1148"/>
  <c r="U1148"/>
  <c r="V1147"/>
  <c r="U1147"/>
  <c r="V1146"/>
  <c r="U1146"/>
  <c r="V1145"/>
  <c r="U1145"/>
  <c r="V1144"/>
  <c r="U1144"/>
  <c r="V1143"/>
  <c r="U1143"/>
  <c r="V1142"/>
  <c r="U1142"/>
  <c r="V1141"/>
  <c r="U1141"/>
  <c r="V1140"/>
  <c r="U1140"/>
  <c r="V1139"/>
  <c r="U1139"/>
  <c r="V1138"/>
  <c r="U1138"/>
  <c r="V1137"/>
  <c r="U1137"/>
  <c r="V1136"/>
  <c r="U1136"/>
  <c r="V1135"/>
  <c r="U1135"/>
  <c r="V1134"/>
  <c r="U1134"/>
  <c r="V1133"/>
  <c r="U1133"/>
  <c r="V1132"/>
  <c r="U1132"/>
  <c r="V1131"/>
  <c r="U1131"/>
  <c r="V1130"/>
  <c r="U1130"/>
  <c r="V1129"/>
  <c r="U1129"/>
  <c r="V1128"/>
  <c r="U1128"/>
  <c r="V1127"/>
  <c r="U1127"/>
  <c r="V1126"/>
  <c r="U1126"/>
  <c r="V1125"/>
  <c r="U1125"/>
  <c r="V1124"/>
  <c r="U1124"/>
  <c r="V1123"/>
  <c r="U1123"/>
  <c r="V1122"/>
  <c r="U1122"/>
  <c r="V1121"/>
  <c r="U1121"/>
  <c r="V1120"/>
  <c r="U1120"/>
  <c r="V1119"/>
  <c r="U1119"/>
  <c r="V1118"/>
  <c r="U1118"/>
  <c r="V1117"/>
  <c r="U1117"/>
  <c r="V1116"/>
  <c r="U1116"/>
  <c r="V1115"/>
  <c r="U1115"/>
  <c r="V1114"/>
  <c r="U1114"/>
  <c r="V1113"/>
  <c r="U1113"/>
  <c r="V1112"/>
  <c r="U1112"/>
  <c r="V1111"/>
  <c r="U1111"/>
  <c r="V1110"/>
  <c r="U1110"/>
  <c r="V1109"/>
  <c r="U1109"/>
  <c r="V1108"/>
  <c r="U1108"/>
  <c r="V1107"/>
  <c r="U1107"/>
  <c r="V1106"/>
  <c r="U1106"/>
  <c r="V1105"/>
  <c r="U1105"/>
  <c r="V1104"/>
  <c r="U1104"/>
  <c r="V1103"/>
  <c r="U1103"/>
  <c r="V1102"/>
  <c r="U1102"/>
  <c r="V1101"/>
  <c r="U1101"/>
  <c r="V1100"/>
  <c r="U1100"/>
  <c r="V1099"/>
  <c r="U1099"/>
  <c r="V1098"/>
  <c r="U1098"/>
  <c r="V1097"/>
  <c r="U1097"/>
  <c r="V1096"/>
  <c r="U1096"/>
  <c r="V1095"/>
  <c r="U1095"/>
  <c r="V1094"/>
  <c r="U1094"/>
  <c r="V1093"/>
  <c r="U1093"/>
  <c r="V1092"/>
  <c r="U1092"/>
  <c r="V1091"/>
  <c r="U1091"/>
  <c r="V1090"/>
  <c r="U1090"/>
  <c r="V1089"/>
  <c r="U1089"/>
  <c r="V1088"/>
  <c r="U1088"/>
  <c r="V1087"/>
  <c r="U1087"/>
  <c r="V1086"/>
  <c r="U1086"/>
  <c r="V1085"/>
  <c r="U1085"/>
  <c r="V1084"/>
  <c r="U1084"/>
  <c r="V1083"/>
  <c r="U1083"/>
  <c r="V1082"/>
  <c r="U1082"/>
  <c r="V1081"/>
  <c r="U1081"/>
  <c r="V1080"/>
  <c r="U1080"/>
  <c r="V1079"/>
  <c r="U1079"/>
  <c r="V1078"/>
  <c r="U1078"/>
  <c r="V1077"/>
  <c r="U1077"/>
  <c r="V1076"/>
  <c r="U1076"/>
  <c r="V1075"/>
  <c r="U1075"/>
  <c r="V1074"/>
  <c r="U1074"/>
  <c r="V1073"/>
  <c r="U1073"/>
  <c r="V1072"/>
  <c r="U1072"/>
  <c r="V1071"/>
  <c r="U1071"/>
  <c r="V1070"/>
  <c r="U1070"/>
  <c r="V1069"/>
  <c r="U1069"/>
  <c r="V1068"/>
  <c r="U1068"/>
  <c r="U1067"/>
  <c r="V1066"/>
  <c r="U1066"/>
  <c r="V1065"/>
  <c r="U1065"/>
  <c r="V1064"/>
  <c r="U1064"/>
  <c r="V1063"/>
  <c r="U1063"/>
  <c r="V1062"/>
  <c r="U1062"/>
  <c r="V1061"/>
  <c r="U1061"/>
  <c r="V1060"/>
  <c r="U1060"/>
  <c r="V1059"/>
  <c r="U1059"/>
  <c r="V1058"/>
  <c r="U1058"/>
  <c r="V1057"/>
  <c r="U1057"/>
  <c r="V1056"/>
  <c r="U1056"/>
  <c r="V1055"/>
  <c r="U1055"/>
  <c r="V1054"/>
  <c r="U1054"/>
  <c r="V1053"/>
  <c r="U1053"/>
  <c r="V1052"/>
  <c r="U1052"/>
  <c r="V1051"/>
  <c r="U1051"/>
  <c r="V1050"/>
  <c r="U1050"/>
  <c r="V1049"/>
  <c r="U1049"/>
  <c r="V1048"/>
  <c r="U1048"/>
  <c r="V1047"/>
  <c r="U1047"/>
  <c r="V1046"/>
  <c r="U1046"/>
  <c r="V1045"/>
  <c r="U1045"/>
  <c r="V1044"/>
  <c r="U1044"/>
  <c r="V1043"/>
  <c r="U1043"/>
  <c r="V1042"/>
  <c r="U1042"/>
  <c r="V1041"/>
  <c r="U1041"/>
  <c r="U1040"/>
  <c r="V1039"/>
  <c r="U1039"/>
  <c r="V1038"/>
  <c r="U1038"/>
  <c r="V1037"/>
  <c r="U1037"/>
  <c r="V1036"/>
  <c r="U1036"/>
  <c r="V1035"/>
  <c r="U1035"/>
  <c r="V1034"/>
  <c r="U1034"/>
  <c r="V1033"/>
  <c r="U1033"/>
  <c r="V1032"/>
  <c r="U1032"/>
  <c r="V1031"/>
  <c r="U1031"/>
  <c r="V1030"/>
  <c r="U1030"/>
  <c r="V1029"/>
  <c r="U1029"/>
  <c r="V1028"/>
  <c r="U1028"/>
  <c r="V1027"/>
  <c r="U1027"/>
  <c r="V1026"/>
  <c r="U1026"/>
  <c r="V1025"/>
  <c r="U1025"/>
  <c r="V1024"/>
  <c r="U1024"/>
  <c r="V1023"/>
  <c r="U1023"/>
  <c r="V1022"/>
  <c r="U1022"/>
  <c r="V1021"/>
  <c r="U1021"/>
  <c r="V1020"/>
  <c r="U1020"/>
  <c r="V1019"/>
  <c r="U1019"/>
  <c r="V1018"/>
  <c r="U1018"/>
  <c r="V1017"/>
  <c r="U1017"/>
  <c r="V1016"/>
  <c r="U1016"/>
  <c r="V1015"/>
  <c r="U1015"/>
  <c r="V1014"/>
  <c r="U1014"/>
  <c r="V1013"/>
  <c r="U1013"/>
  <c r="V1012"/>
  <c r="U1012"/>
  <c r="V1011"/>
  <c r="U1011"/>
  <c r="V1010"/>
  <c r="U1010"/>
  <c r="V1009"/>
  <c r="U1009"/>
  <c r="V1008"/>
  <c r="U1008"/>
  <c r="V1007"/>
  <c r="U1007"/>
  <c r="V1006"/>
  <c r="U1006"/>
  <c r="V1005"/>
  <c r="U1005"/>
  <c r="V1004"/>
  <c r="U1004"/>
  <c r="V1003"/>
  <c r="U1003"/>
  <c r="V1002"/>
  <c r="U1002"/>
  <c r="V1001"/>
  <c r="U1001"/>
  <c r="V1000"/>
  <c r="U1000"/>
  <c r="V999"/>
  <c r="U999"/>
  <c r="V998"/>
  <c r="U998"/>
  <c r="V997"/>
  <c r="U997"/>
  <c r="V996"/>
  <c r="U996"/>
  <c r="V995"/>
  <c r="U995"/>
  <c r="V994"/>
  <c r="U994"/>
  <c r="V993"/>
  <c r="U993"/>
  <c r="V992"/>
  <c r="U992"/>
  <c r="V991"/>
  <c r="U991"/>
  <c r="U990"/>
  <c r="V989"/>
  <c r="U989"/>
  <c r="V988"/>
  <c r="U988"/>
  <c r="V987"/>
  <c r="U987"/>
  <c r="V986"/>
  <c r="U986"/>
  <c r="V985"/>
  <c r="U985"/>
  <c r="V984"/>
  <c r="U984"/>
  <c r="V983"/>
  <c r="U983"/>
  <c r="V982"/>
  <c r="U982"/>
  <c r="V981"/>
  <c r="U981"/>
  <c r="V980"/>
  <c r="U980"/>
  <c r="V979"/>
  <c r="U979"/>
  <c r="V978"/>
  <c r="U978"/>
  <c r="V977"/>
  <c r="U977"/>
  <c r="V976"/>
  <c r="U976"/>
  <c r="V975"/>
  <c r="U975"/>
  <c r="V974"/>
  <c r="U974"/>
  <c r="V973"/>
  <c r="U973"/>
  <c r="V972"/>
  <c r="U972"/>
  <c r="U971"/>
  <c r="V970"/>
  <c r="U970"/>
  <c r="V969"/>
  <c r="U969"/>
  <c r="V968"/>
  <c r="U968"/>
  <c r="V967"/>
  <c r="U967"/>
  <c r="V966"/>
  <c r="U966"/>
  <c r="V965"/>
  <c r="U965"/>
  <c r="V964"/>
  <c r="U964"/>
  <c r="V963"/>
  <c r="U963"/>
  <c r="V962"/>
  <c r="U962"/>
  <c r="V961"/>
  <c r="U961"/>
  <c r="V960"/>
  <c r="U960"/>
  <c r="V959"/>
  <c r="U959"/>
  <c r="V958"/>
  <c r="U958"/>
  <c r="V957"/>
  <c r="U957"/>
  <c r="V956"/>
  <c r="U956"/>
  <c r="V955"/>
  <c r="U955"/>
  <c r="V954"/>
  <c r="U954"/>
  <c r="V953"/>
  <c r="U953"/>
  <c r="V952"/>
  <c r="U952"/>
  <c r="U951"/>
  <c r="V950"/>
  <c r="U950"/>
  <c r="V949"/>
  <c r="U949"/>
  <c r="V948"/>
  <c r="U948"/>
  <c r="V947"/>
  <c r="U947"/>
  <c r="V946"/>
  <c r="U946"/>
  <c r="V945"/>
  <c r="U945"/>
  <c r="V944"/>
  <c r="U944"/>
  <c r="V943"/>
  <c r="U943"/>
  <c r="V942"/>
  <c r="U942"/>
  <c r="V941"/>
  <c r="U941"/>
  <c r="V940"/>
  <c r="U940"/>
  <c r="V939"/>
  <c r="U939"/>
  <c r="V938"/>
  <c r="U938"/>
  <c r="V937"/>
  <c r="U937"/>
  <c r="V936"/>
  <c r="U936"/>
  <c r="V935"/>
  <c r="U935"/>
  <c r="V934"/>
  <c r="U934"/>
  <c r="V933"/>
  <c r="U933"/>
  <c r="V932"/>
  <c r="U932"/>
  <c r="V931"/>
  <c r="U931"/>
  <c r="V930"/>
  <c r="U930"/>
  <c r="V929"/>
  <c r="U929"/>
  <c r="V928"/>
  <c r="U928"/>
  <c r="V927"/>
  <c r="U927"/>
  <c r="V926"/>
  <c r="U926"/>
  <c r="V925"/>
  <c r="U925"/>
  <c r="V924"/>
  <c r="U924"/>
  <c r="V923"/>
  <c r="U923"/>
  <c r="V922"/>
  <c r="U922"/>
  <c r="V921"/>
  <c r="U921"/>
  <c r="V920"/>
  <c r="U920"/>
  <c r="V919"/>
  <c r="V918"/>
  <c r="U918"/>
  <c r="V917"/>
  <c r="U917"/>
  <c r="V916"/>
  <c r="U916"/>
  <c r="V915"/>
  <c r="U915"/>
  <c r="V914"/>
  <c r="U914"/>
  <c r="V913"/>
  <c r="U913"/>
  <c r="V912"/>
  <c r="U912"/>
  <c r="V911"/>
  <c r="U911"/>
  <c r="V910"/>
  <c r="U910"/>
  <c r="V909"/>
  <c r="U909"/>
  <c r="V908"/>
  <c r="U908"/>
  <c r="V907"/>
  <c r="U907"/>
  <c r="V906"/>
  <c r="U906"/>
  <c r="V905"/>
  <c r="U905"/>
  <c r="V904"/>
  <c r="U904"/>
  <c r="V903"/>
  <c r="U903"/>
  <c r="V902"/>
  <c r="U902"/>
  <c r="V901"/>
  <c r="U901"/>
  <c r="V900"/>
  <c r="U900"/>
  <c r="V899"/>
  <c r="U899"/>
  <c r="V898"/>
  <c r="U898"/>
  <c r="V897"/>
  <c r="U897"/>
  <c r="V896"/>
  <c r="U896"/>
  <c r="V895"/>
  <c r="U895"/>
  <c r="V894"/>
  <c r="U894"/>
  <c r="V893"/>
  <c r="U893"/>
  <c r="V892"/>
  <c r="U892"/>
  <c r="V891"/>
  <c r="U891"/>
  <c r="V890"/>
  <c r="U890"/>
  <c r="V889"/>
  <c r="U889"/>
  <c r="V888"/>
  <c r="U888"/>
  <c r="V887"/>
  <c r="U887"/>
  <c r="V886"/>
  <c r="U886"/>
  <c r="V885"/>
  <c r="U885"/>
  <c r="V884"/>
  <c r="U884"/>
  <c r="V883"/>
  <c r="U883"/>
  <c r="V882"/>
  <c r="U882"/>
  <c r="V881"/>
  <c r="U881"/>
  <c r="V880"/>
  <c r="U880"/>
  <c r="V879"/>
  <c r="U879"/>
  <c r="V878"/>
  <c r="U878"/>
  <c r="V877"/>
  <c r="U877"/>
  <c r="V876"/>
  <c r="U876"/>
  <c r="V875"/>
  <c r="U875"/>
  <c r="V874"/>
  <c r="U874"/>
  <c r="V873"/>
  <c r="U873"/>
  <c r="V872"/>
  <c r="U872"/>
  <c r="V871"/>
  <c r="U871"/>
  <c r="V870"/>
  <c r="U870"/>
  <c r="V869"/>
  <c r="U869"/>
  <c r="V868"/>
  <c r="U868"/>
  <c r="V867"/>
  <c r="U867"/>
  <c r="V866"/>
  <c r="U866"/>
  <c r="V865"/>
  <c r="U865"/>
  <c r="V864"/>
  <c r="U864"/>
  <c r="V863"/>
  <c r="U862"/>
  <c r="V861"/>
  <c r="U861"/>
  <c r="V860"/>
  <c r="U860"/>
  <c r="V859"/>
  <c r="U859"/>
  <c r="V858"/>
  <c r="U858"/>
  <c r="V857"/>
  <c r="U857"/>
  <c r="V856"/>
  <c r="U856"/>
  <c r="V855"/>
  <c r="U855"/>
  <c r="V854"/>
  <c r="U854"/>
  <c r="V853"/>
  <c r="U853"/>
  <c r="V852"/>
  <c r="U852"/>
  <c r="V851"/>
  <c r="U851"/>
  <c r="V850"/>
  <c r="U850"/>
  <c r="V849"/>
  <c r="U849"/>
  <c r="V848"/>
  <c r="U848"/>
  <c r="V847"/>
  <c r="U847"/>
  <c r="V846"/>
  <c r="U846"/>
  <c r="V845"/>
  <c r="U845"/>
  <c r="V844"/>
  <c r="U844"/>
  <c r="V843"/>
  <c r="U843"/>
  <c r="V842"/>
  <c r="U842"/>
  <c r="V841"/>
  <c r="U841"/>
  <c r="V840"/>
  <c r="U840"/>
  <c r="V839"/>
  <c r="U839"/>
  <c r="V838"/>
  <c r="U838"/>
  <c r="V837"/>
  <c r="U837"/>
  <c r="V836"/>
  <c r="U836"/>
  <c r="V835"/>
  <c r="U835"/>
  <c r="V834"/>
  <c r="U834"/>
  <c r="V833"/>
  <c r="U833"/>
  <c r="V832"/>
  <c r="U832"/>
  <c r="V831"/>
  <c r="U831"/>
  <c r="V830"/>
  <c r="U830"/>
  <c r="V829"/>
  <c r="U829"/>
  <c r="V828"/>
  <c r="U828"/>
  <c r="V827"/>
  <c r="U827"/>
  <c r="V826"/>
  <c r="U826"/>
  <c r="V825"/>
  <c r="U825"/>
  <c r="V824"/>
  <c r="U824"/>
  <c r="V823"/>
  <c r="U823"/>
  <c r="V822"/>
  <c r="U822"/>
  <c r="V821"/>
  <c r="U821"/>
  <c r="U820"/>
  <c r="V819"/>
  <c r="U819"/>
  <c r="V818"/>
  <c r="U818"/>
  <c r="V817"/>
  <c r="U817"/>
  <c r="V816"/>
  <c r="U816"/>
  <c r="V815"/>
  <c r="U815"/>
  <c r="V814"/>
  <c r="U814"/>
  <c r="V813"/>
  <c r="U813"/>
  <c r="V812"/>
  <c r="U812"/>
  <c r="V811"/>
  <c r="U811"/>
  <c r="V810"/>
  <c r="U810"/>
  <c r="V809"/>
  <c r="U809"/>
  <c r="V808"/>
  <c r="U808"/>
  <c r="V807"/>
  <c r="U807"/>
  <c r="V806"/>
  <c r="U806"/>
  <c r="V805"/>
  <c r="U805"/>
  <c r="V804"/>
  <c r="U804"/>
  <c r="V803"/>
  <c r="U803"/>
  <c r="V802"/>
  <c r="U802"/>
  <c r="U801"/>
  <c r="V800"/>
  <c r="U800"/>
  <c r="U799"/>
  <c r="V798"/>
  <c r="U798"/>
  <c r="V797"/>
  <c r="U797"/>
  <c r="V796"/>
  <c r="U796"/>
  <c r="V795"/>
  <c r="U795"/>
  <c r="V794"/>
  <c r="U794"/>
  <c r="V793"/>
  <c r="U793"/>
  <c r="V792"/>
  <c r="U792"/>
  <c r="V791"/>
  <c r="U791"/>
  <c r="V790"/>
  <c r="U790"/>
  <c r="V789"/>
  <c r="U789"/>
  <c r="V788"/>
  <c r="U788"/>
  <c r="V787"/>
  <c r="U787"/>
  <c r="V786"/>
  <c r="U786"/>
  <c r="V785"/>
  <c r="U785"/>
  <c r="V784"/>
  <c r="U784"/>
  <c r="V783"/>
  <c r="U783"/>
  <c r="V782"/>
  <c r="U782"/>
  <c r="V781"/>
  <c r="U781"/>
  <c r="V780"/>
  <c r="U780"/>
  <c r="V779"/>
  <c r="U779"/>
  <c r="V778"/>
  <c r="U778"/>
  <c r="V777"/>
  <c r="U777"/>
  <c r="V776"/>
  <c r="U776"/>
  <c r="V775"/>
  <c r="U775"/>
  <c r="V774"/>
  <c r="U774"/>
  <c r="V773"/>
  <c r="U773"/>
  <c r="V772"/>
  <c r="U772"/>
  <c r="V771"/>
  <c r="U771"/>
  <c r="V770"/>
  <c r="U770"/>
  <c r="V769"/>
  <c r="U769"/>
  <c r="V768"/>
  <c r="U768"/>
  <c r="V767"/>
  <c r="U767"/>
  <c r="V766"/>
  <c r="U766"/>
  <c r="U765"/>
  <c r="V764"/>
  <c r="U764"/>
  <c r="V763"/>
  <c r="U763"/>
  <c r="V762"/>
  <c r="U762"/>
  <c r="V761"/>
  <c r="U761"/>
  <c r="V760"/>
  <c r="U760"/>
  <c r="V759"/>
  <c r="U759"/>
  <c r="V758"/>
  <c r="U758"/>
  <c r="V757"/>
  <c r="U757"/>
  <c r="V756"/>
  <c r="U756"/>
  <c r="V755"/>
  <c r="U755"/>
  <c r="V754"/>
  <c r="U754"/>
  <c r="V753"/>
  <c r="U753"/>
  <c r="V752"/>
  <c r="U752"/>
  <c r="V751"/>
  <c r="U751"/>
  <c r="V750"/>
  <c r="U750"/>
  <c r="V749"/>
  <c r="U749"/>
  <c r="V748"/>
  <c r="U748"/>
  <c r="V747"/>
  <c r="U747"/>
  <c r="V746"/>
  <c r="U746"/>
  <c r="V745"/>
  <c r="U745"/>
  <c r="V744"/>
  <c r="U744"/>
  <c r="U743"/>
  <c r="V742"/>
  <c r="U742"/>
  <c r="V741"/>
  <c r="U741"/>
  <c r="V740"/>
  <c r="U740"/>
  <c r="V739"/>
  <c r="U739"/>
  <c r="V738"/>
  <c r="U738"/>
  <c r="V737"/>
  <c r="U737"/>
  <c r="V736"/>
  <c r="U736"/>
  <c r="V735"/>
  <c r="U735"/>
  <c r="V734"/>
  <c r="U734"/>
  <c r="V733"/>
  <c r="U733"/>
  <c r="V732"/>
  <c r="U732"/>
  <c r="V731"/>
  <c r="U731"/>
  <c r="V730"/>
  <c r="U730"/>
  <c r="V729"/>
  <c r="U729"/>
  <c r="V728"/>
  <c r="U728"/>
  <c r="V727"/>
  <c r="U727"/>
  <c r="V726"/>
  <c r="U726"/>
  <c r="V725"/>
  <c r="U725"/>
  <c r="V724"/>
  <c r="U724"/>
  <c r="U723"/>
  <c r="U722"/>
  <c r="U721"/>
  <c r="V720"/>
  <c r="U720"/>
  <c r="V719"/>
  <c r="U719"/>
  <c r="V718"/>
  <c r="U718"/>
  <c r="V717"/>
  <c r="U717"/>
  <c r="V716"/>
  <c r="U716"/>
  <c r="V715"/>
  <c r="U715"/>
  <c r="V714"/>
  <c r="U714"/>
  <c r="V713"/>
  <c r="U713"/>
  <c r="V712"/>
  <c r="U712"/>
  <c r="V711"/>
  <c r="U711"/>
  <c r="V710"/>
  <c r="U710"/>
  <c r="V709"/>
  <c r="U709"/>
  <c r="V708"/>
  <c r="U708"/>
  <c r="V707"/>
  <c r="U707"/>
  <c r="V706"/>
  <c r="U706"/>
  <c r="V705"/>
  <c r="U705"/>
  <c r="V704"/>
  <c r="U704"/>
  <c r="V703"/>
  <c r="U703"/>
  <c r="V702"/>
  <c r="U702"/>
  <c r="V701"/>
  <c r="U701"/>
  <c r="V700"/>
  <c r="U700"/>
  <c r="V699"/>
  <c r="U699"/>
  <c r="V698"/>
  <c r="U698"/>
  <c r="V697"/>
  <c r="U697"/>
  <c r="V696"/>
  <c r="U696"/>
  <c r="V695"/>
  <c r="U695"/>
  <c r="V694"/>
  <c r="V693"/>
  <c r="U693"/>
  <c r="V692"/>
  <c r="U692"/>
  <c r="V691"/>
  <c r="U691"/>
  <c r="V690"/>
  <c r="U690"/>
  <c r="V689"/>
  <c r="U689"/>
  <c r="V688"/>
  <c r="U688"/>
  <c r="V687"/>
  <c r="U687"/>
  <c r="V686"/>
  <c r="U686"/>
  <c r="V685"/>
  <c r="U685"/>
  <c r="V684"/>
  <c r="U684"/>
  <c r="V683"/>
  <c r="U683"/>
  <c r="V682"/>
  <c r="U682"/>
  <c r="V681"/>
  <c r="U681"/>
  <c r="V680"/>
  <c r="U680"/>
  <c r="V679"/>
  <c r="U679"/>
  <c r="V678"/>
  <c r="U678"/>
  <c r="V677"/>
  <c r="U677"/>
  <c r="V676"/>
  <c r="U676"/>
  <c r="V675"/>
  <c r="U675"/>
  <c r="V674"/>
  <c r="U674"/>
  <c r="V673"/>
  <c r="U673"/>
  <c r="V672"/>
  <c r="U672"/>
  <c r="V671"/>
  <c r="U671"/>
  <c r="V670"/>
  <c r="U670"/>
  <c r="V669"/>
  <c r="U669"/>
  <c r="V668"/>
  <c r="U668"/>
  <c r="V667"/>
  <c r="U667"/>
  <c r="V666"/>
  <c r="U666"/>
  <c r="V665"/>
  <c r="U665"/>
  <c r="V664"/>
  <c r="U664"/>
  <c r="V663"/>
  <c r="U663"/>
  <c r="V662"/>
  <c r="U662"/>
  <c r="V661"/>
  <c r="U661"/>
  <c r="V660"/>
  <c r="U660"/>
  <c r="V659"/>
  <c r="U659"/>
  <c r="V658"/>
  <c r="U658"/>
  <c r="V657"/>
  <c r="U657"/>
  <c r="V656"/>
  <c r="U656"/>
  <c r="V655"/>
  <c r="U655"/>
  <c r="V654"/>
  <c r="U654"/>
  <c r="V653"/>
  <c r="U653"/>
  <c r="V652"/>
  <c r="U652"/>
  <c r="V651"/>
  <c r="U651"/>
  <c r="V650"/>
  <c r="U650"/>
  <c r="V649"/>
  <c r="U649"/>
  <c r="V648"/>
  <c r="U648"/>
  <c r="V647"/>
  <c r="U647"/>
  <c r="V646"/>
  <c r="U646"/>
  <c r="V645"/>
  <c r="U645"/>
  <c r="V644"/>
  <c r="U644"/>
  <c r="V643"/>
  <c r="U643"/>
  <c r="V642"/>
  <c r="U642"/>
  <c r="V641"/>
  <c r="U641"/>
  <c r="V640"/>
  <c r="U640"/>
  <c r="V639"/>
  <c r="U639"/>
  <c r="V638"/>
  <c r="U638"/>
  <c r="V637"/>
  <c r="U637"/>
  <c r="V636"/>
  <c r="U636"/>
  <c r="V635"/>
  <c r="U635"/>
  <c r="V634"/>
  <c r="U634"/>
  <c r="V633"/>
  <c r="U633"/>
  <c r="V632"/>
  <c r="U632"/>
  <c r="V631"/>
  <c r="U631"/>
  <c r="V630"/>
  <c r="U630"/>
  <c r="V629"/>
  <c r="U629"/>
  <c r="V628"/>
  <c r="U628"/>
  <c r="V627"/>
  <c r="U627"/>
  <c r="V626"/>
  <c r="U626"/>
  <c r="V625"/>
  <c r="U625"/>
  <c r="V624"/>
  <c r="U624"/>
  <c r="V623"/>
  <c r="U623"/>
  <c r="V622"/>
  <c r="U622"/>
  <c r="V621"/>
  <c r="U621"/>
  <c r="V620"/>
  <c r="U620"/>
  <c r="V619"/>
  <c r="U619"/>
  <c r="V618"/>
  <c r="U618"/>
  <c r="V617"/>
  <c r="U617"/>
  <c r="V616"/>
  <c r="U616"/>
  <c r="V615"/>
  <c r="U615"/>
  <c r="V614"/>
  <c r="U614"/>
  <c r="V613"/>
  <c r="U613"/>
  <c r="V612"/>
  <c r="U612"/>
  <c r="V611"/>
  <c r="U611"/>
  <c r="V610"/>
  <c r="U610"/>
  <c r="V609"/>
  <c r="U609"/>
  <c r="V608"/>
  <c r="U608"/>
  <c r="V607"/>
  <c r="U607"/>
  <c r="V606"/>
  <c r="U606"/>
  <c r="V605"/>
  <c r="U605"/>
  <c r="V604"/>
  <c r="U604"/>
  <c r="V603"/>
  <c r="U603"/>
  <c r="V602"/>
  <c r="U602"/>
  <c r="V601"/>
  <c r="U601"/>
  <c r="V600"/>
  <c r="U600"/>
  <c r="V599"/>
  <c r="U599"/>
  <c r="V598"/>
  <c r="U598"/>
  <c r="V597"/>
  <c r="U597"/>
  <c r="V596"/>
  <c r="U596"/>
  <c r="V595"/>
  <c r="U595"/>
  <c r="V594"/>
  <c r="U594"/>
  <c r="V593"/>
  <c r="U593"/>
  <c r="V592"/>
  <c r="U592"/>
  <c r="V591"/>
  <c r="U591"/>
  <c r="V590"/>
  <c r="U590"/>
  <c r="V589"/>
  <c r="U589"/>
  <c r="V588"/>
  <c r="U588"/>
  <c r="V587"/>
  <c r="V586"/>
  <c r="U586"/>
  <c r="V585"/>
  <c r="U585"/>
  <c r="V584"/>
  <c r="U584"/>
  <c r="V583"/>
  <c r="U583"/>
  <c r="V582"/>
  <c r="U582"/>
  <c r="V581"/>
  <c r="U581"/>
  <c r="V580"/>
  <c r="U580"/>
  <c r="V579"/>
  <c r="U579"/>
  <c r="V578"/>
  <c r="U578"/>
  <c r="V577"/>
  <c r="U577"/>
  <c r="V576"/>
  <c r="U576"/>
  <c r="V575"/>
  <c r="U575"/>
  <c r="V574"/>
  <c r="U574"/>
  <c r="V573"/>
  <c r="U573"/>
  <c r="V572"/>
  <c r="U572"/>
  <c r="V571"/>
  <c r="U571"/>
  <c r="V570"/>
  <c r="U570"/>
  <c r="V569"/>
  <c r="U569"/>
  <c r="V568"/>
  <c r="U568"/>
  <c r="V567"/>
  <c r="U567"/>
  <c r="V566"/>
  <c r="U566"/>
  <c r="V565"/>
  <c r="U565"/>
  <c r="V564"/>
  <c r="U564"/>
  <c r="V563"/>
  <c r="U563"/>
  <c r="V562"/>
  <c r="U562"/>
  <c r="V561"/>
  <c r="U561"/>
  <c r="V560"/>
  <c r="U560"/>
  <c r="V559"/>
  <c r="U559"/>
  <c r="V558"/>
  <c r="U558"/>
  <c r="V557"/>
  <c r="U557"/>
  <c r="V556"/>
  <c r="U556"/>
  <c r="V555"/>
  <c r="U555"/>
  <c r="V554"/>
  <c r="U554"/>
  <c r="V553"/>
  <c r="U553"/>
  <c r="V552"/>
  <c r="U552"/>
  <c r="V551"/>
  <c r="U551"/>
  <c r="V550"/>
  <c r="U550"/>
  <c r="V549"/>
  <c r="U549"/>
  <c r="V548"/>
  <c r="U548"/>
  <c r="V547"/>
  <c r="U547"/>
  <c r="V546"/>
  <c r="U546"/>
  <c r="V545"/>
  <c r="U545"/>
  <c r="V544"/>
  <c r="U544"/>
  <c r="V543"/>
  <c r="U543"/>
  <c r="V542"/>
  <c r="U542"/>
  <c r="V541"/>
  <c r="U541"/>
  <c r="V540"/>
  <c r="U540"/>
  <c r="V539"/>
  <c r="U539"/>
  <c r="V538"/>
  <c r="U538"/>
  <c r="V537"/>
  <c r="U537"/>
  <c r="V536"/>
  <c r="U536"/>
  <c r="V535"/>
  <c r="U535"/>
  <c r="V534"/>
  <c r="U534"/>
  <c r="V533"/>
  <c r="U533"/>
  <c r="V532"/>
  <c r="U532"/>
  <c r="V531"/>
  <c r="U531"/>
  <c r="V530"/>
  <c r="U530"/>
  <c r="V529"/>
  <c r="U529"/>
  <c r="V528"/>
  <c r="U528"/>
  <c r="V527"/>
  <c r="U527"/>
  <c r="V526"/>
  <c r="U526"/>
  <c r="V525"/>
  <c r="U525"/>
  <c r="V524"/>
  <c r="U524"/>
  <c r="V523"/>
  <c r="U523"/>
  <c r="V522"/>
  <c r="U522"/>
  <c r="V521"/>
  <c r="U521"/>
  <c r="V520"/>
  <c r="U520"/>
  <c r="V519"/>
  <c r="U519"/>
  <c r="V518"/>
  <c r="V517"/>
  <c r="U517"/>
  <c r="V516"/>
  <c r="U516"/>
  <c r="V515"/>
  <c r="U515"/>
  <c r="V514"/>
  <c r="U514"/>
  <c r="V513"/>
  <c r="U513"/>
  <c r="V512"/>
  <c r="U512"/>
  <c r="V511"/>
  <c r="U511"/>
  <c r="V510"/>
  <c r="U510"/>
  <c r="V509"/>
  <c r="U509"/>
  <c r="V508"/>
  <c r="U508"/>
  <c r="U507"/>
  <c r="V506"/>
  <c r="U506"/>
  <c r="V505"/>
  <c r="U505"/>
  <c r="V504"/>
  <c r="U504"/>
  <c r="V503"/>
  <c r="U503"/>
  <c r="V502"/>
  <c r="U502"/>
  <c r="V501"/>
  <c r="U501"/>
  <c r="V500"/>
  <c r="U500"/>
  <c r="V499"/>
  <c r="U499"/>
  <c r="V498"/>
  <c r="U498"/>
  <c r="U497"/>
  <c r="U496"/>
  <c r="V495"/>
  <c r="U495"/>
  <c r="V494"/>
  <c r="U494"/>
  <c r="V493"/>
  <c r="U493"/>
  <c r="V492"/>
  <c r="U492"/>
  <c r="V491"/>
  <c r="U491"/>
  <c r="V490"/>
  <c r="U490"/>
  <c r="V489"/>
  <c r="U489"/>
  <c r="V488"/>
  <c r="U488"/>
  <c r="V487"/>
  <c r="U487"/>
  <c r="V486"/>
  <c r="U486"/>
  <c r="V485"/>
  <c r="U485"/>
  <c r="V484"/>
  <c r="U484"/>
  <c r="U483"/>
  <c r="V482"/>
  <c r="U482"/>
  <c r="V481"/>
  <c r="U481"/>
  <c r="V480"/>
  <c r="U480"/>
  <c r="V479"/>
  <c r="U479"/>
  <c r="V478"/>
  <c r="U478"/>
  <c r="V477"/>
  <c r="U477"/>
  <c r="V476"/>
  <c r="U476"/>
  <c r="V475"/>
  <c r="U475"/>
  <c r="V474"/>
  <c r="U474"/>
  <c r="V473"/>
  <c r="U473"/>
  <c r="V472"/>
  <c r="U472"/>
  <c r="V471"/>
  <c r="U471"/>
  <c r="V470"/>
  <c r="U470"/>
  <c r="V469"/>
  <c r="U469"/>
  <c r="V468"/>
  <c r="U468"/>
  <c r="V467"/>
  <c r="U467"/>
  <c r="V466"/>
  <c r="U466"/>
  <c r="V465"/>
  <c r="U465"/>
  <c r="V464"/>
  <c r="U464"/>
  <c r="V463"/>
  <c r="U463"/>
  <c r="V462"/>
  <c r="U462"/>
  <c r="V461"/>
  <c r="U461"/>
  <c r="V460"/>
  <c r="U460"/>
  <c r="V459"/>
  <c r="U459"/>
  <c r="V458"/>
  <c r="U458"/>
  <c r="V457"/>
  <c r="U457"/>
  <c r="V456"/>
  <c r="U456"/>
  <c r="V455"/>
  <c r="U455"/>
  <c r="V454"/>
  <c r="U454"/>
  <c r="V453"/>
  <c r="U453"/>
  <c r="V452"/>
  <c r="U452"/>
  <c r="V451"/>
  <c r="U451"/>
  <c r="V450"/>
  <c r="U450"/>
  <c r="V449"/>
  <c r="U449"/>
  <c r="V448"/>
  <c r="U448"/>
  <c r="V447"/>
  <c r="U447"/>
  <c r="V446"/>
  <c r="U446"/>
  <c r="V445"/>
  <c r="U445"/>
  <c r="V444"/>
  <c r="U444"/>
  <c r="V443"/>
  <c r="U443"/>
  <c r="V442"/>
  <c r="U442"/>
  <c r="V441"/>
  <c r="U441"/>
  <c r="V440"/>
  <c r="U440"/>
  <c r="V439"/>
  <c r="U439"/>
  <c r="V438"/>
  <c r="U438"/>
  <c r="V437"/>
  <c r="U437"/>
  <c r="V436"/>
  <c r="U436"/>
  <c r="V435"/>
  <c r="U435"/>
  <c r="V434"/>
  <c r="U434"/>
  <c r="V433"/>
  <c r="U433"/>
  <c r="V432"/>
  <c r="U432"/>
  <c r="V431"/>
  <c r="U431"/>
  <c r="V430"/>
  <c r="U430"/>
  <c r="V429"/>
  <c r="U429"/>
  <c r="U428"/>
  <c r="V427"/>
  <c r="U427"/>
  <c r="V426"/>
  <c r="U426"/>
  <c r="V425"/>
  <c r="U425"/>
  <c r="V424"/>
  <c r="U424"/>
  <c r="V423"/>
  <c r="U423"/>
  <c r="V422"/>
  <c r="U422"/>
  <c r="V421"/>
  <c r="U421"/>
  <c r="V420"/>
  <c r="U420"/>
  <c r="V419"/>
  <c r="U419"/>
  <c r="V418"/>
  <c r="U418"/>
  <c r="V417"/>
  <c r="U417"/>
  <c r="V416"/>
  <c r="U416"/>
  <c r="V415"/>
  <c r="U415"/>
  <c r="V414"/>
  <c r="U414"/>
  <c r="U413"/>
  <c r="V412"/>
  <c r="U412"/>
  <c r="V411"/>
  <c r="U411"/>
  <c r="V410"/>
  <c r="U410"/>
  <c r="V409"/>
  <c r="U409"/>
  <c r="V408"/>
  <c r="U408"/>
  <c r="V407"/>
  <c r="U407"/>
  <c r="V406"/>
  <c r="U406"/>
  <c r="V405"/>
  <c r="U405"/>
  <c r="V404"/>
  <c r="U404"/>
  <c r="V403"/>
  <c r="U403"/>
  <c r="V402"/>
  <c r="U402"/>
  <c r="V401"/>
  <c r="U401"/>
  <c r="V400"/>
  <c r="U400"/>
  <c r="V399"/>
  <c r="U399"/>
  <c r="V398"/>
  <c r="U398"/>
  <c r="V397"/>
  <c r="U397"/>
  <c r="U396"/>
  <c r="V395"/>
  <c r="U395"/>
  <c r="V394"/>
  <c r="U394"/>
  <c r="V393"/>
  <c r="U393"/>
  <c r="V392"/>
  <c r="U392"/>
  <c r="V391"/>
  <c r="U391"/>
  <c r="V390"/>
  <c r="U390"/>
  <c r="V389"/>
  <c r="U389"/>
  <c r="V388"/>
  <c r="U388"/>
  <c r="V387"/>
  <c r="U387"/>
  <c r="V386"/>
  <c r="U386"/>
  <c r="V385"/>
  <c r="U385"/>
  <c r="V384"/>
  <c r="U384"/>
  <c r="V383"/>
  <c r="U383"/>
  <c r="V382"/>
  <c r="U382"/>
  <c r="V381"/>
  <c r="U381"/>
  <c r="V380"/>
  <c r="U380"/>
  <c r="V379"/>
  <c r="U379"/>
  <c r="V378"/>
  <c r="U378"/>
  <c r="V377"/>
  <c r="U377"/>
  <c r="V376"/>
  <c r="U376"/>
  <c r="V375"/>
  <c r="U375"/>
  <c r="V374"/>
  <c r="U374"/>
  <c r="V373"/>
  <c r="U373"/>
  <c r="V372"/>
  <c r="U372"/>
  <c r="V371"/>
  <c r="U371"/>
  <c r="V370"/>
  <c r="U370"/>
  <c r="V369"/>
  <c r="U369"/>
  <c r="V368"/>
  <c r="U368"/>
  <c r="V367"/>
  <c r="U367"/>
  <c r="V366"/>
  <c r="U366"/>
  <c r="V365"/>
  <c r="U365"/>
  <c r="V364"/>
  <c r="U364"/>
  <c r="V363"/>
  <c r="U363"/>
  <c r="V362"/>
  <c r="U362"/>
  <c r="V361"/>
  <c r="U361"/>
  <c r="V360"/>
  <c r="U360"/>
  <c r="V359"/>
  <c r="U359"/>
  <c r="V358"/>
  <c r="U358"/>
  <c r="V357"/>
  <c r="U357"/>
  <c r="V356"/>
  <c r="U356"/>
  <c r="V355"/>
  <c r="U355"/>
  <c r="V354"/>
  <c r="U354"/>
  <c r="V353"/>
  <c r="U353"/>
  <c r="V352"/>
  <c r="U352"/>
  <c r="V351"/>
  <c r="U351"/>
  <c r="V350"/>
  <c r="U350"/>
  <c r="V349"/>
  <c r="U349"/>
  <c r="V348"/>
  <c r="U348"/>
  <c r="V347"/>
  <c r="U347"/>
  <c r="V346"/>
  <c r="U346"/>
  <c r="V345"/>
  <c r="U345"/>
  <c r="V344"/>
  <c r="U344"/>
  <c r="V343"/>
  <c r="U343"/>
  <c r="V342"/>
  <c r="U342"/>
  <c r="V341"/>
  <c r="U341"/>
  <c r="V340"/>
  <c r="U340"/>
  <c r="V339"/>
  <c r="U339"/>
  <c r="V338"/>
  <c r="U338"/>
  <c r="U337"/>
  <c r="U336"/>
  <c r="U335"/>
  <c r="V334"/>
  <c r="U334"/>
  <c r="V333"/>
  <c r="U333"/>
  <c r="V332"/>
  <c r="U332"/>
  <c r="V331"/>
  <c r="U331"/>
  <c r="V330"/>
  <c r="U330"/>
  <c r="V329"/>
  <c r="U329"/>
  <c r="V328"/>
  <c r="U328"/>
  <c r="V327"/>
  <c r="U327"/>
  <c r="V326"/>
  <c r="U326"/>
  <c r="V325"/>
  <c r="U325"/>
  <c r="V324"/>
  <c r="U324"/>
  <c r="V323"/>
  <c r="U323"/>
  <c r="V322"/>
  <c r="U322"/>
  <c r="V321"/>
  <c r="U321"/>
  <c r="V320"/>
  <c r="U320"/>
  <c r="V319"/>
  <c r="U319"/>
  <c r="V318"/>
  <c r="U318"/>
  <c r="V317"/>
  <c r="U317"/>
  <c r="V316"/>
  <c r="U316"/>
  <c r="U315"/>
  <c r="V314"/>
  <c r="U314"/>
  <c r="V313"/>
  <c r="U313"/>
  <c r="V312"/>
  <c r="U312"/>
  <c r="V311"/>
  <c r="U311"/>
  <c r="V310"/>
  <c r="U310"/>
  <c r="V309"/>
  <c r="U309"/>
  <c r="V308"/>
  <c r="U308"/>
  <c r="V307"/>
  <c r="U307"/>
  <c r="V306"/>
  <c r="U306"/>
  <c r="V305"/>
  <c r="U305"/>
  <c r="V304"/>
  <c r="U304"/>
  <c r="V303"/>
  <c r="U303"/>
  <c r="V302"/>
  <c r="U302"/>
  <c r="V301"/>
  <c r="U301"/>
  <c r="U300"/>
  <c r="V299"/>
  <c r="U299"/>
  <c r="V298"/>
  <c r="U298"/>
  <c r="V297"/>
  <c r="U297"/>
  <c r="V296"/>
  <c r="U296"/>
  <c r="V295"/>
  <c r="U295"/>
  <c r="V294"/>
  <c r="U294"/>
  <c r="V293"/>
  <c r="U293"/>
  <c r="V292"/>
  <c r="U292"/>
  <c r="V291"/>
  <c r="U291"/>
  <c r="V290"/>
  <c r="U290"/>
  <c r="U289"/>
  <c r="V288"/>
  <c r="U288"/>
  <c r="V287"/>
  <c r="U287"/>
  <c r="V286"/>
  <c r="U286"/>
  <c r="V285"/>
  <c r="U285"/>
  <c r="U284"/>
  <c r="V283"/>
  <c r="U283"/>
  <c r="V282"/>
  <c r="U282"/>
  <c r="V281"/>
  <c r="U281"/>
  <c r="V280"/>
  <c r="U280"/>
  <c r="V279"/>
  <c r="U279"/>
  <c r="V278"/>
  <c r="U278"/>
  <c r="V277"/>
  <c r="U277"/>
  <c r="V276"/>
  <c r="U276"/>
  <c r="V275"/>
  <c r="U275"/>
  <c r="V274"/>
  <c r="U274"/>
  <c r="V273"/>
  <c r="U273"/>
  <c r="V272"/>
  <c r="U272"/>
  <c r="V271"/>
  <c r="U271"/>
  <c r="U270"/>
  <c r="V269"/>
  <c r="U269"/>
  <c r="V268"/>
  <c r="U268"/>
  <c r="V267"/>
  <c r="U267"/>
  <c r="V266"/>
  <c r="U266"/>
  <c r="V265"/>
  <c r="U265"/>
  <c r="V264"/>
  <c r="U264"/>
  <c r="V263"/>
  <c r="U263"/>
  <c r="V262"/>
  <c r="U262"/>
  <c r="V261"/>
  <c r="U261"/>
  <c r="V260"/>
  <c r="U260"/>
  <c r="V259"/>
  <c r="U259"/>
  <c r="V258"/>
  <c r="U258"/>
  <c r="V257"/>
  <c r="U257"/>
  <c r="V256"/>
  <c r="U256"/>
  <c r="V255"/>
  <c r="U255"/>
  <c r="V254"/>
  <c r="U254"/>
  <c r="V253"/>
  <c r="U253"/>
  <c r="V252"/>
  <c r="U252"/>
  <c r="V251"/>
  <c r="U251"/>
  <c r="V250"/>
  <c r="U250"/>
  <c r="V249"/>
  <c r="U249"/>
  <c r="V248"/>
  <c r="U248"/>
  <c r="V247"/>
  <c r="U247"/>
  <c r="U246"/>
  <c r="V245"/>
  <c r="U245"/>
  <c r="V244"/>
  <c r="U244"/>
  <c r="V243"/>
  <c r="U243"/>
  <c r="V242"/>
  <c r="U242"/>
  <c r="U241"/>
  <c r="V240"/>
  <c r="U240"/>
  <c r="V239"/>
  <c r="U239"/>
  <c r="V238"/>
  <c r="U238"/>
  <c r="V237"/>
  <c r="U237"/>
  <c r="V236"/>
  <c r="U236"/>
  <c r="V235"/>
  <c r="U235"/>
  <c r="V234"/>
  <c r="U234"/>
  <c r="V233"/>
  <c r="U233"/>
  <c r="V232"/>
  <c r="U232"/>
  <c r="V231"/>
  <c r="U231"/>
  <c r="V230"/>
  <c r="U230"/>
  <c r="V229"/>
  <c r="U229"/>
  <c r="V228"/>
  <c r="U228"/>
  <c r="V227"/>
  <c r="U227"/>
  <c r="V226"/>
  <c r="U226"/>
  <c r="V225"/>
  <c r="U225"/>
  <c r="V224"/>
  <c r="U224"/>
  <c r="V223"/>
  <c r="U223"/>
  <c r="V222"/>
  <c r="U222"/>
  <c r="V221"/>
  <c r="U221"/>
  <c r="V220"/>
  <c r="U220"/>
  <c r="V219"/>
  <c r="U219"/>
  <c r="V218"/>
  <c r="U218"/>
  <c r="V217"/>
  <c r="U217"/>
  <c r="V216"/>
  <c r="U216"/>
  <c r="V215"/>
  <c r="U215"/>
  <c r="V214"/>
  <c r="U214"/>
  <c r="V213"/>
  <c r="U213"/>
  <c r="V212"/>
  <c r="U212"/>
  <c r="V211"/>
  <c r="U211"/>
  <c r="V210"/>
  <c r="U210"/>
  <c r="V209"/>
  <c r="U209"/>
  <c r="V208"/>
  <c r="U208"/>
  <c r="V207"/>
  <c r="U207"/>
  <c r="V206"/>
  <c r="U206"/>
  <c r="V205"/>
  <c r="U205"/>
  <c r="V204"/>
  <c r="U204"/>
  <c r="V203"/>
  <c r="U203"/>
  <c r="V202"/>
  <c r="U202"/>
  <c r="V201"/>
  <c r="U201"/>
  <c r="V200"/>
  <c r="U200"/>
  <c r="V199"/>
  <c r="U199"/>
  <c r="V198"/>
  <c r="U198"/>
  <c r="V197"/>
  <c r="U197"/>
  <c r="V196"/>
  <c r="U196"/>
  <c r="V195"/>
  <c r="U195"/>
  <c r="V194"/>
  <c r="U194"/>
  <c r="V193"/>
  <c r="U193"/>
  <c r="V192"/>
  <c r="U192"/>
  <c r="V191"/>
  <c r="U191"/>
  <c r="V190"/>
  <c r="U190"/>
  <c r="V189"/>
  <c r="U189"/>
  <c r="V188"/>
  <c r="U188"/>
  <c r="V187"/>
  <c r="U187"/>
  <c r="V186"/>
  <c r="U186"/>
  <c r="V185"/>
  <c r="U185"/>
  <c r="V184"/>
  <c r="U184"/>
  <c r="V183"/>
  <c r="U183"/>
  <c r="V182"/>
  <c r="U182"/>
  <c r="V181"/>
  <c r="U181"/>
  <c r="V180"/>
  <c r="U180"/>
  <c r="V179"/>
  <c r="U179"/>
  <c r="V178"/>
  <c r="U178"/>
  <c r="V177"/>
  <c r="U177"/>
  <c r="V176"/>
  <c r="U176"/>
  <c r="V175"/>
  <c r="U175"/>
  <c r="V174"/>
  <c r="U174"/>
  <c r="V173"/>
  <c r="U173"/>
  <c r="V172"/>
  <c r="U172"/>
  <c r="V171"/>
  <c r="U171"/>
  <c r="V170"/>
  <c r="U170"/>
  <c r="V169"/>
  <c r="U169"/>
  <c r="V168"/>
  <c r="U168"/>
  <c r="V167"/>
  <c r="U167"/>
  <c r="V166"/>
  <c r="U166"/>
  <c r="V165"/>
  <c r="U165"/>
  <c r="V164"/>
  <c r="U164"/>
  <c r="V163"/>
  <c r="U163"/>
  <c r="V162"/>
  <c r="U162"/>
  <c r="V161"/>
  <c r="U161"/>
  <c r="V160"/>
  <c r="U160"/>
  <c r="V159"/>
  <c r="U159"/>
  <c r="V158"/>
  <c r="U158"/>
  <c r="V157"/>
  <c r="U157"/>
  <c r="U156"/>
  <c r="V155"/>
  <c r="U155"/>
  <c r="V154"/>
  <c r="U154"/>
  <c r="V153"/>
  <c r="U153"/>
  <c r="V152"/>
  <c r="U152"/>
  <c r="V151"/>
  <c r="U151"/>
  <c r="V150"/>
  <c r="U150"/>
  <c r="V149"/>
  <c r="U149"/>
  <c r="V148"/>
  <c r="U148"/>
  <c r="V147"/>
  <c r="U147"/>
  <c r="V146"/>
  <c r="U146"/>
  <c r="V145"/>
  <c r="U145"/>
  <c r="V144"/>
  <c r="U144"/>
  <c r="V143"/>
  <c r="U143"/>
  <c r="V142"/>
  <c r="U142"/>
  <c r="V141"/>
  <c r="U141"/>
  <c r="V140"/>
  <c r="U140"/>
  <c r="V139"/>
  <c r="U139"/>
  <c r="V138"/>
  <c r="U138"/>
  <c r="V137"/>
  <c r="U137"/>
  <c r="V136"/>
  <c r="U136"/>
  <c r="V135"/>
  <c r="U135"/>
  <c r="V134"/>
  <c r="U134"/>
  <c r="V133"/>
  <c r="U133"/>
  <c r="V132"/>
  <c r="U132"/>
  <c r="V131"/>
  <c r="U131"/>
  <c r="V130"/>
  <c r="U130"/>
  <c r="V129"/>
  <c r="U129"/>
  <c r="V128"/>
  <c r="U128"/>
  <c r="V127"/>
  <c r="U127"/>
  <c r="V126"/>
  <c r="U126"/>
  <c r="V125"/>
  <c r="U125"/>
  <c r="V124"/>
  <c r="U124"/>
  <c r="V123"/>
  <c r="U123"/>
  <c r="V122"/>
  <c r="U122"/>
  <c r="V121"/>
  <c r="U121"/>
  <c r="V120"/>
  <c r="U120"/>
  <c r="V119"/>
  <c r="U119"/>
  <c r="V118"/>
  <c r="U118"/>
  <c r="V117"/>
  <c r="U117"/>
  <c r="V116"/>
  <c r="U116"/>
  <c r="V115"/>
  <c r="U115"/>
  <c r="V114"/>
  <c r="U114"/>
  <c r="V113"/>
  <c r="U113"/>
  <c r="V112"/>
  <c r="U112"/>
  <c r="V111"/>
  <c r="U111"/>
  <c r="V110"/>
  <c r="U110"/>
  <c r="V109"/>
  <c r="U109"/>
  <c r="V108"/>
  <c r="U108"/>
  <c r="V107"/>
  <c r="U107"/>
  <c r="V106"/>
  <c r="U106"/>
  <c r="V105"/>
  <c r="U105"/>
  <c r="V104"/>
  <c r="U104"/>
  <c r="U103"/>
  <c r="V102"/>
  <c r="U102"/>
  <c r="V101"/>
  <c r="U101"/>
  <c r="V100"/>
  <c r="U100"/>
  <c r="V99"/>
  <c r="U99"/>
  <c r="U98"/>
  <c r="V97"/>
  <c r="U97"/>
  <c r="V96"/>
  <c r="U96"/>
  <c r="V95"/>
  <c r="U95"/>
  <c r="V94"/>
  <c r="U94"/>
  <c r="V93"/>
  <c r="U93"/>
  <c r="V92"/>
  <c r="U92"/>
  <c r="V91"/>
  <c r="U91"/>
  <c r="V90"/>
  <c r="U90"/>
  <c r="V89"/>
  <c r="U89"/>
  <c r="V88"/>
  <c r="U88"/>
  <c r="U87"/>
  <c r="V86"/>
  <c r="U86"/>
  <c r="V85"/>
  <c r="U85"/>
  <c r="V84"/>
  <c r="U84"/>
  <c r="V83"/>
  <c r="U83"/>
  <c r="V82"/>
  <c r="U82"/>
  <c r="V81"/>
  <c r="U81"/>
  <c r="V80"/>
  <c r="U80"/>
  <c r="V79"/>
  <c r="U79"/>
  <c r="V78"/>
  <c r="U78"/>
  <c r="V77"/>
  <c r="U77"/>
  <c r="V76"/>
  <c r="U76"/>
  <c r="V75"/>
  <c r="U75"/>
  <c r="V74"/>
  <c r="U74"/>
  <c r="V73"/>
  <c r="U73"/>
  <c r="V72"/>
  <c r="U72"/>
  <c r="V71"/>
  <c r="U71"/>
  <c r="V70"/>
  <c r="U70"/>
  <c r="V69"/>
  <c r="U69"/>
  <c r="U68"/>
  <c r="V67"/>
  <c r="U67"/>
  <c r="V66"/>
  <c r="U66"/>
  <c r="V65"/>
  <c r="U65"/>
  <c r="V64"/>
  <c r="U64"/>
  <c r="V63"/>
  <c r="U63"/>
  <c r="V62"/>
  <c r="U62"/>
  <c r="V61"/>
  <c r="U61"/>
  <c r="V60"/>
  <c r="U60"/>
  <c r="V59"/>
  <c r="U59"/>
  <c r="V58"/>
  <c r="U58"/>
  <c r="V57"/>
  <c r="U57"/>
  <c r="V56"/>
  <c r="U56"/>
  <c r="V55"/>
  <c r="U55"/>
  <c r="V54"/>
  <c r="U54"/>
  <c r="V53"/>
  <c r="U53"/>
  <c r="V52"/>
  <c r="U52"/>
  <c r="V51"/>
  <c r="U51"/>
  <c r="V50"/>
  <c r="U50"/>
  <c r="V49"/>
  <c r="U49"/>
  <c r="V48"/>
  <c r="U48"/>
  <c r="V47"/>
  <c r="U47"/>
  <c r="V46"/>
  <c r="U46"/>
  <c r="V45"/>
  <c r="U45"/>
  <c r="V44"/>
  <c r="U44"/>
  <c r="V43"/>
  <c r="U43"/>
  <c r="V42"/>
  <c r="U42"/>
  <c r="V41"/>
  <c r="U41"/>
  <c r="V40"/>
  <c r="U40"/>
  <c r="V39"/>
  <c r="U39"/>
  <c r="V38"/>
  <c r="U38"/>
  <c r="V37"/>
  <c r="U37"/>
  <c r="V36"/>
  <c r="U36"/>
  <c r="V35"/>
  <c r="U35"/>
  <c r="V34"/>
  <c r="U34"/>
  <c r="V33"/>
  <c r="U33"/>
  <c r="V32"/>
  <c r="U32"/>
  <c r="V31"/>
  <c r="U31"/>
  <c r="V30"/>
  <c r="U30"/>
  <c r="V29"/>
  <c r="U29"/>
  <c r="V28"/>
  <c r="U28"/>
  <c r="V27"/>
  <c r="U27"/>
  <c r="V26"/>
  <c r="U26"/>
  <c r="V25"/>
  <c r="U25"/>
  <c r="V24"/>
  <c r="U24"/>
  <c r="V23"/>
  <c r="U23"/>
  <c r="V22"/>
  <c r="U22"/>
  <c r="V21"/>
  <c r="U21"/>
  <c r="V20"/>
  <c r="U20"/>
  <c r="V19"/>
  <c r="U19"/>
  <c r="V18"/>
  <c r="U18"/>
  <c r="V17"/>
  <c r="U17"/>
  <c r="V16"/>
  <c r="U16"/>
  <c r="V15"/>
  <c r="U15"/>
  <c r="V14"/>
  <c r="U14"/>
  <c r="V13"/>
  <c r="U13"/>
  <c r="V12"/>
  <c r="U12"/>
  <c r="V11"/>
  <c r="U11"/>
  <c r="V10"/>
  <c r="U10"/>
  <c r="U9"/>
  <c r="U8"/>
  <c r="A5"/>
  <c r="A4"/>
</calcChain>
</file>

<file path=xl/sharedStrings.xml><?xml version="1.0" encoding="utf-8"?>
<sst xmlns="http://schemas.openxmlformats.org/spreadsheetml/2006/main" count="99651" uniqueCount="36752">
  <si>
    <t>ИНФРА-М Научно-издательский Центр</t>
  </si>
  <si>
    <t>005. ВО (для учебных заведений и библиотек)
от 31.03.2025</t>
  </si>
  <si>
    <t>Данный прайс-лист не является публичной офертой</t>
  </si>
  <si>
    <t>127282, Москва г, ул Полярная, д. 31В, стр. 1, помещ 1/1</t>
  </si>
  <si>
    <t>Издательство оставляет за собой право на изменение ассортимента и цен на издания.
Информацию о наличии товара и актуальные цены уточняйте у вашего курирующего менеджера 
или напишите нам на электронную почту books@infra-m.ru</t>
  </si>
  <si>
    <t>тел/факс: +7 (495) 280-15-96</t>
  </si>
  <si>
    <t>Заказ</t>
  </si>
  <si>
    <t>Код</t>
  </si>
  <si>
    <t>Цена опт.</t>
  </si>
  <si>
    <t>Наименование товара</t>
  </si>
  <si>
    <t>Основное заглавие</t>
  </si>
  <si>
    <t>Авторы</t>
  </si>
  <si>
    <t>Оформление</t>
  </si>
  <si>
    <t>Издательство</t>
  </si>
  <si>
    <t>Серия</t>
  </si>
  <si>
    <t>Ст-т</t>
  </si>
  <si>
    <t>Стр.</t>
  </si>
  <si>
    <t>Год</t>
  </si>
  <si>
    <t>ISBN</t>
  </si>
  <si>
    <t>Раздел</t>
  </si>
  <si>
    <t>Подраздел</t>
  </si>
  <si>
    <t>Вид издания</t>
  </si>
  <si>
    <t>Уровень образования</t>
  </si>
  <si>
    <t>ОКСО</t>
  </si>
  <si>
    <t>Гриф МО</t>
  </si>
  <si>
    <t>Доп. мат. на znanium</t>
  </si>
  <si>
    <t>Обложка</t>
  </si>
  <si>
    <t>ЭБС Znanium</t>
  </si>
  <si>
    <t>Аффилиация автора</t>
  </si>
  <si>
    <t>Новинка месяца</t>
  </si>
  <si>
    <t>ПООП</t>
  </si>
  <si>
    <t>К</t>
  </si>
  <si>
    <t>Ш</t>
  </si>
  <si>
    <t>Победитель конкурсов</t>
  </si>
  <si>
    <t>414350.09.01</t>
  </si>
  <si>
    <t>"Идем в Третьяковку!": Уч. пос. для иностр. студ. / Н.Н.Левшина - М.: Форум, 2025 -128с. (о)</t>
  </si>
  <si>
    <t>"ИДЕМ В ТРЕТЬЯКОВКУ!"</t>
  </si>
  <si>
    <t>Левшина Н. Н., Филиппова О. В.</t>
  </si>
  <si>
    <t>Обложка. КБС</t>
  </si>
  <si>
    <t>Форум</t>
  </si>
  <si>
    <t>978-5-91134-725-3</t>
  </si>
  <si>
    <t>ОБЩЕСТВЕННЫЕ НАУКИ.  ЭКОНОМИКА. ПРАВО</t>
  </si>
  <si>
    <t>Культура. Средства массовой информации</t>
  </si>
  <si>
    <t>Учебное пособие</t>
  </si>
  <si>
    <t>Профессиональное образование / ВО - Бакалавриат</t>
  </si>
  <si>
    <t>00.03.09</t>
  </si>
  <si>
    <t>Московский педагогический государственный университет</t>
  </si>
  <si>
    <t>0113</t>
  </si>
  <si>
    <t>845554.01.01</t>
  </si>
  <si>
    <t>"Как дела?": Уч.пос. для иностранных учащихся (баз. ур.) / Л.В.Владимирова - М.:НИЦ ИНФРА-М, КФУ,2025. - 213 с(п)</t>
  </si>
  <si>
    <t>"КАК ДЕЛА?" УЧЕБНОЕ ПОСОБИЕ ДЛЯ ИНОСТРАННЫХ УЧАЩИХСЯ (БАЗОВЫЙ УРОВЕНЬ)</t>
  </si>
  <si>
    <t>Владимирова Л.В., Кулигина О.В., Сафин Р.Н.</t>
  </si>
  <si>
    <t>Переплет 7БЦ</t>
  </si>
  <si>
    <t>НИЦ ИНФРА-М</t>
  </si>
  <si>
    <t>Высшее образование (КазФУ)</t>
  </si>
  <si>
    <t>978-5-16-020601-1</t>
  </si>
  <si>
    <t>ГУМАНИТАРНЫЕ НАУКИ. РЕЛИГИЯ. ИСКУССТВО</t>
  </si>
  <si>
    <t>Филологические науки</t>
  </si>
  <si>
    <t>Профессиональное образование</t>
  </si>
  <si>
    <t>00.03.09, 00.05.09</t>
  </si>
  <si>
    <t>Март, 2025</t>
  </si>
  <si>
    <t>0125</t>
  </si>
  <si>
    <t>138150.14.01</t>
  </si>
  <si>
    <t>100 уроков вольной борьбы: Уч.пос. / П.Ф.Матущак - М.:ИНФРА-М Изд/ Дом,2025 - 292 с.(П)</t>
  </si>
  <si>
    <t>100 УРОКОВ ВОЛЬНОЙ БОРЬБЫ</t>
  </si>
  <si>
    <t>Матущак П. Ф.</t>
  </si>
  <si>
    <t>ИНФРА-М Издательский Дом</t>
  </si>
  <si>
    <t>978-5-16-004421-7</t>
  </si>
  <si>
    <t>ДОМ, БЫТ, ДОСУГ</t>
  </si>
  <si>
    <t>Спорт. Самооборона</t>
  </si>
  <si>
    <t>44.03.01, 44.03.05, 44.04.01, 49.03.03, 49.04.03</t>
  </si>
  <si>
    <t>-</t>
  </si>
  <si>
    <t>0111</t>
  </si>
  <si>
    <t>307200.03.01</t>
  </si>
  <si>
    <t>1С: Предприятие. Проект.прилож.: Уч.пос. / Э.Г.Дадян - М.:Вуз.уч., НИЦ ИНФРА-М,2017 - 288с(п)</t>
  </si>
  <si>
    <t>1С: ПРЕДПРИЯТИЕ. ПРОЕКТИРОВАНИЕ  ПРИЛОЖЕНИЙ</t>
  </si>
  <si>
    <t>Дадян Э.Г.</t>
  </si>
  <si>
    <t>Вузовский учебник</t>
  </si>
  <si>
    <t>978-5-9558-0394-4</t>
  </si>
  <si>
    <t>ПРИКЛАДНЫЕ НАУКИ. ТЕХНИКА. МЕДИЦИНА</t>
  </si>
  <si>
    <t>Информатика. Вычислительная техника</t>
  </si>
  <si>
    <t>38.03.01, 38.03.05, 38.04.01, 38.04.05</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</si>
  <si>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подготовки 080100 «Экономика" (квалификация (степень) - бакалавр)</t>
  </si>
  <si>
    <t>Финансовый университет при Правительстве Российской Федерации</t>
  </si>
  <si>
    <t>0114</t>
  </si>
  <si>
    <t>468250.13.01</t>
  </si>
  <si>
    <t>3D Studio Max + VRay + Corona: Уч.пос. / Д.А.Хворостов - 2 изд. - М.:НИЦ ИНФРА-М,2025 - 333 с..(П)</t>
  </si>
  <si>
    <t>3D STUDIO MAX + VRAY + CORONA. ПРОЕКТИРОВАНИЕ ДИЗАЙНА СРЕДЫ, ИЗД.2</t>
  </si>
  <si>
    <t>Хворостов Д. А.</t>
  </si>
  <si>
    <t>Переплет 7БЦ/Без шитья</t>
  </si>
  <si>
    <t>Высшее образование: Бакалавриат</t>
  </si>
  <si>
    <t>978-5-16-015783-2</t>
  </si>
  <si>
    <t>54.03.01, 54.04.01, 54.05.03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</si>
  <si>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54.03.01 «Дизайн», 54.03.02 «Декоративно-прикладное искусство и народные промыслы» (квалификация (степень) «бакалавр») (протокол № 11 от 09.11.2020)</t>
  </si>
  <si>
    <t>Орловский государственный университет им. И.С. Тургенева</t>
  </si>
  <si>
    <t>0221</t>
  </si>
  <si>
    <t>682799.02.01</t>
  </si>
  <si>
    <t>3D Studio Max + VRay. Проектир...: Уч.пос. / Д.А.Хворостов, - 2 изд. - М.:Форум, НИЦ ИНФРА-М,2025. - 333 с.(п)</t>
  </si>
  <si>
    <t>3D STUDIO MAX + VRAY. ПРОЕКТИРОВАНИЕ ДИЗАЙНА СРЕДЫ, ИЗД.2</t>
  </si>
  <si>
    <t>Хворостов Д.А.</t>
  </si>
  <si>
    <t>Среднее профессиональное образование</t>
  </si>
  <si>
    <t>978-5-00091-802-9</t>
  </si>
  <si>
    <t>Профессиональное образование / Среднее профессиональное образование</t>
  </si>
  <si>
    <t>54.01.20, 54.02.01, 54.02.03, 54.02.06, 54.02.07, 54.02.08, 09.02.10</t>
  </si>
  <si>
    <t>32</t>
  </si>
  <si>
    <t>0224</t>
  </si>
  <si>
    <t>468250.05.01</t>
  </si>
  <si>
    <t>3D Studio Max + VRay...: Уч.пос. / Д.А.Хворостов - М.:Форум,НИЦ ИНФРА-М,2019 - 270с(ВО:Бакалавр.)(о)</t>
  </si>
  <si>
    <t>3D STUDIO MAX + VRAY. ПРОЕКТИРОВАНИЕ ДИЗАЙНА СРЕДЫ</t>
  </si>
  <si>
    <t>978-5-00091-515-8</t>
  </si>
  <si>
    <t>Рекомендовано в качестве учебного пособия для студентов высших учебных заведений, обучающихся по специальностям художественно-графического цикла</t>
  </si>
  <si>
    <t>0115</t>
  </si>
  <si>
    <t>165450.10.01</t>
  </si>
  <si>
    <t>454 вопроса по менеджменту: Уч.пос. / Т.Б.Борискина-М.:НИЦ ИНФРА-М,2024.-100 с..-(ВО)(о)</t>
  </si>
  <si>
    <t>454 ВОПРОСА ПО МЕНЕДЖМЕНТУ</t>
  </si>
  <si>
    <t>Борискина Т.Б., Пескова О.С.</t>
  </si>
  <si>
    <t>Высшее образование</t>
  </si>
  <si>
    <t>978-5-16-018604-7</t>
  </si>
  <si>
    <t>Управление (менеджмент)</t>
  </si>
  <si>
    <t>38.03.02, 38.03.04, 38.04.04, 41.03.06, 44.03.05</t>
  </si>
  <si>
    <t>Рекомендовано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</si>
  <si>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Волгоградский государственный технический университет</t>
  </si>
  <si>
    <t>0112</t>
  </si>
  <si>
    <t>824721.01.01</t>
  </si>
  <si>
    <t>7,62-мм Снайперская винтовка Драгунова со..: Уч.пос. / В.А.Мельничук - М.:НИЦ ИНФРА-М,2024. - 146 с.(п)</t>
  </si>
  <si>
    <t>7,62-ММ СНАЙПЕРСКАЯ ВИНТОВКА ДРАГУНОВА СО СКЛАДЫВАЮЩИМСЯ ПРИКЛАДОМ (СВДС)</t>
  </si>
  <si>
    <t>Мельничук В.А., Яшин С.В.</t>
  </si>
  <si>
    <t>Военное образование</t>
  </si>
  <si>
    <t>978-5-16-019822-4</t>
  </si>
  <si>
    <t>Военное дело. Оружие. Спецслужбы</t>
  </si>
  <si>
    <t>00.03.41, 00.05.17</t>
  </si>
  <si>
    <t>Санкт-Петербургский университет Министерства внутренних дел России</t>
  </si>
  <si>
    <t>Ноябрь, 2024</t>
  </si>
  <si>
    <t>0124</t>
  </si>
  <si>
    <t>179450.09.01</t>
  </si>
  <si>
    <t>Analyse grammaticale du mot dans la phrase...: Уч.пос. / Ж.Багана - М.:НИЦ ИНФРА-М,2024-103 с.(ВО)(о)</t>
  </si>
  <si>
    <t>ANALYSE GRAMMATICALE DU MOT DANS LA PHRASE (ГРАММАТИЧЕСКИЙ АНАЛИЗ СЛОВ В ПРЕДЛОЖЕНИИ)</t>
  </si>
  <si>
    <t>Багана Ж., Хапилина Е.В.</t>
  </si>
  <si>
    <t>978-5-16-019283-3</t>
  </si>
  <si>
    <t>00.03.02, 00.05.02, 40.03.01, 44.03.01, 44.03.05, 44.04.01, 45.03.01, 45.03.02, 45.04.01</t>
  </si>
  <si>
    <t>Рекомендовано в качестве учебного пособия для студентов высших учебных заведений, обучающихся по направлениям подготовки 45.03.01 «Филология», 45.03.02 «Лингвистика» (квалификация (степень) «бакалавр»)</t>
  </si>
  <si>
    <t>Белгородский государственный институт искусств и культуры</t>
  </si>
  <si>
    <t>676264.06.01</t>
  </si>
  <si>
    <t>AutoCAD Mechanical: Уч.пос. / В.М.Бабенко - М.:НИЦ ИНФРА-М,2024 - 143 с.-(ВО(СевГУ))(п)</t>
  </si>
  <si>
    <t>AUTOCAD MECHANICAL</t>
  </si>
  <si>
    <t>Бабенко В.М., Мухина О.В.</t>
  </si>
  <si>
    <t>Высшее образование (СевГУ)</t>
  </si>
  <si>
    <t>978-5-16-019170-6</t>
  </si>
  <si>
    <t>Технические науки в целом</t>
  </si>
  <si>
    <t>15.03.01, 15.03.02, 15.03.03, 15.03.04, 15.03.05</t>
  </si>
  <si>
    <t>Севастопольский государственный университет</t>
  </si>
  <si>
    <t>0118</t>
  </si>
  <si>
    <t>095360.11.01</t>
  </si>
  <si>
    <t>Business English for students of economics = Дел. англ..: Уч.пос. / Б.И.Герасимов - 2 изд. - М.:Форум, ИНФРА-М,2025 - 183 c.(П)</t>
  </si>
  <si>
    <t>BUSINESS ENGLISH FOR STUDENTS OF ECONOMICS = ДЕЛОВОЙ АНГЛИЙСКИЙ ДЛЯ СТУДЕНТОВ-ЭКОНОМИСТОВ, ИЗД.2</t>
  </si>
  <si>
    <t>Герасимов Б.И., Гливенкова О.А., Гунина Н.А. и др.</t>
  </si>
  <si>
    <t>978-5-00091-116-7</t>
  </si>
  <si>
    <t>38.03.01, 38.03.02</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</si>
  <si>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профессионального образования</t>
  </si>
  <si>
    <t>Тамбовский государственный технический университет</t>
  </si>
  <si>
    <t>0216</t>
  </si>
  <si>
    <t>805404.01.01</t>
  </si>
  <si>
    <t>Business Fundamentals (Основы бизнеса): Уч. / М.В.Мельничук-М.:НИЦ ИНФРА-М,2024.-216 с.(ВО (Финансовый универ.))(п)</t>
  </si>
  <si>
    <t>BUSINESS FUNDAMENTALS (ОСНОВЫ БИЗНЕСА)</t>
  </si>
  <si>
    <t>Мельничук М.В., Анюшенкова О.Н.</t>
  </si>
  <si>
    <t>Высшее образование (Финансовый университет)</t>
  </si>
  <si>
    <t>978-5-16-018712-9</t>
  </si>
  <si>
    <t>Учебник</t>
  </si>
  <si>
    <t>38.03.01, 38.03.02, 38.03.03, 38.03.04, 38.03.05, 38.03.06, 38.03.07, 38.03.10</t>
  </si>
  <si>
    <t>832129.01.01</t>
  </si>
  <si>
    <t>COVID-19: сов. представл..: Уч.пос./Под общ. ред. И.О. Стомы-М.:НИЦ ИНФРА-М, Гомельский ГМУ,2024.-306 с(ВО)(п)</t>
  </si>
  <si>
    <t>COVID-19: СОВРЕМЕННЫЕ ПРЕДСТАВЛЕНИЯ, ВОЗМОЖНОСТИ ЛЕЧЕНИЯ И ПРОФИЛАКТИКИ</t>
  </si>
  <si>
    <t>Карпов И.А., Горбич Ю.Л., Стома И.О.</t>
  </si>
  <si>
    <t>978-5-16-019980-1</t>
  </si>
  <si>
    <t>Медицина. Фармакология</t>
  </si>
  <si>
    <t>Учебно-методическое пособие</t>
  </si>
  <si>
    <t>20.02.01, 30.05.03, 31.02.01, 31.05.01, 31.05.02, 31.05.03, 32.02.01, 32.04.01, 32.05.01</t>
  </si>
  <si>
    <t>Рекомендовано Учебно-методическим объединением в сфере дополнительного образования взрослых по профилю образования «Здравоохранение»</t>
  </si>
  <si>
    <t>Гомельский государственный медицинский университет</t>
  </si>
  <si>
    <t>Май, 2024</t>
  </si>
  <si>
    <t>189250.03.01</t>
  </si>
  <si>
    <t>Delphi: програм. в прим. и задачах. Практ.: Уч.пос./ Г.М.Эйдлина-М:ИЦ РИОР:НИЦ Инфра-М,2017-119-(ВО)</t>
  </si>
  <si>
    <t>DELPHI: ПРОГРАММИРОВАНИЕ В ПРИМЕРАХ И ЗАДАЧАХ. ПРАКТИКУМ</t>
  </si>
  <si>
    <t>Эйдлина Г. М., Милорадов К. А.</t>
  </si>
  <si>
    <t>ИЦ РИОР</t>
  </si>
  <si>
    <t>СПО</t>
  </si>
  <si>
    <t>978-5-369-01084-6</t>
  </si>
  <si>
    <t>Практикум</t>
  </si>
  <si>
    <t>09.03.01, 09.03.02, 09.04.01, 09.04.02</t>
  </si>
  <si>
    <t>Российский экономический университет им. Г.В. Плеханова</t>
  </si>
  <si>
    <t>682800.05.01</t>
  </si>
  <si>
    <t>Delphi: программир. в примерах и задачах. Прак. / Г.М.Эйдлина, - 2 изд.-М.:ИЦ РИОР, НИЦ ИНФРА-М,2024.-138 с.(СПО)(о)</t>
  </si>
  <si>
    <t>DELPHI: ПРОГРАММИРОВАНИЕ В ПРИМЕРАХ И ЗАДАЧАХ. ПРАКТИКУМ, ИЗД.2</t>
  </si>
  <si>
    <t>Эйдлина Г.М., Милорадов К.А.</t>
  </si>
  <si>
    <t>978-5-369-01762-3</t>
  </si>
  <si>
    <t>09.02.01, 09.02.02, 09.02.03, 09.02.04, 09.02.05, 09.02.06, 09.02.07, 10.02.01, 10.02.02, 10.02.03, 10.02.04, 10.02.05</t>
  </si>
  <si>
    <t>0218</t>
  </si>
  <si>
    <t>189250.07.01</t>
  </si>
  <si>
    <t>Delphi: программирование в прим. и задачах. Практ.:Уч.пос. / Г.М.Эйдлина - 2изд.-М.:ИЦ РИОР, НИЦ ИНФРА-М,2023-138 с.(ВО)</t>
  </si>
  <si>
    <t>978-5-369-01768-5</t>
  </si>
  <si>
    <t>802225.04.01</t>
  </si>
  <si>
    <t>Dermatology and veneorology: Уч.пос. / Д.В.Прохоров. - М.:НИЦ ИНФРА-М,2025. - 214 с.(ВО)(п)</t>
  </si>
  <si>
    <t>DERMATOLOGY AND VENEOROLOGY</t>
  </si>
  <si>
    <t>Притуло О.А., Прохоров Д.В., Мараках М.Я. и др.</t>
  </si>
  <si>
    <t>978-5-16-018539-2</t>
  </si>
  <si>
    <t>31.05.01, 31.08.32</t>
  </si>
  <si>
    <t>Крымский федеральный университет им. В.И. Вернадского</t>
  </si>
  <si>
    <t>0123</t>
  </si>
  <si>
    <t>745690.04.01</t>
  </si>
  <si>
    <t>English Coursebook for Lawyers: Уч. англ.яз. / Е.Б.Попов и др.-М.:НИЦ ИНФРА-М,2024.-314 с.(ВО)(П)</t>
  </si>
  <si>
    <t>ENGLISH COURSEBOOK FOR LAWYERS</t>
  </si>
  <si>
    <t>Попов Е.Б., Феоктистова Е.М., Халюшева Г.Р. и др.</t>
  </si>
  <si>
    <t>Высшее образование: Специалитет</t>
  </si>
  <si>
    <t>978-5-16-016543-1</t>
  </si>
  <si>
    <t>Профессиональное образование / ВО - Специалитет</t>
  </si>
  <si>
    <t>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</si>
  <si>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40.05.00 «Юриспруденция»  (протокол № 8 от 22.06.2020)</t>
  </si>
  <si>
    <t>Московский государственный юридический университет им. О.Е. Кутафина, ф-л Оренбургский институт</t>
  </si>
  <si>
    <t>35</t>
  </si>
  <si>
    <t>0121</t>
  </si>
  <si>
    <t>837758.01.01</t>
  </si>
  <si>
    <t>English for Agriculture and Agronomy «Английский яз...: Уч. / М.В.Мельничук - М.:НИЦ ИНФРА-М,2025. - 437 с.(п)</t>
  </si>
  <si>
    <t>ENGLISH FOR AGRICULTURE AND AGRONOMY «АНГЛИЙСКИЙ ЯЗЫК ДЛЯ СПЕЦИАЛИСТОВ СЕЛЬСКОГО ХОЗЯЙСТВА И АГРОНОМОВ</t>
  </si>
  <si>
    <t>Среднее профессиональное образование (ФинУн)</t>
  </si>
  <si>
    <t>978-5-16-020279-2</t>
  </si>
  <si>
    <t>35.02.05</t>
  </si>
  <si>
    <t>Декабрь, 2024</t>
  </si>
  <si>
    <t>СПО-2024, Победитель, I место</t>
  </si>
  <si>
    <t>766449.01.01</t>
  </si>
  <si>
    <t>English for Doctors (Англ. для врачей): Уч.пос. / И.С.Гончарова-М.:НИЦ ИНФРА-М,2023.-272 с.(ВО.Сп)(п)</t>
  </si>
  <si>
    <t>ENGLISH FOR DOCTORS = АНГЛИЙСКИЙ ЯЗЫК ДЛЯ ВРАЧЕЙ</t>
  </si>
  <si>
    <t>Гончарова И.С.</t>
  </si>
  <si>
    <t>978-5-16-017262-0</t>
  </si>
  <si>
    <t>31.05.01, 31.05.02, 31.05.03, 31.05.04</t>
  </si>
  <si>
    <t>Ростовский государственный экономический университет (РИНХ)</t>
  </si>
  <si>
    <t>0122</t>
  </si>
  <si>
    <t>063800.16.01</t>
  </si>
  <si>
    <t>English for students of economics: Уч./ Л.А.Халилова - 4 изд. - М.:Форум,ИНФРА-М,2023 - 383с. (СПО)(П)</t>
  </si>
  <si>
    <t>ENGLISH FOR STUDENTS OF ECONOMICS = АНГЛИЙСКИЙ ЯЗЫК ДЛЯ СТУДЕНТОВ-ЭКОНОМИСТОВ, ИЗД.4</t>
  </si>
  <si>
    <t>Халилова Л. А.</t>
  </si>
  <si>
    <t>978-5-00091-775-6</t>
  </si>
  <si>
    <t>38.01.02, 38.01.03, 38.02.01, 38.02.02, 38.02.03, 38.02.06, 38.02.07, 38.02.08</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</si>
  <si>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t>
  </si>
  <si>
    <t>Российский государственный гуманитарный университет РГГУ</t>
  </si>
  <si>
    <t>0415</t>
  </si>
  <si>
    <t>786395.01.01</t>
  </si>
  <si>
    <t>English for Students of Electronics. Англ. яз..: Уч. / О.Н.Анюшенкова-М.:НИЦ ИНФРА-М,2023.-462 с.(П)</t>
  </si>
  <si>
    <t>АНГЛИЙСКИЙ ЯЗЫК ДЛЯ СТУДЕНТОВ, ИЗУЧАЮЩИХ ЭЛЕКТРОНИКУ (ENGLISH FOR STUDENTS OF ELECTRONICS)</t>
  </si>
  <si>
    <t>Анюшенкова О.Н.</t>
  </si>
  <si>
    <t>978-5-16-018509-5</t>
  </si>
  <si>
    <t>11.01.01, 11.01.02, 11.01.05, 11.01.08, 11.01.11, 11.02.03, 11.02.06, 11.02.07, 11.02.09, 11.02.11, 11.02.12, 11.02.13, 11.02.14, 11.02.15, 11.02.16, 11.02.17, 11.02.18, 11.02.19</t>
  </si>
  <si>
    <t>684900.08.01</t>
  </si>
  <si>
    <t>Essential English for Law (англ. яз. для юристов): Уч.пос. / Т.В.Сидоренко - М.:НИЦ ИНФРА-М,2024- 282с(П)</t>
  </si>
  <si>
    <t>ESSENTIAL ENGLISH FOR LAW (АНГЛИЙСКИЙ ЯЗЫК ДЛЯ ЮРИСТОВ)</t>
  </si>
  <si>
    <t>Сидоренко Т.В., Шагиева Н.М.</t>
  </si>
  <si>
    <t>978-5-16-014148-0</t>
  </si>
  <si>
    <t>40.02.02, 40.02.04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</si>
  <si>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</si>
  <si>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0119</t>
  </si>
  <si>
    <t>430150.10.01</t>
  </si>
  <si>
    <t>Essential English for Law (англ. яз. для юристов): Уч.пос. / Т.В.Сидоренко-М.:НИЦ ИНФРА-М,2023.-282 с.(ВО)(П)</t>
  </si>
  <si>
    <t>978-5-16-005665-4</t>
  </si>
  <si>
    <t>40.03.01, 40.04.01, 40.05.01, 40.05.02, 40.05.03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</si>
  <si>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направлениий 40.03.01 «Юриспруденция» (квалификация (степень) «бакалавр») (протокол № 12 от 24.06.2019)</t>
  </si>
  <si>
    <t>665721.09.01</t>
  </si>
  <si>
    <t>Government Relations: теория, стратегии и национал.практ..: Уч. / Р.Т.Мухаев - М.:НИЦ ИНФРА-М,2025 - 393 с.(п)</t>
  </si>
  <si>
    <t>GOVERNMENT RELATIONS: ТЕОРИЯ, СТРАТЕГИИ И НАЦИОНАЛЬНЫЕ ПРАКТИКИ. ПОЛНОЕ РУКОВОДСТВО</t>
  </si>
  <si>
    <t>Мухаев Р.Т.</t>
  </si>
  <si>
    <t>978-5-16-014105-3</t>
  </si>
  <si>
    <t>38.03.04, 38.04.04, 41.03.04, 41.04.04, 42.03.01, 42.04.01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</si>
  <si>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43.03.01 «Реклама и связи с общественностью», 41.03.04 «Политология» (квалификация (степень) «бакалавр»)</t>
  </si>
  <si>
    <t>АКАДЕМУС-2017, Победитель</t>
  </si>
  <si>
    <t>156050.11.01</t>
  </si>
  <si>
    <t>GR для эффективного бизнеса: Уч.пос. / А.Б.Шатилов-М.:НИЦ ИНФРА-М,2024.-143 с..-(ВО: Магистратура)</t>
  </si>
  <si>
    <t>GR ДЛЯ ЭФФЕКТИВНОГО БИЗНЕСА</t>
  </si>
  <si>
    <t>Шатилов А.Б., Никитин А.С.</t>
  </si>
  <si>
    <t>Высшее образование: Магистратура</t>
  </si>
  <si>
    <t>978-5-16-017576-8</t>
  </si>
  <si>
    <t>Бизнес</t>
  </si>
  <si>
    <t>Профессиональное образование / ВО - Магистратура</t>
  </si>
  <si>
    <t>38.03.02, 38.03.04, 38.04.02, 38.04.03, 38.04.04, 44.03.05</t>
  </si>
  <si>
    <t>801746.03.01</t>
  </si>
  <si>
    <t>Intercultural Communication in a Multipolar World: Уч.пос. / И.И.Климова - М.:НИЦ ИНФРА-М,2024 - 201 с.(п)</t>
  </si>
  <si>
    <t>INTERCULTURAL COMMUNICATION IN A MULTIPOLAR WORLD</t>
  </si>
  <si>
    <t>Климова И.И., Козловцева Н.А., Дронова С.Ю. и др.</t>
  </si>
  <si>
    <t>978-5-16-019808-8</t>
  </si>
  <si>
    <t>45.03.02, 45.03.03</t>
  </si>
  <si>
    <t>165250.10.01</t>
  </si>
  <si>
    <t>Langue francaise: Techniques dexpression ecrite et orale. Уч.пос. / Ж.Багана-М.:НИЦ ИНФРА-М,2024.-127 с.(ВО)(о).</t>
  </si>
  <si>
    <t>LANGUE FRANCAISE: TECHNIQUES DEXPRESSION ECRITE ET ORALE</t>
  </si>
  <si>
    <t>Багана Ж., Хапилина Е. В., Трещева Н. В.</t>
  </si>
  <si>
    <t>978-5-16-017891-2</t>
  </si>
  <si>
    <t>00.03.02, 00.05.02</t>
  </si>
  <si>
    <t>712459.09.01</t>
  </si>
  <si>
    <t>Legal English: Англ. яз. для юристов: Уч./ Е.Б.Попов - М.:НИЦ ИНФРА-М,2025 - 314 с.(СПО)(П)</t>
  </si>
  <si>
    <t>LEGAL ENGLISH: АНГЛИЙСКИЙ ЯЗЫК ДЛЯ ЮРИСТОВ</t>
  </si>
  <si>
    <t>Попов Е.Б., Феоктистова Е.М., Халюшева Г.Р.</t>
  </si>
  <si>
    <t>978-5-16-015369-8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</si>
  <si>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6 от 25.03.2019)</t>
  </si>
  <si>
    <t>ДА</t>
  </si>
  <si>
    <t>383500.09.01</t>
  </si>
  <si>
    <t>Legal English:Quick Overview: Англ.яз. Баз.курс / Е.Б.Попов - 2 изд. - НИЦ ИНФРА-М,2022 -314с(ВО)(П)</t>
  </si>
  <si>
    <t>LEGAL ENGLISH: QUICK OVERVIEW: АНГЛИЙСКИЙ ЯЗЫК В СФЕРЕ ЮРИСПРУДЕНЦИИ.БАЗОВЫЙ КУРС, ИЗД.2</t>
  </si>
  <si>
    <t>978-5-16-012304-2</t>
  </si>
  <si>
    <t>40.03.01, 40.04.01, 40.05.02, 40.05.03</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</si>
  <si>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40.03.01 «Юриспруденция» (квалификация (степень) «бакалавр»)</t>
  </si>
  <si>
    <t>682803.05.01</t>
  </si>
  <si>
    <t>PR в сфере коммерции: Уч. / Под ред. Синяева И.М. - М.:Вуз.уч., НИЦ ИНФРА-М,2025 - 298 с.(СПО)(П)</t>
  </si>
  <si>
    <t>PR В СФЕРЕ КОММЕРЦИИ</t>
  </si>
  <si>
    <t>Синяева И.М.</t>
  </si>
  <si>
    <t>978-5-9558-0614-3</t>
  </si>
  <si>
    <t>38.02.08, 42.02.01</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</si>
  <si>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38.02.01 «Коммерция (по отраслям)», 42.02.01 «Реклама»</t>
  </si>
  <si>
    <t>682804.07.01</t>
  </si>
  <si>
    <t>PR: методы работы со СМИ: Уч.пос. / Б.Р.Мандель - 2 изд. - М.:Вуз. уч., НИЦ ИНФРА-М,2023-238с.(СПО) (П)</t>
  </si>
  <si>
    <t>PR: МЕТОДЫ РАБОТЫ СО СРЕДСТВАМИ МАССОВОЙ ИНФОРМАЦИИ, ИЗД.2</t>
  </si>
  <si>
    <t>Мандель Б.Р.</t>
  </si>
  <si>
    <t>978-5-9558-0615-0</t>
  </si>
  <si>
    <t>42.02.01, 42.02.02</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</si>
  <si>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42.02.01 «Реклама», 42.02.02 «Издательское дело»</t>
  </si>
  <si>
    <t>Сибирский университет потребительской кооперации</t>
  </si>
  <si>
    <t>102800.16.01</t>
  </si>
  <si>
    <t>PR: методы работы со СМИ: Уч.пос. / Б.Р.Мандель - 2 изд. - М.:НИЦ ИНФРА-М,2025 - 238 с.(ВО)(П)</t>
  </si>
  <si>
    <t>978-5-16-019658-9</t>
  </si>
  <si>
    <t>41.03.06, 42.03.01, 42.03.02, 42.04.02</t>
  </si>
  <si>
    <t>Для студентов высших учебных заведений, занимающихся по специальностям «Связи с общественностью», «Журналистика» (специалисты, бакалавры, магистры)</t>
  </si>
  <si>
    <t>0217</t>
  </si>
  <si>
    <t>689995.05.01</t>
  </si>
  <si>
    <t>Professional English: Уч. / Л.М.Фишман - М.:НИЦ ИНФРА-М,2022 - 120 с.-(ВО: Бакалавриат)(О)</t>
  </si>
  <si>
    <t>PROFESSIONAL ENGLISH</t>
  </si>
  <si>
    <t>Фишман Л. М.</t>
  </si>
  <si>
    <t>978-5-16-014339-2</t>
  </si>
  <si>
    <t>00.03.02, 00.05.02, 09.03.01, 09.03.02, 09.03.03, 09.03.04, 09.05.01, 10.03.01, 10.05.01, 10.05.02, 10.05.03, 10.05.04, 10.05.05, 10.05.07</t>
  </si>
  <si>
    <t>Рекомендовано Учебно-методическим советом ВО в качестве учебника для студентов высших учебных заведений, обучающихся по УГС 02.03.00 «Компьютерные и информационные науки», 09.03.00 «Информатика и вычислительная техника», 10.03.00 «Информационная безопасность»</t>
  </si>
  <si>
    <t>Санкт-Петербургский государственный политехнический университет Петра Великого</t>
  </si>
  <si>
    <t>23</t>
  </si>
  <si>
    <t>262800.14.01</t>
  </si>
  <si>
    <t>Professional English: Уч. / Л.М.Фишман - М.:НИЦ ИНФРА-М,2025 - 120 с.(СПО)(О)</t>
  </si>
  <si>
    <t>Фишман Л.М.</t>
  </si>
  <si>
    <t>978-5-16-014340-8</t>
  </si>
  <si>
    <t>Допущено Региональным научно-методическим центром при Совете директоров ССУЗ Санкт-Петербурга и Ленинградской области в качестве учебника для студентов образовательных учреждений СПО по укрупненным группам специальностей ФГОС СПО 09.00.00 «Информатика и вычислительная техника», 10.00.00 «Информационная безопасность»</t>
  </si>
  <si>
    <t>771134.01.01</t>
  </si>
  <si>
    <t>Project management: Управ. проектами: Уч. / Д.Д.Цителадзе-М.:НИЦ ИНФРА-М,2023.-339 с.(ВО)(п)(на англ.)</t>
  </si>
  <si>
    <t>PROJECT MANAGEMENT: УПРАВЛЕНИЕ ПРОЕКТАМИ</t>
  </si>
  <si>
    <t>Цителадзе Д.Д.</t>
  </si>
  <si>
    <t>978-5-16-017502-7</t>
  </si>
  <si>
    <t>38.03.01, 38.03.02, 38.03.03, 38.03.04, 38.03.05, 38.03.06, 38.03.10, 38.04.02</t>
  </si>
  <si>
    <t>Национальный исследовательский университет "Высшая школа экономики"</t>
  </si>
  <si>
    <t>815320.01.01</t>
  </si>
  <si>
    <t>Public Administration Deviantology: textbook for...: Уч. / И.В.Понкин-М.:НИЦ ИНФРА-М,2024.-304 с(ВО)(п)</t>
  </si>
  <si>
    <t>PUBLIC ADMINISTRATION DEVIANTOLOGY: TEXTBOOK FOR MASTER AND SPECIALIST OF PUBLIC ADMINISTRATION PROGRAMMES (НА АНГЛИЙСКОМ ЯЗЫКЕ)</t>
  </si>
  <si>
    <t>Понкин И.В.</t>
  </si>
  <si>
    <t>978-5-16-019290-1</t>
  </si>
  <si>
    <t>38.03.04, 38.04.04, 41.03.06</t>
  </si>
  <si>
    <t>Российская академия народного хозяйства и государственной службы при Президенте РФ</t>
  </si>
  <si>
    <t>770331.01.01</t>
  </si>
  <si>
    <t>Topical issues of English grammar...: Уч.пос. / Ю.Г.Романова-М.:НИЦ ИНФРА-М,2023.-119 с-(ВО)(о)</t>
  </si>
  <si>
    <t>TOPICAL ISSUES OF ENGLISH GRAMMAR: FORMS EXPRESSING UNREALITY IN MODERN ENGLISH</t>
  </si>
  <si>
    <t>Романова Ю.Г., Коробейникова О.В.</t>
  </si>
  <si>
    <t>978-5-16-017524-9</t>
  </si>
  <si>
    <t>45.03.02, 45.05.01</t>
  </si>
  <si>
    <t>682805.04.01</t>
  </si>
  <si>
    <t>Web-аппликации в интернет-маркетинге: проект...: Практ.пос. / Я.С.Винарский - М.:НИЦ ИНФРА-М,2025 - 269 с.(п)</t>
  </si>
  <si>
    <t>WEB-АППЛИКАЦИИ В ИНТЕРНЕТ-МАРКЕТИНГЕ: ПРОЕКТИРОВАНИЕ, СОЗДАНИЕ И ПРИМЕНЕНИЕ</t>
  </si>
  <si>
    <t>Винарский Я.С., Гутгарц Р.Д.</t>
  </si>
  <si>
    <t>978-5-16-014219-7</t>
  </si>
  <si>
    <t>Практическое пособие</t>
  </si>
  <si>
    <t>09.01.03, 09.02.01, 09.02.02, 09.02.03, 09.02.04, 09.02.05</t>
  </si>
  <si>
    <t>Иркутский национальный исследовательский технический университет</t>
  </si>
  <si>
    <t>?2</t>
  </si>
  <si>
    <t>093000.12.01</t>
  </si>
  <si>
    <t>Wirtschaftsdeutsch (Деловой нем. яз.):Уч./ Н.Г.Чернышева -2 изд.-М.:ФОРУМ:НИЦ ИНФРА-М,2024-360с. (п)</t>
  </si>
  <si>
    <t>WIRTSCHAFTSDEUTSCH: MARKT, UNTERNEHMERSCHAFT, HANDEL = ДЕЛОВОЙ НЕМЕЦКИЙ ЯЗЫК: РЫНОК, ПРЕДПРИНИМАТЕЛЬСТВО, ТОРГОВЛЯ, ИЗД.2</t>
  </si>
  <si>
    <t>Чернышева Н.Г., Лыгина Н.И., Музалевская Р.С.</t>
  </si>
  <si>
    <t>978-5-91134-766-6</t>
  </si>
  <si>
    <t>38.03.01, 38.03.02, 38.03.03, 38.03.04, 38.03.05, 38.03.06, 38.03.07</t>
  </si>
  <si>
    <t>Допущено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</si>
  <si>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0213</t>
  </si>
  <si>
    <t>682806.03.01</t>
  </si>
  <si>
    <t>Wirtschaftsdeutsch: Markt...: Уч. / Н.Г.Чернышева - 2изд.-М.:Форум: Инфра-М,2023-359 с -(СПО)(П)</t>
  </si>
  <si>
    <t>978-5-00091-534-9</t>
  </si>
  <si>
    <t>38.01.02, 38.02.01, 38.02.02, 38.02.03, 38.02.06, 38.02.07, 38.02.08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</si>
  <si>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t>
  </si>
  <si>
    <t>801491.01.01</t>
  </si>
  <si>
    <t>Writing Scientific and Technical English. Письмен. научн.  и техн. англ. яз.: Уч. / Л.А.Барановская-М.:НИЦ ИНФРА-М,2024.-232 с.(ВО)(п)</t>
  </si>
  <si>
    <t>WRITING SCIENTIFIC AND TECHNICAL ENGLISH. ПИСЬМЕННЫЙ НАУЧНЫЙ  И ТЕХНИЧЕСКИЙ АНГЛИЙСКИЙ ЯЗЫК</t>
  </si>
  <si>
    <t>Барановская Л.А.</t>
  </si>
  <si>
    <t>978-5-16-019342-7</t>
  </si>
  <si>
    <t>Сибирский государственный университет науки и технологий им. академика М.Ф. Решетнева</t>
  </si>
  <si>
    <t>Июль, 2024</t>
  </si>
  <si>
    <t>265400.11.01</t>
  </si>
  <si>
    <t>Абразивная обработка: Справ. / Л.И.Вереина - М.:НИЦ ИНФРА-М,2025 - 304 с.(Справ."ИНФРА-М")(П)</t>
  </si>
  <si>
    <t>АБРАЗИВНАЯ ОБРАБОТКА</t>
  </si>
  <si>
    <t>Вереина Л.И., Краснов М.М., Фрадкин Е.И.</t>
  </si>
  <si>
    <t>Справочники "ИНФРА-М"</t>
  </si>
  <si>
    <t>978-5-16-010397-6</t>
  </si>
  <si>
    <t>Энергетика. Промышленность</t>
  </si>
  <si>
    <t>Справочник</t>
  </si>
  <si>
    <t>12.02.04, 15.02.01, 15.02.16, 15.02.17, 15.02.18, 15.03.01, 15.03.02, 15.03.03, 15.03.04, 15.03.05, 15.03.06</t>
  </si>
  <si>
    <t>МГТУ ИМ. Н.Э. БАУМАНА</t>
  </si>
  <si>
    <t>417400.12.01</t>
  </si>
  <si>
    <t>Авиатранспортный маркетинг: Уч. / Е.В.Костромина, - 2 изд.-М.:НИЦ ИНФРА-М,2024.-360 с.(ВО: Бакалавр.)(П)</t>
  </si>
  <si>
    <t>АВИАТРАНСПОРТНЫЙ МАРКЕТИНГ, ИЗД.2</t>
  </si>
  <si>
    <t>Костромина Е.В.</t>
  </si>
  <si>
    <t>978-5-16-006252-5</t>
  </si>
  <si>
    <t>38.03.01, 38.03.02, 38.04.01, 38.04.02, 44.03.01, 44.03.05</t>
  </si>
  <si>
    <t>Рекомендовано в качестве учебника для студентов высших учебных заведений, обучающихся по направлению подготовки 38.03.01 «Экономика» (квалификация (степень) «бакалавр»)</t>
  </si>
  <si>
    <t>0212</t>
  </si>
  <si>
    <t>347800.12.01</t>
  </si>
  <si>
    <t>Авиационная экология. Воздействие авиационных..: Уч.пос. / Л.С.Яновский - М.:НИЦ ИНФРА-М,2024-180с.(ВО)(П)</t>
  </si>
  <si>
    <t>АВИАЦИОННАЯ ЭКОЛОГИЯ. ВОЗДЕЙСТВИЕ АВИАЦИОННЫХ ГОРЮЧЕ-СМАЗОЧНЫХ МАТЕРИАЛОВ НА ОКРУЖАЮЩУЮ СРЕДУ</t>
  </si>
  <si>
    <t>Яновский Л.С., Харин А.А., Шевченко И.В. и др.</t>
  </si>
  <si>
    <t>978-5-16-010830-8</t>
  </si>
  <si>
    <t>ЕСТЕСТВЕННЫЕ НАУКИ. МАТЕМАТИКА</t>
  </si>
  <si>
    <t>Науки о Земле. Экология</t>
  </si>
  <si>
    <t>25.03.01, 25.03.02, 25.03.04, 25.05.01, 25.05.04, 25.05.05</t>
  </si>
  <si>
    <t>Рекомендовано в качестве учебного пособия для студентов высших учебных заведений, обучающихся по направлению подготовки 25.03.01 «Техническая эксплуатация летательных аппаратов и двигателей» (квалификация (степень) «бакалавр»)</t>
  </si>
  <si>
    <t>Центральный институт авиационного моторостроения им. П.И. Баранова</t>
  </si>
  <si>
    <t>0116</t>
  </si>
  <si>
    <t>415900.09.01</t>
  </si>
  <si>
    <t>Автоматизация и роботизация строит.: Уч.пос. /С.И.Евтушенко -2 изд. -М:ИЦ РИОР:НИЦ ИНФРА-М,2023-452с(ВО) (п)</t>
  </si>
  <si>
    <t>АВТОМАТИЗАЦИЯ И РОБОТИЗАЦИЯ СТРОИТЕЛЬСТВА, ИЗД.2</t>
  </si>
  <si>
    <t>Евтушенко С. И., Булгаков А. Г., Воробьев В. А., Паршин Д. Я.</t>
  </si>
  <si>
    <t>978-5-369-01109-6</t>
  </si>
  <si>
    <t>Строительство</t>
  </si>
  <si>
    <t>08.03.01, 08.04.01, 15.03.04, 15.04.04, 27.03.04</t>
  </si>
  <si>
    <t>Допущено Учебно-методическим объединением вузов по образованию в области транспортных машин и транспортно-технических комплексов для бакалавриата и мэгистриата техники и технологии направления 550200 ^Автоматизация и управление» и для подготовки дипл</t>
  </si>
  <si>
    <t>Южно-Российский государственный политехнический университет (НПИ) им. М.И. Платова</t>
  </si>
  <si>
    <t>141500.17.01</t>
  </si>
  <si>
    <t>Автоматизация произв. процес.в машиностр.: Уч.пос. / Е.Э.Фельдштейн - М.:НИЦ ИНФРА-М,Нов.знание,2025 - 264 с.(п)</t>
  </si>
  <si>
    <t>АВТОМАТИЗАЦИЯ ПРОИЗВОДСТВЕННЫХ ПРОЦЕССОВ В МАШИНОСТРОЕНИИ</t>
  </si>
  <si>
    <t>Фельдштейн Е.Э., Корниевич М.А.</t>
  </si>
  <si>
    <t>978-5-16-010531-4</t>
  </si>
  <si>
    <t>15.01.26, 15.01.27, 15.01.35, 15.01.36, 15.01.38, 15.02.03, 15.02.04, 15.02.07, 15.02.09, 15.02.10, 15.02.16, 15.02.17, 15.02.18, 18.01.35, 18.02.04, 18.02.05, 18.02.07, 18.02.09, 18.02.10, 18.02.13, 18.02.14, 19.02.11, 19.02.12, 22.02.08, 26.02.02, 35.01.05, 35.01.06, 35.02.18</t>
  </si>
  <si>
    <t>Рекомендовано учреждением образования «Республиканский институт профессионального образования» в качестве пособия для учащихся учреждений, обеспечивающих получение среднего специального образования по специальности «Технология машиностроения». 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</si>
  <si>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645288.06.01</t>
  </si>
  <si>
    <t>Автоматизация производ. процессов в машиностр.: Уч. / В.А.Скрябин-М.:КУРС, НИЦ ИНФРА-М,2023-320с.(П)</t>
  </si>
  <si>
    <t>Скрябин В.А., Схиртладзе А.Г., Зверовщиков А.Е. и др.</t>
  </si>
  <si>
    <t>КУРС</t>
  </si>
  <si>
    <t>978-5-906818-60-7</t>
  </si>
  <si>
    <t>15.03.04, 15.03.05, 15.04.04, 15.04.05</t>
  </si>
  <si>
    <t>Российский экономический университет им. Г.В. Плеханова, Ивановский ф-л</t>
  </si>
  <si>
    <t>0117</t>
  </si>
  <si>
    <t>682807.08.01</t>
  </si>
  <si>
    <t>Автоматизация производственных процессов: Уч.пос. / В.В.Клепиков - М.:НИЦ ИНФРА-М,2025 - 208 с.(СПО)(п)</t>
  </si>
  <si>
    <t>АВТОМАТИЗАЦИЯ ПРОИЗВОДСТВЕННЫХ ПРОЦЕССОВ</t>
  </si>
  <si>
    <t>Клепиков В.В., Султан-заде Н.М., Схиртладзе А.Г.</t>
  </si>
  <si>
    <t>978-5-16-013871-8</t>
  </si>
  <si>
    <t>15.02.04, 15.02.07, 15.02.09, 15.02.16, 15.02.18, 18.01.35, 18.02.04, 18.02.05, 18.02.07, 18.02.09, 18.02.10, 18.02.13, 18.02.14, 19.02.11, 19.02.12, 22.02.08, 26.02.02, 35.01.05, 35.01.06, 35.02.18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</si>
  <si>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15.02.09 «Аддитивные технологии»</t>
  </si>
  <si>
    <t>Московский политехнический университет</t>
  </si>
  <si>
    <t>377200.10.01</t>
  </si>
  <si>
    <t>Автоматизация производственных процессов: Уч.пос. / В.В.Клепиков - М.:НИЦ ИНФРА-М,2025 - 208с.(ВО)(П)</t>
  </si>
  <si>
    <t>978-5-16-020590-8</t>
  </si>
  <si>
    <t>15.03.05</t>
  </si>
  <si>
    <t>Допущено Учебно-методическим объединением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t>
  </si>
  <si>
    <t>659144.05.01</t>
  </si>
  <si>
    <t>Автоматизация производственных процессов: Уч.пос. / М.С.Чепчуров-М.:НИЦ ИНФРА-М,2023-274с(ВО)(П)</t>
  </si>
  <si>
    <t>Чепчуров М.С., Четвериков Б.С.</t>
  </si>
  <si>
    <t>978-5-16-014256-2</t>
  </si>
  <si>
    <t>15.03.01, 15.03.04, 15.03.05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</si>
  <si>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</si>
  <si>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Белгородский государственный технологический университет им. В.Г. Шухова</t>
  </si>
  <si>
    <t>487900.06.01</t>
  </si>
  <si>
    <t>Автоматизация расчетов сооруж. гидротех. строит.: Уч.пос. / В.А.Волосухин -М.:ИЦ РИОР, НИЦ ИНФРА-М,2024-241с(О)</t>
  </si>
  <si>
    <t>АВТОМАТИЗАЦИЯ РАСЧЕТОВ СООРУЖЕНИЙ ГИДРОТЕХНИЧЕКОГО СТРОИТЕЛЬСТВА</t>
  </si>
  <si>
    <t>Волосухин В.А., Евтушенко С.И., Петров И.А. и др.</t>
  </si>
  <si>
    <t>978-5-369-01563-6</t>
  </si>
  <si>
    <t>07.03.01, 08.03.01, 08.05.01, 20.03.02</t>
  </si>
  <si>
    <t>Рекомендовано УМО по образованию в области природообустройства и водопользования в качестве учебного пособия для студентов высших учебных заведений, обучающихся по направлению подготовки «Природообустройство»</t>
  </si>
  <si>
    <t>Донской государственный аграрный университет</t>
  </si>
  <si>
    <t>078450.17.01</t>
  </si>
  <si>
    <t>Автоматизация систем водоснабжения и водоотведения: Уч. / А.А.Рульнов - 2 изд.- ИНФРА-М,2025 - 192 с.(СПО)</t>
  </si>
  <si>
    <t>АВТОМАТИЗАЦИЯ СИСТЕМ ВОДОСНАБЖЕНИЯ И ВОДООТВЕДЕНИЯ, ИЗД.2</t>
  </si>
  <si>
    <t>Рульнов А.А.</t>
  </si>
  <si>
    <t>978-5-16-009369-7</t>
  </si>
  <si>
    <t>08.01.29, 08.02.02, 08.02.04, 08.02.13, 08.02.14, 13.02.02, 18.01.27, 18.01.28, 18.01.35, 18.02.04, 18.02.05, 18.02.07, 18.02.09, 18.02.10, 18.02.13, 18.02.14, 19.01.01, 19.02.11, 19.02.12, 22.02.08, 26.02.02, 35.02.18</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</si>
  <si>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08.02.04 «Водоснабжение и водоотведение»</t>
  </si>
  <si>
    <t>Национальный исследовательский Московский государственный строительный университет</t>
  </si>
  <si>
    <t>0214</t>
  </si>
  <si>
    <t>682808.07.01</t>
  </si>
  <si>
    <t>Автоматизация техн.процессов и произв.: Уч.пос. / А.А.Иванов - 2 изд. - М.:Форум,НИЦ ИНФРА-М,2025 - 224 с.(СПО)</t>
  </si>
  <si>
    <t>АВТОМАТИЗАЦИЯ ТЕХНОЛОГИЧЕСКИХ ПРОЦЕССОВ И ПРОИЗВОДСТВ, ИЗД.2</t>
  </si>
  <si>
    <t>Иванов А.А.</t>
  </si>
  <si>
    <t>978-5-00091-535-6</t>
  </si>
  <si>
    <t>08.02.03, 13.02.01, 15.02.03, 15.02.09, 15.02.16, 15.02.17, 15.02.18, 18.01.35, 18.02.04, 18.02.05, 18.02.07, 18.02.09, 18.02.10, 18.02.13, 18.02.14, 19.02.11, 19.02.12, 22.02.08, 26.02.02, 26.02.04, 35.01.05, 35.01.06, 35.02.18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</si>
  <si>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</si>
  <si>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Нижегородский государственный технический университет им. Р.А. Алексеева</t>
  </si>
  <si>
    <t>150950.12.01</t>
  </si>
  <si>
    <t>Автоматизация технол. проц. и произв.: Уч.пос. / А.А.Иванов - 2 изд. - М.: Форум, НИЦ ИНФРА-М,2025 - 224 с.(п)</t>
  </si>
  <si>
    <t>Иванов А. А.</t>
  </si>
  <si>
    <t>978-5-91134-948-6</t>
  </si>
  <si>
    <t>15.03.06, 15.04.06</t>
  </si>
  <si>
    <t>Допущено Учебно-методическим объединением вузов по образованию в области автоматизированного машиностроения в качестве учебного пособия для студентов высших учебных заведений, обучающихся по специальности «Автоматизация технологических процессов и производств (машиностроение)» (направление подготовки «Автоматизированные технологии и производства») и направлению «Конструкторско-технологическое обеспечение машиностроительных производств»</t>
  </si>
  <si>
    <t>0215</t>
  </si>
  <si>
    <t>682809.11.01</t>
  </si>
  <si>
    <t>Автоматизация технологич. процес. и производ..: Уч.пос. / В.М.Виноградов - М.:Форум, НИЦ ИНФРА-М,2024. - 161 с(П)</t>
  </si>
  <si>
    <t>АВТОМАТИЗАЦИЯ ТЕХНОЛОГИЧЕСКИХ ПРОЦЕССОВ И ПРОИЗВОДСТВ. ВВЕДЕНИЕ В СПЕЦИАЛЬНОСТЬ</t>
  </si>
  <si>
    <t>Виноградов В.М., Черепахин А.А.</t>
  </si>
  <si>
    <t>978-5-00091-536-3</t>
  </si>
  <si>
    <t>15.02.03, 15.02.07, 15.02.16, 15.02.17, 15.02.18, 18.01.35, 18.02.04, 18.02.05, 18.02.07, 18.02.09, 18.02.10, 18.02.13, 18.02.14, 19.02.11, 19.02.12, 22.02.08, 26.02.02, 35.01.05, 35.01.06, 35.02.18</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</si>
  <si>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</si>
  <si>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ПО2</t>
  </si>
  <si>
    <t>283300.07.01</t>
  </si>
  <si>
    <t>Автоматизация технологич. процессов и..: Уч. / В.М.Виноградов - М.:Форум, НИЦ ИНФРА-М,2022-192с(ВО)(о)</t>
  </si>
  <si>
    <t>Виноградов В. М., Черепахин А. А.</t>
  </si>
  <si>
    <t>978-5-91134-898-4</t>
  </si>
  <si>
    <t>15.03.04</t>
  </si>
  <si>
    <t>283300.08.01</t>
  </si>
  <si>
    <t>Автоматизация технологич. процессов и..: Уч. / В.М.Виноградов - М.:Форум, НИЦ ИНФРА-М,2025 - 193 с(ВО)(П)</t>
  </si>
  <si>
    <t>АВТОМАТИЗАЦИЯ ТЕХНОЛОГИЧЕСКИХ ПРОЦЕССОВ И ПРОИЗВОДСТВ. ВВЕДЕНИЕ В СПЕЦИАЛЬНОСТЬ, ИЗД.2</t>
  </si>
  <si>
    <t>978-5-00091-626-1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</si>
  <si>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подготовки15.03.04 «Автоматизация технологических процессов и производств» (квалификация (степень) «бакалавр») (протокол № 4 от 21.04.2021)</t>
  </si>
  <si>
    <t>0222</t>
  </si>
  <si>
    <t>309800.05.01</t>
  </si>
  <si>
    <t>Автоматизация технологических процессов: Уч.пос. / С.Н.Фурсенко - М.:НИЦ ИНФРА-М,2022 - 377 с.(ВО)(п)</t>
  </si>
  <si>
    <t>АВТОМАТИЗАЦИЯ ТЕХНОЛОГИЧЕСКИХ ПРОЦЕССОВ</t>
  </si>
  <si>
    <t>Фурсенко С.Н., Якубовская Е.С., Волкова Е.С.</t>
  </si>
  <si>
    <t>978-5-16-010309-9</t>
  </si>
  <si>
    <t>15.03.04, 15.04.04</t>
  </si>
  <si>
    <t>опущено Министерством образования Республики Беларусь в качестве учебного пособия для студентов учреждений высшего сельскохозяйственного образования по техническим специальностям (соответствует направлению подготовки 15.03.04 «Автоматизация технологических процессов и производств»)</t>
  </si>
  <si>
    <t>Белорусский государственный аграрный технический университет</t>
  </si>
  <si>
    <t>179100.06.01</t>
  </si>
  <si>
    <t>Автоматизированные сборочные системы: Уч. / А.А. Иванов - М.: Форум, 2022 - 336 с.(ВО) (п)</t>
  </si>
  <si>
    <t>АВТОМАТИЗИРОВАННЫЕ СБОРОЧНЫЕ СИСТЕМЫ</t>
  </si>
  <si>
    <t>978-5-91134-602-7</t>
  </si>
  <si>
    <t>Допущено УМО вузов по образованию в области автоматизированного машиностроения в качестве учебника для студентов вузов, обучающихся по напр. ПДС "Конструкторско-технол. обеспечение машиностроит. произ-в", "Автоматиз. технологии и произв."</t>
  </si>
  <si>
    <t>682810.06.01</t>
  </si>
  <si>
    <t>Автоматизированные сборочные системы: Уч. / А.А.Иванов - М.:Форум,НИЦ ИНФРА-М,2025 - 336 с.-(СПО)(П)</t>
  </si>
  <si>
    <t>978-5-00091-537-0</t>
  </si>
  <si>
    <t>15.01.35, 15.01.37, 15.02.03, 15.02.04, 15.02.16, 15.02.17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</si>
  <si>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</si>
  <si>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684160.05.01</t>
  </si>
  <si>
    <t>Автоматизированные системы упр. и связь...: Уч.пос. / А.И.Братко - М.:НИЦ ИНФРА-М,2025 - 329 с.(П)</t>
  </si>
  <si>
    <t>АВТОМАТИЗИРОВАННЫЕ СИСТЕМЫ УПРАВЛЕНИЯ И СВЯЗЬ: ОСНОВЫ ЭЛЕКТРОСВЯЗИ</t>
  </si>
  <si>
    <t>Братко А.И.</t>
  </si>
  <si>
    <t>978-5-16-014957-8</t>
  </si>
  <si>
    <t>Автоматика. Радиоэлектроника. Связь</t>
  </si>
  <si>
    <t>08.02.09, 11.02.06, 11.02.09, 11.02.11, 11.02.15, 11.02.18, 13.02.13, 20.02.02, 20.02.04, 20.02.05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</si>
  <si>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20.02.02 «Защита в чрезвычайных ситуациях» и 20.02.04 «Пожарная безопасность» (протокол № 8 от 22.06.2020)</t>
  </si>
  <si>
    <t>Новочеркасский колледж промышленных технологий и управления</t>
  </si>
  <si>
    <t>071150.21.01</t>
  </si>
  <si>
    <t>Автоматика и телемеханика сис. газоснабжения: Уч. / В.А.Жила, - 2 изд.-М.:НИЦ ИНФРА-М,2025.-232 с.(СПО)(п)</t>
  </si>
  <si>
    <t>АВТОМАТИКА И ТЕЛЕМЕХАНИКА СИСТЕМ ГАЗОСНАБЖЕНИЯ, ИЗД.2</t>
  </si>
  <si>
    <t>Жила В.А.</t>
  </si>
  <si>
    <t>978-5-16-018193-6</t>
  </si>
  <si>
    <t>08.02.02, 08.02.08</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</si>
  <si>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«Монтаж и эксплуатация оборудования и систем газоснабжения»</t>
  </si>
  <si>
    <t>Август, 2024</t>
  </si>
  <si>
    <t>0225</t>
  </si>
  <si>
    <t>СПО-2023, Победитель, I место</t>
  </si>
  <si>
    <t>071150.20.01</t>
  </si>
  <si>
    <t>Автоматика и телемеханика систем газоснабжения: Уч. / В.А.Жила - М.:НИЦ ИНФРА-М,2023-238 с.(СПО)(П)</t>
  </si>
  <si>
    <t>АВТОМАТИКА И ТЕЛЕМЕХАНИКА СИСТЕМ ГАЗОСНАБЖЕНИЯ</t>
  </si>
  <si>
    <t>978-5-16-006864-0</t>
  </si>
  <si>
    <t>0106</t>
  </si>
  <si>
    <t>704928.04.01</t>
  </si>
  <si>
    <t>Автоматические системы заряжания вооружения..: Уч.пос. / И.Ю.Лепешинский-М.:НИЦ ИНФРА-М,2024-237с(П)</t>
  </si>
  <si>
    <t>АВТОМАТИЧЕСКИЕ СИСТЕМЫ ЗАРЯЖАНИЯ ВООРУЖЕНИЯ БРОНЕТАНКОВОЙ ТЕХНИКИ</t>
  </si>
  <si>
    <t>Лепешинский И.Ю., Чикирев О.И., Погодаев Д.В.</t>
  </si>
  <si>
    <t>Военное образование (ОмГТУ)</t>
  </si>
  <si>
    <t>978-5-16-015097-0</t>
  </si>
  <si>
    <t>23.03.02, 56.04.04</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</si>
  <si>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</si>
  <si>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Омский государственный технический университет</t>
  </si>
  <si>
    <t>316600.12.01</t>
  </si>
  <si>
    <t>Автоматические системы транспортных средств: Уч. / В.В. Беляков - Форум: ИНФРА-М, 2025-352с.(ВО) (п)</t>
  </si>
  <si>
    <t>АВТОМАТИЧЕСКИЕ СИСТЕМЫ ТРАНСПОРТНЫХ СРЕДСТВ</t>
  </si>
  <si>
    <t>Беляков В.В., Зезюлин Д.В., Макаров В.С. и др.</t>
  </si>
  <si>
    <t>978-5-00091-696-4</t>
  </si>
  <si>
    <t>Транспорт</t>
  </si>
  <si>
    <t>23.03.02</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</si>
  <si>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направлению 23.03.02 «Наземные транспортно-технологические комплексы»</t>
  </si>
  <si>
    <t>682811.05.01</t>
  </si>
  <si>
    <t>Автоматические системы транспортных средств: Уч./ В.В.Беляков-М.:Форум,НИЦ ИНФРА-М,2024-352с(СПО)(П)</t>
  </si>
  <si>
    <t>978-5-00091-571-4</t>
  </si>
  <si>
    <t>23.01.03, 23.01.17, 23.02.02, 23.02.03, 23.02.04, 23.02.05, 23.02.07, 43.02.06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</si>
  <si>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t>
  </si>
  <si>
    <t>704929.05.01</t>
  </si>
  <si>
    <t>Автоматические системы управления вооружением: Уч.пос./И.Ю.Лепешинский-М.:НИЦ ИНФРА-М,2024-194с(П)</t>
  </si>
  <si>
    <t>АВТОМАТИЧЕСКИЕ СИСТЕМЫ УПРАВЛЕНИЯ ВООРУЖЕНИЕМ</t>
  </si>
  <si>
    <t>Лепешинский И.Ю., Варлаков П.М., Погодаев Д.В. и др.</t>
  </si>
  <si>
    <t>978-5-16-014991-2</t>
  </si>
  <si>
    <t>23.03.02, 23.03.03, 23.04.02, 23.04.03, 23.05.01, 23.05.02, 56.04.04</t>
  </si>
  <si>
    <t>Рекомендовано государственным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</si>
  <si>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064840.18.01</t>
  </si>
  <si>
    <t>Автоматическое регулирование: Уч. / А.А.Рульнов - 2 изд. - М.:НИЦ ИНФРА-М,2025 - 219 с.-(СПО)(п)</t>
  </si>
  <si>
    <t>АВТОМАТИЧЕСКОЕ РЕГУЛИРОВАНИЕ, ИЗД.2</t>
  </si>
  <si>
    <t>Рульнов А.А., Горюнов И.И., Евстафьев К.Ю.</t>
  </si>
  <si>
    <t>978-5-16-006216-7</t>
  </si>
  <si>
    <t>08.02.02, 08.02.13</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</si>
  <si>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кондиционирования воздуха и вентиляции»</t>
  </si>
  <si>
    <t>633656.07.01</t>
  </si>
  <si>
    <t>Автоматическое упр. процессами мех. обраб.: Уч. / С.М.Братан - М.:Вуз.уч.,НИЦ ИНФРА-М,2022 - 228с(П)</t>
  </si>
  <si>
    <t>АВТОМАТИЧЕСКОЕ УПРАВЛЕНИЕ ПРОЦЕССАМИ МЕХАНИЧЕСКОЙ ОБРАБОТКИ</t>
  </si>
  <si>
    <t>Братан С.М., Левченко Е.А., Покинтелица Н.И. и др.</t>
  </si>
  <si>
    <t>978-5-9558-0514-6</t>
  </si>
  <si>
    <t>01.04.03, 09.05.01, 13.03.03, 15.03.01, 15.03.02, 15.03.05, 15.04.01, 15.04.02, 15.04.05, 15.05.01</t>
  </si>
  <si>
    <t>170050.09.01</t>
  </si>
  <si>
    <t>Автоматическое управление. Курс лекций с реш. задач...: Уч.пос. / Н.П.Молоканова-М.:Форум,2024.-224 с.(СПО)(П)</t>
  </si>
  <si>
    <t>АВТОМАТИЧЕСКОЕ УПРАВЛЕНИЕ. КУРС ЛЕКЦИЙ С РЕШЕНИЕМ ЗАДАЧ И ЛАБОРАТОРНЫХ РАБОТ</t>
  </si>
  <si>
    <t>Молоканова Н. П.</t>
  </si>
  <si>
    <t>978-5-91134-593-8</t>
  </si>
  <si>
    <t>27.02.04</t>
  </si>
  <si>
    <t>Рекомендовано Методическим советом ГОУ ДПО Учебно-методический центр по профессиональному образованию Департамента образования г. Москвы в качестве учебного пособия для студентов и учащихся образовательных учреждений среднего профессионального образования</t>
  </si>
  <si>
    <t>Среднерусский гуманитарно-технологический институт</t>
  </si>
  <si>
    <t>049950.17.01</t>
  </si>
  <si>
    <t>Автоматическое управление: Уч. / М.В.Гальперин - М.:НИЦ ИНФРА-М,2025 - 224 с.(СПО)(П)</t>
  </si>
  <si>
    <t>АВТОМАТИЧЕСКОЕ УПРАВЛЕНИЕ</t>
  </si>
  <si>
    <t>Гальперин М. В.</t>
  </si>
  <si>
    <t>978-5-16-016930-9</t>
  </si>
  <si>
    <t>12.01.07, 12.02.01, 12.02.02, 12.02.03, 12.02.04, 12.02.05, 12.02.06, 12.02.07, 13.01.07, 14.02.01, 15.02.10, 15.02.18, 18.01.28, 18.01.35, 18.02.04, 18.02.05, 18.02.07, 18.02.09, 18.02.10, 18.02.13, 18.02.14, 19.01.01, 19.02.11, 19.02.12, 22.02.08, 26.02.02, 27.02.03, 27.02.04, 35.02.08, 35.02.18</t>
  </si>
  <si>
    <t>Допущено Министерством образования Российской Федерации в качестве учебника для студентов образовательных учреждений среднего профессионального образования, обучающихся по группам специальностей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</si>
  <si>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Московский техникум креативных индустрий им. Л.Б. Красина</t>
  </si>
  <si>
    <t>0104</t>
  </si>
  <si>
    <t>130850.16.01</t>
  </si>
  <si>
    <t>Автоматическое управление: Уч.пос. / А.М.Петрова - М.:Форум,НИЦ ИНФРА-М,2025 - 240 с.(СПО)(п)</t>
  </si>
  <si>
    <t>Петрова А.М.</t>
  </si>
  <si>
    <t>978-5-00091-467-0</t>
  </si>
  <si>
    <t>13.01.07, 13.02.01, 13.02.02, 13.02.04, 13.02.05, 13.02.07, 13.02.08, 13.02.09, 13.02.12, 13.02.13, 15.01.18, 15.01.26, 15.01.27, 15.01.35, 15.01.36, 15.01.37, 15.01.38, 15.02.01, 15.02.03, 15.02.04, 15.02.06, 15.02.07, 15.02.09, 15.02.10, 15.02.16, 15.02.17, 15.02.18, 18.01.28, 18.01.35, 18.02.04, 18.02.05, 18.02.07, 18.02.09, 18.02.10, 18.02.13, 18.02.14, 19.01.01, 19.02.11, 19.02.12, 22.02.08, 26.02.02, 27.02.01, 27.02.02, 27.02.03, 27.02.04, 27.02.05, 35.02.18</t>
  </si>
  <si>
    <t>Рекомендовано Учебно-методическим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</si>
  <si>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Московский гуманитарный университет</t>
  </si>
  <si>
    <t>0110</t>
  </si>
  <si>
    <t>400400.11.01</t>
  </si>
  <si>
    <t>Автомобили: конструкция, теория и расчет: Уч.пос. /Е.В.Березина -М:М,НИЦ ИНФРА-М,2024-320с(п)</t>
  </si>
  <si>
    <t>АВТОМОБИЛИ: КОНСТРУКЦИЯ, ТЕОРИЯ И РАСЧЕТ</t>
  </si>
  <si>
    <t>Березина Е.В.</t>
  </si>
  <si>
    <t>978-5-16-018271-1</t>
  </si>
  <si>
    <t>23.02.03, 35.01.01</t>
  </si>
  <si>
    <t>Рекомендовано федеральным государственным учреждением «Федеральный институт развития образования» (ФГУ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специальности 23.02.03 «Техническое обслуживание и ремонт автомобильного транспорта»</t>
  </si>
  <si>
    <t>682812.07.01</t>
  </si>
  <si>
    <t>Автомобили: Уч. / Под ред. Богатырева А.В. - 3 изд. - М.:НИЦ ИНФРА-М,2023 - 655 с.(П)</t>
  </si>
  <si>
    <t>АВТОМОБИЛИ, ИЗД.3</t>
  </si>
  <si>
    <t>Богатырев А.В., Есеновский-Лашков Ю.К., Насоновский М.Л. и др.</t>
  </si>
  <si>
    <t>978-5-16-013875-6</t>
  </si>
  <si>
    <t>23.01.17, 23.02.02, 23.02.03, 23.02.07, 35.01.01, 35.01.27, 35.01.30, 35.02.05, 35.02.07, 35.02.16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</si>
  <si>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35.02.07 «Механизация сельского хозяйства»</t>
  </si>
  <si>
    <t>Российский государственный аграрный университет - МСХА им. К.А. Тимирязева</t>
  </si>
  <si>
    <t>0318</t>
  </si>
  <si>
    <t>274800.09.01</t>
  </si>
  <si>
    <t>Автомобили: Уч. / Под ред. Богатырева А.В. - 3 изд. - М.:НИЦ ИНФРА-М,2025 - 655 с.(ВО: Бакалавр.)(П)</t>
  </si>
  <si>
    <t>978-5-16-010219-1</t>
  </si>
  <si>
    <t>23.03.01, 23.03.02, 23.04.02, 35.03.06, 35.04.06</t>
  </si>
  <si>
    <t>Рекомендовано Учебно-методическим объединением вузов по образованию в области агроинженерии в качестве учебника для студентов высших учебных заведений, обучающихся по направлению 35.03.06 «Агроинженерия»</t>
  </si>
  <si>
    <t>0314</t>
  </si>
  <si>
    <t>087000.17.01</t>
  </si>
  <si>
    <t>Автомобильные перевозки: Уч.пос. / И.С.Туревский - М.:ИД ФОРУМ, НИЦ ИНФРА-М,2025 - 223 с.(СПО)(П)</t>
  </si>
  <si>
    <t>АВТОМОБИЛЬНЫЕ ПЕРЕВОЗКИ</t>
  </si>
  <si>
    <t>Туревский И.С.</t>
  </si>
  <si>
    <t>ИД Форум</t>
  </si>
  <si>
    <t>978-5-8199-0866-2</t>
  </si>
  <si>
    <t>23.02.01, 43.02.06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</si>
  <si>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23.02.00 «Техника и технологии наземного транспорта»</t>
  </si>
  <si>
    <t>Автомобильный, правовой техникум Воронежской области</t>
  </si>
  <si>
    <t>0108</t>
  </si>
  <si>
    <t>037100.24.01</t>
  </si>
  <si>
    <t>Автомобильные эксплуатационные матер.: Уч.пос. / В.А.Стуканов - 2 изд. - М.:ИД ФОРУМ, НИЦ ИНФРА-М,2025 - 304 с.(П)</t>
  </si>
  <si>
    <t>АВТОМОБИЛЬНЫЕ ЭКСПЛУАТАЦИОННЫЕ МАТЕРИАЛЫ, ИЗД.2</t>
  </si>
  <si>
    <t>Стуканов В. А.</t>
  </si>
  <si>
    <t>978-5-8199-0722-1</t>
  </si>
  <si>
    <t>15.02.04, 23.01.03, 23.01.17, 23.02.01, 23.02.02, 23.02.03, 23.02.04, 23.02.05, 23.02.07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</si>
  <si>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«Техническое обслуживание и ремонт автомобильного транспорта» и «Механизация сельского хозяйства»</t>
  </si>
  <si>
    <t>Научно-Исследовательский Институт сельского хозяйства центрально-черноземной полосы имени В.В.Докуча</t>
  </si>
  <si>
    <t>0209</t>
  </si>
  <si>
    <t>154900.08.01</t>
  </si>
  <si>
    <t>Автомобильный справочник-энциклопедия: Справ.пос./ Н.А.Кузьмин-М.:Форум, НИЦ ИНФРА-М,2017-288с(П)</t>
  </si>
  <si>
    <t>АВТОМОБИЛЬНЫЙ СПРАВОЧНИК-ЭНЦИКЛОПЕДИЯ, ИЗД.2</t>
  </si>
  <si>
    <t>Кузьмин Н. А., Песков В. И.</t>
  </si>
  <si>
    <t>978-5-91134-535-8</t>
  </si>
  <si>
    <t>23.04.01, 23.04.02, 23.04.03, 23.05.01, 23.06.01</t>
  </si>
  <si>
    <t>714069.04.01</t>
  </si>
  <si>
    <t>Автономия воли в регулиров. межд. отнош..: Уч.пос./Ю.Базедов-М.:Юр.Норма, НИЦ ИНФРА-М,2023-136с(П)</t>
  </si>
  <si>
    <t>АВТОНОМИЯ ВОЛИ В РЕГУЛИРОВАНИИ МЕЖДУНАРОДНЫХ ОТНОШЕНИЙ. К ОБЩЕМУ КУРСУ МЕЖДУНАРОДНОГО ЧАСТНОГО ПРАВА</t>
  </si>
  <si>
    <t>Базедов Ю.</t>
  </si>
  <si>
    <t>Юр. НОРМА</t>
  </si>
  <si>
    <t>978-5-00156-008-1</t>
  </si>
  <si>
    <t>Право. Юридические науки</t>
  </si>
  <si>
    <t>40.03.01, 40.05.01, 40.05.02, 40.05.03, 40.05.04</t>
  </si>
  <si>
    <t>Институт государства и права Российской академии наук</t>
  </si>
  <si>
    <t>159000.11.01</t>
  </si>
  <si>
    <t>Агробиологические основы производ., хран. и перераб..: Уч. пос. / Г.И.Баздырев - ИНФРА-М,2025 - 725 с.(ВО) (п)</t>
  </si>
  <si>
    <t>АГРОБИОЛОГИЧЕСКИЕ ОСНОВЫ ПРОИЗВОДСТВА, ХРАНЕНИЯ И ПЕРЕРАБОТКИ ПРОДУКЦИИ РАСТЕНИЕВОДСТВА</t>
  </si>
  <si>
    <t>Баздырев Г. И., Сафонов А. Ф., Мякиньков А. Г., Баздырев Г. И.</t>
  </si>
  <si>
    <t>978-5-16-006222-8</t>
  </si>
  <si>
    <t>Сельское хозяйство</t>
  </si>
  <si>
    <t>35.03.05, 35.03.07</t>
  </si>
  <si>
    <t>Рекомендовано Министерством сельского хозяйства Российской Федерации в качестве учебного пособия для студентов высших учебных заведений по агроэкономическим и агротехнологическим специальностям</t>
  </si>
  <si>
    <t>682813.05.01</t>
  </si>
  <si>
    <t>Агробиологические основы производства, хранения..: Уч.пос. / Баздырев Г.И.-М.:НИЦ ИНФРА-М,2024-725с(п)</t>
  </si>
  <si>
    <t>Баздырев Г.И., Сафонов А.Ф., Андреев Ю.М. и др.</t>
  </si>
  <si>
    <t>978-5-16-013876-3</t>
  </si>
  <si>
    <t>19.01.01, 35.01.23, 35.01.26, 35.02.05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</si>
  <si>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t>
  </si>
  <si>
    <t>291400.13.01</t>
  </si>
  <si>
    <t>Агрометеорология: Уч. / Л.Л.Журина - 3 изд. - М.:НИЦ ИНФРА-М,2024 - 350 с.-(ВО)(п)</t>
  </si>
  <si>
    <t>АГРОМЕТЕОРОЛОГИЯ, ИЗД.3</t>
  </si>
  <si>
    <t>Журина Л.Л.</t>
  </si>
  <si>
    <t>978-5-16-019562-9</t>
  </si>
  <si>
    <t>35.03.03, 35.03.04</t>
  </si>
  <si>
    <t>Допущено Министерством сельского хозяйства Российской Федерации в качестве учебника для студентов высших учебных заведений по направлениям подготовки 35.03.03 «Агрохимия и агропочвоведение", 35.03.04 -Агрономия" и 35.03.05 "Садоводство»</t>
  </si>
  <si>
    <t>Санкт-Петербургский государственный аграрный университет</t>
  </si>
  <si>
    <t>0315</t>
  </si>
  <si>
    <t>682791.05.01</t>
  </si>
  <si>
    <t>Агрометеорология: Уч. / Л.Л.Журина - 3 изд. - М.:НИЦ ИНФРА-М,2025 - 350 с.(СПО)(П)</t>
  </si>
  <si>
    <t>978-5-16-013877-0</t>
  </si>
  <si>
    <t>05.02.03, 19.02.11, 19.02.12, 20.02.01, 35.01.26, 35.01.27, 35.02.01, 35.02.05, 35.02.07, 35.02.16, 43.01.11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</si>
  <si>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t>
  </si>
  <si>
    <t>0319</t>
  </si>
  <si>
    <t>813215.01.01</t>
  </si>
  <si>
    <t>Агрохимические методы исслед.: лаб. прак.: Уч.пос. / Е.Н.Белоусова-М.:НИЦ ИНФРА-М,2024.-192 с.(ВО)(п)</t>
  </si>
  <si>
    <t>АГРОХИМИЧЕСКИЕ МЕТОДЫ ИССЛЕДОВАНИЙ: ЛАБОРАТОРНЫЙ ПРАКТИКУМ</t>
  </si>
  <si>
    <t>Белоусова Е.Н.</t>
  </si>
  <si>
    <t>Высшее образование (КрГАУ)</t>
  </si>
  <si>
    <t>978-5-16-019520-9</t>
  </si>
  <si>
    <t>06.03.02, 35.03.03, 35.03.04, 35.03.05, 35.03.10</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</si>
  <si>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35.03.03 «Агрохимия и агропочвоведение»</t>
  </si>
  <si>
    <t>Красноярский Государственный Аграрный Университет</t>
  </si>
  <si>
    <t>288600.06.01</t>
  </si>
  <si>
    <t>Агрохимия: Уч. пос. / В.В. Кидин. - М.: НИЦ ИНФРА-М, 2023 - 351 с. (ВО: Бакалавриат) (п)</t>
  </si>
  <si>
    <t>АГРОХИМИЯ</t>
  </si>
  <si>
    <t>Кидин В.В.</t>
  </si>
  <si>
    <t>978-5-16-010009-8</t>
  </si>
  <si>
    <t>35.03.03, 35.03.04, 35.04.03</t>
  </si>
  <si>
    <t>Допущено УМО вузов РФ по агрономическому образованию в качестве учебного пособия для подготовки бакалавров, обучающихся по направлению 35.03.03 «Агрохимия и агропочвоведение"</t>
  </si>
  <si>
    <t>682814.07.01</t>
  </si>
  <si>
    <t>Агрохимия: Уч.пос. / В.В.Кидин - М.:НИЦ ИНФРА-М,2025 - 351 с.-(СПО)(П)</t>
  </si>
  <si>
    <t>978-5-16-014937-0</t>
  </si>
  <si>
    <t>19.02.11, 19.02.12, 20.02.01, 35.01.26, 35.01.27, 35.02.01, 35.02.05, 35.02.07, 35.02.12, 35.02.16, 43.01.11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</si>
  <si>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35.02.05 «Агрономия»</t>
  </si>
  <si>
    <t>653929.06.01</t>
  </si>
  <si>
    <t>Адаптивно-ландшафтные системы земледелия: Уч. / А.И.Беленков-М.:НИЦ ИНФРА-М,2024.-213 с..-(ВО)(П)</t>
  </si>
  <si>
    <t>АДАПТИВНО-ЛАНДШАФТНЫЕ СИСТЕМЫ ЗЕМЛЕДЕЛИЯ</t>
  </si>
  <si>
    <t>Беленков А.И., Мазиров М.А., Зеленев А.В.</t>
  </si>
  <si>
    <t>978-5-16-013068-2</t>
  </si>
  <si>
    <t>35.04.04</t>
  </si>
  <si>
    <t>Рекомендовано в качестве учебника для студентов высших учебных заведений, обучающихся по направлению подготовки 35.04.04 «Агрономия» (квалификация (степень) «магистр»)</t>
  </si>
  <si>
    <t>682815.06.01</t>
  </si>
  <si>
    <t>Аддиктология. Теоретические и эксперимент...: Уч.пос. / Е.И.Николаева-М.:ИНФРА-М,2024-209 с.(СПО)(п)</t>
  </si>
  <si>
    <t>АДДИКТОЛОГИЯ. ТЕОРЕТИЧЕСКИЕ И ЭКСПЕРИМЕНТАЛЬНЫЕ ИССЛЕДОВАНИЯ ФОРМИРОВАНИЯ АДДИКЦИИ</t>
  </si>
  <si>
    <t>Николаева Е.И., Каменская В.Г.</t>
  </si>
  <si>
    <t>978-5-16-017022-0</t>
  </si>
  <si>
    <t>Психология</t>
  </si>
  <si>
    <t>40.02.02, 44.02.02, 44.02.04, 44.02.05, 44.02.06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</si>
  <si>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</si>
  <si>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Российский государственный педагогический университет им. А.И. Герцена</t>
  </si>
  <si>
    <t>151400.12.01</t>
  </si>
  <si>
    <t>Аддиктология. Теоретические и экспериментальные... / Е.И.Николаева - М.: Форум, 2025 - 208 с.(о)</t>
  </si>
  <si>
    <t>Николаева Е. И., Каменская В. Г.</t>
  </si>
  <si>
    <t>978-5-91134-508-2</t>
  </si>
  <si>
    <t>37.03.01, 39.03.02, 44.03.02, 44.05.01</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</si>
  <si>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050700 "Педагогика"</t>
  </si>
  <si>
    <t>693136.08.01</t>
  </si>
  <si>
    <t>Аддитивное производство: Уч.пос. / Т.В.Тарасова - М.:НИЦ ИНФРА-М,2025 - 196 с.-(ВО (СТАНКИН))(П)</t>
  </si>
  <si>
    <t>АДДИТИВНОЕ ПРОИЗВОДСТВО</t>
  </si>
  <si>
    <t>Тарасова Т.В.</t>
  </si>
  <si>
    <t>Высшее образование (СТАНКИН)</t>
  </si>
  <si>
    <t>978-5-16-014676-8</t>
  </si>
  <si>
    <t>Рекомендовано Учебно-методическим советом федерального государственного бюджетного образовательного учреждения высшего образования «Московский государственный технологический университет "СТАНКИН”» (ФГБОУ ВО «МГТУ "СТАНКИН”»)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</si>
  <si>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Московский государственный технологический университет "Станкин"</t>
  </si>
  <si>
    <t>769208.02.01</t>
  </si>
  <si>
    <t>Административная деят. орг. внутр. дел: Уч. / Под ред. Костенникова М.В.- М.:НИЦ ИНФРА-М,2025. - 376 с.(СПО)(п)</t>
  </si>
  <si>
    <t>АДМИНИСТРАТИВНАЯ ДЕЯТЕЛЬНОСТЬ ОРГАНОВ ВНУТРЕННИХ ДЕЛ</t>
  </si>
  <si>
    <t>Адмиралова И.А., Алимова Е.Н., Василенко Г.Н. и др.</t>
  </si>
  <si>
    <t>978-5-16-017355-9</t>
  </si>
  <si>
    <t>Всероссийский институт повышения квалификации сотрудников Министерства внутренних дел Российской Федерации</t>
  </si>
  <si>
    <t>771448.01.01</t>
  </si>
  <si>
    <t>Административная деят. органов внутр. дел. Общ. ч.: Уч.пос. /Р.Г.Миронов-М.:НИЦ ИНФРА-М,2024-222с(ВО)(п)</t>
  </si>
  <si>
    <t>АДМИНИСТРАТИВНАЯ ДЕЯТЕЛЬНОСТЬ ОРГАНОВ ВНУТРЕННИХ ДЕЛ. ОБЩАЯ ЧАСТЬ</t>
  </si>
  <si>
    <t>Миронов Р.Г., Миронов А.Н.</t>
  </si>
  <si>
    <t>978-5-16-018320-6</t>
  </si>
  <si>
    <t>40.03.01, 40.04.01, 40.05.02</t>
  </si>
  <si>
    <t>Восточная экономико-юридическая гуманитарная академия</t>
  </si>
  <si>
    <t>Июнь, 2024</t>
  </si>
  <si>
    <t>799145.01.01</t>
  </si>
  <si>
    <t>Административная деят. органов внутренних дел. Особ. часть: Уч.пос./Р.Г.Миронов-М.:НИЦ ИНФРА-М,2025-257с.(ВО)(п)</t>
  </si>
  <si>
    <t>АДМИНИСТРАТИВНАЯ ДЕЯТЕЛЬНОСТЬ ОРГАНОВ ВНУТРЕННИХ ДЕЛ. ОСОБЕННАЯ ЧАСТЬ</t>
  </si>
  <si>
    <t>978-5-16-018715-0</t>
  </si>
  <si>
    <t>40.03.01, 40.05.02</t>
  </si>
  <si>
    <t>837251.01.01</t>
  </si>
  <si>
    <t>Административная ответственность в РФ...: Уч.пос. / Н.А.Морозова - М.:НИЦ ИНФРА-М, СФУ,2025-403 с.(ВО (СФУ))(п)</t>
  </si>
  <si>
    <t>АДМИНИСТРАТИВНАЯ ОТВЕТСТВЕННОСТЬ В РОССИЙСКОЙ ФЕДЕРАЦИИ: ТЕОРИЯ, ЗАКОНОДАТЕЛЬСТВО И СУДЕБНАЯ ПРАКТИКА</t>
  </si>
  <si>
    <t>Морозова Н.А.</t>
  </si>
  <si>
    <t>Высшее образование (СФУ)</t>
  </si>
  <si>
    <t>978-5-16-020181-8</t>
  </si>
  <si>
    <t>Сибирский федеральный университет</t>
  </si>
  <si>
    <t>Октябрь, 2024</t>
  </si>
  <si>
    <t>740839.05.01</t>
  </si>
  <si>
    <t>Административная ответственность: Уч.пос. / Б.В.Россинский - М.:Юр.Норма, НИЦ ИНФРА-М,2024 - 248 с.(П)</t>
  </si>
  <si>
    <t>АДМИНИСТРАТИВНАЯ ОТВЕТСТВЕННОСТЬ</t>
  </si>
  <si>
    <t>Россинский Б.В.</t>
  </si>
  <si>
    <t>978-5-00156-080-7</t>
  </si>
  <si>
    <t>40.03.01</t>
  </si>
  <si>
    <t>Московский государственный юридический университет им. О.Е. Кутафина</t>
  </si>
  <si>
    <t>0120</t>
  </si>
  <si>
    <t>820969.01.01</t>
  </si>
  <si>
    <t>Административная юрисдикция: Уч. / А.А.Беженцев - М.:НИЦ ИНФРА-М,2025. - 179 с.(ВО)(п)</t>
  </si>
  <si>
    <t>АДМИНИСТРАТИВНАЯ ЮРИСДИКЦИЯ</t>
  </si>
  <si>
    <t>Беженцев А.А.</t>
  </si>
  <si>
    <t>978-5-16-019724-1</t>
  </si>
  <si>
    <t>40.03.01, 40.05.02, 40.05.04</t>
  </si>
  <si>
    <t>Российская академия народного хозяйства и государственной службы при Президенте РФ, ф-л Северо-Западный институт управления</t>
  </si>
  <si>
    <t>699371.07.01</t>
  </si>
  <si>
    <t>Административно-деликтное право: Уч.пос. /  Под ред. Хазанова С.Д.-М.:НИЦ ИНФРА-М,2024-293 с.(ВО)(п)</t>
  </si>
  <si>
    <t>АДМИНИСТРАТИВНО-ДЕЛИКТНОЕ ПРАВО</t>
  </si>
  <si>
    <t>Аникеенко Ю.Б., Новоселова Н.В., Хазанов С.Д.</t>
  </si>
  <si>
    <t>978-5-16-019209-3</t>
  </si>
  <si>
    <t>40.03.01, 40.04.01, 40.05.01, 40.05.02, 40.05.03, 40.05.04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</si>
  <si>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17 от 11.11.2019)</t>
  </si>
  <si>
    <t>Уральский государственный юридический университет имени В.Ф. Яковлева</t>
  </si>
  <si>
    <t>683246.06.01</t>
  </si>
  <si>
    <t>Административное право и админ. ответ.: Уч. пос. / Б.В.Россинский - 2 изд.-М.:Юр.Норма, НИЦ ИНФРА-М,2025-352 с.(П)</t>
  </si>
  <si>
    <t>АДМИНИСТРАТИВНОЕ ПРАВО И АДМИНИСТРАТИВНАЯ ОТВЕТСТВЕННОСТЬ, ИЗД.2</t>
  </si>
  <si>
    <t>978-5-00156-306-8</t>
  </si>
  <si>
    <t>0223</t>
  </si>
  <si>
    <t>683246.07.01</t>
  </si>
  <si>
    <t>Административное право и админ. ответ.: Уч. пос. / Б.В.Россинский - 3 изд. - М.:Юр.Норма, НИЦ ИНФРА-М,2025 - 376 с.(П)</t>
  </si>
  <si>
    <t>АДМИНИСТРАТИВНОЕ ПРАВО И АДМИНИСТРАТИВНАЯ ОТВЕТСТВЕННОСТЬ, ИЗД.3</t>
  </si>
  <si>
    <t>978-5-00156-396-9</t>
  </si>
  <si>
    <t>0325</t>
  </si>
  <si>
    <t>657371.15.01</t>
  </si>
  <si>
    <t>Административное право и админ. ответств... / Б.В.Россинский - 3 изд. - М.:Юр.Норма, НИЦ ИНФРА-М,2025 - 376 с.(П)</t>
  </si>
  <si>
    <t>978-5-00156-397-6</t>
  </si>
  <si>
    <t>Курс лекций</t>
  </si>
  <si>
    <t>38.03.04, 40.03.01, 40.04.01, 40.05.01, 40.05.02, 40.05.03, 40.05.04, 44.03.05, 46.03.02</t>
  </si>
  <si>
    <t>657371.13.01</t>
  </si>
  <si>
    <t>Административное право и админ. ответств... / Б.В.Россинский-2 изд.-М.:Юр.Норма, НИЦ ИНФРА-М,2024-352 с.(П)</t>
  </si>
  <si>
    <t>978-5-00156-188-0</t>
  </si>
  <si>
    <t>657371.07.01</t>
  </si>
  <si>
    <t>Административное право и админ.ответ.: Курс лекций /Б.В.Россинский-М.:Юр.Норма,НИЦ ИНФРА-М,2021-352с(П)</t>
  </si>
  <si>
    <t>АДМИНИСТРАТИВНОЕ ПРАВО И АДМИНИСТРАТИВНАЯ ОТВЕТСТВЕННОСТЬ</t>
  </si>
  <si>
    <t>978-5-91768-842-8</t>
  </si>
  <si>
    <t>683246.03.01</t>
  </si>
  <si>
    <t>Административное право и административная ответственность. Уч.пос.: уч.пос. / Б.В.Россинский-М.:Юр.Норма, НИЦ ИНФРА-М,2021.-352 с..-(Среднее п</t>
  </si>
  <si>
    <t>978-5-91768-927-2</t>
  </si>
  <si>
    <t>683260.02.01</t>
  </si>
  <si>
    <t>Административное право России: Уч. / С.Н.Братановский - М.:ИЦ РИОР, НИЦ ИНФРА-М,2019.-499 с.(ВО)(П)</t>
  </si>
  <si>
    <t>АДМИНИСТРАТИВНОЕ ПРАВО РОССИИ</t>
  </si>
  <si>
    <t>Братановский С.Н., Братановская М.С., Конджакулян К.М.</t>
  </si>
  <si>
    <t>978-5-369-01798-2</t>
  </si>
  <si>
    <t>40.03.01, 40.04.01, 40.05.01, 40.05.02, 40.05.03, 40.05.04, 44.03.05, 46.03.02</t>
  </si>
  <si>
    <t>АКАДЕМУС-2018, Победитель</t>
  </si>
  <si>
    <t>683260.06.01</t>
  </si>
  <si>
    <t>Административное право России: Уч. / С.Н.Братановский-2 изд.-М.:ИЦ РИОР, НИЦ ИНФРА-М,2024-285с.(ВО)(п)</t>
  </si>
  <si>
    <t>АДМИНИСТРАТИВНОЕ ПРАВО РОССИИ, ИЗД.2</t>
  </si>
  <si>
    <t>978-5-369-01927-6</t>
  </si>
  <si>
    <t>695785.05.01</t>
  </si>
  <si>
    <t>Административное право. Практикум: Уч.пос. / С.Н.Зайкова - М.:НИЦ ИНФРА-М,2024. - 181 с.(ВО)(п)</t>
  </si>
  <si>
    <t>АДМИНИСТРАТИВНОЕ ПРАВО. ПРАКТИКУМ</t>
  </si>
  <si>
    <t>Зайкова С.Н.</t>
  </si>
  <si>
    <t>978-5-16-020009-5</t>
  </si>
  <si>
    <t>38.03.04, 40.03.01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</si>
  <si>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4 от 02.03.2020)</t>
  </si>
  <si>
    <t>Саратовская государственная юридическая академия</t>
  </si>
  <si>
    <t>757760.03.01</t>
  </si>
  <si>
    <t>Административное право. Практикум: Уч.пос. / С.Н.Зайкова - М.:НИЦ ИНФРА-М,2025 - 181 с.-(СПО)(П)</t>
  </si>
  <si>
    <t>978-5-16-016909-5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</si>
  <si>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12 от 14.12.2020)</t>
  </si>
  <si>
    <t>078380.21.01</t>
  </si>
  <si>
    <t>Административное право: Уч. / А.Н.Миронов - 3 изд. - М.:ИД ФОРУМ, НИЦ ИНФРА-М,2022 - 320 с.(П)</t>
  </si>
  <si>
    <t>АДМИНИСТРАТИВНОЕ ПРАВО, ИЗД.3</t>
  </si>
  <si>
    <t>Миронов А.Н.</t>
  </si>
  <si>
    <t>978-5-8199-0726-9</t>
  </si>
  <si>
    <t>078380.26.01</t>
  </si>
  <si>
    <t>Административное право: Уч. / А.Н.Миронов - 4 изд. - М.:НИЦ ИНФРА-М,2025 - 333 с.-(СПО)(п)</t>
  </si>
  <si>
    <t>АДМИНИСТРАТИВНОЕ ПРАВО, ИЗД.4</t>
  </si>
  <si>
    <t>978-5-16-016327-7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</si>
  <si>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11 от 09.11.2020)</t>
  </si>
  <si>
    <t>0421</t>
  </si>
  <si>
    <t>102000.21.01</t>
  </si>
  <si>
    <t>Административное право: Уч. / Под ред. Л.Л.Попова - 3 изд. - М.:Юр.Норма,НИЦ ИНФРА-М,2025 - 736 с.(п)</t>
  </si>
  <si>
    <t>Попов Л.Л., Студеникина М.С.</t>
  </si>
  <si>
    <t>978-5-00156-083-8</t>
  </si>
  <si>
    <t>38.03.04, 40.02.02, 40.02.04, 40.03.01, 40.05.01, 40.05.02, 40.05.03, 40.05.04, 44.03.05, 46.03.02</t>
  </si>
  <si>
    <t>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40.03.01 (030900) «Юриспруденция», квалификация (степень) «бакалавр»</t>
  </si>
  <si>
    <t>0320</t>
  </si>
  <si>
    <t>102000.12.01</t>
  </si>
  <si>
    <t>Административное право: Уч. / Под ред. Попова Л.Л. - 2 изд. - М.:Юр.Норма,ИНФРА-М,2019 - 704 с.(П)</t>
  </si>
  <si>
    <t>АДМИНИСТРАТИВНОЕ ПРАВО, ИЗД.2</t>
  </si>
  <si>
    <t>Попов Л. Л., Студеникина М. С.</t>
  </si>
  <si>
    <t>978-5-91768-690-5</t>
  </si>
  <si>
    <t>051000.12.01</t>
  </si>
  <si>
    <t>Административное право: Уч. для вузов / Б.В.Россинский - 5 изд.-М.:Юр.Норма,НИЦ ИНФРА-М,2018-576с(П)</t>
  </si>
  <si>
    <t>АДМИНИСТРАТИВНОЕ ПРАВО, ИЗД.5</t>
  </si>
  <si>
    <t>Россинский Б.В., Старилов Ю.Н.</t>
  </si>
  <si>
    <t>978-5-91768-599-1</t>
  </si>
  <si>
    <t>38.03.04, 40.02.02, 40.02.04, 40.03.01, 40.05.01, 40.05.02, 40.05.03, 40.05.04, 44.03.05</t>
  </si>
  <si>
    <t>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40.03.01 (030900) Юриспруденция, квалификация (степень) «бакалавр»</t>
  </si>
  <si>
    <t>0515</t>
  </si>
  <si>
    <t>051000.17.01</t>
  </si>
  <si>
    <t>Административное право: Уч. для вузов / Б.В.Россинский, - 7 изд. - М.:Юр.Норма, НИЦ ИНФРА-М,2025 - 840 с.(П)</t>
  </si>
  <si>
    <t>АДМИНИСТРАТИВНОЕ ПРАВО, ИЗД.7</t>
  </si>
  <si>
    <t>978-5-00156-385-3</t>
  </si>
  <si>
    <t>0725</t>
  </si>
  <si>
    <t>051000.14.01</t>
  </si>
  <si>
    <t>Административное право: Уч. для вузов / Б.В.Россинский,-6 изд.-М.:Юр.Норма, НИЦ ИНФРА-М,2019-640с(П)</t>
  </si>
  <si>
    <t>АДМИНИСТРАТИВНОЕ ПРАВО, ИЗД.6</t>
  </si>
  <si>
    <t>, Старилов Ю.Н.</t>
  </si>
  <si>
    <t>978-5-91768-983-8</t>
  </si>
  <si>
    <t>0619</t>
  </si>
  <si>
    <t>690226.04.01</t>
  </si>
  <si>
    <t>Административное право: Уч.пос. / Т.И.Губарева - М.:НИЦ ИНФРА-М,2024 - 481 с.(СПО)(П)</t>
  </si>
  <si>
    <t>АДМИНИСТРАТИВНОЕ ПРАВО</t>
  </si>
  <si>
    <t>Губарева Т.И., Трусов А.И.</t>
  </si>
  <si>
    <t>978-5-16-014475-7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</si>
  <si>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4 от 21.04.2021)</t>
  </si>
  <si>
    <t>Краснодарский университет  Министерства внутренних дел Российской Федерации, Ставропольский ф-л</t>
  </si>
  <si>
    <t>СПО-2018, Победитель</t>
  </si>
  <si>
    <t>683425.04.01</t>
  </si>
  <si>
    <t>Административное судопроизводство: Уч. / Под ред. Смагиной Е.С.-М.:НИЦ ИНФРА-М,2023.-483 с.(ВО)(П)</t>
  </si>
  <si>
    <t>АДМИНИСТРАТИВНОЕ СУДОПРОИЗВОДСТВО</t>
  </si>
  <si>
    <t>Власенко В.А., Зиновьева О.П., Невский И.А. и др.</t>
  </si>
  <si>
    <t>978-5-16-014384-2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</si>
  <si>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4 от 25.02.2019)</t>
  </si>
  <si>
    <t>Южный федеральный университет</t>
  </si>
  <si>
    <t>696633.03.01</t>
  </si>
  <si>
    <t>Административное судопроизводство: Уч.пос. / Ю.Н.Старилов - М.:Юр.Норма,НИЦ ИНФРА-М,2020 - 496 с.(П)</t>
  </si>
  <si>
    <t>Старилов Ю.Н., Рогачева О.С., Махина С.Н.</t>
  </si>
  <si>
    <t>978-5-91768-979-1</t>
  </si>
  <si>
    <t>Воронежский государственный университет</t>
  </si>
  <si>
    <t>696633.05.01</t>
  </si>
  <si>
    <t>Административное судопроизводство: Уч.пос. / Ю.Н.Старилов и др.,- 2-е изд.-М.:Юр. НОРМА, НИЦ ИНФРА-М,2025-624 с.(П)</t>
  </si>
  <si>
    <t>АДМИНИСТРАТИВНОЕ СУДОПРОИЗВОДСТВО, ИЗД.2</t>
  </si>
  <si>
    <t>978-5-00156-263-4</t>
  </si>
  <si>
    <t>670764.05.01</t>
  </si>
  <si>
    <t>Административно-правовые формы и методы...: Уч.пос./ М.М.Поляков-М.:Юр.Норма, НИЦ ИНФРА-М,2023.-128с</t>
  </si>
  <si>
    <t>АДМИНИСТРАТИВНО-ПРАВОВЫЕ ФОРМЫ И МЕТОДЫ ПРОТИВОДЕЙСТВИЯ КОРРУПЦИИ</t>
  </si>
  <si>
    <t>Нечевин Д.К., Поляков М.М.</t>
  </si>
  <si>
    <t>978-5-91768-873-2</t>
  </si>
  <si>
    <t>128250.14.01</t>
  </si>
  <si>
    <t>Административно-процес. право: Уч.пос. / А.Н.Миронов - 2 изд. - М.:Форум,НИЦ ИНФРА-М,2025 - 169 с.(СПО)(п)</t>
  </si>
  <si>
    <t>АДМИНИСТРАТИВНО-ПРОЦЕССУАЛЬНОЕ ПРАВО, ИЗД.2</t>
  </si>
  <si>
    <t>978-5-00091-478-6</t>
  </si>
  <si>
    <t>825363.01.01</t>
  </si>
  <si>
    <t>Административные правонаруш., отнесённые к компетенции военной...: Уч.практ.пос. / С.А.Минтягов-М.:НИЦ ИНФРА-М,2025-207с(п)</t>
  </si>
  <si>
    <t>АДМИНИСТРАТИВНЫЕ ПРАВОНАРУШЕНИЯ, ОТНЕСЁННЫЕ К КОМПЕТЕНЦИИ ВОЕННОЙ ПОЛИЦИИ ВООРУЖЁННЫХ СИЛ РОССИЙСКОЙ ФЕДЕРАЦИИ</t>
  </si>
  <si>
    <t>Минтягов С.А.</t>
  </si>
  <si>
    <t>978-5-16-019835-4</t>
  </si>
  <si>
    <t>Учебно-практическое пособие</t>
  </si>
  <si>
    <t>00.03.41, 40.04.01, 40.05.01</t>
  </si>
  <si>
    <t>Всероссийский государственный университет юстиции (РПА Минюста России)</t>
  </si>
  <si>
    <t>421950.07.01</t>
  </si>
  <si>
    <t>Азбука психологии: Уч.пос.для студентов-иностр. / З.В.Бойко - М.: Форум, НИЦ ИНФРА-М, 2024. -192 с.(О)</t>
  </si>
  <si>
    <t>АЗБУКА ПСИХОЛОГИИ</t>
  </si>
  <si>
    <t>Бойко З.В., Полянская Е.Н., Полянская В.И.</t>
  </si>
  <si>
    <t>978-5-91134-727-7</t>
  </si>
  <si>
    <t>37.03.01, 37.03.02, 37.05.02, 44.03.02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</si>
  <si>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ФГОС ВПО ОЗОЗОО "Психология"</t>
  </si>
  <si>
    <t>Российский университет дружбы народов имени Патриса Лумумбы</t>
  </si>
  <si>
    <t>095070.10.01</t>
  </si>
  <si>
    <t>Аксиомы рекламы: Практ. пос. / А.Н. Мудров. - М.: Магистр, ИНФРА-М, 2024. - 462 с. (п)</t>
  </si>
  <si>
    <t>АКСИОМЫ РЕКЛАМЫ</t>
  </si>
  <si>
    <t>Мудров А.Н.</t>
  </si>
  <si>
    <t>Магистр</t>
  </si>
  <si>
    <t>978-5-9776-0058-3</t>
  </si>
  <si>
    <t>38.03.02, 38.03.06, 41.03.06, 42.03.01</t>
  </si>
  <si>
    <t>Рекламное агентство Северо Медиа</t>
  </si>
  <si>
    <t>832387.01.01</t>
  </si>
  <si>
    <t>Актуальные воп. кардиоревматологии дет. возраста: Уч.мет.пос. / А.И.Зарянкина-М.:НИЦ ИНФРА-М, ГомГМУ,2025-327с(п)</t>
  </si>
  <si>
    <t>АКТУАЛЬНЫЕ ВОПРОСЫ КАРДИОРЕВМАТОЛОГИИ ДЕТСКОГО ВОЗРАСТА</t>
  </si>
  <si>
    <t>Зарянкина А.И., Ивкина С.С., Бубневич Т.Е. и др.</t>
  </si>
  <si>
    <t>Высшее образование (ГомГМУ)</t>
  </si>
  <si>
    <t>978-5-16-020101-6</t>
  </si>
  <si>
    <t>32.04.01</t>
  </si>
  <si>
    <t>Рекомендовано учебно-методическим объединением в сфере дополнительного образования взрослых по профилю образования «Здравоохранение»</t>
  </si>
  <si>
    <t>746318.06.01</t>
  </si>
  <si>
    <t>Актуальные пробл. блокчейн-технологий в..: Уч.пос. / Л.Л.Арзуманова - М.:Юр.Норма, НИЦ ИНФРА-М,2025 - 96с(О)</t>
  </si>
  <si>
    <t>АКТУАЛЬНЫЕ ПРОБЛЕМЫ БЛОКЧЕЙН-ТЕХНОЛОГИЙ В ФИНАНСОВОМ ПРАВЕ</t>
  </si>
  <si>
    <t>Арзуманова Л.Л., Грачева Е.Ю., Чернобровкина Е.Б. и др.</t>
  </si>
  <si>
    <t>978-5-00156-108-8</t>
  </si>
  <si>
    <t>40.03.01, 40.04.01</t>
  </si>
  <si>
    <t>665997.03.01</t>
  </si>
  <si>
    <t>Актуальные пробл. и методология строит. науки: Уч.пос. / Федоров В.В. - М.:НИЦ ИНФРА-М,2024. - 262 с.(П)</t>
  </si>
  <si>
    <t>АКТУАЛЬНЫЕ ПРОБЛЕМЫ И МЕТОДОЛОГИЯ СТРОИТЕЛЬНОЙ НАУКИ</t>
  </si>
  <si>
    <t>Федоров В.В., Субботин С.Л., Баркая Т.Р. и др.</t>
  </si>
  <si>
    <t>978-5-16-014586-0</t>
  </si>
  <si>
    <t>08.04.01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</si>
  <si>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13 от 16.09.2019)</t>
  </si>
  <si>
    <t>Тверской государственный технический университет</t>
  </si>
  <si>
    <t>668063.06.01</t>
  </si>
  <si>
    <t>Актуальные пробл. ист. полит. и прав. учений: Уч.пос. / Т.А.Желдыбина - 2изд.-М.:НИЦ ИНФРА-М,2023.-105 с.(О)</t>
  </si>
  <si>
    <t>АКТУАЛЬНЫЕ ПРОБЛЕМЫ ИСТОРИИ ПОЛИТИЧЕСКИХ И ПРАВОВЫХ УЧЕНИЙ, ИЗД.2</t>
  </si>
  <si>
    <t>Желдыбина Т.А.</t>
  </si>
  <si>
    <t>978-5-16-017212-5</t>
  </si>
  <si>
    <t>40.04.01, 40.05.01, 40.05.02, 40.05.03, 40.05.04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</si>
  <si>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юридическим направлениям подготовки (квалификация (степень) «магистр») (протокол № 6 от 16.06.2021)</t>
  </si>
  <si>
    <t>646040.02.01</t>
  </si>
  <si>
    <t>Актуальные пробл. муниципал. права России: Уч. / А.А.Акмалова - М.:НИЦ ИНФРА-М,2025. - 402 с.(ВО:Магистр)(п)</t>
  </si>
  <si>
    <t>АКТУАЛЬНЫЕ ПРОБЛЕМЫ МУНИЦИПАЛЬНОГО ПРАВА РОССИИ</t>
  </si>
  <si>
    <t>Акмалова А.А.</t>
  </si>
  <si>
    <t>978-5-16-013024-8</t>
  </si>
  <si>
    <t>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</si>
  <si>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6 от 16.06.2021)</t>
  </si>
  <si>
    <t>700692.03.01</t>
  </si>
  <si>
    <t>Актуальные пробл. проектир. обр. процесса: Уч.пос. / Е.В.Семенова-М.:НИЦ ИНФРА-М,2023.-208 с.(ВО)(П)</t>
  </si>
  <si>
    <t>АКТУАЛЬНЫЕ ПРОБЛЕМЫ ПРОЕКТИРОВАНИЯ ОБРАЗОВАТЕЛЬНОГО ПРОЦЕССА</t>
  </si>
  <si>
    <t>Семенова Е.В.</t>
  </si>
  <si>
    <t>978-5-16-014971-4</t>
  </si>
  <si>
    <t>ЛИТЕРАТУРА ДЛЯ СРЕДНЕЙ ШКОЛЫ И АБИТУРИЕНТОВ. ПЕДАГОГИКА</t>
  </si>
  <si>
    <t>Педагогика. Образование</t>
  </si>
  <si>
    <t>44.00.00, 44.03.01, 44.04.01, 44.04.02, 44.04.03, 44.04.04, 44.05.01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</si>
  <si>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«магистр») (протокол № 10 от 12.10.2020)</t>
  </si>
  <si>
    <t>Челябинский государственный институт культуры</t>
  </si>
  <si>
    <t>801690.03.01</t>
  </si>
  <si>
    <t>Актуальные пробл. развит. налог. системы России: Уч. / Под ред. Малис Н.И. - М.:Магистр, ИНФРА-М, 2025 - 520 с.(п)</t>
  </si>
  <si>
    <t>АКТУАЛЬНЫЕ ПРОБЛЕМЫ РАЗВИТИЯ НАЛОГОВОЙ СИСТЕМЫ РОССИИ</t>
  </si>
  <si>
    <t>Малис Н.И.</t>
  </si>
  <si>
    <t>978-5-9776-0551-9</t>
  </si>
  <si>
    <t>Экономика. Бухгалтерский учет. Финансы</t>
  </si>
  <si>
    <t>38.03.01, 38.04.01</t>
  </si>
  <si>
    <t>146800.09.01</t>
  </si>
  <si>
    <t>Актуальные пробл. теор. гос.и права: Уч.пос./Р.В.Шагиева -2изд.-М.:Юр.Норма,НИЦ ИНФРА-М,2024-576с(П)</t>
  </si>
  <si>
    <t>АКТУАЛЬНЫЕ ПРОБЛЕМЫ ТЕОРИИ ГОСУДАРСТВА И ПРАВА, ИЗД.2</t>
  </si>
  <si>
    <t>Шагиева Р.В., Букалерова Л.А., Виноградов В.В. и др.</t>
  </si>
  <si>
    <t>978-5-91768-526-7</t>
  </si>
  <si>
    <t>Допущено УМО по юридическому образованию вузов РФ в качестве учебного пособия для студентов вузов, обучающихся по направлению "Юриспруденция"</t>
  </si>
  <si>
    <t>656212.05.01</t>
  </si>
  <si>
    <t>Актуальные пробл. управ. персоналом: Моббинг: Уч.пос. / И.Б.Дуракова-М.:НИЦ ИНФРА-М,2024.-226 с.(ВО)(п)</t>
  </si>
  <si>
    <t>АКТУАЛЬНЫЕ ПРОБЛЕМЫ УПРАВЛЕНИЯ ПЕРСОНАЛОМ: МОББИНГ</t>
  </si>
  <si>
    <t>Дуракова И.Б., Корыстина Е.С.</t>
  </si>
  <si>
    <t>978-5-16-013423-9</t>
  </si>
  <si>
    <t>38.03.02, 38.03.03, 38.03.04, 38.04.02, 38.04.03, 38.04.04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</si>
  <si>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38.04.03 «Управление персоналом», 38.04.04 «Государственное и муниципальное управление» (квалификация (степень) «магистр»)</t>
  </si>
  <si>
    <t>645330.06.01</t>
  </si>
  <si>
    <t>Актуальные проблемы гражданского права: Уч.пос. / С.А.Иванова и др. - М.:НИЦ ИНФРА-М,2023 - 190 с.(ВО)(П)</t>
  </si>
  <si>
    <t>АКТУАЛЬНЫЕ ПРОБЛЕМЫ ГРАЖДАНСКОГО ПРАВА</t>
  </si>
  <si>
    <t>Иванова С.А., Пашенцев Д.А., Санникова Л.В.</t>
  </si>
  <si>
    <t>978-5-16-014246-3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</si>
  <si>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40.04.00 «Юриспруденция» (квалификация (степень) «магистр») (протокол № 12 от 24.06.2019)</t>
  </si>
  <si>
    <t>766407.02.01</t>
  </si>
  <si>
    <t>Актуальные проблемы гражданского процессуал. права: Уч. / Я.Я.Кайль-М.:НИЦ ИНФРА-М,2024.-307с(ВО)(П)</t>
  </si>
  <si>
    <t>АКТУАЛЬНЫЕ ПРОБЛЕМЫ ГРАЖДАНСКОГО ПРОЦЕССУАЛЬНОГО ПРАВА</t>
  </si>
  <si>
    <t>Кайль Я.Я.</t>
  </si>
  <si>
    <t>978-5-16-017644-4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</si>
  <si>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6 от 08.06.2022)</t>
  </si>
  <si>
    <t>Российская академия народного хозяйства и государственной службы при Президенте РФ, ф-л Волгоградский институт управления</t>
  </si>
  <si>
    <t>АКАДЕМУС-2021, Победитель, II место</t>
  </si>
  <si>
    <t>668063.03.01</t>
  </si>
  <si>
    <t>Актуальные проблемы истории полит. и прав.уч.: Уч.пос. / Т.А.Желдыбина-М.:НИЦ ИНФРА-М,2019-88с(ВО)</t>
  </si>
  <si>
    <t>АКТУАЛЬНЫЕ ПРОБЛЕМЫ ИСТОРИИ ПОЛИТИЧЕСКИХ И ПРАВОВЫХ УЧЕНИЙ</t>
  </si>
  <si>
    <t>978-5-16-013753-7</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</si>
  <si>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t>
  </si>
  <si>
    <t>834829.01.01</t>
  </si>
  <si>
    <t>Актуальные проблемы конституционного права...: моногр./ отв.ред. В.В. Комарова-М.:Юр. НОРМА, НИЦ ИНФРА-М,2025.-328 с.(п)</t>
  </si>
  <si>
    <t>АКТУАЛЬНЫЕ ПРОБЛЕМЫ КОНСТИТУЦИОННОГО ПРАВА: К 100-ЛЕТИЮ Е.И.КОЗЛОВОЙ</t>
  </si>
  <si>
    <t>Комарова В.В., Таева Н.Е., Дородонова Н.В. и др.</t>
  </si>
  <si>
    <t>978-5-00156-383-9</t>
  </si>
  <si>
    <t>Монография</t>
  </si>
  <si>
    <t>Профессиональное образование / ВО - Кадры высшей квалификации</t>
  </si>
  <si>
    <t>40.05.01, 40.05.02, 40.05.03, 40.05.04, 40.06.01</t>
  </si>
  <si>
    <t>Сентябрь, 2024</t>
  </si>
  <si>
    <t>636374.04.01</t>
  </si>
  <si>
    <t>Актуальные проблемы международного фин. права: Уч.пос. / С.Г.Павликов - М.:НИЦ ИНФРА-М,2022-322с.(п)</t>
  </si>
  <si>
    <t>АКТУАЛЬНЫЕ ПРОБЛЕМЫ МЕЖДУНАРОДНОГО ФИНАНСОВОГО ПРАВА</t>
  </si>
  <si>
    <t>Павликов С.Г., Ефимова Н.А., Иксанов И.С. и др.</t>
  </si>
  <si>
    <t>Высшее образование: Магистратура (Финуниверситет)</t>
  </si>
  <si>
    <t>978-5-16-012168-0</t>
  </si>
  <si>
    <t>38.03.01, 38.04.01, 38.04.08, 38.04.09, 40.03.01, 40.04.01, 44.03.05</t>
  </si>
  <si>
    <t>Рекомендовано в качестве учебного пособия для студентов высших учебных заведений, обучающихся по направлениям подготовки 38.04.01 «Экономика», 34.04.08 «Финансы и кредит», 40.04.01 «Юриспруденция» (квалификация (степень) «магистр»)</t>
  </si>
  <si>
    <t>324100.06.01</t>
  </si>
  <si>
    <t>Актуальные проблемы муниципального права: Уч. / Г.Н.Чеботарев-М.:Юр.Норма, НИЦ ИНФРА-М,2022.-304с(п)</t>
  </si>
  <si>
    <t>АКТУАЛЬНЫЕ ПРОБЛЕМЫ МУНИЦИПАЛЬНОГО ПРАВА</t>
  </si>
  <si>
    <t>Чеботарев Г.Н., Гуркова С.Г., Иванова К.А. и др.</t>
  </si>
  <si>
    <t>978-5-91768-572-4</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</si>
  <si>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«магистр»</t>
  </si>
  <si>
    <t>Тюменский государственный университет</t>
  </si>
  <si>
    <t>324100.07.01</t>
  </si>
  <si>
    <t>Актуальные проблемы муниципального права: Уч./ Г.Н.Чеботарев-2изд.-М.:Юр.Норма, НИЦ ИНФРА-М,2024.-320с(п)</t>
  </si>
  <si>
    <t>АКТУАЛЬНЫЕ ПРОБЛЕМЫ МУНИЦИПАЛЬНОГО ПРАВА, ИЗД.2</t>
  </si>
  <si>
    <t>Чеботарев Г.Н., Акулич Е.М., Зайцева Л.В. и др.</t>
  </si>
  <si>
    <t>978-5-00156-337-2</t>
  </si>
  <si>
    <t>650156.04.01</t>
  </si>
  <si>
    <t>Актуальные проблемы налогового права: Уч. / Е.Л.Васянина-М.:НИЦ ИНФРА-М,2023.-330 с.(ВО: Магистр.)(П)</t>
  </si>
  <si>
    <t>АКТУАЛЬНЫЕ ПРОБЛЕМЫ НАЛОГОВОГО ПРАВА</t>
  </si>
  <si>
    <t>Васянина Е.Л., Запольский С.В.</t>
  </si>
  <si>
    <t>978-5-16-013746-9</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</si>
  <si>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38.04.01 «Экономика», 40.04.01 «Юриспруденция» (квалификация (степень) «магистр»)</t>
  </si>
  <si>
    <t>Санкт-Петербургский государственный экономический университет</t>
  </si>
  <si>
    <t>660121.02.01</t>
  </si>
  <si>
    <t>Актуальные проблемы налогообложения физ. лиц: Уч. /  Сильвестрова Т.Я.-М.:НИЦ ИНФРА-М,2023-219с.-(ВО)(П)</t>
  </si>
  <si>
    <t>АКТУАЛЬНЫЕ ПРОБЛЕМЫ НАЛОГООБЛОЖЕНИЯ ФИЗИЧЕСКИХ ЛИЦ</t>
  </si>
  <si>
    <t>Сильвестрова Т.Я., Гурова С.Ю., Александрова Н.В. и др.</t>
  </si>
  <si>
    <t>978-5-16-015012-3</t>
  </si>
  <si>
    <t>38.04.01, 38.04.02, 38.04.08, 40.04.01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</si>
  <si>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18 от 25.11.2019)</t>
  </si>
  <si>
    <t>689660.07.01</t>
  </si>
  <si>
    <t>Актуальные проблемы права интеллект. собственности: Уч. / Л.И.Гончаренко. - М.:НИЦ ИНФРА-М,2025 - 320 с.(П)</t>
  </si>
  <si>
    <t>АКТУАЛЬНЫЕ ПРОБЛЕМЫ ПРАВА ИНТЕЛЛЕКТУАЛЬНОЙ СОБСТВЕННОСТИ</t>
  </si>
  <si>
    <t>Гончаренко Л.И., Кулешова И.А., Лосева О.В. и др.</t>
  </si>
  <si>
    <t>978-5-16-015861-7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</si>
  <si>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8 от 22.06.2020)</t>
  </si>
  <si>
    <t>472700.06.01</t>
  </si>
  <si>
    <t>Актуальные проблемы права: Уч. / под. ред. Шагиева Р.В. - М.:Юр.Норма,НИЦ ИНФРА-М,2023 - 352с.(п)</t>
  </si>
  <si>
    <t>АКТУАЛЬНЫЕ ПРОБЛЕМЫ ПРАВА</t>
  </si>
  <si>
    <t>Шагиева Р.В., Букалерова Л.А., Грудцына Л.Ю. и др.</t>
  </si>
  <si>
    <t>НОРМА</t>
  </si>
  <si>
    <t>978-5-91768-697-4</t>
  </si>
  <si>
    <t>427750.07.01</t>
  </si>
  <si>
    <t>Актуальные проблемы теории и фил. права: Курс лекций / Ю.В.Сорокина -М.:Норма:НИЦ ИНФРА-М,2024-304с. (о)</t>
  </si>
  <si>
    <t>АКТУАЛЬНЫЕ ПРОБЛЕМЫ ТЕОРИИ И ФИЛОСОФИИ ПРАВА</t>
  </si>
  <si>
    <t>Сорокина Ю. В.</t>
  </si>
  <si>
    <t>978-5-91768-367-6</t>
  </si>
  <si>
    <t>38.04.09, 40.03.01, 40.04.01</t>
  </si>
  <si>
    <t>656213.07.01</t>
  </si>
  <si>
    <t>Актуальные проблемы упр. персоналом...: Уч.пос. / И.Б.Дуракова - М.:НИЦ ИНФРА-М,2024 - 191 с.(ВО)(П)</t>
  </si>
  <si>
    <t>АКТУАЛЬНЫЕ ПРОБЛЕМЫ УПРАВЛЕНИЯ ПЕРСОНАЛОМ: РАБОТНИКИ СТАРШИХ ВОЗРАСТОВ</t>
  </si>
  <si>
    <t>Дуракова И.Б., Талтынов С.М., Майер Е.В.</t>
  </si>
  <si>
    <t>978-5-16-014274-6</t>
  </si>
  <si>
    <t>38.04.03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</si>
  <si>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38.04.03 «Управление персоналом», 38.04.02 «Менеджмент» (квалификация (степень) «магистр»)</t>
  </si>
  <si>
    <t>838951.01.01</t>
  </si>
  <si>
    <t>Акушерство и гинекология: Уч. пос.: В 2 ч.Ч.1 /  Е.А.Эйныш - М.:НИЦ ИНФРА-М,2025. - 228 с. (ВО)(п)</t>
  </si>
  <si>
    <t>АКУШЕРСТВО И ГИНЕКОЛОГИЯ: В 2 ЧАСТЯХ. ЧАСТЬ 1. АКУШЕРСТВО, Т.1</t>
  </si>
  <si>
    <t>Эйныш Е.А., Захаренкова Т.Н., Недосейкина М.С. и др.</t>
  </si>
  <si>
    <t>978-5-16-020274-7</t>
  </si>
  <si>
    <t>31.05.01, 31.05.02, 32.05.01, 36.05.01</t>
  </si>
  <si>
    <t>Рекомендовано учебно-методическим объединением по высшему медицинскому, фармацевтическому образованию в качестве учебно-методического пособия для студентов учреждений высшего образования, обучающихся по специальностям «Лечебное дело», «Медико-диагностическое дело»</t>
  </si>
  <si>
    <t>094020.11.01</t>
  </si>
  <si>
    <t>Акушерство, гинекология и биотехника воспр-ва животных: Уч. пос. / Г.Д. Некрасов -М.:Форум,ИНФРА-М,2024-176 с.(о)</t>
  </si>
  <si>
    <t>АКУШЕРСТВО, ГИНЕКОЛОГИЯ И БИОТЕХНИКА ВОСПРОИЗВОДСТВА ЖИВОТНЫХ</t>
  </si>
  <si>
    <t>Некрасов Г. Д., Суманова И. А.</t>
  </si>
  <si>
    <t>978-5-91134-202-9</t>
  </si>
  <si>
    <t>35.03.07</t>
  </si>
  <si>
    <t>Допущено Учебно-методическим объединением вузов РФ по аграрному образованию в качестве учебного пособия для студентов, обучающихся по специальности 110305 - "Технология производства и переработки сельскохозяйственной продукции"</t>
  </si>
  <si>
    <t>Алтайский государственный аграрный университет</t>
  </si>
  <si>
    <t>682816.06.01</t>
  </si>
  <si>
    <t>Акушерство, гинекология и биотехника воспроизвод. жив.: Уч.пос. / Г.Д.Некрасов-М.:Форум, НИЦ ИНФРА-М,2025.-174 с.(П)</t>
  </si>
  <si>
    <t>Некрасов Г.Д., Суманова И.А.</t>
  </si>
  <si>
    <t>978-5-00091-538-7</t>
  </si>
  <si>
    <t>35.01.01, 35.01.23, 35.02.09, 36.01.01, 36.01.02, 36.01.03, 36.02.01, 36.02.03</t>
  </si>
  <si>
    <t>082050.10.01</t>
  </si>
  <si>
    <t>Акушерство: Уч.пос. / О.Н.Сластухина-М.:ИЦ РИОР, НИЦ ИНФРА-М,2024.-271 с..-(ВО)(о)</t>
  </si>
  <si>
    <t>АКУШЕРСТВО</t>
  </si>
  <si>
    <t>Сластухина О.Н.</t>
  </si>
  <si>
    <t>978-5-369-00153-0</t>
  </si>
  <si>
    <t>31.05.01</t>
  </si>
  <si>
    <t>0107</t>
  </si>
  <si>
    <t>639818.06.01</t>
  </si>
  <si>
    <t>Алгебра и геометрия: Сб. зад. и реш. с прим. сис. Maple: Уч.пос. / М.Н.Кирсанов-М.:НИЦ ИНФРА-М,2023.-272 с.(П)</t>
  </si>
  <si>
    <t>АЛГЕБРА И ГЕОМЕТРИЯ. СБОРНИК ЗАДАЧ И РЕШЕНИЙ С ПРИМЕНЕНИЕМ СИСТЕМЫ MAPLE</t>
  </si>
  <si>
    <t>Кирсанов М.Н., Кузнецова О.С.</t>
  </si>
  <si>
    <t>978-5-16-012325-7</t>
  </si>
  <si>
    <t>Физико-математические науки</t>
  </si>
  <si>
    <t>01.03.02, 02.03.02, 03.03.02, 07.03.01, 08.03.01, 09.03.01, 09.03.02, 09.03.03, 09.03.04, 10.03.01, 11.03.01, 11.03.02, 11.03.03, 11.03.04, 12.03.01, 12.03.02, 12.03.03, 12.03.04, 12.03.05, 13.03.01, 13.03.02, 13.03.03, 15.03.01, 15.03.02, 15.03.03, 15.03.04, 15.03.05, 16.03.01, 16.03.02, 16.03.03, 38.03.01, 38.03.05, 38.04.01, 38.04.05, 38.04.08</t>
  </si>
  <si>
    <t>Рекомендовано в качестве учебного пособия для студентов высших учебных заведений, обучающихся по УГС технического профиля и УГС 38.00.00 «Экономика и управление» (квалификация (степень) «бакалавр»)</t>
  </si>
  <si>
    <t>Московский энергетический институт</t>
  </si>
  <si>
    <t>664359.05.01</t>
  </si>
  <si>
    <t>Алгебра и геометрия: Уч.пос. / Г.И.Шуман и др. - М.:ИЦ РИОР,НИЦ ИНФРА-М,2025 - 160 с.(П)</t>
  </si>
  <si>
    <t>АЛГЕБРА И ГЕОМЕТРИЯ</t>
  </si>
  <si>
    <t>Шуман Г.И., Волгина О.А., Голодная Н.Ю.</t>
  </si>
  <si>
    <t>978-5-369-01708-1</t>
  </si>
  <si>
    <t>01.03.02, 02.03.02, 03.03.02, 04.03.02, 09.03.04</t>
  </si>
  <si>
    <t>Владивостокский Государственный Университет</t>
  </si>
  <si>
    <t>803528.01.01</t>
  </si>
  <si>
    <t>Алгоритмизация и программир. на яз. Visual C#: Уч.пос. / С.Р.Гуриков - М.:НИЦ ИНФРА-М,2025. - 556 с.(ВО)(п)</t>
  </si>
  <si>
    <t>АЛГОРИТМИЗАЦИЯ И ПРОГРАММИРОВАНИЕ НА ЯЗЫКЕ VISUAL C#</t>
  </si>
  <si>
    <t>Гуриков С.Р.</t>
  </si>
  <si>
    <t>978-5-16-018538-5</t>
  </si>
  <si>
    <t>02.03.02, 02.03.03, 03.03.02, 03.03.03, 09.03.01, 09.03.03, 09.05.01, 10.03.01, 38.03.05, 38.04.05</t>
  </si>
  <si>
    <t>Московский технический университет связи и информатики</t>
  </si>
  <si>
    <t>АКАДЕМУС-2023, Победитель, II место</t>
  </si>
  <si>
    <t>090850.15.01</t>
  </si>
  <si>
    <t>Алгоритмизация и программирование: Уч.пос. / С.А.Канцедал - М.:ИД ФОРУМ, НИЦ ИНФРА-М,2025. - 352 с.(СПО)(П)</t>
  </si>
  <si>
    <t>АЛГОРИТМИЗАЦИЯ И ПРОГРАММИРОВАНИЕ</t>
  </si>
  <si>
    <t>Канцедал С.А.</t>
  </si>
  <si>
    <t>978-5-8199-0727-6</t>
  </si>
  <si>
    <t>08.02.15, 09.02.01, 09.02.02, 09.02.03, 09.02.04, 09.02.05, 09.02.06, 09.02.07, 09.02.08, 09.02.09, 10.02.02, 10.02.03, 10.02.04, 10.02.05, 27.02.01, 55.02.01</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</si>
  <si>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</si>
  <si>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632548.09.01</t>
  </si>
  <si>
    <t>Алгоритмы и структуры данных: Уч. / В.В.Белов - М.:КУРС, НИЦ ИНФРА-М,2023-240 с.-(Бакалавриат)(П)</t>
  </si>
  <si>
    <t>АЛГОРИТМЫ И СТРУКТУРЫ ДАННЫХ</t>
  </si>
  <si>
    <t>Белов В.В., Чистякова В.И.</t>
  </si>
  <si>
    <t>Бакалавриат</t>
  </si>
  <si>
    <t>978-5-906818-25-6</t>
  </si>
  <si>
    <t>09.03.01, 09.03.02, 09.03.03, 09.03.04</t>
  </si>
  <si>
    <t>Рекомендовано Научно-методическим советом ФГБОУ ВО «РГРТУ» в качестве учебника для студентов высших учебных заведений, обучающихся по направлению подготовки 09.03.04 «Программная инженерия» (квалификация — Бакалавр)</t>
  </si>
  <si>
    <t>Рязанский государственный радиотехнический университет имени В.Ф. Уткина</t>
  </si>
  <si>
    <t>831549.01.01</t>
  </si>
  <si>
    <t>Альтернативное разрешение споров: Уч.пос. / Д.В.Князев - М.:НИЦ ИНФРА-М,2025. - 209 с.(ВО)(п)</t>
  </si>
  <si>
    <t>АЛЬТЕРНАТИВНОЕ РАЗРЕШЕНИЕ СПОРОВ</t>
  </si>
  <si>
    <t>Князев Д.В.</t>
  </si>
  <si>
    <t>978-5-16-020014-9</t>
  </si>
  <si>
    <t>Российский государственный университет правосудия, Западно-Сибирский ф-л</t>
  </si>
  <si>
    <t>839050.01.01</t>
  </si>
  <si>
    <t>Альтернативные источники энергии: Уч.пос. / Ю.Д.Сибикин - 2 изд., - М.:НИЦ ИНФРА-М,2025. - 247 с.(ВО)(п)</t>
  </si>
  <si>
    <t>АЛЬТЕРНАТИВНЫЕ ИСТОЧНИКИ ЭНЕРГИИ, ИЗД.2</t>
  </si>
  <si>
    <t>Сибикин Ю.Д., Сибикин М.Ю.</t>
  </si>
  <si>
    <t>978-5-16-020240-2</t>
  </si>
  <si>
    <t>13.02.13</t>
  </si>
  <si>
    <t>766757.06.01</t>
  </si>
  <si>
    <t>Альтернативные источники энергии: Уч.пос. / Ю.Д.Сибикин-2 изд.,-М.:НИЦ ИНФРА-М,2023.-247с.(ВО)(п)</t>
  </si>
  <si>
    <t>978-5-16-019494-3</t>
  </si>
  <si>
    <t>13.03.01, 13.03.02</t>
  </si>
  <si>
    <t>674909.09.01</t>
  </si>
  <si>
    <t>Анализ  финансово-хоз.  деятельности: Уч. / А.М.Фридман - М.:ИЦ РИОР, НИЦ ИНФРА-М,2025. - 264 с.(СПО)(П)</t>
  </si>
  <si>
    <t>АНАЛИЗ  ФИНАНСОВО-ХОЗЯЙСТВЕННОЙ  ДЕЯТЕЛЬНОСТИ</t>
  </si>
  <si>
    <t>Фридман А.М.</t>
  </si>
  <si>
    <t>978-5-369-01791-3</t>
  </si>
  <si>
    <t>38.02.01, 38.02.03, 38.02.06, 38.02.07, 38.02.08</t>
  </si>
  <si>
    <t>Российский университет кооперации</t>
  </si>
  <si>
    <t>801172.01.01</t>
  </si>
  <si>
    <t>Анализ больших данных в полит. исслед.: Уч.пос. / Е.В.Бродовская - М.:НИЦ ИНФРА-М,2025.-158 с.(ВО)(п)</t>
  </si>
  <si>
    <t>АНАЛИЗ БОЛЬШИХ ДАННЫХ В ПОЛИТИЧЕСКИХ ИССЛЕДОВАНИЯХ</t>
  </si>
  <si>
    <t>Бродовская Е.В., Домбровская А.Ю., Заславский С.Е. и др.</t>
  </si>
  <si>
    <t>978-5-16-018477-7</t>
  </si>
  <si>
    <t>Политика. Социология</t>
  </si>
  <si>
    <t>41.03.04, 41.04.04</t>
  </si>
  <si>
    <t>801483.01.01</t>
  </si>
  <si>
    <t>Анализ данных. Методы теории вероят. и матем..: Уч.пос. / С.Я.Криволапов - М.:НИЦ ИНФРА-М,2025.-678 с.(п)</t>
  </si>
  <si>
    <t>АНАЛИЗ ДАННЫХ. МЕТОДЫ ТЕОРИИ ВЕРОЯТНОСТЕЙ И МАТЕМАТИЧЕСКОЙ СТАТИСТИКИ НА ЯЗЫКЕ PYTHON</t>
  </si>
  <si>
    <t>Криволапов С.Я.</t>
  </si>
  <si>
    <t>978-5-16-018616-0</t>
  </si>
  <si>
    <t>268900.07.01</t>
  </si>
  <si>
    <t>Анализ денежных потоков орг.: Сб. зад.: Уч. пос./Н.А.Алексеева - М.: ИНФРА-М, 2023-159с.(ВО) (о)</t>
  </si>
  <si>
    <t>АНАЛИЗ ДЕНЕЖНЫХ ПОТОКОВ ОРГАНИЗАЦИИ: СБОРНИК ЗАДАЧ (С МЕТОДИЧЕСКИМИ РЕКОМЕНДАЦИЯМИ И ОТВЕТАМИ К РЕШЕНИЮ ЗАДАЧ)</t>
  </si>
  <si>
    <t>Алексеева Н. А.</t>
  </si>
  <si>
    <t>978-5-16-009623-0</t>
  </si>
  <si>
    <t>38.03.01, 38.03.02, 38.03.04, 38.03.06, 38.03.07, 38.04.01, 38.04.02, 38.04.04, 38.04.06, 38.04.07, 38.04.08, 38.04.09, 38.05.01, 38.05.02</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</si>
  <si>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бакалавриата)</t>
  </si>
  <si>
    <t>Удмуртский государственный аграрный университет</t>
  </si>
  <si>
    <t>676883.05.01</t>
  </si>
  <si>
    <t>Анализ деят. экономических субъектов: Уч. / Е.Б.Герасимова-М.:НИЦ ИНФРА-М,2024.-318 с.(ВО: Бакалавр.)(п)</t>
  </si>
  <si>
    <t>АНАЛИЗ ДЕЯТЕЛЬНОСТИ ЭКОНОМИЧЕСКИХ СУБЪЕКТОВ</t>
  </si>
  <si>
    <t>Герасимова Е.Б.</t>
  </si>
  <si>
    <t>Высшее образование: Бакалавриат (Финуниверситет)</t>
  </si>
  <si>
    <t>978-5-16-014492-4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</si>
  <si>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19 от 09.12.2019)</t>
  </si>
  <si>
    <t>665718.01.01</t>
  </si>
  <si>
    <t>Анализ деятельности коммерческого банка: Уч. / А.А.Казимагомедов-2 изд.-М.:НИЦ ИНФРА-М,2023-421с.(П)</t>
  </si>
  <si>
    <t>АНАЛИЗ ДЕЯТЕЛЬНОСТИ КОММЕРЧЕСКОГО БАНКА, ИЗД.2</t>
  </si>
  <si>
    <t>Казимагомедов А.А., Абдулсаламова А.А., Казимагомедов А.А.</t>
  </si>
  <si>
    <t>978-5-16-017219-4</t>
  </si>
  <si>
    <t>38.03.01, 38.04.01, 38.04.08</t>
  </si>
  <si>
    <t>Рекомендовано УМО по образованию в области финансов, учета и мировой экономики в качестве учебника для студентов, обучающихся по специальности «Финансы и кредит»</t>
  </si>
  <si>
    <t>Дагестанский государственный университет</t>
  </si>
  <si>
    <t>475950.08.01</t>
  </si>
  <si>
    <t>Анализ деятельности конкурентов: Уч. пос./Т.Н.Рыжикова - М.:НИЦ ИНФРА-М,2024. - 267 с.(ВО)(п)</t>
  </si>
  <si>
    <t>АНАЛИЗ ДЕЯТЕЛЬНОСТИ КОНКУРЕНТОВ</t>
  </si>
  <si>
    <t>Рыжикова Т. Н.</t>
  </si>
  <si>
    <t>978-5-16-010215-3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</si>
  <si>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38.03.02 (080200.62) «Менеджмент» (квалификация (ст</t>
  </si>
  <si>
    <t>277800.09.01</t>
  </si>
  <si>
    <t>Анализ и диагност.фин.-хоз.деят.орг.: Уч.пос. / П.Ф.Аскеров - М.:НИЦ ИНФРА-М,2024 - 176с (ВО)(п)</t>
  </si>
  <si>
    <t>АНАЛИЗ И ДИАГНОСТИКА ФИНАНСОВО-ХОЗЯЙСТВЕННОЙ ДЕЯТЕЛЬНОСТИ ОРГАНИЗАЦИИ</t>
  </si>
  <si>
    <t>Аскеров П.Ф., Цветков И.А., Кибиров Х.Г. и др.</t>
  </si>
  <si>
    <t>978-5-16-020016-3</t>
  </si>
  <si>
    <t>Российский государственный университет народного хозяйства им. В.И.Вернадского</t>
  </si>
  <si>
    <t>086700.11.01</t>
  </si>
  <si>
    <t>Анализ и диагностика фин.-хоз. деят. предпр.: Уч. / А.Д.Шеремет- 2 изд.,-М.:НИЦ ИНФРА-М,2024-374с(П)</t>
  </si>
  <si>
    <t>АНАЛИЗ И ДИАГНОСТИКА ФИНАНСОВО-ХОЗЯЙСТВЕННОЙ ДЕЯТЕЛЬНОСТИ ПРЕДПРИЯТИЯ, ИЗД.2</t>
  </si>
  <si>
    <t>Шеремет А.Д.</t>
  </si>
  <si>
    <t>978-5-16-018982-6</t>
  </si>
  <si>
    <t>38.03.01, 38.03.02, 38.04.01, 38.04.02</t>
  </si>
  <si>
    <t>Рекомендовано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и 38.04.01 «Экономика», 38.04.02 «Менеджмент» (квалификация (степень) «магистр»)</t>
  </si>
  <si>
    <t>Московский государственный университет им. М.В. Ломоносова, экономический факультет</t>
  </si>
  <si>
    <t>719423.07.01</t>
  </si>
  <si>
    <t>Анализ и диагностика фин.-хоз. деят. предпр.: Уч. / А.Д.Шеремет, - 2 изд., - М.:НИЦ ИНФРА-М,2025 - 374 с.(СПО)(П)</t>
  </si>
  <si>
    <t>978-5-16-015634-7</t>
  </si>
  <si>
    <t>38.02.01, 38.02.03, 38.02.06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</si>
  <si>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12 от 26.06.2019)</t>
  </si>
  <si>
    <t>0220</t>
  </si>
  <si>
    <t>463150.04.01</t>
  </si>
  <si>
    <t>Анализ и диагностика фин.-хоз. деят. пром..: Уч.пос. / Е.Н.Изюмова-2 изд.-М.:РИОР:ИНФРА-М,2020-313с(п)</t>
  </si>
  <si>
    <t>АНАЛИЗ И ДИАГНОСТИКА ФИНАНСОВО-ХОЗЯЙСТВЕННОЙ ДЕЯТЕЛЬНОСТИ ПРОМЫШЛЕННОГО ПРЕДПРИЯТИЯ, ИЗД.2</t>
  </si>
  <si>
    <t>Изюмова Е.Н., Мыльник В.В., Мыльник А.В. и др.</t>
  </si>
  <si>
    <t>978-5-369-01333-5</t>
  </si>
  <si>
    <t>38.03.01, 38.03.02, 38.03.03, 38.03.04, 38.03.05, 38.03.06, 38.03.07, 38.04.01, 38.04.02, 38.04.03, 38.04.04, 38.04.05, 38.04.06, 38.04.07, 38.04.08, 38.04.09, 38.05.01, 38.05.02</t>
  </si>
  <si>
    <t>095150.13.01</t>
  </si>
  <si>
    <t>Анализ и диагностика фин.-хоз. деят..: Практ.: Уч.пос. / О.В.Губина - 2 изд.М.:-ФОРУМ:ИНФРА-М, 2024-192с(п)</t>
  </si>
  <si>
    <t>Губина О.В.</t>
  </si>
  <si>
    <t>978-5-8199-0906-5</t>
  </si>
  <si>
    <t>38.03.01, 38.03.02, 38.03.05, 38.03.06</t>
  </si>
  <si>
    <t>Допущено Учебно-методическим объединением по образованию в области производственного менеджмента в качестве учебного пособия для студентов высших учебных заведений, обучающихся по направлениям подготовки 38.03.01 «Экономика», 38.03.05 «Бизнес-информатика», 38.03.06 «Торговое дело»</t>
  </si>
  <si>
    <t>Российская академия народного хозяйства и государственной службы при Президенте РФ, ф-л Среднерусский институт управления</t>
  </si>
  <si>
    <t>288100.06.01</t>
  </si>
  <si>
    <t>Анализ и диагностика фин.-хоз. деятел. предпр.: Уч. / А.П. Гарнов - М.:НИЦ ИНФРА-М, 2022-366с (ВО)(П)</t>
  </si>
  <si>
    <t>АНАЛИЗ И ДИАГНОСТИКА ФИНАНСОВО-ХОЗЯЙСТВЕННОЙ ДЕЯТЕЛЬНОСТИ ПРЕДПРИЯТИЯ</t>
  </si>
  <si>
    <t>Гарнов А.П., Поздняков В.Я., Гарнова В.Ю. и др.</t>
  </si>
  <si>
    <t>978-5-16-009995-8</t>
  </si>
  <si>
    <t>38.03.01, 38.03.02, 38.04.01, 38.04.02, 41.03.06</t>
  </si>
  <si>
    <t>Рекомендовано в качестве учебника для студентов высших учебных заведений, обучающихся по направлениям подготовки 38.03.01 «Экономика» и 38.03.02 «Менеджмент» (квалификация (степень) «бакалавр»)</t>
  </si>
  <si>
    <t>643106.08.01</t>
  </si>
  <si>
    <t>Анализ и диагностика финансово-хоз.деят.предпр.: Уч. / Ю.Г.Чернышева - М.:НИЦ ИНФРА-М,2025 - 421с(П)</t>
  </si>
  <si>
    <t>АНАЛИЗ И ДИАГНОСТИКА ФИНАНСОВО-ХОЗЯЙСТВЕННОЙ ДЕЯТЕЛЬНОСТИ ПРЕДПРИЯТИЯ (ОРГАНИЗАЦИИ)</t>
  </si>
  <si>
    <t>Чернышева Ю.Г.</t>
  </si>
  <si>
    <t>978-5-16-012750-7</t>
  </si>
  <si>
    <t>Рекомендовано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</si>
  <si>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212600.09.01</t>
  </si>
  <si>
    <t>Анализ и диагностика финансово-эконом. сост. орг.: Уч./О.В.Бережная, - 2 изд. - М.:НИЦ ИНФРА-М,2025 - 471с.(ВО)(п)</t>
  </si>
  <si>
    <t>АНАЛИЗ И ДИАГНОСТИКА ФИНАНСОВО-ЭКОНОМИЧЕСКОГО СОСТОЯНИЯ ОРГАНИЗАЦИИ, ИЗД.2</t>
  </si>
  <si>
    <t>Бережная О.В.</t>
  </si>
  <si>
    <t>978-5-16-019108-9</t>
  </si>
  <si>
    <t>38.03.01, 38.03.02, 41.03.06</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</si>
  <si>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080200.62 «Менеджмент» (квалификация (степень) «бакалавр»)</t>
  </si>
  <si>
    <t>Северо-Кавказский федеральный университет</t>
  </si>
  <si>
    <t>734725.03.01</t>
  </si>
  <si>
    <t>Анализ и обоснование финансовых решений: Уч. / Е.Б.Герасимова - М.:НИЦ ИНФРА-М,2024. - 220 с.(ВО)(П)</t>
  </si>
  <si>
    <t>АНАЛИЗ И ОБОСНОВАНИЕ ФИНАНСОВЫХ РЕШЕНИЙ</t>
  </si>
  <si>
    <t>978-5-16-016913-2</t>
  </si>
  <si>
    <t>38.04.01, 38.04.02, 38.04.05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</si>
  <si>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6 от 08.06.2022)</t>
  </si>
  <si>
    <t>651521.09.01</t>
  </si>
  <si>
    <t>Анализ и обработка навигационных измерений: Уч.пос./ Л.Е.Курочкин - М.:Вуз. уч., НИЦ ИНФРА-М,2024 - 128 с.(О)</t>
  </si>
  <si>
    <t>АНАЛИЗ И ОБРАБОТКА НАВИГАЦИОННЫХ ИЗМЕРЕНИЙ</t>
  </si>
  <si>
    <t>Курочкин Л.Е.</t>
  </si>
  <si>
    <t>978-5-9558-0564-1</t>
  </si>
  <si>
    <t>26.03.01, 26.03.02, 26.05.01, 26.05.02, 26.05.03, 26.05.04, 26.05.05, 26.05.06, 26.05.07</t>
  </si>
  <si>
    <t>703680.04.01</t>
  </si>
  <si>
    <t>Анализ и прогноз загрязнений окруж. среды: Уч. / В.В.Стрельников-М.:НИЦ ИНФРА-М,2024.-339 с.(ВО)(П)</t>
  </si>
  <si>
    <t>АНАЛИЗ И ПРОГНОЗ ЗАГРЯЗНЕНИЙ ОКРУЖАЮЩЕЙ СРЕДЫ</t>
  </si>
  <si>
    <t>Стрельников В.В., Чернышева Н.В.</t>
  </si>
  <si>
    <t>978-5-16-019347-2</t>
  </si>
  <si>
    <t>05.03.06</t>
  </si>
  <si>
    <t>Допущено Министерством сельского хозяйства Российской Федерации в качестве учебника для студентов высших учебных заведений, обучающихся по направлению подготовки «Экология и природопользование»</t>
  </si>
  <si>
    <t>Кубанский государственный аграрный университет им. И.Т. Трубилина</t>
  </si>
  <si>
    <t>089500.15.01</t>
  </si>
  <si>
    <t>Анализ и управление рисками орг.: Уч.пос. / Н.А.Рыхтикова, - 3 изд. - М.:НИЦ ИНФРА-М,2025 - 248 с.(П)</t>
  </si>
  <si>
    <t>АНАЛИЗ И УПРАВЛЕНИЕ РИСКАМИ ОРГАНИЗАЦИИ, ИЗД.3</t>
  </si>
  <si>
    <t>Рыхтикова Н.А.</t>
  </si>
  <si>
    <t>978-5-16-013163-4</t>
  </si>
  <si>
    <t>38.03.02, 38.04.02</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</si>
  <si>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</si>
  <si>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702851.03.01</t>
  </si>
  <si>
    <t>Анализ причин повреждений судовых тех. средств: Уч.пос./ Ю.Г.Дайнего-М.:НИЦ ИНФРА-М,2024.-70с(ВО)(О)</t>
  </si>
  <si>
    <t>АНАЛИЗ ПРИЧИН ПОВРЕЖДЕНИЙ СУДОВЫХ ТЕХНИЧЕСКИХ СРЕДСТВ</t>
  </si>
  <si>
    <t>Дайнего Ю.Г.</t>
  </si>
  <si>
    <t>Военное образование (ЧВВМУ им. Нахимова)</t>
  </si>
  <si>
    <t>978-5-16-014962-2</t>
  </si>
  <si>
    <t>26.02.02, 26.02.05, 26.03.02</t>
  </si>
  <si>
    <t>Рекомендовано экспертным советом ЧВВМУ имени П.С. Нахимова в качестве учебного пособия по дисциплине «Анализ причин повреждений судовых технических средств». Предназначено для студентов специальности 26.05.06 «Эксплуатация судовых энергетических установок»</t>
  </si>
  <si>
    <t>ЧЕРНОМОРСКОЕ ВЫСШЕЕ ВОЕННО-МОРСКОЕ УЧИЛИЩЕ ИМЕНИ П.С.НАХИМОВА, ЧВВМУ</t>
  </si>
  <si>
    <t>044200.16.01</t>
  </si>
  <si>
    <t>Анализ произв.-фин. деят. сельск. хоз. предпр.: Уч. / Г.В. Савицкая - 3 изд.-ИНФРА-М,2024-368с.(СПО)</t>
  </si>
  <si>
    <t>АНАЛИЗ ПРОИЗВОДСТВЕННО-ФИНАНСОВОЙ ДЕЯТЕЛЬНОСТИ СЕЛЬСКОХОЗЯЙСТВЕННЫХ ПРЕДПРИЯТИЙ, ИЗД.3</t>
  </si>
  <si>
    <t>Савицкая Г. В.</t>
  </si>
  <si>
    <t>978-5-16-004282-4</t>
  </si>
  <si>
    <t>19.02.11, 19.02.12, 35.01.27, 35.02.05, 35.02.07, 35.02.16, 38.02.01, 38.02.06, 38.02.08</t>
  </si>
  <si>
    <t>Рекомендовано Учебно-методическим советом по среднему профессиональному образованию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t>
  </si>
  <si>
    <t>0307</t>
  </si>
  <si>
    <t>659135.03.01</t>
  </si>
  <si>
    <t>Анализ производ.-хоз. деят. строит. организаций: Уч. / В.М.Серов-М.:НИЦ ИНФРА-М,2023.-302 с..(ВО)(П)</t>
  </si>
  <si>
    <t>АНАЛИЗ ПРОИЗВОДСТВЕННО-ХОЗЯЙСТВЕННОЙ ДЕЯТЕЛЬНОСТИ СТРОИТЕЛЬНЫХ ОРГАНИЗАЦИЙ</t>
  </si>
  <si>
    <t>Серов В.М.</t>
  </si>
  <si>
    <t>978-5-16-013837-4</t>
  </si>
  <si>
    <t>08.03.01, 38.03.01, 38.03.02</t>
  </si>
  <si>
    <t>Рекомендован в качестве учебника для студентов высших учебных заведений (уровень подготовки «Бакалавр»), обучающихся по направлениям подготовки 38.03.01 «Экономика» (профиль «Экономика предприятий и организаций»), 38.03.02 «Менеджмент» (профиль «Производственный менеджмент»)</t>
  </si>
  <si>
    <t>Государственный университет управления</t>
  </si>
  <si>
    <t>711168.05.01</t>
  </si>
  <si>
    <t>Анализ производственно-хоз. деят.и строительных орг.: Уч. / В.М.Серов - М.:НИЦ ИНФРА-М,2025 - 302с(П)</t>
  </si>
  <si>
    <t>978-5-16-015322-3</t>
  </si>
  <si>
    <t>38.02.01, 38.02.02, 38.02.03, 38.02.06, 38.02.07, 38.02.08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</si>
  <si>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08.02.01 «Строительство и эксплуатация зданий и сооружений» (протокол № 5 от 11.03.2019)</t>
  </si>
  <si>
    <t>155050.10.01</t>
  </si>
  <si>
    <t>Анализ фин. сост. и фин.результ. предпр. структур: Уч.пос. / И.Т.Абдукаримов - М.:НИЦ ИНФРА-М,2023-214с.(о)</t>
  </si>
  <si>
    <t>АНАЛИЗ ФИНАНСОВОГО СОСТОЯНИЯ И ФИНАНСОВЫХ РЕЗУЛЬТАТОВ ПРЕДПРИНИМАТЕЛЬСКИХ СТРУКТУР</t>
  </si>
  <si>
    <t>Абдукаримов И. Т., Беспалов М. В.</t>
  </si>
  <si>
    <t>978-5-16-006404-8</t>
  </si>
  <si>
    <t>38.04.01</t>
  </si>
  <si>
    <t>Рекомендовано в качестве учебного пособия для студентов вузов, обучающиеся по направлениям подготовки 38.03.01 "Экономика", 38.03.02 "Менеджмент" (квалификация (степень) "бакалавр")</t>
  </si>
  <si>
    <t>Тамбовский государственный университет им. Г.Р. Державина</t>
  </si>
  <si>
    <t>079690.17.01</t>
  </si>
  <si>
    <t>Анализ фин.-хоз.деятельности предпр.: Уч.пос. / М.В.Мельник - 3 изд. - М.:Форум,НИЦ ИНФРА-М,2025 - 208с(п)</t>
  </si>
  <si>
    <t>АНАЛИЗ ФИНАНСОВО-ХОЗЯЙСТВЕННОЙ ДЕЯТЕЛЬНОСТИ ПРЕДПРИЯТИЯ, ИЗД.3</t>
  </si>
  <si>
    <t>Мельник М.В., Герасимова Е.Б.</t>
  </si>
  <si>
    <t>978-5-00091-425-0</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</si>
  <si>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«Мировая экономика», «Налоги с физических лиц»</t>
  </si>
  <si>
    <t>0317</t>
  </si>
  <si>
    <t>293800.07.01</t>
  </si>
  <si>
    <t>Анализ финанс.-хоз. деят. коммерческих орг.: Уч.пос. / И.В.Кобелева,- 2изд.-М.:ИНФРА-М,2024.-292с(ВО)(п)</t>
  </si>
  <si>
    <t>АНАЛИЗ ФИНАНСОВО-ХОЗЯЙСТВЕННОЙ ДЕЯТЕЛЬНОСТИ КОММЕРЧЕСКИХ ОРГАНИЗАЦИЙ, ИЗД.2</t>
  </si>
  <si>
    <t>Кобелева И.В., Ивашина Н.С.</t>
  </si>
  <si>
    <t>978-5-16-019570-4</t>
  </si>
  <si>
    <t>38.03.02, 41.03.06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</si>
  <si>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</si>
  <si>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Международный инновационный университет</t>
  </si>
  <si>
    <t>0219</t>
  </si>
  <si>
    <t>297800.12.01</t>
  </si>
  <si>
    <t>Анализ финансовой отчет., составл. по МСФО: Уч. / Н.С.Пласкова - 3 изд. - М.:Вуз.уч.,НИЦ ИНФРА-М,2025 - 276 с.(П)</t>
  </si>
  <si>
    <t>АНАЛИЗ ФИНАНСОВОЙ ОТЧЕТНОСТИ,  СОСТАВЛЕННОЙ ПО МСФО, ИЗД.3</t>
  </si>
  <si>
    <t>Пласкова Н.С.</t>
  </si>
  <si>
    <t>978-5-16-016377-2</t>
  </si>
  <si>
    <t>38.04.01, 38.04.08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</si>
  <si>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 (протокол № 9 от 28.09.2020)</t>
  </si>
  <si>
    <t>0321</t>
  </si>
  <si>
    <t>АКАДЕМУС-2020, Победитель</t>
  </si>
  <si>
    <t>297800.07.01</t>
  </si>
  <si>
    <t>Анализ финансовой отчетности,  составл. по МСФО: Уч./ Н.С.Пласкова,-2 изд.-М.:Вуз. уч.,НИЦ ИНФРА-М,2020-269с.(П)</t>
  </si>
  <si>
    <t>АНАЛИЗ ФИНАНСОВОЙ ОТЧЕТНОСТИ,  СОСТАВЛЕННОЙ ПО МСФО, ИЗД.2</t>
  </si>
  <si>
    <t>978-5-9558-0489-7</t>
  </si>
  <si>
    <t>766502.05.01</t>
  </si>
  <si>
    <t>Анализ финансовой отчетности: Уч. / Е.В.Никифорова - М.:НИЦ ИНФРА-М,2024. - 211 с.(ВО)(п)</t>
  </si>
  <si>
    <t>АНАЛИЗ ФИНАНСОВОЙ ОТЧЕТНОСТИ</t>
  </si>
  <si>
    <t>Никифорова Е.В., Боровицкая М.В., Куприянова Л.М. и др.</t>
  </si>
  <si>
    <t>978-5-16-018591-0</t>
  </si>
  <si>
    <t>38.03.01, 38.03.02, 38.03.04, 38.03.06, 38.03.10, 38.04.02, 38.05.01, 38.05.02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</si>
  <si>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8 от 19.10.2022)</t>
  </si>
  <si>
    <t>082650.19.01</t>
  </si>
  <si>
    <t>Анализ финансовой отчетности: Уч. / Под ред. Вахрушиной М.А. - 4 изд.-М.:НИЦ ИНФРА-М,2024-434с(П)</t>
  </si>
  <si>
    <t>АНАЛИЗ ФИНАНСОВОЙ ОТЧЕТНОСТИ, ИЗД.4</t>
  </si>
  <si>
    <t>Вахрушина М.А., Антонова О.В., Друцкая М.В. и др.</t>
  </si>
  <si>
    <t>978-5-16-018431-9</t>
  </si>
  <si>
    <t>38.03.01, 38.03.02, 38.04.08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</si>
  <si>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10 от 27.05.2019)</t>
  </si>
  <si>
    <t>0419</t>
  </si>
  <si>
    <t>082650.12.01</t>
  </si>
  <si>
    <t>Анализ финансовой отчетности: Уч. / Под ред. Вахрушиной М.А.-3 изд-М.:Вуз.уч.,НИЦ ИНФРА-М,2019-432с</t>
  </si>
  <si>
    <t>АНАЛИЗ ФИНАНСОВОЙ ОТЧЕТНОСТИ, ИЗД.3</t>
  </si>
  <si>
    <t>Вахрушина М. А., Пласкова Н. С.</t>
  </si>
  <si>
    <t>978-5-9558-0436-1</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</si>
  <si>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"Бухгалтерский учет, анализ и аудит"</t>
  </si>
  <si>
    <t>766874.02.01</t>
  </si>
  <si>
    <t>Анализ финансовой отчетности: Уч. / Ю.И.Сигидов.-М.:НИЦ ИНФРА-М,2023.-356 с.(ВО: Бакалавр.)(п)</t>
  </si>
  <si>
    <t>Сигидов Ю.И., Мороз Н.Ю., Оксанич Е.А. и др.</t>
  </si>
  <si>
    <t>978-5-16-017338-2</t>
  </si>
  <si>
    <t>38.03.01, 38.03.02, 38.03.04, 38.03.05, 38.03.06, 38.03.07, 38.03.10, 38.05.01, 38.05.02</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</si>
  <si>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38.03.01 «Экономика»</t>
  </si>
  <si>
    <t>685066.04.01</t>
  </si>
  <si>
    <t>Анализ финансовой устойчивости банка: Уч. / Е.Б.Герасимова - М.:НИЦ ИНФРА-М,2024 - 366 с.-(ВО)(П)</t>
  </si>
  <si>
    <t>АНАЛИЗ ФИНАНСОВОЙ УСТОЙЧИВОСТИ БАНКА</t>
  </si>
  <si>
    <t>978-5-16-014227-2</t>
  </si>
  <si>
    <t>38.03.01, 38.03.02, 38.04.02, 38.04.08</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</si>
  <si>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38.04.08 «Финансы и кредит» (квалификация (степень) «магистр»)</t>
  </si>
  <si>
    <t>730651.06.01</t>
  </si>
  <si>
    <t>Анализ финансово-хоз. деят. Практ.: Уч.пос. / А.М.Фридман - М.:ИЦ РИОР, НИЦ ИНФРА-М,2025. - 204 с.(СПО)(П)</t>
  </si>
  <si>
    <t>АНАЛИЗ ФИНАНСОВО-ХОЗЯЙСТВЕННОЙ ДЕЯТЕЛЬНОСТИ. ПРАКТИКУМ</t>
  </si>
  <si>
    <t>978-5-369-01860-6</t>
  </si>
  <si>
    <t>083000.17.01</t>
  </si>
  <si>
    <t>Анализ финансово-хоз. деят. Практ.: Уч.пос. / О.В.Губина, - 3 изд. - М.:НИЦ ИНФРА-М,2025. - 198 с.(П)</t>
  </si>
  <si>
    <t>АНАЛИЗ ФИНАНСОВО-ХОЗЯЙСТВЕННОЙ ДЕЯТЕЛЬНОСТИ. ПРАКТИКУМ, ИЗД.3</t>
  </si>
  <si>
    <t>Губина О.В., Губин В.Е.</t>
  </si>
  <si>
    <t>978-5-16-016858-6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</si>
  <si>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38.02.07 «Банковское дело» (протокол № 2 от 09.02.2022)</t>
  </si>
  <si>
    <t>219700.07.01</t>
  </si>
  <si>
    <t>Анализ финансово-хоз. деят. предпр.: Уч. / Под ред. Усенко Л.Н. - М.:НИЦ ИНФРА-М,2025. - 624 с.(ВО)(п)</t>
  </si>
  <si>
    <t>АНАЛИЗ ФИНАНСОВО-ХОЗЯЙСТВЕННОЙ ДЕЯТЕЛЬНОСТИ ПРЕДПРИЯТИЯ</t>
  </si>
  <si>
    <t>Чернышева Ю.Г., Удалова З.В., Гончарова Л.В. и др.</t>
  </si>
  <si>
    <t>978-5-16-016173-0</t>
  </si>
  <si>
    <t>055050.15.01</t>
  </si>
  <si>
    <t>Анализ финансово-хоз. деят. предпр.: Уч.пос. / А.А.Канке-2 изд.-М.:ИД Форум, НИЦ ИНФРА-М,2024-288с.(СПО)(о)</t>
  </si>
  <si>
    <t>АНАЛИЗ ФИНАНСОВО-ХОЗЯЙСТВЕННОЙ ДЕЯТЕЛЬНОСТИ ПРЕДПРИЯТИЯ, ИЗД.2</t>
  </si>
  <si>
    <t>Канке А.А., Кошевая И.П.</t>
  </si>
  <si>
    <t>978-5-8199-0914-0</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</si>
  <si>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</si>
  <si>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0205</t>
  </si>
  <si>
    <t>705331.03.01</t>
  </si>
  <si>
    <t>Анализ финансово-хоз. деят.: Уч.пос. / Т.М.Голубева - М.:НИЦ ИНФРА-М,2025 - 269 с.(СПО)(П)</t>
  </si>
  <si>
    <t>АНАЛИЗ ФИНАНСОВО-ХОЗЯЙСТВЕННОЙ ДЕЯТЕЛЬНОСТИ</t>
  </si>
  <si>
    <t>Голубева Т.М.</t>
  </si>
  <si>
    <t>978-5-16-016097-9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</si>
  <si>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20.10.2021)</t>
  </si>
  <si>
    <t>Московский образовательный комплекс ЗАПАД</t>
  </si>
  <si>
    <t>293800.04.01</t>
  </si>
  <si>
    <t>Анализ финансово-хоз. деят.коммерческих орг.: Уч.пос. / И.В.Кобелева - М.:НИЦ ИНФРА-М,2018-224с.(о)</t>
  </si>
  <si>
    <t>АНАЛИЗ ФИНАНСОВО-ХОЗЯЙСТВЕННОЙ ДЕЯТЕЛЬНОСТИ КОММЕРЧЕСКИХ ОРГАНИЗАЦИЙ</t>
  </si>
  <si>
    <t>978-5-16-010078-4</t>
  </si>
  <si>
    <t>Рекомедовано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</si>
  <si>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083000.16.01</t>
  </si>
  <si>
    <t>Анализ финансово-хоз.деят. Практ.: Уч.пос. / О.В.Губина -  2 изд. - М.:ИД ФОРУМ, НИЦ ИНФРА-М,2021-192с(П)</t>
  </si>
  <si>
    <t>АНАЛИЗ ФИНАНСОВО-ХОЗЯЙСТВЕННОЙ ДЕЯТЕЛЬНОСТИ. ПРАКТИКУМ, ИЗД.2</t>
  </si>
  <si>
    <t>Губина О. В., Губин В. Е.</t>
  </si>
  <si>
    <t>978-5-8199-0731-3</t>
  </si>
  <si>
    <t>Допущено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</si>
  <si>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0211</t>
  </si>
  <si>
    <t>077050.14.01</t>
  </si>
  <si>
    <t>Анализ финансово-хоз.деят.: Уч. / В.Е.Губин - 2 изд. - М.:ИД ФОРУМ, НИЦ ИНФРА-М,2024 - 335 с.(П)</t>
  </si>
  <si>
    <t>АНАЛИЗ ФИНАНСОВО-ХОЗЯЙСТВЕННОЙ ДЕЯТЕЛЬНОСТИ, ИЗД.2</t>
  </si>
  <si>
    <t>978-5-8199-0710-8</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</si>
  <si>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</si>
  <si>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682818.05.01</t>
  </si>
  <si>
    <t>Анализ финансово-хозяйственной деят. коммерч. орг.: Уч.пос. / И.В.Кобелева-М.:НИЦ ИНФРА-М,2025-256с(п)</t>
  </si>
  <si>
    <t>978-5-16-013880-0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</si>
  <si>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t>
  </si>
  <si>
    <t>826558.01.01</t>
  </si>
  <si>
    <t>Анализ финансово-хозяйственной деят. предпр.: Уч. / П.Ф.Аскеров. - М.:НИЦ ИНФРА-М,2025. - 235 с.(ВО)(п)</t>
  </si>
  <si>
    <t>Аскеров П.Ф., Кибиров Х.Г., Аскеров П.Ф.</t>
  </si>
  <si>
    <t>978-5-16-020201-3</t>
  </si>
  <si>
    <t>38.03.01, 38.03.02, 38.03.04, 38.05.02</t>
  </si>
  <si>
    <t>Февраль, 2025</t>
  </si>
  <si>
    <t>734727.03.01</t>
  </si>
  <si>
    <t>Анализ финансово-хозяйственной деятельности: Уч. / Е.Б.Герасимова-М.:НИЦ ИНФРА-М,2021.-262 с.(СПО (ФинУ ТМ))(П)</t>
  </si>
  <si>
    <t>978-5-16-016738-1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</si>
  <si>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2 от 17.02.2021)</t>
  </si>
  <si>
    <t>013119.22.01</t>
  </si>
  <si>
    <t>Анализ хоз. деятельности предпр. АПК: Уч. / Г.В.Савицкая - 8 изд. - М.: НИЦ ИНФРА-М,2025 - 519 с.(ВО)(П)</t>
  </si>
  <si>
    <t>АНАЛИЗ ХОЗЯЙСТВЕННОЙ ДЕЯТЕЛЬНОСТИ ПРЕДПРИЯТИЙ АПК, ИЗД.8</t>
  </si>
  <si>
    <t>978-5-16-009303-1</t>
  </si>
  <si>
    <t>35.03.04, 35.03.05, 35.03.06, 35.03.07, 38.03.01</t>
  </si>
  <si>
    <t>0811</t>
  </si>
  <si>
    <t>030500.31.01</t>
  </si>
  <si>
    <t>Анализ хоз. деятельности предприятия: Уч. / Г.В.Савицкая - 6 изд. - М.:НИЦ ИНФРА-М,2025 - 378с.(СПО)(П)</t>
  </si>
  <si>
    <t>АНАЛИЗ ХОЗЯЙСТВЕННОЙ ДЕЯТЕЛЬНОСТИ ПРЕДПРИЯТИЯ, ИЗД.6</t>
  </si>
  <si>
    <t>978-5-16-006707-0</t>
  </si>
  <si>
    <t>Утверждено Министерством образования республики Беларусь в качестве учебника для учащихся средних специальных учебных заведений по специальностям «Бухгалтерский учет, анализ и контроль», «Экономика и управление персоналом»</t>
  </si>
  <si>
    <t>0613</t>
  </si>
  <si>
    <t>153800.11.01</t>
  </si>
  <si>
    <t>Анализ, оценка и финансир. инновац. проектов: Уч.пос. / В.К.Проскурин, - 2 изд.-М.:Вуз. уч. НИЦ ИНФРА-М,2024.-136 с.(о)</t>
  </si>
  <si>
    <t>АНАЛИЗ, ОЦЕНКА И ФИНАНСИРОВАНИЕ ИННОВАЦИОННЫХ ПРОЕКТОВ, ИЗД.2</t>
  </si>
  <si>
    <t>Проскурин В.К.</t>
  </si>
  <si>
    <t>978-5-9558-0486-6</t>
  </si>
  <si>
    <t>02.04.03, 05.03.03, 15.04.04, 19.04.02, 22.04.02, 23.04.03, 25.04.01, 25.04.02, 25.04.03, 25.04.04, 27.03.05, 27.04.01, 27.04.05, 27.04.07, 28.04.02, 38.03.01, 38.03.02, 38.03.04, 38.04.02, 38.04.04</t>
  </si>
  <si>
    <t>785363.05.01</t>
  </si>
  <si>
    <t>Аналитико-синтетическая переработка информ.: теор. основы..: Уч.пос. / О.Л.Лаврик-М.:НИЦ ИНФРА-М,2024-210 с.(ВО)(п)</t>
  </si>
  <si>
    <t>АНАЛИТИКО-СИНТЕТИЧЕСКАЯ ПЕРЕРАБОТКА ИНФОРМАЦИИ: ТЕОРЕТИЧЕСКИЕ ОСНОВЫ, АННОТИРОВАНИЕ, РЕФЕРИРОВАНИЕ, КОНСПЕКТИРОВАНИЕ И ПОДГОТОВКА ДАЙДЖЕСТОВ И ОБЗОРОВ</t>
  </si>
  <si>
    <t>Лаврик О.Л.</t>
  </si>
  <si>
    <t>978-5-16-017864-6</t>
  </si>
  <si>
    <t>51.03.06, 51.04.06</t>
  </si>
  <si>
    <t>Новосибирский государственный педагогический университет</t>
  </si>
  <si>
    <t>Всероссийский Конкурс РБА «Лучшая профкнига года»-2024, Победитель, II место</t>
  </si>
  <si>
    <t>391500.07.01</t>
  </si>
  <si>
    <t>Аналитическая геометрия в...: Уч.пос. / А.С.Бортаковский, - 2 изд. - М.:НИЦ ИНФРА-М,2025 - 496 с.(ВО)</t>
  </si>
  <si>
    <t>АНАЛИТИЧЕСКАЯ ГЕОМЕТРИЯ В ПРИМЕРАХ И ЗАДАЧАХ, ИЗД.2</t>
  </si>
  <si>
    <t>Бортаковский А.С., Пантелеев А.В.</t>
  </si>
  <si>
    <t>978-5-16-011202-2</t>
  </si>
  <si>
    <t>01.03.02, 01.03.04, 01.04.02, 01.04.04, 02.03.02, 03.03.02, 04.03.02</t>
  </si>
  <si>
    <t>Рекомендовано Учебно-методическим объединением высших учебных заведений Российской Федерации по образованию в области авиации, ракетостроения и космоса в качестве учебного пособия для студентов высших технических учебных заведений</t>
  </si>
  <si>
    <t>Московский авиационный институт (национальный исследовательский университет)</t>
  </si>
  <si>
    <t>229100.08.01</t>
  </si>
  <si>
    <t>Аналитическая химия. Практ.: Уч.пос. / А.И.Жебентяев - М.:НИЦ ИНФРА-М; Мн.:Нов.знание,2025 - 429 с.(ВО)(п)</t>
  </si>
  <si>
    <t>АНАЛИТИЧЕСКАЯ ХИМИЯ. ПРАКТИКУМ</t>
  </si>
  <si>
    <t>Жебентяев А.И., Жерносек А.К., Талуть И.Е.</t>
  </si>
  <si>
    <t>978-5-16-009043-6</t>
  </si>
  <si>
    <t>04.03.01, 31.05.01, 31.05.02, 31.05.03, 33.05.01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</si>
  <si>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«Фармация», «Химия (фармацевтическая деятельность)»</t>
  </si>
  <si>
    <t>Витебский государственный медицинский университет</t>
  </si>
  <si>
    <t>146015.12.01</t>
  </si>
  <si>
    <t>Аналитическая химия. Хим. методы..: Уч.пос. / А.И.Жебентяев - 2 изд.-М.:НИЦ ИНФРА-М,2025-542 с.(ВО)(П)</t>
  </si>
  <si>
    <t>АНАЛИТИЧЕСКАЯ ХИМИЯ. ХИМИЧЕСКИЕ МЕТОДЫ АНАЛИЗА, ИЗД.2</t>
  </si>
  <si>
    <t>Жебентяев А. И., Жерносек А. К., Талуть И. Е.</t>
  </si>
  <si>
    <t>978-5-16-004685-3</t>
  </si>
  <si>
    <t>Химические науки</t>
  </si>
  <si>
    <t>04.03.01, 04.03.02, 04.05.01, 18.03.01, 18.03.02, 18.04.01, 18.05.01, 18.05.02, 19.03.01, 19.03.02, 19.03.03, 19.03.04, 30.05.01, 31.05.01, 31.05.02, 31.05.03, 33.05.01</t>
  </si>
  <si>
    <t>Допущено Министерством образования Республики Беларусь в качестве учебного пособия для студентов высших учебных заведений по фармацевтическим и химическим специальностям</t>
  </si>
  <si>
    <t>426750.06.01</t>
  </si>
  <si>
    <t>Аналитическая химия. Хроматограф. методы: Уч.пос. /А.И.Жебентяев -М:НИЦ ИНФРА-М; Нов.знание,2024-206с(ВО) (п)</t>
  </si>
  <si>
    <t>АНАЛИТИЧЕСКАЯ ХИМИЯ. ХРОМАТОГРАФИЧЕСКИЕ МЕТОДЫ АНАЛИЗА</t>
  </si>
  <si>
    <t>Жебентяев А. И.</t>
  </si>
  <si>
    <t>978-5-16-006615-8</t>
  </si>
  <si>
    <t>04.03.01, 31.05.01, 31.05.02, 31.05.03, 44.03.05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</si>
  <si>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"Фармация" и химическим специальностям</t>
  </si>
  <si>
    <t>842429.01.01</t>
  </si>
  <si>
    <t>Аналитическая химия: Уч. / Н.И.Мовчан - М.:НИЦ ИНФРА-М,2025 - 394 с.(СПО)(п)</t>
  </si>
  <si>
    <t>АНАЛИТИЧЕСКАЯ ХИМИЯ</t>
  </si>
  <si>
    <t>Мовчан Н.И., Романова Р.Г., Горбунова Т.С. и др.</t>
  </si>
  <si>
    <t>978-5-16-020343-0</t>
  </si>
  <si>
    <t>13.02.05, 18.01.34, 18.01.35, 18.02.01, 18.02.04, 18.02.07, 18.02.09, 18.02.11, 18.02.12, 18.02.13, 18.02.14, 18.02.15, 20.02.01, 21.02.09, 22.02.08, 31.02.01, 33.02.01, 35.02.18</t>
  </si>
  <si>
    <t>Казанский национальный исследовательский технологический университет</t>
  </si>
  <si>
    <t>247200.12.01</t>
  </si>
  <si>
    <t>Аналитическая химия: Уч. / Н.И.Мовчан и др. - М.:НИЦ ИНФРА-М,2025 - 394 с.-(ВО: БакалавР.)(П)</t>
  </si>
  <si>
    <t>978-5-16-009311-6</t>
  </si>
  <si>
    <t>18.03.01, 18.04.01, 22.03.01, 22.04.01, 31.05.01, 31.05.02, 31.05.03, 33.05.01, 44.03.05</t>
  </si>
  <si>
    <t>Рекомендовано ФГБОУ ВО «Российский химико-технологический университет им. Д.И. Менделеева» в качестве учебника для студентов высших учебных заведений, обучающихся по направлениям подготовки 22.03.01 «Материаловедение и технологии материалов» и 18.03.01 «Химическая технология»</t>
  </si>
  <si>
    <t>665642.02.01</t>
  </si>
  <si>
    <t>Аналитические модели в скважинной термометрии: Уч.пос. / А.Ш.Рамазанов-М.:НИЦ ИНФРА-М,2022.-172 с.(ВО)(П)</t>
  </si>
  <si>
    <t>АНАЛИТИЧЕСКИЕ МОДЕЛИ В СКВАЖИННОЙ ТЕРМОМЕТРИИ</t>
  </si>
  <si>
    <t>Рамазанов А.Ш.</t>
  </si>
  <si>
    <t>978-5-16-017043-5</t>
  </si>
  <si>
    <t>21.04.01, 21.05.03</t>
  </si>
  <si>
    <t>437350.08.01</t>
  </si>
  <si>
    <t>Аналитические решения параболич. и гиперболич..: Уч. пос./И.В.Кудинов - М:НИЦ ИНФРА-М,2023-391с.(ВО) (п)</t>
  </si>
  <si>
    <t>АНАЛИТИЧЕСКИЕ РЕШЕНИЯ ПАРАБОЛИЧЕСКИХ И ГИПЕРБОЛИЧЕСКИХ УРАВНЕНИЙ ТЕПЛОМАССОПЕРЕНОСА</t>
  </si>
  <si>
    <t>Кудинов И. В., Кудинов В. А., Карташов Э. М.</t>
  </si>
  <si>
    <t>978-5-16-006724-7</t>
  </si>
  <si>
    <t>13.03.01, 13.04.01, 20.03.01</t>
  </si>
  <si>
    <t>Рекомендовано Научно-методическим советом по теплотехнике Министерства образования и науки Российской Федерации в качестве учебного пособия для студентов высших учебных заведений, обучающихся по направлению подготовки бакалавров и магистров в области</t>
  </si>
  <si>
    <t>Самарский государственный технический университет</t>
  </si>
  <si>
    <t>486800.04.01</t>
  </si>
  <si>
    <t>Аналитический контроль в произв.кожи и меха: Уч.пос./А.Г.Данилкович -М.:НИЦ ИНФРА-М,2020.-176 с.(ВО)(О)</t>
  </si>
  <si>
    <t>АНАЛИТИЧЕСКИЙ КОНТРОЛЬ В ПРОИЗВОДСТВЕ КОЖИ И МЕХА: ЛАБОРАТОРНЫЙ ПРАКТИКУМ</t>
  </si>
  <si>
    <t>Данилкович  А.Г., Чурсин В.И.</t>
  </si>
  <si>
    <t>978-5-16-011741-6</t>
  </si>
  <si>
    <t>29.03.01</t>
  </si>
  <si>
    <t>Допущено УМОЛегпром для студентов высших учебных заведений, обучающихся по направлению 29.03.01 'Технология изделий легкой промышленности"</t>
  </si>
  <si>
    <t>Российский государственный университет им. А.Н. Косыгина</t>
  </si>
  <si>
    <t>407850.11.01</t>
  </si>
  <si>
    <t>Аналитический маркетинг: что должен знать маркет.: Уч.пос. / Т.Н.Рыжикова - М.:НИЦ ИНФРА-М,2025-288 с.(ВО)(п)</t>
  </si>
  <si>
    <t>АНАЛИТИЧЕСКИЙ МАРКЕТИНГ: ЧТО ДОЛЖЕН ЗНАТЬ МАРКЕТИНГОВЫЙ АНАЛИТИК</t>
  </si>
  <si>
    <t>Рыжикова Т.Н.</t>
  </si>
  <si>
    <t>978-5-16-019774-6</t>
  </si>
  <si>
    <t>38.03.01, 38.03.02, 38.04.01, 38.04.02, 41.03.06, 44.03.01, 44.03.05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</si>
  <si>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«Менеджмент» (профиль — «Маркетинг») (квалификация (степень) — «бакалавр»)</t>
  </si>
  <si>
    <t>682819.06.01</t>
  </si>
  <si>
    <t>Анатомия животных: Уч. / В.И.Боев и др. - М.:НИЦ ИНФРА-М,2025 - 352 с.-(СПО)(П)</t>
  </si>
  <si>
    <t>АНАТОМИЯ ЖИВОТНЫХ</t>
  </si>
  <si>
    <t>Боев В.И., Журавлева И.А., Брагин Г.И.</t>
  </si>
  <si>
    <t>978-5-16-013881-7</t>
  </si>
  <si>
    <t>Биологические науки</t>
  </si>
  <si>
    <t>35.02.09, 35.02.14, 35.02.15, 36.01.02, 36.01.03, 36.01.05, 36.02.01, 36.02.03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</si>
  <si>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36.02.01 «Ветеринария», 36.02.02 «Зоотехния» (протокол № 3 от 11.02.2019)</t>
  </si>
  <si>
    <t>Российский биотехнологический университет (РОСБИОТЕХ)</t>
  </si>
  <si>
    <t>209400.14.01</t>
  </si>
  <si>
    <t>Анатомия животных: Уч. / В.И.Боев и др. - М.:НИЦ ИНФРА-М,2025. -  352 с.(ВО)(п)</t>
  </si>
  <si>
    <t>978-5-16-019738-8</t>
  </si>
  <si>
    <t>36.03.02, 36.04.02</t>
  </si>
  <si>
    <t>Допущено УМО вузов РФ по агрономическому образованию в качестве учебника для подготовки бакалавров, обучающихся по направлению 35.03.07 «Технология производства и переработки сельскохозяйственной продукции»</t>
  </si>
  <si>
    <t>475900.07.01</t>
  </si>
  <si>
    <t>Анатомия и возрастная физиология: Уч. / Г.Н.Тюрикова - М.:НИЦ ИНФРА-М,2024 - 178 с.(ВО)(о)</t>
  </si>
  <si>
    <t>АНАТОМИЯ И ВОЗРАСТНАЯ ФИЗИОЛОГИЯ</t>
  </si>
  <si>
    <t>ТюриковаГ.Н., ТюриковаЮ.Б.</t>
  </si>
  <si>
    <t>978-5-16-019665-7</t>
  </si>
  <si>
    <t>44.03.01, 44.03.02, 44.03.05</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</si>
  <si>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</si>
  <si>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682820.05.01</t>
  </si>
  <si>
    <t>Анатомия и возрастная физиология: Уч. / Г.Н.Тюрикова - М.:НИЦ ИНФРА-М,2024 - 178 с.(СПО)(П)</t>
  </si>
  <si>
    <t>Тюрикова Г.Н., Тюрикова Ю.Б.</t>
  </si>
  <si>
    <t>978-5-16-013882-4</t>
  </si>
  <si>
    <t>12.02.08, 29.01.04, 31.02.01, 31.02.02, 31.02.03, 31.02.04, 31.02.05, 31.02.06, 32.02.01, 33.02.01, 34.02.01, 34.02.02, 42.02.12, 43.02.02, 43.02.04, 43.02.17, 44.02.01, 44.02.02, 44.02.03, 44.02.04, 44.02.05, 44.02.06, 49.02.01, 49.02.02, 53.02.01, 54.02.01, 54.02.02, 54.02.03, 54.02.06, 54.02.07, 49.02.03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</si>
  <si>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t>
  </si>
  <si>
    <t>682821.05.01</t>
  </si>
  <si>
    <t>Анатомия и гистология сельск. животных: Практ.: Уч.пос./В.И.Боев-2 изд.-М.:НИЦ ИНФРА-М,2024-330с(СПО)</t>
  </si>
  <si>
    <t>АНАТОМИЯ И ГИСТОЛОГИЯ СЕЛЬСКОХОЗЯЙСТВЕННЫХ ЖИВОТНЫХ: ПРАКТИКУМ, ИЗД.2</t>
  </si>
  <si>
    <t>Боев В.И., Писменская В.Н.</t>
  </si>
  <si>
    <t>978-5-16-013883-1</t>
  </si>
  <si>
    <t>19.02.11, 19.02.12, 35.02.09, 35.02.15, 36.01.02, 36.01.03, 36.01.05, 36.02.01, 36.02.03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</si>
  <si>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35.02.06 «Технология производства и переработки сельскохозяйственной продукции»</t>
  </si>
  <si>
    <t>276800.07.01</t>
  </si>
  <si>
    <t>Анатомия и гистология сельскохоз.животных: Практ: Уч. пос./В.И.Боев-2 изд-НИЦ ИНФРА-М,2024-330с-(ВО:Бак.)(п)</t>
  </si>
  <si>
    <t>В.И.Боев, В.Н.Писменская</t>
  </si>
  <si>
    <t>978-5-16-009779-4</t>
  </si>
  <si>
    <t>36.03.02</t>
  </si>
  <si>
    <t>252400.15.01</t>
  </si>
  <si>
    <t>Анатомия и физиология гомеостаза: Уч.пос. /Ю.Н.Самко - М.:НИЦ ИНФРА-М,2025 - 94 с(Клиническая практ.)(о)</t>
  </si>
  <si>
    <t>АНАТОМИЯ И ФИЗИОЛОГИЯ ГОМЕОСТАЗА</t>
  </si>
  <si>
    <t>Самко Ю.Н.</t>
  </si>
  <si>
    <t>Клиническая практика</t>
  </si>
  <si>
    <t>978-5-16-009383-3</t>
  </si>
  <si>
    <t>31.05.01, 31.05.02, 31.05.03, 34.03.01, 44.03.05</t>
  </si>
  <si>
    <t>Рекомендовано в качестве учебного пособия для студентов высших учебных заведений, обучающихся по направлениям подготовки 31.05.01 «Лечебное дело», 31.05.02 «Педиатрия», 31.05.03 «Стоматология» (квалификация «врач (врач-педиатр; врач-стоматолог) общей практики»)</t>
  </si>
  <si>
    <t>Российский национальный исследовательский медицинский университет им. Н.И. Пирогова</t>
  </si>
  <si>
    <t>318800.09.01</t>
  </si>
  <si>
    <t>Анатомия и физиология дом. животных: Уч. / Под ред. Максимова В.И.-М.:НИЦ ИНФРА-М,2024.-600 с.(СПО)(П)</t>
  </si>
  <si>
    <t>АНАТОМИЯ И ФИЗИОЛОГИЯ ДОМАШНИХ ЖИВОТНЫХ</t>
  </si>
  <si>
    <t>Максимов В.И., Слесаренко Н.А., Селезнев С.Б. и др.</t>
  </si>
  <si>
    <t>Среднее профессиональное образование (КрГАУ)</t>
  </si>
  <si>
    <t>978-5-16-010415-7</t>
  </si>
  <si>
    <t>35.02.09, 35.02.15, 36.01.02, 36.01.03, 36.01.05, 36.02.01, 36.02.03</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</si>
  <si>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образовательных учреждений среднего профессионального образования по специальностям 36.02.01 «Ветеринария» и 36.02.02 «Зоотехния»</t>
  </si>
  <si>
    <t>Московская государственная академия ветеринарной медицины и биотехнологии - МВА им. К.И. Скрябина</t>
  </si>
  <si>
    <t>785125.02.01</t>
  </si>
  <si>
    <t>Анатомия и физиология человека: Уч. / А.И.Тюкавин - М.:НИЦ ИНФРА-М,2025 - 424 с.(СПО)(п)</t>
  </si>
  <si>
    <t>АНАТОМИЯ И ФИЗИОЛОГИЯ ЧЕЛОВЕКА</t>
  </si>
  <si>
    <t>Тюкавин А.И., Гайворонский И.В., Майстренко В.А. и др.</t>
  </si>
  <si>
    <t>978-5-16-018329-9</t>
  </si>
  <si>
    <t>12.02.08, 29.01.04, 31.02.01, 31.02.02, 31.02.03, 31.02.04, 31.02.05, 31.02.06, 32.02.01, 33.02.01, 34.02.01, 34.02.02, 42.02.12, 43.02.04, 43.02.17, 44.02.01, 44.02.02, 44.02.03, 44.02.04, 44.02.05, 44.02.06, 49.02.01, 49.02.02, 53.02.01, 54.02.03, 54.02.06, 49.02.03</t>
  </si>
  <si>
    <t>Санкт-Петербургский государственный химико-фармацевтический университет</t>
  </si>
  <si>
    <t>220400.12.01</t>
  </si>
  <si>
    <t>Анатомия человека: Уч.пос. / И.М.Прищепа - М:ИНФРА-М,2025 - 459 с.(ВО:Бакалавр.)(п)</t>
  </si>
  <si>
    <t>АНАТОМИЯ ЧЕЛОВЕКА</t>
  </si>
  <si>
    <t>Прищепа И. М.</t>
  </si>
  <si>
    <t>Новое знание</t>
  </si>
  <si>
    <t>978-985-475-579-3</t>
  </si>
  <si>
    <t>34.03.01, 44.03.05, 49.03.01, 49.03.02, 52.03.01</t>
  </si>
  <si>
    <t>Допущено Министерством образования Республики Беларусь в качестве учебного пособия для студентов учреждений высшего образования по биологическим специальностям</t>
  </si>
  <si>
    <t>Витебский государственный университет им. П.М. Машерова</t>
  </si>
  <si>
    <t>790399.01.01</t>
  </si>
  <si>
    <t>Английский  яз. для банковского дела: Уч. / О.Н.Анюшенкова-М.:НИЦ ИНФРА-М,2023.-379 с.(СПО)(П)</t>
  </si>
  <si>
    <t>АНГЛИЙСКИЙ  ЯЗЫК ДЛЯ БАНКОВСКОГО ДЕЛА (ENGLISH FOR BANKING)</t>
  </si>
  <si>
    <t>978-5-16-018037-3</t>
  </si>
  <si>
    <t>38.02.07</t>
  </si>
  <si>
    <t>465250.09.01</t>
  </si>
  <si>
    <t>Английский в индустрии моды: Уч.пос. / Е.В.Казакова - М.:Вуз. уч.,НИЦ ИНФРА-М,2024 - 224 с.(ВО)(п)</t>
  </si>
  <si>
    <t>АНГЛИЙСКИЙ В ИНДУСТРИИ МОДЫ</t>
  </si>
  <si>
    <t>Казакова Е.В., Дружкова С.Г., Юрасова Н.К.</t>
  </si>
  <si>
    <t>978-5-9558-0366-1</t>
  </si>
  <si>
    <t>29.03.01, 29.03.05, 45.03.02, 54.03.01, 54.03.03</t>
  </si>
  <si>
    <t>Допущено к изданию с грифом УМО вузов России по образованию в области технологии, конструирования изделий легкой промышленности в качестве учебного пособия по иностранному языку для бакалавров и магистров высших учебных заведений, обучающихся по направлениям подготовки «Технология изделий легкой промышленности» и «Конструирование изделий легкой промышленности»</t>
  </si>
  <si>
    <t>682822.07.01</t>
  </si>
  <si>
    <t>Английский в индустрии моды: Уч.пос. / Е.В.Казакова - М.:Вуз.уч.,НИЦ ИНФРА-М,2025 - 224 с.(СПО)(П)</t>
  </si>
  <si>
    <t>978-5-9558-0616-7</t>
  </si>
  <si>
    <t>54.01.02, 54.01.20, 54.02.01, 54.02.02, 54.02.03, 54.02.04, 54.02.06, 54.02.07, 54.02.08</t>
  </si>
  <si>
    <t>Рекомендовано 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29.02.01«Конструирование,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t>
  </si>
  <si>
    <t>431870.14.01</t>
  </si>
  <si>
    <t>Английский для аспирантов: Уч.пос. / Е.И.Белякова - 2 изд. - М.:Вуз. уч.,НИЦ ИНФРА-М,2025 - 188 с.(П)</t>
  </si>
  <si>
    <t>АНГЛИЙСКИЙ ДЛЯ АСПИРАНТОВ, ИЗД.2</t>
  </si>
  <si>
    <t>Белякова Е. И.</t>
  </si>
  <si>
    <t>978-5-9558-0306-7</t>
  </si>
  <si>
    <t>Профессиональное образование / ВО - Кадры высшей квалификации / Аспирантура</t>
  </si>
  <si>
    <t>37.06.01, 38.06.01, 40.03.01, 44.03.01, 44.03.05, 44.06.01</t>
  </si>
  <si>
    <t>704992.08.01</t>
  </si>
  <si>
    <t>Английский для деревообр., плотников и столяров: Уч./Е.А.Агеева - М.:ИЦ РИОР, НИЦ ИНФРА-М,2025 - 132 с(П)</t>
  </si>
  <si>
    <t>АНГЛИЙСКИЙ ДЛЯ ДЕРЕВООБРАБОТЧИКОВ,ПЛОТНИКОВ И СТОЛЯРОВ</t>
  </si>
  <si>
    <t>Агеева Е.А.</t>
  </si>
  <si>
    <t>978-5-369-01821-7</t>
  </si>
  <si>
    <t>08.01.04, 08.01.05, 08.01.08, 08.01.24, 08.01.27, 08.01.28, 35.01.07, 35.01.08, 35.01.28, 35.01.29, 35.02.02, 35.02.18</t>
  </si>
  <si>
    <t>Московский индустриальный колледж</t>
  </si>
  <si>
    <t>728109.01.01</t>
  </si>
  <si>
    <t>Английский для землеустроителей: English for..: Уч. / Н.А.Титаренко - М.:НИЦ ИНФРА-М,2024.-563 с.(ВО)(п)</t>
  </si>
  <si>
    <t>АНГЛИЙСКИЙ ДЛЯ ЗЕМЛЕУСТРОИТЕЛЕЙ: ENGLISH FOR LAND USE PLANNERS</t>
  </si>
  <si>
    <t>Титаренко Н.А.</t>
  </si>
  <si>
    <t>978-5-16-016028-3</t>
  </si>
  <si>
    <t>21.03.02, 21.04.02</t>
  </si>
  <si>
    <t>Государственный университет по землеустройству</t>
  </si>
  <si>
    <t>818467.01.01</t>
  </si>
  <si>
    <t>Английский для матем. = English for Mathem.: Уч.пос. / Т.Н.Свиридова-М.:НИЦ ИНФРА-М, СФУ,2024-184с(ВО)(п)</t>
  </si>
  <si>
    <t>АНГЛИЙСКИЙ ДЛЯ МАТЕМАТИКОВ (ENGLISH FOR MATHEMATICIANS)</t>
  </si>
  <si>
    <t>Свиридова Т.Н., Шелепова М.Г.</t>
  </si>
  <si>
    <t>978-5-16-019515-5</t>
  </si>
  <si>
    <t>01.03.01, 01.03.02, 02.03.01</t>
  </si>
  <si>
    <t>684901.07.01</t>
  </si>
  <si>
    <t>Английский яз. в ситуациях повседнев.дел.общ.: Уч.пос./З.В.Маньковская-М.:НИЦ ИНФРА-М,2024-223с(СПО)</t>
  </si>
  <si>
    <t>АНГЛИЙСКИЙ ЯЗЫК В СИТУАЦИЯХ ПОВСЕДНЕВНОГО ДЕЛОВОГО ОБЩЕНИЯ</t>
  </si>
  <si>
    <t>Маньковская З.В.</t>
  </si>
  <si>
    <t>978-5-16-014149-7</t>
  </si>
  <si>
    <t>00.01.02, 00.02.02, 38.02.01, 38.02.02, 38.02.03, 38.02.06, 38.02.07, 38.02.08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</si>
  <si>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УГС 38.02.00 «Экономика и управление»</t>
  </si>
  <si>
    <t>Московский государственный технический университет им. Н.Э. Баумана, Мытищинский ф-л</t>
  </si>
  <si>
    <t>798665.01.01</t>
  </si>
  <si>
    <t>Английский яз. в сфере гос. и муниципал. управ.: Уч. / А.П.Шмакова - М.:НИЦ ИНФРА-М,2025. - 294 с.(ВО)(п)</t>
  </si>
  <si>
    <t>АНГЛИЙСКИЙ ЯЗЫК В СФЕРЕ ГОСУДАРСТВЕННОГО И МУНИЦИПАЛЬНОГО УПРАВЛЕНИЯ</t>
  </si>
  <si>
    <t>Шмакова А.П.</t>
  </si>
  <si>
    <t>978-5-16-018880-5</t>
  </si>
  <si>
    <t>38.03.04</t>
  </si>
  <si>
    <t>Финансовый университет при Правительстве Российской Федерации, Омский ф-л</t>
  </si>
  <si>
    <t>683242.05.01</t>
  </si>
  <si>
    <t>Английский яз. в сфере юриспруденции: Уч. / Э.Г.Куликова - М.:Юр.Норма, НИЦ ИНФРА-М,2025 - 208 с.(СПО)(П)</t>
  </si>
  <si>
    <t>АНГЛИЙСКИЙ ЯЗЫК В СФЕРЕ ЮРИСПРУДЕНЦИИ</t>
  </si>
  <si>
    <t>Куликова Э.Г., Солдатов Б.Г., Солдатова Н.В.</t>
  </si>
  <si>
    <t>978-5-91768-926-5</t>
  </si>
  <si>
    <t>Ростовский институт народного хозяйства</t>
  </si>
  <si>
    <t>808641.02.01</t>
  </si>
  <si>
    <t>Английский яз. для автомобильной индустрии: Уч. / О.Н.Анюшенкова - М.:НИЦ ИНФРА-М,2025. - 460 с.(п)</t>
  </si>
  <si>
    <t>АНГЛИЙСКИЙ ЯЗЫК ДЛЯ АВТОМОБИЛЬНОЙ ИНДУСТРИИ = ENGLISH FOR THE AUTO INDUSTRY</t>
  </si>
  <si>
    <t>978-5-16-018903-1</t>
  </si>
  <si>
    <t>23.01.17, 23.02.01, 23.02.02, 23.02.03, 23.02.04, 23.02.05</t>
  </si>
  <si>
    <t>154050.09.01</t>
  </si>
  <si>
    <t>Английский яз. для для спец. в области упр. качеством...: Уч.пос. / Б.Герасимов - М.:Форум,2025 - 160 с.(о)</t>
  </si>
  <si>
    <t>ENGLISH FOR QUALITY MANAGEMENT AND STANDARDIZATION = АНГЛИЙСКИЙ ЯЗЫК ДЛЯ СТУДЕНТОВ В ОБЛАСТИ УПРАВЛЕНИЯ КАЧЕСТВОМ И СТАНДАРТИЗАЦИИ</t>
  </si>
  <si>
    <t>Герасимов Б. И., Гливенкова О. А., Гунина Н. А., Никульшина Н. Л.</t>
  </si>
  <si>
    <t>978-5-00091-636-0</t>
  </si>
  <si>
    <t>27.03.01, 27.03.02, 27.03.03, 27.03.04, 27.03.05</t>
  </si>
  <si>
    <t>765163.02.01</t>
  </si>
  <si>
    <t>Английский яз. для железнодорожников: Уч. / О.Н.Анюшенкова - М.:НИЦ ИНФРА-М,2025. - 503 с.(СПО (ФинУн))(п)</t>
  </si>
  <si>
    <t>АНГЛИЙСКИЙ ЯЗЫК ДЛЯ ЖЕЛЕЗНОДОРОЖНИКОВ</t>
  </si>
  <si>
    <t>978-5-16-017443-3</t>
  </si>
  <si>
    <t>23.01.14, 23.01.16, 23.02.01, 23.02.05, 23.02.06, 23.02.08</t>
  </si>
  <si>
    <t>СПО-2022, Победитель, I место</t>
  </si>
  <si>
    <t>300300.04.01</t>
  </si>
  <si>
    <t>Английский яз. для индустрии гостеприимства: Уч.пос. / К.В.Ишимцева - Альфа-М,НИЦ ИНФРА-М,2017-192с</t>
  </si>
  <si>
    <t>АНГЛИЙСКИЙ ЯЗЫК ДЛЯ ИНДУСТРИИ ГОСТЕПРИИМСТВА</t>
  </si>
  <si>
    <t>Ишимцева К. В., Мотинова Е. Н., Темякова В. В.</t>
  </si>
  <si>
    <t>Альфа-М</t>
  </si>
  <si>
    <t>ПРОФИль</t>
  </si>
  <si>
    <t>978-5-98281-409-8</t>
  </si>
  <si>
    <t>43.02.06, 43.02.11, 43.02.16</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</si>
  <si>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t>
  </si>
  <si>
    <t>Колледж Московского гуманитарного университета</t>
  </si>
  <si>
    <t>300300.15.01</t>
  </si>
  <si>
    <t>Английский яз. для индустрии гостеприимства: Уч.пос. /К.В.Кабанова - 2 изд. - М.:ИНФРА-М,2025 - 190 c.(СПО)</t>
  </si>
  <si>
    <t>АНГЛИЙСКИЙ ЯЗЫК ДЛЯ ИНДУСТРИИ ГОСТЕПРИИМСТВА, ИЗД.2</t>
  </si>
  <si>
    <t>Кабанова К.В., Мотинова Е.Н., Темякова В.В.</t>
  </si>
  <si>
    <t>978-5-16-013648-6</t>
  </si>
  <si>
    <t>837757.01.01</t>
  </si>
  <si>
    <t>Английский яз. для спец. лесного хоз.: Уч. / О.Н.Анюшенкова - М.:НИЦ ИНФРА-М,2025. - 395 с.(СПО)(п)</t>
  </si>
  <si>
    <t>АНГЛИЙСКИЙ ЯЗЫК ДЛЯ СПЕЦИАЛИСТОВ ЛЕСНОГО ХОЗЯЙСТВА</t>
  </si>
  <si>
    <t>978-5-16-020251-8</t>
  </si>
  <si>
    <t>35.02.01, 35.02.12</t>
  </si>
  <si>
    <t>834752.01.01</t>
  </si>
  <si>
    <t>Английский яз. для спец. по библ.- информ. деят.: Уч. / О.Н.Анюшенкова - М.:НИЦ ИНФРА-М,2025 - 399 с.(СПО)(п)</t>
  </si>
  <si>
    <t>АНГЛИЙСКИЙ ЯЗЫК ДЛЯ СПЕЦИАЛИСТОВ ПО БИБЛИОТЕЧНО-ИНФОРМАЦИОННОЙ ДЕЯТЕЛЬНОСТИ</t>
  </si>
  <si>
    <t>978-5-16-020185-6</t>
  </si>
  <si>
    <t>42.00.00, 51.02.03</t>
  </si>
  <si>
    <t>834751.01.01</t>
  </si>
  <si>
    <t>Английский яз. для спец. по рекламе и продвижению: Уч. / О.Н.Анюшенкова - М.:НИЦ ИНФРА-М,2025. - 403 с.(п)</t>
  </si>
  <si>
    <t>АНГЛИЙСКИЙ ЯЗЫК ДЛЯ СПЕЦИАЛИСТОВ ПО РЕКЛАМЕ И ПРОДВИЖЕНИЮ (ENGLISH FOR ADVERTISING AND PROMOTION)</t>
  </si>
  <si>
    <t>978-5-16-020137-5</t>
  </si>
  <si>
    <t>42.01.01, 42.02.01</t>
  </si>
  <si>
    <t>787445.01.01</t>
  </si>
  <si>
    <t>Английский яз. для телекоммуникационных технологий: Уч. / О.Н.Анюшенкова-М.:НИЦ ИНФРА-М,2024.-283 с.(п)</t>
  </si>
  <si>
    <t>АНГЛИЙСКИЙ ЯЗЫК ДЛЯ ТЕЛЕКОММУНИКАЦИОННЫХ ТЕХНОЛОГИЙ = ENGLISH FOR TELECOMMUNICATION TECHNOLOGIES</t>
  </si>
  <si>
    <t>978-5-16-018065-6</t>
  </si>
  <si>
    <t>09.02.01, 09.02.06, 09.02.07, 11.01.01, 11.01.02, 11.01.05, 11.01.08, 11.01.11, 11.02.03, 11.02.06, 11.02.07, 11.02.09, 11.02.11, 11.02.12, 11.02.13, 11.02.14, 11.02.15, 11.02.16, 11.02.17, 11.02.18, 11.02.19</t>
  </si>
  <si>
    <t>786374.01.01</t>
  </si>
  <si>
    <t>Английский яз. Менеджмент (English for Management): Уч.пос./ О.Н.Анюшенкова-М.:НИЦ ИНФРА-М,2024-426с.(ВО)(п)</t>
  </si>
  <si>
    <t>АНГЛИЙСКИЙ ЯЗЫК. МЕНЕДЖМЕНТ (ENGLISH FOR MANAGEMENT)</t>
  </si>
  <si>
    <t>Высшее образование (Финансовый университет-105 лет)</t>
  </si>
  <si>
    <t>978-5-16-017899-8</t>
  </si>
  <si>
    <t>00.03.02, 38.03.02</t>
  </si>
  <si>
    <t>686785.08.01</t>
  </si>
  <si>
    <t>Английский яз. Стилистика. The Power of Stylistics: Уч.пос. / Г.И.Лушникова-М.:НИЦ ИНФРА-М,2024-189 с.(ВО)(п)</t>
  </si>
  <si>
    <t>АНГЛИЙСКИЙ ЯЗЫК. СТИЛИСТИКА. THE POWER OF STYLISTICS</t>
  </si>
  <si>
    <t>Лушникова Г.И., Осадчая Т.Ю.</t>
  </si>
  <si>
    <t>Высшее образование (КрымФУ)</t>
  </si>
  <si>
    <t>978-5-16-019317-5</t>
  </si>
  <si>
    <t>44.03.01, 45.03.01, 45.03.02, 45.03.03, 45.03.04, 45.04.01, 45.04.02, 45.04.03, 45.04.04, 45.05.01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</si>
  <si>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45.03.01 «Филология» (квалификация (степень) «бакалавр»)</t>
  </si>
  <si>
    <t>765144.05.01</t>
  </si>
  <si>
    <t>Английский яз.: гостиничное дело и обществ. питание: Уч. / О.Н.Анюшенкова - М.:НИЦ ИНФРА-М,2025 - 358 с.(П)</t>
  </si>
  <si>
    <t>АНГЛИЙСКИЙ ЯЗЫК: ГОСТИНИЧНОЕ ДЕЛО И ОБЩЕСТВЕННОЕ ПИТАНИЕ</t>
  </si>
  <si>
    <t>978-5-16-017241-5</t>
  </si>
  <si>
    <t>43.02.01, 43.02.11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</si>
  <si>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43.02.14 «Гостиничное дело», 43.02.01 «Организация обслуживания в общественном питании», 43.02.11 «Гостиничный сервис» (протокол № 10 от 15.12.2021)</t>
  </si>
  <si>
    <t>467400.07.01</t>
  </si>
  <si>
    <t>Английский яз.для раб.в туризме..: Уч. / А.П.Миньяр-Белоручева - 2 изд.-М.:Форум, НИЦ ИНФРА-М,2024-192 с.(О)</t>
  </si>
  <si>
    <t>АНГЛИЙСКИЙ ЯЗЫК ДЛЯ РАБОТЫ В ТУРИЗМЕ = WORKING IN TOURISM, ИЗД.2</t>
  </si>
  <si>
    <t>Миньяр-Белоручева А.П., Покровская М.Е.</t>
  </si>
  <si>
    <t>978-5-00091-529-5</t>
  </si>
  <si>
    <t>43.03.02</t>
  </si>
  <si>
    <t>Допущено Учебно-методическим объединением по классическому университетскому образованию в качестве учебника по английскому языку для студентов высших учебных заведений, обучающихся по направлению подготовки 46.03.01 «История»</t>
  </si>
  <si>
    <t>Московский государственный университет им. М.В. Ломоносова, исторический факультет</t>
  </si>
  <si>
    <t>682801.06.01</t>
  </si>
  <si>
    <t>Английский яз.для студ., изуч. турист.бизнес: Уч.пос. / А.П.Миньяр-Белоручева-М.:Форум,НИЦ ИНФРА-М,2024-302-(СПО)(П)</t>
  </si>
  <si>
    <t>ENGLISH FOR STUDENTS IN TOURISM MANAGEMENT. АНГЛИЙСКИЙ ЯЗЫК ДЛЯ СТУДЕНТОВ, ИЗУЧАЮЩИХ ТУРИСТИЧЕСКИЙ БИЗНЕС</t>
  </si>
  <si>
    <t>978-5-00091-533-2</t>
  </si>
  <si>
    <t>43.02.11, 43.02.16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</si>
  <si>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43.02.10 «Туризм», 43.02.11 «Гостиничный сервис»</t>
  </si>
  <si>
    <t>819342.01.01</t>
  </si>
  <si>
    <t>Английский язык (гостиничное дело): Уч. / О.Н.Анюшенкова - М.:НИЦ ИНФРА-М,2024. - 467 с.(СПО (ФинУн))(п)</t>
  </si>
  <si>
    <t>АНГЛИЙСКИЙ ЯЗЫК (ГОСТИНИЧНОЕ ДЕЛО)</t>
  </si>
  <si>
    <t>978-5-16-019616-9</t>
  </si>
  <si>
    <t>43.02.11</t>
  </si>
  <si>
    <t>807968.01.01</t>
  </si>
  <si>
    <t>Английский язык в  машиностроении: Уч. / О.Н.Анюшенкова-М.:НИЦ ИНФРА-М,2023.-340 с..-(СПО (ФинУн))(п)</t>
  </si>
  <si>
    <t>АНГЛИЙСКИЙ ЯЗЫК В  МАШИНОСТРОЕНИИ (ENGLISH FOR MECHANICAL ENGINEERING)</t>
  </si>
  <si>
    <t>978-5-16-018813-3</t>
  </si>
  <si>
    <t>15.01.29, 15.02.01, 15.02.07, 15.02.16, 15.02.17, 15.02.18</t>
  </si>
  <si>
    <t>265500.05.01</t>
  </si>
  <si>
    <t>Английский язык в менеджменте: Уч.пос. / Н.М. Дюканова - М.: НИЦ ИНФРА-М, 2024. - 256 с.(ВО) (п)</t>
  </si>
  <si>
    <t>АНГЛИЙСКИЙ ЯЗЫК В МЕНЕДЖМЕНТЕ</t>
  </si>
  <si>
    <t>Дюканова Н.М.</t>
  </si>
  <si>
    <t>978-5-16-009576-9</t>
  </si>
  <si>
    <t>Рекомендовано в качестве учебного пособия для студентов высших учебных заведений, обучающихся по направлению 38.03.02 "Менеджмент"</t>
  </si>
  <si>
    <t>431900.08.01</t>
  </si>
  <si>
    <t>Английский язык в научной среде..: Уч.пос. / Л.М.Гальчук - 2 изд.-М.:Вуз.уч.,НИЦ ИНФРА-М,2025-80 с.(О)</t>
  </si>
  <si>
    <t>АНГЛИЙСКИЙ ЯЗЫК В НАУЧНОЙ СРЕДЕ: ПРАКТИКУМ УСТНОЙ РЕЧИ, ИЗД.2</t>
  </si>
  <si>
    <t>Гальчук Л.М.</t>
  </si>
  <si>
    <t>978-5-9558-0463-7</t>
  </si>
  <si>
    <t>00.04.16, 45.04.01, 45.04.02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</si>
  <si>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английскому языку для аспирантов, магистрантов и научных работников</t>
  </si>
  <si>
    <t>Новосибирский государственный университет экономики и управления</t>
  </si>
  <si>
    <t>774791.02.01</t>
  </si>
  <si>
    <t>Английский язык в проф. сфере: маркетинг...: Уч.пос. / Под ред. Дубинина - М. : ИНФРА-М, 2024 - 234 с.(П)</t>
  </si>
  <si>
    <t>АНГЛИЙСКИЙ ЯЗЫК В ПРОФЕССИОНАЛЬНОЙ СФЕРЕ: МАРКЕТИНГ И ЛОГИСТИКА = ENGLISH FOR SPECIFIC PURPOSES: MARKETING AND LOGISTICS</t>
  </si>
  <si>
    <t>Белогаш М.А., Дубинина Г.А., Кондрахина Н.Г. и др.</t>
  </si>
  <si>
    <t>978-5-16-018311-4</t>
  </si>
  <si>
    <t>00.03.02, 38.03.01, 38.03.02, 38.04.02</t>
  </si>
  <si>
    <t>Рекомендовано Советом Департамента английского языка и профессиональной коммуникации Финансового университета при Правительстве Российской Федерации</t>
  </si>
  <si>
    <t>170550.10.01</t>
  </si>
  <si>
    <t>Английский язык в ситуациях повседнев. дел.общения: Уч.пос./З.В.Маньковская -М:НИЦ ИНФРА-М,2024-223с</t>
  </si>
  <si>
    <t>978-5-16-005065-2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</si>
  <si>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английскому языкудля студентов, обучающихся по специальности «Перевод и переводоведение» направления «Лингвистика и межкультурная коммуникация»</t>
  </si>
  <si>
    <t>804944.01.01</t>
  </si>
  <si>
    <t>Английский язык в сфере строит. (English for Students of Civil...): Уч. / О.Н.Анюшенкова-М.:ИНФРА-М,2024-371с.(п)</t>
  </si>
  <si>
    <t>АНГЛИЙСКИЙ ЯЗЫК В СФЕРЕ СТРОИТЕЛЬСТВА (ENGLISH FOR STUDENTS OF CIVIL ENGINEERING AND CONSTRUCTION)</t>
  </si>
  <si>
    <t>978-5-16-018711-2</t>
  </si>
  <si>
    <t>08.01.04, 08.01.24, 08.01.27, 08.01.28, 08.01.29, 08.01.30, 08.01.31, 08.01.32, 08.02.01, 08.02.02, 08.02.03, 08.02.04, 08.02.08, 08.02.09, 08.02.12, 08.02.13, 08.02.14, 08.02.15</t>
  </si>
  <si>
    <t>633323.09.01</t>
  </si>
  <si>
    <t>Английский язык в сфере юриспруденции: Уч. / Э.Г.Куликова - М.:Юр.Норма, НИЦ ИНФРА-М,2025.-208 с.(О)</t>
  </si>
  <si>
    <t>978-5-91768-744-5</t>
  </si>
  <si>
    <t>179600.19.01</t>
  </si>
  <si>
    <t>Английский язык для архитекторов: Уч. / И.С.Ивянская - 2 изд. - М.:КУРС,НИЦ ИНФРА-М,2023 - 400с.(О)</t>
  </si>
  <si>
    <t>АНГЛИЙСКИЙ ЯЗЫК ДЛЯ АРХИТЕКТОРОВ, ИЗД.2</t>
  </si>
  <si>
    <t>Ивянская И.С.</t>
  </si>
  <si>
    <t>978-5-905554-38-4</t>
  </si>
  <si>
    <t>07.02.01, 07.03.01, 07.03.04, 07.04.01, 07.04.04</t>
  </si>
  <si>
    <t>Допущено УМО по образоанию в области архитектуры в качестве учебного пособия для студентов вузов обучающихся по направлению «Архитектура»</t>
  </si>
  <si>
    <t>Информационно-технологический центр Москомархитектуры</t>
  </si>
  <si>
    <t>833304.01.01</t>
  </si>
  <si>
    <t>Английский язык для индустрии моды: Уч. / О.Н.Анюшенкова - М.:НИЦ ИНФРА-М,2025. - 524 с.(СПО (ФинУн))(п)</t>
  </si>
  <si>
    <t>АНГЛИЙСКИЙ ЯЗЫК ДЛЯ ИНДУСТРИИ МОДЫ</t>
  </si>
  <si>
    <t>978-5-16-020092-7</t>
  </si>
  <si>
    <t>29.02.02, 29.02.05, 29.02.10</t>
  </si>
  <si>
    <t>845540.01.01</t>
  </si>
  <si>
    <t>Английский язык для криминалистов..: Уч. / О.Н.Анюшенкова - М.:НИЦ ИНФРА-М,2025. - 527 с.(ВО)(п)</t>
  </si>
  <si>
    <t>АНГЛИЙСКИЙ ЯЗЫК ДЛЯ КРИМИНАЛИСТОВ (ENGLISH FOR FORENSIC SCIENCE)</t>
  </si>
  <si>
    <t>978-5-16-020526-7</t>
  </si>
  <si>
    <t>АКАДЕМУС-2024, Победитель, II место</t>
  </si>
  <si>
    <t>658925.05.01</t>
  </si>
  <si>
    <t>Английский язык для курсантов военных спец..: Уч.пос. / Т.Г.Мошкина - М.:НИЦ ИНФРА-М, СФУ,2023-140с(О)</t>
  </si>
  <si>
    <t>АНГЛИЙСКИЙ ЯЗЫК ДЛЯ КУРСАНТОВ ВОЕННЫХ СПЕЦИАЛЬНОСТЕЙ РАДИОТЕХНИЧЕСКИХ НАПРАВЛЕНИЙ</t>
  </si>
  <si>
    <t>Мошкина Т.Г., Шагалина О.В.</t>
  </si>
  <si>
    <t>Военное образование (СФУ)</t>
  </si>
  <si>
    <t>978-5-16-017209-5</t>
  </si>
  <si>
    <t>11.03.01, 11.03.02, 11.03.03, 11.03.04, 11.05.01, 11.05.02, 11.05.04</t>
  </si>
  <si>
    <t>Рекомендовано УМО вузов РФ по образованию в области радиотехники, электроники, биомедицинской техники и автоматизации в качестве учебника для студентов высших учебных заведений, обучающихся по специальностям «Проектирование и технология радиоэлектронных средств» и «Проектирование и технология электронно-вычислительных средств» направления 11.03.03 «Конструирование и технология электронных средств»</t>
  </si>
  <si>
    <t>768662.02.01</t>
  </si>
  <si>
    <t>Английский язык для машиностроит. специальностей: Уч. / Г.В.Шевцова-М.:НИЦ ИНФРА-М,2024-266с.(СПО)(п)</t>
  </si>
  <si>
    <t>АНГЛИЙСКИЙ ЯЗЫК ДЛЯ МАШИНОСТРОИТЕЛЬНЫХ СПЕЦИАЛЬНОСТЕЙ</t>
  </si>
  <si>
    <t>Шевцова Г.В., Москалец Л.Е.</t>
  </si>
  <si>
    <t>978-5-16-018397-8</t>
  </si>
  <si>
    <t>15.01.08, 15.01.29, 15.01.35, 15.01.36, 15.01.37, 15.01.38, 15.02.01, 15.02.03, 15.02.04, 15.02.06, 15.02.07, 15.02.09, 15.02.10, 15.02.16, 15.02.17, 15.02.18, 15.02.19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</si>
  <si>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15.00.00 «Машиностроение» (протокол № 1 от 17.01.2023)</t>
  </si>
  <si>
    <t>СПО-2023, Победитель, II место</t>
  </si>
  <si>
    <t>765194.02.01</t>
  </si>
  <si>
    <t>Английский язык для моряков и судостроителей: Уч. / О.Н.Анюшенкова - М.:НИЦ ИНФРА-М,2025 - 782 с.(СПО)(п)</t>
  </si>
  <si>
    <t>АНГЛИЙСКИЙ ЯЗЫК ДЛЯ МОРЯКОВ И СУДОСТРОИТЕЛЕЙ = ENGLISH FOR SEAFARERS AND SHIPBUILDERS</t>
  </si>
  <si>
    <t>978-5-16-017900-1</t>
  </si>
  <si>
    <t>26.01.01, 26.01.02, 26.01.03, 26.02.01, 26.02.02, 26.02.03, 26.02.04, 26.02.05, 26.02.06</t>
  </si>
  <si>
    <t>838716.01.01</t>
  </si>
  <si>
    <t>Английский язык для промыш. рыболовства...: Уч. / О.Н.Анюшенкова - М.:НИЦ ИНФРА-М,2025. - 388 с.(п)</t>
  </si>
  <si>
    <t>АНГЛИЙСКИЙ ЯЗЫК ДЛЯ ПРОМЫШЛЕННОГО РЫБОЛОВСТВА (ENGLISH FOR COMMERCIAL FISHING)</t>
  </si>
  <si>
    <t>978-5-16-020388-1</t>
  </si>
  <si>
    <t>35.02.11</t>
  </si>
  <si>
    <t>819335.01.01</t>
  </si>
  <si>
    <t>Английский язык для психотерапии и консультир.: Уч. / М.В.Мельничук-М.:НИЦ ИНФРА-М,2024.-258 с.(ВО)(п)</t>
  </si>
  <si>
    <t>АНГЛИЙСКИЙ ЯЗЫК ДЛЯ ПСИХОТЕРАПИИ И КОНСУЛЬТИРОВАНИЯ</t>
  </si>
  <si>
    <t>978-5-16-019606-0</t>
  </si>
  <si>
    <t>37.03.01, 37.04.01</t>
  </si>
  <si>
    <t>125950.13.01</t>
  </si>
  <si>
    <t>Английский язык для совр. менедж.: Уч. пос. / З.В.Маньковская - 2 изд. - М.:Форум: ИНФРА-М, 2025 -152 с.(ВО)</t>
  </si>
  <si>
    <t>АНГЛИЙСКИЙ ЯЗЫК ДЛЯ СОВРЕМЕННЫХ МЕНЕДЖЕРОВ, ИЗД.2</t>
  </si>
  <si>
    <t>Маньковская З. В.</t>
  </si>
  <si>
    <t>978-5-91134-975-2</t>
  </si>
  <si>
    <t>38.03.02, 38.03.04, 38.04.02, 38.04.04</t>
  </si>
  <si>
    <t>Рекомендовано Научно-методическим советом по иностранным языкам Мин. обр. и науки РФ в качестве учебного пособия для студентов высших учебных заведений, обучающихся по специальности 080500.68 - Менеджмент</t>
  </si>
  <si>
    <t>838715.01.01</t>
  </si>
  <si>
    <t>Английский язык для спец. лесопарк. хоз..: Уч. / О.Н.Анюшенкова - М.:НИЦ ИНФРА-М,2025. - 422 с.(п)</t>
  </si>
  <si>
    <t>АНГЛИЙСКИЙ ЯЗЫК ДЛЯ СПЕЦИАЛИСТОВ ЛЕСОПАРКОВОГО ХОЗЯЙСТВА (ENGLISH FOR FOREST PARKS)</t>
  </si>
  <si>
    <t>978-5-16-020308-9</t>
  </si>
  <si>
    <t>706166.03.01</t>
  </si>
  <si>
    <t>Английский язык для технических вузов: Уч.пос. / З.В.Маньковская-М.:НИЦ ИНФРА-М,2022-270 с.-(ВО: Бакалавр.)(П)</t>
  </si>
  <si>
    <t>АНГЛИЙСКИЙ ЯЗЫК ДЛЯ ТЕХНИЧЕСКИХ ВУЗОВ</t>
  </si>
  <si>
    <t>978-5-16-015452-7</t>
  </si>
  <si>
    <t>00.03.02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</si>
  <si>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8 от 22.06.2020)</t>
  </si>
  <si>
    <t>690286.07.01</t>
  </si>
  <si>
    <t>Английский язык для технических спец.: Уч.пос. / С.С.Литвинская - М.:НИЦ ИНФРА-М,2025 - 252 с.(СПО)(П)</t>
  </si>
  <si>
    <t>АНГЛИЙСКИЙ ЯЗЫК ДЛЯ ТЕХНИЧЕСКИХ СПЕЦИАЛЬНОСТЕЙ</t>
  </si>
  <si>
    <t>Литвинская С.С.</t>
  </si>
  <si>
    <t>978-5-16-014535-8</t>
  </si>
  <si>
    <t>13.02.13, 23.02.03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</si>
  <si>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13.02.11 «Техническая эксплуатация и обслуживание электрического и электромеханического оборудования (по отраслям)» (протокол №14 от 30.09.2019)</t>
  </si>
  <si>
    <t>Приамурский государственный университет имени Шолом-Алейхема</t>
  </si>
  <si>
    <t>188150.12.01</t>
  </si>
  <si>
    <t>Английский язык для эконом. специал.: Уч.пос. / Л.С.Чикилева - 2 изд. - М.:КУРС,НИЦ ИНФРА-М,2025 - 160 с.(о)</t>
  </si>
  <si>
    <t>АНГЛИЙСКИЙ ЯЗЫК ДЛЯ ЭКОНОМИЧЕСКИХ СПЕЦИАЛЬНОСТЕЙ, ИЗД.2</t>
  </si>
  <si>
    <t>Чикилева Л.С., Матвеева И.В.</t>
  </si>
  <si>
    <t>978-5-905554-71-1</t>
  </si>
  <si>
    <t>Рекомендовано Научно-методическим советом по иностранным языкам Министерства образования и науки РФ в качестве учебного пособия для студентов высших учебных заведений, обучающихся по направлению(38.03.01) «Экономика»</t>
  </si>
  <si>
    <t>633718.06.01</t>
  </si>
  <si>
    <t>Английский язык для экономистов: Уч. / Т.В.Евсюкова и др.-М.:ИЦ РИОР, НИЦ ИНФРА-М,2024-192с.(ВО)(П)</t>
  </si>
  <si>
    <t>АНГЛИЙСКИЙ ЯЗЫК ДЛЯ ЭКОНОМИСТОВ</t>
  </si>
  <si>
    <t>Евсюкова Т.В., Барабанова И.Г., Агабабян С.Р.</t>
  </si>
  <si>
    <t>978-5-369-01600-8</t>
  </si>
  <si>
    <t>00.03.13</t>
  </si>
  <si>
    <t>682933.04.01</t>
  </si>
  <si>
    <t>Английский язык. GUIDES FOR ADVERTISING...: Уч.пос. / А.П.Миньяр-Белоручева- 2 изд.-М.:НИЦ ИНФРА-М,2024-176с</t>
  </si>
  <si>
    <t>АНГЛИЙСКИЙ ЯЗЫК. GUIDES FOR ADVERTISING. РЕКЛАМА В ТУРИЗМЕ, ИЗД.2</t>
  </si>
  <si>
    <t>978-5-16-014100-8</t>
  </si>
  <si>
    <t>42.03.01, 43.03.02, 49.03.03</t>
  </si>
  <si>
    <t>Допущено УМО по классическому университетскому образованию в качестве учебного пособия для студентов вузов, обучающихся по направлению подготовки 43.03.02 «Туризм»</t>
  </si>
  <si>
    <t>838720.01.01</t>
  </si>
  <si>
    <t>Английский язык. Водные биоресурсы и аквакультура..: Уч. / О.Н.Анюшенкова - М.:НИЦ ИНФРА-М,2025. - 415 с.(п)</t>
  </si>
  <si>
    <t>АНГЛИЙСКИЙ ЯЗЫК. ВОДНЫЕ БИОРЕСУРСЫ И АКВАКУЛЬТУРА (ENGLISH FOR AQUATIC BIORESOURCES AND AQUACULTURE)</t>
  </si>
  <si>
    <t>978-5-16-020373-7</t>
  </si>
  <si>
    <t>35.01.18, 35.02.09, 35.02.10</t>
  </si>
  <si>
    <t>848895.01.01</t>
  </si>
  <si>
    <t>Английский язык. Гидроакустика...: Уч. / О.Н.Анюшенкова - М.:НИЦ ИНФРА-М,2025. - 410 с.(ВО)(п)</t>
  </si>
  <si>
    <t>АНГЛИЙСКИЙ ЯЗЫК. ГИДРОАКУСТИКА (ENGLISH FOR HYDROACOUSTICS)</t>
  </si>
  <si>
    <t>978-5-16-020632-5</t>
  </si>
  <si>
    <t>11.03.02, 11.03.03</t>
  </si>
  <si>
    <t>820895.01.01</t>
  </si>
  <si>
    <t>Английский язык. Учебно-познават. сфера общения: Уч.пос. / Н.А.Грищенко-М.:НИЦ ИНФРА-М, СФУ,2024.-126с(ВО)(п)</t>
  </si>
  <si>
    <t>АНГЛИЙСКИЙ ЯЗЫК. УЧЕБНО-ПОЗНАВАТЕЛЬНАЯ СФЕРА ОБЩЕНИЯ</t>
  </si>
  <si>
    <t>Грищенко Н.А., Ершова Е.О., Корниенко В.В. и др.</t>
  </si>
  <si>
    <t>978-5-16-019581-0</t>
  </si>
  <si>
    <t>38.03.02, 38.03.03</t>
  </si>
  <si>
    <t>823864.01.01</t>
  </si>
  <si>
    <t>Английский язык. Финансовый менеджмент: Уч. / О.Н.Анюшенкова - М.:НИЦ ИНФРА-М,2025. - 379 с.(ВО)(п)</t>
  </si>
  <si>
    <t>АНГЛИЙСКИЙ ЯЗЫК. ФИНАНСОВЫЙ МЕНЕДЖМЕНТ. ENGLISH FOR FINANCIAL MANAGEMENT.</t>
  </si>
  <si>
    <t>978-5-16-019799-9</t>
  </si>
  <si>
    <t>38.03.02</t>
  </si>
  <si>
    <t>842918.01.01</t>
  </si>
  <si>
    <t>Английский язык: ветеринария: Уч. / О.Н.Анюшенкова - М.:НИЦ ИНФРА-М,2025. - 455 с.(СПО (ФинУн))(п)</t>
  </si>
  <si>
    <t>АНГЛИЙСКИЙ ЯЗЫК: ВЕТЕРИНАРИЯ</t>
  </si>
  <si>
    <t>978-5-16-020446-8</t>
  </si>
  <si>
    <t>35.01.27, 35.02.14</t>
  </si>
  <si>
    <t>776370.01.01</t>
  </si>
  <si>
    <t>Английский язык: гостиничное дело и...: Уч. / О.Н.Анюшенкова - М.:НИЦ ИНФРА-М,2022 - 358 с.(ВО: Бакалавр.)(П)</t>
  </si>
  <si>
    <t>978-5-16-017599-7</t>
  </si>
  <si>
    <t>19.03.04, 19.04.04, 43.03.03, 43.04.02, 43.04.03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</si>
  <si>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43.03.01 «Сервис», 43.03.03 «Гостиничное дело», 19.03.04 «Технология продукции и организация общественного питания» (квалификация (степень) «бакалавр») (протокол № 10 от 15.12.2021)</t>
  </si>
  <si>
    <t>АКАДЕМУС-2021, Победитель, I место</t>
  </si>
  <si>
    <t>732327.04.01</t>
  </si>
  <si>
    <t>Английский язык: пос. по чтению и переводу / А.З.Измайлов - М.:Магистр, НИЦ ИНФРА-М,2025 - 128 с.(О)</t>
  </si>
  <si>
    <t>АНГЛИЙСКИЙ ЯЗЫК: ПОСОБИЕ ПО ЧТЕНИЮ И ПЕРЕВОДУ</t>
  </si>
  <si>
    <t>Измайлов А.З., Ковалева С.С.</t>
  </si>
  <si>
    <t>978-5-9776-0514-4</t>
  </si>
  <si>
    <t>822505.01.01</t>
  </si>
  <si>
    <t>Английский язык: профес. сфера коммуникации: Уч.пос./Ю.И.Дзись - М.:НИЦ ИНФРА-М, СФУ,2024 -167 с.(ВО (СФУ))(п)</t>
  </si>
  <si>
    <t>АНГЛИЙСКИЙ ЯЗЫК: ПРОФЕССИОНАЛЬНАЯ СФЕРА КОММУНИКАЦИИ</t>
  </si>
  <si>
    <t>Дзись Ю.И., Селихова С.Г., Сидорова Н.А.</t>
  </si>
  <si>
    <t>978-5-16-019693-0</t>
  </si>
  <si>
    <t>41.03.05</t>
  </si>
  <si>
    <t>797594.01.01</t>
  </si>
  <si>
    <t>Английский язык: транспорт...: Уч.пос. / Л.Т.Шариева-М.:НИЦ ИНФРА-М,2024.-160 с.(СПО)(п)</t>
  </si>
  <si>
    <t>АНГЛИЙСКИЙ ЯЗЫК: ТРАНСПОРТНЫЕ СРЕДСТВА, СТРОИТЕЛЬНЫЕ И ДОРОЖНЫЕ МАШИНЫ (ENGLISH. TRANSPORT. ROAD CONSTRUCTION MACHINERY)</t>
  </si>
  <si>
    <t>Шариева Л.Т.</t>
  </si>
  <si>
    <t>978-5-16-018376-3</t>
  </si>
  <si>
    <t>23.01.17, 23.02.01, 23.02.02, 23.02.03, 23.02.04, 23.02.05, 23.02.07</t>
  </si>
  <si>
    <t>Альметьевский политехнический техникум</t>
  </si>
  <si>
    <t>СПО-2023, Победитель, III место</t>
  </si>
  <si>
    <t>066900.13.01</t>
  </si>
  <si>
    <t>Английский язык: Уч. пос. / Н.М.Дюканова. - 2 изд. - М.: НИЦ ИНФРА-М, 2025 - 319 с.(ВО:Бакалавр.) (п)</t>
  </si>
  <si>
    <t>АНГЛИЙСКИЙ ЯЗЫК, ИЗД.2</t>
  </si>
  <si>
    <t>Дюканова Н. М.</t>
  </si>
  <si>
    <t>978-5-16-006254-9</t>
  </si>
  <si>
    <t>381500.06.01</t>
  </si>
  <si>
    <t>Английский язык: Уч.пос. / А.П.Миньяр-Белоручева-3 изд.-М.:Форум, НИЦ ИНФРА-М,2023.-192 с.(ВО: Бакалавр.)(О)</t>
  </si>
  <si>
    <t>АНГЛИЙСКИЙ ЯЗЫК, ИЗД.3</t>
  </si>
  <si>
    <t>Миньяр-Белоручева А.П.</t>
  </si>
  <si>
    <t>978-5-00091-763-3</t>
  </si>
  <si>
    <t>50.03.03, 50.03.04</t>
  </si>
  <si>
    <t>Допущено Учебно-методическим объединением по классическому университетскому образованию в качестве учебного пособия по английскому языку для студентов высших учебных заведений, обучающихся по направлению подготовки 50.03.03 «История искусств»</t>
  </si>
  <si>
    <t>0316</t>
  </si>
  <si>
    <t>384400.05.01</t>
  </si>
  <si>
    <t>Английский язык: Уч.пос. / А.П.Миньяр-Белоручева-3изд.-М.:Форум, НИЦ ИНФРА-М,2023-144с(ВО:Бакалавр.)(О)</t>
  </si>
  <si>
    <t>978-5-00091-525-7</t>
  </si>
  <si>
    <t>07.03.01, 07.03.02, 07.03.03, 07.03.04</t>
  </si>
  <si>
    <t>Допущено Учебно-методическим объединением по классическому университетскому образованию в качестве учебного пособия по английскому языку для студентов высших учебных заведений, обучающихся по направлению  подготовки 50.03.03 «История искусств»</t>
  </si>
  <si>
    <t>339800.04.01</t>
  </si>
  <si>
    <t>Английский язык: Уч.пос. / А.П.Миньяр-Белоручева-М.:Форум,НИЦ ИНФРА-М,2023-304с.(ВО:Бакалавриат)(П)</t>
  </si>
  <si>
    <t>978-5-00091-045-0</t>
  </si>
  <si>
    <t>43.03.02, 49.03.03</t>
  </si>
  <si>
    <t>642931.10.01</t>
  </si>
  <si>
    <t>Английский язык: Уч.пос. / З.В.Маньковская - М.:НИЦ ИНФРА-М,2024 - 200 с.-(СПО)(П)</t>
  </si>
  <si>
    <t>АНГЛИЙСКИЙ ЯЗЫК</t>
  </si>
  <si>
    <t>978-5-16-012363-9</t>
  </si>
  <si>
    <t>00.01.02, 00.02.02</t>
  </si>
  <si>
    <t>Рекомендуется в качестве учебного пособия для использования учебными заведениями, реализующими основную профессиональную образовательную программу СПО социально-экономического профиля на базе основного общего образования с получением среднего общего профессионального образования</t>
  </si>
  <si>
    <t>682824.07.01</t>
  </si>
  <si>
    <t>Английский язык: Уч.пос. / Н.М.Дюканова - 2 изд.- М.:НИЦ ИНФРА-М, 2025 - 319 с.-(СПО)(П)</t>
  </si>
  <si>
    <t>978-5-16-013886-2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</si>
  <si>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t>
  </si>
  <si>
    <t>837762.01.01</t>
  </si>
  <si>
    <t>Английский язык: эксплуатация беспилотных...: Уч. / О.Н.Анюшенкова - М.:НИЦ ИНФРА-М,2025. - 393 с.(п)</t>
  </si>
  <si>
    <t>АНГЛИЙСКИЙ ЯЗЫК: ЭКСПЛУАТАЦИЯ БЕСПИЛОТНЫХ АВИАЦИОННЫХ СИСТЕМ</t>
  </si>
  <si>
    <t>978-5-16-020220-4</t>
  </si>
  <si>
    <t>25.02.01, 25.02.02, 25.02.03, 25.02.04, 25.02.05, 25.02.06, 25.02.07, 25.02.08</t>
  </si>
  <si>
    <t>674003.04.01</t>
  </si>
  <si>
    <t>Английский язык: электроэнергетика и электр.: Уч.пос. / А.А.Новикова - М.:НИЦ ИНФРА-М,2025 - 246 с.(П)</t>
  </si>
  <si>
    <t>АНГЛИЙСКИЙ ЯЗЫК: ЭЛЕКТРОЭНЕРГЕТИКА И ЭЛЕКТРОТЕХНИКА</t>
  </si>
  <si>
    <t>Новикова А.А.</t>
  </si>
  <si>
    <t>978-5-16-014593-8</t>
  </si>
  <si>
    <t>13.03.02, 13.03.03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</si>
  <si>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(протокол № 3 от 11.02.2019)</t>
  </si>
  <si>
    <t>Тюменский индустриальный университет, ф-л Тобольский индустриальный институт</t>
  </si>
  <si>
    <t>712458.09.01</t>
  </si>
  <si>
    <t>Английский язык: электроэнергетика...: Уч.пос. / А.А.Новикова - М.:НИЦ ИНФРА-М,2025 - 246 с.(СПО)(П)</t>
  </si>
  <si>
    <t>978-5-16-015367-4</t>
  </si>
  <si>
    <t>13.02.01, 13.02.02, 13.02.04, 13.02.05, 13.02.07, 13.02.08, 13.02.09, 13.02.12, 13.02.13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</si>
  <si>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5 от 11.03.2019)</t>
  </si>
  <si>
    <t>837248.01.01</t>
  </si>
  <si>
    <t>Анимация в туризме: Уч.пос. / Н.В.Соболева - М.:НИЦ ИНФРА-М, СФУ,2025. - 160 с.(ВО (СФУ))(п)</t>
  </si>
  <si>
    <t>АНИМАЦИЯ В ТУРИЗМЕ</t>
  </si>
  <si>
    <t>Соболева Н.В., Тельных В.В., Соболев С.В.</t>
  </si>
  <si>
    <t>978-5-16-020180-1</t>
  </si>
  <si>
    <t>49.03.03</t>
  </si>
  <si>
    <t>815813.02.01</t>
  </si>
  <si>
    <t>Антикоррупционная политика: Уч. / Р.Т.Мухаев - М.:НИЦ ИНФРА-М,2024. - 506 с.(ВО (РЭУ))(п)</t>
  </si>
  <si>
    <t>АНТИКОРРУПЦИОННАЯ ПОЛИТИКА</t>
  </si>
  <si>
    <t>Высшее образование (РЭУ)</t>
  </si>
  <si>
    <t>978-5-16-019355-7</t>
  </si>
  <si>
    <t>38.03.01, 38.04.04, 38.04.09, 38.05.01, 38.05.02, 40.04.01, 40.05.02, 41.03.06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</si>
  <si>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41.03.04 «Политология», 39.03.01 «Социология» (квалификация (степень) «бакалавр»)</t>
  </si>
  <si>
    <t>282400.10.01</t>
  </si>
  <si>
    <t>Антикоррупционная эксперт.норм.правовых акт..: Уч.пос. / С.Ю.Кабашов - М.:НИЦ ИНФРА-М,2024. - 240 с.(П)</t>
  </si>
  <si>
    <t>АНТИКОРРУПЦИОННАЯ ЭКСПЕРТИЗА НОРМАТИВНЫХ ПРАВОВЫХ АКТОВ И ПРОЕКТОВ НОРМАТИВНЫХ ПРАВОВЫХ АКТОВ</t>
  </si>
  <si>
    <t>Кабашов С.Ю., Кабашов Ю.С.</t>
  </si>
  <si>
    <t>978-5-16-009878-4</t>
  </si>
  <si>
    <t>38.03.04, 38.04.04, 40.03.01, 40.04.01, 40.05.01, 40.05.02, 40.05.03, 44.03.05</t>
  </si>
  <si>
    <t>Рекомендовано Советом Учебно-методического объединения по образованию вузов России в области менеджмента в качестве учебного пособия для студентов, обучающихся по направлению 38.03.04  «Государственное и муниципальное управление» (квалификация (степень) «бакалавр»)</t>
  </si>
  <si>
    <t>Башкирская академия государственной службы и управления при Главе Республики Башкортостан</t>
  </si>
  <si>
    <t>373600.13.01</t>
  </si>
  <si>
    <t>Антикризисное управление организацией: Уч. / Г.Д.Антонов - М.:НИЦ ИНФРА-М,2023 - 143 с.(ВО)(о)</t>
  </si>
  <si>
    <t>АНТИКРИЗИСНОЕ УПРАВЛЕНИЕ ОРГАНИЗАЦИЕЙ</t>
  </si>
  <si>
    <t>Антонов Г.Д., Иванова О.П., Тумин В.М., Трифонов В.А.</t>
  </si>
  <si>
    <t>978-5-16-018841-6</t>
  </si>
  <si>
    <t>38.03.01, 38.03.02, 44.03.05</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</si>
  <si>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</si>
  <si>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071800.12.01</t>
  </si>
  <si>
    <t>Антикризисное управление: Уч.пос. / В.И.Орехов и др. - 2 изд. - М.:НИЦ ИНФРА-М,2019-268с(ВО)(П)</t>
  </si>
  <si>
    <t>АНТИКРИЗИСНОЕ УПРАВЛЕНИЕ, ИЗД.2</t>
  </si>
  <si>
    <t>Орехов В. И., Балдин К. В., Орехова Т. Р.</t>
  </si>
  <si>
    <t>978-5-16-006790-2</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</si>
  <si>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t>
  </si>
  <si>
    <t>Российская академия естественных наук</t>
  </si>
  <si>
    <t>351800.04.01</t>
  </si>
  <si>
    <t>Антикризисное управление: Уч.пос. / С.М.Васин - М.:ИЦ РИОР, НИЦ ИНФРА-М,2023-272с.(ВО)(П)</t>
  </si>
  <si>
    <t>АНТИКРИЗИСНОЕ УПРАВЛЕНИЕ</t>
  </si>
  <si>
    <t>Васин С.М., Шутов В.С.</t>
  </si>
  <si>
    <t>978-5-369-01557-5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</si>
  <si>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«Менеджмент» (квалификация (степень) «бакалавр»)</t>
  </si>
  <si>
    <t>Пензенский государственный университет архитектуры и строительства</t>
  </si>
  <si>
    <t>071800.16.01</t>
  </si>
  <si>
    <t>Антикризисное управление: Уч.пос./ В.И.Орехов и др., - 3 изд.-М.:НИЦ ИНФРА-М,2022.-541 с.(ВО)(п)</t>
  </si>
  <si>
    <t>АНТИКРИЗИСНОЕ УПРАВЛЕНИЕ, ИЗД.3</t>
  </si>
  <si>
    <t>Орехов В.И., Орехова Т.Р., Балдин К.В.</t>
  </si>
  <si>
    <t>978-5-16-018757-0</t>
  </si>
  <si>
    <t>0322</t>
  </si>
  <si>
    <t>734351.02.01</t>
  </si>
  <si>
    <t>Антикризисный менеджмент: Уч.пос. / В.И.Орехов - М.:НИЦ ИНФРА-М,2024 - 500 с.(ВО)(п)</t>
  </si>
  <si>
    <t>АНТИКРИЗИСНЫЙ МЕНЕДЖМЕНТ</t>
  </si>
  <si>
    <t>978-5-16-019277-2</t>
  </si>
  <si>
    <t>38.03.02, 38.04.01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</si>
  <si>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3 от 17.03.2021)</t>
  </si>
  <si>
    <t>774253.03.01</t>
  </si>
  <si>
    <t>Антимонопольное и тариф. регулир. в сис. гос. контроля РФ: Уч. / С.Г.Васин-М.:НИЦ ИНФРА-М,2024.-293с(ВО)(п)</t>
  </si>
  <si>
    <t>АНТИМОНОПОЛЬНОЕ И ТАРИФНОЕ РЕГУЛИРОВАНИЕ В СИСТЕМЕ ГОСУДАРСТВЕННОГО КОНТРОЛЯ РФ</t>
  </si>
  <si>
    <t>Бердников Д.В., Васин С.Г., Гавриленко Д.А. и др.</t>
  </si>
  <si>
    <t>978-5-16-017597-3</t>
  </si>
  <si>
    <t>38.04.02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</si>
  <si>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40.04.01 «Юриспруденция» (квалификация (степень) «магистр») (протокол № 9 от 17.11.2022)</t>
  </si>
  <si>
    <t>Федеральная антимонопольная служба России</t>
  </si>
  <si>
    <t>725791.02.01</t>
  </si>
  <si>
    <t>Антропологические и биомеханич. основы конструир. изделий из кожи: Уч. / В.М.Ключникова - М.:НИЦ ИНФРА-М,2025 - 252 с(ВО)(п)</t>
  </si>
  <si>
    <t>АНТРОПОЛОГИЧЕСКИЕ И БИОМЕХАНИЧЕСКИЕ ОСНОВЫ КОНСТРУИРОВАНИЯ ИЗДЕЛИЙ ИЗ КОЖИ</t>
  </si>
  <si>
    <t>Ключникова В.М., Костылева В.В.</t>
  </si>
  <si>
    <t>978-5-16-020653-0</t>
  </si>
  <si>
    <t>29.03.01, 29.03.05, 29.04.01, 29.04.05</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</si>
  <si>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29.00.00 «Технологии легкой промышленности» в качестве учебника при реализации основных профессиональных образовательных программ высшего образования по направлению подготовки (специальности) бакалавриата / магистратуры по направлению подготовки 29.03.01 «Технология изделий легкой промышленности», 29.03.05 «Конструирование изделий легкой промышленности», 29.04.01 «Технология изделий легкой промышленности» и 29.04.05 «Конструирование изделий легкой промышленности»</t>
  </si>
  <si>
    <t>703419.06.01</t>
  </si>
  <si>
    <t>Антропология права: Уч. / А.И.Ковлер - М.:Юр.Норма, НИЦ ИНФРА-М,2025 - 480 с.(П)</t>
  </si>
  <si>
    <t>АНТРОПОЛОГИЯ ПРАВА</t>
  </si>
  <si>
    <t>Ковлер А.И.</t>
  </si>
  <si>
    <t>978-5-91768-555-7</t>
  </si>
  <si>
    <t>40.03.01, 40.04.01, 40.05.01, 40.05.02, 40.05.03, 40.05.04, 46.03.01, 47.04.01</t>
  </si>
  <si>
    <t>Институт законодательства и сравнительного правоведения при Правительстве Российской Федерации</t>
  </si>
  <si>
    <t>085050.16.01</t>
  </si>
  <si>
    <t>Антропология: Уч.пос. / Под ред. Сигиды Е.А. - М.:НИЦ ИНФРА-М,2024 - 240 с.(ВО)(п)</t>
  </si>
  <si>
    <t>АНТРОПОЛОГИЯ</t>
  </si>
  <si>
    <t>Лукьянова И.Е., Овчаренко В.А., Сигида Е.А.</t>
  </si>
  <si>
    <t>978-5-16-019780-7</t>
  </si>
  <si>
    <t>39.03.02, 39.04.02, 44.03.02, 44.03.05, 44.04.02, 46.03.01, 46.04.03, 51.03.01</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</si>
  <si>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«Социальная работа»</t>
  </si>
  <si>
    <t>Государственный Университет Просвещения</t>
  </si>
  <si>
    <t>131750.16.01</t>
  </si>
  <si>
    <t>Аппараты защиты в электрич.сетях низ. напряж.:  Уч.пос. /В.П.Шеховцов-М.:НИЦ ИНФРА-М,2025-160с(О)</t>
  </si>
  <si>
    <t>АППАРАТЫ ЗАЩИТЫ В ЭЛЕКТРИЧЕСКИХ СЕТЯХ НИЗКОГО НАПРЯЖЕНИЯ</t>
  </si>
  <si>
    <t>Шеховцов В. П.</t>
  </si>
  <si>
    <t>978-5-16-016326-0</t>
  </si>
  <si>
    <t>00.02.39, 08.01.31, 08.02.09, 11.01.05, 11.02.14, 11.02.16, 13.01.03, 13.01.04, 13.01.05, 13.01.07, 13.01.10, 13.02.07, 13.02.09, 13.02.12, 13.02.13, 21.01.15, 26.01.05, 26.02.04, 26.02.05, 26.02.06, 35.01.15</t>
  </si>
  <si>
    <t>100250.04.01</t>
  </si>
  <si>
    <t>Арбитражный процесс / И.В.Решетникова и др. - 2 изд. - М.:Юр.Норма, НИЦ ИНФРА-М,2019.-400 с.(О)</t>
  </si>
  <si>
    <t>АРБИТРАЖНЫЙ ПРОЦЕСС, ИЗД.2</t>
  </si>
  <si>
    <t>Решетникова И.В., Куликова М.А., Царегородцева Е.А.</t>
  </si>
  <si>
    <t>978-5-91768-781-0</t>
  </si>
  <si>
    <t>Краткий учебный курс</t>
  </si>
  <si>
    <t>40.02.04, 40.03.01, 40.04.01, 40.05.01, 40.05.02, 40.05.03, 40.05.04</t>
  </si>
  <si>
    <t>100250.13.01</t>
  </si>
  <si>
    <t>Арбитражный процесс / И.В.Решетникова и др. - 3 изд. - М.:Юр.Норма, НИЦ ИНФРА-М,2024 - 368 с.(О)</t>
  </si>
  <si>
    <t>АРБИТРАЖНЫЙ ПРОЦЕСС, ИЗД.3</t>
  </si>
  <si>
    <t>Решетникова И. В., Куликова М. А., Царегородцева Е. А.</t>
  </si>
  <si>
    <t>978-5-00156-070-8</t>
  </si>
  <si>
    <t>243500.06.01</t>
  </si>
  <si>
    <t>Арифметика, алгебра, начала анализа: Уч.пос./ Е.С. Кочетков - М.: Форум: ИНФРА-М, 2025 - 496с. (п)</t>
  </si>
  <si>
    <t>АРИФМЕТИКА, АЛГЕБРА, НАЧАЛА АНАЛИЗА</t>
  </si>
  <si>
    <t>Кочетков Е.С.</t>
  </si>
  <si>
    <t>978-5-91134-824-3</t>
  </si>
  <si>
    <t>00.02.06, 38.02.08</t>
  </si>
  <si>
    <t>636233.08.01</t>
  </si>
  <si>
    <t>Арт-менеджмент: Уч. / Е.Ф.Командышко - М.:НИЦ ИНФРА-М, 2022 - 194 с.-(ВО: Бакалавриат)(П)</t>
  </si>
  <si>
    <t>АРТ-МЕНЕДЖМЕНТ</t>
  </si>
  <si>
    <t>Командышко Е.Ф.</t>
  </si>
  <si>
    <t>978-5-16-012560-2</t>
  </si>
  <si>
    <t>38.03.02, 51.03.01, 51.03.02, 51.03.03, 53.03.01, 53.03.03, 53.04.06, 53.05.04</t>
  </si>
  <si>
    <t>Рекомендован к изданию Ученым советом федерального государственного бюджетного научного учреждения «Институт художественного образования и культурологии Российской академии образования». Рекомендовано  в качестве учебника для студентов высших учебных заведений, обучающихся по направлению подготовки 51.03.03 «Социально-культурная деятельность» (квалификация (степень) «бакалавр»)</t>
  </si>
  <si>
    <t>РОССИЙСКАЯ АКАДЕМИЯ ОБРАЗОВАНИЯ, РОССИЙСКАЯ АКАДЕМИЯ ОБРАЗОВАНИЯ, РАО ФГБУ</t>
  </si>
  <si>
    <t>636233.07.01</t>
  </si>
  <si>
    <t>Арт-менеджмент: уч. / Е.Ф.Командышко, - 2-е изд.-М.:НИЦ ИНФРА-М,2023.-249 с..-(ВО: Бакалавриат)(п)</t>
  </si>
  <si>
    <t>АРТ-МЕНЕДЖМЕНТ, ИЗД.2</t>
  </si>
  <si>
    <t>978-5-16-017422-8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</si>
  <si>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в области искусства и культуры (квалификация (степень) «бакалавр») (протокол № 10 от 21.12.2022)</t>
  </si>
  <si>
    <t>835022.02.01</t>
  </si>
  <si>
    <t>Архивоведение: Уч. пос. / Е.В.Булюлина - М.:НИЦ ИНФРА-М,2025. - 206 с.-(СПО)(п)</t>
  </si>
  <si>
    <t>АРХИВОВЕДЕНИЕ</t>
  </si>
  <si>
    <t>Булюлина Е.В.</t>
  </si>
  <si>
    <t>978-5-16-020095-8</t>
  </si>
  <si>
    <t>40.02.04, 46.01.01, 46.01.02, 46.01.03, 46.02.01, 46.02.02</t>
  </si>
  <si>
    <t>Центр документации новейшей истории Волгоградской области</t>
  </si>
  <si>
    <t>СПО-2024, Победитель, II место</t>
  </si>
  <si>
    <t>703830.02.01</t>
  </si>
  <si>
    <t>Архивоведение: Уч.пос. / Е.В.Булюлина - М.:НИЦ ИНФРА-М,2025. - 206 с.(ВО)(п)</t>
  </si>
  <si>
    <t>978-5-16-015311-7</t>
  </si>
  <si>
    <t>46.03.01, 46.03.02, 46.04.02</t>
  </si>
  <si>
    <t>765775.02.01</t>
  </si>
  <si>
    <t>Архивы документов по личному составу: Уч.пос. / Е.С.Герасимова - М.:НИЦ ИНФРА-М,2025. - 186 с.(ВО)(п)</t>
  </si>
  <si>
    <t>АРХИВЫ ДОКУМЕНТОВ ПО ЛИЧНОМУ СОСТАВУ</t>
  </si>
  <si>
    <t>Герасимова Е.С.</t>
  </si>
  <si>
    <t>978-5-16-017879-0</t>
  </si>
  <si>
    <t>46.03.02</t>
  </si>
  <si>
    <t>352200.08.01</t>
  </si>
  <si>
    <t>Архитектоника объемных структур: Уч.пос. / О.И.Докучаева - М.:НИЦ ИНФРА-М,2023 - 333 с.(П)</t>
  </si>
  <si>
    <t>АРХИТЕКТОНИКА ОБЪЕМНЫХ СТРУКТУР</t>
  </si>
  <si>
    <t>Докучаева О.И.</t>
  </si>
  <si>
    <t>978-5-16-010874-2</t>
  </si>
  <si>
    <t>Искусство</t>
  </si>
  <si>
    <t>54.03.03, 54.04.03</t>
  </si>
  <si>
    <t>Рекомендовано в качестве учебного пособия для студентов высших учебных заведений по направлениям подготовки 29.03.05 «Конструирование изделий легкой промышленности» и 54.03.03 «Искусство костюма и текстиля» (квалификация (степень) «бакалавр»)</t>
  </si>
  <si>
    <t>066200.28.01</t>
  </si>
  <si>
    <t>Архитектура зданий: Уч. / Н.П.Вильчик - 2 изд. - М.:НИЦ ИНФРА-М,2025 - 319 с.(СПО)(П)</t>
  </si>
  <si>
    <t>АРХИТЕКТУРА ЗДАНИЙ, ИЗД.2</t>
  </si>
  <si>
    <t>Вильчик Н. П.</t>
  </si>
  <si>
    <t>978-5-16-004279-4</t>
  </si>
  <si>
    <t>07.02.01, 08.02.01, 08.02.15, 20.01.01</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</si>
  <si>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08.02.01 «Строительство и эксплуатация зданий и сооружений»</t>
  </si>
  <si>
    <t>0210</t>
  </si>
  <si>
    <t>060560.24.01</t>
  </si>
  <si>
    <t>Архитектура ЭВМ и вычислит. систем: Уч. / Н.В.Максимов - 5 изд.-М.:Форум, НИЦ ИНФРА-М,2024.-511c.(П)</t>
  </si>
  <si>
    <t>АРХИТЕКТУРА ЭВМ И ВЫЧИСЛИТЕЛЬНЫХ СИСТЕМ, ИЗД.5</t>
  </si>
  <si>
    <t>Максимов Н.В., Партыка Т.Л., Попов И.И.</t>
  </si>
  <si>
    <t>978-5-00091-511-0</t>
  </si>
  <si>
    <t>09.02.01, 09.02.02, 09.02.03, 09.02.04, 09.02.05, 09.02.06, 09.02.07</t>
  </si>
  <si>
    <t>Рекомендовано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09.00.00 «Информатика и вычислительная техника»</t>
  </si>
  <si>
    <t>Национальный исследовательский ядерный университет "МИФИ"</t>
  </si>
  <si>
    <t>0513</t>
  </si>
  <si>
    <t>640317.11.01</t>
  </si>
  <si>
    <t>Архитектура ЭВМ и вычислительные системы: Уч. / В.В.Степина - М.:КУРС, НИЦ ИНФРА-М,2024 - 384 с.(СПО)(П)</t>
  </si>
  <si>
    <t>АРХИТЕКТУРА ЭВМ И ВЫЧИСЛИТЕЛЬНЫЕ СИСТЕМЫ</t>
  </si>
  <si>
    <t>Степина В.В.</t>
  </si>
  <si>
    <t>978-5-906923-07-3</t>
  </si>
  <si>
    <t>09.02.02, 09.02.03, 09.02.04, 09.02.05, 09.02.07</t>
  </si>
  <si>
    <t>Колледж предпринимательства № 11, г. Москва</t>
  </si>
  <si>
    <t>100600.20.01</t>
  </si>
  <si>
    <t>Архитектура ЭВМ: Уч.пос. / В.Д.Колдаев - М.:ИД ФОРУМ, НИЦ ИНФРА-М,2025 - 383 с.(СПО)(П)</t>
  </si>
  <si>
    <t>АРХИТЕКТУРА ЭВМ</t>
  </si>
  <si>
    <t>Колдаев В. Д., Лупин С. А.</t>
  </si>
  <si>
    <t>978-5-8199-0868-6</t>
  </si>
  <si>
    <t>09.02.01, 09.02.02, 09.02.03, 09.02.04, 09.02.05, 09.02.06, 09.02.07, 15.02.10</t>
  </si>
  <si>
    <t>Московский институт электронной техники</t>
  </si>
  <si>
    <t>0109</t>
  </si>
  <si>
    <t>335000.05.01</t>
  </si>
  <si>
    <t>Архитектурная климатография: Уч.пос. / М.С.Мягков - М.:НИЦ ИНФРА-М,2022-363 с.(ВО: Бакалавриат)(П)</t>
  </si>
  <si>
    <t>АРХИТЕКТУРНАЯ КЛИМАТОГРАФИЯ</t>
  </si>
  <si>
    <t>Мягков М.С., Алексеева Л.И.</t>
  </si>
  <si>
    <t>978-5-16-011855-0</t>
  </si>
  <si>
    <t>07.03.01, 07.03.02, 07.03.03, 07.04.01, 07.04.02</t>
  </si>
  <si>
    <t>Допущено УМО по образованию в области архитектуры в качестве учебного пособия для студентов вузов, обучающихся по направлению 07.03.01 «Архитектура»</t>
  </si>
  <si>
    <t>Московский архитектурный институт (государственная академия)</t>
  </si>
  <si>
    <t>803325.01.01</t>
  </si>
  <si>
    <t>Архитектурная экология: Уч.пос. / Е.А.Ильина - М.:НИЦ ИНФРА-М,2024. - 156 с.(ВО)(п)</t>
  </si>
  <si>
    <t>АРХИТЕКТУРНАЯ ЭКОЛОГИЯ</t>
  </si>
  <si>
    <t>Ильина Е.А.</t>
  </si>
  <si>
    <t>978-5-16-019401-1</t>
  </si>
  <si>
    <t>07.03.01, 07.04.01</t>
  </si>
  <si>
    <t>АКАДЕМУС-2023, Победитель, III место</t>
  </si>
  <si>
    <t>340500.12.01</t>
  </si>
  <si>
    <t>Архитектурное проектир. обществ. зданий: Уч. / А.Л.Гельфонд, - 2 изд. - М.:НИЦ ИНФРА-М,2025. - 373 с.(ВО)(п)</t>
  </si>
  <si>
    <t>АРХИТЕКТУРНОЕ ПРОЕКТИРОВАНИЕ ОБЩЕСТВЕННЫХ ЗДАНИЙ, ИЗД.2</t>
  </si>
  <si>
    <t>Гельфонд А.Л.</t>
  </si>
  <si>
    <t>978-5-16-018400-5</t>
  </si>
  <si>
    <t>Рекомендовано Федеральным учебно-методическим объединением в системе высшего образования по укрупненной группе направлений «Архитектура» в качестве учебника для обучающихся по основным образовательным программам высшего образования</t>
  </si>
  <si>
    <t>Нижегородский государственный архитектурно-строительный университет</t>
  </si>
  <si>
    <t>340500.06.01</t>
  </si>
  <si>
    <t>Архитектурное проектирование общественных зданий: Уч. / А.Л.Гельфонд-М.:НИЦ ИНФРА-М,2023-368с(ВО)(П)</t>
  </si>
  <si>
    <t>АРХИТЕКТУРНОЕ ПРОЕКТИРОВАНИЕ ОБЩЕСТВЕННЫХ ЗДАНИЙ</t>
  </si>
  <si>
    <t>978-5-16-010739-4</t>
  </si>
  <si>
    <t>Допущено УМО по образованию в области архитектуры в качестве учебника для студентов вузов, обучающихся по направлению подготовки 07.04.01 «Архитектура» (квалификация (степень) «магистр»)</t>
  </si>
  <si>
    <t>343900.07.01</t>
  </si>
  <si>
    <t>Архитектурное проектирование...: Уч.пос. /Д.Б.Веретенников - М.:Форум, НИЦ ИНФРА-М,2024-176 с.-(О)</t>
  </si>
  <si>
    <t>АРХИТЕКТУРНОЕ ПРОЕКТИРОВАНИЕ. ПОДЗЕМНАЯ УРБАНИСТИКА</t>
  </si>
  <si>
    <t>Веретенников Д.Б.</t>
  </si>
  <si>
    <t>978-5-00091-055-9</t>
  </si>
  <si>
    <t>07.03.01, 07.04.01, 07.04.04</t>
  </si>
  <si>
    <t>446500.10.01</t>
  </si>
  <si>
    <t>Архитектурные конструкции и теор. конструир..: Уч.пос. / Е.В.Сысоева - М:НИЦ ИНФРА-М,2023-280с(ВО:Бак.)(П)</t>
  </si>
  <si>
    <t>АРХИТЕКТУРНЫЕ КОНСТРУКЦИИ И ТЕОРИЯ КОНСТРУИРОВАНИЯ:  МАЛОЭТАЖНЫЕ ЖИЛЫЕ ЗДАНИЯ</t>
  </si>
  <si>
    <t>Сысоева Е.В., Трушин С.И., Коновалов В.П. и др.</t>
  </si>
  <si>
    <t>978-5-16-011400-2</t>
  </si>
  <si>
    <t>07.03.01, 08.03.01</t>
  </si>
  <si>
    <t>Допущено УМО по образованию в области архитектуры в качестве учебного пособия для студентов вузов, обучающихся по направлениям подготовки 07.03.01 «Архитектура», 08.03.01 «Строительство» (квалификация (степень) «бакалавр»)</t>
  </si>
  <si>
    <t>687653.08.01</t>
  </si>
  <si>
    <t>Архитектурные конструкции и теория констр...: Уч.пос. / Е.В.Сысоева. - М.:НИЦ ИНФРА-М,2025 - 280 с.(П)(СПО)</t>
  </si>
  <si>
    <t>АРХИТЕКТУРНЫЕ КОНСТРУКЦИИ И ТЕОРИЯ КОНСТРУИРОВАНИЯ: МАЛОЭТАЖНЫЕ ЖИЛЫЕ ЗДАНИЯ</t>
  </si>
  <si>
    <t>978-5-16-014238-8</t>
  </si>
  <si>
    <t>07.02.01, 08.02.01, 08.02.02, 08.02.04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</si>
  <si>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07.02.01 «Архитектура», 08.02.01 «Строительство и эксплуатация зданий и сооружений»</t>
  </si>
  <si>
    <t>693813.04.01</t>
  </si>
  <si>
    <t>Архитектурные конструкции и теория конструир.: Уч.пос. / Е.В.Сысоева - 2 изд.-М.:НИЦ ИНФРА-М,2023-280с.(П)</t>
  </si>
  <si>
    <t>АРХИТЕКТУРНЫЕ КОНСТРУКЦИИ И ТЕОРИЯ КОНСТРУИРОВАНИЯ:  МАЛОЭТАЖНЫЕ ЖИЛЫЕ ЗДАНИЯ, ИЗД.2</t>
  </si>
  <si>
    <t>978-5-16-014471-9</t>
  </si>
  <si>
    <t>08.05.01</t>
  </si>
  <si>
    <t>Допущено УМО по образованию в области архитектуры в качестве учебного пособия для студентов вузов, обучающихся по направлениям подготовки «Архитектура», «Строительство»</t>
  </si>
  <si>
    <t>446500.11.01</t>
  </si>
  <si>
    <t>Архитектурные конструкции и теория...: Уч.пос. / Е.В.Сысоева - 2 изд.-М.:НИЦ ИНФРА-М,2023.-258 с.(ВО: Бак.)(п)</t>
  </si>
  <si>
    <t>АРХИТЕКТУРНЫЕ КОНСТРУКЦИИ И ТЕОРИЯ КОНСТРУИРОВАНИЯ: МАЛОЭТАЖНЫЕ ЖИЛЫЕ ЗДАНИЯ, ИЗД.2</t>
  </si>
  <si>
    <t>Сысоева Е.В., Трушин С.И., Коновалов В.П.</t>
  </si>
  <si>
    <t>978-5-16-018203-2</t>
  </si>
  <si>
    <t>837238.01.01</t>
  </si>
  <si>
    <t>Архитектурный рисунок. От линии к тону: Уч.пос. / М.А.Ганцов - М.:НИЦ ИНФРА-М, СФУ,2025. - 172 с.(ВО (СФУ))(п)</t>
  </si>
  <si>
    <t>АРХИТЕКТУРНЫЙ РИСУНОК. ОТ ЛИНИИ К ТОНУ</t>
  </si>
  <si>
    <t>Ганцов М.А., Мурина Н.В.</t>
  </si>
  <si>
    <t>978-5-16-020179-5</t>
  </si>
  <si>
    <t>07.03.01, 07.03.02, 07.03.04</t>
  </si>
  <si>
    <t>837237.01.01</t>
  </si>
  <si>
    <t>Архитектурный рисунок: от простого...: Уч.пос. / М.В.Никитина - М.:НИЦ ИНФРА-М, СФУ,2025. - 178 с.(ВО)(п)</t>
  </si>
  <si>
    <t>АРХИТЕКТУРНЫЙ РИСУНОК: ОТ ПРОСТОГО К СЛОЖНОМУ</t>
  </si>
  <si>
    <t>Никитина М.В., Карепов Г.Е., Кудряшова Л.А.</t>
  </si>
  <si>
    <t>978-5-16-020178-8</t>
  </si>
  <si>
    <t>07.03.01</t>
  </si>
  <si>
    <t>845557.01.01</t>
  </si>
  <si>
    <t>Асимметрический органический синтез: Уч.пос. / В.В.Племенков - 2 изд. - М.:НИЦ ИНФРА-М,2025. - 135 с.(ВО)(п)</t>
  </si>
  <si>
    <t>АСИММЕТРИЧЕСКИЙ ОРГАНИЧЕСКИЙ СИНТЕЗ, ИЗД.2</t>
  </si>
  <si>
    <t>Племенков В.В., Курамшин Б.К.</t>
  </si>
  <si>
    <t>978-5-16-020602-8</t>
  </si>
  <si>
    <t>04.05.01, 18.03.01, 44.03.05</t>
  </si>
  <si>
    <t>138900.09.01</t>
  </si>
  <si>
    <t>Аспирант вуза: технологии науч. творчества и пед. деятель..: Уч. / С.Д.Резник-7изд.-М.:НИЦ ИНФРА-М,2021-400 с(П)</t>
  </si>
  <si>
    <t>АСПИРАНТ ВУЗА: ТЕХНОЛОГИИ НАУЧНОГО ТВОРЧЕСТВА И ПЕДАГОГИЧЕСКОЙ ДЕЯТЕЛЬНОСТИ, ИЗД.7</t>
  </si>
  <si>
    <t>Резник С.Д.</t>
  </si>
  <si>
    <t>Менеджмент в науке</t>
  </si>
  <si>
    <t>978-5-16-013585-4</t>
  </si>
  <si>
    <t>38.06.01</t>
  </si>
  <si>
    <t>Рекомендовано Советом Учебно-методического объединения по образованию в области менеджмента в качестве учебника для обучения по программам подготовки научно-педагогических кадров в аспирантуре высших учебных заведений</t>
  </si>
  <si>
    <t>0719</t>
  </si>
  <si>
    <t>138900.16.01</t>
  </si>
  <si>
    <t>Аспирант вуза: технологии науч. творчества...: Уч. / С.Д.Резник - 8 изд. - М.:НИЦ ИНФРА-М,2025. - 388 с.(П)</t>
  </si>
  <si>
    <t>АСПИРАНТ ВУЗА: ТЕХНОЛОГИИ НАУЧНОГО ТВОРЧЕСТВА И ПЕДАГОГИЧЕСКОЙ ДЕЯТЕЛЬНОСТИ, ИЗД.8</t>
  </si>
  <si>
    <t>978-5-16-017412-9</t>
  </si>
  <si>
    <t>Рекомендовано Советом Учебно-методического объединения вузов по образованию в области менеджмента в качестве учебника для обучения по программам подготовки научно-педагогических кадров в аспирантуре высших учебных заведений</t>
  </si>
  <si>
    <t>0822</t>
  </si>
  <si>
    <t>138900.06.01</t>
  </si>
  <si>
    <t>Аспирант вуза: технологии научного творчества и педагогической деятельности:Уч. / С.Д.Резник, - 6-е изд., стереотип.-М.:НИЦ ИНФРА-М,2018.-451 с..-</t>
  </si>
  <si>
    <t>АСПИРАНТ ВУЗА: ТЕХНОЛОГИИ НАУЧНОГО ТВОРЧЕСТВА И ПЕДАГОГИЧЕСКОЙ ДЕЯТЕЛЬНОСТИ, ИЗД.6</t>
  </si>
  <si>
    <t>978-5-16-011754-6</t>
  </si>
  <si>
    <t>Рекомендовано Советом Учебно-методического объединения вузов России по образованию в области менеджмента в качестве учебного пособия для аспирантов высших учебных заведений</t>
  </si>
  <si>
    <t>0618</t>
  </si>
  <si>
    <t>144450.08.01</t>
  </si>
  <si>
    <t>Ассортимент, товаровед. и эксперт. пушно-мех. товаров: Уч. пос. / Л.В.Орленко-ИД ФОРУМ,2024-272с(ВО) (П)</t>
  </si>
  <si>
    <t>АССОРТИМЕНТ, ТОВАРОВЕДЕНИЕ И ЭКСПЕРТИЗА ПУШНО-МЕХОВЫХ ТОВАРОВ</t>
  </si>
  <si>
    <t>Орленко Л. В.</t>
  </si>
  <si>
    <t>978-5-8199-0454-1</t>
  </si>
  <si>
    <t>38.03.07</t>
  </si>
  <si>
    <t>Рекомендовано Учебно-методическим объединением по образованию в области сервиса и туризма в качестве учебного пособия для студентов высших учебных заведений, обучающихся по специальности  "Сервис"</t>
  </si>
  <si>
    <t>Российский государственный университет туризма и сервиса</t>
  </si>
  <si>
    <t>682826.04.01</t>
  </si>
  <si>
    <t>Ассортимент, товаровед. и экспертиза...: Уч.пос. / Л.В.Орленко - М.:НИЦ ИНФРА-М,2025 - 272 с.(СПО)(П)</t>
  </si>
  <si>
    <t>Орленко Л.В.</t>
  </si>
  <si>
    <t>978-5-8199-0784-9</t>
  </si>
  <si>
    <t>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</si>
  <si>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29.02.02 «Технология кожи и меха», 29.02.03 «Конструирование, моделирование и технология изделий из меха»</t>
  </si>
  <si>
    <t>704840.03.01</t>
  </si>
  <si>
    <t>Астрономия. Практикум: Уч.пос. / А.А.Гамза, - 2 изд.-М.:НИЦ ИНФРА-М,2023.-127 с.(СПО)(О)</t>
  </si>
  <si>
    <t>АСТРОНОМИЯ. ПРАКТИКУМ, ИЗД.2</t>
  </si>
  <si>
    <t>Гамза А.А.</t>
  </si>
  <si>
    <t>978-5-16-015348-3</t>
  </si>
  <si>
    <t>00.02.10</t>
  </si>
  <si>
    <t>Рекомендовано учреждением образования «Республиканский институт профессионального образования» в качестве пособия для учащихся учреждений, реализующих образовательные программы профессионально-технического и среднего специального образования</t>
  </si>
  <si>
    <t>Республиканский институт профессионального образования</t>
  </si>
  <si>
    <t>СПО-2019, Победитель</t>
  </si>
  <si>
    <t>734007.03.01</t>
  </si>
  <si>
    <t>Астрономия: Уч.пос. / А.В.Благин-М.:НИЦ ИНФРА-М,2022.-272 с..-(СПО)(П)</t>
  </si>
  <si>
    <t>АСТРОНОМИЯ</t>
  </si>
  <si>
    <t>Благин А.В., Котова О.В.</t>
  </si>
  <si>
    <t>978-5-16-016147-1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</si>
  <si>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5 от 16.03.2020)</t>
  </si>
  <si>
    <t>Донской государственный технический университет</t>
  </si>
  <si>
    <t>СПО-2021, Победитель</t>
  </si>
  <si>
    <t>734219.06.01</t>
  </si>
  <si>
    <t>Астрономия: Уч.пос. / С.В.Павлов - М.:НИЦ ИНФРА-М,2025 - 359 с.-(СПО)(П)</t>
  </si>
  <si>
    <t>Павлов С.В.</t>
  </si>
  <si>
    <t>978-5-16-016443-4</t>
  </si>
  <si>
    <t>00.02.10, 52.02.01, 52.02.02, 53.02.02, 53.02.03, 53.02.04, 53.02.05, 53.02.07</t>
  </si>
  <si>
    <t>Рекомендовано Межрегиональным учебно-методическим советом профессионального образования в качестве учебного пособия для учащихся учебных заведений среднего профессионального образования, обучающихся по основной образовательной программе среднего профессионального образования</t>
  </si>
  <si>
    <t>Московский государственный университет им. М.В. Ломоносова, физический факультет</t>
  </si>
  <si>
    <t>344800.09.01</t>
  </si>
  <si>
    <t>Атомная и ядер.физ. Элем.квант.мех. Практ.: Уч.пос. / А.Г.Браун - М.:НИЦ ИНФРА-М,2025 - 88 с.(ВО)(о)</t>
  </si>
  <si>
    <t>АТОМНАЯ И ЯДЕРНАЯ ФИЗИКА. ЭЛЕМЕНТЫ КВАНТОВОЙ МЕХАНИКИ. ПРАКТИКУМ</t>
  </si>
  <si>
    <t>Браун А.Г., Левитина И.Г.</t>
  </si>
  <si>
    <t>Высшее образование (МАТИ-МАИ)</t>
  </si>
  <si>
    <t>978-5-16-019148-5</t>
  </si>
  <si>
    <t>03.03.02, 03.04.02</t>
  </si>
  <si>
    <t>Допущено Учебно-методическим Советом МАТИ в качестве учебного пособия для студентов высших учебных заведений, обучающихся по техническим направлениям подготовки и специальностям</t>
  </si>
  <si>
    <t>678439.09.01</t>
  </si>
  <si>
    <t>Аудит в соответствии с международ. стандарт.: Уч. / Ю.Ю.Кочинев - М.:НИЦ ИНФРА-М,2024 - 413 с.(ВО)(П)</t>
  </si>
  <si>
    <t>АУДИТ В СООТВЕТСТВИИ С МЕЖДУНАРОДНЫМИ СТАНДАРТАМИ</t>
  </si>
  <si>
    <t>Кочинев Ю.Ю.</t>
  </si>
  <si>
    <t>978-5-16-019354-0</t>
  </si>
  <si>
    <t>38.03.01, 38.04.01, 38.04.09</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</si>
  <si>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38.03.01 «Экономика» (квалификация (степень) «бакалавр»)</t>
  </si>
  <si>
    <t>706235.02.01</t>
  </si>
  <si>
    <t>Аудит в соответствии с международными стандартами: Уч. /Ю.Ю.Кочинев-М.:НИЦ ИНФРА-М,2023-370с(СПО)(П)</t>
  </si>
  <si>
    <t>978-5-16-015070-3</t>
  </si>
  <si>
    <t>35.01.23, 35.01.24, 38.02.01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</si>
  <si>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(протокол № 9 от 13.05.2019)</t>
  </si>
  <si>
    <t>636369.02.01</t>
  </si>
  <si>
    <t>Аудит для магистров по рос.и международ.стандартам: Уч. / Казакова Н.А.-М.:НИЦ ИНФРА-М,2018-345с.(П)</t>
  </si>
  <si>
    <t>АУДИТ ДЛЯ МАГИСТРОВ ПО РОССИЙСКИМ И МЕЖДУНАРОДНЫМ СТАНДАРТАМ</t>
  </si>
  <si>
    <t>Казакова Н.А.</t>
  </si>
  <si>
    <t>110 лет РЭУ им. Плеханова</t>
  </si>
  <si>
    <t>978-5-16-012166-6</t>
  </si>
  <si>
    <t>38.00.00, 38.03.01, 38.03.02, 38.03.04, 38.03.06, 38.04.01, 38.04.02, 38.04.04, 38.04.06, 38.04.09, 38.05.01</t>
  </si>
  <si>
    <t>Рекомендовано в качестве учебника для студентов высших учебных заведений, обучающихся по направлению подготовки 38.04.01 "Экономика" (квалификация (степень) "магистр")</t>
  </si>
  <si>
    <t>169900.04.01</t>
  </si>
  <si>
    <t>Аудит для магистров: Практич. аудит. Прак: Уч. / А.А.Савин - 2 изд. - М.:НИЦ ИНФРА-М,2025. - 385 с.(ВО)(п)</t>
  </si>
  <si>
    <t>АУДИТ ДЛЯ МАГИСТРОВ: ПРАКТИЧЕСКИЙ АУДИТ, ИЗД.2</t>
  </si>
  <si>
    <t>Савин А.А., Савин И.А., Савин Д.А.</t>
  </si>
  <si>
    <t>978-5-16-017851-6</t>
  </si>
  <si>
    <t>38.04.01, 38.04.08, 38.04.09</t>
  </si>
  <si>
    <t>226300.10.01</t>
  </si>
  <si>
    <t>Аудит качества для постоянного улучшения: Уч. пос. / Ю.В. Сажин - М.: НИЦ ИНФРА-М, 2024 - 112с.(ВО) (о)</t>
  </si>
  <si>
    <t>АУДИТ КАЧЕСТВА ДЛЯ ПОСТОЯННОГО УЛУЧШЕНИЯ</t>
  </si>
  <si>
    <t>Сажин Ю. В., Плетнева Н. П.</t>
  </si>
  <si>
    <t>978-5-16-009010-8</t>
  </si>
  <si>
    <t>Рекомендовано УМО по образованию в области статистики в качестве учебного пособия для студентов высших учебных заведений, обучающихся по экономическим направлениям</t>
  </si>
  <si>
    <t>Национальный исследовательский Мордовский государственный университет им. Н.П. Огарева</t>
  </si>
  <si>
    <t>095280.08.01</t>
  </si>
  <si>
    <t>Аудит налогообложения: Уч.пос. / А.А.Савин, - 3 изд. - М.:НИЦ ИНФРА-М,2025 - 594 с.(ВО: Бак. (Финунивер.)(П)</t>
  </si>
  <si>
    <t>АУДИТ НАЛОГООБЛОЖЕНИЯ, ИЗД.3</t>
  </si>
  <si>
    <t>Савин А.А., Савин А.А., Савин А.А.</t>
  </si>
  <si>
    <t>978-5-16-016992-7</t>
  </si>
  <si>
    <t>38.03.01, 38.04.04, 38.04.09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</si>
  <si>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4 от 13.04.2022)</t>
  </si>
  <si>
    <t>682154.04.01</t>
  </si>
  <si>
    <t>Аудит налогообложения: Уч.пос. / М.М.Богданова - М.:НИЦ ИНФРА-М,2025 - 206 с.(ВО: Магистр.)(П)</t>
  </si>
  <si>
    <t>АУДИТ НАЛОГООБЛОЖЕНИЯ</t>
  </si>
  <si>
    <t>Богданова М.М.</t>
  </si>
  <si>
    <t>978-5-16-015837-2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</si>
  <si>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 (протокол № 11 от 09.11.2020)</t>
  </si>
  <si>
    <t>Финансовый университет при Правительстве Российской Федерации, Алтайский ф-л</t>
  </si>
  <si>
    <t>072670.17.01</t>
  </si>
  <si>
    <t>Аудит: практикум: Уч.пос./ Н.В.Парушина и др. -3 изд. - М.:ИД ФОРУМ, НИЦ ИНФРА-М,2024-286 с.(СПО)(п)</t>
  </si>
  <si>
    <t>АУДИТ: ПРАКТИКУМ, ИЗД.3</t>
  </si>
  <si>
    <t>Парушина Н.В., Суворова С.П., Галкина Е.В.</t>
  </si>
  <si>
    <t>978-5-8199-0841-9</t>
  </si>
  <si>
    <t>35.01.23, 35.01.24, 38.02.01, 38.02.03, 38.02.06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</si>
  <si>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38.00.00 «Экономика и управление»</t>
  </si>
  <si>
    <t>0313</t>
  </si>
  <si>
    <t>662580.05.01</t>
  </si>
  <si>
    <t>Аудит: теория и практика: Уч.: В 2 ч.Ч.2: Практ. / Л.И.Воронина - 4 изд.-М.:НИЦ ИНФРА-М,2024-344с(П)</t>
  </si>
  <si>
    <t>АУДИТ: ТЕОРИЯ И ПРАКТИКА, Т.2, ИЗД.4</t>
  </si>
  <si>
    <t>Воронина Л.И.</t>
  </si>
  <si>
    <t>978-5-16-013151-1</t>
  </si>
  <si>
    <t>38.04.09</t>
  </si>
  <si>
    <t>Рекомендовано ФГБОУ ВО «Государственный университет управления» в качестве учебника для студентов высших учебных заведений, обучающихся по специальности «Бухгалтерский учет, анализ и аудит»</t>
  </si>
  <si>
    <t>Московский финансово-юридический университет</t>
  </si>
  <si>
    <t>0418</t>
  </si>
  <si>
    <t>660692.03.01</t>
  </si>
  <si>
    <t>Аудит: теория.  Ч. 1: Теория: Уч. / Л.И.Воронина, - 4 изд.-М.:НИЦ ИНФРА-М,2023.-314 с.(ВО)(п)</t>
  </si>
  <si>
    <t>АУДИТ: ТЕОРИЯ, Т.1, ИЗД.4</t>
  </si>
  <si>
    <t>978-5-16-013150-4</t>
  </si>
  <si>
    <t>176500.13.01</t>
  </si>
  <si>
    <t>Аудит: Уч. / И.В.Федоренко - 2 изд. - М.:НИЦ ИНФРА-М,2024 - 281 с.(ВО: Бакалавриат)(П)</t>
  </si>
  <si>
    <t>АУДИТ, ИЗД.2</t>
  </si>
  <si>
    <t>Федоренко И.В., Золотарева Г.И.</t>
  </si>
  <si>
    <t>978-5-16-015136-6</t>
  </si>
  <si>
    <t>38.03.01, 38.03.02, 38.03.04, 38.03.05, 38.04.01, 38.05.01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</si>
  <si>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12 от 24.06.2019)</t>
  </si>
  <si>
    <t>176500.08.01</t>
  </si>
  <si>
    <t>Аудит: Уч. / И.В.Федоренко - М.:НИЦ ИНФРА-М,2019 - 272 с.-(ВО: Бакалавриат)(П)</t>
  </si>
  <si>
    <t>АУДИТ</t>
  </si>
  <si>
    <t>Федоренко И. В., Золотарева Г. И.</t>
  </si>
  <si>
    <t>978-5-16-005015-7</t>
  </si>
  <si>
    <t>Рекомендовано Государственным университетом управления в качестве учебника для студентов высших учебных заведений, обучающихся по направлению подготовки 38.03.01 «Экономика»</t>
  </si>
  <si>
    <t>684986.02.01</t>
  </si>
  <si>
    <t>Аудит: Уч. / И.В.Федоренко - М.:НИЦ ИНФРА-М,2019 - 272 с.-(СПО)(П)</t>
  </si>
  <si>
    <t>978-5-16-014141-1</t>
  </si>
  <si>
    <t>38.02.01, 38.02.03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</si>
  <si>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38.02.01 «Экономика и бухгалтерский учет (по отраслям)»</t>
  </si>
  <si>
    <t>636369.05.01</t>
  </si>
  <si>
    <t>Аудит: Уч. / Н.А.Казакова, - 2 изд. - М.:НИЦ ИНФРА-М,2025. - 308 с.-(ВО: Магистратура)(П)</t>
  </si>
  <si>
    <t>Казакова Н.А., Ефремова Е.И., Казакова Н.А.</t>
  </si>
  <si>
    <t>978-5-16-017267-5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</si>
  <si>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«магистр») (протокол № 8 от 19.10.2022)</t>
  </si>
  <si>
    <t>805084.01.01</t>
  </si>
  <si>
    <t>Аудит: Уч. / Н.Г.Гаджиев и др. - М.:НИЦ ИНФРА-М,2025. - 449 с.(ВО)(п)</t>
  </si>
  <si>
    <t>Гаджиев Н.Г., Коноваленко С.А., Скрипкина О.В. и др.</t>
  </si>
  <si>
    <t>978-5-16-019341-0</t>
  </si>
  <si>
    <t>38.03.01, 38.04.08, 38.05.01, 38.05.02</t>
  </si>
  <si>
    <t>АКАДЕМУС-2023, Победитель, I место</t>
  </si>
  <si>
    <t>364100.03.01</t>
  </si>
  <si>
    <t>Аудит: Уч. пос. / С.А.Касьянова - М.:Вуз. уч., НИЦ ИНФРА-М,2020 - 196 с.(П)</t>
  </si>
  <si>
    <t>Касьянова С.А.</t>
  </si>
  <si>
    <t>978-5-9558-0440-8</t>
  </si>
  <si>
    <t>38.03.01</t>
  </si>
  <si>
    <t>Ремомендовано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t>
  </si>
  <si>
    <t>Российский экономический университет им. Г.В. Плеханова, Краснодарский ф-л</t>
  </si>
  <si>
    <t>471700.03.01</t>
  </si>
  <si>
    <t>Аудит: Уч.пос. / Д.Ю.Филипьев - М.:ИЦ РИОР, НИЦ ИНФРА-М,2019.-179 с..-(ВО: Бакалавриат)(О)</t>
  </si>
  <si>
    <t>Филипьев Д.Ю., Пислегина Н.В.</t>
  </si>
  <si>
    <t>978-5-369-01539-1</t>
  </si>
  <si>
    <t>38.03.01, 38.04.01, 38.04.08, 38.04.09</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</si>
  <si>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и «Налоги и налогообложение»</t>
  </si>
  <si>
    <t>Алтайский государственный технический университет им. И.И. Ползунова</t>
  </si>
  <si>
    <t>682827.02.01</t>
  </si>
  <si>
    <t>Аудит: Уч.пос. / С.А.Касьянова - М.:Вуз. уч.,НИЦ ИНФРА-М,2020 - 196 с.(СПО)(П)</t>
  </si>
  <si>
    <t>978-5-9558-0620-4</t>
  </si>
  <si>
    <t>35.01.23, 35.01.24, 38.02.01, 38.02.03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</si>
  <si>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38.02.03 «Операционная деятельность в логистике» (протокол № 3 от 11.02. 2019)</t>
  </si>
  <si>
    <t>364100.06.01</t>
  </si>
  <si>
    <t>Аудит: Уч.пос. / С.А.Касьянова, - 2 изд., - М.:НИЦ ИНФРА-М,2025. - 200 с.(ВО: Бакалавриат)(П)</t>
  </si>
  <si>
    <t>978-5-16-017617-8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</si>
  <si>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4 от 13.04.2022)</t>
  </si>
  <si>
    <t>682827.07.01</t>
  </si>
  <si>
    <t>Аудит: Уч.пос. / С.А.Касьянова, - 2 изд., - М.:НИЦ ИНФРА-М,2025. - 200 с.(СПО)(П)</t>
  </si>
  <si>
    <t>978-5-16-017620-8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</si>
  <si>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38.02.03 «Операционная деятельность в логистике» (протокол № 4 от 13.04.2022)</t>
  </si>
  <si>
    <t>684986.03.01</t>
  </si>
  <si>
    <t>Аудит:Уч. / И.В.Федоренко, - 2-е изд.-М.:НИЦ ИНФРА-М,2023.-272 с..-(СПО)</t>
  </si>
  <si>
    <t>978-5-16-015889-1</t>
  </si>
  <si>
    <t>761038.01.01</t>
  </si>
  <si>
    <t>Аускультация сердца: Уч.пос. / В.Н.Ослопов и др.-М.:НИЦ ИНФРА-М,2024.-303 с.(ВО.Сп)(п)</t>
  </si>
  <si>
    <t>АУСКУЛЬТАЦИЯ СЕРДЦА</t>
  </si>
  <si>
    <t>Ослопов В.Н., Мишанина Ю.С., Ослопова Ю.В. и др.</t>
  </si>
  <si>
    <t>978-5-16-017523-2</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</si>
  <si>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по программам специалитета 31.05.01 «Лечебное дело», 31.05.02 «Педиатрия», 32.05.01 «Медико-профилактическое дело» (протокол № 072 от 21 сентября 2023 г.)</t>
  </si>
  <si>
    <t>Казанский государственный медицинский университет</t>
  </si>
  <si>
    <t>068850.15.01</t>
  </si>
  <si>
    <t>Аутсорсинг и аутстаффинг: высокие тех. менед.: Уч.пос. / Б.А.Аникин - 4 изд.-М.:НИЦ ИНФРА-М,2022.-313 с.(ВО)(П)</t>
  </si>
  <si>
    <t>АУТСОРСИНГ И АУТСТАФФИНГ: ВЫСОКИЕ ТЕХНОЛОГИИ МЕНЕДЖМЕНТА, ИЗД.4</t>
  </si>
  <si>
    <t>Аникин Б.А., Рудая И.Л.</t>
  </si>
  <si>
    <t>978-5-16-016979-8</t>
  </si>
  <si>
    <t>38.03.01, 38.03.02, 38.03.03, 38.03.04, 38.04.01, 38.04.02, 38.04.03, 38.04.04, 42.03.01</t>
  </si>
  <si>
    <t>Рекомендовано Учебно-методическим объединением вузов России по образованию в области менеджмента в качестве учебного пособия для студентов образовательных организаций высшего образования</t>
  </si>
  <si>
    <t>0422</t>
  </si>
  <si>
    <t>068850.13.01</t>
  </si>
  <si>
    <t>Аутсорсинг и аутстаффинг: высокие тех. менед.: Уч.пос. / Б.А.Аникин -3 изд. - М.:НИЦ ИНФРА-М,2020-330с</t>
  </si>
  <si>
    <t>АУТСОРСИНГ И АУТСТАФФИНГ: ВЫСОКИЕ ТЕХНОЛОГИИ МЕНЕДЖМЕНТА, ИЗД.3</t>
  </si>
  <si>
    <t>978-5-16-011101-8</t>
  </si>
  <si>
    <t>Рекомендовано   Учебно-методическим объединением вузов России по образованию в области менеджмента в качестве учебного пособия для студентов образовательных организаций высшего образования</t>
  </si>
  <si>
    <t>657351.05.01</t>
  </si>
  <si>
    <t>Афроамериканская лит. США: очерки и портреты: Моногр/ / Б.А.Гиленсон-М.:НИЦ ИНФРА-М,2023.-187 с(П)</t>
  </si>
  <si>
    <t>АФРОАМЕРИКАНСКАЯ ЛИТЕРАТУРА США: ОЧЕРКИ И ПОРТРЕТЫ</t>
  </si>
  <si>
    <t>Гиленсон Б.А.</t>
  </si>
  <si>
    <t>Научная мысль</t>
  </si>
  <si>
    <t>978-5-16-012826-9</t>
  </si>
  <si>
    <t>41.03.06, 42.03.02, 42.03.03, 42.03.04, 44.03.05</t>
  </si>
  <si>
    <t>Московский городской педагогический университет</t>
  </si>
  <si>
    <t>316100.05.01</t>
  </si>
  <si>
    <t>Аэродинамика и тепломассообмен газодисперсных..: Уч. пос. /М.И.Шиляев -Форум, ИНФРА-М, 2023 -288с.(П)</t>
  </si>
  <si>
    <t>АЭРОДИНАМИКА И ТЕПЛОМАССООБМЕН ГАЗОДИСПЕРСНЫХ ПОТОКОВ, ИЗД.2</t>
  </si>
  <si>
    <t>Шиляев М.И.</t>
  </si>
  <si>
    <t>978-5-91134-976-9</t>
  </si>
  <si>
    <t>08.03.01, 08.04.01, 13.03.01, 13.04.01</t>
  </si>
  <si>
    <t>Томский государственный архитектурно-строительный университет</t>
  </si>
  <si>
    <t>240800.15.01</t>
  </si>
  <si>
    <t>Базовые и прикладные информ. технологии: Уч. / В.А.Гвоздева - М.:ИД ФОРУМ, НИЦ ИНФРА-М,2025 - 383 с.(ВО)</t>
  </si>
  <si>
    <t>БАЗОВЫЕ И ПРИКЛАДНЫЕ ИНФОРМАЦИОННЫЕ ТЕХНОЛОГИИ</t>
  </si>
  <si>
    <t>Гвоздева В. А.</t>
  </si>
  <si>
    <t>978-5-8199-0885-3</t>
  </si>
  <si>
    <t>09.03.02</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</si>
  <si>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учебника для студентов высших учебных заведений, обучающихся по техническим специальностям</t>
  </si>
  <si>
    <t>682829.02.01</t>
  </si>
  <si>
    <t>Базовые сред.програм.на Visual Basic  в среде... / В.Н.Шакин - М.:Форум,НИЦ ИНФРА-М,2021 - 287 с.(СПО)</t>
  </si>
  <si>
    <t>БАЗОВЫЕ СРЕДСТВА ПРОГРАММИРОВАНИЯ НА VISUAL BASIC  В СРЕДЕ VISUALSTUDIO NET. ПРАКТИКУМ</t>
  </si>
  <si>
    <t>Шакин В.Н.</t>
  </si>
  <si>
    <t>978-5-00091-565-3</t>
  </si>
  <si>
    <t>09.01.03, 09.01.04, 09.01.05, 09.02.01, 09.02.02, 09.02.03, 09.02.04, 09.02.05, 09.02.06, 09.02.07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</si>
  <si>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</si>
  <si>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Московский технический университет связи и информатики, Северо-Кавказский ф-л</t>
  </si>
  <si>
    <t>682828.01.01</t>
  </si>
  <si>
    <t>Базовые средства прогр. на Visual Basic в среде Visual...: Уч.пос/В.Н.Шакин-М.:Форум,НИЦ ИНФРА-М,2019-303c(п)</t>
  </si>
  <si>
    <t>БАЗОВЫЕ СРЕДСТВА ПРОГРАММИРОВАНИЯ НА VISUAL BASIC В СРЕДЕ VISUALSTUDIO .NET</t>
  </si>
  <si>
    <t>978-5-00091-564-6</t>
  </si>
  <si>
    <t>08.01.30, 08.01.31, 08.02.12, 08.02.13, 08.02.14, 08.02.15, 09.01.04, 09.01.05, 09.02.01, 09.02.02, 09.02.03, 09.02.04, 09.02.05, 13.02.12, 18.02.10, 18.02.15, 19.02.11, 19.02.12, 19.02.14, 19.02.15, 21.02.02, 21.02.09, 24.02.01, 24.02.02, 29.02.10, 35.01.16, 35.01.30, 35.01.33, 35.02.01, 35.02.17,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</si>
  <si>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09.02.03 «Программирование в компьютерных системах», 09.02.04 «Информационные системы (по отраслям)», 09.02.05 «Прикладная информатика (по отраслям)»</t>
  </si>
  <si>
    <t>343500.05.01</t>
  </si>
  <si>
    <t>Базовые средства программирования на Visual Basic... Практ.: Уч.пос.-М.:Форум, ИНФРА-М,2023.-288с.(П)</t>
  </si>
  <si>
    <t>978-5-00091-054-2</t>
  </si>
  <si>
    <t>09.03.01, 09.03.02, 09.03.03, 09.03.04, 09.05.01</t>
  </si>
  <si>
    <t>339700.05.01</t>
  </si>
  <si>
    <t>Базовые средства программирования на Visual Basic.../В.Н.Шакин-Форум: НИЦ ИНФРА-М,2024-304(ВО: Бак.)(п)</t>
  </si>
  <si>
    <t>БАЗОВЫЕ СРЕДСТВА ПРОГРАММИРОВАНИЯ НА VISUAL BASIC  В СРЕДЕ VISUALSTUDIO. NET</t>
  </si>
  <si>
    <t>978-5-00091-044-3</t>
  </si>
  <si>
    <t>Рекомендовано УМО по образованию в области инфокоммуникационных технологии и систем связи в качестве учебного пособия для студентов высших учебных заведений, обучающихся по направлениям подготовки 11.03.02 и 11.04.02 «Инфокоммуникационные технологии</t>
  </si>
  <si>
    <t>690447.06.01</t>
  </si>
  <si>
    <t>Базы данных и их безопасность: Уч.пос. / Ю.В.Полищук - М.:НИЦ ИНФРА-М,2025 - 210 с.(ВО)(П)</t>
  </si>
  <si>
    <t>БАЗЫ ДАННЫХ И ИХ БЕЗОПАСНОСТЬ</t>
  </si>
  <si>
    <t>Полищук Ю.В., Боровский А.С.</t>
  </si>
  <si>
    <t>978-5-16-020567-0</t>
  </si>
  <si>
    <t>10.05.01, 10.05.02, 10.05.03, 10.05.04, 10.05.05, 10.05.07</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</si>
  <si>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10.00.00 «Информационная безопасность» в качестве учебного пособия студентов образовательных организаций высшего образования, обучающихся по специальности 10.05.03 «Информационная безопасность автоматизированных систем»</t>
  </si>
  <si>
    <t>Оренбургский государственный университет</t>
  </si>
  <si>
    <t>734789.06.01</t>
  </si>
  <si>
    <t>Базы данных и их безопасность: Уч.пос. / Ю.В.Полищук - М.:НИЦ ИНФРА-М,2025 - 210 с.-(СПО)(П)</t>
  </si>
  <si>
    <t>978-5-16-016151-8</t>
  </si>
  <si>
    <t>09.01.03, 09.02.01, 09.02.04, 09.02.06, 09.02.07, 09.02.09, 10.02.01, 10.02.02, 10.02.03, 11.02.12, 51.02.03, 09.02.10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</si>
  <si>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09.00.00 «Информатика и вычислительная техника», 10.00.00 «Информационная безопасность» (протокол № 8 от 22.06.2020)</t>
  </si>
  <si>
    <t>52</t>
  </si>
  <si>
    <t>633184.10.01</t>
  </si>
  <si>
    <t>Базы данных.Практ. прим.СУБД SQL и NoSOL: Уч.пос./ С.А.Мартишин-М.:ИД ФОРУМ, НИЦ ИНФРА-М,2024-368с.(ВО)(П)</t>
  </si>
  <si>
    <t>БАЗЫ ДАННЫХ.ПРАКТИЧЕСКОЕ ПРИМЕНЕНИЕ СУБД SQL И NOSOL-ТИПА ДЛЯ ПРИМЕНЕНИЯ ПРОЕКТИРОВАНИЯ ИНФОРМАЦИОННЫХ СИСТЕМ</t>
  </si>
  <si>
    <t>Мартишин С.А., Симонов В.Л., Храпченко М.В.</t>
  </si>
  <si>
    <t>978-5-8199-0946-1</t>
  </si>
  <si>
    <t>01.03.02, 02.03.02, 02.03.03, 03.03.02, 09.03.01, 09.03.02, 09.03.03, 09.03.04, 09.05.01, 38.03.05</t>
  </si>
  <si>
    <t>Рекомендовано научно-методическим советом Национального исследовательского университета «МИЭТ» в качестве учебного пособия для бакалавров и магистрантов направлений подготовки 01.03.02 «Прикладная математика и информатика», 09.03.01 «Информатика и вычислительная техника», 09.03.02 «Информационные системы и технологии», 09.03.03 «Прикладная информатика», 09.03.04 «Программная инженерия», 27.03.04 «Управление в технических системах», 38.03.05 «Бизнес-информатика», 44.03.01 «Педагогическое образование (профиль "Информатика")»</t>
  </si>
  <si>
    <t>Институт системного программирования Российской академии наук</t>
  </si>
  <si>
    <t>682830.06.01</t>
  </si>
  <si>
    <t>Базы данных.Практ.прим.СУБД SQL- и NoSOL..:Уч.пос./С.А.Мартишин-М.:ИД ФОРУМ,НИЦ ИНФРА-М,2023-368(СПО)(П)</t>
  </si>
  <si>
    <t>БАЗЫ ДАННЫХ. ПРАКТИЧЕСКОЕ ПРИМЕНЕНИЕ СУБД SQL- И NOSOL-ТИПА ДЛЯ ПРИМЕНЕНИЯ ПРОЕКТИРОВАНИЯ ИНФОРМАЦИОННЫХ СИСТЕМ</t>
  </si>
  <si>
    <t>978-5-8199-0785-6</t>
  </si>
  <si>
    <t>09.01.03, 09.01.04, 09.01.05, 09.02.01, 09.02.02, 09.02.03, 09.02.04, 09.02.05, 09.02.06, 09.02.07, 09.02.09, 10.02.01, 10.02.02, 10.02.03, 10.02.04, 11.02.12, 51.02.03, 09.02.10</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</si>
  <si>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УГС 09.02.00 «Информатика и вычислительная техника»</t>
  </si>
  <si>
    <t>753620.01.01</t>
  </si>
  <si>
    <t>Базы данных: Проектир. и разработка...: Уч.пос. / С.А.Мартишин.-М.:НИЦ ИНФРА-М,2022.-325 с.(ВО)(п)</t>
  </si>
  <si>
    <t>БАЗЫ ДАННЫХ: ПРОЕКТИРОВАНИЕ И РАЗРАБОТКА ИНФОРМАЦИОННЫХ СИСТЕМ С ИСПОЛЬЗОВАНИЕМ СУБД MYSQL И ЯЗЫКА GO</t>
  </si>
  <si>
    <t>978-5-16-017213-2</t>
  </si>
  <si>
    <t>09.03.01, 09.03.02, 09.03.03, 09.03.04, 27.03.04, 38.03.05, 44.03.01</t>
  </si>
  <si>
    <t>Рекомендовано в качестве учебного пособия для студентов (специалитет, бакалавриат и магистратура) специальностей направлений подготовки: «Информатика и вычислительная техника», «Информационные системы и технологии», «Программная инженерия», «Прикладная математика и информатика», «Управление в технических системах», «Бизнес-информатика», «Педагогическое образование»</t>
  </si>
  <si>
    <t>704388.06.01</t>
  </si>
  <si>
    <t>Базы данных: Работа с распред. базами данных...: Уч.пос. / С.А.Мартишин-М.:НИЦ ИНФРА-М,2024-235с(ВО)(п)</t>
  </si>
  <si>
    <t>БАЗЫ ДАННЫХ: РАБОТА С РАСПРЕДЕЛЕННЫМИ БАЗАМИ ДАННЫХ И ФАЙЛОВЫМИ СИСТЕМАМИ НА ПРИМЕРЕ MONGODB И HDFS С ИСПОЛЬЗОВАНИЕМ NODE.JS, EXPRESS.JS, APACHE SPARK И SCALA</t>
  </si>
  <si>
    <t>978-5-16-019845-3</t>
  </si>
  <si>
    <t>01.03.02, 01.04.02, 09.03.01, 09.03.02, 09.03.03, 09.03.04, 09.04.01, 09.04.02, 09.04.03, 09.04.04, 38.03.05, 38.04.05</t>
  </si>
  <si>
    <t>Рекомендовано в качестве учебного пособия для студентов, бакалавров и магистрантов направлений подготовки «Информатика и вычислительная техника», «Информационные системы и технологии», «Программная инженерия», «Прикладная математика и информатика», «Прикладная информатика», «Управление в технических системах», «Бизнес-информатика», «Педагогическое образование» (профиль «Информатика»)</t>
  </si>
  <si>
    <t>719616.04.01</t>
  </si>
  <si>
    <t>Базы данных: Работа с распределенными базами данных...: Уч.пос./ С.А. Мартишин,М. : ИНФРА-М, 2023.-235с(П)</t>
  </si>
  <si>
    <t>978-5-16-015643-9</t>
  </si>
  <si>
    <t>09.01.03, 09.02.01, 10.02.03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</si>
  <si>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12 от 24.06.2019)</t>
  </si>
  <si>
    <t>684990.06.01</t>
  </si>
  <si>
    <t>Базы данных: Уч. / Л.И.Шустова - М.:НИЦ ИНФРА-М,2024 - 304 с.-(СПО)(П)</t>
  </si>
  <si>
    <t>БАЗЫ ДАННЫХ</t>
  </si>
  <si>
    <t>Шустова Л.И., Тараканов О.В.</t>
  </si>
  <si>
    <t>978-5-16-014161-9</t>
  </si>
  <si>
    <t>09.01.03, 09.02.01, 09.02.02, 09.02.03, 09.02.04, 09.02.05, 10.02.01, 10.02.03, 11.02.12, 51.02.03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</si>
  <si>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</si>
  <si>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322400.10.01</t>
  </si>
  <si>
    <t>Базы данных: Уч. / Л.И.Шустова - М.:НИЦ ИНФРА-М,2025. - 304 с.-(ВО: Бакалавриат)(П)</t>
  </si>
  <si>
    <t>978-5-16-010485-0</t>
  </si>
  <si>
    <t>09.03.01, 09.03.02, 09.03.04, 09.04.01, 09.04.02, 09.04.03, 09.04.04</t>
  </si>
  <si>
    <t>Допущено Учебно-методическим объединением по образованию в области прикладной информатики в качестве учебника для студентов, обучающихся по направлению подготовки 09.03.03 «Прикладная информатика» (квалификация (степень) «бакалавр»)</t>
  </si>
  <si>
    <t>109600.16.01</t>
  </si>
  <si>
    <t>Базы данных: Уч.: В 2 кн.Кн.1: Локальные базы данных / В.П. Агальцов-ФОРУМ: ИНФРА-М,2025-352с.(ВО) (п)</t>
  </si>
  <si>
    <t>БАЗЫ ДАННЫХ, ИЗД.2</t>
  </si>
  <si>
    <t>Агальцов В. П.</t>
  </si>
  <si>
    <t>978-5-8199-0377-3</t>
  </si>
  <si>
    <t>01.03.02, 01.03.04, 02.03.02, 03.03.02, 04.03.02, 09.03.01, 09.03.03, 09.03.04, 45.03.04</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</si>
  <si>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"Информатика и вычислительная техника"</t>
  </si>
  <si>
    <t>107900.13.01</t>
  </si>
  <si>
    <t>Базы данных: Уч.: В 2 кн.Кн.2: Распр. и удал.. / В.П.Агальцов - М.:ИД ФОРУМ,ИНФРА-М,2024-271с(ВО)(п)</t>
  </si>
  <si>
    <t>Агальцов В.П.</t>
  </si>
  <si>
    <t>978-5-8199-0959-1</t>
  </si>
  <si>
    <t>01.03.02, 01.03.04, 02.03.02, 02.03.03, 02.04.02, 03.03.02, 04.03.02, 09.03.01, 09.03.03, 09.03.04, 27.03.02</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</si>
  <si>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09.03.01 "Информатика и вычислительная техника"</t>
  </si>
  <si>
    <t>842287.01.01</t>
  </si>
  <si>
    <t>Базы данных: Уч.пос. / О.В.Исаченко - М.:НИЦ ИНФРА-М,2025. - 202 с.(ВО)(п)</t>
  </si>
  <si>
    <t>Исаченко О.В.</t>
  </si>
  <si>
    <t>978-5-16-020320-1</t>
  </si>
  <si>
    <t>01.03.02, 01.03.04, 01.05.01, 02.03.02, 02.03.03, 03.03.01, 03.03.02, 03.03.03, 04.03.02, 09.03.01, 09.03.03, 09.03.04, 09.05.01, 10.05.03, 10.05.05, 22.03.01, 24.05.03, 30.05.03, 38.03.05, 38.04.05, 40.05.03, 45.03.04, 45.04.03, 45.04.04, 51.03.06</t>
  </si>
  <si>
    <t>2ПО</t>
  </si>
  <si>
    <t>731820.01.01</t>
  </si>
  <si>
    <t>Базы данных: Уч.пос. / О.В.Исаченко - М.:НИЦ ИНФРА-М,2025. - 202 с.-(СПО)(п)</t>
  </si>
  <si>
    <t>978-5-16-016506-6</t>
  </si>
  <si>
    <t>09.02.01, 10.02.01, 10.02.03, 11.02.12, 51.02.03</t>
  </si>
  <si>
    <t>682831.09.01</t>
  </si>
  <si>
    <t>Базы данных: Уч.пос. / О.Л.Голицына - 4 изд. - М.:Форум, НИЦ ИНФРА-М,2025 - 400 с.-(СПО)(П)</t>
  </si>
  <si>
    <t>БАЗЫ ДАННЫХ, ИЗД.4</t>
  </si>
  <si>
    <t>Голицына О.Л., Максимов Н.В., Попов И.И.</t>
  </si>
  <si>
    <t>978-5-00091-601-8</t>
  </si>
  <si>
    <t>09.01.03, 09.02.01, 09.02.02, 09.02.03, 09.02.04, 09.02.05, 09.02.06, 09.02.07, 09.02.09, 10.02.01, 10.02.03, 11.02.12, 51.02.03, 09.02.10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</si>
  <si>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t>
  </si>
  <si>
    <t>046850.21.01</t>
  </si>
  <si>
    <t>Базы данных: Уч.пос. / О.Л.Голицына. - 4 изд. - М.:Форум, НИЦ ИНФРА-М,2025. - 400 с.-(ВО)(П)</t>
  </si>
  <si>
    <t>978-5-00091-516-5</t>
  </si>
  <si>
    <t>01.03.02, 01.03.04, 02.03.02, 02.03.03, 03.03.02, 04.03.02, 09.03.01, 09.03.03, 09.03.04, 45.03.04</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</si>
  <si>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направлению 09.03.03 «Прикладная информатика»</t>
  </si>
  <si>
    <t>0414</t>
  </si>
  <si>
    <t>061750.12.01</t>
  </si>
  <si>
    <t>Банковские операции: Уч. / А.В.Печникова - 2 изд. - М.:ИД ФОРУМ, НИЦ ИНФРА-М,2023-336с.(ПО)</t>
  </si>
  <si>
    <t>БАНКОВСКИЕ ОПЕРАЦИИ, ИЗД.2</t>
  </si>
  <si>
    <t>Печникова А.В., Маркова О.М., Стародубцева Е.Б.</t>
  </si>
  <si>
    <t>978-5-8199-0578-4</t>
  </si>
  <si>
    <t>Допущено Министерством образования РФ в качестве учебника для студентов общеобразовательных учреждений среднего профессионального образования</t>
  </si>
  <si>
    <t>061750.13.01</t>
  </si>
  <si>
    <t>Банковские операции: Уч. / Е.Б.Стародубцева, - 3 изд. - М.:НИЦ ИНФРА-М,2025. - 303 с.(СПО (ФинУн))(п)</t>
  </si>
  <si>
    <t>БАНКОВСКИЕ ОПЕРАЦИИ, ИЗД.3</t>
  </si>
  <si>
    <t>Стародубцева Е.Б., Маркова О.М.</t>
  </si>
  <si>
    <t>978-5-16-018159-2</t>
  </si>
  <si>
    <t>Допущено Министерством науки и высшего образования Российской Федерации в качестве учебника для студентов образовательных учреждений среднего профессионального образования</t>
  </si>
  <si>
    <t>0323</t>
  </si>
  <si>
    <t>081800.10.01</t>
  </si>
  <si>
    <t>Банковские операции: Уч. пос. / Под ред. Ю.И.Коробова - М.: Магистр:НИЦ ИНФРА-М,2023 - 448 с.(СПО)(П)</t>
  </si>
  <si>
    <t>БАНКОВСКИЕ ОПЕРАЦИИ</t>
  </si>
  <si>
    <t>Коробова Г. Г., Нестеренко Е. А., Карпова Р. А., Коробов Ю. И.</t>
  </si>
  <si>
    <t>Колледж</t>
  </si>
  <si>
    <t>978-5-9776-0007-1</t>
  </si>
  <si>
    <t>38.01.02, 38.02.01, 38.02.06, 38.02.07, 43.01.05</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</si>
  <si>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0601 "Экономика и бухгалтерский учет" (по отраслям)</t>
  </si>
  <si>
    <t>Саратовский государственный технический университет им. Гагарина Ю.А., ф-л Саратовский социально-экономический институт</t>
  </si>
  <si>
    <t>800833.03.01</t>
  </si>
  <si>
    <t>Банковский маркетинг: Уч.пос. / И.В.Курникова-М.:ИЦ РИОР, НИЦ ИНФРА-М,2023.-141 с.(ВО)(о)</t>
  </si>
  <si>
    <t>БАНКОВСКИЙ МАРКЕТИНГ</t>
  </si>
  <si>
    <t>Курникова И.В., Савин В.Э.</t>
  </si>
  <si>
    <t>978-5-369-01928-3</t>
  </si>
  <si>
    <t>Ивановский государственный университет</t>
  </si>
  <si>
    <t>325200.09.01</t>
  </si>
  <si>
    <t>Банковский менеджмент: Уч. / Ю.Ю. Русанов - М.: Магистр: НИЦ ИНФРА-М, 2025 - 480 с.(Бакалавриат)(п)</t>
  </si>
  <si>
    <t>БАНКОВСКИЙ МЕНЕДЖМЕНТ</t>
  </si>
  <si>
    <t>Русанов Ю.Ю., Бадалов Л.А., Маганов В.В. и др.</t>
  </si>
  <si>
    <t>978-5-9776-0355-3</t>
  </si>
  <si>
    <t>38.03.02, 38.04.03</t>
  </si>
  <si>
    <t>Рекомендовано Учебно-методическим объединением по образованию в области экономики в качестве учебника для студентов высших учебных заведений обучающихся по направлению 38.03.01 (080100) "Экономика» (квалификация (степень) «бакалавр») по профилям «Бан</t>
  </si>
  <si>
    <t>700951.04.01</t>
  </si>
  <si>
    <t>Банковский менеджмент: Уч. / Я.Ю.Радюкова и др. - М.:НИЦ ИНФРА-М,2024 - 379 с.-(ВО)(п)</t>
  </si>
  <si>
    <t>Радюкова Я.Ю., Чернышова О.Н., Федорова А.Ю. и др.</t>
  </si>
  <si>
    <t>978-5-16-019189-8</t>
  </si>
  <si>
    <t>38.03.01, 38.04.08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</si>
  <si>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5 от 26.03.2020)</t>
  </si>
  <si>
    <t>685032.01.01</t>
  </si>
  <si>
    <t>Банковский надзор в РФ: Уч.пос. / Т.Э.Рождественская - М.:Юр.Норма, НИЦ ИНФРА-М,2018.-176 с.(П)</t>
  </si>
  <si>
    <t>БАНКОВСКИЙ НАДЗОР В РФ</t>
  </si>
  <si>
    <t>Рождественская Т.Э., Гузнов А.Г.</t>
  </si>
  <si>
    <t>978-5-91768-942-5</t>
  </si>
  <si>
    <t>685032.03.01</t>
  </si>
  <si>
    <t>Банковский надзор в РФ: Уч.пос. / Т.Э.Рождественская, - 2 изд.-М.:Юр.Норма, НИЦ ИНФРА-М,2024.-192 с.(П)</t>
  </si>
  <si>
    <t>БАНКОВСКИЙ НАДЗОР В РФ, ИЗД.2</t>
  </si>
  <si>
    <t>978-5-00156-187-3</t>
  </si>
  <si>
    <t>124922.11.01</t>
  </si>
  <si>
    <t>Банковский риск-менеджмент: Уч. пос./П.П.Ковалев - 2 изд. - М.: КУРС: ИНФРА-М, 2024-320с.(Магистр.) (п)</t>
  </si>
  <si>
    <t>БАНКОВСКИЙ РИСК-МЕНЕДЖМЕНТ, ИЗД.2</t>
  </si>
  <si>
    <t>Ковалев П. П.</t>
  </si>
  <si>
    <t>Магистратура</t>
  </si>
  <si>
    <t>978-5-905554-36-0</t>
  </si>
  <si>
    <t>38.04.01, 38.04.02</t>
  </si>
  <si>
    <t>Траст</t>
  </si>
  <si>
    <t>640453.07.01</t>
  </si>
  <si>
    <t>Банковское дело: орг. деятельности центр. банка...: Уч. / А.А.Казимагомедов-М.:НИЦ ИНФРА-М,2023-502 с.(П)</t>
  </si>
  <si>
    <t>БАНКОВСКОЕ ДЕЛО: ОРГАНИЗАЦИЯ ДЕЯТЕЛЬНОСТИ ЦЕНТРАЛЬНОГО БАНКА  И КОММЕРЧЕСКОГО БАНКА, НЕБАНКОВСКИХ ОРГАНИЗАЦИЙ</t>
  </si>
  <si>
    <t>Казимагомедов А.А.</t>
  </si>
  <si>
    <t>978-5-16-012458-2</t>
  </si>
  <si>
    <t>247600.08.01</t>
  </si>
  <si>
    <t>Банковское дело: Уч. / Е.Б. Стародубцева - М.: ИД ФОРУМ:  НИЦ ИНФРА-М, 2025. - 464 с.(ВО) (п)</t>
  </si>
  <si>
    <t>БАНКОВСКОЕ ДЕЛО</t>
  </si>
  <si>
    <t>Стародубцева Е.Б.</t>
  </si>
  <si>
    <t>978-5-8199-0575-3</t>
  </si>
  <si>
    <t>38.04.08</t>
  </si>
  <si>
    <t>Рекомендовано в качестве учебника для студентов высших учебных заведений, обучающихся по направлению подготовки бакалавров и магистров для направления 38.03.01 «Экономика» специализации «Банки и банковская деятельность»</t>
  </si>
  <si>
    <t>036537.18.01</t>
  </si>
  <si>
    <t>Банковское дело: Уч. / Под ред. Коробовой Г.Г. - 2 изд. - М.:Магистр, НИЦ ИНФРА-М, 2023 - 592 с.(П)</t>
  </si>
  <si>
    <t>БАНКОВСКОЕ ДЕЛО, ИЗД.2</t>
  </si>
  <si>
    <t>Коробова Г.Г.</t>
  </si>
  <si>
    <t>978-5-9776-0109-2</t>
  </si>
  <si>
    <t>38.03.01, 38.03.02, 38.03.04, 38.04.01, 38.04.02, 38.04.04, 38.04.08, 44.03.05</t>
  </si>
  <si>
    <t>Допущено Министерством образования и науки Российской Федерации в качестве учебника для студентов высших учебных заведений, обучающихся по финансово-экономическим специальностям</t>
  </si>
  <si>
    <t>683239.02.01</t>
  </si>
  <si>
    <t>Банковское право Российской Федерации: уч. / Е.Ю.Грачева-М.:Юр.Норма, НИЦ ИНФРА-М,2018.-368 с..-(СПО)(П 7БЦ)</t>
  </si>
  <si>
    <t>БАНКОВСКОЕ ПРАВО РОССИЙСКОЙ ФЕДЕРАЦИИ</t>
  </si>
  <si>
    <t>Грачева Е.Ю.</t>
  </si>
  <si>
    <t>978-5-91768-925-8</t>
  </si>
  <si>
    <t>38.01.03, 38.02.06, 38.02.07</t>
  </si>
  <si>
    <t>683239.06.01</t>
  </si>
  <si>
    <t>Банковское право РФ: Уч. / Е.Ю.Грачева - 2 изд. - М.:Юр.Норма, НИЦ ИНФРА-М,2025 - 336 с.-(П)</t>
  </si>
  <si>
    <t>БАНКОВСКОЕ ПРАВО РОССИЙСКОЙ ФЕДЕРАЦИИ, ИЗД.2</t>
  </si>
  <si>
    <t>978-5-00156-139-2</t>
  </si>
  <si>
    <t>095250.07.01</t>
  </si>
  <si>
    <t>Банковское право РФ: Уч. / Отв. ред. Е.Ю.Грачева, - 3 изд.-М.:Юр.Норма,НИЦ ИНФРА-М,2019-368с.(П)</t>
  </si>
  <si>
    <t>БАНКОВСКОЕ ПРАВО РОССИЙСКОЙ ФЕДЕРАЦИИ, ИЗД.3</t>
  </si>
  <si>
    <t>978-5-91768-737-7</t>
  </si>
  <si>
    <t>40.03.01, 40.04.01, 40.05.01, 40.05.02, 40.05.03, 40.05.04, 44.03.05</t>
  </si>
  <si>
    <t>095250.11.01</t>
  </si>
  <si>
    <t>Банковское право РФ: Уч. / Отв. ред. Е.Ю.Грачева, - 4 изд.-М.:Юр.Норма,НИЦ ИНФРА-М,2024-336с.(П)</t>
  </si>
  <si>
    <t>БАНКОВСКОЕ ПРАВО РОССИЙСКОЙ ФЕДЕРАЦИИ, ИЗД.4</t>
  </si>
  <si>
    <t>978-5-00156-093-7</t>
  </si>
  <si>
    <t>757885.02.01</t>
  </si>
  <si>
    <t>Банковское право: Уч. / Е.Г.Хоменко - М.:Юр.Норма, НИЦ ИНФРА-М,2025 - 384 с.(П)</t>
  </si>
  <si>
    <t>БАНКОВСКОЕ ПРАВО</t>
  </si>
  <si>
    <t>Хоменко Е.Г.</t>
  </si>
  <si>
    <t>978-5-00156-179-8</t>
  </si>
  <si>
    <t>708859.04.01</t>
  </si>
  <si>
    <t>Безопасная эксплуатация сис. электроснабжения: Уч.пос. / Г.В.Пачурин - М.:НИЦ ИНФРА-М,2025 - 205 с.(ВО)(П)</t>
  </si>
  <si>
    <t>БЕЗОПАСНАЯ ЭКСПЛУАТАЦИЯ СИСТЕМ ЭЛЕКТРОСНАБЖЕНИЯ</t>
  </si>
  <si>
    <t>Пачурин Г.В., Маслеева О.В., Севостьянов А.А. и др.</t>
  </si>
  <si>
    <t>978-5-16-015379-7</t>
  </si>
  <si>
    <t>13.03.01, 13.03.02, 13.03.03, 15.03.02</t>
  </si>
  <si>
    <t>Рекомендовано УМО РАЕ по классическому университетскому образованию в качестве учебного пособия для студентов высших учебных заведений, обучающихся по направлениям подготовки 13.03.02 и 13.04.02 «Электроэнергетика и электротехника», 20.03.01 «Техносферная безопасность»</t>
  </si>
  <si>
    <t>805941.03.01</t>
  </si>
  <si>
    <t>Безопасность в  чрезвычайных ситуациях: Уч. / В.А.Бондаренко.-М.:ИЦ РИОР, НИЦ ИНФРА-М,2025.-224 с.(ВО)(п)</t>
  </si>
  <si>
    <t>БЕЗОПАСНОСТЬ В  ЧРЕЗВЫЧАЙНЫХ СИТУАЦИЯХ</t>
  </si>
  <si>
    <t>Бондаренко В.А., Евтушенко С.И., Лепихова В.А. и др.</t>
  </si>
  <si>
    <t>978-5-369-01929-0</t>
  </si>
  <si>
    <t>00.03.01, 00.05.01, 01.03.01, 01.03.02, 01.03.03, 01.03.04, 01.05.01, 02.03.01, 02.03.02, 02.03.03, 03.03.02, 03.03.03, 04.03.01, 04.03.02, 05.03.01, 05.03.03, 05.03.04, 05.03.06, 06.03.01, 06.03.02, 07.03.02, 07.03.03, 07.03.04, 08.03.01, 09.03.01, 09.03.03, 09.03.04, 11.03.01, 11.03.02, 11.03.03, 11.03.04, 12.03.01, 12.03.02, 12.03.03, 12.03.04, 12.03.05, 13.03.02, 13.03.03, 14.03.01, 15.03.01, 15.03.03, 15.03.05, 16.03.01, 16.03.02, 16.03.03, 17.03.01, 18.03.01, 18.03.02, 19.03.01, 19.03.02, 19.03.04, 20.03.01, 20.03.02, 21.03.01, 21.03.02, 21.03.03, 21.05.04, 22.03.01, 23.03.01, 23.03.02, 23.03.03, 24.03.01, 24.03.03, 24.03.04, 24.03.05, 25.03.01, 25.03.02, 25.03.03, 25.03.04, 26.03.02, 27.03.01, 27.03.02, 27.03.04, 27.03.05, 28.03.01, 28.03.02, 29.03.01, 29.03.02, 29.03.03, 29.03.05, 31.05.02, 31.05.03, 32.05.01, 33.05.01, 34.03.01, 35.03.01, 35.03.02, 35.03.03, 35.03.04, 35.03.05, 35.03.06, 35.03.08, 35.03.09, 35.03.10, 36.03.01, 36.03.02, 36.05.01, 37.03.01, 37.03.02, 38.03.01, 38.03.02, 38.03.03, 38.03.04, 38.03.07, 39.03.02, 39.03.03, 40.03.01, 41.03.01, 41.03.04, 41.03.05, 41.03.06, 42.03.01, 42.03.02, 42.03.03, 42.03.04, 43.03.01, 43.03.02, 43.03.03, 44.03.01, 44.03.03, 44.03.04, 44.03.05, 45.03.01, 45.03.02, 45.03.03, 45.03.04, 46.03.01, 46.03.02, 47.03.01, 47.03.02, 47.03.03, 48.03.01, 49.03.01, 49.03.02, 49.03.03, 50.03.01, 50.03.03, 51.03.01, 51.03.02, 51.03.03, 51.03.04, 51.03.05, 51.03.06, 52.03.01, 52.03.02, 52.03.04, 52.03.05, 53.03.06, 54.03.01, 54.03.02, 54.03.03, 54.03.04, 56.05.01</t>
  </si>
  <si>
    <t>135800.11.01</t>
  </si>
  <si>
    <t>Безопасность в техносфере: Уч. / В.Ю. Микрюков. - М.: Вуз. уч., М.:ИНФРА-М, 2024. - 251с. (п)</t>
  </si>
  <si>
    <t>БЕЗОПАСНОСТЬ В ТЕХНОСФЕРЕ</t>
  </si>
  <si>
    <t>Микрюков В. Ю.</t>
  </si>
  <si>
    <t>978-5-9558-0169-8</t>
  </si>
  <si>
    <t>00.03.01, 00.05.01</t>
  </si>
  <si>
    <t>Рекомендовано Академией военных наук Российской Федерации в качестве учебника для студентов высшего профессионального образования</t>
  </si>
  <si>
    <t>086630.13.01</t>
  </si>
  <si>
    <t>Безопасность в туризме: Уч. пос. / А.П. Бгатов. - 2 изд. - М.: Форум:  НИЦ ИНФРА-М, 2024-176с.(ВО) (о)</t>
  </si>
  <si>
    <t>БЕЗОПАСНОСТЬ В ТУРИЗМЕ, ИЗД.2</t>
  </si>
  <si>
    <t>Бгатов А. П.</t>
  </si>
  <si>
    <t>978-5-91134-756-7</t>
  </si>
  <si>
    <t>Естественные науки в целом</t>
  </si>
  <si>
    <t>43.03.02, 43.04.02</t>
  </si>
  <si>
    <t>Рекомендовано УМО учебных заведений РФ по образованию в области сервиса и туризма Министерства обр. и науки России в качестве учебного пособия для студентов высших учебных заведений, обучающихся по напр. подготовки "Туризм"</t>
  </si>
  <si>
    <t>Российская международная академия туризма, Московский ф-л</t>
  </si>
  <si>
    <t>702283.03.01</t>
  </si>
  <si>
    <t>Безопасность в туризме: Уч.пос./ А.П.Бгатов - 2 изд. - М.:Форум,НИЦ ИНФРА-М,2023 - 175 с.(СПО) (П)</t>
  </si>
  <si>
    <t>Бгатов А.П.</t>
  </si>
  <si>
    <t>978-5-00091-655-1</t>
  </si>
  <si>
    <t>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</si>
  <si>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8 от 29.04.2019)</t>
  </si>
  <si>
    <t>378600.15.01</t>
  </si>
  <si>
    <t>Безопасность дорожного движения: Уч.пос. / А.А.Беженцев - М.:Вуз. уч., НИЦ ИНФРА-М,2024 - 272 с.(П)</t>
  </si>
  <si>
    <t>БЕЗОПАСНОСТЬ ДОРОЖНОГО ДВИЖЕНИЯ</t>
  </si>
  <si>
    <t>978-5-9558-0569-6</t>
  </si>
  <si>
    <t>23.01.04, 23.02.01</t>
  </si>
  <si>
    <t>378600.16.01</t>
  </si>
  <si>
    <t>Безопасность дорожного движения: Уч.пос. / А.А.Беженцев, - 2 изд. - М.:НИЦ ИНФРА-М,2025. - 320 с.(СПО)(п)</t>
  </si>
  <si>
    <t>БЕЗОПАСНОСТЬ ДОРОЖНОГО ДВИЖЕНИЯ, ИЗД.2</t>
  </si>
  <si>
    <t>978-5-16-020115-3</t>
  </si>
  <si>
    <t>Январь, 2025</t>
  </si>
  <si>
    <t>486300.09.01</t>
  </si>
  <si>
    <t>Безопасность жизнедеят. и упр. рисками: Уч.пос. / Е.Н.Каменская-М.:ИЦ РИОР, НИЦ ИНФРА-М,2024-251(ВО)</t>
  </si>
  <si>
    <t>БЕЗОПАСНОСТЬ ЖИЗНЕДЕЯТЕЛЬНОСТИ И УПРАВЛЕНИЕ РИСКАМИ</t>
  </si>
  <si>
    <t>Каменская Е.Н.</t>
  </si>
  <si>
    <t>978-5-369-01541-4</t>
  </si>
  <si>
    <t>00.03.01</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</si>
  <si>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гуманитарным направлениям и специальностям</t>
  </si>
  <si>
    <t>682834.02.01</t>
  </si>
  <si>
    <t>Безопасность жизнедеят. предпр. легкой и...: Уч.пос. / П.Н.Умняков - 3 изд.-М.:Форум, НИЦ ИНФРА-М,2023-207с(П)</t>
  </si>
  <si>
    <t>БЕЗОПАСНОСТЬ ЖИЗНЕДЕЯТЕЛЬНОСТИ ПРЕДПРИЯТИЯ ЛЕГКОЙ И ТЕКСТИЛЬНОЙ ПРОМЫШЛЕННОСТИ, ИЗД.3</t>
  </si>
  <si>
    <t>Умняков П.Н., Смирнов В.А., Свищев Г.А.</t>
  </si>
  <si>
    <t>978-5-00091-539-4</t>
  </si>
  <si>
    <t>00.02.01, 29.01.01, 29.01.03, 29.01.04, 29.01.06, 29.01.09, 29.01.10, 29.01.11, 29.01.12, 29.01.13, 29.01.14, 29.01.15, 29.01.18, 29.01.19, 29.01.20, 29.01.21, 29.01.22, 29.01.23, 29.01.28, 29.01.30, 29.01.31, 29.01.32, 29.01.33, 29.01.34, 29.01.35, 29.01.36, 29.02.02, 29.02.05, 29.02.08, 29.02.10, 29.02.11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</si>
  <si>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 (протокол № 3 от 17.02.2020)</t>
  </si>
  <si>
    <t>486700.10.01</t>
  </si>
  <si>
    <t>Безопасность жизнедеят. предпр. легкой и..: Уч.пос. / П.Н.Умняков - 3 изд. - М.:Форум,НИЦ ИНФРА-М,2025 - 207 с.(П)</t>
  </si>
  <si>
    <t>Умняков П.Н., Смирнов В.А., Свищев Г.А. и др.</t>
  </si>
  <si>
    <t>978-5-00091-758-9</t>
  </si>
  <si>
    <t>29.03.01, 29.03.02, 29.03.03, 29.03.04, 29.03.05</t>
  </si>
  <si>
    <t>Рекомендовано Учебно-методическим объединением по образованию в области технологии, конструирования изделий легкой и текстильной промышленности в качестве учебного пособия для студентов высших учебных заведений, обучающихся по направлению подготовки бакалавров специальностей 29.03.01/02; 29.03.05; 50.03.02; 54.03.01/03; 15.03.03/04; 18.03.01</t>
  </si>
  <si>
    <t>455950.09.01</t>
  </si>
  <si>
    <t>Безопасность жизнедеятельности. Защита..: Уч. пос. / М.Г.Оноприенко - Форум:ИНФРА-М, 2024-400с.(ВО) (п)</t>
  </si>
  <si>
    <t>БЕЗОПАСНОСТЬ ЖИЗНЕДЕЯТЕЛЬНОСТИ. ЗАЩИТА ТЕРРИТОРИЙ И ОБЪЕКТОВ ЭКОНОМИКИ В ЧРЕЗВЫЧАЙНЫХ СИТУАЦИЯХ</t>
  </si>
  <si>
    <t>Оноприенко М. Г.</t>
  </si>
  <si>
    <t>978-5-91134-831-1</t>
  </si>
  <si>
    <t>39.03.01</t>
  </si>
  <si>
    <t>Сочинский государственный университет</t>
  </si>
  <si>
    <t>690050.09.01</t>
  </si>
  <si>
    <t>Безопасность жизнедеятельности. Практ.: Уч.пос. / В.А.Бондаренко - М.:ИЦ РИОР,НИЦ ИНФРА-М,2025 - 150 с.(СПО)(О)</t>
  </si>
  <si>
    <t>БЕЗОПАСНОСТЬ ЖИЗНЕДЕЯТЕЛЬНОСТИ. ПРАКТИКУМ</t>
  </si>
  <si>
    <t>978-5-369-01794-4</t>
  </si>
  <si>
    <t>00.01.01, 00.02.01</t>
  </si>
  <si>
    <t>682837.03.01</t>
  </si>
  <si>
    <t>Безопасность жизнедеятельности...: Уч.пос. / М.Г.Оноприенко-М.:НИЦ ИНФРА-М,2023-400 с.(СПО)(П)</t>
  </si>
  <si>
    <t>Оноприенко М.Г.</t>
  </si>
  <si>
    <t>978-5-16-016654-4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</si>
  <si>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программы среднего профессионального образования (протокол № 8 от 22.06.2020)</t>
  </si>
  <si>
    <t>694171.01.01</t>
  </si>
  <si>
    <t>Безопасность жизнедеятельности: Практикум: Уч.пос. / С.В.Алексеев - М.:НИЦ ИНФРА-М,2022 - 215 с.(ВО)(П)</t>
  </si>
  <si>
    <t>БЕЗОПАСНОСТЬ ЖИЗНЕДЕЯТЕЛЬНОСТИ: ИННОВАЦИИ В МЕТОДИКЕ ОБУЧЕНИЯ. ПРАКТИКУМ</t>
  </si>
  <si>
    <t>Алексеев С.В., Костецкая Г.А.</t>
  </si>
  <si>
    <t>978-5-16-015976-8</t>
  </si>
  <si>
    <t>00.03.01, 44.03.01, 44.03.02, 44.03.04, 44.03.05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</si>
  <si>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«бакалавр») (протокол № 6 от 16.06.2021)</t>
  </si>
  <si>
    <t>Санкт-Петербургская академия постдипломного педагогического образования</t>
  </si>
  <si>
    <t>201900.09.01</t>
  </si>
  <si>
    <t>Безопасность жизнедеятельности: Уч. / В.Н.Коханов - М.:НИЦ ИНФРА-М,2024 - 400 с.(ВО: Бакалавриат)(П)</t>
  </si>
  <si>
    <t>БЕЗОПАСНОСТЬ ЖИЗНЕДЕЯТЕЛЬНОСТИ</t>
  </si>
  <si>
    <t>Коханов В. Н., Емельянова Л. Д., Некрасов П. А.</t>
  </si>
  <si>
    <t>978-5-16-006522-9</t>
  </si>
  <si>
    <t>451900.07.01</t>
  </si>
  <si>
    <t>Безопасность жизнедеятельности: Уч. / В.П.Мельников - М.:КУРС, НИЦ ИНФРА-М,2024 - 400 с.(П)</t>
  </si>
  <si>
    <t>Мельников В.П.</t>
  </si>
  <si>
    <t>978-5-906818-13-3</t>
  </si>
  <si>
    <t>00.03.01, 00.05.01, 15.03.01</t>
  </si>
  <si>
    <t>653223.09.01</t>
  </si>
  <si>
    <t>Безопасность жизнедеятельности: Уч. / В.П.Мельников и др. - М.:КУРС, НИЦ ИНФРА-М,2024-368 с.(П)</t>
  </si>
  <si>
    <t>Мельников В.П., Куприянов А.И., Назаров А.В.</t>
  </si>
  <si>
    <t>978-5-906923-11-0</t>
  </si>
  <si>
    <t>00.02.01, 09.02.02, 09.02.03, 09.02.04, 09.02.05</t>
  </si>
  <si>
    <t>202900.07.01</t>
  </si>
  <si>
    <t>Безопасность жизнедеятельности: Уч. / И.С. Масленникова - 4 изд. - М.: НИЦ ИНФРА-М, 2024-304с.(ВО) (П)</t>
  </si>
  <si>
    <t>БЕЗОПАСНОСТЬ ЖИЗНЕДЕЯТЕЛЬНОСТИ, ИЗД.4</t>
  </si>
  <si>
    <t>Масленникова И. С., Еронько О. Н.</t>
  </si>
  <si>
    <t>978-5-16-006581-6</t>
  </si>
  <si>
    <t>Рекомендовано государственным образовательным учреждением высшего профессионального образования «Московский государственный университет природообустройства» к использованию в качестве учебника в образовательных учреждениях, реализующих образовательны</t>
  </si>
  <si>
    <t>403600.07.01</t>
  </si>
  <si>
    <t>Безопасность жизнедеятельности: Уч. / М.В.Графкина и др.-М.:Форум, НИЦ ИНФРА-М,2024.-416 с.(ВО)(П)</t>
  </si>
  <si>
    <t>Графкина М. В., Нюнин Б. Н., Михайлов В. А.</t>
  </si>
  <si>
    <t>978-5-91134-681-2</t>
  </si>
  <si>
    <t>414150.05.01</t>
  </si>
  <si>
    <t>Безопасность жизнедеятельности: Уч. пос. / Л.Л. Никифоров - М.: НИЦ ИНФРА-М, 2023-297с.(ВО) (П)</t>
  </si>
  <si>
    <t>Никифоров Л. Л., Персиянов В. В.</t>
  </si>
  <si>
    <t>978-5-16-006480-2</t>
  </si>
  <si>
    <t>06.03.01, 06.05.01, 36.03.01, 36.03.02, 36.05.01</t>
  </si>
  <si>
    <t>Допущено УМО по образованию в области технологии сырья и продуктов животного происхождения для студентов высших учебных заведений в качестве учебного пособия для подготовки по направлениям 111900.62 «Ветеринарно-санитарная экспертиза», 020400.62 «Био</t>
  </si>
  <si>
    <t>683283.04.01</t>
  </si>
  <si>
    <t>Безопасность жизнедеятельности: Уч.пос. / Л.Л.Никифоров - М.:НИЦ ИНФРА-М,2023 - 297 с.-(СПО)(П)</t>
  </si>
  <si>
    <t>Никифоров Л.Л., Персиянов В.В.</t>
  </si>
  <si>
    <t>978-5-16-014043-8</t>
  </si>
  <si>
    <t>00.01.01, 00.02.01, 36.02.01, 36.02.03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</si>
  <si>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36.02.01 «Ветеринария», 36.02.02 «Зоотехния»</t>
  </si>
  <si>
    <t>160800.12.01</t>
  </si>
  <si>
    <t>Безопасность жизнедеятельности: Уч.пос. / Халилов Ш.А. - М.:ИД Форум, НИЦ ИНФРА-М,2025. - 576 с.(ВО)(п)</t>
  </si>
  <si>
    <t>Халилов Ш.А., Маликов А.Н., Гневанов В.П. и др.</t>
  </si>
  <si>
    <t>978-5-8199-0905-8</t>
  </si>
  <si>
    <t>Допущено Научно-методическим советом по безопасности жизнедеятельности Министерства образования и науки России в качестве учебного пособия для студентов высших учебных заведений, обучающихся по гуманитарным и социально-экономическим направлениям подг</t>
  </si>
  <si>
    <t>Саратовский государственный технический университет им. Гагарина Ю.А.</t>
  </si>
  <si>
    <t>757868.05.01</t>
  </si>
  <si>
    <t>Безопасность жизнедеятельности: Уч.пос. / Халилов Ш.А. - М.:ИД Форум, НИЦ ИНФРА-М,2025. - 576 с.(СПО)(П)</t>
  </si>
  <si>
    <t>978-5-8199-0789-4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</si>
  <si>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11 от 09.11.2020)</t>
  </si>
  <si>
    <t>684712.03.01</t>
  </si>
  <si>
    <t>Безопасность жизнедеятельности: Уч.пос. / Ю.Н.Сычев - М.:НИЦ ИНФРА-М,2022 - 204 с.-(ВО: Бакалавр.)(П)</t>
  </si>
  <si>
    <t>Сычев Ю.Н.</t>
  </si>
  <si>
    <t>978-5-16-014337-8</t>
  </si>
  <si>
    <t>00.03.01, 00.05.01, 56.05.02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</si>
  <si>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бакалавриата</t>
  </si>
  <si>
    <t>708643.02.01</t>
  </si>
  <si>
    <t>Безопасность жизнедеятельности: Уч.пос. / Ю.Н.Сычев - М.:НИЦ ИНФРА-М,2022 - 204 с.-(СПО)(П)</t>
  </si>
  <si>
    <t>978-5-16-015260-8</t>
  </si>
  <si>
    <t>00.01.01, 00.02.01, 14.02.02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</si>
  <si>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4 от 25.02.2019)</t>
  </si>
  <si>
    <t>708643.05.01</t>
  </si>
  <si>
    <t>Безопасность жизнедеятельности: Уч.пос. / Ю.Н.Сычев, - 2 изд. - М.:НИЦ ИНФРА-М,2025. - 225 с.(СПО)(п)</t>
  </si>
  <si>
    <t>БЕЗОПАСНОСТЬ ЖИЗНЕДЕЯТЕЛЬНОСТИ, ИЗД.2</t>
  </si>
  <si>
    <t>978-5-16-018956-7</t>
  </si>
  <si>
    <t>684712.06.01</t>
  </si>
  <si>
    <t>Безопасность жизнедеятельности: Уч.пос. / Ю.Н.Сычев, - 2 изд.-М.:НИЦ ИНФРА-М,2024.-225 с.(ВО)(п)</t>
  </si>
  <si>
    <t>978-5-16-018205-6</t>
  </si>
  <si>
    <t>686099.06.01</t>
  </si>
  <si>
    <t>Безопасность и эколог. в машиностроит. производ.: Уч.пос. / Г.В.Пачурин - М.:НИЦ ИНФРА-М,2025 - 231 с.(ВО)(П)</t>
  </si>
  <si>
    <t>БЕЗОПАСНОСТЬ И ЭКОЛОГИЧНОСТЬ В МАШИНОСТРОИТЕЛЬНОМ ПРОИЗВОДСТВЕ</t>
  </si>
  <si>
    <t>Пачурин Г.В., Елькин А.Б., Трунова И.Г. и др.</t>
  </si>
  <si>
    <t>978-5-16-014412-2</t>
  </si>
  <si>
    <t>15.03.01, 15.04.01, 15.04.04, 15.04.05, 15.04.06, 27.04.02, 27.04.03</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</si>
  <si>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15.04.01 «Машиностроение», 15.04.05 «Конструкторско-технологическое обеспечение машиностроительных производств», 15.04.04 «Автоматизация технологических процессов и производств»</t>
  </si>
  <si>
    <t>153000.09.01</t>
  </si>
  <si>
    <t>Безопасность продовольственных товаров..: Уч. / В.М.Позняковский - М.:НИЦ ИНФРА-М,2025. - 269 с.(ВО)(п)</t>
  </si>
  <si>
    <t>БЕЗОПАСНОСТЬ ПРОДОВОЛЬСТВЕННЫХ ТОВАРОВ (С ОСНОВАМИ НУТРИЦИОЛОГИИ)</t>
  </si>
  <si>
    <t>Позняковский В.М.</t>
  </si>
  <si>
    <t>978-5-16-020733-9</t>
  </si>
  <si>
    <t>38.03.07, 38.04.07</t>
  </si>
  <si>
    <t>Рекомендовано Учебно-методическим объединением по образованию в области товароведения и экспертизы товаров в качестве учебника для подготовки бакалавров и магистров по направлению 38.03.07 «Товароведение»</t>
  </si>
  <si>
    <t>Уральский государственный экономический университет</t>
  </si>
  <si>
    <t>664782.04.01</t>
  </si>
  <si>
    <t>Безопасность продукции: Уч.прак.пос. / Ю.Н.Берновский - М.:НИЦ ИНФРА-М,2024-254 с.(ВО: Бакалавр.)(П)</t>
  </si>
  <si>
    <t>БЕЗОПАСНОСТЬ ПРОДУКЦИИ</t>
  </si>
  <si>
    <t>Берновский Ю.Н.</t>
  </si>
  <si>
    <t>978-5-16-014056-8</t>
  </si>
  <si>
    <t>01.04.02, 08.04.01, 14.03.02, 19.03.04, 19.04.03, 19.04.05, 20.03.02, 21.05.04, 21.05.06, 24.03.04, 25.03.01, 25.04.01, 25.05.05, 26.04.02, 26.05.02, 27.03.01, 27.04.03, 27.04.05, 27.04.07, 27.04.08, 28.03.02, 29.03.03, 29.04.02, 29.04.04, 35.03.07, 38.04.07, 43.04.01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</si>
  <si>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27.03.01 «Стандартизация и метрология»,27.03.02 «Управление качеством» (квалификация (степень) «бакалавр») (протокол № 15 от 14.10.2019)</t>
  </si>
  <si>
    <t>Стандартинформ</t>
  </si>
  <si>
    <t>799532.01.01</t>
  </si>
  <si>
    <t>Безопасность условий труда в энергетике: Уч.пос. / С.Н.Орловский-М.:НИЦ ИНФРА-М,2023.-265 с.(ВО (КрГАУ))(п)</t>
  </si>
  <si>
    <t>БЕЗОПАСНОСТЬ УСЛОВИЙ ТРУДА В ЭНЕРГЕТИКЕ</t>
  </si>
  <si>
    <t>Орловский С.Н.</t>
  </si>
  <si>
    <t>978-5-16-018828-7</t>
  </si>
  <si>
    <t>13.03.01, 13.03.02, 13.03.03, 20.03.01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</si>
  <si>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20.03.01 «Техносферная безопасность»</t>
  </si>
  <si>
    <t>649805.09.01</t>
  </si>
  <si>
    <t>Беспроводные технологии на автомобильном транспорте...: Уч.пос. / В.М.Власов - М.:ИНФРА,2024 - 184с(П)</t>
  </si>
  <si>
    <t>БЕСПРОВОДНЫЕ ТЕХНОЛОГИИ НА АВТОМОБИЛЬНОМ ТРАНСПОРТЕ. ГЛОБАЛЬНАЯ НАВИГАЦИЯ И ОПРЕДЕЛЕНИЕ МЕСТОПОЛОЖЕНИЯ ТРАНСПОРТНЫХ СРЕДСТВ</t>
  </si>
  <si>
    <t>Власов В.М., Мактас Б.Я., Богумил В.Н. и др.</t>
  </si>
  <si>
    <t>978-5-16-012733-0</t>
  </si>
  <si>
    <t>23.03.01, 23.04.03, 38.03.02</t>
  </si>
  <si>
    <t>Допущено Федеральным УМО в системе высшего образования по укрупненной группе направлений подготовки 23.00.00 «Техника и технологии наземного транспорта» в качестве учебного пособия для обучающихся по направлениям «Эксплуатация транспортно-технологических машин и комплексов» (квалификация (степень) «бакалавр», «магистр»), «Технология транспортных процессов» (квалификация (степень) «магистр»)</t>
  </si>
  <si>
    <t>Московский автомобильно-дорожный государственный технический университет</t>
  </si>
  <si>
    <t>243800.09.01</t>
  </si>
  <si>
    <t>Бесшовные мосты: Уч. пос. / Б.А.Дробышевский - М.: ИЦ РИОР: НИЦ ИНФРА-М, 2025 - 154 с.(ВО: Бакалавр.) (п)</t>
  </si>
  <si>
    <t>БЕСШОВНЫЕ МОСТЫ</t>
  </si>
  <si>
    <t>Дробышевский Б. А.</t>
  </si>
  <si>
    <t>978-5-369-01294-9</t>
  </si>
  <si>
    <t>08.03.01, 08.04.01, 23.05.06</t>
  </si>
  <si>
    <t>Рекомендовано УМС Государственной академии повышения квалификации и переподготовки кадров для строительства и жилищно-коммунального комплекса для студентов вузов и специалистов транспортного строительства</t>
  </si>
  <si>
    <t>Центральный научно-исследовательский институт экономики, информатики и систем управления</t>
  </si>
  <si>
    <t>289700.15.01</t>
  </si>
  <si>
    <t>Библиотековедение. История библиотек..: Уч.пос. / Л.И.Алешин - М.:Форум, НИЦ ИНФРА-М,2025.-239с(ВО)(О)</t>
  </si>
  <si>
    <t>БИБЛИОТЕКОВЕДЕНИЕ. ИСТОРИЯ БИБЛИОТЕК И ИХ СОВРЕМЕННОЕ СОСТОЯНИЕ</t>
  </si>
  <si>
    <t>Алешин Л. И.</t>
  </si>
  <si>
    <t>978-5-00091-785-5</t>
  </si>
  <si>
    <t>51.03.06</t>
  </si>
  <si>
    <t>Рекомендовано в качестве учебного пособия для студентов высших учебных заведений, обучающихся по направлению подготовки 51.03.06 «Библиотечно-информационная деятельность» (квалификация (степень) «бакалавр»)</t>
  </si>
  <si>
    <t>Московский государственный институт культуры</t>
  </si>
  <si>
    <t>754705.03.01</t>
  </si>
  <si>
    <t>Бизнес-анализ и упр. рисками: Уч. / Н.А.Казакова - М.:НИЦ ИНФРА-М,2024-336 с.(ВО: Магистр. (РЭУ))(П)</t>
  </si>
  <si>
    <t>БИЗНЕС-АНАЛИЗ И УПРАВЛЕНИЕ РИСКАМИ</t>
  </si>
  <si>
    <t>Казакова Н.А., Иванова А.Н.</t>
  </si>
  <si>
    <t>Высшее образование: Магистратура (РЭУ)</t>
  </si>
  <si>
    <t>978-5-16-016958-3</t>
  </si>
  <si>
    <t>38.03.01, 38.04.01, 38.04.02, 38.05.01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</si>
  <si>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38.04.08 «Финансы и кредит» (квалификация (степень) «магистр») (протокол № 1 от 12.01.2022)</t>
  </si>
  <si>
    <t>АКАДЕМУС-2021, Победитель, III место</t>
  </si>
  <si>
    <t>704206.05.01</t>
  </si>
  <si>
    <t>Бизнес-анализ: Уч. / Ю.Г.Чернышева - М.:НИЦ ИНФРА-М,2025. - 648 с.(ВО)(п)</t>
  </si>
  <si>
    <t>БИЗНЕС-АНАЛИЗ</t>
  </si>
  <si>
    <t>978-5-16-019839-2</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</si>
  <si>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38.03.01 «Экономика», 38.03.02 «Менеджмент»</t>
  </si>
  <si>
    <t>415300.11.01</t>
  </si>
  <si>
    <t>Бизнес-аналитика средствами Excel: Уч.пос. / Я.Л.Гобарева - 3 изд. - М.:Вуз.уч.,НИЦ ИНФРА-М,2023 - 350с(П)</t>
  </si>
  <si>
    <t>БИЗНЕС-АНАЛИТИКА СРЕДСТВАМИ EXCEL, ИЗД.3</t>
  </si>
  <si>
    <t>Гобарева Я.Л., Городецкая О.Ю., Золотарюк А.В.</t>
  </si>
  <si>
    <t>978-5-9558-0560-3</t>
  </si>
  <si>
    <t>38.03.01, 38.03.02, 44.03.01</t>
  </si>
  <si>
    <t>Рекомендовано в качестве учебного пособия для студентов, обучающихся по направлению подготовки 38.03.01 «Экономика» (квалификация (степень) «бакалавр»)</t>
  </si>
  <si>
    <t>415300.05.01</t>
  </si>
  <si>
    <t>Бизнес-аналитика средствами Excel: Уч.пос. / Я.Л.Гобарева- 2изд., -М.:Вуз.уч., НИЦ ИНФРА-М,2017-336с</t>
  </si>
  <si>
    <t>БИЗНЕС-АНАЛИТИКА СРЕДСТВАМИ EXCEL, ИЗД.2</t>
  </si>
  <si>
    <t>Финансовый университет при Правительстве РФ</t>
  </si>
  <si>
    <t>978-5-9558-0390-6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</si>
  <si>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(квалификация (степень) — «бакалавр»)</t>
  </si>
  <si>
    <t>188350.08.01</t>
  </si>
  <si>
    <t>Бизнес-диалог/Business dialogue and ...: Reference book / Е.А. Спинова - М.: НИЦ Инфра-М, 2024-72с. (о)</t>
  </si>
  <si>
    <t>БИЗНЕС-ДИАЛОГ / BUSINESS DIALOGUE AND NEGOTIATION PHRASES</t>
  </si>
  <si>
    <t>Спинова Е.А.</t>
  </si>
  <si>
    <t>978-5-9776-0239-6</t>
  </si>
  <si>
    <t>41.03.05, 41.04.05, 45.03.02, 45.04.02, 45.05.01</t>
  </si>
  <si>
    <t>Всероссийская академия внешней торговли Министерства экономического развития Российской Федерации</t>
  </si>
  <si>
    <t>354400.07.01</t>
  </si>
  <si>
    <t>Бизнес-задачи, решения и расчеты в управ. учете: Уч.пос. / В.Б.Ивашкевич - М.:Магистр, НИЦ ИНФРА-М,2024 - 160 с.(О)</t>
  </si>
  <si>
    <t>БИЗНЕС-ЗАДАЧИ, РЕШЕНИЯ И РАСЧЕТЫ В УПРАВЛЕНЧЕСКОМ УЧЕТЕ</t>
  </si>
  <si>
    <t>Ивашкевич В.Б.</t>
  </si>
  <si>
    <t>978-5-9776-0365-2</t>
  </si>
  <si>
    <t>38.02.01, 38.02.03, 38.02.07, 38.02.08, 38.03.01, 38.03.02, 38.03.03, 38.04.01, 38.04.02, 38.04.03, 38.04.08, 40.02.04</t>
  </si>
  <si>
    <t>Казанский (Приволжский) федеральный университет</t>
  </si>
  <si>
    <t>818410.01.01</t>
  </si>
  <si>
    <t>Бизнес-команда: технологии формир. и управ.: Уч.пос. / Т.Ю.Калошина - М.:НИЦ ИНФРА-М,2025. - 200 с.(ВО)(п)</t>
  </si>
  <si>
    <t>БИЗНЕС-КОМАНДА: ТЕХНОЛОГИИ ФОРМИРОВАНИЯ И УПРАВЛЕНИЯ</t>
  </si>
  <si>
    <t>Калошина Т.Ю., Борисова А.А., Спиридонова Е.В. и др.</t>
  </si>
  <si>
    <t>978-5-16-019805-7</t>
  </si>
  <si>
    <t>38.03.01, 38.03.03</t>
  </si>
  <si>
    <t>Новосибирский государственный технический университет</t>
  </si>
  <si>
    <t>645381.09.01</t>
  </si>
  <si>
    <t>Бизнес-коммуникации в сервисе: документац...: Уч.пос. / О.Я.Гойхман - М.:НИЦ ИНФРА-М,2025 - 229 с.(ВО)(П)</t>
  </si>
  <si>
    <t>БИЗНЕС-КОММУНИКАЦИИ В СЕРВИСЕ: ДОКУМЕНТАЦИОННЫЕ, РЕЧЕВЫЕ, ИМИДЖЕВЫЕ И РЕКЛАМНЫЕ ТЕХНОЛОГИИ</t>
  </si>
  <si>
    <t>Гойхман О.Я., Гончарова Л.М., Кошлякова М.О. и др.</t>
  </si>
  <si>
    <t>978-5-16-020687-5</t>
  </si>
  <si>
    <t>42.03.01, 43.03.01</t>
  </si>
  <si>
    <t>Рекомендовано в качестве учебного пособия для студентов высших учебных заведений, обучающихся по направлениям подготовки  42.03.01 «Реклама и связи с общественностью», 43.03.01 «Сервис» (квалификация (степень) «бакалавр»)</t>
  </si>
  <si>
    <t>Российский новый университет</t>
  </si>
  <si>
    <t>682730.06.01</t>
  </si>
  <si>
    <t>Бизнес-модели в упр. устойчивым развитием предпр.: Уч. / А.Д.Бобрышев - М.:НИЦ ИНФРА-М,2025 - 289 с.(П)</t>
  </si>
  <si>
    <t>БИЗНЕС-МОДЕЛИ В УПРАВЛЕНИИ УСТОЙЧИВЫМ РАЗВИТИЕМ ПРЕДПРИЯТИЙ</t>
  </si>
  <si>
    <t>Бобрышев А.Д., Тумин В.М., Тарабрин К.М. и др.</t>
  </si>
  <si>
    <t>978-5-16-014167-1</t>
  </si>
  <si>
    <t>27.03.02, 27.03.03, 27.03.05, 38.03.01, 38.03.02, 38.03.03, 38.03.04, 38.03.06, 38.03.07, 38.03.10</t>
  </si>
  <si>
    <t>Рекомендовано Учебно-методическим советом ВО в качестве учебника для студентов высших учебных заведений, обучающихся по укрупненным группам специальностей 27.00.00 «Управление в технических системах», 38.00.00 «Экономика и управление»</t>
  </si>
  <si>
    <t>Всероссийский научно-исследовательский институт "Центр"</t>
  </si>
  <si>
    <t>050080.17.01</t>
  </si>
  <si>
    <t>Бизнес-план фирмы.Теория и практика: Уч.пос. / В.П.Буров.-М.:НИЦ ИНФРА-М,2024.-192 с.(ВО)(п)</t>
  </si>
  <si>
    <t>БИЗНЕС-ПЛАН ФИРМЫ.ТЕОРИЯ И ПРАКТИКА</t>
  </si>
  <si>
    <t>Буров В. П., Ломакин А. Л., Морошкин В. А.</t>
  </si>
  <si>
    <t>978-5-16-018750-1</t>
  </si>
  <si>
    <t>Рекомендовано УМО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экономическим специальностям</t>
  </si>
  <si>
    <t>140500.10.01</t>
  </si>
  <si>
    <t>Бизнес-планирование с исп. прогр. Project Expert: Уч.пос. / В.С.Алиев - 2 изд. - М.:НИЦ ИНФРА-М,2025 - 382 с.(П)</t>
  </si>
  <si>
    <t>БИЗНЕС-ПЛАНИРОВАНИЕ С ИСПОЛЬЗОВАНИЕМ ПРОГРАММЫ PROJECT EXPERT (ПОЛНЫЙ КУРС), ИЗД.2</t>
  </si>
  <si>
    <t>Алиев В.С., Чистов Д.В.</t>
  </si>
  <si>
    <t>978-5-16-020731-5</t>
  </si>
  <si>
    <t>38.03.01, 38.03.02, 38.03.05, 38.03.06, 38.04.01, 38.04.02, 38.04.05, 38.04.06, 38.04.08, 44.03.01</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</si>
  <si>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направлениям подготовки «Финансы и кредит», «Бухгалтерский учет, анализ и аудит», «Налоги и налогообложение»</t>
  </si>
  <si>
    <t>140500.07.01</t>
  </si>
  <si>
    <t>Бизнес-планирование с исп. прогр.Project Expert: Уч.пос. /В.С.Алиев-М.:НИЦ ИНФРА-М,2019-352с.(ВО)</t>
  </si>
  <si>
    <t>БИЗНЕС-ПЛАНИРОВАНИЕ С ИСПОЛЬЗОВАНИЕМ ПРОГРАММЫ PROJECT EXPERT (ПОЛНЫЙ КУРС)</t>
  </si>
  <si>
    <t>Алиев В. С., Чистов Д. В.</t>
  </si>
  <si>
    <t>978-5-16-006431-4</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</si>
  <si>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t>
  </si>
  <si>
    <t>081850.11.01</t>
  </si>
  <si>
    <t>Бизнес-планирование: прак. по использовани с исп. Project..: Уч.пос./В.С.Алиев-3изд-ИНФРА-М,2024-287(ВО)(П)</t>
  </si>
  <si>
    <t>БИЗНЕС-ПЛАНИРОВАНИЕ: ПРАКТИКУМ С ИСПОЛЬЗОВАНИЕМ ПРОГРАММЫ PROJECT EXPERT, ИЗД.3</t>
  </si>
  <si>
    <t>Алиев В.С.</t>
  </si>
  <si>
    <t>978-5-16-016877-7</t>
  </si>
  <si>
    <t>38.03.01, 38.03.02, 41.03.06, 44.03.01</t>
  </si>
  <si>
    <t>Допущено УМО по образованию в области финансов, учета и мировой экономики в качестве учебного пособия для студентов, обучающихся по направлению подготовки «Экономика и управление»</t>
  </si>
  <si>
    <t>839083.01.01</t>
  </si>
  <si>
    <t>Бизнес-планирование: прак. по использовани с исп. Project..: Уч.пос./В.С.Алиев-3изд-ИНФРА-М,2025-287с(СПО)(п)</t>
  </si>
  <si>
    <t>978-5-16-020241-9</t>
  </si>
  <si>
    <t>19.02.13, 38.02.01, 43.02.16</t>
  </si>
  <si>
    <t>682838.06.01</t>
  </si>
  <si>
    <t>Бизнес-планирование: Уч. / Под ред. Попадюк Т.Г. - М.:Вуз. уч., НИЦ ИНФРА-М,2025 - 296 с.(СПО)(П)</t>
  </si>
  <si>
    <t>БИЗНЕС-ПЛАНИРОВАНИЕ</t>
  </si>
  <si>
    <t>Горфинкель В.Я., Захаров П.Н. и др.</t>
  </si>
  <si>
    <t>978-5-9558-0617-4</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</si>
  <si>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38.02.06 «Финансы»</t>
  </si>
  <si>
    <t>405700.17.01</t>
  </si>
  <si>
    <t>Бизнес-планирование: Уч. / Под ред. Попадюк Т.Г. - М.:Вуз.уч., НИЦ ИНФРА-М,2025 - 296 с.(П)</t>
  </si>
  <si>
    <t>Бобков Л.В., Горфинкель В.Я., Захаров П.Н. и др.</t>
  </si>
  <si>
    <t>978-5-9558-0270-1</t>
  </si>
  <si>
    <t>067970.10.01</t>
  </si>
  <si>
    <t>Бизнес-планирование: Уч.пос. / А.С.Волков - М.:ИЦ РИОР, НИЦ ИНФРА-М,2024 - 81 с.(ВО)(о.к/ф)</t>
  </si>
  <si>
    <t>Волков А. С., Марченко А. А.</t>
  </si>
  <si>
    <t>Высшее образование (карман. формат)</t>
  </si>
  <si>
    <t>978-5-369-00732-7</t>
  </si>
  <si>
    <t>38.03.01, 38.03.02, 38.03.05, 38.03.06, 38.04.01, 38.04.02, 38.04.05, 44.03.01</t>
  </si>
  <si>
    <t>0105</t>
  </si>
  <si>
    <t>682839.07.01</t>
  </si>
  <si>
    <t>Бизнес-планирование: Уч.пос. / А.С.Волков - М.:ИЦ РИОР, НИЦ ИНФРА-М,2025. - 81 с.(СПО)(о)</t>
  </si>
  <si>
    <t>Волков А.С., Марченко А.А.</t>
  </si>
  <si>
    <t>978-5-369-01764-7</t>
  </si>
  <si>
    <t>041940.20.01</t>
  </si>
  <si>
    <t>Бизнес-планирование: Уч.пос. / В.А.Баринов - 4 изд. - М.:Форум,НИЦ ИНФРА-М,2025 - 272 с.(СПО)(О)</t>
  </si>
  <si>
    <t>БИЗНЕС-ПЛАНИРОВАНИЕ, ИЗД.4</t>
  </si>
  <si>
    <t>Баринов В. А.</t>
  </si>
  <si>
    <t>978-5-00091-082-5</t>
  </si>
  <si>
    <t>Допущено Мин. обр. и науки РФ в качестве учебного пособия для студентов учреждений среднего профессионального образования</t>
  </si>
  <si>
    <t>079570.11.01</t>
  </si>
  <si>
    <t>Бизнес-планирование: Уч.пос. / В.А.Морошкин - 2 изд. - М.:НИЦ ИНФРА-М,2025 - 288 с. - (СПО)(П)</t>
  </si>
  <si>
    <t>БИЗНЕС-ПЛАНИРОВАНИЕ, ИЗД.2</t>
  </si>
  <si>
    <t>Морошкин В. А., Буров В. П.</t>
  </si>
  <si>
    <t>978-5-16-012223-6</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</si>
  <si>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</si>
  <si>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079590.16.01</t>
  </si>
  <si>
    <t>Бизнес-планирование: Уч.пос. / М.В.Романова - М.:ИД Форум, НИЦ ИНФРА-М,2025 - 240 с.(ПО)(П)</t>
  </si>
  <si>
    <t>Романова М.В.</t>
  </si>
  <si>
    <t>978-5-8199-0756-6</t>
  </si>
  <si>
    <t>Допущено Министерством образования РФ в качестве учебного пособия для студентов образовательных учреждений среднего профессионального образования, обучающихся по группе специальностей 0600 "Экономика и управление"</t>
  </si>
  <si>
    <t>645369.03.01</t>
  </si>
  <si>
    <t>Бизнес-этика: Уч. / В.А.Канке - М.:НИЦ ИНФРА-М,2023 - 236 с.-(ВО)(п)</t>
  </si>
  <si>
    <t>БИЗНЕС-ЭТИКА</t>
  </si>
  <si>
    <t>Канке В.А.</t>
  </si>
  <si>
    <t>978-5-16-018571-2</t>
  </si>
  <si>
    <t>38.03.01, 38.03.02, 38.03.03, 38.03.04, 38.03.05, 38.03.06, 38.03.07, 38.03.10, 38.04.01, 38.04.02, 38.04.03, 38.04.04, 38.04.05, 38.04.06, 38.04.07, 38.04.08, 38.04.09, 38.05.01, 38.05.02</t>
  </si>
  <si>
    <t>Рекомендовано Межрегиональным учебно-методическим советом профессионального образования в качестве учебника для высших учебных заведений, реализующих основную образовательную программу высшего образования (квалификация (степень) «бакалавр») (протокол № 11 от 09.11.2020)</t>
  </si>
  <si>
    <t>700948.04.01</t>
  </si>
  <si>
    <t>Биогеография: Уч.пос. / А.Я.Григорьевская - 2 изд. - М.:НИЦ ИНФРА-М,2023 - 200 с.(ВО: Бакалавр.)(П)</t>
  </si>
  <si>
    <t>БИОГЕОГРАФИЯ, ИЗД.2</t>
  </si>
  <si>
    <t>Григорьевская А.Я.</t>
  </si>
  <si>
    <t>978-5-16-014828-1</t>
  </si>
  <si>
    <t>05.03.02, 05.03.03, 05.03.04, 05.03.06, 44.03.05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</si>
  <si>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05.03.02 «География», 05.03.06 «Экология и природопользование», 06.03.01 «Биология» (квалификация (степень) «бакалавр»)</t>
  </si>
  <si>
    <t>331500.05.01</t>
  </si>
  <si>
    <t>Биогеохимия радионуклидов: Уч. / С.П.Торшин - М.:НИЦ ИНФРА-М,2023 - 320 с.-(ВО: Бакалавр.)(П))</t>
  </si>
  <si>
    <t>БИОГЕОХИМИЯ РАДИОНУКЛИДОВ</t>
  </si>
  <si>
    <t>Торшин С.П., Смолина Г.А.</t>
  </si>
  <si>
    <t>978-5-16-010625-0</t>
  </si>
  <si>
    <t>04.03.02, 35.03.03, 35.04.03</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</si>
  <si>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35.03.03 «Агрохимия и агропочвоведение»</t>
  </si>
  <si>
    <t>785884.02.01</t>
  </si>
  <si>
    <t>Биоконверсия вторич. сырья и отходов агропромыш...: Уч.пос. / О.Д.Сидоренко-М.:НИЦ ИНФРА-М,2023.-171 с.(СПО)(п)</t>
  </si>
  <si>
    <t>БИОКОНВЕРСИЯ ВТОРИЧНОГО СЫРЬЯ И ОТХОДОВ АГРОПРОМЫШЛЕННОГО КОМПЛЕКСА</t>
  </si>
  <si>
    <t>Сидоренко О.Д.</t>
  </si>
  <si>
    <t>978-5-16-017906-3</t>
  </si>
  <si>
    <t>19.01.01, 19.02.14, 19.02.15, 35.02.05</t>
  </si>
  <si>
    <t>356400.05.01</t>
  </si>
  <si>
    <t>Биоконверсия вторичных продуктов агропромышл. компл.: Уч. / О.Д.Сидоренко-М.:НИЦ ИНФРА-М,2023.-296 с.(П)</t>
  </si>
  <si>
    <t>БИОКОНВЕРСИЯ ВТОРИЧНЫХ ПРОДУКТОВ АГРОПРОМЫШЛЕННОГО КОМПЛЕКСА</t>
  </si>
  <si>
    <t>978-5-16-010917-6</t>
  </si>
  <si>
    <t>06.03.01, 19.03.01, 35.03.04, 44.03.05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</si>
  <si>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06.03.01 «Биология» и специальностям агрономического (35.03.04) и биотехнологического (19.00.00) образования</t>
  </si>
  <si>
    <t>441450.07.01</t>
  </si>
  <si>
    <t>Биоконверсия отходов агропромышл. компл.: Уч.пос. / О.Д.Сидоренко. -М.:НИЦ ИНФРА-М,2022-160с.(ВО) (п)</t>
  </si>
  <si>
    <t>БИОКОНВЕРСИЯ ОТХОДОВ АГРОПРОМЫШЛЕННОГО КОМПЛЕКСА</t>
  </si>
  <si>
    <t>Сидоренко О. Д., Кутровский В. Н.</t>
  </si>
  <si>
    <t>978-5-16-005712-5</t>
  </si>
  <si>
    <t>35.03.03, 35.03.06, 35.03.07</t>
  </si>
  <si>
    <t>Допущено Учебно-методическим объединением вузов Российской Федерации по агрономическому образованию в качестве учебного пособия студентов, обучающихся по направлению 110900 «Технология производства и переработка сельскохозяйственной продукции». (квал</t>
  </si>
  <si>
    <t>675204.04.01</t>
  </si>
  <si>
    <t>Биологическая очистка сточных вод: Уч.пос. / Б.С.Ксенофонтов - М.:НИЦ ИНФРА-М,2024-255с-(ВО)(п)</t>
  </si>
  <si>
    <t>БИОЛОГИЧЕСКАЯ ОЧИСТКА СТОЧНЫХ ВОД</t>
  </si>
  <si>
    <t>Ксенофонтов Б.С.</t>
  </si>
  <si>
    <t>978-5-16-019032-7</t>
  </si>
  <si>
    <t>20.03.01, 20.03.02, 20.04.01, 20.04.02, 20.06.01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</si>
  <si>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20.00.00 «Техносферная безопасность и природообустройство» (квалификация (степень) «бакалавр») (протокол № 8 от 22.06.2020)</t>
  </si>
  <si>
    <t>633924.09.01</t>
  </si>
  <si>
    <t>Биологические методы контроля продукции живот. происх.: Уч. /О.Д.Сидоренко-М.:НИЦ ИНФРА-М,2023-164с.(О)</t>
  </si>
  <si>
    <t>БИОЛОГИЧЕСКИЕ МЕТОДЫ КОНТРОЛЯ ПРОДУКЦИИ ЖИВОТНОГО ПРОИСХОЖДЕНИЯ</t>
  </si>
  <si>
    <t>978-5-16-012085-0</t>
  </si>
  <si>
    <t>19.03.03, 19.03.04, 19.04.03, 19.04.04, 35.03.07, 36.03.01</t>
  </si>
  <si>
    <t>Рекомендовано в качестве учебника для студентов высших учебных заведений, обучающихся по направлениям подготовки 19.03.03 «Продукты питания животного происхождения», 35.03.07 «Технология производства и переработки сельскохозяйственной продукции» (квалификация (степень) «бакалавр»)</t>
  </si>
  <si>
    <t>757940.01.01</t>
  </si>
  <si>
    <t>Биологические методы контроля продукции живот. происхож.: Уч. / О.Д.Сидоренко-М.:НИЦ ИНФРА-М,2021.-164 с.(П)</t>
  </si>
  <si>
    <t>978-5-16-016943-9</t>
  </si>
  <si>
    <t>19.02.10, 19.02.11, 19.02.12, 36.02.01, 36.02.03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</si>
  <si>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19.02.01 «Биохимическое производство», 19.02.10 «Технология продукции общественного питания», 19.02.07 «Технология молока и молочных продуктов», 19.02.08 «Технология мяса и мясных продуктов», 35.02.06 «Технология производства и переработки сельскохозяйственной продукции» (протокол № 11 от 09.11.2020)</t>
  </si>
  <si>
    <t>277900.05.01</t>
  </si>
  <si>
    <t>Биологические ресурсы Камчатки и их рац..: Моногр. / А.Н.Сметанин - М.:НИЦ ИНФРА-М,2020 - 256 с.(П)</t>
  </si>
  <si>
    <t>БИОЛОГИЧЕСКИЕ РЕСУРСЫ КАМЧАТКИ И ИХ РАЦИОНАЛЬНОЕ  ИСПОЛЬЗОВАНИЕ</t>
  </si>
  <si>
    <t>Сметанин А. Н.</t>
  </si>
  <si>
    <t>978-5-16-009802-9</t>
  </si>
  <si>
    <t>05.04.06, 06.04.01</t>
  </si>
  <si>
    <t>738655.01.01</t>
  </si>
  <si>
    <t>Биологические сис. в переработке вторичных продуктов и отходов АПК / О.Д.Сидоренко-М.:НИЦ ИНФРА-М,2021.-207 с.(П)</t>
  </si>
  <si>
    <t>БИОЛОГИЧЕСКИЕ СИСТЕМЫ В ПЕРЕРАБОТКЕ ВТОРИЧНЫХ ПРОДУКТОВ И ОТХОДОВ АПК</t>
  </si>
  <si>
    <t>978-5-16-016346-8</t>
  </si>
  <si>
    <t>Практическое руководство</t>
  </si>
  <si>
    <t>19.03.02, 36.03.02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</si>
  <si>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технологическим направлениям подготовки (квалификация (степень) «бакалавр») (протокол № 11 от 09.11.2020)</t>
  </si>
  <si>
    <t>424350.10.01</t>
  </si>
  <si>
    <t>Биология пчел: Энц. сл.-справ. / Е.К.Еськов - М.:НИЦ ИНФРА-М,2024 - VI-388 с. (П)</t>
  </si>
  <si>
    <t>БИОЛОГИЯ ПЧЕЛ</t>
  </si>
  <si>
    <t>Еськов Е. К.</t>
  </si>
  <si>
    <t>Библиотека словарей "ИНФРА-М"</t>
  </si>
  <si>
    <t>978-5-16-005127-7</t>
  </si>
  <si>
    <t>Энциклопедический словарь</t>
  </si>
  <si>
    <t>06.03.01, 06.04.01, 36.03.02, 36.04.02, 44.03.05</t>
  </si>
  <si>
    <t>Допущено Учебно-методическим объединением высших учебных заведений Российской Федерации в качестве учебно-методического пособия для студентов высших учебных заведений, обучающихся по направлению подготовки 110401 «Зоотехния» и специальности 111801 «В</t>
  </si>
  <si>
    <t>814844.01.01</t>
  </si>
  <si>
    <t>Биология с основами цитологии: Уч.пос. / Т.В.Карпюк-М.:НИЦ ИНФРА-М,2024.-282 с.(ВО (КрГАУ))(п)</t>
  </si>
  <si>
    <t>БИОЛОГИЯ С ОСНОВАМИ ЦИТОЛОГИИ</t>
  </si>
  <si>
    <t>Карпюк Т.В.</t>
  </si>
  <si>
    <t>978-5-16-019634-3</t>
  </si>
  <si>
    <t>35.03.03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</si>
  <si>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35.03.03 «Агрохимия и агропочвоведение»</t>
  </si>
  <si>
    <t>069990.09.01</t>
  </si>
  <si>
    <t>Биология с основами экологии: Уч.пос. / Л.Г.Ахмадуллина - М.:ИЦ РИОР,2023 - 128 с.(О.к/ф)</t>
  </si>
  <si>
    <t>БИОЛОГИЯ С ОСНОВАМИ ЭКОЛОГИИ</t>
  </si>
  <si>
    <t>Ахмадуллина Л. Г.</t>
  </si>
  <si>
    <t>978-5-9557-0288-9</t>
  </si>
  <si>
    <t>05.03.03, 05.03.04, 05.03.06, 06.03.01, 06.03.02</t>
  </si>
  <si>
    <t>274400.10.01</t>
  </si>
  <si>
    <t>Биомедицинская этика: Уч. / И.А.Шамов - 2 изд. - М.:НИЦ ИНФРА-М,2025 - 288 с.(ВО)(п)</t>
  </si>
  <si>
    <t>БИОМЕДИЦИНСКАЯ ЭТИКА, ИЗД.2</t>
  </si>
  <si>
    <t>Шамов И.А.</t>
  </si>
  <si>
    <t>978-5-16-018686-3</t>
  </si>
  <si>
    <t>30.05.01, 30.05.02, 30.05.03, 30.06.01, 30.07.01, 31.05.01, 31.05.02, 31.05.03, 31.06.01, 31.07.01, 31.08.01, 31.08.02, 31.08.03, 31.08.04, 31.08.05, 31.08.06, 31.08.07, 31.08.08, 31.08.09, 31.08.10, 31.08.11, 31.08.12, 31.08.13, 31.08.14, 31.08.15, 31.08.16, 31.08.17, 31.08.18, 31.08.19, 31.08.20, 31.08.21, 31.08.22, 31.08.23, 31.08.24, 31.08.25, 31.08.26, 31.08.27,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t>
  </si>
  <si>
    <t>Рекомендовано Учебно-методическим объединением вузов России по медицинскому и фармацевтическому образованию в качестве учебника для студентов медицинских вузов</t>
  </si>
  <si>
    <t>Дагестанский  государственный медицинский университет</t>
  </si>
  <si>
    <t>832226.01.01</t>
  </si>
  <si>
    <t>Биомедицинская этика: Уч.мет.пос./ Т.М.Шаршакова - М.:НИЦ ИНФРА-М, ГомГМУ,2025. - 319 с.(ВО (ГомГМУ))(п)</t>
  </si>
  <si>
    <t>БИОМЕДИЦИНСКАЯ ЭТИКА</t>
  </si>
  <si>
    <t>Шаршакова Т.М., Соболева Л.Г.</t>
  </si>
  <si>
    <t>978-5-16-019985-6</t>
  </si>
  <si>
    <t>31.05.01, 32.05.01, 37.05.01</t>
  </si>
  <si>
    <t>Рекомендовано Учебно-методическим объединением по высшему медицинскому, фармацевтическому образованию в качестве учебно-методического пособия для студентов учреждений высшего образования, обучающихся по специальностям «Лечебное дело», «Медико-диагностическое дело»</t>
  </si>
  <si>
    <t>692030.06.01</t>
  </si>
  <si>
    <t>Биомедицинская этика: Уч.пос. / А.Л.Панищев - М.:НИЦ ИНФРА-М,2024 - 172 с.-(СПО)(П)</t>
  </si>
  <si>
    <t>Панищев А.Л.</t>
  </si>
  <si>
    <t>978-5-16-014596-9</t>
  </si>
  <si>
    <t>31.02.01, 31.02.02, 31.02.03, 31.02.04, 31.02.05, 31.02.06, 33.02.01, 34.01.01, 34.02.01, 34.02.02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</si>
  <si>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реализующих программу среднего профессионального образования по укрупненной группе специальностей 31.02.00 «Клиническая медицина» (протокол № 9 от 13.05.2019)</t>
  </si>
  <si>
    <t>Юго-Западный государственный университет</t>
  </si>
  <si>
    <t>692030.07.01</t>
  </si>
  <si>
    <t>Биомедицинская этика: Уч.пос. / А.Л.Панищев, - 2 изд. - М.:НИЦ ИНФРА-М,2025. - 193 с.(СПО)(п)</t>
  </si>
  <si>
    <t>978-5-16-020109-2</t>
  </si>
  <si>
    <t>660978.06.01</t>
  </si>
  <si>
    <t>Биомембранология: Уч.пос. / А.А.Болдырев - 2 изд., -М.:НИЦ ИНФРА-М, СФУ,2024-186с(ВО)(п)</t>
  </si>
  <si>
    <t>БИОМЕМБРАНОЛОГИЯ, ИЗД.2</t>
  </si>
  <si>
    <t>Болдырев А.А., Кяйвяряйнен Е.И., Илюха В.А.</t>
  </si>
  <si>
    <t>978-5-16-019441-7</t>
  </si>
  <si>
    <t>06.03.01, 06.05.01</t>
  </si>
  <si>
    <t>Рекомендовано в качестве учебного пособия для студентов высших учебных заведений, обучающихся по направлениям подготовки 04.03.01 «Химия», 06.03.01 «Биология», 19.03.01 «Биотехнология» (квалификация (степень) «бакалавр»)</t>
  </si>
  <si>
    <t>346600.04.01</t>
  </si>
  <si>
    <t>Биоорганическая химия: Уч. / И.В.Романовский - М.:НИЦ ИНФРА-М,,2025. - 504 с.(ВО)(п)</t>
  </si>
  <si>
    <t>БИООРГАНИЧЕСКАЯ ХИМИЯ</t>
  </si>
  <si>
    <t>Романовский И.В., Болтромеюк В.В., Гидранович Л.Г. и др.</t>
  </si>
  <si>
    <t>978-5-16-010819-3</t>
  </si>
  <si>
    <t>06.03.01, 06.04.01, 30.05.01, 30.05.02, 31.05.01, 31.05.02, 31.05.03, 32.05.01, 33.05.01, 34.03.01, 44.03.05</t>
  </si>
  <si>
    <t>Белорусский государственный медицинский университет</t>
  </si>
  <si>
    <t>682841.06.01</t>
  </si>
  <si>
    <t>Биотехника воспр. с основ. акушер. животных. Практ.: Уч.пос. / В.С.Авдеенко-М.:НИЦ ИНФРА-М,2024.-155 с.(СПО)(П)</t>
  </si>
  <si>
    <t>БИОТЕХНИКА ВОСПРОИЗВОДСТВА С ОСНОВАМИ АКУШЕРСТВА ЖИВОТНЫХ. ПРАКТИКУМ</t>
  </si>
  <si>
    <t>Авдеенко В.С., Федотов С.В.</t>
  </si>
  <si>
    <t>978-5-16-013896-1</t>
  </si>
  <si>
    <t>35.01.01, 35.02.14, 36.02.03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</si>
  <si>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36.02.02 «Зоотехния»</t>
  </si>
  <si>
    <t>Саратовский государственный университет генетики, биотехнологии и инженерии имени Н.И. Вавилова</t>
  </si>
  <si>
    <t>318300.06.01</t>
  </si>
  <si>
    <t>Биотехника воспр. с основами акушерства животных: Уч.пос. / В.С.Авдеенко-М.:НИЦ ИНФРА-М,2024-124с.(ВО)(о)</t>
  </si>
  <si>
    <t>БИОТЕХНИКА ВОСПРОИЗВОДСТВА С ОСНОВАМИ АКУШЕРСТВА ЖИВОТНЫХ</t>
  </si>
  <si>
    <t>Авдеенко В.С., Федотов С.В., Кемешов Ж.О.</t>
  </si>
  <si>
    <t>978-5-16-010408-9</t>
  </si>
  <si>
    <t>36.03.02, 36.05.01</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</si>
  <si>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(специальности) 36.05.01 —Ветеринария (квалификация (степень) «ветеринарный врач»)</t>
  </si>
  <si>
    <t>682840.07.01</t>
  </si>
  <si>
    <t>Биотехника воспроизводства с основами акушер.: Уч. / В.С.Авдеенко-М.:НИЦ ИНФРА-М,2024.-454 с.(СПО)(п)</t>
  </si>
  <si>
    <t>БИОТЕХНИКА ВОСПРОИЗВОДСТВА С ОСНОВАМИ АКУШЕРСТВА</t>
  </si>
  <si>
    <t>978-5-16-013895-4</t>
  </si>
  <si>
    <t>35.01.01, 35.01.23, 35.02.09, 36.01.02, 36.01.03, 36.02.01, 36.02.03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</si>
  <si>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36.02.02 «Зоотехния»</t>
  </si>
  <si>
    <t>323700.05.01</t>
  </si>
  <si>
    <t>Биотехника воспроизводства с основами акушерства жив.: Практ. / В.С.Авдеенко-М.:НИЦ ИНФРА-М,2024-155 с.(ВО: Бак.)(О)</t>
  </si>
  <si>
    <t>978-5-16-010502-4</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</si>
  <si>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36.03.02 «Зоотехния»</t>
  </si>
  <si>
    <t>481400.04.01</t>
  </si>
  <si>
    <t>Биотехника воспроизводства с основами акушерства: Уч./ В.С.Авдеенко-М.:НИЦ ИНФРА-М,2022.-454с(ВО)(П)</t>
  </si>
  <si>
    <t>978-5-16-011705-8</t>
  </si>
  <si>
    <t>36.03.02, 36.04.02, 36.05.01</t>
  </si>
  <si>
    <t>Допущено учебно-методическим объединением высших учебных заведений РФ по образованию в области зоотехнии и ветеринарии в качестве учебника для студентов высших учебных заведений, обучающихся по направлению подготовки (специальности) 36.03.02 «Зоотехния»</t>
  </si>
  <si>
    <t>688090.06.01</t>
  </si>
  <si>
    <t>Биотехнология. Практ. по культивир. клеточ. культур: Практ. / М.Ш.Азаев - М.:НИЦ ИНФРА-М,2024 - 142 с.(ВО)</t>
  </si>
  <si>
    <t>БИОТЕХНОЛОГИЯ : ПРАКТИКУМ ПО КУЛЬТИВИРОВАНИЮ КЛЕТОЧНЫХ КУЛЬТУР</t>
  </si>
  <si>
    <t>Азаев М.Ш., Бакулина Л.Ф., Дадаева А.А. и др.</t>
  </si>
  <si>
    <t>978-5-16-019841-5</t>
  </si>
  <si>
    <t>06.03.01, 19.03.01</t>
  </si>
  <si>
    <t>Государственный научный центр вирусологии и биотехнологии «Вектор» Роспотребнадзора</t>
  </si>
  <si>
    <t>730828.06.01</t>
  </si>
  <si>
    <t>Биотехнология. Практ. по культивир. клеточ. культур: Уч.пос. / М.Ш.Азаев - М.:НИЦ ИНФРА-М,2025-142с(П)</t>
  </si>
  <si>
    <t>БИОТЕХНОЛОГИЯ. ПРАКТИКУМ ПО КУЛЬТИВИРОВАНИЮ КЛЕТОЧНЫХ КУЛЬТУР</t>
  </si>
  <si>
    <t>Азаев М.Ш., Ильичева Т.Н., Бакулина Л.Ф. и др.</t>
  </si>
  <si>
    <t>978-5-16-015953-9</t>
  </si>
  <si>
    <t>00.02.17, 19.01.01, 19.02.15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</si>
  <si>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19.02.01 «Биохимическое производство» (протокол № 14 от 30.09.2019)</t>
  </si>
  <si>
    <t>066480.12.01</t>
  </si>
  <si>
    <t>Биохимия: Уч.пос. / Ю.А.Митякина - М.:ИЦ РИОР,2025 - 113 с.(Карманное учебное пос.)(О)</t>
  </si>
  <si>
    <t>БИОХИМИЯ</t>
  </si>
  <si>
    <t>Митякина Ю. А.</t>
  </si>
  <si>
    <t>Карманное учебное пособие</t>
  </si>
  <si>
    <t>978-5-9557-0268-1</t>
  </si>
  <si>
    <t>06.03.01, 06.04.01, 30.05.01, 30.05.02, 30.05.03, 31.05.01, 31.05.02, 31.05.03, 32.04.01, 32.05.01, 33.05.01, 34.03.01, 49.03.01, 49.04.01</t>
  </si>
  <si>
    <t>416600.11.01</t>
  </si>
  <si>
    <t>Биржа и биржевое дело: Уч.пос. / А.И.Маскаева - М.:НИЦ ИНФРА-М,2025. - 118 с.(ВО: Бакалавриат)(О)</t>
  </si>
  <si>
    <t>БИРЖА И БИРЖЕВОЕ ДЕЛО</t>
  </si>
  <si>
    <t>Маскаева А. И., Туманова Н. Н.</t>
  </si>
  <si>
    <t>978-5-16-006245-7</t>
  </si>
  <si>
    <t>083680.15.01</t>
  </si>
  <si>
    <t>Биржевое дело: Уч. / О.И.Дегтярева - 2 изд. - М.:Магистр, НИЦ ИНФРА-М,2024 - 528 с.(П)</t>
  </si>
  <si>
    <t>БИРЖЕВОЕ ДЕЛО, ИЗД.2</t>
  </si>
  <si>
    <t>Дегтярева О. И.</t>
  </si>
  <si>
    <t>978-5-9776-0470-3</t>
  </si>
  <si>
    <t>38.03.01, 38.03.06, 38.04.06</t>
  </si>
  <si>
    <t>Допущено Учебно-методическим объединением по образованию в области коммерции в качестве учебника  для студентов высших учебных заведений, обучающихся по специальности 080301  "Коммерция (торговое дело)"</t>
  </si>
  <si>
    <t>Московский государственный институт международных отношений (университет) Министерства иностранных дел Российской Федерации</t>
  </si>
  <si>
    <t>756458.06.01</t>
  </si>
  <si>
    <t>Блокчейн в платеж. сис., цифр. финанс. активы...: Уч.пос. / Т.Э.Рождественская.-М.:Юр.Норма, НИЦ ИНФРА-М,2024.-128 с.(П)</t>
  </si>
  <si>
    <t>БЛОКЧЕЙН В ПЛАТЕЖНЫХ СИСТЕМАХ, ЦИФРОВЫЕ ФИНАНСОВЫЕ АКТИВЫ И ЦИФРОВЫЕ ВАЛЮТЫ</t>
  </si>
  <si>
    <t>Рождественская Т.Э., Ситник А.А., Хоменко Е.Г. и др.</t>
  </si>
  <si>
    <t>978-5-00156-171-2</t>
  </si>
  <si>
    <t>658920.04.01</t>
  </si>
  <si>
    <t>Боевое примен.подразд.РТВ ВВС. Радиолок.станция П-18: Уч. /Д.Д.Дмитриев -М.:НИЦ ИНФРА-М, СФУ,2022-170с.(п)</t>
  </si>
  <si>
    <t>БОЕВОЕ ПРИМЕНЕНИЕ ПОДРАЗДЕЛЕНИЙ РТВ ВВС. РАДИОЛОКАЦИОННАЯ СТАНЦИЯ П-18</t>
  </si>
  <si>
    <t>Дмитриев Д.Д., Сосновский А.Д., Абалмасов В.А. и др.</t>
  </si>
  <si>
    <t>978-5-16-012904-4</t>
  </si>
  <si>
    <t>11.03.01</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</si>
  <si>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 (per. № 494 от 11.12.2013)</t>
  </si>
  <si>
    <t>658918.06.01</t>
  </si>
  <si>
    <t>Боевое применение подразделений РТВ ВВС..: Уч. / А.Д.Сосновский-М.:НИЦ ИНФРА-М, СФУ,2024.-164 с.(П)</t>
  </si>
  <si>
    <t>БОЕВОЕ ПРИМЕНЕНИЕ ПОДРАЗДЕЛЕНИЙ РТВ ВВС. ПОДВИЖНЫЙ РАДИОВЫСОТОМЕР ПРВ-13</t>
  </si>
  <si>
    <t>Сосновский А.Д., Кащеев М.М., Дмитриев Д.Д. и др.</t>
  </si>
  <si>
    <t>978-5-16-017106-7</t>
  </si>
  <si>
    <t>11.03.01, 11.04.01, 11.05.01, 11.05.02</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</si>
  <si>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 (per. № 494 от 11.12.2013 ГУК МО РФ)</t>
  </si>
  <si>
    <t>705917.04.01</t>
  </si>
  <si>
    <t>Бортовые источ. и накопители энергии...: Уч. / Е.М.Овсянников - 2 изд. - М.:ФОРУМ : ИНФРА-М, 2024-280с(П)</t>
  </si>
  <si>
    <t>БОРТОВЫЕ ИСТОЧНИКИ И НАКОПИТЕЛИ ЭНЕРГИИ АВТОТРАНСПОРТНЫХ СРЕДСТВ С ТЯГОВЫМИ ЭЛЕКТРОПРИВОДАМИ, ИЗД.2</t>
  </si>
  <si>
    <t>Овсянников Е.М.</t>
  </si>
  <si>
    <t>978-5-00091-676-6</t>
  </si>
  <si>
    <t>23.02.02, 23.02.03, 23.02.05</t>
  </si>
  <si>
    <t>Рекомендовано Межрегиональным учебно-методическим советом профессионального образования в качестве учебника для  использования в учебном процессе образовательных учреждений, реализующих программу СПО по специальности 23.00.00 "Техника и технологии наземного транспорта" (протокол № 7 от 08.06.2020)</t>
  </si>
  <si>
    <t>432400.09.01</t>
  </si>
  <si>
    <t>Бортовые источники и накоп. энергии..: Уч. /Е.М.Овсянников -М.:Форум, НИЦ ИНФРА-М, 2023 -280с (ВО)(о)</t>
  </si>
  <si>
    <t>БОРТОВЫЕ ИСТОЧНИКИ И НАКОПИТЕЛИ ЭНЕРГИИ АВТОТРАНСПОРТНЫХ СРЕДСТВ С ТЯГОВЫМИ ЭЛЕКТРОПРИВОДАМИ</t>
  </si>
  <si>
    <t>ОвсянниковЕ.М.</t>
  </si>
  <si>
    <t>978-5-00091-123-5</t>
  </si>
  <si>
    <t>Допущено УМО вузов РФ по образованию в области транспортных машин и транспортно-технологических комплексов в качестве учебника для студентов высших учебных заведений, обучающихся по специальности 23.05.01 «Наземные транспортно-технологические средства»</t>
  </si>
  <si>
    <t>842462.01.01</t>
  </si>
  <si>
    <t>Ботаника с основами физиологии растений: Уч.пос. / В.И.Полонский - М.:НИЦ ИНФРА-М,2025.-366 с.(СПО (КрГАУ))(п)</t>
  </si>
  <si>
    <t>БОТАНИКА С ОСНОВАМИ ФИЗИОЛОГИИ РАСТЕНИЙ</t>
  </si>
  <si>
    <t>Полонский В.И., Карпюк Т.В.</t>
  </si>
  <si>
    <t>978-5-16-020346-1</t>
  </si>
  <si>
    <t>35.02.05, 35.02.12, 43.01.11</t>
  </si>
  <si>
    <t>809455.01.01</t>
  </si>
  <si>
    <t>Ботаника с основами физиологии растений: Уч.пос. / В.И.Полонский-М.:НИЦ ИНФРА-М,2024.-366 с.(ВО (КрГАУ))(п)</t>
  </si>
  <si>
    <t>978-5-16-019485-1</t>
  </si>
  <si>
    <t>35.03.04, 35.03.07, 35.04.04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</si>
  <si>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сельскохозяйственным направлениям подготовки</t>
  </si>
  <si>
    <t>712697.05.01</t>
  </si>
  <si>
    <t>Ботаника: Уч.пос. / Н.В.Корягина - М.:НИЦ ИНФРА-М,2024 - 351 с.-(ВО: Бакалавриат)(П)</t>
  </si>
  <si>
    <t>БОТАНИКА</t>
  </si>
  <si>
    <t>Корягина Н.В., Корягин Ю.В.</t>
  </si>
  <si>
    <t>978-5-16-015507-4</t>
  </si>
  <si>
    <t>06.03.01, 33.05.01, 35.03.01, 35.03.04, 35.03.05, 35.03.10, 44.03.01, 44.03.05</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</si>
  <si>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направлению 35.03.07 «Технология производства и переработки сельскохозяйственной продукции»</t>
  </si>
  <si>
    <t>Пензенский государственный аграрный университет</t>
  </si>
  <si>
    <t>735063.04.01</t>
  </si>
  <si>
    <t>Ботаника: Уч.пос. / Н.В.Корягина - М.:НИЦ ИНФРА-М,2025 - 351 с.-(СПО)(П)</t>
  </si>
  <si>
    <t>978-5-16-016161-7</t>
  </si>
  <si>
    <t>33.02.01, 35.01.19, 35.02.01, 35.02.05, 35.02.12, 43.01.11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</si>
  <si>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35.02.00 «Сельское, лесное и рыбное хозяйство» (протокол № 5 от 16.03.2020)</t>
  </si>
  <si>
    <t>220700.10.01</t>
  </si>
  <si>
    <t>Брендинг. Управление брендом: Уч. / В.Л.Музыкант-М.:ИЦ РИОР, НИЦ ИНФРА-М,2024.-316 с.(ВО)(п)</t>
  </si>
  <si>
    <t>БРЕНДИНГ. УПРАВЛЕНИЕ БРЕНДОМ</t>
  </si>
  <si>
    <t>Музыкант В. Л.</t>
  </si>
  <si>
    <t>978-5-369-01934-4</t>
  </si>
  <si>
    <t>38.03.02, 38.03.06, 38.04.02, 41.03.06, 42.03.01, 42.03.02, 42.04.01</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</si>
  <si>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100700.62 - «Торговое дело» и по специал</t>
  </si>
  <si>
    <t>636223.07.01</t>
  </si>
  <si>
    <t>Бренд-менеджмент: Уч.пос. / О.Г.Кузьмина - М.:ИЦ РИОР, НИЦ ИНФРА-М,2025. - 176 с.-(ВО)(о)</t>
  </si>
  <si>
    <t>БРЕНД-МЕНЕДЖМЕНТ</t>
  </si>
  <si>
    <t>Кузьмина О.Г.</t>
  </si>
  <si>
    <t>978-5-369-01614-5</t>
  </si>
  <si>
    <t>38.03.02, 38.03.06, 38.03.07</t>
  </si>
  <si>
    <t>485350.09.01</t>
  </si>
  <si>
    <t>Бурение скважин: Уч.пос. / В.В.Нескоромных - М.:НИЦ ИНФРА-М, СФУ,2024 - 352 с.(ВО: Спец. (СФУ))(П)</t>
  </si>
  <si>
    <t>БУРЕНИЕ СКВАЖИН</t>
  </si>
  <si>
    <t>Нескоромных В.В.</t>
  </si>
  <si>
    <t>Высшее образование: Специалитет (СФУ)</t>
  </si>
  <si>
    <t>978-5-16-018545-3</t>
  </si>
  <si>
    <t>05.03.01, 05.04.01, 21.05.01, 21.05.02, 21.05.03, 21.05.04, 21.05.05, 21.05.06</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</si>
  <si>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специальности 21.05.03 «Технология геологической разведки»</t>
  </si>
  <si>
    <t>668716.05.01</t>
  </si>
  <si>
    <t>Буровые станки и бурение скважин: Уч.пос. / В.И.Зварыгин - 2 изд.-М.:НИЦ ИНФРА-М, СФУ,2024.-255с(ВО)</t>
  </si>
  <si>
    <t>БУРОВЫЕ СТАНКИ И БУРЕНИЕ СКВАЖИН, ИЗД.2</t>
  </si>
  <si>
    <t>Зварыгин В.И.</t>
  </si>
  <si>
    <t>978-5-16-018111-0</t>
  </si>
  <si>
    <t>21.05.02</t>
  </si>
  <si>
    <t>Допущено Учебно-методическим объединением вузов Российской Федерации по высшему образованию в области прикладной геологии в качестве учебного пособия для студентов высших учебных заведений, обучающихся по направлению подготовки 21.05.02 «Прикладная геология»</t>
  </si>
  <si>
    <t>433800.04.01</t>
  </si>
  <si>
    <t>Бухгалтерская (фин.) отчетность: Уч.пос. / М.Я.Погорелова - М.:ИЦ РИОР, НИЦ ИНФРА-М,2024 - 242 с.(ВО)(П)</t>
  </si>
  <si>
    <t>БУХГАЛТЕРСКАЯ (ФИНАНСОВАЯ) ОТЧЕТНОСТЬ: ТЕОРИЯ И ПРАКТИКА СОСТАВЛЕНИЯ</t>
  </si>
  <si>
    <t>Погорелова М.Я.</t>
  </si>
  <si>
    <t>978-5-369-01521-6</t>
  </si>
  <si>
    <t>38.03.01, 38.03.02, 38.03.06, 38.04.01, 38.04.02, 38.04.06, 38.04.08</t>
  </si>
  <si>
    <t>645036.07.01</t>
  </si>
  <si>
    <t>Бухгалтерская (финанс.) отчетность: Уч. / Под ред. Сигидова Ю.И. - М.:НИЦ ИНФРА-М,2023-340с.(ВО)(П)</t>
  </si>
  <si>
    <t>БУХГАЛТЕРСКАЯ (ФИНАНСОВАЯ) ОТЧЕТНОСТЬ</t>
  </si>
  <si>
    <t>Сигидов Ю.И., Ясменко Г.Н., Оксанич Е.А. и др.</t>
  </si>
  <si>
    <t>978-5-16-011881-9</t>
  </si>
  <si>
    <t>38.03.01, 38.03.02, 38.03.06</t>
  </si>
  <si>
    <t>645036.08.01</t>
  </si>
  <si>
    <t>Бухгалтерская (финанс.) отчетность: Уч./ Под ред. Сигидова Ю.И. -  2 изд. - М.:НИЦ ИНФРА-М,2025. - 520 с.(ВО)(п)</t>
  </si>
  <si>
    <t>БУХГАЛТЕРСКАЯ (ФИНАНСОВАЯ) ОТЧЕТНОСТЬ, ИЗД.2</t>
  </si>
  <si>
    <t>978-5-16-018388-6</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</si>
  <si>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38.03.01 «Экономика», 38.05.01 «Экономическая безопасность»</t>
  </si>
  <si>
    <t>425850.10.01</t>
  </si>
  <si>
    <t>Бухгалтерская (финанс.) отчетность: Уч.пос. / Л.В.Пономарева, - 2 изд.-М.:НИЦ ИНФРА-М,2023.-276 с.(ВО)(п)</t>
  </si>
  <si>
    <t>Пономарева Л.В., Стельмашенко Н.Д.</t>
  </si>
  <si>
    <t>978-5-16-017942-1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</si>
  <si>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21.12.2022)</t>
  </si>
  <si>
    <t>Финансовый университет при Правительстве Российской Федерации, Владимирский ф-л</t>
  </si>
  <si>
    <t>425850.07.01</t>
  </si>
  <si>
    <t>Бухгалтерская (финансовая) отчетность: Уч.пос. / Л.В.Пономарева - М.:Вуз.уч., НИЦ ИНФРА-М,2022 - 224 с(П)</t>
  </si>
  <si>
    <t>Пономарева Л. В., Стельмашенко Н. Д.</t>
  </si>
  <si>
    <t>978-5-9558-0304-3</t>
  </si>
  <si>
    <t>269100.06.01</t>
  </si>
  <si>
    <t>Бухгалтерская (финансовая) отчетность: Уч.пос. / Н.Н.Бондина - М.:НИЦ ИНФРА-М,2023-256с.(ВО:Бакалавр.)(о)</t>
  </si>
  <si>
    <t>Бондина Н. Н., Бондин И. А., Зубкова Т. В., Павлова И. В.</t>
  </si>
  <si>
    <t>978-5-16-009625-4</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</si>
  <si>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(квалификация (степень) «бакалавр» )</t>
  </si>
  <si>
    <t>802588.01.01</t>
  </si>
  <si>
    <t>Бухгалтерская (финансовая) отчетность: Уч.пос./ А.Х.Курманова - М.:НИЦ ИНФРА-М,2025. - 478 с.(ВО)(п)</t>
  </si>
  <si>
    <t>Курманова А.Х.</t>
  </si>
  <si>
    <t>978-5-16-018560-6</t>
  </si>
  <si>
    <t>38.03.01, 38.04.01, 38.04.08, 38.05.01</t>
  </si>
  <si>
    <t>Рекомендовано ученым советом федерального государственного бюджетного образовательного учреждения высшего образования «Оренбургский государственный университет» для обучающихся по образовательным программам высшего образования по направлению подготовки 38.03.01 «Экономика» и специальности 38.05.01 «Экономическая безопасность»</t>
  </si>
  <si>
    <t>704421.08.01</t>
  </si>
  <si>
    <t>Бухгалтерская тех.провед.и оформ. инвентар.: Уч.пос. / Н.А.Качан, - 2 изд. - М.:НИЦ ИНФРА-М,2025 - 137с.(о)</t>
  </si>
  <si>
    <t>БУХГАЛТЕРСКАЯ ТЕХНОЛОГИЯ ПРОВЕДЕНИЯ И ОФОРМЛЕНИЯ ИНВЕНТАРИЗАЦИИ, ИЗД.2</t>
  </si>
  <si>
    <t>Качан Н.А.</t>
  </si>
  <si>
    <t>978-5-16-015096-3</t>
  </si>
  <si>
    <t>38.02.01</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</si>
  <si>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</si>
  <si>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Белгородский университет кооперации, экономики и права</t>
  </si>
  <si>
    <t>712542.10.01</t>
  </si>
  <si>
    <t>Бухгалтерская технология провед. и оформл...: Уч. / М.Д.Акатьева - М.:НИЦ ИНФРА-М,2025 - 208 с.(СПО)(П)</t>
  </si>
  <si>
    <t>БУХГАЛТЕРСКАЯ ТЕХНОЛОГИЯ ПРОВЕДЕНИЯ И ОФОРМЛЕНИЯ ИНВЕНТАРИЗАЦИИ</t>
  </si>
  <si>
    <t>Акатьева М.Д.</t>
  </si>
  <si>
    <t>978-5-16-015454-1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</si>
  <si>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17 от 11.11.2019)</t>
  </si>
  <si>
    <t>751248.02.01</t>
  </si>
  <si>
    <t>Бухгалтерские проводки в экономике коммер. орг.: Справ. пос. / Е.А.Мизиковский-М.:Магистр, НИЦ ИНФРА-М,2023.-336 с.(П)</t>
  </si>
  <si>
    <t>БУХГАЛТЕРСКИЕ ПРОВОДКИ В ЭКОНОМИКЕ КОММЕРЧЕСКИХ ОРГАНИЗАЦИЙ : СПРАВОЧНИК С КОММЕНТАРИЯМИ И РЕКОМЕНДАЦИЯМИ</t>
  </si>
  <si>
    <t>Мизиковский Е.А., Мизиковский И.Е.</t>
  </si>
  <si>
    <t>978-5-9776-0530-4</t>
  </si>
  <si>
    <t>Справочное пособие</t>
  </si>
  <si>
    <t>38.03.01, 38.03.04, 38.03.06, 38.03.10</t>
  </si>
  <si>
    <t>Национальный исследовательский Нижегородский государственный университет им. Н.И. Лобачевского</t>
  </si>
  <si>
    <t>184950.03.01</t>
  </si>
  <si>
    <t>Бухгалтерские проводки: Уч. пос. / А.М. Сайгидмагомедов, А.С. Акаева. - М.: Форум, 2015- 248 с. (о)</t>
  </si>
  <si>
    <t>БУХГАЛТЕРСКИЕ ПРОВОДКИ</t>
  </si>
  <si>
    <t>Сайгидмагомедов А. М., Акаева А. С.</t>
  </si>
  <si>
    <t>978-5-91134-615-7</t>
  </si>
  <si>
    <t>38.03.01, 38.03.02, 38.03.04, 38.03.06, 38.03.07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</si>
  <si>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</si>
  <si>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Дагестанский государственный аграрный университет им. М.М. Джамбулатова</t>
  </si>
  <si>
    <t>184950.07.01</t>
  </si>
  <si>
    <t>Бухгалтерские проводки: Уч.пос. / А.М.Сайгидмагомедов, - 2 изд. - М.:Форум, НИЦ ИНФРА-М,2025 - 325 с.(ВО)</t>
  </si>
  <si>
    <t>БУХГАЛТЕРСКИЕ ПРОВОДКИ, ИЗД.2</t>
  </si>
  <si>
    <t>Сайгидмагомедов А.М., Акаева А.С.</t>
  </si>
  <si>
    <t>978-5-00091-793-0</t>
  </si>
  <si>
    <t>Рекомендовано в качестве учебного пособия для студентов высших учебных заведений, обучающихся по направлениям подготовки 38.03.01 «Экономика»,38.03.02 «Менеджмент» (квалификация (степень) «бакалавр»)</t>
  </si>
  <si>
    <t>693052.08.01</t>
  </si>
  <si>
    <t>Бухгалтерские проводки: Уч.пос. / А.М.Сайгидмагомедов, - 2 изд. - М.:Форум, НИЦ ИНФРА-М,2025 - 325 с.(СПО)(П)</t>
  </si>
  <si>
    <t>978-5-00091-629-2</t>
  </si>
  <si>
    <t>38.02.01, 38.02.03, 38.02.07, 38.02.08</t>
  </si>
  <si>
    <t>632102.06.01</t>
  </si>
  <si>
    <t>Бухгалтерский  учет в гос. (муниц.) учр.: Уч.пос. / Т.С.Маслова - М.:Магистр,НИЦ ИНФРА-М,2024-544(П)</t>
  </si>
  <si>
    <t>БУХГАЛТЕРСКИЙ  УЧЕТ В ГОСУДАРСТВЕННЫХ (МУНИЦИПАЛЬНЫХ) УЧРЕЖДЕНИЯХ</t>
  </si>
  <si>
    <t>Маслова Т.С.</t>
  </si>
  <si>
    <t>978-5-9776-0422-2</t>
  </si>
  <si>
    <t>144650.12.01</t>
  </si>
  <si>
    <t>Бухгалтерский (упр.) учет в сельском хозяйстве: Уч. пос. / Г.М. Лисович - М.:Вуз.уч.,2025 - 168 с.(п)</t>
  </si>
  <si>
    <t>БУХГАЛТЕРСКИЙ (УПРАВЛЕНЧЕСКИЙ) УЧЕТ В СЕЛЬСКОМ ХОЗЯЙСТВЕ</t>
  </si>
  <si>
    <t>Лисович Г. М. Шутова И. С.</t>
  </si>
  <si>
    <t>978-5-9558-0180-3</t>
  </si>
  <si>
    <t>751339.02.01</t>
  </si>
  <si>
    <t>Бухгалтерский (управленческий) учет. Основы теории...: Уч. / А.Н.Кизилов-М.:НИЦ ИНФРА-М,2024.-282 с.(ВО)(п)</t>
  </si>
  <si>
    <t>БУХГАЛТЕРСКИЙ (УПРАВЛЕНЧЕСКИЙ) УЧЕТ. ОСНОВЫ ТЕОРИИ. ПРАКТИЧЕСКИЕ ЗАДАНИЯ. ТЕСТЫ</t>
  </si>
  <si>
    <t>Кизилов А.Н.</t>
  </si>
  <si>
    <t>978-5-16-017292-7</t>
  </si>
  <si>
    <t>00.03.13, 37.04.02, 38.03.01, 38.03.02, 38.03.03, 38.03.04, 38.03.05, 38.03.06, 38.03.07, 38.04.01, 38.04.07, 38.04.08, 38.04.09, 38.05.02, 41.03.06</t>
  </si>
  <si>
    <t>653172.04.01</t>
  </si>
  <si>
    <t>Бухгалтерский и налоговый учет: Уч. / Э.Ч.Цыденова - 2 изд. - М.:НИЦ ИНФРА-М,2025 - 399 с.(ВО: Бакалавр.)(П)</t>
  </si>
  <si>
    <t>БУХГАЛТЕРСКИЙ И НАЛОГОВЫЙ УЧЕТ, ИЗД.2</t>
  </si>
  <si>
    <t>Цыденова Э.Ч., Аюшиева Л.К.</t>
  </si>
  <si>
    <t>978-5-16-020187-0</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</si>
  <si>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t>
  </si>
  <si>
    <t>Бурятский государственный университет</t>
  </si>
  <si>
    <t>633562.04.01</t>
  </si>
  <si>
    <t>Бухгалтерский и упр.учет. Лаб.практ.: Уч.пос. / Серебрякова Т.Ю. - М.:НИЦ ИНФРА-М,2023-300с.(П)</t>
  </si>
  <si>
    <t>БУХГАЛТЕРСКИЙ И УПРАВЛЕНЧЕСКИЙ УЧЕТ. ЛАБОРАТОРНЫЙ ПРАКТИКУМ</t>
  </si>
  <si>
    <t>Серебрякова Т.Ю., Антонова М.В., Кондрашова О.Р. и др.</t>
  </si>
  <si>
    <t>978-5-16-012068-3</t>
  </si>
  <si>
    <t>38.03.01, 38.03.02, 38.03.03, 38.03.04, 38.03.05, 38.03.06, 38.03.07, 38.04.08</t>
  </si>
  <si>
    <t>Рекомендовано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</si>
  <si>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Российский университет кооперации, Чебоксарский ф-л</t>
  </si>
  <si>
    <t>402550.07.01</t>
  </si>
  <si>
    <t>Бухгалтерский упр. учет: Уч.пос. / И.Е.Мизиковский - 2изд. - М.:Магистр, НИЦ ИНФРА-М,2023-144с(О)</t>
  </si>
  <si>
    <t>БУХГАЛТЕРСКИЙ УПРАВЛЕНЧЕСКИЙ УЧЕТ, ИЗД.2</t>
  </si>
  <si>
    <t>Мизиковский И.Е.</t>
  </si>
  <si>
    <t>978-5-9776-0413-0</t>
  </si>
  <si>
    <t>38.03.01, 38.03.02, 38.04.01, 41.03.06</t>
  </si>
  <si>
    <t>041918.14.01</t>
  </si>
  <si>
    <t>Бухгалтерский управленческий учет: Уч. / В.Б. Ивашкевич - 3изд. - М.: Магистр: НИЦ ИНФРА-М,2025 - 448 с. (п)</t>
  </si>
  <si>
    <t>БУХГАЛТЕРСКИЙ УПРАВЛЕНЧЕСКИЙ УЧЕТ, ИЗД.3</t>
  </si>
  <si>
    <t>Ивашкевич В. Б.</t>
  </si>
  <si>
    <t>978-5-9776-0362-1</t>
  </si>
  <si>
    <t>Допущено Мин. обр. и науки РФ в качестве учебника для студентов высших учебных заведений, обучающихся по финансово-экономическим специальностям</t>
  </si>
  <si>
    <t>441850.06.01</t>
  </si>
  <si>
    <t>Бухгалтерский управленческий учет: Уч.пос. / В.И.Бережной -М.:НИЦ ИНФРА-М,2024-176 с.(ВО: Бакалавр.)(П)</t>
  </si>
  <si>
    <t>БУХГАЛТЕРСКИЙ УПРАВЛЕНЧЕСКИЙ УЧЕТ</t>
  </si>
  <si>
    <t>Бережной В.И., Крохичева Г.Е., Лесняк В.В.</t>
  </si>
  <si>
    <t>978-5-16-006808-4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</si>
  <si>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«Экономика» (квалификация (степень) «бакалавр»). Регистрационный номер рецензии 745 от 27 декабря 2012 г. (ФГАУ ФИРО)</t>
  </si>
  <si>
    <t>Белгородский университет кооперации, экономики и права, ф-л Ставропольский кооперативный институт</t>
  </si>
  <si>
    <t>049000.30.01</t>
  </si>
  <si>
    <t>Бухгалтерский учет (фин. и упр.): Уч. / Н.П.Кондраков - 5 изд. - М.:НИЦ ИНФРА-М,2025 - 584 с.(ВО) (П)</t>
  </si>
  <si>
    <t>БУХГАЛТЕРСКИЙ УЧЕТ (ФИНАНСОВЫЙ И УПРАВЛЕНЧЕСКИЙ), ИЗД.5</t>
  </si>
  <si>
    <t>Кондраков Н.П.</t>
  </si>
  <si>
    <t>978-5-16-020234-1</t>
  </si>
  <si>
    <t>38.03.01, 38.03.02, 38.04.01, 38.04.02, 38.04.08, 38.04.09, 41.03.06</t>
  </si>
  <si>
    <t>0516</t>
  </si>
  <si>
    <t>776422.04.01</t>
  </si>
  <si>
    <t>Бухгалтерский учет в бюджетных учреждениях: Уч. / Т.С.Маслова - М.:Магистр, НИЦ ИНФРА-М,2025 - 480 с.(П)</t>
  </si>
  <si>
    <t>БУХГАЛТЕРСКИЙ УЧЕТ В БЮДЖЕТНЫХ УЧРЕЖДЕНИЯХ</t>
  </si>
  <si>
    <t>978-5-9776-0542-7</t>
  </si>
  <si>
    <t>666393.01.01</t>
  </si>
  <si>
    <t>Бухгалтерский учет в двух модулях: Уч.пос. / Т.В.Терентьева - М.:ИЦ РИОР, НИЦ ИНФРА-М,2018-288 с.(П)</t>
  </si>
  <si>
    <t>БУХГАЛТЕРСКИЙ УЧЕТ В ДВУХ МОДУЛЯХ</t>
  </si>
  <si>
    <t>Терентьева Т.В., Малышева В.В.</t>
  </si>
  <si>
    <t>978-5-369-01727-2</t>
  </si>
  <si>
    <t>23.03.01, 26.03.01, 38.03.01, 38.03.06, 38.03.07, 38.04.01, 38.04.02, 38.04.03, 38.04.04, 38.04.05, 38.04.06, 38.04.07, 38.04.08, 38.04.09, 38.05.01, 38.05.02, 43.03.03, 56.05.01</t>
  </si>
  <si>
    <t>462600.05.01</t>
  </si>
  <si>
    <t>Бухгалтерский учет в коммерч.орг.: Уч.пос. / М.В.Мельник - М.:Форум,НИЦ ИНФРА-М, 2025 - 480 с.(ВО:Бакалавр.) (п)</t>
  </si>
  <si>
    <t>БУХГАЛТЕРСКИЙ УЧЕТ В КОММЕРЧЕСКИХ ОРГАНИЗАЦИЯХ</t>
  </si>
  <si>
    <t>Мельник М.В., Егорова С.Е., Кулакова Н.Г. и др.</t>
  </si>
  <si>
    <t>978-5-00091-146-4</t>
  </si>
  <si>
    <t>23.03.01, 38.03.01, 38.03.02, 41.03.06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</si>
  <si>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направлениям подготовки «Экономика» и «Менеджмент»</t>
  </si>
  <si>
    <t>761244.04.01</t>
  </si>
  <si>
    <t>Бухгалтерский учет в коммерческих орг.: Уч.пос. / М.В.Мельник - М.:Форум, НИЦ ИНФРА-М,2025 - 479 с.(СПО)(п)</t>
  </si>
  <si>
    <t>978-5-00091-759-6</t>
  </si>
  <si>
    <t>38.02.01, 38.02.03, 38.02.07, 38.02.08, 40.02.04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</si>
  <si>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2 от 17.02.2021)</t>
  </si>
  <si>
    <t>739624.03.01</t>
  </si>
  <si>
    <t>Бухгалтерский учет в ресторанно-гостиничном...: Уч. / С.А.Касьянова - М.:НИЦ ИНФРА-М,2025 - 215 с.(ВО)(П)</t>
  </si>
  <si>
    <t>БУХГАЛТЕРСКИЙ УЧЕТ В РЕСТОРАННО-ГОСТИНИЧНОМ БИЗНЕСЕ И ТУРИЗМЕ</t>
  </si>
  <si>
    <t>978-5-16-020793-3</t>
  </si>
  <si>
    <t>38.03.01, 43.03.03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</si>
  <si>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8 от 20.10.2021)</t>
  </si>
  <si>
    <t>448050.10.01</t>
  </si>
  <si>
    <t>Бухгалтерский учет и анализ. Осн. теор. для бакал. эконом.:Уч./Ю.А.Бабаев-Вуз.уч.:ИНФРА-М,2024-302с(п)</t>
  </si>
  <si>
    <t>БУХГАЛТЕРСКИЙ УЧЕТ И АНАЛИЗ. ОСНОВЫ ТЕОРИИ ДЛЯ БАКАЛАВРОВ ЭКОНОМИКИ</t>
  </si>
  <si>
    <t>Бабаев Ю. А., Петров А. М.</t>
  </si>
  <si>
    <t>978-5-9558-0327-2</t>
  </si>
  <si>
    <t>38.03.02, 38.03.04, 38.03.05, 38.03.06, 38.03.07, 38.04.01, 38.04.02, 38.04.04, 38.04.05, 38.04.06, 38.04.07, 38.04.08</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</si>
  <si>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«Экономика»</t>
  </si>
  <si>
    <t>463250.08.01</t>
  </si>
  <si>
    <t>Бухгалтерский учет и анализ. Практикум: Уч. пос. / Ю.И.Сигидов - М:ИНФРА-М,2025 - 156 с.(ВО: Бакалавр.) (п)</t>
  </si>
  <si>
    <t>БУХГАЛТЕРСКИЙ УЧЕТ И АНАЛИЗ. ПРАКТИКУМ</t>
  </si>
  <si>
    <t>Сигидов Ю. И., Рыбянцева М. С., Мороз Н. Ю., Сигидов Ю. И., Оксанич Е. А.</t>
  </si>
  <si>
    <t>978-5-16-009609-4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</si>
  <si>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з качестве учебного пособия для студентов высших учебных заведений, обучающихся по направле</t>
  </si>
  <si>
    <t>462700.04.01</t>
  </si>
  <si>
    <t>Бухгалтерский учет и анализ: практикум: Уч.пос. / М.В.Мельник - 2 изд.-М.:НИЦ ИНФРА-М,2023.-198 с.(ВО)(П)</t>
  </si>
  <si>
    <t>БУХГАЛТЕРСКИЙ УЧЕТ И АНАЛИЗ: ПРАКТИКУМ, ИЗД.2</t>
  </si>
  <si>
    <t>978-5-16-016433-5</t>
  </si>
  <si>
    <t>23.03.01, 38.03.01, 38.03.02, 38.03.03, 38.03.04, 38.03.05, 38.03.06, 38.03.07, 38.05.01, 38.05.02</t>
  </si>
  <si>
    <t>135600.12.01</t>
  </si>
  <si>
    <t>Бухгалтерский учет и анализ: Уч. / А.Д.Шеремет - 3 изд. - М.:НИЦ ИНФРА-М,2025 - 472 с.(ВО: Бакалавриат) (П)</t>
  </si>
  <si>
    <t>БУХГАЛТЕРСКИЙ УЧЕТ И АНАЛИЗ, ИЗД.3</t>
  </si>
  <si>
    <t>Шеремет А.Д., Старовойтова Е.В., Шеремет А.Д.</t>
  </si>
  <si>
    <t>978-5-16-019614-5</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</si>
  <si>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«Экономика»</t>
  </si>
  <si>
    <t>336300.08.01</t>
  </si>
  <si>
    <t>Бухгалтерский учет и анализ: Уч. / М.Д.Акатьева - 3 изд. - М.:НИЦ ИНФРА-М,2023 - 274 с.-(ВО)(П)</t>
  </si>
  <si>
    <t>Акатьева М.Д., Бирюков В.А.</t>
  </si>
  <si>
    <t>978-5-16-015826-6</t>
  </si>
  <si>
    <t>Рекомендовано федеральным государственным образовательным бюджетным учреждением высшего образования «Финансовый университет при Правительстве Российской Федерации» в качестве учебника к использованию в образовательных учреждениях, реализующих образовательные программы ВО по направлению подготовки 38.03.01 «Экономика» по дисциплине «Бухгалтерский учет и анализ» (регистрационный номер рецензии 3041 от 03.06.2015, МГУП)</t>
  </si>
  <si>
    <t>336300.06.01</t>
  </si>
  <si>
    <t>Бухгалтерский учет и анализ: Уч. / М.Д.Акатьева, - 2 изд.-М.:НИЦ ИНФРА-М,2019-258с(ВО: Бакалавр.)(П)</t>
  </si>
  <si>
    <t>БУХГАЛТЕРСКИЙ УЧЕТ И АНАЛИЗ, ИЗД.2</t>
  </si>
  <si>
    <t>978-5-16-013204-4</t>
  </si>
  <si>
    <t>Рекомендовано федеральным государственным образовательным бюджетным учреждением высшего образования «Финансовый университет при Правительстве Российской Федерации» в качестве учебника к использованию в образовательных учреждениях, реализующих образовательные программы ВО по направлению подготовки 38.03.01 «Экономика» по дисциплине «Бухгалтерский учет и анализ»</t>
  </si>
  <si>
    <t>631954.03.01</t>
  </si>
  <si>
    <t>Бухгалтерский учет и анализ: Уч. / Под ред. Суглобова А.Е.-М.:ИЦ РИОР, НИЦ ИНФРА-М,2018-478с.(ВО)(П)</t>
  </si>
  <si>
    <t>БУХГАЛТЕРСКИЙ УЧЕТ И АНАЛИЗ</t>
  </si>
  <si>
    <t>Суглобов А.Е., Жарылгасова Б.Т., Хмелев С.А. и др.</t>
  </si>
  <si>
    <t>978-5-369-01585-8</t>
  </si>
  <si>
    <t>38.03.01, 38.03.02, 38.03.04, 38.04.02, 38.04.04, 38.05.01</t>
  </si>
  <si>
    <t>Технологический университет имени дважды героя Советского Союза, летчика-космонавта А.А.Леонова</t>
  </si>
  <si>
    <t>733123.01.01</t>
  </si>
  <si>
    <t>Бухгалтерский учет и анализ: Уч. / С.А.Сироткин - М.:НИЦ ИНФРА-М,2021 - 355 с.-(СПО)(П)</t>
  </si>
  <si>
    <t>Сироткин С.А., Кельчевская Н.Р.</t>
  </si>
  <si>
    <t>978-5-16-016048-1</t>
  </si>
  <si>
    <t>11.02.12, 19.02.10, 29.02.05, 35.01.23, 35.01.24, 38.01.02, 38.02.01, 38.02.03, 38.02.06, 38.02.07, 38.02.08, 40.02.04, 43.01.09, 43.02.01, 43.02.11, 51.02.02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</si>
  <si>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</si>
  <si>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Уральский федеральный университет им. первого Президента России Б.Н. Ельцина</t>
  </si>
  <si>
    <t>661008.05.01</t>
  </si>
  <si>
    <t>Бухгалтерский учет и анализ: Уч. / С.А.Сироткин - М.:НИЦ ИНФРА-М,2024 - 355 с.-(ВО: Бакалавриат)(П)</t>
  </si>
  <si>
    <t>978-5-16-013703-2</t>
  </si>
  <si>
    <t>38.03.01, 38.03.02, 38.03.04, 38.03.06, 38.03.10</t>
  </si>
  <si>
    <t>235300.05.01</t>
  </si>
  <si>
    <t>Бухгалтерский учет и анализ: Уч. пос. / Под ред. Ю.И. Сигидова - М.: НИЦ ИНФРА-М, 2020 - 336 с. (ВО) (п)</t>
  </si>
  <si>
    <t>Сигидов Ю. И., Оксанич Е. А., Сигидова Н. Ю., Сигидов Ю. И., Рыбянцева М. С.</t>
  </si>
  <si>
    <t>978-5-16-009144-0</t>
  </si>
  <si>
    <t>38.03.01, 38.03.02, 38.03.03, 38.03.04, 38.03.06, 38.03.07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</si>
  <si>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t>
  </si>
  <si>
    <t>455450.04.01</t>
  </si>
  <si>
    <t>Бухгалтерский учет и анализ: Уч. пос./ А.В. Зонова - М.: Магистр: НИЦ ИНФРА-М, 2025.-576 с.(п)</t>
  </si>
  <si>
    <t>Зонова А. В., Адамайтис Л. А.</t>
  </si>
  <si>
    <t>978-5-9776-0294-5</t>
  </si>
  <si>
    <t>235300.07.01</t>
  </si>
  <si>
    <t>Бухгалтерский учет и анализ: Уч.пос. / Ю.И.Сигидов - 2 изд.-М.:НИЦ ИНФРА-М,2024.-358 с.(ВО: Бакалавр.)(П)</t>
  </si>
  <si>
    <t>978-5-16-017685-7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</si>
  <si>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38.03.02 «Менеджмент» (квалификация (степень) «бакалавр») (ФГАУ ФИРО)</t>
  </si>
  <si>
    <t>631954.04.01</t>
  </si>
  <si>
    <t>Бухгалтерский учет и анализ:Уч. / Под ред. Суглобов А.Е., - 2-е изд.-М.:ИЦ РИОР, НИЦ ИНФРА-М,2019.-488 с.(П 7БЦ)</t>
  </si>
  <si>
    <t>Суглобов А.Е., Жарылгасова Б.Т., Манышин Д.М. и др.</t>
  </si>
  <si>
    <t>978-5-369-01790-6</t>
  </si>
  <si>
    <t>451600.02.01</t>
  </si>
  <si>
    <t>Бухгалтерский учет и анализ:Уч.пос. / М.С.Кувшинов-М.:ИЦ РИОР, НИЦ ИНФРА-М,2017.-248 с..-(ВО: Бакалавриат)(О. КБС)</t>
  </si>
  <si>
    <t>Кувшинов М.С.</t>
  </si>
  <si>
    <t>978-5-369-01565-0</t>
  </si>
  <si>
    <t>38.03.01, 38.03.02, 38.05.01, 41.03.06</t>
  </si>
  <si>
    <t>Южно-Уральский государственный университет (национальный исследовательский университет)</t>
  </si>
  <si>
    <t>369900.05.01</t>
  </si>
  <si>
    <t>Бухгалтерский учет и аудит: Уч.пос. / Ю.И.Сигидов и др. - М.:НИЦ ИНФРА-М,2024-407с.(ВО: Бакалавриат)</t>
  </si>
  <si>
    <t>БУХГАЛТЕРСКИЙ УЧЕТ И АУДИТ</t>
  </si>
  <si>
    <t>Ю.И.Сигидов, М.Ф.Сафонова, Г.Н.Ясменко и др.</t>
  </si>
  <si>
    <t>978-5-16-011016-5</t>
  </si>
  <si>
    <t>797999.01.01</t>
  </si>
  <si>
    <t>Бухгалтерский учет и внутренний контроль: Уч. / Ю.И.Сигидов - М.:НИЦ ИНФРА-М,2024. - 641 с.(ВО)(п)</t>
  </si>
  <si>
    <t>БУХГАЛТЕРСКИЙ УЧЕТ И ВНУТРЕННИЙ КОНТРОЛЬ</t>
  </si>
  <si>
    <t>Сигидов Ю.И., Оксанич Е.А., Ясменко Г.Н. и др.</t>
  </si>
  <si>
    <t>978-5-16-018308-4</t>
  </si>
  <si>
    <t>38.03.01, 38.03.02, 38.05.01</t>
  </si>
  <si>
    <t>676901.05.01</t>
  </si>
  <si>
    <t>Бухгалтерский учет и налогообл. внешнеэконом...: Уч. / Р.Г.Каспина - 2 изд.-М.:НИЦ ИНФРА-М,2024-420с(П)</t>
  </si>
  <si>
    <t>БУХГАЛТЕРСКИЙ УЧЕТ И НАЛОГООБЛОЖЕНИЕ ВНЕШНЕЭКОНОМИЧЕСКОЙ ДЕЯТЕЛЬНОСТИ ОРГАНИЗАЦИЙ, ИЗД.2</t>
  </si>
  <si>
    <t>Каспина Р.Г., Плотникова Л.А.</t>
  </si>
  <si>
    <t>978-5-16-018442-5</t>
  </si>
  <si>
    <t>38.03.01, 38.03.02, 38.03.04, 38.03.06, 38.04.01, 38.04.02, 38.04.04, 38.04.06, 38.05.02</t>
  </si>
  <si>
    <t>Рекомендован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(квалификация (степень) «бакалавр») (протокол № 17 от 11.11.2019)</t>
  </si>
  <si>
    <t>763891.04.01</t>
  </si>
  <si>
    <t>Бухгалтерский учет и налогооблож. субъектов малого и...: Уч.пос./ Шахбанов Р.-М.:Магистр, НИЦ ИНФРА-М,2025.-184 с.(П)</t>
  </si>
  <si>
    <t>БУХГАЛТЕРСКИЙ УЧЕТ И НАЛОГООБЛОЖЕНИЕ СУБЪЕКТОВ МАЛОГО И СРЕДНЕГО ПРЕДПРИНИМАТЕЛЬСТВА</t>
  </si>
  <si>
    <t>Шахбанов Р.Б., Рабаданова Ж.Б.</t>
  </si>
  <si>
    <t>978-5-9776-0534-2</t>
  </si>
  <si>
    <t>Дагестанский государственный университет народного хозяйства</t>
  </si>
  <si>
    <t>656360.05.01</t>
  </si>
  <si>
    <t>Бухгалтерский учет и отчетность: практ.: Уч.пос. / Хахонова Н.Н. - М.:ИЦ РИОР, НИЦ ИНФРА-М,2022 - 450 с.(П)</t>
  </si>
  <si>
    <t>БУХГАЛТЕРСКИЙ УЧЕТ И ОТЧЕТНОСТЬ: ПРАКТИКУМ</t>
  </si>
  <si>
    <t>Хахонова Н.Н., Емельянова И.Н., Алексеева И.В. и др.</t>
  </si>
  <si>
    <t>978-5-369-01719-7</t>
  </si>
  <si>
    <t>645777.08.01</t>
  </si>
  <si>
    <t>Бухгалтерский учет и отчетность: Уч. / Под ред. Хахоновой Н.Н. - М.:ИЦ РИОР, НИЦ ИНФРА-М,2022 - 560 с.(ВО)(П)</t>
  </si>
  <si>
    <t>БУХГАЛТЕРСКИЙ УЧЕТ И ОТЧЕТНОСТЬ</t>
  </si>
  <si>
    <t>Хахонова Н.Н., Алексеева И.В., Бахтеев А.В. и др.</t>
  </si>
  <si>
    <t>978-5-369-01702-9</t>
  </si>
  <si>
    <t>38.03.01, 38.03.02, 38.03.04, 38.04.01</t>
  </si>
  <si>
    <t>737295.02.01</t>
  </si>
  <si>
    <t>Бухгалтерский учет и эконом. анализ бизнес-процес: Уч.пос. / Е.А.Мизиковский-М.:Магистр, НИЦ ИНФРА-М,2024-216 с.(О)</t>
  </si>
  <si>
    <t>БУХГАЛТЕРСКИЙ УЧЕТ И ЭКОНОМИЧЕСКИЙ АНАЛИЗ БИЗНЕС-ПРОЦЕССОВ</t>
  </si>
  <si>
    <t>978-5-9776-0517-5</t>
  </si>
  <si>
    <t>128200.11.01</t>
  </si>
  <si>
    <t>Бухгалтерский учет, анализ и аудит внешнеэконом. деят.: Уч. /Ю.А.Бабаев - 3 изд. -М.:Вуз. уч., НИЦ ИНФРА-М,2024.-349с(П)</t>
  </si>
  <si>
    <t>БУХГАЛТЕРСКИЙ УЧЕТ, АНАЛИЗ И АУДИТ ВНЕШНЕЭКОНОМИЧЕСКОЙ ДЕЯТЕЛЬНОСТИ, ИЗД.3</t>
  </si>
  <si>
    <t>Бабаев Ю.А., Петров А.М., Кеворкова Ж.А. и др.</t>
  </si>
  <si>
    <t>978-5-9558-0510-8</t>
  </si>
  <si>
    <t>25.04.03, 38.03.01, 38.03.02, 38.04.01, 38.04.08, 38.04.09, 41.03.06</t>
  </si>
  <si>
    <t>Рекомендовано Учебно-методическим объединением вузов России по образованию в области финансов, учета и мировой экономики в качестве учебника для студентов, обучающихся по специальности 080109 "Бухгалтерский учет,анализ и аудит"</t>
  </si>
  <si>
    <t>474500.04.01</t>
  </si>
  <si>
    <t>Бухгалтерский учет, анализ и аудит операций..: Уч.пос. / О.В.Дмитриева - М.:НИЦ ИНФРА-М,2020-268 с.(ВО)(П)</t>
  </si>
  <si>
    <t>БУХГАЛТЕРСКИЙ УЧЕТ, АНАЛИЗ И АУДИТ ОПЕРАЦИЙ С ЦЕННЫМИ БУМАГАМИ</t>
  </si>
  <si>
    <t>Дмитриева О.В.</t>
  </si>
  <si>
    <t>978-5-16-015736-8</t>
  </si>
  <si>
    <t>38.03.01, 38.03.02, 38.04.01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</si>
  <si>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17 от 11.11.2019)</t>
  </si>
  <si>
    <t>714623.07.01</t>
  </si>
  <si>
    <t>Бухгалтерский учет. Сб. задач..: Уч.пос. / Под ред. Гаджиев Н.Г., - 2 изд. - М.:НИЦ ИНФРА-М,2025 - 391 с.(ВО)(п)</t>
  </si>
  <si>
    <t>БУХГАЛТЕРСКИЙ УЧЕТ. СБОРНИК ЗАДАЧ, СИТУАЦИЙ И ТЕСТОВ, ИЗД.2</t>
  </si>
  <si>
    <t>Гаджиев Н.Г., Заугарова Е.В., Киселева О.В. и др.</t>
  </si>
  <si>
    <t>978-5-16-016907-1</t>
  </si>
  <si>
    <t>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</si>
  <si>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4 от 13.04.2022)</t>
  </si>
  <si>
    <t>125300.08.01</t>
  </si>
  <si>
    <t>Бухгалтерский учет. Сборник задач: Уч.пос. / Е.А.Кыштымова - М.:ИД ФОРУМ:НИЦ ИНФРА-М,2024 -208с.(ВО)</t>
  </si>
  <si>
    <t>БУХГАЛТЕРСКИЙ УЧЕТ. СБОРНИК ЗАДАЧ</t>
  </si>
  <si>
    <t>Кыштымова Е. А.</t>
  </si>
  <si>
    <t>978-5-8199-0427-5</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</si>
  <si>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"Бухгалтерский учет, анализ и аудит"</t>
  </si>
  <si>
    <t>Орловский государственный аграрный университет им. Н.В. Парахина</t>
  </si>
  <si>
    <t>714623.04.01</t>
  </si>
  <si>
    <t>Бухгалтерский учет: Сб. задач...: Уч.пос. / Под ред. Гаджиева Н.Г. - М.:НИЦ ИНФРА-М,2022 - 283 с.(ВО)(П)</t>
  </si>
  <si>
    <t>БУХГАЛТЕРСКИЙ УЧЕТ. СБОРНИК ЗАДАЧ, СИТУАЦИЙ И ТЕСТОВ</t>
  </si>
  <si>
    <t>Гаджиев Н.Г., Ивличев П.С., Ивличева Н.А. и др.</t>
  </si>
  <si>
    <t>978-5-16-015486-2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</si>
  <si>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19 от 09.12.2019)</t>
  </si>
  <si>
    <t>125300.09.01</t>
  </si>
  <si>
    <t>Бухгалтерский учет: Сб. задач: Уч.пос. / Е.А.Кыштымова, - 2 изд. - М.:НИЦ ИНФРА-М,2025. - 261 с.(ВО)(п)</t>
  </si>
  <si>
    <t>БУХГАЛТЕРСКИЙ УЧЕТ. СБОРНИК ЗАДАЧ, ИЗД.2</t>
  </si>
  <si>
    <t>Кыштымова Е.А.</t>
  </si>
  <si>
    <t>978-5-16-019623-7</t>
  </si>
  <si>
    <t>Рекомендовано Ученым советом Среднерусского института управления — филиала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 в качестве учебного пособия для студентов, обучающихся по направлению подготовки «Бухгалтерский учет, анализ и аудит»</t>
  </si>
  <si>
    <t>693009.04.01</t>
  </si>
  <si>
    <t>Бухгалтерский учет: теория и практика: Уч. / Т.В.Миршук - М.:НИЦ ИНФРА-М,2025 - 182 с.(СПО)(П)</t>
  </si>
  <si>
    <t>БУХГАЛТЕРСКИЙ УЧЕТ: ТЕОРИЯ И ПРАКТИКА</t>
  </si>
  <si>
    <t>Миршук Т.В.</t>
  </si>
  <si>
    <t>978-5-16-015121-2</t>
  </si>
  <si>
    <t>11.02.12, 29.02.05, 35.01.23, 35.01.24, 38.01.02, 38.02.01, 38.02.02, 38.02.03, 38.02.06, 38.02.07, 38.02.08, 40.02.04, 43.01.09, 43.02.01, 43.02.16, 51.02.02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</si>
  <si>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38.02.01 «Экономика и управление» (протокол № 8 от 22.06.2020)</t>
  </si>
  <si>
    <t>124500.15.01</t>
  </si>
  <si>
    <t>Бухгалтерский учет: Уч. / В.Г.Гетьман - 3 изд. - М.:НИЦ ИНФРА-М,2025. - 591 с.(ВО)(п)</t>
  </si>
  <si>
    <t>БУХГАЛТЕРСКИЙ УЧЕТ, ИЗД.3</t>
  </si>
  <si>
    <t>Гетьман В.Г., Бабаева З.Д., Блинова У.Ю. и др.</t>
  </si>
  <si>
    <t>978-5-16-020860-2</t>
  </si>
  <si>
    <t>Рекомендовано Государственным университетом управления в качестве учебника для студентов вузов, обучающихся по направлению подготовки 38.03.01 «Экономика» (квалификация (степень) «бакалавр»)</t>
  </si>
  <si>
    <t>070800.11.01</t>
  </si>
  <si>
    <t>Бухгалтерский учет: Уч. / Н.А.Лытнева и др., - 3 изд. - М.:НИЦ ИНФРА-М,2025. - 535 с.(СПО)(п)</t>
  </si>
  <si>
    <t>Лытнева Н.А., Малявкина Л.И., Федорова Т.В.</t>
  </si>
  <si>
    <t>978-5-16-019325-0</t>
  </si>
  <si>
    <t>11.02.12, 29.02.05, 35.01.23, 35.01.24, 38.01.02, 38.02.01, 38.02.03, 38.02.06, 38.02.07, 38.02.08, 40.02.04, 43.02.01, 51.02.02</t>
  </si>
  <si>
    <t>712781.04.01</t>
  </si>
  <si>
    <t>Бухгалтерский учет: Уч. / Н.Г.Гаджиев и др. - М.:НИЦ ИНФРА-М,2022 - 581 с.-(ВО: Специалитет)(П)</t>
  </si>
  <si>
    <t>БУХГАЛТЕРСКИЙ УЧЕТ</t>
  </si>
  <si>
    <t>Гаджиев Н.Г., Ивличева Н.А., Ивличев П.С. и др.</t>
  </si>
  <si>
    <t>978-5-16-015446-6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</si>
  <si>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«экономист») (протокол № 15 от 14.10.2019)</t>
  </si>
  <si>
    <t>049000.15.01</t>
  </si>
  <si>
    <t>Бухгалтерский учет: Уч. / Н.П. Кондраков. - 4 изд. - М.: НИЦ ИНФРА-М, 2015-681с.(ВО:Бакалавр.)</t>
  </si>
  <si>
    <t>БУХГАЛТЕРСКИЙ УЧЕТ, ИЗД.4</t>
  </si>
  <si>
    <t>Кондраков Н. П.</t>
  </si>
  <si>
    <t>978-5-16-004888-8</t>
  </si>
  <si>
    <t>0411</t>
  </si>
  <si>
    <t>124500.10.01</t>
  </si>
  <si>
    <t>Бухгалтерский учет: Уч. / Под ред. Гетьмана В.Г. - 2 изд.-М.:НИЦ ИНФРА-М,2019-601с.(ВО:Бакалавр.)(П)</t>
  </si>
  <si>
    <t>БУХГАЛТЕРСКИЙ УЧЕТ, ИЗД.2</t>
  </si>
  <si>
    <t>Гетьман В.Г., Керимов В.Э., Бабаева З.Д. и др.</t>
  </si>
  <si>
    <t>978-5-16-011561-0</t>
  </si>
  <si>
    <t>Рекомендовано Государственным университетом управления в качестве учебника для студентов вузов, обучающихся по направлению 38.03.01 «Экономика» (уровень подготовки «бакалавр»)</t>
  </si>
  <si>
    <t>078500.13.01</t>
  </si>
  <si>
    <t>Бухгалтерский учет: Уч.пос. / Л.М.Бурмистрова - 4 изд. - М.:НИЦ ИНФРА-М,2022 - 304 с.-(СПО)(П)</t>
  </si>
  <si>
    <t>Бурмистрова Л.М.</t>
  </si>
  <si>
    <t>978-5-16-015682-8</t>
  </si>
  <si>
    <t>11.02.12, 29.02.05, 35.01.23, 35.01.24, 38.01.02, 38.02.01, 38.02.02, 38.02.03, 38.02.06, 38.02.07, 38.02.08, 40.02.04, 43.01.09, 43.02.01, 51.02.02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</si>
  <si>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11 от 09.11.2020)</t>
  </si>
  <si>
    <t>Аудиторская фирма "Аудит Вашего Бизнеса"</t>
  </si>
  <si>
    <t>078500.11.01</t>
  </si>
  <si>
    <t>Бухгалтерский учет: Уч.пос. / Л.М.Бурмистрова, - 3 изд.-М.:Форум, НИЦ ИНФРА-М,2020.-318 с..-(СПО)(О)</t>
  </si>
  <si>
    <t>978-5-91134-855-7</t>
  </si>
  <si>
    <t>Допущено Мин. обр. и науки РФ в качестве учебного пособия для студентов учреждений среднего профессионального образования, обучаюищхся по группе специальностей "Экономика и управление"</t>
  </si>
  <si>
    <t>078500.17.01</t>
  </si>
  <si>
    <t>Бухгалтерский учет: Уч.пос. / Л.М.Бурмистрова, - 5 изд. - М.:НИЦ ИНФРА-М,2024. - 315 с.(СПО (ФинУн))(п)</t>
  </si>
  <si>
    <t>БУХГАЛТЕРСКИЙ УЧЕТ, ИЗД.5</t>
  </si>
  <si>
    <t>978-5-16-019743-2</t>
  </si>
  <si>
    <t>0525</t>
  </si>
  <si>
    <t>344200.05.01</t>
  </si>
  <si>
    <t>Бухгалтерский учет:учет оборот.средств: Уч.пос. / В.И.Бережной - М.:НИЦ ИНФРА-М,2025 - 192 с.(ВО:Бакалавр.)</t>
  </si>
  <si>
    <t>БУХГАЛТЕРСКИЙ УЧЕТ: УЧЕТ ОБОРОТНЫХ СРЕДСТВ</t>
  </si>
  <si>
    <t>Бережной В.И., Суспицына Г.Г., Бигдай О.Б. и др.</t>
  </si>
  <si>
    <t>978-5-16-010784-4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</si>
  <si>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Регистрационный номер рецензии 022 от 29 января 2015 г. (ФГАУ ФИРО)</t>
  </si>
  <si>
    <t>390600.04.01</t>
  </si>
  <si>
    <t>Бухгалтерский фин. учет. Практикум: Уч.пос. / А.М.Петров - М.: Вуз.уч., НИЦ ИНФРА-М, 2023-280с. (п)</t>
  </si>
  <si>
    <t>БУХГАЛТЕРСКИЙ ФИНАНСОВЫЙ УЧЕТ. ПРАКТИКУМ</t>
  </si>
  <si>
    <t>ПетровА.М.</t>
  </si>
  <si>
    <t>978-5-9558-0456-9</t>
  </si>
  <si>
    <t>175000.09.01</t>
  </si>
  <si>
    <t>Бухгалтерский финанс. учет в сельском хоз.: Уч.пос. / А.М.Сайгидмагомедов - 2 изд.-М.:НИЦ ИНФРА-М,2024.-561 с.(П)</t>
  </si>
  <si>
    <t>БУХГАЛТЕРСКИЙ ФИНАНСОВЫЙ УЧЕТ В СЕЛЬСКОМ ХОЗЯЙСТВЕ, ИЗД.2</t>
  </si>
  <si>
    <t>Сайгидмагомедов А.М.</t>
  </si>
  <si>
    <t>978-5-16-016146-4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</si>
  <si>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 от 20.01.2021)</t>
  </si>
  <si>
    <t>766307.01.01</t>
  </si>
  <si>
    <t>Бухгалтерский финанс. учет в сельском хозяйстве: Уч. / В.Г.Широбоков-М.:НИЦ ИНФРА-М,2024.-550 с.(ВО)(п)</t>
  </si>
  <si>
    <t>БУХГАЛТЕРСКИЙ ФИНАНСОВЫЙ УЧЕТ В СЕЛЬСКОМ ХОЗЯЙСТВЕ</t>
  </si>
  <si>
    <t>Широбоков В.Г.</t>
  </si>
  <si>
    <t>978-5-16-018115-8</t>
  </si>
  <si>
    <t>Рекомендовано Федеральным УМО по сельскому, лесному и рыбному хозяйству в качестве учебника для подготовки бакалавров по направлению «Экономика»</t>
  </si>
  <si>
    <t>Воронежский государственный аграрный университет им. императора Петра I</t>
  </si>
  <si>
    <t>Апрель, 2024</t>
  </si>
  <si>
    <t>108700.13.01</t>
  </si>
  <si>
    <t>Бухгалтерский финансовый учет в сельском хоз.: Уч. / Г.М.Лисович - 2 изд. - Вуз.уч.:ИНФРА-М,2025 - 288 с.(п)</t>
  </si>
  <si>
    <t>Лисович Г. М.</t>
  </si>
  <si>
    <t>978-5-9558-0377-7</t>
  </si>
  <si>
    <t>Рекомендовано Учебно-методическим объединением вузов России по образованию в области финансов, бухгалтерского учета и мировой экономики в качестве учебного пособия для студентов высших учебных заведений, обучающихся по направлению «Экономика» (степен</t>
  </si>
  <si>
    <t>175000.05.01</t>
  </si>
  <si>
    <t>Бухгалтерский финансовый учет в сельском хозяйстве: уч.пос. / А.М.Сайгидмагомедов-М.:Форум, НИЦ ИНФРА-М,2018.-768 с..-(ВО: Магистратур</t>
  </si>
  <si>
    <t>Сайгидмагомедов А. М.</t>
  </si>
  <si>
    <t>978-5-91134-643-0</t>
  </si>
  <si>
    <t>742670.04.01</t>
  </si>
  <si>
    <t>Бухгалтерский финансовый учет: теория и практика: Уч. / Л.И.Воронина-М.:НИЦ ИНФРА-М,2024.-587с.(ВО)(п)</t>
  </si>
  <si>
    <t>БУХГАЛТЕРСКИЙ ФИНАНСОВЫЙ УЧЕТ: ТЕОРИЯ И ПРАКТИКА</t>
  </si>
  <si>
    <t>978-5-16-019392-2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</si>
  <si>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6 от 16.06.2021)</t>
  </si>
  <si>
    <t>289200.06.01</t>
  </si>
  <si>
    <t>Бухгалтерский финансовый учет: Уч. / Е.А.Мизиковский, - 2 изд.-М.:Магистр, НИЦ ИНФРА-М,2022.-624 с.(П)</t>
  </si>
  <si>
    <t>БУХГАЛТЕРСКИЙ ФИНАНСОВЫЙ УЧЕТ, ИЗД.2</t>
  </si>
  <si>
    <t>Мизиковский Е. А., Мизиковский И. Е.</t>
  </si>
  <si>
    <t>978-5-9776-0544-1</t>
  </si>
  <si>
    <t>38.03.01, 38.03.02, 38.04.01, 38.04.09, 41.03.06</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</si>
  <si>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(уровень бакалавриата, уровень магистратуры)</t>
  </si>
  <si>
    <t>289200.07.01</t>
  </si>
  <si>
    <t>Бухгалтерский финансовый учет: Уч. / Е.А.Мизиковский, - 3 изд.-М.:Магистр, НИЦ ИНФРА-М,2024.- 656 с.(п)</t>
  </si>
  <si>
    <t>БУХГАЛТЕРСКИЙ ФИНАНСОВЫЙ УЧЕТ, ИЗД.3</t>
  </si>
  <si>
    <t>978-5-9776-0559-5</t>
  </si>
  <si>
    <t>0324</t>
  </si>
  <si>
    <t>044100.17.01</t>
  </si>
  <si>
    <t>Бухгалтерский финансовый учет: Уч. / Ю.А.Бабаев - 5 изд. - М.: Вуз.. уч.: НИЦ ИНФРА-М, 2024-463с.(П)</t>
  </si>
  <si>
    <t>БУХГАЛТЕРСКИЙ ФИНАНСОВЫЙ УЧЕТ, ИЗД.5</t>
  </si>
  <si>
    <t>Бабаев Ю. А., Петров А. М., Макарова Л. Г., Бабаев Ю. А.</t>
  </si>
  <si>
    <t>978-5-9558-0388-3</t>
  </si>
  <si>
    <t>483250.04.01</t>
  </si>
  <si>
    <t>Бухгалтерский финансовый учет: Уч. / Ю.И.Сигидов - 2 изд. - М.:НИЦ ИНФРА-М,2025. - 480 с.(ВО)(п)</t>
  </si>
  <si>
    <t>Сигидов Ю.И., Оксанич Е.А., Ясменко Г.Н.</t>
  </si>
  <si>
    <t>978-5-16-018235-3</t>
  </si>
  <si>
    <t>38.03.01, 38.03.02, 38.04.01, 38.04.02, 38.04.08, 44.03.05</t>
  </si>
  <si>
    <t>289200.05.01</t>
  </si>
  <si>
    <t>Бухгалтерский финансовый учет: Уч. пос. /Е.А. Мизиковский - М:Магистр: ИНФРА-М, 2022 -624с. (Бакалавриат)(П)</t>
  </si>
  <si>
    <t>БУХГАЛТЕРСКИЙ ФИНАНСОВЫЙ УЧЕТ</t>
  </si>
  <si>
    <t>978-5-9776-0310-2</t>
  </si>
  <si>
    <t>433650.06.01</t>
  </si>
  <si>
    <t>Бухгалтерский финансовый учет: Уч.пос. / И.В.Бахолдина, - 2 изд. - М.:НИЦ ИНФРА-М,2025. - 277 с.(ВО)(П)</t>
  </si>
  <si>
    <t>Бахолдина И.В., Голышева Н.И.</t>
  </si>
  <si>
    <t>978-5-16-016380-2</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</si>
  <si>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подготовки 38.03.01 «Экономика» (профиль «Бухгалтерский учет, анализ и аудит»)</t>
  </si>
  <si>
    <t>433650.03.01</t>
  </si>
  <si>
    <t>Бухгалтерский финансовый учет: уч.пос. / И.В.Бахолдина-М.:Форум, НИЦ ИНФРА-М,2018.-320 с..-(ВО: Бакалавриат)(О. КБС)</t>
  </si>
  <si>
    <t>Бахолдина И. В., Голышева Н. И.</t>
  </si>
  <si>
    <t>978-5-91134-739-0</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</si>
  <si>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</si>
  <si>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483250.03.01</t>
  </si>
  <si>
    <t>Бухгалтерский финансовый учет: Уч.пос. / Под ред. Сигидова Ю.И.-М.:НИЦ ИНФРА-М,2019-367с.(ВО)(П)</t>
  </si>
  <si>
    <t>Сигидов Ю.И., Ясменко Г.Н., Рыбянцева М.С. и др.</t>
  </si>
  <si>
    <t>978-5-16-010482-9</t>
  </si>
  <si>
    <t>283700.06.01</t>
  </si>
  <si>
    <t>Бухгалтерский экологич. учет и анализ: Уч.пос. / А.И.Белоусов - 2изд. - М.:Форум, НИЦ ИНФРА-М,2025 - 206 с.(ВО)(П)</t>
  </si>
  <si>
    <t>БУХГАЛТЕРСКИЙ ЭКОЛОГИЧЕСКИЙ УЧЕТ И АНАЛИЗ, ИЗД.2</t>
  </si>
  <si>
    <t>Белоусов А.И., Шелухина Е.А., Близно Л.В.</t>
  </si>
  <si>
    <t>978-5-00091-690-2</t>
  </si>
  <si>
    <t>283700.03.01</t>
  </si>
  <si>
    <t>Бухгалтерский экологич.учет и анализ: Уч.пос. / А.И.Белоусов-М.:Форум, НИЦ ИНФРА-М,2017.-224 с(О)</t>
  </si>
  <si>
    <t>БУХГАЛТЕРСКИЙ ЭКОЛОГИЧЕСКИЙ УЧЕТ И АНАЛИЗ</t>
  </si>
  <si>
    <t>Белоусов А. И., Шелухина Е. А., Близно Л. В.</t>
  </si>
  <si>
    <t>978-5-91134-901-1</t>
  </si>
  <si>
    <t>Рекомендовано УМ 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</si>
  <si>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298700.06.01</t>
  </si>
  <si>
    <t>Бухгалтерское дело: Уч. / М.А.Вахрушина - М.:Вуз. уч., НИЦ ИНФРА-М,2022 - 376 с.(П)</t>
  </si>
  <si>
    <t>БУХГАЛТЕРСКОЕ ДЕЛО, ИЗД.2</t>
  </si>
  <si>
    <t>Вахрушина М.А.</t>
  </si>
  <si>
    <t>978-5-9558-0386-9</t>
  </si>
  <si>
    <t>121900.09.01</t>
  </si>
  <si>
    <t>Бухгалтерское дело: Уч. / Под ред. Шахбанова Р.Б., - 3 изд.-М.:Магистр, НИЦ ИНФРА-М,2024.-592 с.(П)</t>
  </si>
  <si>
    <t>БУХГАЛТЕРСКОЕ ДЕЛО, ИЗД.3</t>
  </si>
  <si>
    <t>Шахбанов Р. Б.</t>
  </si>
  <si>
    <t>978-5-9776-0490-1</t>
  </si>
  <si>
    <t>38.03.01, 38.03.02, 38.03.03, 38.03.04, 38.03.05, 38.03.06, 38.03.07, 38.04.01, 38.04.02, 38.04.03, 38.04.04, 38.04.05, 38.04.06, 38.04.07, 38.04.08, 38.04.09</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</si>
  <si>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060500 "Бухгалтерский учет, анализ и аудит"</t>
  </si>
  <si>
    <t>121900.05.01</t>
  </si>
  <si>
    <t>Бухгалтерское дело: Уч. пос./Под ред. Р.Б.Шахбанова -Изд. с обновл.-М.:Магистр,ИНФРА-М,2017-384с.(П)</t>
  </si>
  <si>
    <t>БУХГАЛТЕРСКОЕ ДЕЛО</t>
  </si>
  <si>
    <t>Р.Б.Шахбанов, З.Ш.Бабаева, Ж.Б.Рабаданова и др.</t>
  </si>
  <si>
    <t>978-5-9776-0193-1</t>
  </si>
  <si>
    <t>802416.01.01</t>
  </si>
  <si>
    <t>Бухгалтерское дело: Уч.пос. / Л.И.Хоружий. - М.:НИЦ ИНФРА-М,2024. - 347 с.(ВО)(п)</t>
  </si>
  <si>
    <t>Хоружий Л.И., Кокорев Н.А., Мишин П.Н.</t>
  </si>
  <si>
    <t>978-5-16-019242-0</t>
  </si>
  <si>
    <t>РЕКОМЕНДОВАНО ФУМО в системе высшего образования в качестве учебного пособия по укрупненной группе специальностей и направлений подготовки 35.00.00 Сельское, лесное и рыбное хозяйство (Научно-методический совет по экономико - управленческой подготовке кадров для сельского, лесного и рыбного хозяйства).</t>
  </si>
  <si>
    <t>482050.03.01</t>
  </si>
  <si>
    <t>Бухгалтерское дело: Уч.пос. / Н.В.Предеус - М.:ИЦ РИОР,НИЦ ИНФРА-М,2019 - 304 с.-(ВО: Бакалавр.)(п)</t>
  </si>
  <si>
    <t>Предеус Н.В., Церпенто С.И., Предеус Ю.В.</t>
  </si>
  <si>
    <t>978-5-369-01400-4</t>
  </si>
  <si>
    <t>425250.06.01</t>
  </si>
  <si>
    <t>Бухгалтерское дело: Уч.пос. /Ю.И.Сигидов и др. - 2 изд.-М.:НИЦ ИНФРА-М,2023.-208 с..-(ВО: Бакалавриат)(П)</t>
  </si>
  <si>
    <t>Сигидов Ю. И., Рыбянцева М. С., Ясменко Г. Н., Заболотная И. А., Сигидов Ю. И., Трубилин А. И.</t>
  </si>
  <si>
    <t>978-5-16-006587-8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</si>
  <si>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 01 (080100) «Экономика" (квалификация (степень) «бакалавр")</t>
  </si>
  <si>
    <t>777261.05.01</t>
  </si>
  <si>
    <t>Бюджет и бюджетная система РФ: Уч.пос. / О.Г.Аркадьева-М.:НИЦ ИНФРА-М,2025.-225 с.(ВО: Бакалавр.)(П)</t>
  </si>
  <si>
    <t>БЮДЖЕТ И БЮДЖЕТНАЯ СИСТЕМА РОССИЙСКОЙ ФЕДЕРАЦИИ</t>
  </si>
  <si>
    <t>Аркадьева О.Г., Березина Н.В., Морозова Н.В.</t>
  </si>
  <si>
    <t>978-5-16-017724-3</t>
  </si>
  <si>
    <t>38.03.01, 38.03.04, 38.05.01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</si>
  <si>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9 от 17.11.2022)</t>
  </si>
  <si>
    <t>Чувашский государственный университет им. И.Н. Ульянова</t>
  </si>
  <si>
    <t>712994.01.01</t>
  </si>
  <si>
    <t>Бюджетная система и система налогов и сборов РФ:Уч./Грачева Е.Ю.-М.:Юр.Норма,НИЦ ИНФРА-М,2019-272(П)</t>
  </si>
  <si>
    <t>БЮДЖЕТНАЯ СИСТЕМА И СИСТЕМА НАЛОГОВ И СБОРОВ РОССИЙСКОЙ ФЕДЕРАЦИИ</t>
  </si>
  <si>
    <t>Грачева Е.Ю., Болтинова О.В., Арзуманова Л.Л. и др.</t>
  </si>
  <si>
    <t>978-5-00156-009-8</t>
  </si>
  <si>
    <t>38.02.06, 40.02.02</t>
  </si>
  <si>
    <t>42</t>
  </si>
  <si>
    <t>402600.14.01</t>
  </si>
  <si>
    <t>Бюджетная система РФ: Уч. / Ф.И.Ниналалова - М.:НИЦ ИНФРА-М,2025 - 297 с.(ВО)(п)</t>
  </si>
  <si>
    <t>БЮДЖЕТНАЯ СИСТЕМА РОССИЙСКОЙ ФЕДЕРАЦИИ</t>
  </si>
  <si>
    <t>Ниналалова Ф.И.</t>
  </si>
  <si>
    <t>978-5-16-018683-2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</si>
  <si>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11 от 09.11.2020)</t>
  </si>
  <si>
    <t>712975.01.01</t>
  </si>
  <si>
    <t>Бюджетная система РФ: Уч. / Ф.И.Ниналалова - М.:НИЦ ИНФРА-М,2025. - 297 с.(СПО)(п)</t>
  </si>
  <si>
    <t>978-5-16-020442-0</t>
  </si>
  <si>
    <t>38.02.01, 38.02.06</t>
  </si>
  <si>
    <t>402600.07.01</t>
  </si>
  <si>
    <t>Бюджетная система РФ: Уч.пос. / Ф.И.Ниналалова - 2 изд. - М.:Вуз. уч.,НИЦ ИНФРА-М,2020 - 296 с.(П)</t>
  </si>
  <si>
    <t>БЮДЖЕТНАЯ СИСТЕМА РОССИЙСКОЙ ФЕДЕРАЦИИ, ИЗД.2</t>
  </si>
  <si>
    <t>978-5-9558-0533-7</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</si>
  <si>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и специальности / профилю «Финансы и кредит»</t>
  </si>
  <si>
    <t>683010.08.01</t>
  </si>
  <si>
    <t>Бюджетное планирование и прогнозирование: Уч.пос. / О.В.Макашина-М.:НИЦ ИНФРА-М,2024.-247 с.(ВО)(п)</t>
  </si>
  <si>
    <t>БЮДЖЕТНОЕ ПЛАНИРОВАНИЕ И ПРОГНОЗИРОВАНИЕ</t>
  </si>
  <si>
    <t>Макашина О.В.</t>
  </si>
  <si>
    <t>978-5-16-018808-9</t>
  </si>
  <si>
    <t>38.03.01, 38.03.04, 38.04.01</t>
  </si>
  <si>
    <t>158600.07.01</t>
  </si>
  <si>
    <t>Бюджетное право России: Уч. / Х.В. Пешкова - М.: ИНФРА-М:  Контракт, 2015. - 416 с.(ВО) (п)</t>
  </si>
  <si>
    <t>БЮДЖЕТНОЕ ПРАВО РОССИИ</t>
  </si>
  <si>
    <t>Пешкова Х.В.</t>
  </si>
  <si>
    <t>978-5-16-005156-7</t>
  </si>
  <si>
    <t>38.03.01, 38.03.04, 38.04.08, 40.03.01, 40.04.01, 40.05.01, 40.05.02, 40.05.03, 40.05.04</t>
  </si>
  <si>
    <t>Рекомендовано в качестве учебника для студентов высших учебных заведений, обучающихся по направлению 030900 «Юриспруденция»</t>
  </si>
  <si>
    <t>Воронежский институт Федеральной службы исполнения наказаний России</t>
  </si>
  <si>
    <t>158600.13.01</t>
  </si>
  <si>
    <t>Бюджетное право России: Уч. / Х.В.Пешкова, - 2-е изд.-М.:НИЦ ИНФРА-М,2023.-404 с.(ВО: Бакалавр.)(П)</t>
  </si>
  <si>
    <t>БЮДЖЕТНОЕ ПРАВО РОССИИ, ИЗД.2</t>
  </si>
  <si>
    <t>Белогорцева Х.В.</t>
  </si>
  <si>
    <t>978-5-16-012191-8</t>
  </si>
  <si>
    <t>Рекомендовано в качестве учебника для студентов высших учебных заведений, обучающихся по направлению подготовки 40.03.01 «Юриспруденция» (квалификация (степень) «бакалавр»)</t>
  </si>
  <si>
    <t>117350.06.01</t>
  </si>
  <si>
    <t>Бюджетное право: Уч.пос. / О.В.Болтинова - 3 изд. - М.:Юр.Норма, НИЦ ИНФРА-М,2020-256с(П)</t>
  </si>
  <si>
    <t>БЮДЖЕТНОЕ ПРАВО, ИЗД.3</t>
  </si>
  <si>
    <t>Болтинова О.В.</t>
  </si>
  <si>
    <t>978-5-91768-862-6</t>
  </si>
  <si>
    <t>38.03.01, 38.04.08, 40.03.01, 40.04.01, 40.05.01, 40.05.02, 40.05.03, 40.05.04</t>
  </si>
  <si>
    <t>712995.01.01</t>
  </si>
  <si>
    <t>Бюджетное право: Уч.пос. / О.В.Болтинова - 3 изд. - М.:Юр.Норма,НИЦ ИНФРА-М,2019 - 256 с.-(СПО)(П)</t>
  </si>
  <si>
    <t>978-5-00156-011-1</t>
  </si>
  <si>
    <t>38.02.01, 38.02.06, 38.02.07, 40.02.04</t>
  </si>
  <si>
    <t>117350.08.01</t>
  </si>
  <si>
    <t>Бюджетное право: Уч.пос. / О.В.Болтинова - 4 изд. - М.:Юр.Норма, НИЦ ИНФРА-М,2025 - 260 с.(П)</t>
  </si>
  <si>
    <t>БЮДЖЕТНОЕ ПРАВО, ИЗД.4</t>
  </si>
  <si>
    <t>978-5-00156-295-5</t>
  </si>
  <si>
    <t>0423</t>
  </si>
  <si>
    <t>801691.03.01</t>
  </si>
  <si>
    <t>Бюджетное устройство и бюджетный процесс: Уч.пос. / М.В.Кучиева - М.:Магистр, 2025 - 100 с.(о)</t>
  </si>
  <si>
    <t>БЮДЖЕТНОЕ УСТРОЙСТВО И БЮДЖЕТНЫЙ ПРОЦЕСС</t>
  </si>
  <si>
    <t>Кучиева М.В.</t>
  </si>
  <si>
    <t>978-5-9776-0550-2</t>
  </si>
  <si>
    <t>38.03.01, 38.03.02, 38.03.04, 38.04.01, 38.04.02, 38.04.04, 38.04.08</t>
  </si>
  <si>
    <t>248500.05.01</t>
  </si>
  <si>
    <t>Бюджетное устройство России: Моногр./Х.В.Пешкова - М.: НИЦ ИНФРА-М, 2019-176с.(Научная мысль; Право)</t>
  </si>
  <si>
    <t>БЮДЖЕТНОЕ УСТРОЙСТВО РОССИИ</t>
  </si>
  <si>
    <t>Пешкова Х. В.</t>
  </si>
  <si>
    <t>978-5-16-009332-1</t>
  </si>
  <si>
    <t>38.04.08, 40.03.01, 40.04.01, 40.05.01, 40.05.02, 40.05.03, 40.05.04</t>
  </si>
  <si>
    <t>682756.05.01</t>
  </si>
  <si>
    <t>Бюджетный контроль: Уч.пос. / О.В.Болтинова - М.:Юр.Норма, НИЦ ИНФРА-М,2023 - 160 с.(П)</t>
  </si>
  <si>
    <t>БЮДЖЕТНЫЙ КОНТРОЛЬ</t>
  </si>
  <si>
    <t>Болтинова О.В., Петрова И.В.</t>
  </si>
  <si>
    <t>978-5-91768-913-5</t>
  </si>
  <si>
    <t>38.03.01, 38.03.04, 38.04.01, 38.04.04, 38.04.08, 38.04.09, 38.05.01, 40.03.01, 40.04.01, 40.05.01, 40.05.02, 40.05.03, 40.05.04, 44.03.05</t>
  </si>
  <si>
    <t>712993.02.01</t>
  </si>
  <si>
    <t>Бюджетный контроль: Уч.пос. / О.В.Болтинова-М.:Юр.Норма, НИЦ ИНФРА-М,2023.-160 с.(СПО)(П)</t>
  </si>
  <si>
    <t>978-5-00156-010-4</t>
  </si>
  <si>
    <t>38.02.06, 38.02.07, 40.02.02, 40.02.04</t>
  </si>
  <si>
    <t>802025.01.01</t>
  </si>
  <si>
    <t>Бюджетный учет и отчетность: сб. задач: Уч.пос. / Н.Г.Гаджиев-М.:НИЦ ИНФРА-М,2024.-208 с.(ВО)(п)</t>
  </si>
  <si>
    <t>БЮДЖЕТНЫЙ УЧЕТ И ОТЧЕТНОСТЬ: СБОРНИК ЗАДАЧ</t>
  </si>
  <si>
    <t>Гаджиев Н.Г., Коноваленко С.А., Скрипкина О.В.</t>
  </si>
  <si>
    <t>978-5-16-018476-0</t>
  </si>
  <si>
    <t>38.04.01, 38.05.01</t>
  </si>
  <si>
    <t>237600.09.01</t>
  </si>
  <si>
    <t>Вакуумная ионно-плазменная обработка: Уч.пос. / А.А.Ильин и др. - М.:Альфа-М, НИЦ ИНФРА-М,2024 - 160 с(П)</t>
  </si>
  <si>
    <t>ВАКУУМНАЯ ИОННО-ПЛАЗМЕННАЯ ОБРАБОТКА</t>
  </si>
  <si>
    <t>Ильин А. А., Плихунов В. В., Петров Л. М., Спектор В. С.</t>
  </si>
  <si>
    <t>Современные технологии: Магистратура</t>
  </si>
  <si>
    <t>978-5-98281-366-4</t>
  </si>
  <si>
    <t>22.03.01, 22.04.01</t>
  </si>
  <si>
    <t>Рекомендовано Учебным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магистров 150100 "Материаловедение и технологии материалов"</t>
  </si>
  <si>
    <t>188050.06.01</t>
  </si>
  <si>
    <t>Вакуумная техника: Уч.пос. / А.Н.Попов - М.:НИЦ ИНФРА-М,2025. - 167 с.(ВО: Бакалавр.)(о)</t>
  </si>
  <si>
    <t>ВАКУУМНАЯ ТЕХНИКА</t>
  </si>
  <si>
    <t>Попов А.Н.</t>
  </si>
  <si>
    <t>978-5-16-006031-6</t>
  </si>
  <si>
    <t>03.03.02, 03.04.02, 04.03.02, 04.04.02</t>
  </si>
  <si>
    <t>Допущено Министерством образования Республики Беларусь в качестве учебного пособия для студентов высших учебных заведений по техническим специальностям</t>
  </si>
  <si>
    <t>Университет прокуратуры Российской Федерации</t>
  </si>
  <si>
    <t>105800.15.01</t>
  </si>
  <si>
    <t>Валеология: Уч.пос. / Э.М.Прохорова, - 2 изд.-М.:НИЦ ИНФРА-М,2024.-253 с.(ВО)(П)</t>
  </si>
  <si>
    <t>ВАЛЕОЛОГИЯ, ИЗД.2</t>
  </si>
  <si>
    <t>Прохорова Э. М.</t>
  </si>
  <si>
    <t>978-5-16-019625-1</t>
  </si>
  <si>
    <t>43.03.01, 43.03.03, 43.04.01, 43.04.03</t>
  </si>
  <si>
    <t>Рекомендовано в качестве учебного пособия для студентов высших учебных заведений, обучающихся по направлению подготовки 43.03.01 «Сервис» (квалификация (степень) «бакалавр»)</t>
  </si>
  <si>
    <t>Российский государственный университет туризма и сервиса, ф-л Институт туризма и гостеприимства</t>
  </si>
  <si>
    <t>726662.03.01</t>
  </si>
  <si>
    <t>Валютное регулирование и валютный контроль...: Уч.пос. / Ю.В.Леднева-М.:Юр.Норма, НИЦ ИНФРА-М,2022-136 с.(О)</t>
  </si>
  <si>
    <t>ВАЛЮТНОЕ РЕГУЛИРОВАНИЕ И ВАЛЮТНЫЙ КОНТРОЛЬ: ПРАВОВЫЕ ОСНОВЫ</t>
  </si>
  <si>
    <t>Леднева Ю.В.</t>
  </si>
  <si>
    <t>978-5-00156-040-1</t>
  </si>
  <si>
    <t>296900.06.01</t>
  </si>
  <si>
    <t>Валютный дилинг: Уч.пос./Л.Г.Кузнецова-М.:Магистр,НИЦ ИНФРА-М,2024-288с.(Бакалавриат)(п)</t>
  </si>
  <si>
    <t>ВАЛЮТНЫЙ ДИЛИНГ</t>
  </si>
  <si>
    <t>Кузнецова Л. Г.</t>
  </si>
  <si>
    <t>978-5-9776-0326-3</t>
  </si>
  <si>
    <t>Рекомендовано ФГБОУ ВПО «Финансовый университет при Правительстве Российской Федерации»в качестве учебного пособия для студентов высших учебных заведений, обучающихся по направлению подготовки магистров 080300.68 «Финансы и кредит»</t>
  </si>
  <si>
    <t>Тихоокеанский государственный университет</t>
  </si>
  <si>
    <t>751369.01.01</t>
  </si>
  <si>
    <t>Валютный контроль: Уч.пос. / А.А.Ситник и др. - М.:Юр.Норма, НИЦ ИНФРА-М,2021 - 216 с.(П)</t>
  </si>
  <si>
    <t>ВАЛЮТНЫЙ КОНТРОЛЬ</t>
  </si>
  <si>
    <t>Ситник А.А., Рождественская Т.Э., Арзуманова Л.Л. и др.</t>
  </si>
  <si>
    <t>978-5-00156-151-4</t>
  </si>
  <si>
    <t>751369.02.01</t>
  </si>
  <si>
    <t>Валютный контроль: Уч.пос. / А.А.Ситник. - 2 изд. - М.:Юр.Норма, НИЦ ИНФРА-М,2025 - 220 с.(П)</t>
  </si>
  <si>
    <t>ВАЛЮТНЫЙ КОНТРОЛЬ, ИЗД.2</t>
  </si>
  <si>
    <t>Ситник А.А., Арзуманова Л.Л., Артемов Н.М. и др.</t>
  </si>
  <si>
    <t>978-5-00156-392-1</t>
  </si>
  <si>
    <t>724404.05.01</t>
  </si>
  <si>
    <t>Вахтенное обслуж. судовых энергетич. установок: Уч.пос. / С.В.Максимов-М.:НИЦ ИНФРА-М,2023.-157 с.(ВО)(П)</t>
  </si>
  <si>
    <t>ВАХТЕННОЕ ОБСЛУЖИВАНИЕ СУДОВЫХ ЭНЕРГЕТИЧЕСКИХ УСТАНОВОК</t>
  </si>
  <si>
    <t>Максимов С.В., Дайнего Ю.Г.</t>
  </si>
  <si>
    <t>978-5-16-015838-9</t>
  </si>
  <si>
    <t>26.02.03, 26.02.04, 26.03.01</t>
  </si>
  <si>
    <t>Рекомендовано экспертным советом ЧВВМУ имени П.С. Нахимова в качестве учебного пособия по дисциплине «Вахтенное обслуживание судовой энергетической установки» для студентов специальности 126.05.06 « Эксплуатация судовых энергетических установок»</t>
  </si>
  <si>
    <t>Башкирский государственный педагогический университет им. М. Акмуллы</t>
  </si>
  <si>
    <t>736718.01.01</t>
  </si>
  <si>
    <t>Вахтенное обслуживание СЭУ. Эксплуатация судовых..: Уч.мет.пос. / Ю.Г.Дейнего-М.:НИЦ ИНФРА-М,2021-174с.(Военное обр.)</t>
  </si>
  <si>
    <t>ВАХТЕННОЕ ОБСЛУЖИВАНИЕ СЭУ. ЭКСПЛУАТАЦИЯ СУДОВЫХ ЭНЕРГЕТИЧЕСКИХ УСТАНОВОК И БЕЗОПАСНОЕ НЕСЕНИЕ МАШИННОЙ ВАХТЫ</t>
  </si>
  <si>
    <t>Дейнего Ю.Г., ЧВВМУ имени П.С Нахимова</t>
  </si>
  <si>
    <t>978-5-16-016320-8</t>
  </si>
  <si>
    <t>26.05.06</t>
  </si>
  <si>
    <t>757823.02.01</t>
  </si>
  <si>
    <t>Вахтенное обслуживание СЭУ...: Уч.мет.пос. / Ю.Г.Дейнего - М.:НИЦ ИНФРА-М,2024 - 174 с.(П)</t>
  </si>
  <si>
    <t>Среднее профессиональное образование (ЧВВМУ им. Нахимова)</t>
  </si>
  <si>
    <t>978-5-16-016917-0</t>
  </si>
  <si>
    <t>26.01.01, 26.01.07, 26.01.09, 26.02.01, 26.02.03, 26.02.05, 26.02.06, 35.01.32, 35.02.11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</si>
  <si>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11 от 09.11.2020)</t>
  </si>
  <si>
    <t>747406.01.01</t>
  </si>
  <si>
    <t>Введение в аксиоматическую теорию элемент. функций: Уч.пос. / А.Б.Шишкин-М.:НИЦ ИНФРА-М,2021.-169 с.(ВО)(П)</t>
  </si>
  <si>
    <t>ВВЕДЕНИЕ В АКСИОМАТИЧЕСКУЮ ТЕОРИЮ ЭЛЕМЕНТАРНЫХ ФУНКЦИЙ</t>
  </si>
  <si>
    <t>Шишкин А.Б.</t>
  </si>
  <si>
    <t>978-5-16-016652-0</t>
  </si>
  <si>
    <t>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</si>
  <si>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44.04.01 «Педагогическое образование» (квалификация (степень) «магистр») (протокол № 9 от 28.09.2020)</t>
  </si>
  <si>
    <t>Кубанский государственный университет</t>
  </si>
  <si>
    <t>801484.02.01</t>
  </si>
  <si>
    <t>Введение в анализ данных. Поиск структуры данных...: Уч.пос. / С.Я.Криволапов-М.:НИЦ ИНФРА-М,2024.-177 с.(п)</t>
  </si>
  <si>
    <t>ВВЕДЕНИЕ В АНАЛИЗ ДАННЫХ. ПОИСК СТРУКТУРЫ ДАННЫХ С ПРИМЕНЕНИЕМ ЯЗЫКА PYTHON</t>
  </si>
  <si>
    <t>978-5-16-019001-3</t>
  </si>
  <si>
    <t>14.04.02, 41.03.04, 42.03.05</t>
  </si>
  <si>
    <t>411550.09.01</t>
  </si>
  <si>
    <t>Введение в античную нумизматику: Уч.пос. / Л.Н.Казаманова - 2 изд.-М.:ИЦ РИОР, НИЦ ИНФРА-М,2024.-360 с.(ВО)(п)</t>
  </si>
  <si>
    <t>ВВЕДЕНИЕ В АНТИЧНУЮ НУМИЗМАТИКУ, ИЗД.2</t>
  </si>
  <si>
    <t>Казаманова Л. Н., Фролова Н. А., Кошеленко Г. А.</t>
  </si>
  <si>
    <t>978-5-369-01165-2</t>
  </si>
  <si>
    <t>История. Исторические науки</t>
  </si>
  <si>
    <t>46.03.01, 46.04.01, 50.03.01, 50.03.03, 50.03.04, 50.04.01, 50.04.03, 50.04.04, 51.04.04, 54.03.04, 54.04.04</t>
  </si>
  <si>
    <t>742372.03.01</t>
  </si>
  <si>
    <t>Введение в античную философию: Уч.пос. / Е.А.Воронцов - М.:НИЦ ИНФРА-М,2025. - 201с.(ВО)(п)</t>
  </si>
  <si>
    <t>ВВЕДЕНИЕ В АНТИЧНУЮ ФИЛОСОФИЮ</t>
  </si>
  <si>
    <t>Воронцов Е.А.</t>
  </si>
  <si>
    <t>978-5-16-019025-9</t>
  </si>
  <si>
    <t>Философия</t>
  </si>
  <si>
    <t>47.03.01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</si>
  <si>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6 от 08.06.2022)</t>
  </si>
  <si>
    <t>Российский государственный университет социальных технологий</t>
  </si>
  <si>
    <t>720385.04.01</t>
  </si>
  <si>
    <t>Введение в архитектуру програм. обеспечения: Уч.пос./ Л.Г.Гагарина -М.:ИД ФОРУМ, НИЦ ИНФРА-М,2023-320 с.(СПО)(П)</t>
  </si>
  <si>
    <t>ВВЕДЕНИЕ В АРХИТЕКТУРУ ПРОГРАММНОГО ОБЕСПЕЧЕНИЯ</t>
  </si>
  <si>
    <t>Гагарина Л.Г., Федоров А.Р., Федоров П.А.</t>
  </si>
  <si>
    <t>978-5-8199-0903-4</t>
  </si>
  <si>
    <t>09.02.07, 09.02.09, 09.02.10</t>
  </si>
  <si>
    <t>241000.05.01</t>
  </si>
  <si>
    <t>Введение в архитектуру программного обеспечения:Уч.пос. / Л.Г.Гагарина и др.-М.:ИД ФОРУМ, НИЦ ИНФРА-М,2020.-320 с..-(ВО)(П)</t>
  </si>
  <si>
    <t>978-5-8199-0649-1</t>
  </si>
  <si>
    <t>09.03.03</t>
  </si>
  <si>
    <t>Рекомендовано научно-методическим советом Национального исследовательского университета «МИЭТ» в качестве учебного пособия для студентов, обучающихся по направлениям подготовки 09.03.04 «Программная инженерия» (профиль бакалавриата «Программные технологии распределенной обработки информации»), 09.04.04 «Программная инженерия» (программа магистратуры «Программное обеспечение автоматизированных систем и вычислительных комплексов»)</t>
  </si>
  <si>
    <t>826959.01.01</t>
  </si>
  <si>
    <t>Введение в биотехнологию: Уч.пос. / Е.В.Четвертакова - М.:НИЦ ИНФРА-М,2025. - 194 с.(ВО (КрГАУ))(п)</t>
  </si>
  <si>
    <t>ВВЕДЕНИЕ В БИОТЕХНОЛОГИЮ</t>
  </si>
  <si>
    <t>Четвертакова Е.В.</t>
  </si>
  <si>
    <t>978-5-16-020333-1</t>
  </si>
  <si>
    <t>35.03.04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</si>
  <si>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межвузовского использования в качестве учебного пособия для студентов по направлению подготовки 06.03.01 «Биология»</t>
  </si>
  <si>
    <t>228700.13.01</t>
  </si>
  <si>
    <t>Введение в генетику: Уч.пос. / В.А.Пухальский - М.:НИЦ ИНФРА-М,2024.-224 с.-(ВО: Бакалавриат)(П)</t>
  </si>
  <si>
    <t>ВВЕДЕНИЕ В ГЕНЕТИКУ</t>
  </si>
  <si>
    <t>Пухальский В. А.</t>
  </si>
  <si>
    <t>978-5-16-015633-0</t>
  </si>
  <si>
    <t>35.03.03, 35.04.03, 44.03.05</t>
  </si>
  <si>
    <t>Рекомендовано Министерством сельского хозяйства Российской Федерации в качестве учебного пособия для студентов высших учебных заведений, обучающихся по агрономическим специальностям</t>
  </si>
  <si>
    <t>Институт общей генетики им. Н.И.Вавилова Российской Академии Наук</t>
  </si>
  <si>
    <t>228700.12.01</t>
  </si>
  <si>
    <t>Введение в генетику: Уч.пос. / В.А.Пухальский, - 2 изд. - М.:НИЦ ИНФРА-М,2025. - 273 с.(ВО)(п)</t>
  </si>
  <si>
    <t>ВВЕДЕНИЕ В ГЕНЕТИКУ, ИЗД.2</t>
  </si>
  <si>
    <t>Пухальский В.А.</t>
  </si>
  <si>
    <t>978-5-16-020772-8</t>
  </si>
  <si>
    <t>842180.01.01</t>
  </si>
  <si>
    <t>Введение в геоинформ. сис.: Уч.пос. / Я.Ю.Блиновская - 2 изд. - М.:Форум, НИЦ ИНФРА-М,2025 - 112 с(СПО)(о)</t>
  </si>
  <si>
    <t>ВВЕДЕНИЕ В ГЕОИНФОРМАЦИОННЫЕ СИСТЕМЫ, ИЗД.2</t>
  </si>
  <si>
    <t>Блиновская Я.Ю., Задоя Д.С.</t>
  </si>
  <si>
    <t>978-5-00091-810-4</t>
  </si>
  <si>
    <t>21.02.10, 21.02.19, 21.02.20</t>
  </si>
  <si>
    <t>Дальневосточный федеральный университет</t>
  </si>
  <si>
    <t>411100.16.01</t>
  </si>
  <si>
    <t>Введение в геоинформ. системы: Уч.пос. / Я.Ю.Блиновская - 2 изд. - М.:Форум, НИЦ ИНФРА-М,2025 - 112 с(О)</t>
  </si>
  <si>
    <t>978-5-00091-115-0</t>
  </si>
  <si>
    <t>20.03.01, 20.04.01, 21.03.01, 21.03.02, 21.03.03, 21.04.01, 21.04.02, 21.04.03</t>
  </si>
  <si>
    <t>Рекомендовано Дальневосточным региональным учебно-методическим центром в качестве учебного пособия для студентов направлений подготовки бакалавров 20.03.01 «Техносферная безопасность» и 21.03.01 «Нефтегазовое дело»</t>
  </si>
  <si>
    <t>441650.14.01</t>
  </si>
  <si>
    <t>Введение в инфокоммуникац. технологии: Уч.пос. / Под ред. Гагариной Л.Г.-2 изд.-М.:НИЦ ИНФРА-М,2024-339с.(ВО)(п)</t>
  </si>
  <si>
    <t>ВВЕДЕНИЕ В ИНФОКОММУНИКАЦИОННЫЕ ТЕХНОЛОГИИ, ИЗД.2</t>
  </si>
  <si>
    <t>Гагарина Л.Г., Кузнецов Г.А., Портнов Е.М. и др.</t>
  </si>
  <si>
    <t>978-5-16-019457-8</t>
  </si>
  <si>
    <t>09.03.01, 09.03.02, 09.03.03, 09.03.04, 11.03.02, 11.04.02</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</si>
  <si>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11.03.02, 11.04.02 «Инфокоммуникационные технологии и системы связи» (квалификации (степени) «бакалавр» и «магистр»)</t>
  </si>
  <si>
    <t>441650.09.01</t>
  </si>
  <si>
    <t>Введение в инфокоммуникационные технол.: Уч.пос./Л.Г.Гагарина-М:ИД ФОРУМ,НИЦ ИНФРА-М,2021-336(ВО)(п)</t>
  </si>
  <si>
    <t>ВВЕДЕНИЕ В ИНФОКОММУНИКАЦИОННЫЕ ТЕХНОЛОГИИ</t>
  </si>
  <si>
    <t>Гагарина Л. Г., Баин А. М., Кузнецов Г. А., Портнов Е. М., Теплова Я. О., Гагарина Л. Г.</t>
  </si>
  <si>
    <t>978-5-8199-0768-9</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</si>
  <si>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210700 — Инфокоммуникационные технологии и системы свя</t>
  </si>
  <si>
    <t>168350.12.01</t>
  </si>
  <si>
    <t>Введение в криптографию: Курс лекций / В.А.Романьков, - 2 изд. - М.:Форум, НИЦ ИНФРА-М,2025. - 240 с.(ВО)(П)</t>
  </si>
  <si>
    <t>ВВЕДЕНИЕ В КРИПТОГРАФИЮ, ИЗД.2</t>
  </si>
  <si>
    <t>Романьков В.А.</t>
  </si>
  <si>
    <t>978-5-00091-493-9</t>
  </si>
  <si>
    <t>01.03.02, 02.03.01, 02.03.02, 02.03.03, 09.03.01, 09.03.02, 09.03.03, 09.03.04</t>
  </si>
  <si>
    <t>Рекомендовано студентам высших учебных заведений. Рекомендовано в качестве учебного пособия для студентов высших учебных заведений, обучающихся по направлениям подготовки 01.03.01 «Математика», 02.03.01 «Математика и компьютерные технологии», 01.03.02 «Прикладная математика и информатика» (квалификация (степень) «бакалавр»)</t>
  </si>
  <si>
    <t>ОМГУ ИМ. Ф.М. ДОСТОЕВСКОГО, ОМГУ ИМ. Ф.М. ДОСТОЕВСКОГО, ОМГУ ФГАОУ ВО</t>
  </si>
  <si>
    <t>738185.05.01</t>
  </si>
  <si>
    <t>Введение в маркетинг территорий: Уч.пос. / В.И.Алешникова - М.:НИЦ ИНФРА-М,2024-272 с.(ВО)(П)</t>
  </si>
  <si>
    <t>ВВЕДЕНИЕ В МАРКЕТИНГ ТЕРРИТОРИЙ</t>
  </si>
  <si>
    <t>Алешникова В.И.</t>
  </si>
  <si>
    <t>978-5-16-020077-4</t>
  </si>
  <si>
    <t>38.03.01, 38.03.06, 38.04.01, 38.04.06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</si>
  <si>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6 от 16.06.2021)</t>
  </si>
  <si>
    <t>157600.06.01</t>
  </si>
  <si>
    <t>Введение в маркетинг: Уч. пос./ Г.А.Резник - 3 изд. - М.: ИНФРА-М, 2020. - 202 с. (ВО: Бакалавриат)(П)</t>
  </si>
  <si>
    <t>ВВЕДЕНИЕ В МАРКЕТИНГ, ИЗД.3</t>
  </si>
  <si>
    <t>Резник Г. А.</t>
  </si>
  <si>
    <t>978-5-16-009459-5</t>
  </si>
  <si>
    <t>38.03.02, 44.03.01, 44.03.05</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</si>
  <si>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080200 "Менеджмент"</t>
  </si>
  <si>
    <t>800302.01.01</t>
  </si>
  <si>
    <t>Введение в математику финансовых инструментов: Уч.пос. / Д.А.Власов - М.:НИЦ ИНФРА-М,2025. - 289 с.(ВО)(п)</t>
  </si>
  <si>
    <t>ВВЕДЕНИЕ В МАТЕМАТИКУ ФИНАНСОВЫХ ИНСТРУМЕНТОВ</t>
  </si>
  <si>
    <t>Власов Д.А.</t>
  </si>
  <si>
    <t>978-5-16-018412-8</t>
  </si>
  <si>
    <t>38.03.01, 38.03.02, 38.03.05, 38.04.01, 38.04.02, 38.04.05, 38.04.08, 38.05.01</t>
  </si>
  <si>
    <t>165000.08.01</t>
  </si>
  <si>
    <t>Введение в менеджмент: Уч.пос . /С.Д.Резник - 2изд.-М.:НИЦ ИНФРА-М,2024-416с(Менедж. в высшей школе)</t>
  </si>
  <si>
    <t>ВВЕДЕНИЕ В МЕНЕДЖМЕНТ, ИЗД.2</t>
  </si>
  <si>
    <t>Резник С.Д., Игошина И.А., Резник С.Д.</t>
  </si>
  <si>
    <t>Менеджмент в высшей школе</t>
  </si>
  <si>
    <t>978-5-16-005164-2</t>
  </si>
  <si>
    <t>38.03.01, 38.03.02, 38.03.03, 38.03.04, 38.04.02, 38.04.03</t>
  </si>
  <si>
    <t>Рекомендовано  Учебно-методическим объединением по образованию в области менеджмента в качестве учебного пособия для студентов вузов,обучающихся по направлению 080200 "Менеджмент"</t>
  </si>
  <si>
    <t>165000.07.01</t>
  </si>
  <si>
    <t>Введение в менеджмент: Уч.пос. / Под ред. Резника С.Д. - 2 изд. - М.:НИЦ ИНФРА-М,2022 - 416 с.(П)</t>
  </si>
  <si>
    <t>ВВЕДЕНИЕ В МЕНЕДЖМЕНТ, ИЗД.3</t>
  </si>
  <si>
    <t>162800.09.01</t>
  </si>
  <si>
    <t>Введение в методы и алгоритмы прин. реш.: Уч.пос. / В.Г.Дорогов - М.:ИД Форум, ИНФРА-М ,2025. - 240 с.(ВО)(п)</t>
  </si>
  <si>
    <t>ВВЕДЕНИЕ В МЕТОДЫ И АЛГОРИТМЫ ПРИНЯТИЯ РЕШЕНИЙ</t>
  </si>
  <si>
    <t>Дорогов В. Г., Теплова Я. О.</t>
  </si>
  <si>
    <t>978-5-8199-0486-2</t>
  </si>
  <si>
    <t>09.03.04, 09.04.04, 27.03.05, 38.03.01, 38.03.02, 38.03.03, 38.03.04, 38.03.05, 38.03.06, 38.04.01, 38.04.02, 38.04.03, 38.04.04, 38.04.05, 38.04.06, 41.03.06</t>
  </si>
  <si>
    <t>Рекомендовано Учеб.-метод. Советом Мос. Гос. института электронной техники (технич. универ.) в качестве уч. пос. для студ. вузов, обуч. по напр 230100 "Информатика и ВТ" и по основной образов. прогр. подгот. бакалавров 231000 "Програм. инженерия "</t>
  </si>
  <si>
    <t>072850.15.01</t>
  </si>
  <si>
    <t>Введение в оперативно-розыскную психологию: Уч.пос. / Г.К.Синилов - М.:Норма:НИЦ ИНФРА-М,2025 - 48 с.(о)</t>
  </si>
  <si>
    <t>ВВЕДЕНИЕ В ОПЕРАТИВНО-РОЗЫСКНУЮ ПСИХОЛОГИЮ</t>
  </si>
  <si>
    <t>Синилов Г.К.</t>
  </si>
  <si>
    <t>978-5-91768-465-9</t>
  </si>
  <si>
    <t>Московский университет Министерства внутренних дел Российской Федерации им. В.Я. Кикотя</t>
  </si>
  <si>
    <t>696502.03.01</t>
  </si>
  <si>
    <t>Введение в педагог. деят. Практ.: Уч.мет.пос. / Под ред. Орлова А.А. - 2 изд.-М.:НИЦ ИНФРА-М,2024-258с(ВО)(п)</t>
  </si>
  <si>
    <t>ВВЕДЕНИЕ В ПЕДАГОГИЧЕСКУЮ ДЕЯТЕЛЬНОСТЬ. ПРАКТИКУМ, ИЗД.2</t>
  </si>
  <si>
    <t>Орлов А.А., Агафонова А.С., Орлов А.А.</t>
  </si>
  <si>
    <t>978-5-16-019403-5</t>
  </si>
  <si>
    <t>44.03.01, 44.03.02, 44.03.03, 44.03.04, 44.03.05, 44.05.01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</si>
  <si>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направлениий 44.03.00 «Образование и педагогические науки» (квалификация (степень) «бакалавр») (протокол № 15 от 14.10.2019)</t>
  </si>
  <si>
    <t>Тульский государственный педагогический университет им. Л.Н. Толстого</t>
  </si>
  <si>
    <t>687079.04.01</t>
  </si>
  <si>
    <t>Введение в педагогическую деят.: Уч.пос. / Н.А.Шайденко-М.:НИЦ ИНФРА-М,2024.-228 с.(ВО)(п)</t>
  </si>
  <si>
    <t>ВВЕДЕНИЕ В ПЕДАГОГИЧЕСКУЮ ДЕЯТЕЛЬНОСТЬ</t>
  </si>
  <si>
    <t>Шайденко Н.А., Кипурова С.Н.</t>
  </si>
  <si>
    <t>978-5-16-019202-4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</si>
  <si>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 (протокол № 10 от 12.10.2020)</t>
  </si>
  <si>
    <t>753738.06.01</t>
  </si>
  <si>
    <t>Введение в педагогическую деятельность: Уч.пос. / Н.А.Шайденко - М.:НИЦ ИНФРА-М,2025 - 228 с.(СПО)(П)</t>
  </si>
  <si>
    <t>978-5-16-016834-0</t>
  </si>
  <si>
    <t>44.02.01, 44.02.02, 44.02.03, 44.02.04, 44.02.05, 44.02.06, 49.02.01, 49.02.02, 51.02.01, 51.02.03, 53.02.01, 54.02.06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</si>
  <si>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11 от 26.10.2020)</t>
  </si>
  <si>
    <t>656189.04.01</t>
  </si>
  <si>
    <t>Введение в програм. на яз. Visual Basic for Applications (VBA): Уч.пос. / С.Р.Гуриков - М.:НИЦ ИНФРА-М,2025 - 317 с.(ВО)(П)</t>
  </si>
  <si>
    <t>ВВЕДЕНИЕ В ПРОГРАММИРОВАНИЕ НА ЯЗЫКЕ VISUAL BASIC FOR APPLICATIONS (VBA)</t>
  </si>
  <si>
    <t>978-5-16-013667-7</t>
  </si>
  <si>
    <t>01.03.02, 02.03.02, 03.03.02, 04.03.02, 09.03.01, 09.03.02, 09.03.03, 09.03.04, 10.03.01, 10.04.01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</si>
  <si>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№14 от 30.09.2019)</t>
  </si>
  <si>
    <t>732031.02.01</t>
  </si>
  <si>
    <t>Введение в программир. на яз. Visual Basic for Applications (VBA): Уч.пос. / С.Р.Гуриков-М.:НИЦ ИНФРА-М,2024.-317 с.(СПО)(п)</t>
  </si>
  <si>
    <t>978-5-16-015995-9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</si>
  <si>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8 от 22.06.2020)</t>
  </si>
  <si>
    <t>682842.02.01</t>
  </si>
  <si>
    <t>Введение в программирование на языке Visual C#: Уч.пос. / С.Р.Гуриков-М.:Форум, НИЦ ИНФРА-М,2019-447с(П)</t>
  </si>
  <si>
    <t>ВВЕДЕНИЕ В ПРОГРАММИРОВАНИЕ НА ЯЗЫКЕ VISUAL C#</t>
  </si>
  <si>
    <t>978-5-00091-540-0</t>
  </si>
  <si>
    <t>09.02.03, 09.02.07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</si>
  <si>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</si>
  <si>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656041.09.01</t>
  </si>
  <si>
    <t>Введение в программную инженерию: Уч. / В.А.Антипов и др. - М.:КУРС,НИЦ ИНФРА-М,2025 - 336 с.(п)</t>
  </si>
  <si>
    <t>ВВЕДЕНИЕ В ПРОГРАММНУЮ ИНЖЕНЕРИЮ</t>
  </si>
  <si>
    <t>Антипов В.А., Бубнов А.А., Пылькин А.Н. и др.</t>
  </si>
  <si>
    <t>978-5-906923-22-6</t>
  </si>
  <si>
    <t>09.03.04</t>
  </si>
  <si>
    <t>Рекомендовано Научно-методическим советом «РГРТУ» в качестве учебника для студентов высших учебных заведений, обучающихся по направлению подготовки 09.03.04 «Программная инженерия» (квалификация "бакалавр")</t>
  </si>
  <si>
    <t>738198.04.01</t>
  </si>
  <si>
    <t>Введение в профессию "архитектор": Уч. / Н.Э.Оселко - М.:НИЦ ИНФРА-М,2024 - 229 с.(ВО)(п)</t>
  </si>
  <si>
    <t>ВВЕДЕНИЕ В ПРОФЕССИЮ "АРХИТЕКТОР"</t>
  </si>
  <si>
    <t>Оселко Н.Э.</t>
  </si>
  <si>
    <t>978-5-16-019523-0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</si>
  <si>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07.03.01 «Архитектура» (квалификация (степень) «бакалавр») (протокол № 8 от 20.10.2021)</t>
  </si>
  <si>
    <t>277100.08.01</t>
  </si>
  <si>
    <t>Введение в профессию (психология): Уч. / П.С. Гуревич. - М.: НИЦ ИНФРА-М, 2025 - 415 с.(ВО) (п)</t>
  </si>
  <si>
    <t>ВВЕДЕНИЕ В ПРОФЕССИЮ (ПСИХОЛОГИЯ)</t>
  </si>
  <si>
    <t>Гуревич П.С.</t>
  </si>
  <si>
    <t>978-5-16-009783-1</t>
  </si>
  <si>
    <t>37.03.01, 37.03.02, 37.05.01, 37.05.02</t>
  </si>
  <si>
    <t>Московский государственный университет им. М.В. Ломоносова, факультет психологии</t>
  </si>
  <si>
    <t>763408.01.01</t>
  </si>
  <si>
    <t>Введение в профессию (спец. по раб. с семьей): Уч.пос. / Е.Н.Приступа - М.:НИЦ ИНФРА-М,2025. - 216 с.(ВО)(п)</t>
  </si>
  <si>
    <t>ВВЕДЕНИЕ В ПРОФЕССИЮ (СПЕЦИАЛИСТ ПО РАБОТЕ С СЕМЬЕЙ)</t>
  </si>
  <si>
    <t>Приступа Е.Н., Акимова Ю.А.</t>
  </si>
  <si>
    <t>978-5-16-018098-4</t>
  </si>
  <si>
    <t>39.03.02</t>
  </si>
  <si>
    <t>Институт развития, здоровья и адаптации ребенка</t>
  </si>
  <si>
    <t>110410.10.01</t>
  </si>
  <si>
    <t>Введение в профессию бухгалтера: Уч. пос. / В.Д. Андреев - М.: Магистр: НИЦ ИНФРА-М, 2025 - 192 с.(о)</t>
  </si>
  <si>
    <t>ВВЕДЕНИЕ В ПРОФЕССИЮ БУХГАЛТЕРА</t>
  </si>
  <si>
    <t>Андреев В. Д., Лисихина И. В.</t>
  </si>
  <si>
    <t>978-5-9776-0107-8</t>
  </si>
  <si>
    <t>117800.07.01</t>
  </si>
  <si>
    <t>Введение в регрес. анализ и планир. регрес. эксп. в эконом.: Уч.пос. / Г.А.Соколов. - ИНФРА-М,2025. - 202 с.(п)(ВО)</t>
  </si>
  <si>
    <t>ВВЕДЕНИЕ В РЕГРЕССИОННЫЙ АНАЛИЗ И ПЛАНИРОВАНИЕ РЕГРЕССИОННЫХ ЭКСПЕРИМЕНТОВ В ЭКОНОМИКЕ</t>
  </si>
  <si>
    <t>Соколов Г. А., Сагитов Р. В.</t>
  </si>
  <si>
    <t>978-5-16-003646-5</t>
  </si>
  <si>
    <t>38.03.01, 38.03.02, 38.03.03, 38.03.04, 38.03.05</t>
  </si>
  <si>
    <t>Рекомендовано УМО вузов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экономические специальности"</t>
  </si>
  <si>
    <t>Российский экономический университет им. Г.В. Плеханова, Пятигорский ф-л</t>
  </si>
  <si>
    <t>058900.15.01</t>
  </si>
  <si>
    <t>Введение в специальность программиста: Уч. / В.А.Гвоздева - 2изд.-М.:ИД Форум, НИЦ ИНФРА-М,2024.-208с(П)</t>
  </si>
  <si>
    <t>ВВЕДЕНИЕ В СПЕЦИАЛЬНОСТЬ ПРОГРАММИСТА, ИЗД.2</t>
  </si>
  <si>
    <t>Гвоздева В.А.</t>
  </si>
  <si>
    <t>978-5-8199-0929-4</t>
  </si>
  <si>
    <t>09.02.03, 21.02.12</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</si>
  <si>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специальности «Программное обеспечение вычислительной техники и автоматизированных систем»</t>
  </si>
  <si>
    <t>0207</t>
  </si>
  <si>
    <t>160200.11.01</t>
  </si>
  <si>
    <t>Введение в специальность. Менеджмент: Уч. / В.В.Кукушкина - М.: ИНФРА-М, 2025 - 252 с.(ВО: Бакалавр.) (п)</t>
  </si>
  <si>
    <t>ВВЕДЕНИЕ В СПЕЦИАЛЬНОСТЬ. МЕНЕДЖМЕНТ</t>
  </si>
  <si>
    <t>Кукушкина В. В.</t>
  </si>
  <si>
    <t>978-5-16-004168-1</t>
  </si>
  <si>
    <t>38.03.01, 38.03.02, 38.03.04</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</si>
  <si>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080200 Менеджмент и по специальности 080507 Менеджмент организации</t>
  </si>
  <si>
    <t>113200.11.01</t>
  </si>
  <si>
    <t>Введение в теорию алгоритм. яз. и компиляторов: Уч.пос. / Л.Г.Гагарина - 2 изд.-М.:НИЦ ИНФРА-М,2025.-207 с(п)</t>
  </si>
  <si>
    <t>ВВЕДЕНИЕ В ТЕОРИЮ АЛГОРИТМИЧЕСКИХ ЯЗЫКОВ И КОМПИЛЯТОРОВ, ИЗД.2</t>
  </si>
  <si>
    <t>Гагарина Л.Г., Кокорева Е.В.</t>
  </si>
  <si>
    <t>978-5-16-017756-4</t>
  </si>
  <si>
    <t>01.03.02, 09.03.01, 09.03.02, 09.03.03, 09.03.04</t>
  </si>
  <si>
    <t>113200.10.01</t>
  </si>
  <si>
    <t>Введение в теорию алгоритмич. языков и компиляторов: Уч. пос./ Л.Г. Гагарина. -ФОРУМ,2022.-176с.(ВО) (П)</t>
  </si>
  <si>
    <t>ВВЕДЕНИЕ В ТЕОРИЮ АЛГОРИТМИЧЕСКИХ ЯЗЫКОВ И КОМПИЛЯТОРОВ</t>
  </si>
  <si>
    <t>Гагарина Л. Г., Кокорева Е. В.</t>
  </si>
  <si>
    <t>978-5-8199-0404-6</t>
  </si>
  <si>
    <t>Рек. Науч.-метод. советом Моск. гос. ин-та электронной техники (технич. универ.) в качестве уч. пос. для студ. вузов, обуч. по спец.230105.65 Прогр. обесп. ВТ и автоматизир. сист. по напр. 654600 Информ. и ВТ и напр. подг. бакалавр. и маг. 552800 Инф</t>
  </si>
  <si>
    <t>750605.02.01</t>
  </si>
  <si>
    <t>Введение в теорию игр: Уч. пос. / Д.А.Власов-М.:НИЦ ИНФРА-М,2024.-222 с.(ВО)(п)</t>
  </si>
  <si>
    <t>ВВЕДЕНИЕ В ТЕОРИЮ ИГР</t>
  </si>
  <si>
    <t>978-5-16-018869-0</t>
  </si>
  <si>
    <t>01.03.02, 10.04.01, 38.03.01, 38.03.02, 41.03.06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</si>
  <si>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6 от 08.06.2022)</t>
  </si>
  <si>
    <t>774786.01.01</t>
  </si>
  <si>
    <t>Введение в теорию принятия решений: Уч.пос. / Д.А.Власов - М.:НИЦ ИНФРА-М,2024. - 233 с.(ВО)(п)</t>
  </si>
  <si>
    <t>ВВЕДЕНИЕ В ТЕОРИЮ ПРИНЯТИЯ РЕШЕНИЙ</t>
  </si>
  <si>
    <t>978-5-16-017589-8</t>
  </si>
  <si>
    <t>38.03.01, 38.03.02, 38.03.05, 38.04.01, 38.04.02, 38.04.05</t>
  </si>
  <si>
    <t>403350.06.01</t>
  </si>
  <si>
    <t>Введение в теорию целых функций: Уч.пос. / Т.А.Леонтьева - М.:НИЦ ИНФРА-М,2023 - 95 с.(ВО: Магистр.) (о)</t>
  </si>
  <si>
    <t>ВВЕДЕНИЕ В ТЕОРИЮ ЦЕЛЫХ ФУНКЦИЙ</t>
  </si>
  <si>
    <t>Леонтьева Т. А.</t>
  </si>
  <si>
    <t>978-5-16-006242-6</t>
  </si>
  <si>
    <t>01.03.01, 01.03.02, 01.04.01, 01.04.02, 02.03.01, 02.03.02, 02.04.02, 35.04.08</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</si>
  <si>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ВПО 010400 (Прикладная математика и информатика) и 010300 (Фундаментальная информатика и информационные технологии)</t>
  </si>
  <si>
    <t>Московский государственный университет им. М.В. Ломоносова, факультет вычислительной математики и кибернетики</t>
  </si>
  <si>
    <t>091250.07.01</t>
  </si>
  <si>
    <t>Введение в философию права: Курс лекций / Ю.В. Сорокина - М.: Норма:ИНФРА-М, 2022 - 336 с. (О)</t>
  </si>
  <si>
    <t>ВВЕДЕНИЕ В ФИЛОСОФИЮ ПРАВА</t>
  </si>
  <si>
    <t>Курс лекций для студентов юридических вузов и факультетов</t>
  </si>
  <si>
    <t>978-5-91768-200-6</t>
  </si>
  <si>
    <t>657068.03.01</t>
  </si>
  <si>
    <t>Введение в философию: Уч.пос. / С.И.Платонова - М.:ИЦ РИОР, НИЦ ИНФРА-М,2022 - 212 с.-(ВО)(П)</t>
  </si>
  <si>
    <t>ВВЕДЕНИЕ В ФИЛОСОФИЮ</t>
  </si>
  <si>
    <t>Платонова С.И.</t>
  </si>
  <si>
    <t>978-5-369-01696-1</t>
  </si>
  <si>
    <t>00.03.11, 00.05.11</t>
  </si>
  <si>
    <t>275700.06.01</t>
  </si>
  <si>
    <t>Введение в численные методы в задачах и упр.: Уч.пос. / А.В.Гулин и др. - М.:НИЦ ИНФРА-М,2022 - 368 с.(П)</t>
  </si>
  <si>
    <t>ВВЕДЕНИЕ В ЧИСЛЕННЫЕ МЕТОДЫ В ЗАДАЧАХ И УПРАЖНЕНИЯХ</t>
  </si>
  <si>
    <t>Гулин А.В., Мажорова О.С., Морозова В.А.</t>
  </si>
  <si>
    <t>978-5-16-012876-4</t>
  </si>
  <si>
    <t>01.03.01, 01.03.02, 01.03.03, 01.03.04, 01.04.02, 02.03.01, 02.03.02, 02.03.03, 02.04.02, 03.03.02, 03.03.03, 04.03.02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</si>
  <si>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ВПО 010400 «Прикладная математика и информатика» и 010300 «Фундаментальная информатика и информ</t>
  </si>
  <si>
    <t>Московский государственный университет им. М.В. Ломоносова</t>
  </si>
  <si>
    <t>321700.03.01</t>
  </si>
  <si>
    <t>Введение в экономику: Уч.пос. / Под общ.ред. С.Д.Резника -М.:НИЦ ИНФРА-М,2017-224с.(ВО:Бакалавр.)(П)</t>
  </si>
  <si>
    <t>ВВЕДЕНИЕ В ЭКОНОМИКУ</t>
  </si>
  <si>
    <t>Резник С.Д., Мебадури З.А., Духанина Е.В. и др.</t>
  </si>
  <si>
    <t>978-5-16-010474-4</t>
  </si>
  <si>
    <t>Рекомендовано Учебно-методическим объединением в области менеджмента в качестве учебного пособия для студентов высших учебных заведений, бучающихся по направлениям «Менеджмент», «Управление персоналом» и «Экономика»</t>
  </si>
  <si>
    <t>321700.04.01</t>
  </si>
  <si>
    <t>Введение в экономику:Уч.пос. / С.Д.Резник и др., - 2-е изд., стереотип.-М.:НИЦ ИНФРА-М,2018.-224 с..-(Менеджмент в высшей школе)(П 7БЦ)</t>
  </si>
  <si>
    <t>ВВЕДЕНИЕ В ЭКОНОМИКУ, ИЗД.2</t>
  </si>
  <si>
    <t>978-5-16-013496-3</t>
  </si>
  <si>
    <t>323800.10.01</t>
  </si>
  <si>
    <t>Введение в юридическую профессию: Уч. / Л.А. Морозова - М.: Норма:НИЦ ИНФРА-М, 2025 - 176 с.(о)</t>
  </si>
  <si>
    <t>ВВЕДЕНИЕ В ЮРИДИЧЕСКУЮ ПРОФЕССИЮ</t>
  </si>
  <si>
    <t>Морозова Л.А.</t>
  </si>
  <si>
    <t>978-5-91768-569-4</t>
  </si>
  <si>
    <t>Российский государственный университет правосудия г. Москва им. В.М. Лебедева</t>
  </si>
  <si>
    <t>690259.05.01</t>
  </si>
  <si>
    <t>Введение в ядерный магнит. резонанс и магнитную релакс.: Уч.пос. / С.Н.Полулях - М.:НИЦ ИНФРА-М,2025 - 163 с.(П)</t>
  </si>
  <si>
    <t>ВВЕДЕНИЕ В ЯДЕРНЫЙ МАГНИТНЫЙ РЕЗОНАНС И МАГНИТНУЮ РЕЛАКСАЦИЮ</t>
  </si>
  <si>
    <t>Полулях С.Н.</t>
  </si>
  <si>
    <t>Высшее образование: Бакалавриат (КрымФУ)</t>
  </si>
  <si>
    <t>978-5-16-016715-2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</si>
  <si>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03.03.02 «Физика», 03.03.03 «Радиофизика», 16.03.01 «Техническая физика» (квалификация (степень) «бакалавр») (протокол № 4 от 25.02.2019)</t>
  </si>
  <si>
    <t>724400.03.01</t>
  </si>
  <si>
    <t>Введение в языкознание: Уч. / А.В.Блинов-М.:НИЦ ИНФРА-М,2024.-381 с..-(ВО)(п)</t>
  </si>
  <si>
    <t>ВВЕДЕНИЕ В ЯЗЫКОЗНАНИЕ</t>
  </si>
  <si>
    <t>Блинов А.В., Рождественский Ю.В.</t>
  </si>
  <si>
    <t>978-5-16-019190-4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</si>
  <si>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45.03.01 «Филология» (квалификация (степень) «бакалавр») (протокол № 6 от 08.06.2022)</t>
  </si>
  <si>
    <t>Московский государственный университет им. М.В. Ломоносова, филологический факультет</t>
  </si>
  <si>
    <t>703446.07.01</t>
  </si>
  <si>
    <t>Введение в языкознание: Уч.пос. / Н.М.Орлова - 2 изд. - М.:НИЦ ИНФРА-М,2023 - 263 с.(ВО:Бакалавр.)(П)</t>
  </si>
  <si>
    <t>ВВЕДЕНИЕ В ЯЗЫКОЗНАНИЕ, ИЗД.2</t>
  </si>
  <si>
    <t>Орлова Н.М.</t>
  </si>
  <si>
    <t>978-5-16-014947-9</t>
  </si>
  <si>
    <t>44.03.05, 45.03.01, 45.03.02, 45.03.03, 45.03.04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</si>
  <si>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45.03.01 «Филология» (квалификация (степень) «бакалавр»)</t>
  </si>
  <si>
    <t>Саратовский государственный университет им. Н.Г. Чернышевского</t>
  </si>
  <si>
    <t>717633.02.01</t>
  </si>
  <si>
    <t>Введение в языкознание: Уч.пос. / Н.М.Орлова - 2 изд. - М.:НИЦ ИНФРА-М,2023 - 263 с.(СПО)(П)</t>
  </si>
  <si>
    <t>978-5-16-015513-5</t>
  </si>
  <si>
    <t>44.02.03, 44.02.05, 44.02.06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</si>
  <si>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10 от 27.05.2019)</t>
  </si>
  <si>
    <t>813790.01.01</t>
  </si>
  <si>
    <t>Веб-проектирование: Уч.пос. / А.А.Баркович - М.:НИЦ ИНФРА-М,2025. - 231 с.(ВО)(п)</t>
  </si>
  <si>
    <t>ВЕБ-ПРОЕКТИРОВАНИЕ</t>
  </si>
  <si>
    <t>Баркович А.А., Филимонова Т.А.</t>
  </si>
  <si>
    <t>978-5-16-019399-1</t>
  </si>
  <si>
    <t>00.03.03, 00.05.03</t>
  </si>
  <si>
    <t>Белорусский государственный университет</t>
  </si>
  <si>
    <t>819901.01.01</t>
  </si>
  <si>
    <t>Ведение бух. учета источ. формир. активов, вып. работ...: Уч.пос. / Т.А.Тюленева - М.:НИЦ ИНФРА-М,2025. - 273 с.(п)</t>
  </si>
  <si>
    <t>ВЕДЕНИЕ БУХГАЛТЕРСКОГО УЧЕТА ИСТОЧНИКОВ ФОРМИРОВАНИЯ АКТИВОВ, ВЫПОЛНЕНИЕ РАБОТ ПО ИНВЕНТАРИЗАЦИИ АКТИВОВ И ФИНАНСОВЫХ ОБЯЗАТЕЛЬСТВ ОРГАНИЗАЦИИ</t>
  </si>
  <si>
    <t>Тюленева Т.А.</t>
  </si>
  <si>
    <t>978-5-16-019673-2</t>
  </si>
  <si>
    <t>Кузбасский государственный технический университет имени Т. Ф. Горбачева</t>
  </si>
  <si>
    <t>771941.01.01</t>
  </si>
  <si>
    <t>Ведение бух. учета источников формир. имущества..: Уч. / Г.И.Алексеева - М.:НИЦ ИНФРА-М,2025. - 345 с.(п)</t>
  </si>
  <si>
    <t>ВЕДЕНИЕ БУХГАЛТЕРСКОГО УЧЕТА ИСТОЧНИКОВ ФОРМИРОВАНИЯ ИМУЩЕСТВА, ВЫПОЛНЕНИЕ РАБОТ ПО ИНВЕНТАРИЗАЦИИ ИМУЩЕСТВА И ФИНАНСОВЫХ ОБЯЗАТЕЛЬСТВ</t>
  </si>
  <si>
    <t>Алексеева Г.И.</t>
  </si>
  <si>
    <t>978-5-16-019747-0</t>
  </si>
  <si>
    <t>157650.13.01</t>
  </si>
  <si>
    <t>Вейвлет-анализ и его приложения: Уч.пос. / Т.В.Захарова, - 2 изд. - М.:НИЦ ИНФРА-М,2025. - 158 с.(ВО)(о)</t>
  </si>
  <si>
    <t>ВЕЙВЛЕТ-АНАЛИЗ И ЕГО ПРИЛОЖЕНИЯ, ИЗД.2</t>
  </si>
  <si>
    <t>Захарова Т.В., Шестаков О.В.</t>
  </si>
  <si>
    <t>978-5-16-020711-7</t>
  </si>
  <si>
    <t>01.03.01, 01.04.01, 02.03.01, 02.04.01</t>
  </si>
  <si>
    <t>Рекомендовано в качестве учебного пособия для студентов высших учебных заведений, обучающихся по направлениям подготовки 01.03.01 "Математика" и 01.03.02 "Прикладная математика и информатика"</t>
  </si>
  <si>
    <t>472400.05.01</t>
  </si>
  <si>
    <t>Верблюдоводство: Уч. пос. / Д.А.Баймуканов и др. -М.:КУРС, НИЦ ИНФРА-М, 2024-184с.(ВО: .)(п)</t>
  </si>
  <si>
    <t>ВЕРБЛЮДОВОДСТВО</t>
  </si>
  <si>
    <t>Баймуканов Д.А., Юлдашбаев Ю.А., Дошанов Д.А.</t>
  </si>
  <si>
    <t>978-5-906818-14-0</t>
  </si>
  <si>
    <t>Рекомендовано в качестве учебного пособия для студентов высших учебных заведений, обучающихся по направлению 36.03.02 «Зоотехния»</t>
  </si>
  <si>
    <t>Национальная академия наук Республики Казахстан</t>
  </si>
  <si>
    <t>039890.10.01</t>
  </si>
  <si>
    <t>Вероятностное моделирование в фин.-эконом. области: Уч.пос. / Л.Г.Лабскер. ИНФРА-М, 2024-172с(ВО)(п)</t>
  </si>
  <si>
    <t>ВЕРОЯТНОСТНОЕ МОДЕЛИРОВАНИЕ В ФИНАНСОВО-ЭКОНОМИЧЕСКОЙ ОБЛАСТИ, ИЗД.2</t>
  </si>
  <si>
    <t>Лабскер Л.Г.</t>
  </si>
  <si>
    <t>978-5-16-018749-5</t>
  </si>
  <si>
    <t>38.03.01, 38.03.02, 38.03.05, 38.04.01, 38.04.02, 38.04.05, 38.04.08, 38.04.09, 38.05.01</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</si>
  <si>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«Налоги и налогообложение», «Мировая экономика», «Финансы и кредит»</t>
  </si>
  <si>
    <t>361700.05.01</t>
  </si>
  <si>
    <t>Ветеринарная иммунология (теор.и практ.): Уч. /В.Н.Кисленко - М.:НИЦ ИНФРА-М,2024-214с(ВО:Магистр.)(п)</t>
  </si>
  <si>
    <t>ВЕТЕРИНАРНАЯ ИММУНОЛОГИЯ (ТЕОРИЯ И ПРАКТИКА)</t>
  </si>
  <si>
    <t>Кисленко В.Н.</t>
  </si>
  <si>
    <t>978-5-16-010964-0</t>
  </si>
  <si>
    <t>36.04.01</t>
  </si>
  <si>
    <t>Допущено Министерством сельского хозяйства РФ в качестве учебника для студентов высших учебных заведений, обучающихся по направлению подготовки 36.04.01 —«Ветеринарно-санитарная экспертиза» (степень «магистр»)</t>
  </si>
  <si>
    <t>Новосибирский государственный аграрный университет</t>
  </si>
  <si>
    <t>341900.08.01</t>
  </si>
  <si>
    <t>Ветеринарная микробиол.  и иммунол.: Уч..Ч.1. / В.Н.Кисленко-М.:НИЦ ИНФРА-М,2024-183 с.(ВО)(П)</t>
  </si>
  <si>
    <t>ВЕТЕРИНАРНАЯ МИКРОБИОЛОГИЯ И ИММУНОЛОГИЯ, Т.1</t>
  </si>
  <si>
    <t>Кисленко В.Н., Колычев Н.М.</t>
  </si>
  <si>
    <t>978-5-16-010759-2</t>
  </si>
  <si>
    <t>36.03.01, 36.03.02, 36.04.01, 44.03.05</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</si>
  <si>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36.05.01 «Ветеринария»</t>
  </si>
  <si>
    <t>682843.05.01</t>
  </si>
  <si>
    <t>Ветеринарная пропедевтика: Уч. / Б.В.Уша - 2 изд. - М.:НИЦ ИНФРА-М,2024 - 451 с.-(СПО)(П)</t>
  </si>
  <si>
    <t>ВЕТЕРИНАРНАЯ ПРОПЕДЕВТИКА, ИЗД.2</t>
  </si>
  <si>
    <t>Уша Б.В., Беляков И.М.</t>
  </si>
  <si>
    <t>978-5-16-013898-5</t>
  </si>
  <si>
    <t>35.01.23, 35.02.09, 36.01.02, 36.01.03, 36.02.01, 36.02.03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</si>
  <si>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36.02.01 «Ветеринария», 36.02.02 «Зоотехния»</t>
  </si>
  <si>
    <t>637238.04.01</t>
  </si>
  <si>
    <t>Ветеринарная пропедевтика: Уч. / Б.В.Уша - 2 изд., - М.:НИЦ ИНФРА-М,2024 - 451с.(ВО)(п)</t>
  </si>
  <si>
    <t>978-5-16-019208-6</t>
  </si>
  <si>
    <t>36.03.01, 36.05.01</t>
  </si>
  <si>
    <t>Допущено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специальности «Ветеринарно-санитарная экспертиза» и направлению подготовки 36.03.01 «Ветеринарно-санитарная экспертиза»</t>
  </si>
  <si>
    <t>436350.06.01</t>
  </si>
  <si>
    <t>Ветеринарная санитария на предпр. по переработке ..: Уч.пос. / К.Н.Сон - М.:НИЦ ИНФРА-М,2023-208с(П)</t>
  </si>
  <si>
    <t>ВЕТЕРИНАРНАЯ САНИТАРИЯ НА ПРЕДПРИЯТИЯХ ПО ПЕРЕРАБОТКЕ ПИЩЕВОГО СЫРЬЯ ЖИВОТНОГО ПРОИСХОЖДЕНИЯ</t>
  </si>
  <si>
    <t>Сон К. Н., Родин В. Н.</t>
  </si>
  <si>
    <t>978-5-16-006714-8</t>
  </si>
  <si>
    <t>36.03.01, 36.04.01</t>
  </si>
  <si>
    <t>204300.18.01</t>
  </si>
  <si>
    <t>Ветеринарно-санитарная экспертиза: Уч. / Под ред. Кунакова А.А. - 2 изд. - М.:НИЦ ИНФРА-М,2025 - 252 с.-(ВО)(П)</t>
  </si>
  <si>
    <t>ВЕТЕРИНАРНО-САНИТАРНАЯ ЭКСПЕРТИЗА, ИЗД.2</t>
  </si>
  <si>
    <t>Уша Б.В., Авылов Ч.К., Гламаздин И.Г. и др.</t>
  </si>
  <si>
    <t>978-5-16-015340-7</t>
  </si>
  <si>
    <t>36.03.01, 36.03.02, 36.04.01, 36.04.02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</si>
  <si>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36.03.01 «Ветеринарно-санитарная экспертиза» и 06.03.01 «Биология» (квалификация (степень) «бакалавр») (протокол № 8 от 22.06.2020)</t>
  </si>
  <si>
    <t>204300.11.01</t>
  </si>
  <si>
    <t>Ветеринарно-санитарная экспертиза: Уч. / Под ред. Кунакова А.А. - М.:НИЦ ИНФРА-М,2020. 2 34 с.(ВО)(П)</t>
  </si>
  <si>
    <t>ВЕТЕРИНАРНО-САНИТАРНАЯ ЭКСПЕРТИЗА</t>
  </si>
  <si>
    <t>Кунаков А.А., Уша Б.В., Кальницкая О.И. и др.</t>
  </si>
  <si>
    <t>978-5-16-005442-1</t>
  </si>
  <si>
    <t>Допущено УМО по образованию в области технологии сырья и продуктов животного происхождения в качестве учебного пособия для студентов высших учебных заведений: для бакалавров и магистров по направлениям 36.03.01 и 36.04.01 «Ветеринарно-санитарная экспертиза», для специалистов по направлению 36.05.01 «Ветеринария»</t>
  </si>
  <si>
    <t>682844.05.01</t>
  </si>
  <si>
    <t>Ветеринарно-санитарная экспертиза: Уч. / Под ред. Кунакова А.А. - М.:НИЦ ИНФРА-М,2024-234 с.(СПО) (П)</t>
  </si>
  <si>
    <t>978-5-16-013899-2</t>
  </si>
  <si>
    <t>18.01.01, 18.01.34, 36.01.05, 36.02.01, 36.02.03, 38.01.02</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</si>
  <si>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36.02.01 «Ветеринария», 36.02.02 «Зоотехния»</t>
  </si>
  <si>
    <t>665691.06.01</t>
  </si>
  <si>
    <t>Вещное право: Уч.пос. / Д.А.Формакидов, - 2-е изд.-М.:НИЦ ИНФРА-М,2023.-184 с.(ВО)(п)</t>
  </si>
  <si>
    <t>ВЕЩНОЕ ПРАВО, ИЗД.2</t>
  </si>
  <si>
    <t>Формакидов Д.А.</t>
  </si>
  <si>
    <t>978-5-16-019263-5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</si>
  <si>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13 от 16.09. 2019)</t>
  </si>
  <si>
    <t>Пермский государственный национальный исследовательский университет</t>
  </si>
  <si>
    <t>656464.07.01</t>
  </si>
  <si>
    <t>Взаимодействие пользов.с интерфейсами информ..: Уч.пос. / О.Н.Ткаченко - М.:Магистр,НИЦ ИНФРА-М,2025 - 152 с.(О)</t>
  </si>
  <si>
    <t>ВЗАИМОДЕЙСТВИЕ ПОЛЬЗОВАТЕЛЯ С ИНТЕРФЕЙСАМИ ИНФОРМАЦИОННЫХ СИСТЕМ ДЛЯ МОБИЛЬНЫХ УСТРОЙСТВ: ИССЛЕДОВАНИЕ ОПЫТА</t>
  </si>
  <si>
    <t>Ткаченко О.Н.</t>
  </si>
  <si>
    <t>978-5-9776-0457-4</t>
  </si>
  <si>
    <t>09.03.02, 42.03.02, 42.03.05</t>
  </si>
  <si>
    <t>468200.07.01</t>
  </si>
  <si>
    <t>Взаимодействие физических полей..: Уч.пос. / Под ред. Нефедова Е.И.-М.:КУРС, НИЦ ИНФРА-М,2023-344с.</t>
  </si>
  <si>
    <t>ВЗАИМОДЕЙСТВИЕ ФИЗИЧЕСКИХ ПОЛЕЙ С БИОЛОГИЧЕСКИМИ ОБЪЕКТАМИ (С ОСНОВАМИ ПРОЕКТИРОВАНИЯ ВЫСОКОЧАСТОТНОЙ МЕДИКО-БИОЛОГИЧЕСКОЙ АППАРАТУРЫ)</t>
  </si>
  <si>
    <t>Нефедов Е.И., Субботина Т.И., Яшин А.А. и др.</t>
  </si>
  <si>
    <t>978-5-906818-19-5</t>
  </si>
  <si>
    <t>03.03.03, 11.03.01, 12.03.04, 12.04.02</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</si>
  <si>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12.03.04 и 12.04.04 «Биотехнические системы и технологии»</t>
  </si>
  <si>
    <t>Институт радиотехники и электроники им. В.А. Котельникова Российской академии наук</t>
  </si>
  <si>
    <t>441250.05.01</t>
  </si>
  <si>
    <t>Взаимозаменяемость в расч. червячных передач: Уч. пос./Л.И.Миронова - РИОР:ИНФРА-М, 2024-78с.(ВО) (о)</t>
  </si>
  <si>
    <t>ВЗАИМОЗАМЕНЯЕМОСТЬ В РАСЧЕТАХ ЧЕРВЯЧНЫХ ПЕРЕДАЧ</t>
  </si>
  <si>
    <t>Миронова Л. И.</t>
  </si>
  <si>
    <t>978-5-369-01209-3</t>
  </si>
  <si>
    <t>13.03.03, 15.03.01, 15.03.03, 15.03.05, 15.04.01, 15.04.05, 16.03.03, 23.03.02, 23.03.03, 24.03.03, 24.03.04, 24.03.05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</si>
  <si>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t>
  </si>
  <si>
    <t>730831.02.01</t>
  </si>
  <si>
    <t>Взаимозаменяемость и нормирование точности: Уч. / А.А.Афанасьев - М.:НИЦ ИНФРА-М,2024-427 с.(СПО)(П)</t>
  </si>
  <si>
    <t>ВЗАИМОЗАМЕНЯЕМОСТЬ И НОРМИРОВАНИЕ ТОЧНОСТИ</t>
  </si>
  <si>
    <t>Афанасьев А.А., Погонин А.А.</t>
  </si>
  <si>
    <t>978-5-16-015957-7</t>
  </si>
  <si>
    <t>15.02.16, 27.02.01, 27.02.02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</si>
  <si>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27.02.01 «Метрология», 27.02.02 «Техническое регулирование и управление качеством»  (протокол № 14 от 30.09.2019)</t>
  </si>
  <si>
    <t>654658.07.01</t>
  </si>
  <si>
    <t>Взаимозаменяемость и нормирование точности: Уч. / А.А.Афанасьев-М.:НИЦ ИНФРА-М,2024.-427 с..-(ВО)(п)</t>
  </si>
  <si>
    <t>978-5-16-019445-5</t>
  </si>
  <si>
    <t>15.03.01, 15.03.05, 27.03.01, 27.03.02</t>
  </si>
  <si>
    <t>Рекомендовано в качестве учебника для студентов высших учебных заведений, обучающихся по направлениям подготовки 27.03.01 «Стандартизация и метрология», 27.03.02 «Управление качеством» (квалификация (степень) «бакалавр»)</t>
  </si>
  <si>
    <t>802005.01.01</t>
  </si>
  <si>
    <t>Взрывопожаробезопасность корабля: Уч.пос. / А.Н.Гулевич и др.-М.:НИЦ ИНФРА-М,2024.-224 с.(п)</t>
  </si>
  <si>
    <t>ВЗРЫВОПОЖАРОБЕЗОПАСНОСТЬ КОРАБЛЯ</t>
  </si>
  <si>
    <t>Гулевич А.Н., Матковский В.В., Сошкин П.А.</t>
  </si>
  <si>
    <t>978-5-16-018739-6</t>
  </si>
  <si>
    <t>26.04.02, 26.05.01, 26.05.02, 26.05.04, 26.05.06, 26.05.07, 26.06.01</t>
  </si>
  <si>
    <t>Рекомендовано экспертным советом ЧВВМУ имени П.С. Нахимова в качестве учебного пособия по дисциплине «Живучесть корабля», разделу дисциплин «Устройство и живучесть корабля», «Теория и устройство судна» для курсантов и студентов высшего и среднего профессионального образования</t>
  </si>
  <si>
    <t>104850.15.01</t>
  </si>
  <si>
    <t>Виды и средства распростр. рекламы: Уч.пос. / Б.И.Герасимов. - М.:Форум, НИЦ ИНФРА-М,2025. - 128 с.(О)</t>
  </si>
  <si>
    <t>ВИДЫ И СРЕДСТВА РАСПРОСТРАНЕНИЯ РЕКЛАМЫ</t>
  </si>
  <si>
    <t>Герасимов Б.И., Молоткова Н.В., Блюм М.А.</t>
  </si>
  <si>
    <t>978-5-00091-611-7</t>
  </si>
  <si>
    <t>38.02.08, 42.01.01, 42.02.01, 54.02.08</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</si>
  <si>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</si>
  <si>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637288.04.01</t>
  </si>
  <si>
    <t>Визуализация в науч. исследованиях: Уч.пос. / В.И.Корнеев - М.:НИЦ ИНФРА-М,2025 - 400 с.(ВО: Магистр.)(П)</t>
  </si>
  <si>
    <t>ВИЗУАЛИЗАЦИЯ В НАУЧНЫХ ИССЛЕДОВАНИЯХ</t>
  </si>
  <si>
    <t>Корнеев В.И., Гагарина Л.Г., Корнеева М.В.</t>
  </si>
  <si>
    <t>978-5-16-015308-7</t>
  </si>
  <si>
    <t>09.04.04, 09.06.01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</si>
  <si>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09.04.04 «Программная инженерия» (квалификация (степень) «магистр») (протокол № 10 от 12.10.2020)</t>
  </si>
  <si>
    <t>640486.08.01</t>
  </si>
  <si>
    <t>Внебюджетные фонды: Уч.пос. / П.А.Левчаев - М.:НИЦ ИНФРА-М,2024 - 149 с.-(ВО: Бакалавриат)(О)</t>
  </si>
  <si>
    <t>ВНЕБЮДЖЕТНЫЕ ФОНДЫ</t>
  </si>
  <si>
    <t>Левчаев П.А.</t>
  </si>
  <si>
    <t>978-5-16-012524-4</t>
  </si>
  <si>
    <t>645476.06.01</t>
  </si>
  <si>
    <t>Внедоговорные обязат.в межд.част.праве: Моногр. / И.О.Хлестова - М.:Юр.Норма,НИЦ ИНФРА-М,2021-160c.(П)</t>
  </si>
  <si>
    <t>ВНЕДОГОВОРНЫЕ ОБЯЗАТЕЛЬСТВА В МЕЖДУНАРОДНОМ ЧАСТНОМ ПРАВЕ</t>
  </si>
  <si>
    <t>Хлестова И.О., Борисов В.Б., Власова Н.В. и др.</t>
  </si>
  <si>
    <t>978-5-91768-786-5</t>
  </si>
  <si>
    <t>095660.15.01</t>
  </si>
  <si>
    <t>Внешнеторговый контракт = Contract..: Уч.пос. / Н.М.Громова - 2 изд. - М.:Магистр,НИЦ ИНФРА-М,2025 - 144 с.(О)</t>
  </si>
  <si>
    <t>ВНЕШНЕТОРГОВЫЙ КОНТРАКТ = CONTRACT IN FOREIGN TRADE, ИЗД.2</t>
  </si>
  <si>
    <t>Громова Н. М.</t>
  </si>
  <si>
    <t>978-5-9776-0064-4</t>
  </si>
  <si>
    <t>Московский государственный лингвистический университет</t>
  </si>
  <si>
    <t>0208</t>
  </si>
  <si>
    <t>656521.05.01</t>
  </si>
  <si>
    <t>Внешнеэкономическая деят. организации: Уч. / А.А.Чурсин - 2 изд. - М.:НИЦ ИНФРА-М,2025. - 555 с.(ВО)(п)</t>
  </si>
  <si>
    <t>ВНЕШНЕЭКОНОМИЧЕСКАЯ ДЕЯТЕЛЬНОСТЬ ОРГАНИЗАЦИИ, ИЗД.2</t>
  </si>
  <si>
    <t>Чурсин А.А., Ермаков В.А., Назюта С.В. и др.</t>
  </si>
  <si>
    <t>978-5-16-019792-0</t>
  </si>
  <si>
    <t>38.04.01, 38.04.02, 38.04.04, 38.04.06, 38.05.02</t>
  </si>
  <si>
    <t>656521.03.01</t>
  </si>
  <si>
    <t>Внешнеэкономическая деятельность организации: Уч. / А.А.Чурсин - М.:НИЦ ИНФРА-М,2023-332 с.-(ВО)(П)</t>
  </si>
  <si>
    <t>ВНЕШНЕЭКОНОМИЧЕСКАЯ ДЕЯТЕЛЬНОСТЬ ОРГАНИЗАЦИИ</t>
  </si>
  <si>
    <t>Чурсин А.А., Муртузалиева С.Ю.</t>
  </si>
  <si>
    <t>978-5-16-013219-8</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</si>
  <si>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38.04.01 «Экономика» (квалификация (степень) «магистр»)</t>
  </si>
  <si>
    <t>781794.01.01</t>
  </si>
  <si>
    <t>Внешнеэкономическая деятельность. Сб. задач...: Уч.пос. / Н.Г.Гаджиев-М.:НИЦ ИНФРА-М,2024.-188 с.(ВО.Сп)(п)</t>
  </si>
  <si>
    <t>ВНЕШНЕЭКОНОМИЧЕСКАЯ ДЕЯТЕЛЬНОСТЬ. СБОРНИК ЗАДАЧ, СИТУАЦИЙ И ТЕСТОВ</t>
  </si>
  <si>
    <t>Карпунина Е.В., Карпунин А.Ю., Гаджиев Н.Г. и др.</t>
  </si>
  <si>
    <t>978-5-16-017862-2</t>
  </si>
  <si>
    <t>38.00.00, 38.04.01</t>
  </si>
  <si>
    <t>641467.04.01</t>
  </si>
  <si>
    <t>Внешнеэкономическая деятельность: налогообл., учет, анализ и аудит: Уч. / Под ред. Бурденко Е.В.-М.:НИЦ ИНФРА-М,2020-249с.-(ВО)(П)</t>
  </si>
  <si>
    <t>ВНЕШНЕЭКОНОМИЧЕСКАЯ ДЕЯТЕЛЬНОСТЬ: НАЛОГООБЛОЖЕНИЕ, УЧЕТ, АНАЛИЗ И АУДИТ</t>
  </si>
  <si>
    <t>Бурденко Е.В., Быкасова Е.В., Ковалева О.Н. и др.</t>
  </si>
  <si>
    <t>978-5-16-012441-4</t>
  </si>
  <si>
    <t>Рекомендовано в качестве учебника для студентов высших учебных заведений, обучающихся по направлениям подготовки 38.04.01 «Экономика» (квалификация (степень) «магистр»)</t>
  </si>
  <si>
    <t>774737.01.01</t>
  </si>
  <si>
    <t>Внешнеэкономическая деятельность: Уч. / Е.В.Карпунина-М.:НИЦ ИНФРА-М,2024.-265 с.(ВО.Сп)(п)</t>
  </si>
  <si>
    <t>ВНЕШНЕЭКОНОМИЧЕСКАЯ ДЕЯТЕЛЬНОСТЬ</t>
  </si>
  <si>
    <t>978-5-16-017713-7</t>
  </si>
  <si>
    <t>38.00.00, 38.04.01, 38.05.01</t>
  </si>
  <si>
    <t>641467.10.01</t>
  </si>
  <si>
    <t>Внешнеэкономическая деятельность: Уч. / Под ред. Бурденко Е.В., - 2 изд.-М.:НИЦ ИНФРА-М,2024.-255с(ВО)(п)</t>
  </si>
  <si>
    <t>ВНЕШНЕЭКОНОМИЧЕСКАЯ ДЕЯТЕЛЬНОСТЬ: НАЛОГООБЛОЖЕНИЕ, УЧЕТ, АНАЛИЗ И АУДИТ, ИЗД.2</t>
  </si>
  <si>
    <t>978-5-16-019203-1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</si>
  <si>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16.06.2021)</t>
  </si>
  <si>
    <t>388500.08.01</t>
  </si>
  <si>
    <t>Внешнеэкономическая деятельность: Уч.пос. / М.А.Гуреева-М.:ИД Форум, НИЦ ИНФРА-М,2023.-287 с.(ВО)(П)</t>
  </si>
  <si>
    <t>Гуреева М.А.</t>
  </si>
  <si>
    <t>978-5-8199-0635-4</t>
  </si>
  <si>
    <t>Рекомендовано Учебно-методическим объединением вузов России по образованию в области финансов, учета и мировой экономики в качестве учебного пособия для студентов бакалавриата, обучающихся по профилю подготовки «Мировая экономика»</t>
  </si>
  <si>
    <t>682845.08.01</t>
  </si>
  <si>
    <t>Внутренние болезни животных: Уч. / Под ред. Уша Б.В. - 2 изд. - М.:НИЦ ИНФРА-М,2025 - 311 с.(СПО)(П)</t>
  </si>
  <si>
    <t>ВНУТРЕННИЕ БОЛЕЗНИ ЖИВОТНЫХ, ИЗД.2</t>
  </si>
  <si>
    <t>Уша Б.В., Жавнис С.Э., Серегин И.Г. и др.</t>
  </si>
  <si>
    <t>978-5-16-016379-6</t>
  </si>
  <si>
    <t>333400.07.01</t>
  </si>
  <si>
    <t>Внутренние болезни животных: Уч. / Под ред. Уша Б.В., - 2 изд.-М.:НИЦ ИНФРА-М,2024.-311 с.(ВО)(п)</t>
  </si>
  <si>
    <t>Уша Б.В.</t>
  </si>
  <si>
    <t>978-5-16-019113-3</t>
  </si>
  <si>
    <t>36.03.01, 36.03.02</t>
  </si>
  <si>
    <t>Рекомендовано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направлению подготовки 36.03.01 «Ветеринарно-санитарная экспертиза» и направлению подготовки бакалавров</t>
  </si>
  <si>
    <t>631350.09.01</t>
  </si>
  <si>
    <t>Внутренние болезни: заболев. желудочно-кишеч. тракта: Уч.пос. / И.А.Шамов - М.:НИЦ ИНФРА-М,2025 - 157 с.(ВО)(О)</t>
  </si>
  <si>
    <t>ВНУТРЕННИЕ БОЛЕЗНИ: ЗАБОЛЕВАНИЯ ЖЕЛУДОЧНО-КИШЕЧНОГО ТРАКТА</t>
  </si>
  <si>
    <t>978-5-16-011914-4</t>
  </si>
  <si>
    <t>31.05.01, 31.05.02</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</si>
  <si>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(степень) «врач общей практики»), 31.05.02 «Педиатрия» (квалификация (степень) «врач-педиатр общей практики»)</t>
  </si>
  <si>
    <t>832222.01.01</t>
  </si>
  <si>
    <t>Внутренние болезни: Уч.мет.пос. / Э.Н.Платошкин. - М.:НИЦ ИНФРА-М, ГомГМУ,2025. - 474 с.(ВО (ГомГМУ))(п)</t>
  </si>
  <si>
    <t>ВНУТРЕННИЕ БОЛЕЗНИ</t>
  </si>
  <si>
    <t>Платошкин Э.Н., Шут С.А., Николаева Н.В. и др.</t>
  </si>
  <si>
    <t>978-5-16-019983-2</t>
  </si>
  <si>
    <t>30.05.01, 30.05.02, 30.05.03, 31.05.01, 31.05.02, 31.05.03, 32.05.01, 36.03.01</t>
  </si>
  <si>
    <t>659216.04.01</t>
  </si>
  <si>
    <t>Внутренний контроль и контроллинг: Уч.пос./Под ред. Серебрякова Т.Ю.-М.:НИЦ ИНФРА-М,2024-238с(ВО)(П)</t>
  </si>
  <si>
    <t>ВНУТРЕННИЙ КОНТРОЛЬ И КОНТРОЛЛИНГ</t>
  </si>
  <si>
    <t>Серебрякова Т.Ю., Бирюкова О.А., Серебрякова Т.Ю.</t>
  </si>
  <si>
    <t>978-5-16-014369-9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</si>
  <si>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38.04.08 «Финансы» (квалификация (степень) «магистр») (протокол № 5 от 11.03.2019)</t>
  </si>
  <si>
    <t>753671.01.01</t>
  </si>
  <si>
    <t>Внутренний туризм: Уч.пос. / Л.И.Егоренков - М.:НИЦ ИНФРА-М,2024. - 193 с..-(ВО)(п)</t>
  </si>
  <si>
    <t>ВНУТРЕННИЙ ТУРИЗМ</t>
  </si>
  <si>
    <t>Егоренков Л.И.</t>
  </si>
  <si>
    <t>978-5-16-017825-7</t>
  </si>
  <si>
    <t>05.04.02, 43.03.02, 43.03.03, 43.04.02, 49.03.03</t>
  </si>
  <si>
    <t>077600.20.01</t>
  </si>
  <si>
    <t>Водоотведение: Уч. / Ю.В.Воронов и др. - М.:НИЦ ИНФРА-М,2025 - 415 с.(СПО)(П)</t>
  </si>
  <si>
    <t>ВОДООТВЕДЕНИЕ</t>
  </si>
  <si>
    <t>Воронов Ю. В., Алексеев Е. В., Саломеев В. П., Пугачев Е. А.</t>
  </si>
  <si>
    <t>978-5-16-006330-0</t>
  </si>
  <si>
    <t>08.01.29, 08.02.04, 08.02.13, 08.02.14</t>
  </si>
  <si>
    <t>Допущено Федеральным агентством по строительству и жилищно-коммунальному хозяйству в качестве учебника для студентов средних специальных заведений, обучающихся по специальности «Водоснабжение и водоотведение»</t>
  </si>
  <si>
    <t>649145.07.01</t>
  </si>
  <si>
    <t>Водоподготовка и водоотведение: Уч.пос. / Б.С.Ксенофонтов - М.:ИД Форум, ИНФРА-М,2024-298 с.-(ВО)(П)</t>
  </si>
  <si>
    <t>ВОДОПОДГОТОВКА И ВОДООТВЕДЕНИЕ</t>
  </si>
  <si>
    <t>Высшее образование : Магистратура</t>
  </si>
  <si>
    <t>978-5-8199-0679-8</t>
  </si>
  <si>
    <t>20.04.01, 20.04.02</t>
  </si>
  <si>
    <t>Рекомендовано в качестве учебного пособия для студентов высших учебных заведений, обучающихся по направлениям подготовки 20.04.01 «Техносферная безопасность», 20.04.02 «Природообустройство и водопользование» (квалификация (степень) «магистр»)</t>
  </si>
  <si>
    <t>297200.10.01</t>
  </si>
  <si>
    <t>Водоснабжение: Уч. / В.А.Орлов - М.:НИЦ ИНФРА-М,2025 - 443 с.(ВО: Бакалавриат)(П)</t>
  </si>
  <si>
    <t>ВОДОСНАБЖЕНИЕ</t>
  </si>
  <si>
    <t>Орлов В.А., Квитка Л.А.</t>
  </si>
  <si>
    <t>978-5-16-010620-5</t>
  </si>
  <si>
    <t>08.03.01, 08.04.01</t>
  </si>
  <si>
    <t>Рекомендовано Учебно-методическим объединением вузов РФ по образованию в области строительства в качестве учебника для студентов высших учебных заведений, обучающихся по программе бакалавриата по направлению подготовки 08.03.01 «Строительство» (профиль «Водоснабжение и водоотведение»)</t>
  </si>
  <si>
    <t>682846.05.01</t>
  </si>
  <si>
    <t>Водоснабжение: Уч. / В.А.Орлов - М.:НИЦ ИНФРА-М,2025 - 443 с.(СПО)(П)</t>
  </si>
  <si>
    <t>978-5-16-013901-2</t>
  </si>
  <si>
    <t>08.02.04, 13.02.02, 18.01.27, 19.01.01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</si>
  <si>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08.02.04 «Водоснабжение и водоотведение»</t>
  </si>
  <si>
    <t>071830.17.01</t>
  </si>
  <si>
    <t>Водоснабжение: Уч. / М.А.Сомов - М.:НИЦ ИНФРА-М,2025 - 287 с.(СПО)(П)</t>
  </si>
  <si>
    <t>Сомов М. А., Квитка Л. А.</t>
  </si>
  <si>
    <t>978-5-16-009068-9</t>
  </si>
  <si>
    <t>08.01.29, 08.02.04, 08.02.13, 13.02.02, 18.01.27, 19.01.01</t>
  </si>
  <si>
    <t>Рекомендовано в качестве учебника для студентов средних профессиональных учебных заведений, обучающихся по специальности 08.02.04 «Водоснабжение и водоотведение» (квалификация (степень) «техник»)</t>
  </si>
  <si>
    <t>635938.07.01</t>
  </si>
  <si>
    <t>Водохозяйственные сис. и водопользование: Уч. / А.М.Бакштанин. - М.:НИЦ ИНФРА-М,2025 - 452 с.(ВО)(П)</t>
  </si>
  <si>
    <t>ВОДОХОЗЯЙСТВЕННЫЕ СИСТЕМЫ И ВОДОПОЛЬЗОВАНИЕ</t>
  </si>
  <si>
    <t>Бакштанин А.М., Беглярова Э.С., Бубер А.Л. и др.</t>
  </si>
  <si>
    <t>978-5-16-014286-9</t>
  </si>
  <si>
    <t>20.03.02</t>
  </si>
  <si>
    <t>Рекомендовано Научно-методическим советом по природообустройству и водопользованию Федерального учебно-методического отдела по УГСН 20.00.00 «Техносферная безопасность и природообустройство» в качестве учебника по дисциплине «Водохозяйственные системы и водопользование», а также для направлений подготовки 20.03.02 и 20.04.02  «Природообустройство и водопользование»</t>
  </si>
  <si>
    <t>780349.02.01</t>
  </si>
  <si>
    <t>Военная педагогика: Уч. / И.Ю.Устинов. - М.:НИЦ ИНФРА-М,2025. - 523 с.(Военное образование)(п)</t>
  </si>
  <si>
    <t>ВОЕННАЯ ПЕДАГОГИКА</t>
  </si>
  <si>
    <t>Устинов И.Ю., Талынев В.Е., Кирюшин А.Н. и др.</t>
  </si>
  <si>
    <t>978-5-16-017802-8</t>
  </si>
  <si>
    <t>56.04.09</t>
  </si>
  <si>
    <t>Военно-воздушная академия им. профессора Н.Е. Жуковского и Ю.А. Гагарина</t>
  </si>
  <si>
    <t>АКАДЕМУС-2023, Победитель, I место
Книга года: Сибирь–Евразия – 2024-2024, Победитель</t>
  </si>
  <si>
    <t>837061.01.01</t>
  </si>
  <si>
    <t>Военная подготовка: Уч.пос.: Ч. I / И.Ю.Лепешинский - М.:НИЦ ИНФРА-М,2025. - 536 с.(Воен. обр. (ОмГТУ))(п)</t>
  </si>
  <si>
    <t>ВОЕННАЯ ПОДГОТОВКА В 2-Х ЧАСТЯХ. ЧАСТЬ I, Т.1</t>
  </si>
  <si>
    <t>Лепешинский И.Ю., Блонский Ю.П.</t>
  </si>
  <si>
    <t>978-5-16-020309-6</t>
  </si>
  <si>
    <t>00.03.41, 00.05.17, 56.05.01, 56.05.05</t>
  </si>
  <si>
    <t>837064.01.01</t>
  </si>
  <si>
    <t>Военная подготовка: Уч.пос.: Ч. II / И.Ю.Лепешинский - М.:НИЦ ИНФРА-М,2025. - 564 с.(Воен. обр. (ОмГТУ))(п)</t>
  </si>
  <si>
    <t>ВОЕННАЯ ПОДГОТОВКА В 2-Х ЧАСТЯХ. ЧАСТЬ II, Т.2</t>
  </si>
  <si>
    <t>978-5-16-020310-2</t>
  </si>
  <si>
    <t>817718.02.01</t>
  </si>
  <si>
    <t>Военная топография: Уч. / Р.А.Вучко и др. - М.:НИЦ ИНФРА-М,2025. - 419 с.: ил.(ВО)(п)</t>
  </si>
  <si>
    <t>ВОЕННАЯ ТОПОГРАФИЯ</t>
  </si>
  <si>
    <t>Вучко Р.А., Фролов В.В., Филатов В.Н.</t>
  </si>
  <si>
    <t>978-5-16-019756-2</t>
  </si>
  <si>
    <t>40.05.02, 56.05.01, 56.05.02, 56.05.03, 56.05.04, 56.05.05, 57.04.01, 57.05.01, 57.05.02, 57.05.03</t>
  </si>
  <si>
    <t>Военно-космическая академия имени А.Ф.Можайского</t>
  </si>
  <si>
    <t>704937.09.01</t>
  </si>
  <si>
    <t>Военно-инженерная подготовка: Уч. / И.Ю.Лепешинский и др. - М.:НИЦ ИНФРА-М,2025 - 443 с.(П)</t>
  </si>
  <si>
    <t>ВОЕННО-ИНЖЕНЕРНАЯ ПОДГОТОВКА</t>
  </si>
  <si>
    <t>Лепешинский И.Ю., Кутепов В.А., Глебов В.В.</t>
  </si>
  <si>
    <t>978-5-16-014990-5</t>
  </si>
  <si>
    <t>56.04.02, 56.04.03, 56.05.01</t>
  </si>
  <si>
    <t>Рекомендуется Федеральным государственным казенным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учебника для курсантов и слушателей образовательных учреждений высшего профессионального образования, обучающихся по направлению подготовки «Транспортные средства специального назначения» по специальности «Военные гусеничные и колесные машины»</t>
  </si>
  <si>
    <t>736722.06.01</t>
  </si>
  <si>
    <t>Военно-инженерная подготовка: Уч.пос. / В.С.Литовский - М.:НИЦ ИНФРА-М,2025. - 496 с.(Военное образ.)(П)</t>
  </si>
  <si>
    <t>Литовский В.С., Кузнецов Д.В.</t>
  </si>
  <si>
    <t>978-5-16-016322-2</t>
  </si>
  <si>
    <t>56.04.02, 56.04.03, 56.04.04, 56.05.01</t>
  </si>
  <si>
    <t>Рекомендовано экспертным советом ЧВВМУ имени П.С. Нахимова в качестве учебного пособия для курсантов ЧВВМУ высшего и среднего профессионального образования и преподавателей профильного направления</t>
  </si>
  <si>
    <t>788711.06.01</t>
  </si>
  <si>
    <t>Военно-политическая подготовка: Уч. / Ю.Б.Байрамуков. - М.:НИЦ ИНФРА-М, СФУ,2025 - 363 с.(п)</t>
  </si>
  <si>
    <t>ВОЕННО-ПОЛИТИЧЕСКАЯ ПОДГОТОВКА</t>
  </si>
  <si>
    <t>Байрамуков Ю.Б., Янович В.С., Арефьев П.Е. и др.</t>
  </si>
  <si>
    <t>978-5-16-017924-7</t>
  </si>
  <si>
    <t>56.04.02, 56.04.09, 56.05.04</t>
  </si>
  <si>
    <t>Допущено Федеральным государственным казенным военным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 в качестве учебника для студентов, обучающихся по программам военной подготовки офицеров запаса в военных учебных центрах при высших учебных заведениях</t>
  </si>
  <si>
    <t>662492.05.01</t>
  </si>
  <si>
    <t>Военно-техническая подготовка. Устройство...: Уч.пос.:Ч.2. / Е.Н.Гарин - М.:НИЦ ИНФРА-М, СФУ,2024-120с(О)</t>
  </si>
  <si>
    <t>ВОЕННО-ТЕХНИЧЕСКАЯ ПОДГОТОВКА. УСТРОЙСТВО РЛС РТВ ВВС., Т.2</t>
  </si>
  <si>
    <t>Гарин Е.Н., Дмитриев Д.Д., Тяпкин В.Н. и др.</t>
  </si>
  <si>
    <t>978-5-16-017439-6</t>
  </si>
  <si>
    <t>11.04.01</t>
  </si>
  <si>
    <t>658924.04.01</t>
  </si>
  <si>
    <t>Военно-техническая подготовка...: Уч.: В 2 ч.Ч.1 / Е.Н.Гарин и др. - М.:НИЦ ИНФРА-М,2023 - 268 с.(П)</t>
  </si>
  <si>
    <t>ВОЕННО-ТЕХНИЧЕСКАЯ ПОДГОТОВКА. УСТРОЙСТВО РЛС РТВ ВВС. РАДИОЛОКАЦИОННАЯ СТАНЦИЯ П-18Р, Т.1</t>
  </si>
  <si>
    <t>Гарин Е.Н., Тяпкин В.Н., Владимиров В.М. и др.</t>
  </si>
  <si>
    <t>978-5-16-017440-2</t>
  </si>
  <si>
    <t>11.03.01, 11.04.01</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</si>
  <si>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t>
  </si>
  <si>
    <t>405750.15.01</t>
  </si>
  <si>
    <t>Возведение зданий и сооруж. с прим. монолит.бет..: Уч.пос. / О.Э.Дружинина - М.:КУРС,НИЦ ИНФРА-М,2023-128с.</t>
  </si>
  <si>
    <t>ВОЗВЕДЕНИЕ ЗДАНИЙ И СООРУЖЕНИЙ С ПРИМЕНЕНИЕМ МОНОЛИТНОГО БЕТОНА И ЖЕЛЕЗОБЕТОНА: ТЕХНОЛОГИИ УСТОЙЧИВОГО РАЗВИТИЯ</t>
  </si>
  <si>
    <t>Дружинина О. Э., Муштаева Н. Е.</t>
  </si>
  <si>
    <t>Строительные технологии для архитекторов</t>
  </si>
  <si>
    <t>978-5-905554-26-1</t>
  </si>
  <si>
    <t>07.03.01, 07.03.04, 07.04.01, 07.04.04, 08.02.01, 08.03.01, 08.04.01</t>
  </si>
  <si>
    <t>Допущено УМО по образованию в области архитектуры в качестве учебного пособия для студентов вузов обучающихся по направлению Архитектура</t>
  </si>
  <si>
    <t>445850.13.01</t>
  </si>
  <si>
    <t>Возрастная анатомия и физиология: Уч пос. / Н.Ф. Лысова - М.: НИЦ ИНФРА-М, 2025. - 352 с. (ВО) (п)</t>
  </si>
  <si>
    <t>ВОЗРАСТНАЯ АНАТОМИЯ И ФИЗИОЛОГИЯ</t>
  </si>
  <si>
    <t>Лысова Н.Ф., Айзман Р.И.</t>
  </si>
  <si>
    <t>978-5-16-008972-0</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</si>
  <si>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«Педагогическое образование» (квалификация (степень) «бакалавр»)</t>
  </si>
  <si>
    <t>682847.07.01</t>
  </si>
  <si>
    <t>Возрастная анатомия и физиология: Уч.пос. / Н.Ф.Лысова - М.:НИЦ ИНФРА-М,2025. - 352 с.-(СПО)(П)</t>
  </si>
  <si>
    <t>978-5-16-013902-9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</si>
  <si>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t>
  </si>
  <si>
    <t>177500.17.01</t>
  </si>
  <si>
    <t>Возрастная психология: Уч.пос. / Б.Р.Мандель - 2изд.-М.:НИЦ ИНФРА-М,2024-350 с.-(ВО)(п)</t>
  </si>
  <si>
    <t>ВОЗРАСТНАЯ ПСИХОЛОГИЯ, ИЗД.2</t>
  </si>
  <si>
    <t>978-5-16-019850-7</t>
  </si>
  <si>
    <t>31.05.02, 37.03.01, 44.03.01, 44.03.02, 44.03.03, 44.03.04, 44.03.05, 44.05.01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</si>
  <si>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44.03.00 «Образование и педагогические науки», 37.03.00 «Психологические науки» (квалификация (степень) «бакалавр») (протокол № 1 от 20.01.2020)</t>
  </si>
  <si>
    <t>682848.05.01</t>
  </si>
  <si>
    <t>Возрастная психология: Уч.пос. / Б.Р.Мандель - М.:НИЦ ИНФРА-М,2025. - 338 с.(СПО)(П)</t>
  </si>
  <si>
    <t>ВОЗРАСТНАЯ ПСИХОЛОГИЯ</t>
  </si>
  <si>
    <t>978-5-16-018895-9</t>
  </si>
  <si>
    <t>20.02.05, 39.02.01, 44.02.01, 44.02.02, 44.02.03, 44.02.04, 44.02.05, 44.02.06, 49.02.01, 49.02.02, 53.02.01, 54.02.06</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</si>
  <si>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</si>
  <si>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177500.09.01</t>
  </si>
  <si>
    <t>Возрастная психология: Уч.пос. / Б.Р.Мандель-М.:Вуз.уч., НИЦ ИНФРА-М,2019.-352 с.(ВО: Бакалавр.)(П)</t>
  </si>
  <si>
    <t>Мандель Б. Р.</t>
  </si>
  <si>
    <t>978-5-9558-0195-7</t>
  </si>
  <si>
    <t>431700.10.01</t>
  </si>
  <si>
    <t>Возрастная физиология и психофизиология: Уч. пос. / Р.И. Айзман - М.: ИНФРА-М, 2025. - 352 с.(ВО)(п)</t>
  </si>
  <si>
    <t>ВОЗРАСТНАЯ ФИЗИОЛОГИЯ И ПСИХОФИЗИОЛОГИЯ</t>
  </si>
  <si>
    <t>Айзман Р.И., Лысова Н.Ф.</t>
  </si>
  <si>
    <t>978-5-16-006423-9</t>
  </si>
  <si>
    <t>04.03.02, 06.03.01, 34.03.01, 44.03.04, 44.03.05, 49.03.01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</si>
  <si>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(050100.62) «Педагогическое образование»</t>
  </si>
  <si>
    <t>682849.07.01</t>
  </si>
  <si>
    <t>Возрастная физиология и психофизиология: Уч.пос. / Р.И.Айзман - М.:НИЦ ИНФРА-М,2025 - 352 с.(СПО)(П)</t>
  </si>
  <si>
    <t>978-5-16-013904-3</t>
  </si>
  <si>
    <t>12.02.08, 31.02.01, 31.02.02, 31.02.03, 31.02.04, 31.02.06, 32.02.01, 33.02.01, 34.02.01, 42.02.12, 43.02.04, 43.02.17, 44.02.01, 44.02.02, 44.02.03, 44.02.04, 44.02.05, 44.02.06, 49.02.01, 49.02.02, 53.02.01, 54.02.06, 49.02.03</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</si>
  <si>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44.02.03 «Преподавание в начальных классах», 44.02.03 «Педагогика дополнительного образования», 44.02.01 «Дошкольное образование»</t>
  </si>
  <si>
    <t>762167.02.01</t>
  </si>
  <si>
    <t>Воинские автомобильные перевозки...: Уч. пос.: В 3 ч.Ч.1: Баз.курс / М.А.Михневич.-М.:НИЦ ИНФРА-М,2025-301с.:цв.ил.(П)</t>
  </si>
  <si>
    <t>ВОИНСКИЕ АВТОМОБИЛЬНЫЕ ПЕРЕВОЗКИ. ПЕРЕВОЗКА ОПАСНЫХ ГРУЗОВ, Т.1</t>
  </si>
  <si>
    <t>Михневич М.А., Ковчик А.И., Качармина Е.А. и др.</t>
  </si>
  <si>
    <t>Военное образование (РВВДКУ им. Маргелова)</t>
  </si>
  <si>
    <t>978-5-16-017214-9</t>
  </si>
  <si>
    <t>23.03.01, 23.03.02, 23.03.03, 23.04.02, 56.04.08, 56.05.01</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</si>
  <si>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ордена Суворова дважды Краснознаменное командное училище имени генерала армии В.Ф. Маргелова» Министерства обороны Российской Федерации в качестве учебного пособия для обучения военнослужащих соединений и частей Воздушно-десантных войск по программе профессио нальной подготовки военнослужащих, проходящих воинскую службу на воинских должностях водителей транспортных средств, осуществляющих перевозку опасных грузов</t>
  </si>
  <si>
    <t>Рязанское высшее воздушно-десантное командное училище</t>
  </si>
  <si>
    <t>699619.02.01</t>
  </si>
  <si>
    <t>Воинские автомобильные перевозки: Уч.пос. / М.А.Михневич - М.:НИЦ ИНФРА-М,2024. - 340 с.(п)</t>
  </si>
  <si>
    <t>ВОИНСКИЕ АВТОМОБИЛЬНЫЕ ПЕРЕВОЗКИ</t>
  </si>
  <si>
    <t>Михневич М.А., Белов А.Б., Горохов Н.М. и др.</t>
  </si>
  <si>
    <t>978-5-16-014973-8</t>
  </si>
  <si>
    <t>23.03.01, 23.03.03, 23.04.02, 23.04.03, 56.04.04, 56.04.08, 56.05.01</t>
  </si>
  <si>
    <t>Рекомендуется федеральным государственным казенным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 в качестве учебного пособия для курсантов Рязанского высшего воздушно-десантного командного училища (военный институт) имени генерала армии В.Ф. Маргелова (филиал) федерального государственного казенного образовательного учреждения высшего профессионального образования «Военный учебно-научный центр Сухопутных войск «Общевойсковая академия Вооруженных Сил Российской Федерации», обучающихся по специальности «Техническое обслуживание и ремонт автомобильного транспорта» (регистрационный номер рецензии 245 от 20 сентября 2012 г. Департамента образования Министерства обороны Российской Федерации)</t>
  </si>
  <si>
    <t>682795.08.01</t>
  </si>
  <si>
    <t>Вольная борьба: Уч.пос. / П.Ф.Матущак - М.:НИЦ ИНФРА-М,2025 - 292 с.-(СПО)(П)</t>
  </si>
  <si>
    <t>ВОЛЬНАЯ БОРЬБА</t>
  </si>
  <si>
    <t>978-5-16-014085-8</t>
  </si>
  <si>
    <t>00.01.05, 00.02.14, 49.02.01</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</si>
  <si>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на базе основного общего образования</t>
  </si>
  <si>
    <t>682850.07.01</t>
  </si>
  <si>
    <t>Воспитание и обуч. детей с наруш. речи....: Уч. пос. / Л.С.Вакуленко -М.:Форум,НИЦ ИНФРА-М,2024 - 272с(П)</t>
  </si>
  <si>
    <t>ВОСПИТАНИЕ И ОБУЧЕНИЕ ДЕТЕЙ С НАРУШЕНИЯМИ РЕЧИ. ПСИХОЛОГИЯ ДЕТЕЙ С НАРУШЕНИЯМИ РЕЧИ</t>
  </si>
  <si>
    <t>Вакуленко Л.С.</t>
  </si>
  <si>
    <t>978-5-00091-573-8</t>
  </si>
  <si>
    <t>44.02.01, 44.02.04, 44.02.05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</si>
  <si>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</si>
  <si>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431350.10.01</t>
  </si>
  <si>
    <t>Воспитание и обучение детей с нарушениями речи: Уч.мет.пос. / Л.С.Вакуленко-М.:Форум, НИЦ ИНФРА-М,2024.-272с(П)</t>
  </si>
  <si>
    <t>978-5-00091-728-2</t>
  </si>
  <si>
    <t>37.03.01, 44.03.01, 44.03.03, 44.03.05, 44.04.01, 44.04.03, 49.03.02</t>
  </si>
  <si>
    <t>733188.04.01</t>
  </si>
  <si>
    <t>Воспитание толерантности у младших шк.: Уч.пос. / С.А.Герасимов - М.:НИЦ ИНФРА-М,2025 - 315 с.(П)</t>
  </si>
  <si>
    <t>ВОСПИТАНИЕ ТОЛЕРАНТНОСТИ У МЛАДШИХ ШКОЛЬНИКОВ</t>
  </si>
  <si>
    <t>Герасимов С.А., Сковородкина И.З.</t>
  </si>
  <si>
    <t>978-5-16-016166-2</t>
  </si>
  <si>
    <t>44.02.02, 44.02.03, 44.02.04, 44.02.05, 54.02.06</t>
  </si>
  <si>
    <t>Допущено Министерством образования и науки Российской Федерации в качестве учебного пособия для студентов профессиональных образовательных организаций, обучающихся по специальности 44.02.02 «Преподавание в начальных классах», студентов образовательных организаций высшего образования, обучающихся по направлению подготовки 44.03.01 «Педагогическое образование», профиль «Начальное образование», и обучающихся организаций дополнительного профессионального образования</t>
  </si>
  <si>
    <t>Архангельский политехнический техникум</t>
  </si>
  <si>
    <t>441300.08.01</t>
  </si>
  <si>
    <t>Воспитатель в дошк. обр. орг..: Уч.пос. / Под ред.Козловой С.А. - 2 изд.-М.:НИЦ ИНФРА-М,2024-508с(п)</t>
  </si>
  <si>
    <t>ВОСПИТАТЕЛЬ В ДОШКОЛЬНЫХ ОБРАЗОВАТЕЛЬНЫХ ОРГАНИЗАЦИЯХ. ФИЗИЧЕСКОЕ ВОСПИТАНИЕ ДОШКОЛЬНИКОВ, ИЗД.2</t>
  </si>
  <si>
    <t>Борисова М.М., Кожухова Н.Н., Рыжкова Л.А. и др.</t>
  </si>
  <si>
    <t>Практическая педагогика</t>
  </si>
  <si>
    <t>978-5-16-013803-9</t>
  </si>
  <si>
    <t>44.00.00, 44.03.01, 44.03.04, 44.03.05</t>
  </si>
  <si>
    <t>429350.08.01</t>
  </si>
  <si>
    <t>Воспитываем ребенка: Уч.пос. / Под ред. Асмолова А.Г. - 2 изд. - М.:Форум, НИЦ ИНФРА-М,2024-166 с.(П)</t>
  </si>
  <si>
    <t>ВОСПИТЫВАЕМ РЕБЕНКА, ИЗД.2</t>
  </si>
  <si>
    <t>Пастернак Н.А., Асмолов А.Г.</t>
  </si>
  <si>
    <t>978-5-00091-658-2</t>
  </si>
  <si>
    <t>37.03.01, 37.04.01, 44.03.01, 44.03.02, 44.03.03, 44.03.04, 44.03.05, 44.04.01, 44.04.02, 44.05.01</t>
  </si>
  <si>
    <t>Московский государственный медико-стоматологический университет им. А.И. Евдокимова</t>
  </si>
  <si>
    <t>477450.05.01</t>
  </si>
  <si>
    <t>Воспроизводство сельскохоз. птицы: Уч.пос. / Б.Ф.Бессарабов - М.:НИЦ ИНФРА-М,2025 - 358 с.(ВО)(п)</t>
  </si>
  <si>
    <t>ВОСПРОИЗВОДСТВО СЕЛЬСКОХОЗЯЙСТВЕННОЙ ПТИЦЫ</t>
  </si>
  <si>
    <t>Бессарабов Б.Ф., Федотов С.В.</t>
  </si>
  <si>
    <t>978-5-16-010265-8</t>
  </si>
  <si>
    <t>Допущено Учебно-методическим объединением высших учебных заведений Российской Федерации |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t>
  </si>
  <si>
    <t>810796.01.01</t>
  </si>
  <si>
    <t>Восстановление бронетанковой техники: В 2 ч. Ч. 1: Уч. / И.Ю.Лепешинский-М.:НИЦ ИНФРА-М,2024-455 с.(п)</t>
  </si>
  <si>
    <t>ВОССТАНОВЛЕНИЕ БРОНЕТАНКОВОЙ ТЕХНИКИ. В 2 Ч. ЧАСТЬ 1, Т.1</t>
  </si>
  <si>
    <t>Лепешинский И.Ю., Крюков К.С., Ануфриев Е.В. и др.</t>
  </si>
  <si>
    <t>978-5-16-019019-8</t>
  </si>
  <si>
    <t>23.03.02, 23.04.02, 56.04.03</t>
  </si>
  <si>
    <t>810800.01.01</t>
  </si>
  <si>
    <t>Восстановление бронетанковой техники: Уч. В 2 ч. Ч. 2/ И.Ю.Лепешинский.-М.:НИЦ ИНФРА-М,2024.-451 с.(п)</t>
  </si>
  <si>
    <t>ВОССТАНОВЛЕНИЕ БРОНЕТАНКОВОЙ ТЕХНИКИ В  2-Х Ч., Т.2</t>
  </si>
  <si>
    <t>978-5-16-019020-4</t>
  </si>
  <si>
    <t>352700.09.01</t>
  </si>
  <si>
    <t>Восстановление и усиление железобетон...: Уч.мет.пос. / М.В.Яковлева-М.:Форум, НИЦ ИНФРА-М,2024-191 с.(ВО)(П)</t>
  </si>
  <si>
    <t>ВОССТАНОВЛЕНИЕ И УСИЛЕНИЕ ЖЕЛЕЗОБЕТОННЫХ И КАМЕННЫХ КОНСТРУКЦИЙ</t>
  </si>
  <si>
    <t>Яковлева М.В., Коткова О.Н., Широков В.С.</t>
  </si>
  <si>
    <t>978-5-00091-795-4</t>
  </si>
  <si>
    <t>08.03.01, 08.04.01, 08.05.01, 08.05.02, 08.05.03</t>
  </si>
  <si>
    <t>Рекомендовано Государственным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высших учебных заведений, обучающихся по направлению подготовки «Строительство» по профилю подготовки «Городское строительство»</t>
  </si>
  <si>
    <t>151750.10.01</t>
  </si>
  <si>
    <t>Времена английского глагола....: Уч. пос. / А.А.Караванов - М.:НИЦ ИНФРА-М,2025 - 212 с. - (ВО: Бакалавр.)(П)</t>
  </si>
  <si>
    <t>ВРЕМЕНА АНГЛИЙСКОГО ГЛАГОЛА.СИСТЕМА,ПРАВИЛА,УПРАЖНЕНИЯ,ТЕСТЫ</t>
  </si>
  <si>
    <t>Караванов А.А.</t>
  </si>
  <si>
    <t>978-5-16-011442-2</t>
  </si>
  <si>
    <t>843804.01.01</t>
  </si>
  <si>
    <t>Времена английского глагола....: Уч. пос. / А.А.Караванов - М.:НИЦ ИНФРА-М,2025 - 212 с.(СПО)(п)</t>
  </si>
  <si>
    <t>ВРЕМЕНА АНГЛИЙСКОГО ГЛАГОЛА. СИСТЕМА, ПРАВИЛА, УПРАЖНЕНИЯ, ТЕСТЫ</t>
  </si>
  <si>
    <t>978-5-16-020404-8</t>
  </si>
  <si>
    <t>00.01.02</t>
  </si>
  <si>
    <t>218600.08.01</t>
  </si>
  <si>
    <t>Всемирная ист. госуд. и государствен. упр.:Уч.пос./ А.Ю.Саломатин-М:Юр.Норма:НИЦ ИНФРА-М,2024-288с(п)</t>
  </si>
  <si>
    <t>ВСЕМИРНАЯ ИСТОРИЯ ГОСУДАРСТВА И ГОСУДАРСТВЕННОГО УПРАВЛЕНИЯ</t>
  </si>
  <si>
    <t>Саломатин А. Ю.</t>
  </si>
  <si>
    <t>978-5-91768-401-7</t>
  </si>
  <si>
    <t>Пензенский государственный университет</t>
  </si>
  <si>
    <t>022367.27.01</t>
  </si>
  <si>
    <t>Всеобщая история права и гос.: Уч. / В.Г.Графский - 3 изд. - М.: Юр.Норма, НИЦ ИНФРА-М, 2025 - 816 с.(п)</t>
  </si>
  <si>
    <t>ВСЕОБЩАЯ ИСТОРИЯ ПРАВА И ГОСУДАРСТВА, ИЗД.3</t>
  </si>
  <si>
    <t>Графский В. Г.</t>
  </si>
  <si>
    <t>978-5-91768-078-1</t>
  </si>
  <si>
    <t>Допущено Министерством образования и науки РФ в качестве учебника для студентов высших учебных заведений, обучающихся по специальности "Юриспруденция"</t>
  </si>
  <si>
    <t>0310</t>
  </si>
  <si>
    <t>719868.02.01</t>
  </si>
  <si>
    <t>Вспомогательные ист. дисциплины...: Уч.пос. / В.В.Шевцов-М.:НИЦ ИНФРА-М,2023.-283 с.(ВО)(П)</t>
  </si>
  <si>
    <t>ВСПОМОГАТЕЛЬНЫЕ ИСТОРИЧЕСКИЕ ДИСЦИПЛИНЫ: ИСТОРИЧЕСКАЯ МЕТРОЛОГИЯ РОССИИ</t>
  </si>
  <si>
    <t>Шевцов В.В.</t>
  </si>
  <si>
    <t>978-5-16-018588-0</t>
  </si>
  <si>
    <t>44.03.01, 44.03.05, 46.03.01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</si>
  <si>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46.03.01 «История» (квалификация (степень) «бакалавр») (протокол № 8 от 22.06.2020)</t>
  </si>
  <si>
    <t>Национальный исследовательский Томский государственный университет</t>
  </si>
  <si>
    <t>741931.04.01</t>
  </si>
  <si>
    <t>Вся физика на ладони. Интерактивный справочник / С.И.Кузнецов - М.:Вуз. уч., НИЦ ИНФРА-М,2024 - 252 с.(П)</t>
  </si>
  <si>
    <t>ВСЯ ФИЗИКА НА ЛАДОНИ. ИНТЕРАКТИВНЫЙ СПРАВОЧНИК</t>
  </si>
  <si>
    <t>Кузнецов С.И., Рогозин К.И.</t>
  </si>
  <si>
    <t>978-5-9558-0622-8</t>
  </si>
  <si>
    <t>00.02.23, 10.02.04, 25.02.01, 52.02.01, 52.02.02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</si>
  <si>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по техническим специальностям (протокол № 9 от 28.09.2020)</t>
  </si>
  <si>
    <t>Национальный исследовательский Томский политехнический университет</t>
  </si>
  <si>
    <t>342900.06.01</t>
  </si>
  <si>
    <t>Вся физика на ладони: интерактивный справ. / С.И.Кузнецов - М.:Вуз. уч., НИЦ ИНФРА-М,2024 - 252с(ВО)(П)</t>
  </si>
  <si>
    <t>ВСЯ ФИЗИКА НА ЛАДОНИ: ИНТЕРАКТИВНЫЙ СПРАВОЧНИК</t>
  </si>
  <si>
    <t>978-5-9558-0422-4</t>
  </si>
  <si>
    <t>03.03.01, 03.03.02, 03.03.03, 04.03.01, 04.03.02, 05.03.01, 05.03.02, 05.03.03, 05.03.04, 05.03.05, 05.03.06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</si>
  <si>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(протокол № 4 от 02.03.2020)</t>
  </si>
  <si>
    <t>077280.21.01</t>
  </si>
  <si>
    <t>Выбор и наладка электрооборуд.: Справ. пос. / В.К.Варварин - 3 изд. - М.:Форум, НИЦ ИНФРА-М,2024 - 238 с.(П)</t>
  </si>
  <si>
    <t>ВЫБОР И НАЛАДКА ЭЛЕКТРООБОРУДОВАНИЯ, ИЗД.3</t>
  </si>
  <si>
    <t>Варварин В. К.</t>
  </si>
  <si>
    <t>978-5-00091-451-9</t>
  </si>
  <si>
    <t>08.01.31, 08.02.09, 11.01.02, 11.01.05, 13.01.07, 13.01.10, 13.02.07, 13.02.09, 13.02.12, 13.02.13, 18.01.28, 21.01.15, 26.01.05, 26.02.04, 26.02.05, 26.02.06, 35.01.15</t>
  </si>
  <si>
    <t>428500.11.01</t>
  </si>
  <si>
    <t>Выбор материалов и технологий в машиностр.: Уч.пос. /А.М.Токмин -М.:НИЦ ИНФРА-М, СФУ,2024-235с.(П)</t>
  </si>
  <si>
    <t>ВЫБОР МАТЕРИАЛОВ И ТЕХНОЛОГИЙ В МАШИНОСТРОЕНИИ</t>
  </si>
  <si>
    <t>Токмин А.М., Темных В.И., Свечникова Л.А.</t>
  </si>
  <si>
    <t>Высшее образование: Бакалавриат (СФУ)</t>
  </si>
  <si>
    <t>978-5-16-019260-4</t>
  </si>
  <si>
    <t>22.03.01</t>
  </si>
  <si>
    <t>Рекомендовано ФГБОУ ВПО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подготовки 22.03.01 «Материаловедение и технологии материалов» (рег. № 1582 от 30.11.2011, МГУП)</t>
  </si>
  <si>
    <t>261100.04.01</t>
  </si>
  <si>
    <t>Выбор направлений диверсификации в машиностр.: Моногр. /В.Н.Еремин -М.:НИЦ ИНФРА-М, 2019-184с.(О)</t>
  </si>
  <si>
    <t>ВЫБОР НАПРАВЛЕНИЙ ДИВЕРСИФИКАЦИИ В МАШИНОСТРОЕНИИ</t>
  </si>
  <si>
    <t>Еремин В. Н., Еремина Е. В.</t>
  </si>
  <si>
    <t>978-5-16-009513-4</t>
  </si>
  <si>
    <t>15.04.01, 15.04.02, 15.04.04, 15.04.05, 15.04.06, 38.04.01, 38.04.02</t>
  </si>
  <si>
    <t>773958.02.01</t>
  </si>
  <si>
    <t>Выполнение работ по профессии рабочего: Прак.: Уч.пос. / Л.А.Сайдуллаева - М.:НИЦ ИНФРА-М,2024 - 183 с.(П)</t>
  </si>
  <si>
    <t>ВЫПОЛНЕНИЕ РАБОТ ПО ПРОФЕССИИ РАБОЧЕГО: ТРАКТОРИСТ-МАШИНИСТ СЕЛЬСКОХОЗЯЙСТВЕННОГО ПРОИЗВОДСТВА. ПРАКТИКУМ</t>
  </si>
  <si>
    <t>Сайдуллаева Л.А.</t>
  </si>
  <si>
    <t>978-5-16-017519-5</t>
  </si>
  <si>
    <t>35.01.01, 35.01.27, 35.01.30, 35.02.05, 35.02.16, 36.01.04</t>
  </si>
  <si>
    <t>Кемеровский аграрный техникум</t>
  </si>
  <si>
    <t>671809.07.01</t>
  </si>
  <si>
    <t>Выпускная квалификац. раб. в проф. обр. орг. СПО: Уч.мет.пос. / С.Н.Рыжиков - М.:НИЦ ИНФРА-М,2024 - 236с(П)</t>
  </si>
  <si>
    <t>ВЫПУСКНАЯ КВАЛИФИКАЦИОННАЯ РАБОТА В ПРОФЕССИОНАЛЬНЫХ ОБРАЗОВАТЕЛЬНЫХ ОРГАНИЗАЦИЯХ СПО</t>
  </si>
  <si>
    <t>Рыжиков С.Н.</t>
  </si>
  <si>
    <t>978-5-16-013869-5</t>
  </si>
  <si>
    <t>00.02.03, 31.02.01, 39.02.01, 44.02.01, 44.02.02, 44.02.03, 44.02.04, 44.02.05, 44.02.06, 49.02.01, 49.02.02</t>
  </si>
  <si>
    <t>Рекомендовано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10 от 27.05.2019)</t>
  </si>
  <si>
    <t>682656.04.01</t>
  </si>
  <si>
    <t>Выпускная квалификац. работа: бакалавриат: Уч.пос. / Л.Б.Лазарова - М.:НИЦ ИНФРА-М,2025 - 228 с(ВО:Бак.)</t>
  </si>
  <si>
    <t>ВЫПУСКНАЯ КВАЛИФИКАЦИОННАЯ РАБОТА: БАКАЛАВРИАТ</t>
  </si>
  <si>
    <t>Лазарова Л.Б., Каирова Ф.А.</t>
  </si>
  <si>
    <t>978-5-16-014585-3</t>
  </si>
  <si>
    <t>00.03.16, 00.05.16, 38.03.01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</si>
  <si>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38.03.01 «Экономика» (квалификация (степень) «бакалавр») (протокол № 5 от 11.03.2019)38</t>
  </si>
  <si>
    <t>Финансовый университет при Правительстве Российской Федерации, Владикавказский ф-л</t>
  </si>
  <si>
    <t>794190.01.01</t>
  </si>
  <si>
    <t>Выпускная квалификационная работа: Магистр.: Уч.пос. / Л.Б.Лазарова-М.:НИЦ ИНФРА-М,2023.-200 с.(ВО)(п)</t>
  </si>
  <si>
    <t>ВЫПУСКНАЯ КВАЛИФИКАЦИОННАЯ РАБОТА: МАГИСТРАТУРА</t>
  </si>
  <si>
    <t>978-5-16-018153-0</t>
  </si>
  <si>
    <t>690667.03.01</t>
  </si>
  <si>
    <t>Высоковольтное электротехнич. оборуд...: Уч.пос. /.А.Ю. Хренников. — М. : ИНФРА-М, 2023- 186с(П)</t>
  </si>
  <si>
    <t>ВЫСОКОВОЛЬТНОЕ ЭЛЕКТРОТЕХНИЧЕСКОЕ ОБОРУДОВАНИЕ В ЭЛЕКТРОЭНЕРГЕТИЧЕСКИХ СИСТЕМАХ: ДИАГНОСТИКА, ДЕФЕКТЫ, ПОВРЕЖДАЕМОСТЬ, МОНИТОРИНГ</t>
  </si>
  <si>
    <t>Хренников А.Ю.</t>
  </si>
  <si>
    <t>978-5-16-014439-9</t>
  </si>
  <si>
    <t>13.04.02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</si>
  <si>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13.04.02 «Электроэнергетика и электротехника» (квалификация (степень) «магистр») (протокол № 10 от 27.05.2019)</t>
  </si>
  <si>
    <t>361200.01.01</t>
  </si>
  <si>
    <t>Высшая математика для экон.: Уч.пос./О.А.Кастрица-4изд-НИЦ ИНФРА-М,Нов.знание,2015-491с(ВО:Бакалавр.)</t>
  </si>
  <si>
    <t>ВЫСШАЯ МАТЕМАТИКА ДЛЯ ЭКОНОМИСТОВ, ИЗД.4</t>
  </si>
  <si>
    <t>Кастрица О.А.</t>
  </si>
  <si>
    <t>Переплет</t>
  </si>
  <si>
    <t>978-5-16-010960-2</t>
  </si>
  <si>
    <t>01.03.01, 01.03.02, 38.03.01</t>
  </si>
  <si>
    <t>Допущено Министерством образования Республики Беларусь в качестве учебного пособия для студентов учреждений высшего образования по экономическим специальностям</t>
  </si>
  <si>
    <t>293200.09.01</t>
  </si>
  <si>
    <t>Высшая математика для экономистов: сб.задач: Уч.пос. / Г.И.Бобрик. - 3изд. - М.:НИЦ ИНФРА-М,2025 - 539 с.(П)</t>
  </si>
  <si>
    <t>ВЫСШАЯ МАТЕМАТИКА ДЛЯ ЭКОНОМИСТОВ: СБОРНИК ЗАДАЧ, ИЗД.3</t>
  </si>
  <si>
    <t>Г.И.Бобрик, Р.К.Гринцевичюс, В.И.Матвеев и др.</t>
  </si>
  <si>
    <t>978-5-16-010074-6</t>
  </si>
  <si>
    <t>01.03.01, 01.03.04, 38.03.01</t>
  </si>
  <si>
    <t>462450.05.01</t>
  </si>
  <si>
    <t>Высшая математика для экономистов: теория пределов и прил.:Уч./А.В.Лежнёв - Магистр:ИНФРА-М,2023-240с (п)</t>
  </si>
  <si>
    <t>ВЫСШАЯ МАТЕМАТИКА ДЛЯ ЭКОНОМИСТОВ: ТЕОРИЯ ПРЕДЕЛОВ И ПРИЛОЖЕНИЯ</t>
  </si>
  <si>
    <t>Лежнёв А. В.</t>
  </si>
  <si>
    <t>978-5-9776-0307-2</t>
  </si>
  <si>
    <t>38.03.01, 38.03.02, 38.03.03, 38.03.04, 38.04.01, 38.04.02, 38.04.03, 38.04.04, 38.04.08, 38.04.09, 41.03.06</t>
  </si>
  <si>
    <t>Рекомендовано УМО по образованию в области прикладной в качестве учебника для студентов высших учебных заведений, обучающихся по направлению 080800 «Прикладная информатика (по областям)» и другим экономическим специальностям информатики</t>
  </si>
  <si>
    <t>403050.08.01</t>
  </si>
  <si>
    <t>Высшая математика. Практикум: Уч.пос. / И.Г.Лурье - М.:Вуз. уч., НИЦ ИНФРА-М,2023 - 160 с.(О)</t>
  </si>
  <si>
    <t>ВЫСШАЯ МАТЕМАТИКА. ПРАКТИКУМ</t>
  </si>
  <si>
    <t>Лурье И. Г., Фунтикова Т. П.</t>
  </si>
  <si>
    <t>978-5-9558-0281-7</t>
  </si>
  <si>
    <t>00.03.06, 00.05.06, 38.03.01, 38.03.02</t>
  </si>
  <si>
    <t>Калининградский государственный технический университет, Научно-техническая библиотека</t>
  </si>
  <si>
    <t>472150.13.01</t>
  </si>
  <si>
    <t>Высшая математика: Уч. / В.С.Шипачев - М.:НИЦ ИНФРА-М,2024 - 479 с.-(ВО)(П)</t>
  </si>
  <si>
    <t>ВЫСШАЯ МАТЕМАТИКА</t>
  </si>
  <si>
    <t>Шипачев В.С.</t>
  </si>
  <si>
    <t>978-5-16-010072-2</t>
  </si>
  <si>
    <t>00.03.06, 00.05.06</t>
  </si>
  <si>
    <t>Рекомендовано Министерством образования и науки Российской Федерации в качестве учебника для студентов высших учебных заведений</t>
  </si>
  <si>
    <t>172000.09.01</t>
  </si>
  <si>
    <t>Высшая математика: Уч. / Л.Т. Ячменёв. - М.: ИЦ РИОР: НИЦ Инфра-М, 2025 - 752 с.(ВО; Бакалавр.) (п)</t>
  </si>
  <si>
    <t>Ячменёв Л. Т.</t>
  </si>
  <si>
    <t>978-5-369-01032-7</t>
  </si>
  <si>
    <t>Рекомендовано Научно-методическим советом по математике Министерства образования и науки РФ в качестве учебника для студентов вузов, обучающихся по инженерно-техническим и экономическим специальностям</t>
  </si>
  <si>
    <t>076450.11.01</t>
  </si>
  <si>
    <t>Высшая математика: Уч.пос. / В.И.Малыхин - 2 изд. - М.:ИНФРА-М,2023 - 365 с.-(ВО)(п)</t>
  </si>
  <si>
    <t>ВЫСШАЯ МАТЕМАТИКА, ИЗД.2</t>
  </si>
  <si>
    <t>Малыхин В.И.</t>
  </si>
  <si>
    <t>978-5-16-002625-1</t>
  </si>
  <si>
    <t>Рекомендовано УМО по образованию в области финансов, учета и мировой экономики в качестве учебного пособия для студентов, обучающихся по спец. "Финансы и кредит", "Бух. учет, анализ и аудит", "Мировая экономика", "Налоги и налогообложение"</t>
  </si>
  <si>
    <t>0206</t>
  </si>
  <si>
    <t>079300.16.01</t>
  </si>
  <si>
    <t>Вычислительная техника: Уч.пос. / Т.Л.Партыка - 3 изд. - М.:Форум,НИЦ ИНФРА-М,2025 - 445 с.(ПО)(П)</t>
  </si>
  <si>
    <t>ВЫЧИСЛИТЕЛЬНАЯ ТЕХНИКА, ИЗД.3</t>
  </si>
  <si>
    <t>Партыка Т.Л., Попов И.И.</t>
  </si>
  <si>
    <t>978-5-91134-646-1</t>
  </si>
  <si>
    <t>09.01.03, 09.01.04, 09.02.01, 09.02.02, 09.02.03, 09.02.04, 09.02.05, 09.02.06, 09.02.07, 10.02.01, 10.02.02, 10.02.03, 10.02.05, 11.02.03, 11.02.06, 11.02.07, 11.02.09, 11.02.11, 11.02.14, 11.02.15, 11.02.17, 11.02.18, 11.02.19, 12.02.01, 12.02.03, 12.02.05, 12.02.06, 13.02.12, 15.02.07, 15.02.09, 15.02.10, 15.02.17, 26.01.05, 27.02.04, 46.01.02, 46.01.03, 53.02.08</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</si>
  <si>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</si>
  <si>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0312</t>
  </si>
  <si>
    <t>699301.03.01</t>
  </si>
  <si>
    <t>Вычислительные модели: Уч.пос. / А.П.Гловацкая-М.:НИЦ ИНФРА-М,2024.-395 с.(ВО)(п)</t>
  </si>
  <si>
    <t>ВЫЧИСЛИТЕЛЬНЫЕ МОДЕЛИ</t>
  </si>
  <si>
    <t>Гловацкая А.П.</t>
  </si>
  <si>
    <t>978-5-16-019781-4</t>
  </si>
  <si>
    <t>01.03.02, 01.03.03, 01.03.04, 01.04.02, 01.04.03, 01.04.04, 02.03.01, 02.03.02, 02.03.03, 03.03.02, 03.03.03, 04.03.02, 09.04.01, 15.03.03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</si>
  <si>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математическим и естественно-научным направлениям подготовки (квалификация (степень) «бакалавр») (протокол № 8 от 22.06.2020)</t>
  </si>
  <si>
    <t>266500.13.01</t>
  </si>
  <si>
    <t>Габитоскопия и портрет. эксперт.: Уч. / Под ред. Россинской Е.Р. - М.:Юр.Норма,НИЦ ИНФРА-М,2024 - 288 с.(П)</t>
  </si>
  <si>
    <t>ГАБИТОСКОПИЯ И ПОРТРЕТНАЯ ЭКСПЕРТИЗА</t>
  </si>
  <si>
    <t>Зинин А. М., Подволоцкий И. Н., Россинская Е. Р.</t>
  </si>
  <si>
    <t>978-5-91768-466-6</t>
  </si>
  <si>
    <t>Допущено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«специалист»</t>
  </si>
  <si>
    <t>065100.17.01</t>
  </si>
  <si>
    <t>Газифицированные котельные агрегаты: Уч. / О.Н. Брюханов - М.:НИЦ ИНФРА-М, 2021.- 392 с.- (СПО)(П)</t>
  </si>
  <si>
    <t>ГАЗИФИЦИРОВАННЫЕ КОТЕЛЬНЫЕ АГРЕГАТЫ</t>
  </si>
  <si>
    <t>Брюханов О. Н., Кузнецов В. А.</t>
  </si>
  <si>
    <t>978-5-16-005373-8</t>
  </si>
  <si>
    <t>08.02.02, 08.02.08, 13.02.02, 18.01.27, 19.01.01</t>
  </si>
  <si>
    <t>Допущено Гос. комитетом РФ по строительству и жилищно-коммунальному комплексу в кач. учеб. для студ. сред. спец. учеб. зав., обуч. по спец. 2915 "Монтаж и эксплуатация оборудования и систем газоснабжения"</t>
  </si>
  <si>
    <t>065100.22.01</t>
  </si>
  <si>
    <t>Газифицированные котельные агрегаты: Уч. / О.Н.Брюханов - 2 изд. - М.:НИЦ ИНФРА-М,2025 - 392 с.(СПО)(П)</t>
  </si>
  <si>
    <t>ГАЗИФИЦИРОВАННЫЕ КОТЕЛЬНЫЕ АГРЕГАТЫ, ИЗД.2</t>
  </si>
  <si>
    <t>Брюханов О.Н., Кузнецов В.А.</t>
  </si>
  <si>
    <t>978-5-16-014787-1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</si>
  <si>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08.02.08 «Монтаж и эксплуатация оборудования и систем газоснабжения» (протокол № 3 от 17.03.2021)</t>
  </si>
  <si>
    <t>322200.05.01</t>
  </si>
  <si>
    <t>Гельминтозы крупного рогатого скота: Моногр. / А.Н.Токарев-М.:ИЦ РИОР, НИЦ ИНФРА-М,2019.-186 с.(О)</t>
  </si>
  <si>
    <t>ГЕЛЬМИНТОЗЫ КРУПНОГО РОГАТОГО СКОТА</t>
  </si>
  <si>
    <t>Токарев А.Н., Енгашев С.В.</t>
  </si>
  <si>
    <t>978-5-369-01401-1</t>
  </si>
  <si>
    <t>06.03.01, 06.04.01</t>
  </si>
  <si>
    <t>Санкт-Петербургский Государственный Университет Ветеринарной Медицины</t>
  </si>
  <si>
    <t>409700.15.01</t>
  </si>
  <si>
    <t>Гендерная дифференциация в психологии: Уч.пос. / О.О.Андронникова - М.:Вуз.уч.,НИЦ ИНФРА-М,2025 - 264 с.(П)</t>
  </si>
  <si>
    <t>ГЕНДЕРНАЯ ДИФФЕРЕНЦИАЦИЯ В ПСИХОЛОГИИ</t>
  </si>
  <si>
    <t>Андронникова О. О.</t>
  </si>
  <si>
    <t>978-5-9558-0278-7</t>
  </si>
  <si>
    <t>37.03.01, 37.04.01, 44.03.02, 44.03.03, 44.04.02, 44.04.03</t>
  </si>
  <si>
    <t>641419.05.01</t>
  </si>
  <si>
    <t>Гендерная психология: Уч.пос. / Л.Э.Семенова - М.:НИЦ ИНФРА-М,2023 - 309 с.-(ВО)(п)</t>
  </si>
  <si>
    <t>ГЕНДЕРНАЯ ПСИХОЛОГИЯ</t>
  </si>
  <si>
    <t>Семенова Л.Э., Семенова В.Э.</t>
  </si>
  <si>
    <t>978-5-16-019452-3</t>
  </si>
  <si>
    <t>37.03.01, 37.03.02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</si>
  <si>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3 от 17.03.2021)</t>
  </si>
  <si>
    <t>817378.01.01</t>
  </si>
  <si>
    <t>Гендерная социология: Уч. / Л.О.Терновая-М.:НИЦ ИНФРА-М,2024.-366 с.(ВО)(п)</t>
  </si>
  <si>
    <t>ГЕНДЕРНАЯ СОЦИОЛОГИЯ</t>
  </si>
  <si>
    <t>Терновая Л.О.</t>
  </si>
  <si>
    <t>978-5-16-019676-3</t>
  </si>
  <si>
    <t>37.03.01, 39.03.01, 39.03.02, 39.03.03, 39.04.01, 39.04.03</t>
  </si>
  <si>
    <t>008792.10.01</t>
  </si>
  <si>
    <t>Генезис преступления. Опыт криминол...: Уч.пос. / В.Н.Кудрявцев - М.:Юр.Норма, НИЦ ИНФРА-М,2025 - 220 с.(П)</t>
  </si>
  <si>
    <t>ГЕНЕЗИС ПРЕСТУПЛЕНИЯ. ОПЫТ КРИМИНОЛОГИЧЕСКОГО МОДЕЛИРОВАНИЯ</t>
  </si>
  <si>
    <t>Кудрявцев В. Н.</t>
  </si>
  <si>
    <t>978-5-91768-710-0</t>
  </si>
  <si>
    <t>40.03.01, 40.04.01, 40.05.01, 40.05.02, 40.05.03, 40.05.04, 40.06.01</t>
  </si>
  <si>
    <t>0198</t>
  </si>
  <si>
    <t>477500.06.01</t>
  </si>
  <si>
    <t>Генетическая минералогия и...: Уч.пос. / О.В.Япаскурт - 2 изд. - М.:НИЦ ИНФРА-М,2025-356с(ВО:Магистр)(п)</t>
  </si>
  <si>
    <t>ГЕНЕТИЧЕСКАЯ МИНЕРАЛОГИЯ И СТАДИАЛЬНЫЙ АНАЛИЗ ПРОЦЕССОВ ОСАДОЧНОГО ПОРОДО- И РУДООБРАЗОВАНИЯ, ИЗД.2</t>
  </si>
  <si>
    <t>Япаскурт О.В.</t>
  </si>
  <si>
    <t>978-5-16-020358-4</t>
  </si>
  <si>
    <t>05.00.00, 21.00.00, 05.03.01, 05.04.01, 21.05.02</t>
  </si>
  <si>
    <t>Рекомендовано УМС геологического факультета МГУ им. MB. Ломоносова в качестве учебного пособия для студентов, обучающихся по направлению 05.04.01 «Геология»</t>
  </si>
  <si>
    <t>Московский государственный университет им. М.В. Ломоносова, Геологический факультет</t>
  </si>
  <si>
    <t>377300.08.01</t>
  </si>
  <si>
    <t>Геноцид в рос. и междунар. угол.праве: Уч.пос. /Е.Д.Ветошкина - М.:Юр.Норма,НИЦ ИНФРА-М,2024 - 128 с(О)</t>
  </si>
  <si>
    <t>ГЕНОЦИД В РОССИЙСКОМ И МЕЖДУНАРОДНОМ УГОЛОВНОМ ПРАВЕ</t>
  </si>
  <si>
    <t>Ветошкина Е.Д.</t>
  </si>
  <si>
    <t>978-5-91768-635-6</t>
  </si>
  <si>
    <t>40.02.02, 40.02.04, 40.03.01, 40.04.01, 40.05.01, 40.05.02, 40.05.03, 40.05.04</t>
  </si>
  <si>
    <t>Московский государственный юридический университет им. О.Е. Кутафина, ф-л Волго-Вятский институт</t>
  </si>
  <si>
    <t>708358.04.01</t>
  </si>
  <si>
    <t>Географические информ.сист. в тем.картографии: Уч.пос. / В.П.Раклов - 5 изд,-М.:НИЦ ИНФРА-М,2024-177с(П)</t>
  </si>
  <si>
    <t>ГЕОГРАФИЧЕСКИЕ ИНФОРМАЦИОННЫЕ СИСТЕМЫ В ТЕМАТИЧЕСКОЙ КАРТОГРАФИИ, ИЗД.5</t>
  </si>
  <si>
    <t>Раклов В.П.</t>
  </si>
  <si>
    <t>978-5-16-015299-8</t>
  </si>
  <si>
    <t>05.03.03, 05.03.06, 05.04.06, 21.03.01, 21.03.02, 21.03.03, 21.04.02</t>
  </si>
  <si>
    <t>Рекомендовано УМО по образованию в области землеустройства и кадастров в качестве учебного пособия для студентов высших учебных заведений, обучающихся по направлениям подготовки 21.03.02 «Землеустройство и кадастры», 05.03.06 «Экология и природопользование», 21.03.03 «Геодезия и дистанционное зондирование»</t>
  </si>
  <si>
    <t>0519</t>
  </si>
  <si>
    <t>800809.01.01</t>
  </si>
  <si>
    <t>Географическое москвоведение: Уч. / О.В.Шульгина - М.:НИЦ ИНФРА-М,2025.-244 с.(ВО)(п)</t>
  </si>
  <si>
    <t>ГЕОГРАФИЧЕСКОЕ МОСКВОВЕДЕНИЕ</t>
  </si>
  <si>
    <t>Шульгина О.В., Воронова Т.С., Гайворон Т.Д. и др.</t>
  </si>
  <si>
    <t>978-5-16-019536-0</t>
  </si>
  <si>
    <t>44.03.04, 44.04.01, 44.04.04, 51.04.03</t>
  </si>
  <si>
    <t>417150.09.01</t>
  </si>
  <si>
    <t>География мирового хозяйства: Уч.пос. / А.А.Паикидзе -М.:НИЦ ИНФРА-М,2024.-256 с.(ВО: Бакалавр.)(П)</t>
  </si>
  <si>
    <t>ГЕОГРАФИЯ МИРОВОГО ХОЗЯЙСТВА</t>
  </si>
  <si>
    <t>Паикидзе А. А., Цветков А. М., Шмайдюк Т. С.</t>
  </si>
  <si>
    <t>978-5-16-018815-7</t>
  </si>
  <si>
    <t>Рекомендовано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</si>
  <si>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226800.06.01</t>
  </si>
  <si>
    <t>География почв. Почвы тропиков и субтропиков: Уч./ В.Д. Наумов. - М.: ИНФРА-М, 2024. - 284 с.(ВО) (п)</t>
  </si>
  <si>
    <t>ГЕОГРАФИЯ ПОЧВ. ПОЧВЫ ТРОПИКОВ И СУБТРОПИКОВ</t>
  </si>
  <si>
    <t>Наумов В. Д.</t>
  </si>
  <si>
    <t>978-5-16-009014-6</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</si>
  <si>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35.03.03 (110100) «Агрохимия и агропочвоведение»</t>
  </si>
  <si>
    <t>682852.06.01</t>
  </si>
  <si>
    <t>География туризма: Уч. / Под ред. Богданова Е.И. - М.:НИЦ ИНФРА-М,2023 - 256 с.-(СПО)(П)</t>
  </si>
  <si>
    <t>ГЕОГРАФИЯ ТУРИЗМА</t>
  </si>
  <si>
    <t>Погодина В.Л., Филиппова И.Г., Богданов Е.И.</t>
  </si>
  <si>
    <t>978-5-16-013906-7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</si>
  <si>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43.02.10 «Туризм», 43.02.11 «Гостиничный сервис»</t>
  </si>
  <si>
    <t>Санкт-Петербургский университет технологий управления и экономики</t>
  </si>
  <si>
    <t>159800.13.01</t>
  </si>
  <si>
    <t>География туризма: Уч. / Под ред. Богданова Е.И. - М.:НИЦ ИНФРА-М,2025 - 256 с.-(ВО: Бакалавриат)(п)</t>
  </si>
  <si>
    <t>978-5-16-010338-9</t>
  </si>
  <si>
    <t>43.03.01, 43.03.02, 43.03.03, 43.04.01, 43.04.02, 43.04.03, 49.03.03</t>
  </si>
  <si>
    <t>Рекомендовано Учебно-методическим объединением по образованию в области производственного менеджмента в качестве учебника для студентов, обучающихся по направлению подготовки 38.03.02 «Менеджмент»</t>
  </si>
  <si>
    <t>161300.13.01</t>
  </si>
  <si>
    <t>География туризма: Уч.пос. / П.В.Большаник - 2 изд. - М.:НИЦ ИНФРА-М,2025 - 355 с.(СПО)(П)</t>
  </si>
  <si>
    <t>ГЕОГРАФИЯ ТУРИЗМА, ИЗД.2</t>
  </si>
  <si>
    <t>Большаник П.В.</t>
  </si>
  <si>
    <t>978-5-16-012118-5</t>
  </si>
  <si>
    <t>Рекомендовано в качестве учебного пособия для учебных заведений, реализующих программу среднего профессионального образования по специальности 43.02.10 «Туризм»</t>
  </si>
  <si>
    <t>Омский государственный педагогический университет</t>
  </si>
  <si>
    <t>809272.01.01</t>
  </si>
  <si>
    <t>География туризма: Уч.пос. / С.В.Вакуленко - М.:НИЦ ИНФРА-М,2025 - 282 с.(СПО)(п)</t>
  </si>
  <si>
    <t>Вакуленко С.В.</t>
  </si>
  <si>
    <t>978-5-16-019647-3</t>
  </si>
  <si>
    <t>641799.12.01</t>
  </si>
  <si>
    <t>География: Уч. / О.В.Шульгина и др. - М.:НИЦ ИНФРА-М,2025. - 313 с..(СПО)(П)</t>
  </si>
  <si>
    <t>ГЕОГРАФИЯ</t>
  </si>
  <si>
    <t>Шульгина О.В., Козаренко А.Е., Самусенко Д.Н.</t>
  </si>
  <si>
    <t>978-5-16-013213-6</t>
  </si>
  <si>
    <t>00.02.19, 11.01.08, 31.02.01</t>
  </si>
  <si>
    <t>Рекомендовано в качестве учебника для учебных заведений, реализующих основную профессиональную образовательную программу среднего профессионального образования на базе основного общего образования</t>
  </si>
  <si>
    <t>426500.08.01</t>
  </si>
  <si>
    <t>Геодезия: Задачник: Уч.пос. / М.А.Гиршберг-М.:НИЦ ИНФРА-М,2024.-288 с.(ВО: Бакалавриат)(п)</t>
  </si>
  <si>
    <t>ГЕОДЕЗИЯ: ЗАДАЧНИК</t>
  </si>
  <si>
    <t>Гиршберг М.А.</t>
  </si>
  <si>
    <t>978-5-16-006350-8</t>
  </si>
  <si>
    <t>08.03.01, 08.04.01, 21.03.02, 21.03.03, 21.04.02, 21.04.03, 35.03.10, 35.04.09</t>
  </si>
  <si>
    <t>Рекомендовано в качестве учебного пособия для студентов высших учебных заведений, обучающихся по направлениям подготовки 21.03.03 «Геодезия и дистанционное зондирование», 08.03.01 «Строительство», 21.03.02 «Землеустройство и кадастры» (квалификация (степень) «бакалавр»)</t>
  </si>
  <si>
    <t>737685.03.01</t>
  </si>
  <si>
    <t>Геодезия: классическая и современная: Уч. / Ю.А.Кравченко - М.:НИЦ ИНФРА-М,2024-775 с.(ВО)(п)</t>
  </si>
  <si>
    <t>ГЕОДЕЗИЯ: КЛАССИЧЕСКАЯ И СОВРЕМЕННАЯ</t>
  </si>
  <si>
    <t>Кравченко Ю.А.</t>
  </si>
  <si>
    <t>978-5-16-019215-4</t>
  </si>
  <si>
    <t>07.03.01, 07.03.02, 08.03.01, 08.05.01, 20.03.02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</si>
  <si>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08.03.01 «Строительство» (квалификация (степень) «бакалавр») (протокол № 9 от 17.11.2021)</t>
  </si>
  <si>
    <t>Новосибирский государственный архитектурно-строительный университет (Сибстрин)</t>
  </si>
  <si>
    <t>426600.13.01</t>
  </si>
  <si>
    <t>Геодезия: Уч. / М.А.Гиршберг - М.:НИЦ ИНФРА-М,2023 - 384 с.-(ВО: Бакалавриат)(П)</t>
  </si>
  <si>
    <t>ГЕОДЕЗИЯ</t>
  </si>
  <si>
    <t>Гиршберг М. А.</t>
  </si>
  <si>
    <t>978-5-16-018677-1</t>
  </si>
  <si>
    <t>07.03.04, 08.03.01, 21.03.02, 21.03.03, 21.05.01, 21.05.04, 21.05.05, 35.03.01, 35.03.03, 35.03.10</t>
  </si>
  <si>
    <t>Рекомендуется в качестве учебника для студентов высших учебных заведений по направлениям подготовки  21.03.03 «Геодезия и дистанционное зондирование», 21.03.02 «Землеустройство и кадастры»</t>
  </si>
  <si>
    <t>646098.11.01</t>
  </si>
  <si>
    <t>Геодезия: Уч. / Ю.А.Кравченко - М.:НИЦ ИНФРА-М,2025 - 344 с.(ВО)(П)</t>
  </si>
  <si>
    <t>978-5-16-020619-6</t>
  </si>
  <si>
    <t>08.03.01, 21.03.03, 21.04.03, 21.05.01, 21.05.02</t>
  </si>
  <si>
    <t>Рекомендовано в качестве учебника для студентов высших учебных заведений, обучающихся по направлению подготовки 08.03.01 «Строительство» (квалификация (степень) «бакалавр»)</t>
  </si>
  <si>
    <t>682853.09.01</t>
  </si>
  <si>
    <t>Геодезия: Уч. / Ю.А.Кравченко - М.:НИЦ ИНФРА-М,2025 - 344 с.(СПО)(П)</t>
  </si>
  <si>
    <t>978-5-16-013907-4</t>
  </si>
  <si>
    <t>07.02.01, 08.02.01, 08.02.02, 08.02.04, 08.02.08, 08.02.12, 08.02.13, 08.02.14, 13.02.04, 21.02.03, 21.02.10, 21.02.11, 21.02.15, 21.02.20, 23.02.08, 26.02.01, 35.01.19, 35.02.01, 35.02.02, 35.02.09, 35.02.12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</si>
  <si>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t>
  </si>
  <si>
    <t>673213.02.01</t>
  </si>
  <si>
    <t>Геоинформационное картограф. в эконом. и соц. геогр.: Уч.пос./ А.В.Молочко-М.:НИЦ ИНФРА-М,2020-127 с.(ВО)(О)</t>
  </si>
  <si>
    <t>ГЕОИНФОРМАЦИОННОЕ КАРТОГРАФИРОВАНИЕ В ЭКОНОМИЧЕСКОЙ И СОЦИАЛЬНОЙ ГЕОГРАФИИ</t>
  </si>
  <si>
    <t>Молочко А.В., Хворостухин Д.П.</t>
  </si>
  <si>
    <t>978-5-16-013747-6</t>
  </si>
  <si>
    <t>05.03.02, 05.03.03, 05.03.04, 05.04.02, 05.04.06, 21.03.02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</si>
  <si>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05.03.02 «География», 05.03.03 «Картография и геоинформатика», 21.03.02 «Землеустройство и кадастры» (квалификация (степень) «бакалавр»)</t>
  </si>
  <si>
    <t>664177.03.01</t>
  </si>
  <si>
    <t>Геоинформационные сис. в техносфер. безоп.: Уч.пос. / Я.Ю.Блиновская-М.:Форум, НИЦ ИНФРА-М,2023.-160 с.(ВО)(П)</t>
  </si>
  <si>
    <t>ГЕОИНФОРМАЦИОННЫЕ СИСТЕМЫ В ТЕХНОСФЕРНОЙ БЕЗОПАСНОСТИ</t>
  </si>
  <si>
    <t>978-5-00091-651-3</t>
  </si>
  <si>
    <t>20.03.01, 20.03.02, 20.04.01, 20.04.02, 20.05.01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</si>
  <si>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20.03.00 «Техносферная безопасность и природообустройство» (квалификация (степень) «бакалавр») (протокол № 12 от 14.12.2020)</t>
  </si>
  <si>
    <t>483500.07.01</t>
  </si>
  <si>
    <t>Геология для горного дела: Уч.пос./ Н.В.Короновский - 2 изд. - М.:НИЦ ИНФРА-М,2024 - 576 с.(ВО)(П)</t>
  </si>
  <si>
    <t>ГЕОЛОГИЯ ДЛЯ ГОРНОГО ДЕЛА, ИЗД.2</t>
  </si>
  <si>
    <t>Короновский Н.В., Старостин В.И., Авдонин В.В.</t>
  </si>
  <si>
    <t>978-5-16-011719-5</t>
  </si>
  <si>
    <t>05.03.01, 05.04.01, 21.05.02, 21.05.03, 21.05.04</t>
  </si>
  <si>
    <t>Допущено Учебно-методическим объединением по образованию в области горного дела в качестве учебнрго пособия для студентов высших учебных заведений, обучающихся по направлению подготовки 21.05.04 «Горное дело»</t>
  </si>
  <si>
    <t>648973.06.01</t>
  </si>
  <si>
    <t>Геология регионов России: Уч. / О.И.Серебряков - М.:НИЦ ИНФРА-М,2025. - 222 с.(ВО)(п)</t>
  </si>
  <si>
    <t>ГЕОЛОГИЯ РЕГИОНОВ РОССИИ</t>
  </si>
  <si>
    <t>Серебряков О.И., Федорова Н.Ф.</t>
  </si>
  <si>
    <t>978-5-16-020656-1</t>
  </si>
  <si>
    <t>05.03.01, 05.04.01</t>
  </si>
  <si>
    <t>Рекомендовано Федеральным Учебно-методическим объединением для магистрантов высших учебных заведений, обучающихся по направлению подготовки 05.04.01 «Геология»</t>
  </si>
  <si>
    <t>Астраханский государственный университет имени В.Н. Татищева</t>
  </si>
  <si>
    <t>631301.06.01</t>
  </si>
  <si>
    <t>Геология России и сопредельных террит.: Уч. / Н.В.Короновский-2 изд.-М.:НИЦ ИНФРА-М,2024-230с(ВО)(П)</t>
  </si>
  <si>
    <t>ГЕОЛОГИЯ РОССИИ И СОПРЕДЕЛЬНЫХ ТЕРРИТОРИЙ, ИЗД.2</t>
  </si>
  <si>
    <t>Короновский Н.В.</t>
  </si>
  <si>
    <t>978-5-16-018888-1</t>
  </si>
  <si>
    <t>05.03.01, 05.04.01, 21.05.02</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</si>
  <si>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подготовки 05.03.01 «Геология» (квалификация (степень) «бакалавр»)</t>
  </si>
  <si>
    <t>829890.04.01</t>
  </si>
  <si>
    <t>Геология с основами геоморфологии: Уч.пос. / Под ред. Ганжары Н.Ф. - М.:НИЦ ИНФРА-М,2025. - 207 с.(СПО)(п)</t>
  </si>
  <si>
    <t>ГЕОЛОГИЯ С ОСНОВАМИ ГЕОМОРФОЛОГИИ</t>
  </si>
  <si>
    <t>Ганжара Н.Ф., Борисов Б.А., Арешин А.В. и др.</t>
  </si>
  <si>
    <t>978-5-16-019930-6</t>
  </si>
  <si>
    <t>08.02.02</t>
  </si>
  <si>
    <t>283900.10.01</t>
  </si>
  <si>
    <t>Геология с основами геоморфологии: Уч.пос. / Под ред. Ганжары Н.Ф.-М.:НИЦ ИНФРА-М,2024.-207 с.(ВО)(п)</t>
  </si>
  <si>
    <t>Ганжара Н.Ф.</t>
  </si>
  <si>
    <t>978-5-16-019925-2</t>
  </si>
  <si>
    <t>820913.01.01</t>
  </si>
  <si>
    <t>Геолого-технологич. исслед. нефтяных и...: Уч.пос. / А.К.Битнер-М.:НИЦ ИНФРА-М, СФУ,2024.-261 с.(п)</t>
  </si>
  <si>
    <t>ГЕОЛОГО-ТЕХНОЛОГИЧЕСКИЕ ИССЛЕДОВАНИЯ НЕФТЯНЫХ И ГАЗОВЫХ СКВАЖИН</t>
  </si>
  <si>
    <t>Битнер А.К.</t>
  </si>
  <si>
    <t>978-5-16-019585-8</t>
  </si>
  <si>
    <t>21.04.01, 21.05.02, 21.05.06</t>
  </si>
  <si>
    <t>082980.09.01</t>
  </si>
  <si>
    <t>Геометрические построения на плоскости..: Уч. пос./А.А.Дадаян - 2 изд.- Форум:ИНФРА-М,2024-464с.(ПО) (п)</t>
  </si>
  <si>
    <t>ГЕОМЕТРИЧЕСКИЕ ПОСТРОЕНИЯ НА ПЛОСКОСТИ И В ПРОСТРАНСТВЕ: ЗАДАЧИ И РЕШЕНИЯ, ИЗД.2</t>
  </si>
  <si>
    <t>Дадаян А. А.</t>
  </si>
  <si>
    <t>978-5-91134-807-6</t>
  </si>
  <si>
    <t>00.02.06, 08.02.14, 26.02.04, 26.02.05</t>
  </si>
  <si>
    <t>668756.05.01</t>
  </si>
  <si>
    <t>Геометрическое моделиров.в начертат.геометрии: Уч.пос. / Л.И.Супрун-М.:НИЦ ИНФРА-М,СФУ,2023-255с(ВО)</t>
  </si>
  <si>
    <t>ГЕОМЕТРИЧЕСКОЕ МОДЕЛИРОВАНИЕ В НАЧЕРТАТЕЛЬНОЙ ГЕОМЕТРИИ</t>
  </si>
  <si>
    <t>Супрун Л.И., Супрун Е.Г.</t>
  </si>
  <si>
    <t>978-5-16-017037-4</t>
  </si>
  <si>
    <t>Допущено Учебно-методическим объединением по образованию в качестве учебного пособия для студентов, обучающихся по направлению подготовки 07.03.01 «Архитектура»</t>
  </si>
  <si>
    <t>437600.07.01</t>
  </si>
  <si>
    <t>Геометрическое моделирование: Уч.пос. / Н.Н.Голованов - М.:КУРС,НИЦ ИНФРА-М,2024-400с.(п)</t>
  </si>
  <si>
    <t>ГЕОМЕТРИЧЕСКОЕ МОДЕЛИРОВАНИЕ</t>
  </si>
  <si>
    <t>Голованов Н.Н.</t>
  </si>
  <si>
    <t>978-5-905554-76-6</t>
  </si>
  <si>
    <t>09.03.01, 09.04.01, 21.02.10</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</si>
  <si>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направлениям 09.03.01 "Информатика и вычислительная техника" (уровень бакалавриата), 09.04.01 "Информатика и вычислительная техника" (уровень магистратуры)</t>
  </si>
  <si>
    <t>C3D Лабс</t>
  </si>
  <si>
    <t>754499.01.01</t>
  </si>
  <si>
    <t>Геометрия: практикум в Excel: Уч.пос. / О.А.Сдвижков - М.:НИЦ ИНФРА-М,2025. - 313 с.(СПО)(п)</t>
  </si>
  <si>
    <t>ГЕОМЕТРИЯ: ПРАКТИКУМ В EXCEL</t>
  </si>
  <si>
    <t>Сдвижков О.А.</t>
  </si>
  <si>
    <t>978-5-16-016954-5</t>
  </si>
  <si>
    <t>00.02.06</t>
  </si>
  <si>
    <t>668187.01.01</t>
  </si>
  <si>
    <t>Геополитика. В 2 т.. Т. 1: Уч. / Р.Т.Мухаев, - 3-е изд.-М.:НИЦ ИНФРА-М,2024.-463 с.(ВО)(п)</t>
  </si>
  <si>
    <t>ГЕОПОЛИТИКА. В 2 Т., Т.1, ИЗД.3</t>
  </si>
  <si>
    <t>978-5-16-018241-4</t>
  </si>
  <si>
    <t>38.04.04, 41.04.04, 41.04.05, 46.04.01</t>
  </si>
  <si>
    <t>111900.08.01</t>
  </si>
  <si>
    <t>Геополитика: история и теория: уч.пос. / В.В.Желтов-М.:Вузовский учебник, НИЦ ИНФРА-М,2018.-445 с.(О. КБС)</t>
  </si>
  <si>
    <t>ГЕОПОЛИТИКА: ИСТОРИЯ И ТЕОРИЯ</t>
  </si>
  <si>
    <t>Желтов В. В., Желтов М. В.</t>
  </si>
  <si>
    <t>978-5-9558-0373-9</t>
  </si>
  <si>
    <t>41.03.05, 41.04.05</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</si>
  <si>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ВПО 030200 Политология</t>
  </si>
  <si>
    <t>Кемеровский государственный университет</t>
  </si>
  <si>
    <t>111900.15.01</t>
  </si>
  <si>
    <t>Геополитика: теория и история: Уч. пос./В.В.Желтов-2 изд.-М.:Вузовский уч., НИЦ ИНФРА-М,2023-462с.(п)</t>
  </si>
  <si>
    <t>ГЕОПОЛИТИКА: ТЕОРИЯ И ИСТОРИЯ, ИЗД.2</t>
  </si>
  <si>
    <t>978-5-9558-0452-1</t>
  </si>
  <si>
    <t>111900.14.01</t>
  </si>
  <si>
    <t>Геополитика: теория и история: Уч.пос. / В.В.Желтов, - 3 изд. - М.:НИЦ ИНФРА-М,2025. - 434 с.(ВО)(п)</t>
  </si>
  <si>
    <t>ГЕОПОЛИТИКА: ТЕОРИЯ И ИСТОРИЯ, ИЗД.3</t>
  </si>
  <si>
    <t>Желтов В.В., Желтов М.В.</t>
  </si>
  <si>
    <t>978-5-16-019038-9</t>
  </si>
  <si>
    <t>103950.13.01</t>
  </si>
  <si>
    <t>Геополитика: Уч. пос. / А.В. Маринченко. - 2 изд. - М.: НИЦ ИНФРА-М, 2024. - 490 с.(ВО: Бакалавр.) (п)</t>
  </si>
  <si>
    <t>ГЕОПОЛИТИКА, ИЗД.2</t>
  </si>
  <si>
    <t>Маринченко А. В.</t>
  </si>
  <si>
    <t>978-5-16-019638-1</t>
  </si>
  <si>
    <t>38.03.04, 38.04.04, 41.03.01, 41.03.02, 41.03.04, 41.03.05, 41.04.02, 41.04.04, 41.04.05</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</si>
  <si>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</si>
  <si>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Международная академия наук экологии, безопасности человека и природы</t>
  </si>
  <si>
    <t>799343.01.01</t>
  </si>
  <si>
    <t>Геополитика: Уч.: В 2 т.Т. 2 / Р.Т.Мухаев, - 3 изд. - М.:НИЦ ИНФРА-М,2024 - 327 с.(ВО)(п)</t>
  </si>
  <si>
    <t>ГЕОПОЛИТИКА. В 2 ТТ., Т.2, ИЗД.3</t>
  </si>
  <si>
    <t>978-5-16-018266-7</t>
  </si>
  <si>
    <t>740449.01.01</t>
  </si>
  <si>
    <t>Геосоциология права: Уч. / Л.О.Терновая-М.:НИЦ ИНФРА-М,2023.-332 с.(ВО: Магистратура)(П)</t>
  </si>
  <si>
    <t>ГЕОСОЦИОЛОГИЯ ПРАВА</t>
  </si>
  <si>
    <t>978-5-16-016587-5</t>
  </si>
  <si>
    <t>39.04.01, 40.04.01, 40.05.01, 41.04.01, 41.04.02, 41.04.03, 41.04.04, 41.04.05, 41.04.06</t>
  </si>
  <si>
    <t>Рекомендовано к изданию кафедрой социологии и управления Московского автомобильно-дорожного государственного технического университета (МАДИ)</t>
  </si>
  <si>
    <t>725766.06.01</t>
  </si>
  <si>
    <t>Геотехнология: подземные горные выработки и их крепл.: Уч.пос. / Е.И.Комаров-М.:НИЦ ИНФРА-М,2024-170с.(ВО)(П)</t>
  </si>
  <si>
    <t>ГЕОТЕХНОЛОГИЯ: ПОДЗЕМНЫЕ ГОРНЫЕ ВЫРАБОТКИ И ИХ КРЕПЛЕНИЕ</t>
  </si>
  <si>
    <t>Комаров Е.И.</t>
  </si>
  <si>
    <t>978-5-16-015873-0</t>
  </si>
  <si>
    <t>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</si>
  <si>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t>
  </si>
  <si>
    <t>652068.06.01</t>
  </si>
  <si>
    <t>Геохимические дистанц. поиски месторождений: Уч. / О.И.Серебряков-М.:НИЦ ИНФРА-М,2023.-251 с.(ВО)(П)</t>
  </si>
  <si>
    <t>ГЕОХИМИЧЕСКИЕ ДИСТАНЦИОННЫЕ ПОИСКИ МЕСТОРОЖДЕНИЙ</t>
  </si>
  <si>
    <t>Серебряков О.И., Ушивцева Л.Ф.</t>
  </si>
  <si>
    <t>978-5-16-012794-1</t>
  </si>
  <si>
    <t>05.03.01, 21.03.01, 21.03.03, 21.05.02, 21.05.03, 21.05.04</t>
  </si>
  <si>
    <t>Рекомендовано в качестве учебника для студентов высших учебных заведений, обучающихся по направлению подготовки 05.03.01 «Геология» (квалификация (степень) «бакалавр»)</t>
  </si>
  <si>
    <t>408900.09.01</t>
  </si>
  <si>
    <t>Геоэкология: Уч.пос. / И.Ю.Григорьева - М.:НИЦ ИНФРА-М,2021 - 270 с.-(ВО: Бакалавриат)(П)</t>
  </si>
  <si>
    <t>ГЕОЭКОЛОГИЯ</t>
  </si>
  <si>
    <t>Григорьева И.Ю.</t>
  </si>
  <si>
    <t>978-5-16-006314-0</t>
  </si>
  <si>
    <t>05.03.01, 05.03.02, 05.03.06, 05.04.01, 05.04.02, 05.04.06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</si>
  <si>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05.03.01 «Геология», 05.03.02 «География», 05.03.06 «Экология и природопользование» (протокол № 8 от  29.04.2019)</t>
  </si>
  <si>
    <t>408900.13.01</t>
  </si>
  <si>
    <t>Геоэкология: Уч.пос. / И.Ю.Григорьева, - 2 изд.-М.:НИЦ ИНФРА-М,2024.-273 с.(ВО)(п)</t>
  </si>
  <si>
    <t>ГЕОЭКОЛОГИЯ, ИЗД.2</t>
  </si>
  <si>
    <t>662376.06.01</t>
  </si>
  <si>
    <t>Геоэкология: Уч.пос. / Н.В.Короновский и др. - 3 изд. - М.:НИЦ ИНФРА-М,2024-411 с.(ВО)(п)</t>
  </si>
  <si>
    <t>ГЕОЭКОЛОГИЯ, ИЗД.3</t>
  </si>
  <si>
    <t>Короновский Н.В., Брянцева Г.В., Ясаманов Н.А.</t>
  </si>
  <si>
    <t>978-5-16-019449-3</t>
  </si>
  <si>
    <t>Допущено Учебно-методическим объединением по классическому университетскому образованию Российской Федерации в качестве учебного пособия для студентов высших учебных заведений, обучающихся по направлению «Экология и природопользование»</t>
  </si>
  <si>
    <t>666813.04.01</t>
  </si>
  <si>
    <t>Геоэкономические и геополит. механизмы Пер.Мир..: Уч.пос. / В.В.Инюшин.-М.:НИЦ ИНФРА-М,2024-154с(ВО)(п)</t>
  </si>
  <si>
    <t>ГЕОЭКОНОМИЧЕСКИЕ И ГЕОПОЛИТИЧЕСКИЕ МЕХАНИЗМЫ ПЕРВОЙ МИРОВОЙ ВОЙНЫ.</t>
  </si>
  <si>
    <t>Инюшин В.В., Медоваров М.В., Черкасов А.Н.</t>
  </si>
  <si>
    <t>978-5-16-019890-3</t>
  </si>
  <si>
    <t>38.03.01, 41.03.04, 41.03.05, 44.03.01, 44.03.05, 46.03.01</t>
  </si>
  <si>
    <t>Рекомендовано в качестве учебного пособия для студенторв высших учебных заведений, обучающихся по направлениям подготовки 38.03.01 «Экономика», 41.03.04 «Политология», 41.03.05 «Международные отношения», 46.03.01 «История» (квалификация (степень) «бакалавр»)</t>
  </si>
  <si>
    <t>637315.08.01</t>
  </si>
  <si>
    <t>Герметизация, гидроизол. и теплоизол. в строит...: Уч.пос./О.А.Лукинский-М.:НИЦ ИНФРА-М,2024-668с.(п)</t>
  </si>
  <si>
    <t>ГЕРМЕТИЗАЦИЯ, ГИДРОИЗОЛЯЦИЯ И ТЕПЛОИЗОЛЯЦИЯ В СТРОИТЕЛЬСТВЕ, РЕМОНТЕ И РЕСТАВРАЦИИ ЗДАНИЙ И СООРУЖЕНИЙ</t>
  </si>
  <si>
    <t>Лукинский О.А.</t>
  </si>
  <si>
    <t>978-5-16-019888-0</t>
  </si>
  <si>
    <t>08.03.01</t>
  </si>
  <si>
    <t>Рекомендовано в качестве учебного пособия для повышения квалификации инженеров ремонтно-строительного производства, работников сферы ЖКХ, студентов высших учебных заведений</t>
  </si>
  <si>
    <t>712717.05.01</t>
  </si>
  <si>
    <t>Геронтостоматология и забол. слиз. оболоч. полости рта: Уч.пос. / С.И.Токмакова.-М.:НИЦ ИНФРА-М,2024.-126с(О)</t>
  </si>
  <si>
    <t>ГЕРОНТОСТОМАТОЛОГИЯ И ЗАБОЛЕВАНИЯ СЛИЗИСТОЙ ОБОЛОЧКИ ПОЛОСТИ РТА</t>
  </si>
  <si>
    <t>Токмакова С.И., Бондаренко О.В., Воблова Т.В. и др.</t>
  </si>
  <si>
    <t>Высшее образование: Специалитет (АГМУ)</t>
  </si>
  <si>
    <t>978-5-16-015441-1</t>
  </si>
  <si>
    <t>31.05.03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</si>
  <si>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31.05.03 «Стоматология» (квалификация «врач-стоматолог») (протокол № 12 от 24.06.2019)</t>
  </si>
  <si>
    <t>Алтайский государственный медицинский университет</t>
  </si>
  <si>
    <t>742257.01.01</t>
  </si>
  <si>
    <t>Гибкие сборочные линии модульного типа на единой..: Уч.пос. / А.А.Иванов-М.:НИЦ ИНФРА-М,2022-315с.(ВО)(П)</t>
  </si>
  <si>
    <t>ГИБКИЕ СБОРОЧНЫЕ ЛИНИИ МОДУЛЬНОГО ТИПА НА ЕДИНОЙ СТРУКТУРНОЙ ОСНОВЕ</t>
  </si>
  <si>
    <t>978-5-16-016615-5</t>
  </si>
  <si>
    <t>15.03.04, 15.03.05, 15.04.04, 15.04.05, 15.05.01</t>
  </si>
  <si>
    <t>Допущено Учебно-методическим объединением вузов по образованию в области автоматизированного машиностроения в качестве учебного пособия для студентов высших учебных заведений, обучающихся по направлениям подготовки бакалавров и магистров: «Конструкторско-технологическое обеспечение машиностроительных производств» и «Автоматизированные технологии и производства»</t>
  </si>
  <si>
    <t>272400.10.01</t>
  </si>
  <si>
    <t>Гибридный автомобиль: основы проектир., конструир..: Уч. пос. / Н.М.Филькин - М.:Форум:ИНФРА-М, 2025 - 240 с. (о)</t>
  </si>
  <si>
    <t>ГИБРИДНЫЙ АВТОМОБИЛЬ: ОСНОВЫ ПРОЕКТИРОВАНИЯ, КОНСТРУИРОВАНИЯ И РАСЧЕТА</t>
  </si>
  <si>
    <t>Филькин Н. М., Умняшкин В. А., Музафаров Р. С.</t>
  </si>
  <si>
    <t>978-5-91134-865-6</t>
  </si>
  <si>
    <t>23.03.01, 23.03.02, 23.03.03</t>
  </si>
  <si>
    <t>Допущено Учебно-методическим объединением вузов Российской Федерации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специальностя</t>
  </si>
  <si>
    <t>Ижевский государственный технический университет им. М.Т. Калашникова</t>
  </si>
  <si>
    <t>708154.01.01</t>
  </si>
  <si>
    <t>Гигиенические основы физкультурно-спорт. деят.: Уч.пос. / Е.А.Багнетова - 2 изд.-М.:НИЦ ИНФРА-М,2025.-315с(п)</t>
  </si>
  <si>
    <t>ГИГИЕНИЧЕСКИЕ ОСНОВЫ ФИЗКУЛЬТУРНО-СПОРТИВНОЙ ДЕЯТЕЛЬНОСТИ, ИЗД.2</t>
  </si>
  <si>
    <t>Багнетова Е.А.</t>
  </si>
  <si>
    <t>978-5-16-017135-7</t>
  </si>
  <si>
    <t>44.03.01, 49.03.02</t>
  </si>
  <si>
    <t>Сургутский государственный педагогический университет</t>
  </si>
  <si>
    <t>665621.04.01</t>
  </si>
  <si>
    <t>Гидравлика и гидропневмопривод. Гидравлика.: Уч. / А.В.Лепешкин. - М.:НИЦ ИНФРА-М,2025 - 319 с.(ВО)(П)</t>
  </si>
  <si>
    <t>ГИДРАВЛИКА И ГИДРОПНЕВМОПРИВОД. ГИДРАВЛИКА.</t>
  </si>
  <si>
    <t>Лепешкин А.В., Михайлин А.А., Шейпак А.А. и др.</t>
  </si>
  <si>
    <t>978-5-16-013824-4</t>
  </si>
  <si>
    <t>23.03.03</t>
  </si>
  <si>
    <t>682854.07.01</t>
  </si>
  <si>
    <t>Гидравлика и гидропневмопривод. Основы механики...: Уч. / А.А.Шейпак, - 6 изд. - М.:НИЦ ИНФРА-М,2025 - 270 с.(П)</t>
  </si>
  <si>
    <t>ГИДРАВЛИКА И ГИДРОПНЕВМОПРИВОД. ОСНОВЫ МЕХАНИКИ ЖИДКОСТИ И ГАЗА, ИЗД.6</t>
  </si>
  <si>
    <t>Шейпак А.А.</t>
  </si>
  <si>
    <t>978-5-16-013908-1</t>
  </si>
  <si>
    <t>15.02.03, 15.02.16, 15.02.17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</si>
  <si>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15.02.00 «Машиностроение»</t>
  </si>
  <si>
    <t>321000.08.01</t>
  </si>
  <si>
    <t>Гидравлика и гидропневмопривод.: Уч. / А.А.Шейпак - 6 изд. - М.:НИЦ ИНФРА-М,2024 - 272 с.(ВО)(П)</t>
  </si>
  <si>
    <t>ГИДРАВЛИКА И ГИДРОПНЕВМОПРИВОД.ОСНОВЫ МЕХАНИКИ ЖИДКОСТИ И ГАЗА, ИЗД.6</t>
  </si>
  <si>
    <t>978-5-16-019380-9</t>
  </si>
  <si>
    <t>23.03.01, 23.03.02, 23.03.03, 23.04.02, 23.05.01, 23.05.02</t>
  </si>
  <si>
    <t>Допущено УМО вузов РФ по образованию в области транспортных машин и транспортно-технологических комплексов в качестве учебника для студентов, обучающихся по направлению подготовки 23.03.02 «Наземные транспортно-технологические комплексы»</t>
  </si>
  <si>
    <t>0617</t>
  </si>
  <si>
    <t>632039.07.01</t>
  </si>
  <si>
    <t>Гидравлика и гидропневмопривод.: Уч. / А.В.Лепешкин - 6 изд. - М.:НИЦ ИНФРА-М,2025 - 446 с.(ВО)(п)</t>
  </si>
  <si>
    <t>ГИДРАВЛИКА И ГИДРОПНЕВМОПРИВОД. ГИДРАВЛИЧЕСКИЕ МАШИНЫ И ГИДРОПНЕВМОПРИВОД, ИЗД.6</t>
  </si>
  <si>
    <t>Лепешкин А.В., Михайлин А.А., Шейпак А.А.</t>
  </si>
  <si>
    <t>978-5-16-019817-0</t>
  </si>
  <si>
    <t>15.03.05, 23.03.02, 23.03.03, 23.04.02, 23.05.01, 23.05.02, 35.03.02, 35.03.06</t>
  </si>
  <si>
    <t>309600.03.01</t>
  </si>
  <si>
    <t>Гидравлика, гидрология, гидрометрия вод.: Уч. пос./В.Т.Парахневич-М:ИНФРА-М;Мн:Нов. знан.,2023-368с</t>
  </si>
  <si>
    <t>ГИДРАВЛИКА, ГИДРОЛОГИЯ, ГИДРОМЕТРИЯ ВОДОТОКОВ</t>
  </si>
  <si>
    <t>Парахневич В. Т.</t>
  </si>
  <si>
    <t>978-5-16-010308-2</t>
  </si>
  <si>
    <t>Белорусско-Российский университет</t>
  </si>
  <si>
    <t>717646.06.01</t>
  </si>
  <si>
    <t>Гидравлика. Практикум: Уч.пос. / С.Ф.Вольвак - М.:НИЦ ИНФРА-М,2023 - 318 с.-(ВО: Бакалавриат)(П)</t>
  </si>
  <si>
    <t>ГИДРАВЛИКА. ПРАКТИКУМ</t>
  </si>
  <si>
    <t>Вольвак С.Ф.</t>
  </si>
  <si>
    <t>978-5-16-015660-6</t>
  </si>
  <si>
    <t>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</si>
  <si>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 (протокол № 5 от 26.03.2020)</t>
  </si>
  <si>
    <t>Белгородский государственный аграрный университет им. В.Я. Горина</t>
  </si>
  <si>
    <t>288200.07.01</t>
  </si>
  <si>
    <t>Гидравлика: Уч. / А.П.Исаев и др. - М.:НИЦ ИНФРА-М,2025. - 420 с.(ВО)(п)</t>
  </si>
  <si>
    <t>ГИДРАВЛИКА</t>
  </si>
  <si>
    <t>Исаев А.П., Кожевникова Н.Г., Ещин А.В.</t>
  </si>
  <si>
    <t>978-5-16-020617-2</t>
  </si>
  <si>
    <t>Рекомендовано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направлению подготовки 35.03.06 «Агроинженерия»</t>
  </si>
  <si>
    <t>087300.16.01</t>
  </si>
  <si>
    <t>Гидравлика: Уч. / Б.В.Ухин - М.:НИЦ ИНФРА-М,2025 - 432 с.(СПО)(П)</t>
  </si>
  <si>
    <t>Ухин Б. В., Гусев А. А.</t>
  </si>
  <si>
    <t>978-5-16-005536-7</t>
  </si>
  <si>
    <t>08.02.01, 08.02.04, 13.02.05, 20.02.03, 21.02.01, 21.02.03, 24.02.02, 25.02.01, 25.02.02, 26.02.01, 26.02.05, 35.02.17</t>
  </si>
  <si>
    <t>Допущено Федеральным агентством по строительству и жилищно-коммунальному хозяйству в качестве учебника для студентов средних специальных заведений, обучающихся  по специальности 08.02.01 «Строительство и эксплуатация зданий и сооружений»</t>
  </si>
  <si>
    <t>638921.05.01</t>
  </si>
  <si>
    <t>Гидравлика: Уч. / И.И.Сазанов и др. - М.:КУРС,НИЦ ИНФРА-М,2022 - 320 с.(Бакалавр.)(П)</t>
  </si>
  <si>
    <t>Сазанов И.И., Схиртладзе А.Г., Иванов В.И.</t>
  </si>
  <si>
    <t>978-5-906818-77-5</t>
  </si>
  <si>
    <t>15.03.04, 15.03.05</t>
  </si>
  <si>
    <t>Допущен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направлениям подготовки «Конструкторско- технологическое обеспечение машиностроительных производств», «Автоматизация технологических процессов и производств»</t>
  </si>
  <si>
    <t>647313.05.01</t>
  </si>
  <si>
    <t>Гидравлика: Уч.пос. / В.Ф.Юдаев - 2 изд. - М.:НИЦ ИНФРА-М,2025 - 423 с.-(ВО: Бакалавриат)(П)</t>
  </si>
  <si>
    <t>ГИДРАВЛИКА, ИЗД.2</t>
  </si>
  <si>
    <t>Юдаев В.Ф.</t>
  </si>
  <si>
    <t>978-5-16-014497-9</t>
  </si>
  <si>
    <t>16.03.03, 19.03.01, 19.03.02, 20.03.01, 20.03.02</t>
  </si>
  <si>
    <t>Рекомендовано в качестве учебного пособия для студентов высших учебных заведений, обучающихся по направлениям подготовки 19.03.01 «Биотехнология», 19.03.02 «Продукты питания из растительного сырья», 20.03.01 «Техносферная безопасность», 16.03.03 «Холодильная, криогенная техника и системы жизнеобеспечения» (квалификация (степень) «бакалавр»)</t>
  </si>
  <si>
    <t>Московский государственный университет технологий и управления им. К.Г. Разумовского</t>
  </si>
  <si>
    <t>647313.02.01</t>
  </si>
  <si>
    <t>Гидравлика: Уч.пос. / В.Ф.Юдаев - М.:НИЦ ИНФРА-М,2018.-301 с..-(ВО: Бакалавриат)(П)</t>
  </si>
  <si>
    <t>978-5-16-012476-6</t>
  </si>
  <si>
    <t>717645.03.01</t>
  </si>
  <si>
    <t>Гидравлика: Уч.пос. / С.Ф.Вольвак - М.:НИЦ ИНФРА-М,2023 - 438 с.-(ВО: Бакалавриат)(П)</t>
  </si>
  <si>
    <t>978-5-16-015659-0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</si>
  <si>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 (протокол № 5 от 16.03.2020)</t>
  </si>
  <si>
    <t>152400.16.01</t>
  </si>
  <si>
    <t>Гидрогазодинамика: Уч.пос. / А.А.Кудинов - М.:НИЦ ИНФРА-М,2023 - 336 с.-(ВО)(п)</t>
  </si>
  <si>
    <t>ГИДРОГАЗОДИНАМИКА</t>
  </si>
  <si>
    <t>Кудинов А.А.</t>
  </si>
  <si>
    <t>978-5-16-018644-3</t>
  </si>
  <si>
    <t>13.03.01, 13.04.01</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</si>
  <si>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13.03.01 «Теплоэнергетика и теплотехника»</t>
  </si>
  <si>
    <t>657523.09.01</t>
  </si>
  <si>
    <t>Гидрогеология и основы геологии: Уч.пос. / Н.П.Карпенко и др. - М.:НИЦ ИНФРА-М,2025. - 328 с.(ВО)(П)</t>
  </si>
  <si>
    <t>ГИДРОГЕОЛОГИЯ И ОСНОВЫ ГЕОЛОГИИ</t>
  </si>
  <si>
    <t>Карпенко Н.П., Ломакин И.М., Дроздов В.С.</t>
  </si>
  <si>
    <t>978-5-16-018564-4</t>
  </si>
  <si>
    <t>05.03.01, 05.03.06, 08.03.01, 20.03.01, 20.03.02, 21.03.02</t>
  </si>
  <si>
    <t>Рекомендовано Учебно-методическим объединением по образованию в области природообустройства и водопользования в качестве учебного пособия для студентов высших учебных заведений, обучающихся по направлению подготовки «Природообустройство»</t>
  </si>
  <si>
    <t>683617.02.01</t>
  </si>
  <si>
    <t>Гидрогеология месторождений нефти и газа: Уч. / О.И.Серебряков-М.:НИЦ ИНФРА-М,2023-251 с.-(ВО: Магистратура)(П)</t>
  </si>
  <si>
    <t>ГИДРОГЕОЛОГИЯ МЕСТОРОЖДЕНИЙ НЕФТИ И ГАЗА</t>
  </si>
  <si>
    <t>978-5-16-014209-8</t>
  </si>
  <si>
    <t>05.04.01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</si>
  <si>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05.04.01 «Геология» (квалификация (степень) «магистр») (протокол № 8 от 22.06.2020)</t>
  </si>
  <si>
    <t>376600.08.01</t>
  </si>
  <si>
    <t>Гидрогеология нефти и газа: Уч. / О.И.Серебряков и др.-М.:НИЦ ИНФРА-М,2023.-249 с.(П)</t>
  </si>
  <si>
    <t>ГИДРОГЕОЛОГИЯ НЕФТИ И ГАЗА</t>
  </si>
  <si>
    <t>Серебряков О.И., Ушивцева Л.Ф., Смирнова Т.С.</t>
  </si>
  <si>
    <t>978-5-16-018140-0</t>
  </si>
  <si>
    <t>05.00.00, 05.03.01</t>
  </si>
  <si>
    <t>682638.03.01</t>
  </si>
  <si>
    <t>Гидрогеология: Уч. / О.И.Серебряков и др. - М.:НИЦ ИНФРА-М,2023 - 233 с.-(СПО)(П)</t>
  </si>
  <si>
    <t>ГИДРОГЕОЛОГИЯ</t>
  </si>
  <si>
    <t>Серебряков О.И., Ушивцева Л.Ф., Жигульская О.П. и др.</t>
  </si>
  <si>
    <t>978-5-16-014273-9</t>
  </si>
  <si>
    <t>05.02.02, 21.02.09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</si>
  <si>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21.02.00 «Прикладная геология, горное дело, нефтегазовое дело и геодезия» (протокол № 9 от 13.05.2019)</t>
  </si>
  <si>
    <t>215800.12.01</t>
  </si>
  <si>
    <t>Гидрогеоэкология городов: Уч.пос. / М.С.Орлов - М.:НИЦ ИНФРА-М,2024 - 288 с.-(ВО: Магистратура)(П)</t>
  </si>
  <si>
    <t>ГИДРОГЕОЭКОЛОГИЯ ГОРОДОВ</t>
  </si>
  <si>
    <t>Орлов М.С., Питьева К.Е.</t>
  </si>
  <si>
    <t>978-5-16-006050-7</t>
  </si>
  <si>
    <t>Допущено УМО по классическому университетскому образованию в качестве учебного пособия для студентов, обучающихся по направлению подготовки 05.03.01 «Геология»</t>
  </si>
  <si>
    <t>702761.06.01</t>
  </si>
  <si>
    <t>Гидрометеорологическое обесп. судовождения: Уч.мет.пос. / М.И.Сухина - М.:НИЦ ИНФРА-М,2024-283 с.(П)</t>
  </si>
  <si>
    <t>ГИДРОМЕТЕОРОЛОГИЧЕСКОЕ ОБЕСПЕЧЕНИЕ СУДОВОЖДЕНИЯ</t>
  </si>
  <si>
    <t>Сухина М.И., Белокур Г.В., Головко А.В.</t>
  </si>
  <si>
    <t>978-5-16-014948-6</t>
  </si>
  <si>
    <t>26.05.05</t>
  </si>
  <si>
    <t>756449.04.01</t>
  </si>
  <si>
    <t>Гидрометеорологическое обеспеч. судовождения: Уч.мет.пос. / ЧВВМУ им. П.С Нахимова. - М.:НИЦ ИНФРА-М,2025. - 283 с.(П)</t>
  </si>
  <si>
    <t>ЧВВМУ имени П.С Нахимова , Сухина М.И., Белокур Г.В. и др.</t>
  </si>
  <si>
    <t>978-5-16-016892-0</t>
  </si>
  <si>
    <t>05.01.01, 26.02.01, 26.02.03</t>
  </si>
  <si>
    <t>636251.06.01</t>
  </si>
  <si>
    <t>Гидромеханизация открытых горных работ...: Уч.пос. / И.В.Деревяшкин-М.:НИЦ ИНФРА-М,2023-149с.(ВО)(О)</t>
  </si>
  <si>
    <t>ГИДРОМЕХАНИЗАЦИЯ ОТКРЫТЫХ ГОРНЫХ РАБОТ. ГИДРОМОНИТОРНО-ЗЕМЛЕСОСНЫЕ КОМПЛЕКСЫ</t>
  </si>
  <si>
    <t>Деревяшкин И.В., Кононенко Е.А., Демченко А.В.</t>
  </si>
  <si>
    <t>978-5-16-012217-5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</si>
  <si>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21.05.04 «Горное дело» (специализация «Открытые горные работы»)</t>
  </si>
  <si>
    <t>Национальный Исследовательский Технологический Университет "МИСИС"</t>
  </si>
  <si>
    <t>701691.02.01</t>
  </si>
  <si>
    <t>Гидромеханические сист.стационар.и мобил. тех. машин:Уч.пос. /В.С.Сидоренко-М.:НИЦ ИНФРА-М,2023-281с(П)</t>
  </si>
  <si>
    <t>ГИДРОМЕХАНИЧЕСКИЕ СИСТЕМЫ СТАЦИОНАРНЫХ И МОБИЛЬНЫХ ТЕХНОЛОГИЧЕСКИХ МАШИН</t>
  </si>
  <si>
    <t>Сидоренко В.С., Полешкин М.С., Антоненко В.И.</t>
  </si>
  <si>
    <t>978-5-16-014879-3</t>
  </si>
  <si>
    <t>15.04.02, 23.03.03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</si>
  <si>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15.03.00 «Машиностроение» (квалификация (степень) «бакалавр») (протокол № 5 от 11.03.2019)</t>
  </si>
  <si>
    <t>309300.09.01</t>
  </si>
  <si>
    <t>Гидротехнические сооружения: Уч. / М.В.Нестеров - 2 изд. - ИНФРА-М; Мн.: Нов. знание, 2025 - 601с.(ВО)</t>
  </si>
  <si>
    <t>ГИДРОТЕХНИЧЕСКИЕ СООРУЖЕНИЯ, ИЗД.2</t>
  </si>
  <si>
    <t>Нестеров М.В.</t>
  </si>
  <si>
    <t>978-5-16-010306-8</t>
  </si>
  <si>
    <t>08.03.01, 08.04.01, 35.03.08</t>
  </si>
  <si>
    <t>220500.13.01</t>
  </si>
  <si>
    <t>Гимнастика. Методика преподавания: Уч. / В.М.Миронов. - НИЦ ИНФРА-М,2025 - 335 с.(ВО)(П)</t>
  </si>
  <si>
    <t>ГИМНАСТИКА. МЕТОДИКА ПРЕПОДАВАНИЯ</t>
  </si>
  <si>
    <t>Миронов В.М., Рабиль Г.Б., Морозевич-Шилюк Т.А. и др.</t>
  </si>
  <si>
    <t>978-5-16-018540-8</t>
  </si>
  <si>
    <t>49.03.01, 49.04.01, 49.04.03</t>
  </si>
  <si>
    <t>Утверждено Министерством образования Республики Беларусь в качестве учебника для студентов учреждений высшего образования по специальностям физической культуры, спорта и туризма</t>
  </si>
  <si>
    <t>Белорусский государственный университет физической культуры</t>
  </si>
  <si>
    <t>838952.01.01</t>
  </si>
  <si>
    <t>Гинекология. Планир.  семьи...: Уч.мет.пос. на англ. яз. / Е.А.Эйныш. - М.:НИЦ ИНФРА-М, ГомГМУ,2025. - 240 с.(п)</t>
  </si>
  <si>
    <t>ГИНЕКОЛОГИЯ. ПЛАНИРОВАНИЕ СЕМЬИ И РЕПРОДУКТИВНЫЕ ТЕХНОЛОГИИ</t>
  </si>
  <si>
    <t>Эйныш Е.А., Лызикова Ю.А., Корбут И.А. и др.</t>
  </si>
  <si>
    <t>978-5-16-020273-0</t>
  </si>
  <si>
    <t>362400.05.01</t>
  </si>
  <si>
    <t>Гиперсомнии: клиника, диагностика, лечение: уч.пос. / А.В.Захаров и др. - М.:Форум, НИЦ ИНФРА-М,2025. - 56 с.(о)</t>
  </si>
  <si>
    <t>ГИПЕРСОМНИИ: КЛИНИКА, ДИАГНОСТИКА, ЛЕЧЕНИЕ</t>
  </si>
  <si>
    <t>Захаров А.В., Хивинцева Е.В., Повереннова И.Е.</t>
  </si>
  <si>
    <t>978-5-00091-075-7</t>
  </si>
  <si>
    <t>31.08.05</t>
  </si>
  <si>
    <t>Академия права и управления Федеральной службы исполнения наказаний</t>
  </si>
  <si>
    <t>416150.06.01</t>
  </si>
  <si>
    <t>Гипертрофическая кардиомиопатия: патофизиология..: Уч. пос./Ю.Н.Беленков.-М.:Альфа-М, НИЦ ИНФРА-М,2023.-256 с.(П)</t>
  </si>
  <si>
    <t>ГИПЕРТРОФИЧЕСКАЯ КАРДИОМИОПАТИЯ: ПАТОФИЗИОЛОГИЯ, КЛИНИКА И ДИАГНОСТИКА</t>
  </si>
  <si>
    <t>Беленков Ю. Н., Привалова Е. В., Каплунова В. Ю.</t>
  </si>
  <si>
    <t>978-5-98281-334-3</t>
  </si>
  <si>
    <t>Рекомендовано Российской медицинской академией последипломного образования в качестве учебного пособия для студентов медицинских вузов, обучающихся по специальности 060101 «Лечебное дело»</t>
  </si>
  <si>
    <t>Первый Московский государственный медицинский университет им. И.М. Сеченова</t>
  </si>
  <si>
    <t>418050.04.01</t>
  </si>
  <si>
    <t>Гипертрофическая кардиомиопатия: факт. риск..:Уч.пос./ В.Ю.Каплунова-М:Альфа-М:НИЦ ИНФРА-М,2020-160с (п)</t>
  </si>
  <si>
    <t>ГИПЕРТРОФИЧЕСКАЯ КАРДИОМИОПАТИЯ: ФАКТОРЫ РИСКА, ПРОГНОЗ И ВАРИАНТЫ ЛЕЧЕНИЯ</t>
  </si>
  <si>
    <t>Каплунова В. Ю., Привалова Е. В., Беленков Ю. Н.</t>
  </si>
  <si>
    <t>978-5-98281-335-0</t>
  </si>
  <si>
    <t>31.05.01, 32.04.01</t>
  </si>
  <si>
    <t>269800.06.01</t>
  </si>
  <si>
    <t>Гистология и основы эмбриологии:Уч.пос. / Е.М.Ленченко-М.:НИЦ ИНФРА-М,2024.-202 с.(ВО: Бакалавриат)(о)</t>
  </si>
  <si>
    <t>ГИСТОЛОГИЯ И ОСНОВЫ ЭМБРИОЛОГИИ</t>
  </si>
  <si>
    <t>Ленченко Е.М.</t>
  </si>
  <si>
    <t>978-5-16-009638-4</t>
  </si>
  <si>
    <t>Допущено Учебно-методическим объединением вузов России по образованию в области технологии сырья и продуктов животного происхождения в качестве учебного  пособия для подготовки бакалавров направления 36.03.01 (111900) «Ветеринарно-санитарная эксперти</t>
  </si>
  <si>
    <t>205800.13.01</t>
  </si>
  <si>
    <t>Гистология, цитология и эмбриология: Уч.пос. /  Студеникина Т.М. - М.:НИЦ ИНФРА-М,2024 - 574 с.-(ВО)(п)</t>
  </si>
  <si>
    <t>ГИСТОЛОГИЯ, ЦИТОЛОГИЯ И ЭМБРИОЛОГИЯ</t>
  </si>
  <si>
    <t>Студеникина Т. М., Вылегжанина Т. А., Островская Т. И., Стельмах И. А., Студеникина Т. М.</t>
  </si>
  <si>
    <t>978-5-16-019657-2</t>
  </si>
  <si>
    <t>06.03.01, 06.04.01, 30.05.01, 30.05.02, 30.05.03, 31.05.01, 31.05.02, 44.03.01, 44.03.05</t>
  </si>
  <si>
    <t>Допущено Министерством образования Республики Беларусь в качестве учебного пособия для студентов учреждений высшего образования по медицинским специальностям</t>
  </si>
  <si>
    <t>851955.01.01</t>
  </si>
  <si>
    <t>Гистология, цитология, эмбриология: Прак. / И.Л.Кравцова - М.:НИЦ ИНФРА-М, ГомГМУ,2025. - 234 с.(ВО)(п)</t>
  </si>
  <si>
    <t>ГИСТОЛОГИЯ, ЦИТОЛОГИЯ, ЭМБРИОЛОГИЯ</t>
  </si>
  <si>
    <t>Кравцова И.Л., Солодова Е.К., Мальцева Н.Г. и др.</t>
  </si>
  <si>
    <t>978-5-16-020806-0</t>
  </si>
  <si>
    <t>30.05.02, 30.05.03, 31.05.01, 31.05.02, 31.05.03, 32.05.01</t>
  </si>
  <si>
    <t>128330.10.01</t>
  </si>
  <si>
    <t>Глава государства. Сравнит.-прав. исслед.: Моногр. / В.Е.Чиркин - 2 изд. - Норма: ИНФРА-М, 2025 - 240 с.(о)</t>
  </si>
  <si>
    <t>ГЛАВА ГОСУДАРСТВА. СРАВНИТЕЛЬНО-ПРАВОВОЕ ИССЛЕДОВАНИЕ, ИЗД.2</t>
  </si>
  <si>
    <t>Чиркин В. Е.</t>
  </si>
  <si>
    <t>978-5-91768-453-6</t>
  </si>
  <si>
    <t>38.03.04, 40.03.01, 40.04.01</t>
  </si>
  <si>
    <t>763770.04.01</t>
  </si>
  <si>
    <t>Глобальная среда бизнеса: Уч. / Под ред. Клочко О.А. - М.:НИЦ ИНФРА-М,2025 - 438 с.(ВО: Бакалавр.)(П)</t>
  </si>
  <si>
    <t>ГЛОБАЛЬНАЯ СРЕДА БИЗНЕСА</t>
  </si>
  <si>
    <t>Бирюкова О.В., Бондаренко К.А., Гальченко Е.А. и др.</t>
  </si>
  <si>
    <t>978-5-16-017177-7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</si>
  <si>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9 от 17.11.2021)</t>
  </si>
  <si>
    <t>805690.01.01</t>
  </si>
  <si>
    <t>Глобальная энергетич. пробл. и мир. энерг. комплекс...: Уч.пос. / А.Н.Захаров-М.:НИЦ ИНФРА-М,2024.-387 с.(ВО)(п)</t>
  </si>
  <si>
    <t>ГЛОБАЛЬНАЯ ЭНЕРГЕТИЧЕСКАЯ ПРОБЛЕМА И МИРОВОЙ ЭНЕРГЕТИЧЕСКИЙ КОМПЛЕКС (РОССИЯ, США, ЕВРОПА, КИТАЙ)</t>
  </si>
  <si>
    <t>Захаров А.Н., Аникина Е.М., Захаров А.Н.</t>
  </si>
  <si>
    <t>978-5-16-018944-4</t>
  </si>
  <si>
    <t>38.03.01, 38.04.01, 38.05.01, 41.03.01, 41.04.01, 41.04.05</t>
  </si>
  <si>
    <t>632105.04.01</t>
  </si>
  <si>
    <t>Глобальные институты регулирования: Уч. / Под ред. Зуева В.Н.-М.:Магистр, НИЦ ИНФРА-М,2023.-576с.(П)</t>
  </si>
  <si>
    <t>ГЛОБАЛЬНЫЕ ИНСТИТУТЫ РЕГУЛИРОВАНИЯ</t>
  </si>
  <si>
    <t>Зуев В.Н.</t>
  </si>
  <si>
    <t>978-5-9776-0423-9</t>
  </si>
  <si>
    <t>320500.08.01</t>
  </si>
  <si>
    <t>Глобальные модели развития человечества: Уч.пос./Г.В.Осипов и др.-М.:Юр.Норма,НИЦ ИНФРА-М,2024-256с.(п)</t>
  </si>
  <si>
    <t>ГЛОБАЛЬНЫЕ МОДЕЛИ РАЗВИТИЯ ЧЕЛОВЕЧЕСТВА</t>
  </si>
  <si>
    <t>Осипов Г.В., Лисичкин В.А., Садовничий В.А.</t>
  </si>
  <si>
    <t>Социальные науки и математика</t>
  </si>
  <si>
    <t>978-5-91768-557-1</t>
  </si>
  <si>
    <t>06.04.01, 38.03.01, 41.04.05, 47.04.02</t>
  </si>
  <si>
    <t>445600.11.01</t>
  </si>
  <si>
    <t>Говорите языком схем: Краткий справ ./ В.Б.Исаков - 2 изд. - М.:Юр.Норма, НИЦ ИНФРА-М,2025 - 216 с.(О)</t>
  </si>
  <si>
    <t>ГОВОРИТЕ ЯЗЫКОМ СХЕМ, ИЗД.2</t>
  </si>
  <si>
    <t>Исаков В.Б.</t>
  </si>
  <si>
    <t>978-5-00156-230-6</t>
  </si>
  <si>
    <t>445600.07.01</t>
  </si>
  <si>
    <t>Говорите языком схем: Краткий справочник / В.Б.Исаков - М.:Юр.Норма, НИЦ ИНФРА-М,2021.-144 с.(О)</t>
  </si>
  <si>
    <t>ГОВОРИТЕ ЯЗЫКОМ СХЕМ</t>
  </si>
  <si>
    <t>978-5-91768-665-3</t>
  </si>
  <si>
    <t>254500.07.01</t>
  </si>
  <si>
    <t>Горение органического топлива: Уч.пос. / А.А.Кудинов-М.:НИЦ ИНФРА-М,2023.-390 с.(ВО: Бакалавр.)(П)</t>
  </si>
  <si>
    <t>ГОРЕНИЕ ОРГАНИЧЕСКОГО ТОПЛИВА</t>
  </si>
  <si>
    <t>978-5-16-009439-7</t>
  </si>
  <si>
    <t>13.03.01, 13.03.03, 13.04.01, 13.04.03</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</si>
  <si>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бакалавров 13.03.01 «Теплоэнергетика и теплотехника»</t>
  </si>
  <si>
    <t>645911.07.01</t>
  </si>
  <si>
    <t>Горное право: Уч. / А.В.Лагуткин - М.:НИЦ ИНФРА-М,2023 - 268 с.-(ВО)(П)</t>
  </si>
  <si>
    <t>ГОРНОЕ ПРАВО</t>
  </si>
  <si>
    <t>Лагуткин А.В.</t>
  </si>
  <si>
    <t>978-5-16-018448-7</t>
  </si>
  <si>
    <t>672148.05.01</t>
  </si>
  <si>
    <t>Горные машины карьеров: Уч.пос. /И.И.Демченко - М.:НИЦ ИНФРА-М, СФУ,2024 - 250 с(ВО:Спец. (СФУ))(П)</t>
  </si>
  <si>
    <t>ГОРНЫЕ МАШИНЫ КАРЬЕРОВ</t>
  </si>
  <si>
    <t>Демченко И.И., Плотников И.С.</t>
  </si>
  <si>
    <t>978-5-16-016662-9</t>
  </si>
  <si>
    <t>21.05.04, 21.05.06</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</si>
  <si>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направлениям подготовки (специальностям) «Горное дело» и «Физические процессы горного или нефтегазового производства»</t>
  </si>
  <si>
    <t>094690.05.01</t>
  </si>
  <si>
    <t>Господство: Очерки политической философии: Моногр. /И.А.Исаев -М.:НОРМА,НИЦ ИНФРА-М,2017-352с(О,к/ф)</t>
  </si>
  <si>
    <t>ГОСПОДСТВО: ОЧЕРКИ ПОЛИТИЧЕСКОЙ ФИЛОСОФИИ</t>
  </si>
  <si>
    <t>Исаев И. А.</t>
  </si>
  <si>
    <t>978-5-468-00201-8</t>
  </si>
  <si>
    <t>41.04.04, 47.03.01, 47.04.01</t>
  </si>
  <si>
    <t>735065.05.01</t>
  </si>
  <si>
    <t>Гостеприимство и сервис в индустрии пит.: Уч.пос. / Л.Н.Рождественская - М.:НИЦ ИНФРА-М,2024 -179с(СПО)(П)</t>
  </si>
  <si>
    <t>ГОСТЕПРИИМСТВО И СЕРВИС В ИНДУСТРИИ ПИТАНИЯ</t>
  </si>
  <si>
    <t>Рождественская Л.Н., Главчева С.И., Чередниченко Л.Е.</t>
  </si>
  <si>
    <t>978-5-16-016163-1</t>
  </si>
  <si>
    <t>19.02.10, 43.02.01, 43.02.11, 43.02.15, 43.02.16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</si>
  <si>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43.02.11 «Гостиничный сервис», 43.02.01 «Организация обслуживания в общественном питании» (протокол № 6 от 06.04.2020)</t>
  </si>
  <si>
    <t>721073.04.01</t>
  </si>
  <si>
    <t>Гостеприимство и сервис в индустрии питания: Уч.пос. / Л.Н.Рождественская - М.:НИЦ ИНФРА-М,2025 - 183 с.(ВО)(П)</t>
  </si>
  <si>
    <t>978-5-16-015814-3</t>
  </si>
  <si>
    <t>19.03.04, 38.03.02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</si>
  <si>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19.03.04 «Технология продукции и организация общественного питания», 38.03.02 «Менеджмент» (квалификация (степень) «бакалавр») (протокол № 15 от 14.10.2019)</t>
  </si>
  <si>
    <t>817385.01.01</t>
  </si>
  <si>
    <t>Гостиничное дело: англ. яз. в проф сфере.: Уч.пос. / Д.А.Миронова - М.:НИЦ ИНФРА-М,2025. - 199 с.(ВО)(п)</t>
  </si>
  <si>
    <t>ГОСТИНИЧНОЕ ДЕЛО: АНГЛИЙСКИЙ ЯЗЫК В ПРОФЕССИОНАЛЬНОЙ СФЕРЕ. PROFESSIONAL ENGLISH IN HOSPITALITY INDUSTRY</t>
  </si>
  <si>
    <t>Миронова Д.А., Калашникова Н.А., Малыхина И.А. и др.</t>
  </si>
  <si>
    <t>978-5-16-019472-1</t>
  </si>
  <si>
    <t>43.03.03</t>
  </si>
  <si>
    <t>654596.05.01</t>
  </si>
  <si>
    <t>Гостиничное дело: Сл. / Под ред. Морозовой Н.С. - М.:НИЦ ИНФРА-М,2023 - 247 с.(Б-ка сл. ИНФРА-М)(П)</t>
  </si>
  <si>
    <t>ГОСТИНИЧНОЕ ДЕЛО</t>
  </si>
  <si>
    <t>Морозова Н.С., Морозов М.М., Маврина Н.Ф. и др.</t>
  </si>
  <si>
    <t>Библиотека словарей ИНФРА-М</t>
  </si>
  <si>
    <t>978-5-16-014764-2</t>
  </si>
  <si>
    <t>Словарь</t>
  </si>
  <si>
    <t>43.03.03, 43.04.02, 43.04.03</t>
  </si>
  <si>
    <t>682855.01.01</t>
  </si>
  <si>
    <t>Гостиничный менеджмент: Уч. пос. / Н.В.Дмитриева и др., - 2 изд.-М.:НИЦ ИНФРА-М,2024.-326 с.(СПО)(п)</t>
  </si>
  <si>
    <t>ГОСТИНИЧНЫЙ МЕНЕДЖМЕНТ, ИЗД.2</t>
  </si>
  <si>
    <t>Дмитриева Н.В., Зайцева Н.А., Огнева С.В. и др.</t>
  </si>
  <si>
    <t>978-5-16-015905-8</t>
  </si>
  <si>
    <t>300400.12.01</t>
  </si>
  <si>
    <t>Гостиничный менеджмент: Уч.пос. / Под ред. Зайцевой Н.А. - 2 изд.-М.:НИЦ ИНФРА-М,2024.-326 с.(ВО)(П)</t>
  </si>
  <si>
    <t>Дмитриева Н.В., Зайцева Н.А., Огнева Е.А. и др.</t>
  </si>
  <si>
    <t>978-5-16-019372-4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</si>
  <si>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5 от 16.03.2020)</t>
  </si>
  <si>
    <t>300400.08.01</t>
  </si>
  <si>
    <t>Гостиничный менеджмент: Уч.пос. / Под ред. Зайцевой Н.А. - М.:НИЦ ИНФРА-М,2022 - 352 с.(П)</t>
  </si>
  <si>
    <t>ГОСТИНИЧНЫЙ МЕНЕДЖМЕНТ</t>
  </si>
  <si>
    <t>978-5-16-016041-2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</si>
  <si>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(регистрационный номер рецензии 329 от 02.07.2014 (ФГАУ ФИРО))</t>
  </si>
  <si>
    <t>219600.10.01</t>
  </si>
  <si>
    <t>Гостиничный сервис: Уч. / Н.Г.Можаева - 2 изд.- М.:НИЦ ИНФРА-М,2024 - 242 с.-(СПО)(П)</t>
  </si>
  <si>
    <t>ГОСТИНИЧНЫЙ СЕРВИС, ИЗД.2</t>
  </si>
  <si>
    <t>Можаева Н.Г., Рыбачек Г.В.</t>
  </si>
  <si>
    <t>978-5-16-015561-6</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</si>
  <si>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учебника для студентов средних профессиональных учебных заведений, обучающихся по специальности 43.02.11 «Гостиничный сервис»</t>
  </si>
  <si>
    <t>219600.04.01</t>
  </si>
  <si>
    <t>Гостиничный сервис: Уч. / Н.Г.Можаева - М.:Альфа-М, НИЦ ИНФРА-М,2018-240с.(ПРОФИль)(п)</t>
  </si>
  <si>
    <t>ГОСТИНИЧНЫЙ СЕРВИС</t>
  </si>
  <si>
    <t>Можаева Н. Г., Рыбачек Г. В.</t>
  </si>
  <si>
    <t>978-5-98281-357-2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</si>
  <si>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средних учебных заведений, обучающихся по специальности 101101 "Гостиничный сервис"</t>
  </si>
  <si>
    <t>651768.10.01</t>
  </si>
  <si>
    <t>Государственная антикоррупц.политика: Уч. / Под ред. Абрамова Р.А. - М.:НИЦ ИНФРА-М,2025 - 429 с.(ВО)(П)</t>
  </si>
  <si>
    <t>ГОСУДАРСТВЕННАЯ АНТИКОРРУПЦИОННАЯ ПОЛИТИКА</t>
  </si>
  <si>
    <t>Абрамов Р.А., Мухаев Р.Т., Жигун Л.А. и др.</t>
  </si>
  <si>
    <t>978-5-16-018435-7</t>
  </si>
  <si>
    <t>38.03.01, 38.03.04, 38.04.09, 41.03.04, 41.03.06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</si>
  <si>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(квалификация (степень) «бакалавр»)</t>
  </si>
  <si>
    <t>745647.03.01</t>
  </si>
  <si>
    <t>Государственная антикоррупционная политика: Уч. / Под ред. Абрамов Р.А.-М.:НИЦ ИНФРА-М,2021.-429 с..-(П)</t>
  </si>
  <si>
    <t>978-5-16-016539-4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</si>
  <si>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38.05.00 «Экономика и управление», 40.05.00 «Юриспруденция»  (протокол № 8 от 22.06.2020)</t>
  </si>
  <si>
    <t>645327.05.01</t>
  </si>
  <si>
    <t>Государственная и муниципальная служба: Уч. / Ю.П.Кузякин - М.:НИЦ ИНФРА-М,2023 - 284 с.(ВО)(П)</t>
  </si>
  <si>
    <t>ГОСУДАРСТВЕННАЯ И МУНИЦИПАЛЬНАЯ СЛУЖБА</t>
  </si>
  <si>
    <t>Кузякин Ю.П., Ермоленко А.А.</t>
  </si>
  <si>
    <t>978-5-16-018444-9</t>
  </si>
  <si>
    <t>38.03.04, 38.04.04, 40.03.01, 40.04.01, 40.05.02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</si>
  <si>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40.03.01 «Юриспруденция» (квалификация (степень) бакалавр») (протокол  № 12 от 24.06.2019)</t>
  </si>
  <si>
    <t>Московский государственный университет им. М.В. Ломоносова, факультет государственного управления</t>
  </si>
  <si>
    <t>332100.09.01</t>
  </si>
  <si>
    <t>Государственная служба и служеб. право: Уч.пос. / Ю.Н.Старилов - 2 изд. - М.:Юр.НОРМА, НИЦ ИНФРА-М,2025. - 448 с.(п)</t>
  </si>
  <si>
    <t>ГОСУДАРСТВЕННАЯ СЛУЖБА И СЛУЖЕБНОЕ ПРАВО, ИЗД.2</t>
  </si>
  <si>
    <t>Старилов Ю. Н.</t>
  </si>
  <si>
    <t>978-5-00156-285-6</t>
  </si>
  <si>
    <t>38.03.04, 40.03.01, 40.05.01, 40.05.02, 40.05.03, 40.05.04, 44.03.05, 46.03.02</t>
  </si>
  <si>
    <t>332100.06.01</t>
  </si>
  <si>
    <t>Государственная служба и служеб.право: Уч.пос. /Ю.Н.Старилов -М.:Юр.Норма,НИЦ ИНФРА-М,2018-240с(о)</t>
  </si>
  <si>
    <t>ГОСУДАРСТВЕННАЯ СЛУЖБА И СЛУЖЕБНОЕ ПРАВО</t>
  </si>
  <si>
    <t>978-5-91768-701-8</t>
  </si>
  <si>
    <t>817781.01.01</t>
  </si>
  <si>
    <t>Государственная служба РФ: Уч. / Ю.Н.Овсянников - М.:НИЦ ИНФРА-М,2024. - 284 с.(ВО)(п)</t>
  </si>
  <si>
    <t>ГОСУДАРСТВЕННАЯ СЛУЖБА РОССИЙСКОЙ ФЕДЕРАЦИИ</t>
  </si>
  <si>
    <t>Овсянников Ю.Н.</t>
  </si>
  <si>
    <t>978-5-16-019502-5</t>
  </si>
  <si>
    <t>10.05.04, 38.03.04, 40.03.01, 40.04.01, 40.05.01, 40.05.02, 40.05.04, 41.03.06, 44.04.04</t>
  </si>
  <si>
    <t>419950.07.01</t>
  </si>
  <si>
    <t>Государственная служба:основные этапы развития как..: Уч.пос. / С.Ю.Кабашов-М.:НИЦ ИНФРА-М,2024-286с(п)</t>
  </si>
  <si>
    <t>ГОСУДАРСТВЕННАЯ СЛУЖБА: ОСНОВНЫЕ ЭТАПЫ РАЗВИТИЯ КАК НАУКИ И ПРОФЕССИИ ОТ ДРЕВНЕГО МИРА ДО НАЧАЛА XX ВЕКА</t>
  </si>
  <si>
    <t>Кабашов С. Ю.</t>
  </si>
  <si>
    <t>978-5-16-019161-4</t>
  </si>
  <si>
    <t>38.03.04, 38.04.04</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</si>
  <si>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38.03.04 «Государственное и муниципальное управление» (квалификация «бакалавр»)</t>
  </si>
  <si>
    <t>337000.03.01</t>
  </si>
  <si>
    <t>Государственная фин.поддержка АПК..: Моногр. / М.Р.Пинская-М.:НИЦ ИНФРА-М,2018-178с.(Науч.мысль)(о)</t>
  </si>
  <si>
    <t>ГОСУДАРСТВЕННАЯ ФИНАНСОВАЯ ПОДДЕРЖКА АПК: НАЛОГОВЫЕ И БЮДЖЕТНЫЕ ИНСТРУМЕНТЫ</t>
  </si>
  <si>
    <t>Пинская М.Р., Тихонова А.В.</t>
  </si>
  <si>
    <t>978-5-16-011856-7</t>
  </si>
  <si>
    <t>35.03.04, 35.03.05, 35.03.07, 35.04.04, 35.04.05, 35.06.01, 38.04.01, 38.04.02, 38.04.04, 38.04.08, 38.06.01</t>
  </si>
  <si>
    <t>747875.05.01</t>
  </si>
  <si>
    <t>Государственное и муниципальное упр.: Уч. / Р.Т.Мухаев - М.:НИЦ ИНФРА-М,2024 - 468 с.(ВО: Бакалавр.)(П)</t>
  </si>
  <si>
    <t>ГОСУДАРСТВЕННОЕ И МУНИЦИПАЛЬНОЕ УПРАВЛЕНИЕ</t>
  </si>
  <si>
    <t>Мухаев Р.Т., Абрамов Р.А.</t>
  </si>
  <si>
    <t>978-5-16-016727-5</t>
  </si>
  <si>
    <t>38.03.02, 38.03.04, 38.04.04, 44.03.05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</si>
  <si>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41.03.04 «Политология», 38.03.02 «Менеджмент» (квалификация (степень) «бакалавр») (протокол № 3 от 17.03.2021)</t>
  </si>
  <si>
    <t>747875.06.01</t>
  </si>
  <si>
    <t>Государственное и муниципальное управ.: Уч. / Р.Т.Мухаев, - 2 изд.-М.:НИЦ ИНФРА-М,2024.-477 с.(ВО (РЭУ))(п)</t>
  </si>
  <si>
    <t>ГОСУДАРСТВЕННОЕ И МУНИЦИПАЛЬНОЕ УПРАВЛЕНИЕ, ИЗД.2</t>
  </si>
  <si>
    <t>978-5-16-019518-6</t>
  </si>
  <si>
    <t>237800.06.01</t>
  </si>
  <si>
    <t>Государственное и муниципальное управление: Уч. / Под ред. Захарова Н.И.-М.:НИЦ ИНФРА-М,2024-289 с.(ВО)(п)</t>
  </si>
  <si>
    <t>Попов В.Д., Есин В.А., Шитова Ю.Ю. и др.</t>
  </si>
  <si>
    <t>978-5-16-019479-0</t>
  </si>
  <si>
    <t>38.03.04, 38.04.04, 44.03.05</t>
  </si>
  <si>
    <t>Допущено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t>
  </si>
  <si>
    <t>186400.13.01</t>
  </si>
  <si>
    <t>Государственное регулир. нац. экономики: Уч.пос. /Д.С.Петросян - М.:НИЦ ИНФРА-М, 2025 - 300 с.(ВО:Магистр.)</t>
  </si>
  <si>
    <t>ГОСУДАРСТВЕННОЕ РЕГУЛИРОВАНИЕ НАЦИОНАЛЬНОЙ ЭКОНОМИКИ.НОВЫЕ НАПРАВЛЕНИЯ ТЕОРИИ: ГУМАНИСТИЧЕСКИЙ ПОДХОД</t>
  </si>
  <si>
    <t>Петросян Д.С.</t>
  </si>
  <si>
    <t>978-5-16-012790-3</t>
  </si>
  <si>
    <t>38.03.01, 38.04.01, 38.04.08, 44.03.01</t>
  </si>
  <si>
    <t>Рекомендовано в качестве учебного пособия для студентов высших учебных заведений, обучающихся по направлениям подготовки 38.03.01 «Экономика» и 38.03.02 «Менеджмент» (квалификация (степень) «магистр»)</t>
  </si>
  <si>
    <t>Институт региональных экономических исследований</t>
  </si>
  <si>
    <t>833162.01.01</t>
  </si>
  <si>
    <t>Государственное регулир. торговой деят.: Уч.пос. / Л.И.Дмитриченко - М.:НИЦ ИНФРА-М,2025. - 174 с.(ВО)(п)</t>
  </si>
  <si>
    <t>ГОСУДАРСТВЕННОЕ РЕГУЛИРОВАНИЕ ТОРГОВОЙ ДЕЯТЕЛЬНОСТИ</t>
  </si>
  <si>
    <t>Дмитриченко Л.И., Дмитриченко Л.А., Головинов О.Н.</t>
  </si>
  <si>
    <t>978-5-16-020107-8</t>
  </si>
  <si>
    <t>38.04.06, 38.04.07</t>
  </si>
  <si>
    <t>Донецкий Государственный Университет</t>
  </si>
  <si>
    <t>212400.09.01</t>
  </si>
  <si>
    <t>Государственное регулир. экономики: Уч. / И.С.Цыпин - М.:НИЦ ИНФРА-М,2025 - 296 с.(ВО)(П)</t>
  </si>
  <si>
    <t>ГОСУДАРСТВЕННОЕ РЕГУЛИРОВАНИЕ ЭКОНОМИКИ</t>
  </si>
  <si>
    <t>Цыпин И.С., Веснин В.Р.</t>
  </si>
  <si>
    <t>978-5-16-018816-4</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</si>
  <si>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направлений подготовки 38.03.02 «Менеджмент», 38.03.04 «Государственное и муниципальное управление» (квалификация (степень) «бакалавр»)</t>
  </si>
  <si>
    <t>670831.04.01</t>
  </si>
  <si>
    <t>Государственное регулирование цен (тарифов) в РФ: Уч.пос. / С.Н.Зайкова -М.:НИЦ ИНФРА-М,2024-247с(П)</t>
  </si>
  <si>
    <t>ГОСУДАРСТВЕННОЕ РЕГУЛИРОВАНИЕ ЦЕН (ТАРИФОВ) В РОССИЙСКОЙ ФЕДЕРАЦИИ: АДМИНИСТРАТИВНО-ПРАВОВОЙ АСПЕКТ</t>
  </si>
  <si>
    <t>978-5-16-014046-9</t>
  </si>
  <si>
    <t>38.03.01, 38.03.04, 40.03.01, 40.04.01, 44.03.01, 44.03.05, 46.03.02</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</si>
  <si>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t>
  </si>
  <si>
    <t>060550.15.01</t>
  </si>
  <si>
    <t>Государственное упр. эконом.и соц. процес.: Уч.пос. / Б.А.Райзберг - НИЦ ИНФРА-М,2025 - 384 с.(ВО)(п)</t>
  </si>
  <si>
    <t>ГОСУДАРСТВЕННОЕ УПРАВЛЕНИЕ ЭКОНОМИЧЕСКИМИ И СОЦИАЛЬНЫМИ ПРОЦЕССАМИ</t>
  </si>
  <si>
    <t>Райзберг Б. А.</t>
  </si>
  <si>
    <t>978-5-16-018766-2</t>
  </si>
  <si>
    <t>38.03.01, 38.03.02, 38.03.04, 38.04.01, 38.04.02, 38.04.04</t>
  </si>
  <si>
    <t>Рекомендовано в качестве учебного пособия для студентов высших учебных заведений обучающихся по направлению подготовки 38.03.01 «Экономика»,(квалификация (степень) «бакалавр»)</t>
  </si>
  <si>
    <t>Московская Школа Экономики</t>
  </si>
  <si>
    <t>293700.07.01</t>
  </si>
  <si>
    <t>Государственное управление: англ..: Уч.пос. / Под ред. Минаевой Л.В. - 2изд.-М.:НИЦ ИНФРА-М,2024-230с.(П)</t>
  </si>
  <si>
    <t>ГОСУДАРСТВЕННОЕ УПРАВЛЕНИЕ: АНГЛИЙСКИЙ ДЛЯ АКАДЕМИЧЕСКИХ ЦЕЛЕЙ, ИЗД.2</t>
  </si>
  <si>
    <t>Бондарева Л.В., Валентей Т.В., Зимина С.В. и др.</t>
  </si>
  <si>
    <t>978-5-16-020409-3</t>
  </si>
  <si>
    <t>154400.08.01</t>
  </si>
  <si>
    <t>Государственное устр-во федераций в сост. Европ. союза: Уч. пос. / И.В.Лексин - ИД ФОРУМ, 2025 - 272 с.(п)</t>
  </si>
  <si>
    <t>ГОСУДАРСТВЕННОЕ УСТРОЙСТВО ФЕДЕРАЦИЙ В СОСТАВЕ ЕВРОПЕЙСКОГО СОЮЗА</t>
  </si>
  <si>
    <t>Лексин И. В.</t>
  </si>
  <si>
    <t>978-5-8199-0476-3</t>
  </si>
  <si>
    <t>38.03.04, 40.03.01, 40.04.01, 44.03.05</t>
  </si>
  <si>
    <t>Рекомендовано Ученым советом факультета государственного управления МГУ им. М. В. Ломоносова в качестве учебного пособия для студентов управленческих специальностей вузов</t>
  </si>
  <si>
    <t>042350.26.01</t>
  </si>
  <si>
    <t>Государственные и муниц. финансы: Уч. / И.Н.Мысляева, - 5 изд. - М.:НИЦ ИНФРА-М,2025. - 445 с.(ВО)(п)</t>
  </si>
  <si>
    <t>ГОСУДАРСТВЕННЫЕ И МУНИЦИПАЛЬНЫЕ ФИНАНСЫ, ИЗД.5</t>
  </si>
  <si>
    <t>Мысляева И.Н.</t>
  </si>
  <si>
    <t>978-5-16-014140-4</t>
  </si>
  <si>
    <t>23.03.01, 25.04.03, 38.03.01, 38.03.04, 38.04.01, 38.04.04, 38.04.08, 38.04.09, 44.03.05</t>
  </si>
  <si>
    <t>Допущено Министерством образования Российской Федерации в качестве учебника образовательных организаций высшего образования по направлению подготовки 38.03.04 «Государственное и муниципальное управление» (квалификация (степень) «бакалавр»)</t>
  </si>
  <si>
    <t>732719.02.01</t>
  </si>
  <si>
    <t>Государственные и муниц. финансы: Уч. / Н.Н.Семенова - 2 изд.-М.:ИЦ РИОР, НИЦ ИНФРА-М,2024.-344 с.(ВО)(п)</t>
  </si>
  <si>
    <t>ГОСУДАРСТВЕННЫЕ И МУНИЦИПАЛЬНЫЕ ФИНАНСЫ, ИЗД.2</t>
  </si>
  <si>
    <t>Семенова Н.Н., Артемьева С.С., Бусалова С.Г. и др.</t>
  </si>
  <si>
    <t>978-5-369-01962-7</t>
  </si>
  <si>
    <t>38.03.01, 38.03.02, 38.04.01, 38.04.02, 38.04.06, 38.04.08, 44.03.05</t>
  </si>
  <si>
    <t>732719.01.01</t>
  </si>
  <si>
    <t>Государственные и муниц. финансы: Уч. / Н.Н.Семенова.-М.:ИЦ РИОР, НИЦ ИНФРА-М,2020.-345 с.(ВО)(П)</t>
  </si>
  <si>
    <t>ГОСУДАРСТВЕННЫЕ И МУНИЦИПАЛЬНЫЕ ФИНАНСЫ</t>
  </si>
  <si>
    <t>978-5-369-01853-8</t>
  </si>
  <si>
    <t>668487.01.01</t>
  </si>
  <si>
    <t>Государственные и муниципальные закупки: Уч.пос.: В 2 ч. Ч.2 / В.В.Мельников-М.:НИЦ ИНФРА-М,2022-169с(П)</t>
  </si>
  <si>
    <t>ГОСУДАРСТВЕННЫЕ И МУНИЦИПАЛЬНЫЕ ЗАКУПКИ: В 2 ЧАСТЯХ, Т.2</t>
  </si>
  <si>
    <t>Мельников В.В.</t>
  </si>
  <si>
    <t>978-5-16-016318-5</t>
  </si>
  <si>
    <t>38.04.01, 38.04.02, 38.04.04, 38.04.06, 56.05.01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</si>
  <si>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38.04.09 «Государственный аудит», 40.04.01 «Юриспруденция» (квалификация (степень) «магистр») (протокол № 1 от 12.01.2022)</t>
  </si>
  <si>
    <t>657954.06.01</t>
  </si>
  <si>
    <t>Государственные и муниципальные закупки: Уч.пос.: В 2ч.Ч.1 /В.В.Мельников-М.:НИЦ ИНФРА-М,2023-165(П)</t>
  </si>
  <si>
    <t>ГОСУДАРСТВЕННЫЕ И МУНИЦИПАЛЬНЫЕ ЗАКУПКИ</t>
  </si>
  <si>
    <t>978-5-16-013265-5</t>
  </si>
  <si>
    <t>38.04.01, 38.04.04, 38.04.09, 40.04.01, 40.05.01, 40.05.02, 40.05.03, 40.05.04, 44.03.01</t>
  </si>
  <si>
    <t>Рекомендовано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38.04.09 «Государственный аудит», 40.04.01 «Юриспруденция» (квалификация (степень) «магистр»)</t>
  </si>
  <si>
    <t>042350.21.01</t>
  </si>
  <si>
    <t>Государственные и муниципальные финансы: Уч. / И.Н.Мысляева - 4 изд. - М.:НИЦ ИНФРА-М,2018-444с.(ВО)</t>
  </si>
  <si>
    <t>ГОСУДАРСТВЕННЫЕ И МУНИЦИПАЛЬНЫЕ ФИНАНСЫ, ИЗД.4</t>
  </si>
  <si>
    <t>978-5-16-010681-6</t>
  </si>
  <si>
    <t>0417</t>
  </si>
  <si>
    <t>712992.03.01</t>
  </si>
  <si>
    <t>Государственные и муниципальные финансы: Уч. / И.Н.Мысляева - 5 изд. - М.:НИЦ ИНФРА-М,2024 - 445 с.(СПО)(п)</t>
  </si>
  <si>
    <t>978-5-16-015383-4</t>
  </si>
  <si>
    <t>21.02.19, 38.02.01, 38.02.02, 38.02.03, 38.02.06, 38.02.07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</si>
  <si>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38.02.06 «Финансы» (протокол № 17 от 11.11.2019)</t>
  </si>
  <si>
    <t>0520</t>
  </si>
  <si>
    <t>694399.04.01</t>
  </si>
  <si>
    <t>Государственные кадастры и кадастровая оценка земель: Уч.пос. / В.В.Слезко - М.:НИЦ ИНФРА-М,2023 - 297 с.(СПО)(П)</t>
  </si>
  <si>
    <t>ГОСУДАРСТВЕННЫЕ КАДАСТРЫ И КАДАСТРОВАЯ ОЦЕНКА ЗЕМЕЛЬ</t>
  </si>
  <si>
    <t>Слезко В.В., Слезко Е.В., Слезко Л.В.</t>
  </si>
  <si>
    <t>978-5-16-015494-7</t>
  </si>
  <si>
    <t>21.02.19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</si>
  <si>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21.02.04 «Землеустройство» , 21.02.05 «Земельно-имущественные отношения» (протокол № 10 от 12.10.2020)</t>
  </si>
  <si>
    <t>343300.05.01</t>
  </si>
  <si>
    <t>Государственные финансы Ренессанса...: Уч.пос. / М.П.Афанасьев -М.:Магистр,НИЦ ИНФРА-М,2023-144с.(П)</t>
  </si>
  <si>
    <t>ГОСУДАРСТВЕННЫЕ ФИНАНСЫ РЕНЕССАНСА: КАРАФА - ОРТИС - БОДЕН</t>
  </si>
  <si>
    <t>Кудрин А.Л., Афанасьев М.П.</t>
  </si>
  <si>
    <t>978-5-9776-0354-6</t>
  </si>
  <si>
    <t>38.03.01, 38.04.01, 38.04.08, 44.03.05</t>
  </si>
  <si>
    <t>Европейский университет в Санкт-Петербурге</t>
  </si>
  <si>
    <t>172200.13.01</t>
  </si>
  <si>
    <t>Государственный PR: связи с общ. для гос. орг.: Уч. / А.Н.Чумиков - 3 изд.-М.:НИЦ ИНФРА,2024-343с(П)</t>
  </si>
  <si>
    <t>ГОСУДАРСТВЕННЫЙ PR: СВЯЗИ С ОБЩЕСТВЕННОСТЬЮ ДЛЯ ГОСУДАРСТВЕННЫХ ОРГАНИЗАЦИЙ И ПРОЕКТОВ, ИЗД.3</t>
  </si>
  <si>
    <t>Чумиков А.Н., Бочаров М.П.</t>
  </si>
  <si>
    <t>978-5-16-020513-7</t>
  </si>
  <si>
    <t>38.03.04, 38.03.06, 38.04.04, 39.03.01, 39.04.01, 41.03.06, 42.03.01, 42.03.02, 42.04.01, 42.04.02</t>
  </si>
  <si>
    <t>Допущено Учебно-методическим объединением по образованию в области международных отношений в качестве учебника для студентов высших учебных заведений, обучающихся по направлению подготовки (специальности) 42.03.01 «Реклама и связи с общественностью»</t>
  </si>
  <si>
    <t>Институт социологии Российской академии наук</t>
  </si>
  <si>
    <t>282700.06.01</t>
  </si>
  <si>
    <t>Государственный и муниципальный долг: Уч.пос. / Л.Б.Мохнаткина - М.:НИЦ ИНФРА-М,2023 - 151с.(ВО:Бакалавр)(о)</t>
  </si>
  <si>
    <t>ГОСУДАРСТВЕННЫЙ И МУНИЦИПАЛЬНЫЙ ДОЛГ</t>
  </si>
  <si>
    <t>Мохнаткина Л. Б.</t>
  </si>
  <si>
    <t>978-5-16-009889-0</t>
  </si>
  <si>
    <t>Рекомендовано Федеральным государственным образовательным бюджетным учреждением высшего профессионального образования «Финансовый университет при Правительстве Российской Федерации» к использованию в образовательных учреждениях</t>
  </si>
  <si>
    <t>797734.01.01</t>
  </si>
  <si>
    <t>Государственный финансовый контроль...: Уч.пос. / А.Н.Козырин.-М.:Юр. НОРМА, НИЦ ИНФРА-М,2023.-216 с.(п)</t>
  </si>
  <si>
    <t>ГОСУДАРСТВЕННЫЙ ФИНАНСОВЫЙ КОНТРОЛЬ: ФЕДЕРАЛЬНЫЕ ИНСТИТУТЫ</t>
  </si>
  <si>
    <t>Козырин А.Н., Ялбулганов А.А., Артюхин Р.Е.</t>
  </si>
  <si>
    <t>978-5-00156-283-2</t>
  </si>
  <si>
    <t>38.04.09, 40.04.01</t>
  </si>
  <si>
    <t>683067.09.01</t>
  </si>
  <si>
    <t>Государство и бизнес: основы взаимодействия: Уч. / М.Е.Косов - М.:НИЦ ИНФРА-М,2024 - 295 с.(ВО)(П)</t>
  </si>
  <si>
    <t>ГОСУДАРСТВО И БИЗНЕС: ОСНОВЫ ВЗАИМОДЕЙСТВИЯ</t>
  </si>
  <si>
    <t>Косов М.Е., Сигарев А.В., Долина О.Н.</t>
  </si>
  <si>
    <t>978-5-16-014927-1</t>
  </si>
  <si>
    <t>38.03.01, 40.03.01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</si>
  <si>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40.03.01 «Юриспруденция», 38.03.02 «Менеджмент» (квалификация (степень) «бакалавр»)</t>
  </si>
  <si>
    <t>446250.08.01</t>
  </si>
  <si>
    <t>Государство и обществ. объед. России в XX-нач.XXI: Уч.пос. / Л.Д.Шаповалова - М:НИЦ ИНФРА-М,2025 - 156 с.(П)</t>
  </si>
  <si>
    <t>ГОСУДАРСТВО И ОБЩЕСТВЕННЫЕ ОБЪЕДИНЕНИЯ РОССИИ В XX - НАЧАЛЕ XXI ВВ.</t>
  </si>
  <si>
    <t>Шаповалова Л. Д.</t>
  </si>
  <si>
    <t>978-5-16-008988-1</t>
  </si>
  <si>
    <t>40.03.01, 44.03.05, 46.03.01, 46.03.02, 46.04.01, 46.04.02</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</si>
  <si>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46.03.02 «Документоведение и архивоведение»</t>
  </si>
  <si>
    <t>235500.10.01</t>
  </si>
  <si>
    <t>Градостроительство. Теория и прак.: Уч. пос. / Г.А.Потаев - М.: Форум:  НИЦ ИНФРА-М, 2023-432, [32]с.:цв.ил.(ВО) (П)</t>
  </si>
  <si>
    <t>ГРАДОСТРОИТЕЛЬСТВО. ТЕОРИЯ И ПРАКТИКА</t>
  </si>
  <si>
    <t>Потаев Г. А.</t>
  </si>
  <si>
    <t>978-5-91134-808-3</t>
  </si>
  <si>
    <t>07.03.01, 07.03.04</t>
  </si>
  <si>
    <t>Рекомендовано в качестве учебного пособия для студентов высших учебных заведений, обучающихся по специальностям «Градостроительство», «Архитектура», «Городское строительство», «Городское и региональное планирование», «Государственное и муниципальное</t>
  </si>
  <si>
    <t>Белорусский национальный технический университет</t>
  </si>
  <si>
    <t>235500.08.01</t>
  </si>
  <si>
    <t>Градостроительство: Уч.пос. / Г.А.Потаев, - 2 изд.-М.:НИЦ ИНФРА-М,2024.-478, [32] с.:цв.ил.(ВО)(п)</t>
  </si>
  <si>
    <t>ГРАДОСТРОИТЕЛЬСТВО, ИЗД.2</t>
  </si>
  <si>
    <t>Потаев Г.А.</t>
  </si>
  <si>
    <t>978-5-16-016730-5</t>
  </si>
  <si>
    <t>Рекомендовано в качестве учебного пособия для студентов, обучающихся по специальностям «Градостроительство», «Архитектура», «Городское строительство», «Городское и региональное планирование», «Государственное и муниципальное управление»</t>
  </si>
  <si>
    <t>295800.07.01</t>
  </si>
  <si>
    <t>Гражданская служба РФ: воп. прав. регулир. в схем. и ком.: Уч. пос. / С.Ю.Кабашов - М:ИНФРА-М,2025 - 156 с.(О)</t>
  </si>
  <si>
    <t>ГРАЖДАНСКАЯ СЛУЖБА РОССИЙСКОЙ ФЕДЕРАЦИИ: ВОПРОСЫ ПРАВОВОГО РЕГУЛИРОВАНИЯ В СХЕМАХ И КОММЕНТАРИЯХ</t>
  </si>
  <si>
    <t>Кабашов С.Ю.</t>
  </si>
  <si>
    <t>978-5-16-010095-1</t>
  </si>
  <si>
    <t>024222.22.01</t>
  </si>
  <si>
    <t>Гражданский процесс / И.В.Решетникова - 8 изд, - М.:Юр.Норма, НИЦ ИНФРА-М,2025 - 272 с.(О)</t>
  </si>
  <si>
    <t>ГРАЖДАНСКИЙ ПРОЦЕСС, ИЗД.8</t>
  </si>
  <si>
    <t>Решетникова И.В., Ярков В.В.</t>
  </si>
  <si>
    <t>Краткие учебные курсы юридических наук</t>
  </si>
  <si>
    <t>978-5-00156-061-6</t>
  </si>
  <si>
    <t>0820</t>
  </si>
  <si>
    <t>024222.14.01</t>
  </si>
  <si>
    <t>Гражданский процесс / И.В.Решетникова, - 7-е изд., перераб.-М.:Юр.Норма, НИЦ ИНФРА-М,2019.-304 с..-(Краткие учебные курсы юридических наук)(О. К</t>
  </si>
  <si>
    <t>ГРАЖДАНСКИЙ ПРОЦЕСС, ИЗД.7</t>
  </si>
  <si>
    <t>978-5-91768-730-8</t>
  </si>
  <si>
    <t>0716</t>
  </si>
  <si>
    <t>645269.08.01</t>
  </si>
  <si>
    <t>Гражданский процесс: Уч. / Д.Н.Алябьев - 6 изд. - М.:НИЦ ИНФРА-М,2025. - 489 с.(ВО)(п)</t>
  </si>
  <si>
    <t>ГРАЖДАНСКИЙ ПРОЦЕСС, ИЗД.6</t>
  </si>
  <si>
    <t>Алябьев Д.Н., Батурина Н.И., Белоножкин А.Ю. и др.</t>
  </si>
  <si>
    <t>978-5-16-019700-5</t>
  </si>
  <si>
    <t>Волгоградский областной суд</t>
  </si>
  <si>
    <t>0625</t>
  </si>
  <si>
    <t>683235.10.01</t>
  </si>
  <si>
    <t>Гражданский процесс: Уч. / И.В.Решетникова - 2 изд. - М.:Юр.Норма, НИЦ ИНФРА-М,2025 - 272 с.(СПО)(П)</t>
  </si>
  <si>
    <t>ГРАЖДАНСКИЙ ПРОЦЕСС, ИЗД.2</t>
  </si>
  <si>
    <t>978-5-00156-145-3</t>
  </si>
  <si>
    <t>683235.02.01</t>
  </si>
  <si>
    <t>Гражданский процесс: Уч. / И.В.Решетникова - М.:Юр.Норма, НИЦ ИНФРА-М,2019 - 304 с.-(СПО)(П)</t>
  </si>
  <si>
    <t>ГРАЖДАНСКИЙ ПРОЦЕСС</t>
  </si>
  <si>
    <t>978-5-91768-924-1</t>
  </si>
  <si>
    <t>707008.05.01</t>
  </si>
  <si>
    <t>Гражданский процесс: Уч. / Под ред. Демичева А.А. - М.:НИЦ ИНФРА-М,2023 - 404 с.-(ВО)</t>
  </si>
  <si>
    <t>Демичев А.А., Грачева О.С., Ильин И.В. и др.</t>
  </si>
  <si>
    <t>978-5-16-018504-0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</si>
  <si>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подготовки 40.00.00 «Юриспруденция» (квалификация и степень «юрист» и «бакалавр») протокол № 18 от 25.11.2019)</t>
  </si>
  <si>
    <t>Нижегородская академия Министерства внутренних дел Российской Федерации</t>
  </si>
  <si>
    <t>747818.01.01</t>
  </si>
  <si>
    <t>Гражданский процесс: Уч. / Под ред. Демичева А.А.-М.:НИЦ ИНФРА-М,2021.-404 с.(СПО)(П)</t>
  </si>
  <si>
    <t>978-5-16-016640-7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</si>
  <si>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8 от 22.06.2020)</t>
  </si>
  <si>
    <t>645269.07.01</t>
  </si>
  <si>
    <t>Гражданский процесс: Уч. / Под ред. Филиппова П.М.- 5 изд.-М.:НИЦ ИНФРА-М,2023-479с(ВО:Бакалавр.)(П)</t>
  </si>
  <si>
    <t>ГРАЖДАНСКИЙ ПРОЦЕСС, ИЗД.5</t>
  </si>
  <si>
    <t>978-5-16-012654-8</t>
  </si>
  <si>
    <t>0517</t>
  </si>
  <si>
    <t>727751.08.01</t>
  </si>
  <si>
    <t>Гражданское право. Общая часть: Уч. / Под ред. Болтановой Е.С. - М.:НИЦ ИНФРА-М,2025 - 515 с.(ВО)(П)</t>
  </si>
  <si>
    <t>ГРАЖДАНСКОЕ ПРАВО. ОБЩАЯ ЧАСТЬ</t>
  </si>
  <si>
    <t>Болтанова Е.С., Багрова Н.В., Баришпольская Т.Ю. и др.</t>
  </si>
  <si>
    <t>978-5-16-018457-9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</si>
  <si>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8 от 22.06.2020)</t>
  </si>
  <si>
    <t>692970.03.01</t>
  </si>
  <si>
    <t>Гражданское право. Особенная часть: Уч. / Е.Н.Романова - М.:ИЦ РИОР,НИЦ ИНФРА-М,2020 - 193 с.(О)</t>
  </si>
  <si>
    <t>ГРАЖДАНСКОЕ ПРАВО. ОСОБЕННАЯ ЧАСТЬ</t>
  </si>
  <si>
    <t>Романова Е.Н., Шаповал О.В.</t>
  </si>
  <si>
    <t>978-5-369-01786-9</t>
  </si>
  <si>
    <t>747879.07.01</t>
  </si>
  <si>
    <t>Гражданское право. Особенная часть: Уч. / Н.В.Багрова - М.:НИЦ ИНФРА-М,2025. - 583 с.(ВО)(П)</t>
  </si>
  <si>
    <t>Багрова Н.В., Баришпольская Т.Ю., Бевзенко Р.С. и др.</t>
  </si>
  <si>
    <t>978-5-16-018454-8</t>
  </si>
  <si>
    <t>40.03.01, 46.03.02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</si>
  <si>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5 от 11.05.2022)</t>
  </si>
  <si>
    <t>012559.14.01</t>
  </si>
  <si>
    <t>Гражданское право. Уч. для средних специальных учебных заведений: уч. / С.П.Гришаев и др., - 3-е изд.-М.:Юр. НОРМА, НИЦ ИНФРА-М,2</t>
  </si>
  <si>
    <t>ГРАЖДАНСКОЕ ПРАВО, ИЗД.3</t>
  </si>
  <si>
    <t>Гришаев С.П., Богачева Т.В., Свит Ю.П. и др.</t>
  </si>
  <si>
    <t>Ab ovo</t>
  </si>
  <si>
    <t>978-5-91768-105-4</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</si>
  <si>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специальности «Юриспруденция»</t>
  </si>
  <si>
    <t>012559.23.01</t>
  </si>
  <si>
    <t>Гражданское право: Уч. / Отв.ред. С.П. Гришаев - 4 изд. - Норма:ИНФРА-М,2021 - 688с(п)-(СПО)</t>
  </si>
  <si>
    <t>ГРАЖДАНСКОЕ ПРАВО, ИЗД.4</t>
  </si>
  <si>
    <t>Гришаев С. П.</t>
  </si>
  <si>
    <t>978-5-91768-904-3</t>
  </si>
  <si>
    <t>Допущено Мин. обр. и науки РФ в качестве учебника для студентов образовательных учреждений среднего пофессионального образования, обучающихся по специальности "Юриспруденция"</t>
  </si>
  <si>
    <t>012559.27.01</t>
  </si>
  <si>
    <t>Гражданское право: Уч. / Отв.ред. С.П. Гришаев - 5 изд. - Норма:ИНФРА-М,2024 - 680 с.(п)(СПО)</t>
  </si>
  <si>
    <t>ГРАЖДАНСКОЕ ПРАВО, ИЗД.5</t>
  </si>
  <si>
    <t>Гришаев С.П., Гришаев С.П.</t>
  </si>
  <si>
    <t>978-5-00156-271-9</t>
  </si>
  <si>
    <t>0523</t>
  </si>
  <si>
    <t>239000.12.01</t>
  </si>
  <si>
    <t>Гражданское право: Уч.: В 2 т.Т.1 / И.В.Ильин - 2 изд. - М.:НИЦ ИНФРА-М,2025 - 447 с. - (ВО: Спец.)(П)</t>
  </si>
  <si>
    <t>ГРАЖДАНСКОЕ ПРАВО: В 2 ТОМАХ. ТОМ 1, Т.1, ИЗД.2</t>
  </si>
  <si>
    <t>Ильин И.В., Карпычев М.В., Малютина О.А. и др.</t>
  </si>
  <si>
    <t>978-5-16-016568-4</t>
  </si>
  <si>
    <t>40.03.01, 40.05.01, 40.05.02, 40.05.03, 40.05.04, 41.03.06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</si>
  <si>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специальностям (протокол № 9 от 17.11.2021)</t>
  </si>
  <si>
    <t>239000.08.01</t>
  </si>
  <si>
    <t>Гражданское право: Уч.: В 2 т.Т.1 / М.В.Карпычев - М.:ИД ФОРУМ, НИЦ ИНФРА-М,2020 - 400 с.-(ВО)(П)</t>
  </si>
  <si>
    <t>ГРАЖДАНСКОЕ ПРАВО</t>
  </si>
  <si>
    <t>Карпычев М.В., Хужин А.М.</t>
  </si>
  <si>
    <t>978-5-8199-0857-0</t>
  </si>
  <si>
    <t>Рекомендовано УМС НИУ ВШЭ — Нижний Новгород в качестве учебника для студентов высших учебных заведений, обучающихся по направлению 40.03.01 «Юриспруденция»</t>
  </si>
  <si>
    <t>490400.11.01</t>
  </si>
  <si>
    <t>Гражданское право: Уч.: В 2 т.Т.2 / А.А.Демичев - 2 изд. - М.:НИЦ ИНФРА-М,2025. - 602 с.(ВО.Спец.)(п)</t>
  </si>
  <si>
    <t>ГРАЖДАНСКОЕ ПРАВО, Т.2, ИЗД.2</t>
  </si>
  <si>
    <t>Демичев А.А., Ершов Н.Н., Ильин И.В. и др.</t>
  </si>
  <si>
    <t>978-5-16-016574-5</t>
  </si>
  <si>
    <t>40.03.01, 40.05.01, 40.05.02, 40.05.03, 40.05.04, 41.03.06, 44.03.05</t>
  </si>
  <si>
    <t>490400.10.01</t>
  </si>
  <si>
    <t>Гражданское право: Уч.: В 2 т.Т.2 / Под общ.ред. М.В.Карпычева-М.:ИД ФОРУМ,НИЦ ИНФРА-М,2023-560с(ВО)(П)</t>
  </si>
  <si>
    <t>978-5-8199-0749-8</t>
  </si>
  <si>
    <t>662176.07.01</t>
  </si>
  <si>
    <t>Гражданское право: Уч.: Ч.2 / Под ред. Ивановой С.А. - 2 изд.-Москва:НИЦ ИНФРА-М,2023.-626 с.(ВО)(п)</t>
  </si>
  <si>
    <t>ГРАЖДАНСКОЕ ПРАВО, ИЗД.2</t>
  </si>
  <si>
    <t>Алпатов Ю.М., Белов В.Е., Беседкина Н.И. и др.</t>
  </si>
  <si>
    <t>978-5-16-018543-9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</si>
  <si>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12 от 24.06.2019)</t>
  </si>
  <si>
    <t>145850.07.01</t>
  </si>
  <si>
    <t>Гражданское право: Уч.пос. / Я.А.Юкша - 4 изд. - М.:ИЦ РИОР, НИЦ ИНФРА-М,2018 - 400 с.-(ВО)(П)</t>
  </si>
  <si>
    <t>Юкша Я.А.</t>
  </si>
  <si>
    <t>978-5-369-01583-4</t>
  </si>
  <si>
    <t>38.03.04, 40.03.01, 40.05.01, 40.05.02, 40.05.03, 40.05.04, 44.03.05</t>
  </si>
  <si>
    <t>Рекомендовано Мин. обр. и науки РФ в качестве учебного пособия для студентов вузов, обучающихся по специальности "Юриспруденция"</t>
  </si>
  <si>
    <t>145850.09.01</t>
  </si>
  <si>
    <t>Гражданское право: Уч.пос. / Я.А.Юкша, - 5 изд.-М.:ИЦ РИОР, НИЦ ИНФРА-М,2023.-404 с.(ВО)(п)</t>
  </si>
  <si>
    <t>978-5-369-01835-4</t>
  </si>
  <si>
    <t>635944.05.01</t>
  </si>
  <si>
    <t>Грамматика англ. яз. = 5D English Grammar in Charts... /Л.М.Гальчук-М.:Вуз.уч.,НИЦ ИНФРА-М,2024-439с.(О)</t>
  </si>
  <si>
    <t>ГРАММАТИКА АНГЛИЙСКОГО ЯЗЫКА: КОММУНИКАТИВНЫЙ КУРС = 5D ENGLISH GRAMMAR IN CHARTS, EXERCISES, FILM-BASED TASKS,TEXTS AND TESTS</t>
  </si>
  <si>
    <t>978-5-9558-0520-7</t>
  </si>
  <si>
    <t>412300.08.01</t>
  </si>
  <si>
    <t>Грамматика для делового общ.на англ.яз: Уч.пос. / З.В.Маньковская - М.:НИЦ ИНФРА-М,2025 - 140 с.(ВО)(о)</t>
  </si>
  <si>
    <t>ГРАММАТИКА ДЛЯ ДЕЛОВОГО ОБЩЕНИЯ НА АНГЛИЙСКОМ ЯЗЫКЕ (МОДУЛЬНО-КОМПЕТЕНТНОСТНЫЙ ПОДХОД)</t>
  </si>
  <si>
    <t>978-5-16-005484-1</t>
  </si>
  <si>
    <t>00.03.02, 00.05.02, 38.03.01, 38.03.02, 38.03.03, 38.03.04, 38.03.05, 38.03.06, 38.03.07, 38.04.01, 38.04.02, 38.04.03, 38.04.04, 38.04.05, 38.04.06, 38.04.07, 38.04.08, 38.04.09, 38.05.01, 38.05.02, 44.03.01, 45.05.01</t>
  </si>
  <si>
    <t>835706.01.01</t>
  </si>
  <si>
    <t>Грамматика рус. яз. для начинающих..: Уч.пос. / Е.А.Булькова. - М.:НИЦ ИНФРА-М, ГомГМУ,2025. - 178 с.(ВО)(п)</t>
  </si>
  <si>
    <t>ГРАММАТИКА РУССКОГО ЯЗЫКА ДЛЯ НАЧИНАЮЩИХ: ПОСОБИЕ ДЛЯ СТУДЕНТОВ-ИНОСТРАНЦЕВ</t>
  </si>
  <si>
    <t>Булькова Е.А., Морозова О.Е., Спектор О.М.</t>
  </si>
  <si>
    <t>978-5-16-020171-9</t>
  </si>
  <si>
    <t>377600.08.01</t>
  </si>
  <si>
    <t>Грыжи живота: Совр.аспекты этиологии, патог..: Уч.пос./В.И.Белоконев-Форум,НИЦ ИНФРА-М,2024-184с(ВО)</t>
  </si>
  <si>
    <t>ГРЫЖИ ЖИВОТА: СОВРЕМЕННЫЕ АСПЕКТЫ ЭТИОЛОГИИ, ПАТОГЕНЕЗА, ДИАГНОСТИКИ И ЛЕЧЕНИЯ</t>
  </si>
  <si>
    <t>Белоконев В.И., Пушкин С.Ю., Ковалева З.В. и др.</t>
  </si>
  <si>
    <t>978-5-00091-097-9</t>
  </si>
  <si>
    <t>31.05.01, 31.08.67</t>
  </si>
  <si>
    <t>Рекомендовано в качестве учебного пособия для студентов медицинских вузов и системы последипломного профессионального образования врачей по специальности 31.08.67 «Хирургия»</t>
  </si>
  <si>
    <t>Самарский государственный медицинский университет</t>
  </si>
  <si>
    <t>719946.03.01</t>
  </si>
  <si>
    <t>Данные: хранение и обработка: Уч. / Э.Г.Дадян - М.:НИЦ ИНФРА-М,2024. - 205 с.-(СПО)(П)</t>
  </si>
  <si>
    <t>ДАННЫЕ: ХРАНЕНИЕ И ОБРАБОТКА</t>
  </si>
  <si>
    <t>978-5-16-015663-7</t>
  </si>
  <si>
    <t>09.02.01, 10.02.03, 51.02.03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</si>
  <si>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12 от 24.06.2019)</t>
  </si>
  <si>
    <t>680652.06.01</t>
  </si>
  <si>
    <t>Данные: хранение и обработка: Уч. / Э.Г.Дадян - М.:НИЦ ИНФРА-М,2025 - 205 с.-(ВО: Бакалавр.)(П)</t>
  </si>
  <si>
    <t>978-5-16-014903-5</t>
  </si>
  <si>
    <t>01.03.02, 01.03.04, 02.03.02, 09.03.01, 09.03.03, 09.03.04, 22.03.01, 38.03.05, 38.04.05</t>
  </si>
  <si>
    <t>Рекомендовано Межрегиональным учебно-методическим советом профессионального образования в качестве учебника для реализации образовательных программ высшего образования по направлениям подготовки бакалавриата (протокол № 9 от 13.05.2019)</t>
  </si>
  <si>
    <t>433600.08.01</t>
  </si>
  <si>
    <t>Датчики автомоб. электрон.систем..: Уч.пос. / В.А.Набоких - М.:Форум,НИЦ ИНФРА-М,2025 - 239 с.(О)</t>
  </si>
  <si>
    <t>ДАТЧИКИ АВТОМОБИЛЬНЫХ ЭЛЕКТРОННЫХ СИСТЕМ УПРАВЛЕНИЯ И ДИАГНОСТИЧЕСКОГО ОБОРУДОВАНИЯ</t>
  </si>
  <si>
    <t>Набоких В.А.</t>
  </si>
  <si>
    <t>978-5-16-020288-4</t>
  </si>
  <si>
    <t>23.03.01, 23.03.02, 23.03.03, 23.04.03, 23.05.01</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</si>
  <si>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направлению подготовки 23.03.02 «Наземные транспортно-технологические комплексы» (квалификация (степень) «бакалавр»)</t>
  </si>
  <si>
    <t>684863.10.01</t>
  </si>
  <si>
    <t>Датчики автомоб. электронных сис. упр...: Уч.пос. / В.А.Набоких - М.:Форум, НИЦ ИНФРА-М,2024. - 239 с.(О)</t>
  </si>
  <si>
    <t>978-5-00091-596-7</t>
  </si>
  <si>
    <t>23.01.03, 23.01.17, 23.02.03, 23.02.05, 23.02.07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</si>
  <si>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двигателей, систем и агрегатов автомобилей»</t>
  </si>
  <si>
    <t>213500.08.01</t>
  </si>
  <si>
    <t>Дебиторская задолженность: учет, анализ..: Уч.пос. / В.Ю.Сутягин-М.:НИЦ ИНФРА-М,2024.-216 с.(ВО)(п)</t>
  </si>
  <si>
    <t>ДЕБИТОРСКАЯ ЗАДОЛЖЕННОСТЬ: УЧЕТ, АНАЛИЗ, ОЦЕНКА И УПРАВЛЕНИЕ</t>
  </si>
  <si>
    <t>Сутягин В.Ю., Беспалов М.В.</t>
  </si>
  <si>
    <t>978-5-16-019174-4</t>
  </si>
  <si>
    <t>38.03.01, 38.03.02, 38.04.01, 38.04.02, 38.04.08, 38.04.09</t>
  </si>
  <si>
    <t>694913.04.01</t>
  </si>
  <si>
    <t>Девиантология гос. управления: Уч. / И.В.Понкин - М.:НИЦ ИНФРА-М,2023 - 301с.-(ВО: Магистр.)(П)</t>
  </si>
  <si>
    <t>ДЕВИАНТОЛОГИЯ ГОСУДАРСТВЕННОГО УПРАВЛЕНИЯ</t>
  </si>
  <si>
    <t>978-5-16-014740-6</t>
  </si>
  <si>
    <t>38.04.04, 40.04.01, 40.05.01, 40.05.02, 40.06.01</t>
  </si>
  <si>
    <t>Рекомендовано кафедрой государственного и муниципального управления факультета государственного и муниципального управления Института государственной службы и управления Российской академии народного хозяйства и государственной службы при Президенте Российской Федерации</t>
  </si>
  <si>
    <t>694913.06.01</t>
  </si>
  <si>
    <t>Девиантология гос. управления: Уч. / И.В.Понкин, - 2 изд. - М.:НИЦ ИНФРА-М,2025. - 324 с.(ВО)(п)</t>
  </si>
  <si>
    <t>ДЕВИАНТОЛОГИЯ ГОСУДАРСТВЕННОГО УПРАВЛЕНИЯ, ИЗД.2</t>
  </si>
  <si>
    <t>978-5-16-020610-3</t>
  </si>
  <si>
    <t>322300.12.01</t>
  </si>
  <si>
    <t>Декоративное садовод. с осн. ландш. проектир.: Уч. /А.В.Исачкин - М.: НИЦ ИНФРА-М, 2024 -522с (ВО)(П)</t>
  </si>
  <si>
    <t>ДЕКОРАТИВНОЕ САДОВОДСТВО С ОСНОВАМИ ЛАНДШАФТНОГО ПРОЕКТИРОВАНИЯ</t>
  </si>
  <si>
    <t>Исачкин А.В., Крючкова В.А., Скакова А.Г. и др.</t>
  </si>
  <si>
    <t>978-5-16-019176-8</t>
  </si>
  <si>
    <t>35.03.05</t>
  </si>
  <si>
    <t>Допущено Министерством сельского хозяйства Российской Федерации в качестве учебника для бакалавров высших учебных заведений по направлению 35.03.05 «Садоводство»</t>
  </si>
  <si>
    <t>682857.08.01</t>
  </si>
  <si>
    <t>Декоративное садовод. с осн. ландшафт. проект.: Уч. / Под ред. Исачкина А.В.-М.:НИЦ ИНФРА-М,2024.-522 с.(П)</t>
  </si>
  <si>
    <t>978-5-16-013910-4</t>
  </si>
  <si>
    <t>35.02.12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</si>
  <si>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35.02.12 «Садово-парковое и ландшафтное строительство»</t>
  </si>
  <si>
    <t>086170.16.01</t>
  </si>
  <si>
    <t>Декоративно-прикладное искусство: Уч.пос. / В.Н.Молотова - 3 изд.-М.:Форум,НИЦ ИНФРА-М,2024-288с.(П)</t>
  </si>
  <si>
    <t>ДЕКОРАТИВНО-ПРИКЛАДНОЕ ИСКУССТВО, ИЗД.3</t>
  </si>
  <si>
    <t>Молотова В. Н.</t>
  </si>
  <si>
    <t>978-5-00091-402-1</t>
  </si>
  <si>
    <t>29.01.04, 29.01.09, 35.01.28, 38.02.02, 42.02.01, 43.02.02, 51.02.03, 52.02.03, 52.02.04, 52.02.05, 54.01.01, 54.01.02, 54.01.05, 54.01.06, 54.01.13, 54.01.20, 54.02.01, 54.02.02, 54.02.04, 54.02.06, 54.02.08</t>
  </si>
  <si>
    <t>028480.19.01</t>
  </si>
  <si>
    <t>Деловая переписка: Уч.пос. / М.В.Кирсанова, - 4 изд.-М.:НИЦ ИНФРА-М,2024.-153 с.(ВО)(п)</t>
  </si>
  <si>
    <t>ДЕЛОВАЯ ПЕРЕПИСКА, ИЗД.4</t>
  </si>
  <si>
    <t>Кирсанова М.В., Аксенов Ю.М.</t>
  </si>
  <si>
    <t>978-5-16-017841-7</t>
  </si>
  <si>
    <t>38.03.01, 38.03.02, 38.03.03, 38.03.04, 38.04.01, 38.04.02, 38.04.04, 41.03.06, 46.03.02, 46.04.02</t>
  </si>
  <si>
    <t>Новосибирский колледж транспортных технологий им. Н.А. Лунина</t>
  </si>
  <si>
    <t>0424</t>
  </si>
  <si>
    <t>028480.18.01</t>
  </si>
  <si>
    <t>Деловая переписка: Уч.практ.пос. / М.В.Кирсанова  - 3 изд. - М.:НИЦ ИНФРА-М,2022 -136 с.-(ВО)(О)</t>
  </si>
  <si>
    <t>ДЕЛОВАЯ ПЕРЕПИСКА, ИЗД.3</t>
  </si>
  <si>
    <t>Кирсанова М.В., Анодина Н.Н., Аксенов Ю.М.</t>
  </si>
  <si>
    <t>978-5-16-009918-7</t>
  </si>
  <si>
    <t>Рекомендовано в качестве учебного пособия для студентов высших учебных заведений, обучающихся по направлениям подготовки 38.03.01 «Экономика» и 38.03.02 «Менеджмент» (квалификация (степень) «бакалавр»)</t>
  </si>
  <si>
    <t>0306</t>
  </si>
  <si>
    <t>695337.05.01</t>
  </si>
  <si>
    <t>Деловая переписка: Уч.практ.пос. / М.В.Кирсанова - 3 изд.-М.:НИЦ ИНФРА-М,2023 - 136 с.(СПО)(О)</t>
  </si>
  <si>
    <t>978-5-16-014547-1</t>
  </si>
  <si>
    <t>38.01.01, 38.01.02, 38.01.03, 38.02.01, 38.02.02, 38.02.03, 38.02.06, 38.02.07, 38.02.08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</si>
  <si>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</si>
  <si>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695337.07.01</t>
  </si>
  <si>
    <t>Деловая переписка: Уч.практ.пос. / М.В.Кирсанова - 4 изд.-М.:НИЦ ИНФРА-М,2024 - 153 с.(СПО)(п)</t>
  </si>
  <si>
    <t>978-5-16-020013-2</t>
  </si>
  <si>
    <t>762161.06.01</t>
  </si>
  <si>
    <t>Деловое общение и кросс-культур. коммуникации: Уч. / Т.В.Суворова - М.:НИЦ ИНФРА-М,2025. - 323 с.(ВО)(П)</t>
  </si>
  <si>
    <t>ДЕЛОВОЕ ОБЩЕНИЕ И КРОСС-КУЛЬТУРНЫЕ КОММУНИКАЦИИ</t>
  </si>
  <si>
    <t>Жукова Е.Е., Суворова Т.В.</t>
  </si>
  <si>
    <t>978-5-16-018501-9</t>
  </si>
  <si>
    <t>12.03.03, 12.03.04, 15.03.06, 27.04.03, 27.04.05, 38.03.01, 38.03.02, 38.03.05, 38.03.06, 38.03.07, 38.04.01, 38.04.02, 38.04.03, 38.04.04, 38.04.05, 38.04.06, 38.04.07, 38.05.02, 41.04.04, 41.04.05, 42.04.04, 43.03.03</t>
  </si>
  <si>
    <t>Рекомендовано Ученым советом Университета «Синергия» для использования в образовательном процессе при изучении дисциплин «Деловые коммуникации», «Деловое общение», «Кросскультурные коммуникации», «Деловое общение и кросскультурные коммуникации» студентами бакалавриата направлений подготовки 38.03.01 «Экономика»; 38.03.02 «Менеджмент»; 38.03.03 «Управление персоналом»; 38.03.04 «Государственное и муниципальное управление»; 38.03.05 «Бизнес-информатика»; 38.03.06 «Торговое дело»; 38.03.07 «Товароведение»; 38.03.10 «Жилищное хозяйство и коммунальная инфраструктур</t>
  </si>
  <si>
    <t>764913.02.01</t>
  </si>
  <si>
    <t>Деловое общение и кросскультурные коммуникации: Прак. / Е.Е.Жукова-М.:НИЦ ИНФРА-М,2023.-320 с.(ВО)(п)</t>
  </si>
  <si>
    <t>978-5-16-017497-6</t>
  </si>
  <si>
    <t>38.03.01, 38.03.02, 38.03.03, 38.03.04, 38.03.05, 38.03.06, 38.03.07, 38.03.10, 38.05.01, 38.05.02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</si>
  <si>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9 от 17.11.2022)</t>
  </si>
  <si>
    <t>252800.08.01</t>
  </si>
  <si>
    <t>Деловой английский язык: ускоренный курс: Уч.пос. / З.В.Маньковская-М.:НИЦ ИНФРА-М,2024.-160с(ВО)(п)</t>
  </si>
  <si>
    <t>ДЕЛОВОЙ АНГЛИЙСКИЙ ЯЗЫК: УСКОРЕННЫЙ КУРС</t>
  </si>
  <si>
    <t>978-5-16-019169-0</t>
  </si>
  <si>
    <t>286500.09.01</t>
  </si>
  <si>
    <t>Деловой китайский: Уч. пос. / Ю.Г.Романова - М.:НИЦ ИНФРА-М,2025.-165 с.-(ВО)(о)</t>
  </si>
  <si>
    <t>ДЕЛОВОЙ КИТАЙСКИЙ</t>
  </si>
  <si>
    <t>Комендровская Ю.Г.</t>
  </si>
  <si>
    <t>978-5-16-018592-7</t>
  </si>
  <si>
    <t>38.03.01, 38.04.01, 45.03.02, 45.04.02</t>
  </si>
  <si>
    <t>Байкальский государственный университет</t>
  </si>
  <si>
    <t>108150.06.01</t>
  </si>
  <si>
    <t>Деловой французский: Уч. пос. /Б.И. Герасимов.-Форум, 2024.-176с. (п)</t>
  </si>
  <si>
    <t>LE FRANCAIS DES AFFAIRES: ДЕЛОВОЙ ФРАНЦУЗСКИЙ</t>
  </si>
  <si>
    <t>Герасимов Б. И., Волостных И. А., Гуляева Е. А., Бородулина Н. Ю.</t>
  </si>
  <si>
    <t>978-5-91134-326-2</t>
  </si>
  <si>
    <t>08.02.14, 43.02.16</t>
  </si>
  <si>
    <t>Рекомендовано Учебно-методическим советом УМЦ по профессиональному образованию Департамента образования города Москвы в качестве учебного пособия для студентов образ. учрежд. среднего профессионального образования</t>
  </si>
  <si>
    <t>845814.02.01</t>
  </si>
  <si>
    <t>Деловой этикет / И.Н.Кузнецов - М.:НИЦ ИНФРА-М,2025. - 348 с.(Интересно знать)(п)</t>
  </si>
  <si>
    <t>ДЕЛОВОЙ ЭТИКЕТ</t>
  </si>
  <si>
    <t>Кузнецов И.Н.</t>
  </si>
  <si>
    <t>Интересно знать</t>
  </si>
  <si>
    <t>978-5-16-020485-7</t>
  </si>
  <si>
    <t>Научно-популярное издание</t>
  </si>
  <si>
    <t>38.03.03, 38.03.05, 43.03.01</t>
  </si>
  <si>
    <t>139500.13.01</t>
  </si>
  <si>
    <t>Деловой этикет: Уч.пос. / И.Н.Кузнецов - М.:НИЦ ИНФРА-М,2024 - 348 с.-(ВО)(п)</t>
  </si>
  <si>
    <t>Кузнецов И. Н.</t>
  </si>
  <si>
    <t>978-5-16-018532-3</t>
  </si>
  <si>
    <t>38.03.01, 38.03.02, 38.03.03, 38.03.04, 38.03.05, 38.03.06, 38.03.07, 43.03.01, 51.03.02</t>
  </si>
  <si>
    <t>Рекомендуется  в качестве учебного пособия для студентов высших учебных заведений, обучающихся по направлению 38.03.02 «Менеджмент» и 38.03.04 «Государственное и муниципальное управление»</t>
  </si>
  <si>
    <t>153200.07.01</t>
  </si>
  <si>
    <t>Деловые игры по формир. экон. компетенций: Уч.пос. / В.О.Евсеев-М.:Вуз. уч., ИНФРА-М,2021.-254 с.(ВО-Бак.)(П)</t>
  </si>
  <si>
    <t>ДЕЛОВЫЕ ИГРЫ ПО ФОРМИРОВАНИЮ ЭКОНОМИЧЕСКИХ КОМПЕТЕНЦИЙ</t>
  </si>
  <si>
    <t>Евсеев В. О.</t>
  </si>
  <si>
    <t>978-5-9558-0650-1</t>
  </si>
  <si>
    <t>38.03.01, 38.03.04, 38.04.01, 38.04.04, 38.04.08, 39.03.01, 39.03.02, 39.03.03, 39.04.01, 39.04.02, 39.04.03, 44.03.01, 44.03.05, 44.04.01</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</si>
  <si>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и специальности «Социальная работа»</t>
  </si>
  <si>
    <t>153200.09.01</t>
  </si>
  <si>
    <t>Деловые игры по формир. эконом. компетенций: Уч.пос. / В.О.Евсеев - 2 изд. - М.:НИЦ ИНФРА-М,2025 - 288 с.(ВО)(п)</t>
  </si>
  <si>
    <t>ДЕЛОВЫЕ ИГРЫ ПО ФОРМИРОВАНИЮ ЭКОНОМИЧЕСКИХ КОМПЕТЕНЦИЙ, ИЗД.2</t>
  </si>
  <si>
    <t>Евсеев В.О.</t>
  </si>
  <si>
    <t>978-5-16-019836-1</t>
  </si>
  <si>
    <t>665060.06.01</t>
  </si>
  <si>
    <t>Деловые игры: теория и организация: Уч.мет.пос. / Г.С.Абрамова - 2 изд.-М.:НИЦ ИНФРА-М,2022-189 с.(ВО)(П)</t>
  </si>
  <si>
    <t>ДЕЛОВЫЕ ИГРЫ: ТЕОРИЯ И ОРГАНИЗАЦИЯ, ИЗД.2</t>
  </si>
  <si>
    <t>Абрамова Г.С., Степанович В.А.</t>
  </si>
  <si>
    <t>978-5-16-013580-9</t>
  </si>
  <si>
    <t>37.03.01, 37.03.02, 37.05.02, 44.03.01, 44.03.02, 44.03.03, 44.03.04, 44.03.05, 44.04.01, 44.04.02, 44.05.01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</si>
  <si>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(квалификация (степень) «бакалавр»)</t>
  </si>
  <si>
    <t>Брестский государственный университет имени А.С.Пушкина</t>
  </si>
  <si>
    <t>642428.01.01</t>
  </si>
  <si>
    <t>Деловые коммуникации: соц.-психолог.аспекты: Уч.пос./ А.М.Пивоваров-М.:ИЦ РИОР,НИЦ ИНФРА-М,2017-146с</t>
  </si>
  <si>
    <t>ДЕЛОВЫЕ КОММУНИКАЦИИ: СОЦИАЛЬНО-ПСИХОЛОГИЧЕСКИЕ АСПЕКТЫ</t>
  </si>
  <si>
    <t>Пивоваров А.М.</t>
  </si>
  <si>
    <t>978-5-369-01641-1</t>
  </si>
  <si>
    <t>38.03.01, 38.04.01, 38.04.02, 38.04.03, 38.04.04, 38.04.05, 38.04.06, 38.04.07, 39.03.01, 39.04.01</t>
  </si>
  <si>
    <t>Санкт-Петербургский государственный университет</t>
  </si>
  <si>
    <t>642428.06.01</t>
  </si>
  <si>
    <t>Деловые коммуникации: теория..: Уч.пос. / А.М.Пивоваров, - 2 изд.-М.:ИЦ РИОР, НИЦ ИНФРА-М,2022.-162 с.(О)</t>
  </si>
  <si>
    <t>ДЕЛОВЫЕ КОММУНИКАЦИИ: ТЕОРИЯ И ПРАКТИКА, ИЗД.2</t>
  </si>
  <si>
    <t>978-5-369-01913-9</t>
  </si>
  <si>
    <t>420950.08.01</t>
  </si>
  <si>
    <t>Деловые коммуникации: Уч. / О.В.Папкова - М.:Вуз.уч., НИЦ ИНФРА-М,2024 - 160 с.(ВО)(п)</t>
  </si>
  <si>
    <t>ДЕЛОВЫЕ КОММУНИКАЦИИ</t>
  </si>
  <si>
    <t>Папкова О.В.</t>
  </si>
  <si>
    <t>978-5-9558-0301-2</t>
  </si>
  <si>
    <t>38.03.01, 38.03.02, 38.03.03, 38.03.04, 38.03.05, 38.03.06, 38.03.07, 38.04.01, 38.04.02, 38.04.03, 38.04.04, 38.04.05, 38.04.06, 38.04.07, 41.03.06, 42.03.01, 42.03.02, 42.04.01, 42.04.02, 46.03.02, 46.04.02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</si>
  <si>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«Менеджмент» (квалификация (степень) «бакалавр»)</t>
  </si>
  <si>
    <t>134600.15.01</t>
  </si>
  <si>
    <t>Деловые коммуникации: Уч.пос. / Е.И.Кривокора - М.:НИЦ ИНФРА-М,2024 - 190 с.-(ВО: Бакалавриат)(П)</t>
  </si>
  <si>
    <t>Кривокора Е. И.</t>
  </si>
  <si>
    <t>978-5-16-004277-0</t>
  </si>
  <si>
    <t>38.03.01, 38.03.02, 43.03.01, 43.03.02</t>
  </si>
  <si>
    <t>Допущено УМО по образованию в области производственного менеджмента¶в качестве учебного пособия для студентов, обучающихся¶по направлению подготовки 38.03.02 «Менеджмент» (профиль «Производственный менеджмент)</t>
  </si>
  <si>
    <t>842290.01.01</t>
  </si>
  <si>
    <t>Деловые коммуникации: Уч.пос. / Е.И.Кривокора - М.:НИЦ ИНФРА-М,2025 - 190 с.(СПО)(п)</t>
  </si>
  <si>
    <t>978-5-16-020321-8</t>
  </si>
  <si>
    <t>08.02.03, 11.02.12, 19.02.10, 21.02.19, 29.02.10, 32.02.01, 34.01.01, 38.01.01, 39.02.02, 43.02.17</t>
  </si>
  <si>
    <t>752920.01.01</t>
  </si>
  <si>
    <t>Делопроизводство и архивное дело: Уч.пос. / Е.В.Зайцева - М.:НИЦ ИНФРА-М,2025. - 258 с.(ВО)(п)</t>
  </si>
  <si>
    <t>ДЕЛОПРОИЗВОДСТВО И АРХИВНОЕ ДЕЛО</t>
  </si>
  <si>
    <t>Зайцева Е.В., Гончарова Н.В.</t>
  </si>
  <si>
    <t>978-5-16-017777-9</t>
  </si>
  <si>
    <t>37.03.02, 38.03.02, 38.03.04, 38.04.02, 41.03.02, 46.04.02</t>
  </si>
  <si>
    <t>838968.01.01</t>
  </si>
  <si>
    <t>Делопроизводство и архивное дело: Уч.пос. / Е.В.Зайцева - М.:НИЦ ИНФРА-М,2025. - 258 с.(СПО)(п)</t>
  </si>
  <si>
    <t>978-5-16-020233-4</t>
  </si>
  <si>
    <t>31.02.02, 39.02.03, 46.01.02, 46.01.03</t>
  </si>
  <si>
    <t>845219.02.01</t>
  </si>
  <si>
    <t>Делопроизводство: Уч. / Под общ. ред. Т.А.Быкова - 5 изд. - М.:НИЦ ИНФРА-М,2025 - 403 с.(СПО)(п)</t>
  </si>
  <si>
    <t>ДЕЛОПРОИЗВОДСТВО, ИЗД.5</t>
  </si>
  <si>
    <t>Быкова Т.А., Вялова Л.М., Кукарина Ю.М. и др.</t>
  </si>
  <si>
    <t>978-5-16-020456-7</t>
  </si>
  <si>
    <t>12.02.05, 23.02.07, 24.02.01, 25.02.06, 38.01.01, 39.02.03, 46.01.02, 46.01.03</t>
  </si>
  <si>
    <t>159200.09.01</t>
  </si>
  <si>
    <t>Делопроизводство: Уч. / Под ред. Быковой Т.А. - 4 изд. - М.:НИЦ ИНФРА-М,2021.-393 с.(ВО: Бакалавр.)(П)</t>
  </si>
  <si>
    <t>ДЕЛОПРОИЗВОДСТВО, ИЗД.4</t>
  </si>
  <si>
    <t>978-5-16-014992-9</t>
  </si>
  <si>
    <t>38.03.04, 46.03.02, 46.04.02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</si>
  <si>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46.03.02 «Документоведение и архивоведение»  ¶(квалификация (степень) «бакалавр») (протокол №9 от 28.09.2020)</t>
  </si>
  <si>
    <t>159200.07.01</t>
  </si>
  <si>
    <t>Делопроизводство: уч. / Под ред. Кузнецова Т.В., - 3-е изд., перераб. и доп-М.:НИЦ ИНФРА-М,2019.-364 с..-(ВО: Бакалавриат)(П 7Б</t>
  </si>
  <si>
    <t>ДЕЛОПРОИЗВОДСТВО, ИЗД.3</t>
  </si>
  <si>
    <t>Быкова Т. А., Вялова Л. М., Санкина Л. В., Кузнецова Т. В.</t>
  </si>
  <si>
    <t>978-5-16-004923-6</t>
  </si>
  <si>
    <t>Допущено Учебно-методическим объединением вузов РФ по образованию в области историко-архивоведения в качестве учебника для студентов высших учебных заведений, обучающихся по направлению 037700 «Документоведение и архивоведение» и специальности 032001</t>
  </si>
  <si>
    <t>159200.11.01</t>
  </si>
  <si>
    <t>Делопроизводство: Уч. / Т.А.Быкова и др. - 5 изд. - М.:НИЦ ИНФРА-М,2025. - 403 с.(ВО)(п)</t>
  </si>
  <si>
    <t>978-5-16-018052-6</t>
  </si>
  <si>
    <t>042250.15.01</t>
  </si>
  <si>
    <t>Демография: Уч. / В.М.Медков, - 2 изд. - М.:НИЦ ИНФРА-М,2025. - 332 с.(ВО: Бакалавр.)(п)</t>
  </si>
  <si>
    <t>ДЕМОГРАФИЯ, ИЗД.2</t>
  </si>
  <si>
    <t>Медков В.М.</t>
  </si>
  <si>
    <t>978-5-16-020608-0</t>
  </si>
  <si>
    <t>Демография. Статистика</t>
  </si>
  <si>
    <t>38.03.04, 38.04.04, 39.03.01</t>
  </si>
  <si>
    <t>Рекомендовано в качестве учебника для студентов высших учебных заведений, обучающихся по направлениям подготовки 39.03.01 «Социология», 38.03.01 «Экономика», 39.03.02 «Социальная работа» (квалификация (степень) «бакалавр»)</t>
  </si>
  <si>
    <t>638071.05.01</t>
  </si>
  <si>
    <t>Демография: Уч.пос. / А.И.Щербаков и др. - М.:НИЦ ИНФРА-М,2025 - 216 с.(ВО:Бакалавриат) (П)</t>
  </si>
  <si>
    <t>ДЕМОГРАФИЯ</t>
  </si>
  <si>
    <t>Щербаков А.И., Мдинарадзе М.Г., Назаров А.Д. и др.</t>
  </si>
  <si>
    <t>978-5-16-012222-9</t>
  </si>
  <si>
    <t>38.03.01, 38.03.04, 38.04.01, 38.04.04, 39.03.01, 39.04.01</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</si>
  <si>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38.03.01 «Экономика» (квалификация (степень) «бакалавр»)</t>
  </si>
  <si>
    <t>677025.03.01</t>
  </si>
  <si>
    <t>Демография: Уч.пос. / В.Л.Юлинов и др.-М.:НИЦ ИНФРА-М,2024.-169 с.(ВО: Бакалавриат)(П)</t>
  </si>
  <si>
    <t>Юлинов В.Л., Патрушева Н.А., Кочуров Б.И.</t>
  </si>
  <si>
    <t>978-5-16-015240-0</t>
  </si>
  <si>
    <t>38.03.01, 38.03.04, 38.04.01, 38.04.04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</si>
  <si>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№10 от 12.10.2020)</t>
  </si>
  <si>
    <t>Северный (Арктический) федеральный университет им. М.В. Ломоносова</t>
  </si>
  <si>
    <t>133070.09.01</t>
  </si>
  <si>
    <t>Демография: Уч.-практ. пос. / Лысенко С. Н. - М.: Вуз. уч., НИЦ ИНФРА-М, 2025 - 112 с.(о)</t>
  </si>
  <si>
    <t>Лысенко С. Н.</t>
  </si>
  <si>
    <t>978-5-9558-0153-7</t>
  </si>
  <si>
    <t>38.03.01, 38.03.04, 38.04.01, 38.04.04, 41.03.06</t>
  </si>
  <si>
    <t>Московский городской университет управления Правительства Москвы</t>
  </si>
  <si>
    <t>640457.04.01</t>
  </si>
  <si>
    <t>Деньги, кредит, банки: Уч. / А.А.Казимагомедов - 2 изд. - М.:НИЦ ИНФРА-М,2023 - 483 с.(ВО: Бак.)(П)</t>
  </si>
  <si>
    <t>ДЕНЬГИ, КРЕДИТ, БАНКИ, ИЗД.2</t>
  </si>
  <si>
    <t>978-5-16-012522-0</t>
  </si>
  <si>
    <t>38.03.01, 38.04.01, 44.03.05</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</si>
  <si>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«Мировая экономика», «Налоги и налогообложение»</t>
  </si>
  <si>
    <t>163000.09.01</t>
  </si>
  <si>
    <t>Деньги, кредит, банки: Уч. / Е.А.Звонова и др. - М.:НИЦ ИНФРА-М,2025. - 592 с.(ВО:Бакалавриат)</t>
  </si>
  <si>
    <t>ДЕНЬГИ, КРЕДИТ, БАНКИ</t>
  </si>
  <si>
    <t>Звонова Е. А., Богачева М. Ю., Болвачев А. И.</t>
  </si>
  <si>
    <t>978-5-16-005114-7</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</si>
  <si>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 профиль "Банковское дело"</t>
  </si>
  <si>
    <t>467950.07.01</t>
  </si>
  <si>
    <t>Деньги, кредит, банки: Уч. пос. / Н.А.Агеева-М.:ИЦ РИОР, НИЦ ИНФРА-М,2024.-155 с.(ВО: Бакалавриат)(п)</t>
  </si>
  <si>
    <t>Агеева Н. А.</t>
  </si>
  <si>
    <t>978-5-369-01348-9</t>
  </si>
  <si>
    <t>38.03.01, 38.03.02, 38.03.04, 38.03.05, 38.03.06, 38.03.07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</si>
  <si>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</si>
  <si>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256200.09.01</t>
  </si>
  <si>
    <t>Деньги, кредит, банки: Уч. пос./ Б.Х. Алиев - М.: Вуз. уч., ИНФРА-М, 2024. - 288 с. (п)</t>
  </si>
  <si>
    <t>Алиев Б. Х., Идрисова С. К., Рабаданова Д. А.</t>
  </si>
  <si>
    <t>978-5-9558-0356-2</t>
  </si>
  <si>
    <t>38.03.01, 38.04.08, 44.03.05</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</si>
  <si>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(080100) «Экономика» (уровень бакалавриата)</t>
  </si>
  <si>
    <t>116200.12.01</t>
  </si>
  <si>
    <t>Деньги, кредит, банки: Уч.пос. / С.А.Чернецов - М.:Магистр, НИЦ ИНФРА-М,2025 - 496 с.(П)</t>
  </si>
  <si>
    <t>Чернецов С. А.</t>
  </si>
  <si>
    <t>978-5-9776-0108-5</t>
  </si>
  <si>
    <t>38.03.01, 38.03.02, 38.03.04, 38.03.05, 38.04.01, 38.04.02, 38.04.04, 38.04.05, 38.04.08, 38.04.09, 41.03.06, 44.03.01, 44.03.05</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</si>
  <si>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специальностям "Финансы и кредит",  "Бухгалтерский учет, анализ и аудит"</t>
  </si>
  <si>
    <t>654779.01.01</t>
  </si>
  <si>
    <t>Деньги. Кредит. Банки: Уч. / Б.И.Соколов-М.:НИЦ ИНФРА-М,2023.-323 с.(ВО)(п)</t>
  </si>
  <si>
    <t>ДЕНЬГИ. КРЕДИТ. БАНКИ</t>
  </si>
  <si>
    <t>Соколов Б.И., Соколова С.В.</t>
  </si>
  <si>
    <t>978-5-16-015232-5</t>
  </si>
  <si>
    <t>38.03.01, 38.03.06, 38.04.08, 38.05.01, 41.03.05</t>
  </si>
  <si>
    <t>822140.01.01</t>
  </si>
  <si>
    <t>Деонтология: Уч.пос. / И.В.Гавриленкова - М.:НИЦ ИНФРА-М,2025. - 235 с.(ВО (КрГАУ))(п)</t>
  </si>
  <si>
    <t>ДЕОНТОЛОГИЯ</t>
  </si>
  <si>
    <t>Гавриленко И.В.</t>
  </si>
  <si>
    <t>978-5-16-020284-6</t>
  </si>
  <si>
    <t>36.05.01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</si>
  <si>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по направлению подготовки 36.03.01 «Ветеринарно-санитарная экспертиза» и специальности 36.05.01 «Ветеринария»</t>
  </si>
  <si>
    <t>645589.09.01</t>
  </si>
  <si>
    <t>Деревообработка: технологии и оборуд.: Уч.пос. / С.В.Фокин - 2 изд. - М:НИЦ ИНФРА-М,2024 - 203 с.(СПО)</t>
  </si>
  <si>
    <t>ДЕРЕВООБРАБОТКА: ТЕХНОЛОГИИ И ОБОРУДОВАНИЕ, ИЗД.2</t>
  </si>
  <si>
    <t>Фокин С.В., Шпортько О.Н.</t>
  </si>
  <si>
    <t>978-5-16-012433-9</t>
  </si>
  <si>
    <t>08.01.24, 08.02.01, 35.01.05, 35.01.28, 35.02.18</t>
  </si>
  <si>
    <t>Рекомендовано  в качестве учебного пособия для учебных заведений, реализующих программу професионального образования по специальности 35.02.03 «Технология деревообработки»</t>
  </si>
  <si>
    <t>682721.04.01</t>
  </si>
  <si>
    <t>Дерматология и венерология: Уч.пос. / О.А.Притуло.-М.:НИЦ ИНФРА-М,2023.-204с.(ВО: Спец. (КрымФУ))(П)</t>
  </si>
  <si>
    <t>ДЕРМАТОЛОГИЯ И ВЕНЕРОЛОГИЯ</t>
  </si>
  <si>
    <t>Притуло О.А., Винцерская Г.А., Прохоров Д.В. и др.</t>
  </si>
  <si>
    <t>Высшее образование: Специалитет (КрымФУ)</t>
  </si>
  <si>
    <t>978-5-16-016383-3</t>
  </si>
  <si>
    <t>31.05.02, 31.05.03, 32.05.01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</si>
  <si>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 (протокол № 2 от 28.01.2019)</t>
  </si>
  <si>
    <t>342100.12.01</t>
  </si>
  <si>
    <t>Детали машин и основы констр...: Уч.пос. /В.А.Жуков-2изд.-М.:НИЦ ИНФРА-М,2024-416с.(ВО)(П)</t>
  </si>
  <si>
    <t>ДЕТАЛИ МАШИН И ОСНОВЫ КОНСТРУИРОВАНИЯ: ОСНОВЫ РАСЧЕТА И ПРОЕКТИРОВАНИЯ СОЕДИНЕНИЙ И ПЕРЕДАЧ, ИЗД.2</t>
  </si>
  <si>
    <t>Жуков В.А.</t>
  </si>
  <si>
    <t>978-5-16-018844-7</t>
  </si>
  <si>
    <t>13.03.03, 15.03.01, 15.03.03, 15.03.05, 16.03.03, 23.03.02, 23.03.03, 24.03.03, 24.03.04, 24.03.05</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</si>
  <si>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15.03.02 «Технологические машины и оборудование» (квалификация (степень) «бакалавр»)</t>
  </si>
  <si>
    <t>719237.02.01</t>
  </si>
  <si>
    <t>Детали машин и основы конструирования...: Уч.пос. / В.А.Жуков, - 2 изд.-М.:НИЦ ИНФРА-М,2023-416с(П)</t>
  </si>
  <si>
    <t>978-5-16-015609-5</t>
  </si>
  <si>
    <t>15.02.01, 15.02.04, 15.02.16, 23.02.02, 24.02.01, 24.02.02, 25.02.02, 25.02.06, 26.02.02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</si>
  <si>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12 от 24.06.2019)</t>
  </si>
  <si>
    <t>733132.06.01</t>
  </si>
  <si>
    <t>Детали машин. Краткий курс, практ. занятия..: Уч.пос. / В.П.Олофинская - 4 изд.- М.:Форум, НИЦ ИНФРА-М,2024-232с.(П)</t>
  </si>
  <si>
    <t>ДЕТАЛИ МАШИН. КРАТКИЙ КУРС, ПРАКТИЧЕСКИЕ ЗАНЯТИЯ И ТЕСТОВЫЕ ЗАДАНИЯ, ИЗД.4</t>
  </si>
  <si>
    <t>Олофинская В.П.</t>
  </si>
  <si>
    <t>978-5-00091-726-8</t>
  </si>
  <si>
    <t>15.03.02, 15.03.03, 15.03.05, 15.05.01, 16.03.02, 22.03.01, 24.03.01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</si>
  <si>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немашиностроительным направлениям подготовки (квалификация (степень) «бакалавр») (протокол № 17 от 11.11.2019)</t>
  </si>
  <si>
    <t>Колледж железнодорожного и городского транспорта</t>
  </si>
  <si>
    <t>0420</t>
  </si>
  <si>
    <t>072290.23.01</t>
  </si>
  <si>
    <t>Детали машин. Краткий курс,практ.занятия: Уч.пос. / В.П.Олофинская - 4 изд. - М.:Форум,НИЦ ИНФРА-М,2025 - 232 с.(П)</t>
  </si>
  <si>
    <t>978-5-91134-918-9</t>
  </si>
  <si>
    <t>13.02.12, 13.02.13, 15.01.26, 15.01.27, 15.01.35, 15.01.36, 15.01.38, 15.02.01, 15.02.16, 15.02.17, 25.02.02</t>
  </si>
  <si>
    <t>072290.18.01</t>
  </si>
  <si>
    <t>Детали машин. Краткий курс,практ.занятия:Уч.пос./В.П.Олофинская-3изд-Форум,НИЦ ИНФРА-М,2021-240с(ПО)</t>
  </si>
  <si>
    <t>ДЕТАЛИ МАШИН. КРАТКИЙ КУРС, ПРАКТИЧЕСКИЕ ЗАНЯТИЯ И ТЕСТОВЫЕ ЗАДАНИЯ, ИЗД.3</t>
  </si>
  <si>
    <t>Олофинская В. П.</t>
  </si>
  <si>
    <t>978-5-00091-457-1</t>
  </si>
  <si>
    <t>735911.03.01</t>
  </si>
  <si>
    <t>Детали машин. Курсовое проектир.: Уч.пос. / В.А.Овтов - М.:НИЦ ИНФРА-М,2022-323 с.(ВО: Бакалавр.)(П)</t>
  </si>
  <si>
    <t>ДЕТАЛИ МАШИН. КУРСОВОЕ ПРОЕКТИРОВАНИЕ</t>
  </si>
  <si>
    <t>Овтов В.А.</t>
  </si>
  <si>
    <t>978-5-16-016509-7</t>
  </si>
  <si>
    <t>13.03.03, 15.03.01, 15.03.02, 15.03.03, 15.03.05, 15.04.02, 15.04.03, 15.04.05, 15.04.06, 15.05.01, 16.03.02, 16.03.03, 22.03.01, 23.03.02, 23.03.03, 24.03.01, 24.03.03, 24.03.04, 24.03.05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</si>
  <si>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6 от 16.06.2021)</t>
  </si>
  <si>
    <t>290900.08.01</t>
  </si>
  <si>
    <t>Детали машин. Основы теории, расчета и..: Уч.пос. /В.П.Олофинская - М.:Форум,НИЦ ИНФРА-М,2024 - 72с(ВО)</t>
  </si>
  <si>
    <t>ДЕТАЛИ МАШИН. ОСНОВЫ ТЕОРИИ, РАСЧЕТА И КОНСТРУИРОВАНИЯ</t>
  </si>
  <si>
    <t>978-5-00091-641-4</t>
  </si>
  <si>
    <t>13.03.03, 15.03.03, 15.03.05, 23.03.02, 23.03.03</t>
  </si>
  <si>
    <t>Рекомендовано в качестве учебного пособия для студентов высших учебных заведений, обучающихся по направлениям подготовки 15.03.01 «Машиностроение», 15.03.03 «Прикладная механика», 15.03.05 «Конструкторско-технологическое обеспечение машиностроительных производств»(квалификация (степень) «бакалавр»)</t>
  </si>
  <si>
    <t>682858.07.01</t>
  </si>
  <si>
    <t>Детали машин. Основы теории, расчета...: Уч.пос. / В.П.Олофинская - М.:Форум, НИЦ ИНФРА-М,2025 - 72 с.(СПО)(о)</t>
  </si>
  <si>
    <t>978-5-00091-541-7</t>
  </si>
  <si>
    <t>13.02.12, 13.02.13, 15.02.01, 15.02.17, 23.02.02, 23.02.03, 25.02.02</t>
  </si>
  <si>
    <t>Рекомендовано Учебно-методическим советом среднего профессионального образования в качестве учебного пособия для студентов, обучающихся по направлениям подготовки 15.02.08 «Технология машиностроения» и 15.02.07 «Автоматизация технологических процессов и производств (по отраслям)»</t>
  </si>
  <si>
    <t>079000.14.01</t>
  </si>
  <si>
    <t>Детали машин: тип. расчеты на проч.: Уч.пос. / Т.В.Хруничева - М.:ИД Форум, НИЦ ИНФРА-М,2025. - 224 с.(СПО)(п)</t>
  </si>
  <si>
    <t>ДЕТАЛИ МАШИН: ТИПОВЫЕ РАСЧЕТЫ НА ПРОЧНОСТЬ</t>
  </si>
  <si>
    <t>Хруничева Т. В.</t>
  </si>
  <si>
    <t>978-5-8199-0846-4</t>
  </si>
  <si>
    <t>07.02.01, 08.02.01, 08.02.02, 08.02.03, 08.02.04, 08.02.08, 08.02.09, 08.02.12, 08.02.13, 08.02.14, 11.02.06, 12.02.01, 12.02.03, 12.02.04, 12.02.05, 12.02.07, 12.02.08, 12.02.09, 13.02.01, 13.02.02, 13.02.04, 13.02.05, 13.02.07, 13.02.08, 13.02.09, 13.02.12, 13.02.13, 14.02.01, 14.02.02, 15.01.26, 15.01.27, 15.01.35, 15.01.36, 15.01.38, 15.02.01, 15.02.03, 15.02.04, 15.02.06, 15.02.07, 15.02.09, 15.02.10, 15.02.16, 15.02.17, 15.02.18, 15.02.19, 18.02.10, 18.02.13, 19.02.11, 19.02.12, 20.02.02, 20.02.04, 20.02.06, 21.01.08, 21.01.17, 21.02.01, 21.02.02, 21.02.03, 21.02.09, 21.02.12, 21.02.14, 21.02.15, 21.02.16, 21.02.17, 21.02.18, 22.02.08, 23.01.02, 23.02.01, 23.02.02, 23.02.03, 23.02.04, 23.02.05, 23.02.06, 23.02.07, 23.02.08, 24.02.01, 24.02.02, 24.02.04, 25.02.01, 25.02.02, 25.02.03, 25.02.04, 25.02.05, 25.02.06, 25.02.07, 25.02.08, 26.02.04, 27.02.01, 27.02.02, 27.02.04, 27.02.07, 29.02.05, 29.02.08, 29.02.11, 35.02.02, 35.02.07, 35.02.08, 35.02.11, 35.02.16, 35.02.18, 44.02.06</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</si>
  <si>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«Машиностроение»</t>
  </si>
  <si>
    <t>Колледж автомобильного транспорта №9</t>
  </si>
  <si>
    <t>332800.14.01</t>
  </si>
  <si>
    <t>Детали машин: Уч. / Н.Г.Куклин и др. - 9 изд.- М.:КУРС, НИЦ ИНФРА-М,2024 - 512 с.(п)</t>
  </si>
  <si>
    <t>ДЕТАЛИ МАШИН, ИЗД.9</t>
  </si>
  <si>
    <t>Куклин Н. Г., Куклина Г. С., Житков В. К.</t>
  </si>
  <si>
    <t>978-5-905554-84-1</t>
  </si>
  <si>
    <t>15.01.26, 15.01.27, 15.01.35, 15.01.36, 15.01.38, 15.02.16</t>
  </si>
  <si>
    <t>0915</t>
  </si>
  <si>
    <t>757836.03.01</t>
  </si>
  <si>
    <t>Детская литература: теория и прак...: Уч.пос. / О.В.Пилясова - М.:НИЦ ИНФРА-М,2025 - 207 с.(СПО)(п)</t>
  </si>
  <si>
    <t>ДЕТСКАЯ ЛИТЕРАТУРА: ТЕОРИЯ И ПРАКТИКА ВЫРАЗИТЕЛЬНОГО ЧТЕНИЯ</t>
  </si>
  <si>
    <t>Пилясова О.В., Смирнова Ю.В.</t>
  </si>
  <si>
    <t>978-5-16-017641-3</t>
  </si>
  <si>
    <t>44.02.01, 44.02.02, 44.02.05, 51.02.03</t>
  </si>
  <si>
    <t>733351.06.01</t>
  </si>
  <si>
    <t>Детская литература: Уч. / Г.М.Первова - М.:НИЦ ИНФРА-М,2025 - 190 с.-(СПО)(П)</t>
  </si>
  <si>
    <t>ДЕТСКАЯ ЛИТЕРАТУРА</t>
  </si>
  <si>
    <t>Первова Г.М.</t>
  </si>
  <si>
    <t>978-5-16-016136-5</t>
  </si>
  <si>
    <t>44.02.01, 44.02.02, 44.02.04, 44.02.05, 51.02.03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</si>
  <si>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8 от 22.06.2020)</t>
  </si>
  <si>
    <t>056800.12.01</t>
  </si>
  <si>
    <t>Детская психология с элементами психофизиологии: Уч. пос. / В.Г. Каменская - М.:Форум:ИНФРА-М,2025-288с.(ВО)(о)</t>
  </si>
  <si>
    <t>ДЕТСКАЯ ПСИХОЛОГИЯ С ЭЛЕМЕНТАМИ ПСИХОФИЗИОЛОГИИ, ИЗД.2</t>
  </si>
  <si>
    <t>Каменская В.Г.</t>
  </si>
  <si>
    <t>978-5-91134-482-5</t>
  </si>
  <si>
    <t>37.03.01, 44.03.01, 44.03.02, 44.03.03, 44.03.04, 44.03.05</t>
  </si>
  <si>
    <t>Допущено УМО по направления педагогического образования Министерства образования и науки РФ в качестве учебного пособия для студентов высших педагогических учебных заведений, обучающихся по направлению 540600 (050600) педагогика</t>
  </si>
  <si>
    <t>Елецкий государственный университет им. И.А. Бунина</t>
  </si>
  <si>
    <t>669692.05.01</t>
  </si>
  <si>
    <t>Детская психология: Уч. / Г.А.Урунтаева - 11 изд. - М.:НИЦ ИНФРА-М,2025 - 372 с.(СПО)(П)</t>
  </si>
  <si>
    <t>ДЕТСКАЯ ПСИХОЛОГИЯ, ИЗД.11</t>
  </si>
  <si>
    <t>Урунтаева Г.А.</t>
  </si>
  <si>
    <t>978-5-16-015972-0</t>
  </si>
  <si>
    <t>39.02.01, 44.02.01, 44.02.02, 44.02.03, 44.02.04, 44.02.05, 44.02.06, 49.02.02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</si>
  <si>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педагогическим и психологическим специальностям (протокол № 10 от 12.10.2020)</t>
  </si>
  <si>
    <t>Институт изучения детства, семьи и воспитания Российской академии образования</t>
  </si>
  <si>
    <t>1121</t>
  </si>
  <si>
    <t>669686.05.01</t>
  </si>
  <si>
    <t>Детская психология: Уч. / Г.А.Урунтаева - 4 изд. - М.:НИЦ ИНФРА-М,2025 - 384 с.(ВО)(п)</t>
  </si>
  <si>
    <t>ДЕТСКАЯ ПСИХОЛОГИЯ, ИЗД.4</t>
  </si>
  <si>
    <t>978-5-16-019115-7</t>
  </si>
  <si>
    <t>44.03.01, 44.03.05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</si>
  <si>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6 от 06.04.2020)</t>
  </si>
  <si>
    <t>832132.01.01</t>
  </si>
  <si>
    <t>Детские инфекционные болезни: Уч. / И. О. Стома - М.:НИЦ ИНФРА-М, ГомГМУ,2024.-413, [24] с.:цв.илл.(ВО)(п)</t>
  </si>
  <si>
    <t>ДЕТСКИЕ ИНФЕКЦИОННЫЕ БОЛЕЗНИ</t>
  </si>
  <si>
    <t>Стома И.О., Красавцев Е.Л., Демчило А.П. и др.</t>
  </si>
  <si>
    <t>978-5-16-019997-9</t>
  </si>
  <si>
    <t>31.05.01, 31.08.35, 32.04.01</t>
  </si>
  <si>
    <t>Утверждено Министерством образования Республики Беларусь в качестве учебника для студентов учреждений высшего образования по специальностям «Лечебное дело», «Медико-профилактическое дело»</t>
  </si>
  <si>
    <t>827191.02.01</t>
  </si>
  <si>
    <t>Деятельность орг. внутр. дел в условиях спец. правовых..: Уч. / В.А.Мельничук - М.:НИЦ ИНФРА-М,2025 - 489 с.(п)</t>
  </si>
  <si>
    <t>ДЕЯТЕЛЬНОСТЬ ОРГАНОВ ВНУТРЕННИХ ДЕЛ В УСЛОВИЯХ СПЕЦИАЛЬНЫХ ПРАВОВЫХ РЕЖИМОВ</t>
  </si>
  <si>
    <t>Мельничук В.А.</t>
  </si>
  <si>
    <t>978-5-16-019927-6</t>
  </si>
  <si>
    <t>833509.01.01</t>
  </si>
  <si>
    <t>Деятельность органов внутр. дел при выполнении...: Уч.пос. / Р.Н.Самойлюк. - М.:НИЦ ИНФРА-М,2025 - 171 с.(ВО)(п)</t>
  </si>
  <si>
    <t>ДЕЯТЕЛЬНОСТЬ ОРГАНОВ ВНУТРЕННИХ ДЕЛ ПРИ ВЫПОЛНЕНИИ ОПЕРАТИВНО-СЛУЖЕБНЫХ ЗАДАЧ В ОСОБЫХ УСЛОВИЯХ НЕСЕНИЯ СЛУЖБЫ</t>
  </si>
  <si>
    <t>Самойлюк Р.Н., Гричанов А.С., Золотова И.В. и др.</t>
  </si>
  <si>
    <t>978-5-16-020133-7</t>
  </si>
  <si>
    <t>786377.05.01</t>
  </si>
  <si>
    <t>Деятельность уголов.-исполнит. инспекций по..,: Уч.пос. / Е. А. Антонян - М.:НИЦ ИНФРА-М,2025. - 255 с.(ВО.Сп)(п)</t>
  </si>
  <si>
    <t>ДЕЯТЕЛЬНОСТЬ УГОЛОВНО-ИСПОЛНИТЕЛЬНЫХ ИНСПЕКЦИЙ ПО ИСПОЛНЕНИЮ НАКАЗАНИЙ, ИНЫХ МЕР УГОЛОВНО-ПРАВОВОГО ХАРАКТЕРА И МЕР ПРЕСЕЧЕНИЯ</t>
  </si>
  <si>
    <t>Антонян Е.А., Бабкина Е.В., Бякина С.И. и др.</t>
  </si>
  <si>
    <t>978-5-16-017964-3</t>
  </si>
  <si>
    <t>37.05.02, 40.05.01, 40.05.02, 40.05.04, 56.05.01</t>
  </si>
  <si>
    <t>819231.01.01</t>
  </si>
  <si>
    <t>Диагностика и коррекция фонетико-фонематич. недоразвития у дош.: Уч. / Г.Р.Шашкина-М.:НИЦ ИНФРА-М,2024-530с(п)</t>
  </si>
  <si>
    <t>ДИАГНОСТИКА И КОРРЕКЦИЯ ФОНЕТИКО-ФОНЕМАТИЧЕСКОГО НЕДОРАЗВИТИЯ У ДОШКОЛЬНИКОВ</t>
  </si>
  <si>
    <t>Шашкина Г.Р., Уварова Т.Б., Агаева В.Е. и др.</t>
  </si>
  <si>
    <t>978-5-16-019727-2</t>
  </si>
  <si>
    <t>44.03.03, 44.04.03</t>
  </si>
  <si>
    <t>756469.04.01</t>
  </si>
  <si>
    <t>Диагностика и коррекция фонетико-фонематич...: Уч.мет.пос. / Шашкина Г.Р.-М.:НИЦ ИНФРА-М,2024.-299 с.(п)</t>
  </si>
  <si>
    <t>978-5-16-019818-7</t>
  </si>
  <si>
    <t>44.03.03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</si>
  <si>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9 от 17.11.2021)</t>
  </si>
  <si>
    <t>832394.01.01</t>
  </si>
  <si>
    <t>Диагностика и лечение нарушений гемостаза: Уч.мет.пос./ И.А.Новикова-М.:НИЦ ИНФРА-М, ГомГМУ,2025.-161 с.(п)</t>
  </si>
  <si>
    <t>ДИАГНОСТИКА И ЛЕЧЕНИЕ НАРУШЕНИЙ ГЕМОСТАЗА</t>
  </si>
  <si>
    <t>Новикова И.А., Ходулева С.А.</t>
  </si>
  <si>
    <t>978-5-16-020100-9</t>
  </si>
  <si>
    <t>838969.01.01</t>
  </si>
  <si>
    <t>Диагностика и тех. обслуж. электроустановок..: Уч.пос. / Ю.Д.Сибикин-2изд.-М.:НИЦ ИНФРА-М,2025-391с(СПО)(п)</t>
  </si>
  <si>
    <t>ДИАГНОСТИКА И ТЕХНИЧЕСКОЕ ОБСЛУЖИВАНИЕ ЭЛЕКТРОУСТАНОВОК ПОТРЕБИТЕЛЕЙ, ИЗД.2</t>
  </si>
  <si>
    <t>978-5-16-020235-8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</si>
  <si>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4 от 13.04.2022)</t>
  </si>
  <si>
    <t>766759.03.01</t>
  </si>
  <si>
    <t>Диагностика и технич. обслуж. электроустановок..: Уч.пос. / Ю.Д.Сибикин, - 2 изд.-М.:НИЦ ИНФРА-М,2024.-391 с.(П)</t>
  </si>
  <si>
    <t>978-5-16-017613-0</t>
  </si>
  <si>
    <t>13.03.02</t>
  </si>
  <si>
    <t>724806.05.01</t>
  </si>
  <si>
    <t>Диагностика совр. автомобилей: Уч.пос. / Н.А.Кузьмин - М.:НИЦ ИНФРА-М,2025 - 229 с.(ВО: Магистр.)(П)</t>
  </si>
  <si>
    <t>ДИАГНОСТИКА СОВРЕМЕННЫХ АВТОМОБИЛЕЙ</t>
  </si>
  <si>
    <t>Кузьмин Н.А., Кустиков А.Д.</t>
  </si>
  <si>
    <t>978-5-16-020682-0</t>
  </si>
  <si>
    <t>23.03.03, 23.04.03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</si>
  <si>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23.04.03 «Эксплуатация транспортно-технологических машин и комплексов» (квалификация (степень) «магистр») (протокол № 10 от 12.10.2020)</t>
  </si>
  <si>
    <t>721253.05.01</t>
  </si>
  <si>
    <t>Диагностика тех. сост. автотрансп.сред.: Уч.пос./Ю.А.Смирнов-М.:ИЦ РИОР, НИЦ ИНФРА-М,2024-180с(ВО)(П)</t>
  </si>
  <si>
    <t>ДИАГНОСТИКА ТЕХНИЧЕСКОГО СОСТОЯНИЯ АВТОТРАНСПОРТНЫХ СРЕДСТВ</t>
  </si>
  <si>
    <t>Смирнов Ю.А.</t>
  </si>
  <si>
    <t>978-5-369-01837-8</t>
  </si>
  <si>
    <t>15.03.03, 15.03.05, 23.03.03, 23.04.03, 23.05.01</t>
  </si>
  <si>
    <t>733217.06.01</t>
  </si>
  <si>
    <t>Диагностика техн. состояния автотранспортных средств: Уч.пос. / Ю.А.Смирнов - М.:ИЦ РИОР, НИЦ ИНФРА-М,2025-180 с.(П)</t>
  </si>
  <si>
    <t>978-5-369-01839-2</t>
  </si>
  <si>
    <t>23.02.05</t>
  </si>
  <si>
    <t>212600.06.01</t>
  </si>
  <si>
    <t>Диагностика финансово-экономич. сост. орг.: Уч. пос. / Е.В.Бережная - ИНФРА-М, 2022-304с.(ВО) (п)</t>
  </si>
  <si>
    <t>ДИАГНОСТИКА ФИНАНСОВО-ЭКОНОМИЧЕСКОГО СОСТОЯНИЯ ОРГАНИЗАЦИИ</t>
  </si>
  <si>
    <t>Бережная Е. В., Бережная О. В., Косьмина О. И.</t>
  </si>
  <si>
    <t>978-5-16-006868-8</t>
  </si>
  <si>
    <t>684809.08.01</t>
  </si>
  <si>
    <t>Диагностика электрооборуд. автомоб. и  тракторов: Уч.пос. / В.А.Набоких - 2изд.-М.:Форум,НИЦ ИНФРА-М,2023-287 с(П)</t>
  </si>
  <si>
    <t>ДИАГНОСТИКА ЭЛЕКТРООБОРУДОВАНИЯ АВТОМОБИЛЕЙ И  ТРАКТОРОВ, ИЗД.2</t>
  </si>
  <si>
    <t>978-5-00091-591-2</t>
  </si>
  <si>
    <t>11.02.16, 23.02.02, 23.02.03, 23.02.07, 35.01.01, 35.01.15, 36.01.04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</si>
  <si>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t>
  </si>
  <si>
    <t>403900.11.01</t>
  </si>
  <si>
    <t>Диагностика электрооборудования автомоб...: Уч.пос. / В.А.Набоких - 2 изд. - М.:Форум:ИНФРА-М,2025 - 287 с. (П)</t>
  </si>
  <si>
    <t>978-5-00091-789-3</t>
  </si>
  <si>
    <t>23.03.02, 23.03.03, 23.04.03, 23.05.01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</si>
  <si>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23.03.00 «Техника и технологии наземного транспорта» (протокол № 7 от 15.04.2019)</t>
  </si>
  <si>
    <t>148100.15.01</t>
  </si>
  <si>
    <t>Диагностирование авто. Практ: Уч.пос. / Под ред. Карташевича А.Н. - М.:НИЦ ИНФРА-М, 2025 - 208 с.(ВО)(П)</t>
  </si>
  <si>
    <t>ДИАГНОСТИРОВАНИЕ АВТОМОБИЛЕЙ. ПРАКТИКУМ</t>
  </si>
  <si>
    <t>Карташевич А. Н., Белоусов В. А., Рудашко А. А., Новиков А. В., Карташевич А. Н.</t>
  </si>
  <si>
    <t>978-5-16-018605-4</t>
  </si>
  <si>
    <t>23.03.02, 23.03.03, 23.04.02, 23.04.03, 35.03.06, 35.04.06</t>
  </si>
  <si>
    <t>Допущено Министерством образования Республики Беларусь в качестве учебного пособия для студентов высших учебных заведений по специальностям «Техническое обеспечение процессов сельскохозяйственного производства», «Ремонтно-обслуживающее производство в сельском хозяйстве», «Автосервис», «Техническое обслуживание автомобилей»</t>
  </si>
  <si>
    <t>Белорусская государственная сельскохозяйственная академия</t>
  </si>
  <si>
    <t>182050.05.01</t>
  </si>
  <si>
    <t>Диалектология словацкого языка: Уч.пос. / К.В.Лифанов - М.:НИЦ ИНФРА-М,2023 - 86с.(ВО)(о)</t>
  </si>
  <si>
    <t>ДИАЛЕКТОЛОГИЯ СЛОВАЦКОГО ЯЗЫКА</t>
  </si>
  <si>
    <t>Лифанов К.В.</t>
  </si>
  <si>
    <t>978-5-16-009884-5</t>
  </si>
  <si>
    <t>45.03.01, 45.03.02, 45.03.03</t>
  </si>
  <si>
    <t>715671.03.01</t>
  </si>
  <si>
    <t>Дидактика начального образования: Уч.пос. / Под ред. Воронцова А.В.-М.:НИЦ ИНФРА-М,2023.-343 с.(ВО)(П)</t>
  </si>
  <si>
    <t>ДИДАКТИКА НАЧАЛЬНОГО ОБРАЗОВАНИЯ</t>
  </si>
  <si>
    <t>Воронцова А.В., Сутягина Т.В., Павлова О.А. и др.</t>
  </si>
  <si>
    <t>978-5-16-016627-8</t>
  </si>
  <si>
    <t>Начальная школа</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</si>
  <si>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(квалификация (степень) «бакалавр») (протокол № 6 от 16.06.2021)</t>
  </si>
  <si>
    <t>Костромской государственный университет</t>
  </si>
  <si>
    <t>660285.06.01</t>
  </si>
  <si>
    <t>Дизайн в культур.пространстве: Уч.пос. / Л.М.Дмитриева-М.:Магистр, НИЦ ИНФРА-М,2023.-152 с.(О)</t>
  </si>
  <si>
    <t>ДИЗАЙН В КУЛЬТУРНОМ ПРОСТРАНСТВЕ</t>
  </si>
  <si>
    <t>Дмитриева Л.М., Балюта П.А.</t>
  </si>
  <si>
    <t>978-5-9776-0461-1</t>
  </si>
  <si>
    <t>07.03.03, 54.03.01, 54.03.03</t>
  </si>
  <si>
    <t>851910.01.01</t>
  </si>
  <si>
    <t>Дизайн и рекламные технологии: Уч.пос. /О.Н.Ткаченко - М.:Магистр, НИЦ ИНФРА-М,2025 -176 с.(СПО)(о)</t>
  </si>
  <si>
    <t>ДИЗАЙН И РЕКЛАМНЫЕ ТЕХНОЛОГИИ</t>
  </si>
  <si>
    <t>Ткаченко О.Н., Дмитриева Л.М.</t>
  </si>
  <si>
    <t>978-5-9776-0583-0</t>
  </si>
  <si>
    <t>42.02.01, 54.02.01</t>
  </si>
  <si>
    <t>242600.12.01</t>
  </si>
  <si>
    <t>Дизайн и рекламные технологии: Уч.пос. /О.Н.Ткаченко-М.:Магистр, НИЦ ИНФРА-М,2024-176с.(Бакалавр.)(О)</t>
  </si>
  <si>
    <t>978-5-9776-0288-4</t>
  </si>
  <si>
    <t>41.03.06, 42.03.01, 42.04.01</t>
  </si>
  <si>
    <t>Допущено УМО вузов Российской Федерации по образованию в области международных отношений в качестве учебного пособия для студентов высших учебных заведений, обучающихся по направлению подготовки (специальности) «Реклама и связи с общественностью»</t>
  </si>
  <si>
    <t>228500.07.01</t>
  </si>
  <si>
    <t>Динамика двигателей. Курсовое проектир.: Уч.пос. / А.Н.Гоц, - 3 изд. - М.:НИЦ ИНФРА-М,2025 - 175 с.(П)</t>
  </si>
  <si>
    <t>ДИНАМИКА ДВИГАТЕЛЕЙ. КУРСОВОЕ ПРОЕКТИРОВАНИЕ, ИЗД.3</t>
  </si>
  <si>
    <t>Гоц А.Н.</t>
  </si>
  <si>
    <t>978-5-16-015774-0</t>
  </si>
  <si>
    <t>13.03.03</t>
  </si>
  <si>
    <t>Допущено ФУМО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13.03.03 «Энергетическое машиностроение», профиль «Двигатели внутреннего сгорания»</t>
  </si>
  <si>
    <t>Владимирский государственный университет им. А.Г. и Н.Г. Столетовых</t>
  </si>
  <si>
    <t>228500.04.01</t>
  </si>
  <si>
    <t>Динамика двигателей. Курсовое проектирование:Уч.пос. / А.Н.Гоц, - 2-е изд., испр. и доп.-М.:Форум, НИЦ ИНФРА-М,2019.-160 с..-(Высшее образован</t>
  </si>
  <si>
    <t>ДИНАМИКА ДВИГАТЕЛЕЙ. КУРСОВОЕ ПРОЕКТИРОВАНИЕ, ИЗД.2</t>
  </si>
  <si>
    <t>Гоц А. Н.</t>
  </si>
  <si>
    <t>978-5-91134-790-1</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</si>
  <si>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специальности 140501 «Двигатели внутреннего сгорания» и направлению подготовки 140500 «Энергетическре машиностроение»</t>
  </si>
  <si>
    <t>702438.04.01</t>
  </si>
  <si>
    <t>Динамика электрического подвижного состава: Уч.пос. / А.С.Мазнев-М.:НИЦ ИНФРА-М,2024.-214 с..(ВО.Сп)(п)</t>
  </si>
  <si>
    <t>ДИНАМИКА ЭЛЕКТРИЧЕСКОГО ПОДВИЖНОГО СОСТАВА</t>
  </si>
  <si>
    <t>Мазнев А.С., Изварин М.Ю., Евстафьев А.М.</t>
  </si>
  <si>
    <t>978-5-16-014968-4</t>
  </si>
  <si>
    <t>23.05.03, 23.05.04</t>
  </si>
  <si>
    <t>Рекомендовано Учебно-методическим объединением по образованию в области железнодорожного транспорта и транспортного строительства в качестве учебного пособия для студентов вузов железнодорожного транспорта</t>
  </si>
  <si>
    <t>Петербургский государственный университет путей сообщения Императора Александра I</t>
  </si>
  <si>
    <t>124100.11.01</t>
  </si>
  <si>
    <t>Дипломатическая служба: Уч. пос. / В.В.Самойленко, - 2 изд.-М.:Юр. НОРМА, НИЦ ИНФРА-М,2024.-336 с.(п)</t>
  </si>
  <si>
    <t>ДИПЛОМАТИЧЕСКАЯ СЛУЖБА, ИЗД.2</t>
  </si>
  <si>
    <t>Самойленко В.В.</t>
  </si>
  <si>
    <t>978-5-91768-531-1</t>
  </si>
  <si>
    <t>Дипломатическая академия Министерства иностранных дел Российской Федерации</t>
  </si>
  <si>
    <t>825539.01.01</t>
  </si>
  <si>
    <t>Дипломатические архивы России в дореволюц. период: Уч.пос. / О.Г.Санин - М.:НИЦ ИНФРА-М,2025. - 341 с.(ВО)(п)</t>
  </si>
  <si>
    <t>ДИПЛОМАТИЧЕСКИЕ АРХИВЫ РОССИИ В ДОРЕВОЛЮЦИОННЫЙ ПЕРИОД</t>
  </si>
  <si>
    <t>Санин О.Г.</t>
  </si>
  <si>
    <t>978-5-16-019893-4</t>
  </si>
  <si>
    <t>41.03.05, 46.03.01, 46.03.02</t>
  </si>
  <si>
    <t>077650.25.01</t>
  </si>
  <si>
    <t>Дипломное проектир. автотрансп. предпр.: Уч.пос. / И.С.Туревский - М.:ИД Форум,НИЦ ИНФРА-М,2025 - 240 с.(СПО)(П)</t>
  </si>
  <si>
    <t>ДИПЛОМНОЕ ПРОЕКТИРОВАНИЕ АВТОТРАНСПОРТНЫХ ПРЕДПРИЯТИЙ</t>
  </si>
  <si>
    <t>978-5-8199-0765-8</t>
  </si>
  <si>
    <t>23.01.03, 23.01.17, 23.02.02, 23.02.03, 23.02.07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</si>
  <si>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</si>
  <si>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085890.11.01</t>
  </si>
  <si>
    <t>Дипломное проектир. станций тех. обслуж.: Уч.пос. / И.С.Туревский - М.:ИД ФОРУМ, ИНФРА-М,2025 - 240 с.(п)</t>
  </si>
  <si>
    <t>ДИПЛОМНОЕ ПРОЕКТИРОВАНИЕ СТАНЦИЙ ТЕХНИЧЕСКОГО ОБСЛУЖИВАНИЯ АВТОМОБИЛЕЙ</t>
  </si>
  <si>
    <t>Туревский И.С., Колубаев Б.Д.</t>
  </si>
  <si>
    <t>978-5-8199-0750-4</t>
  </si>
  <si>
    <t>23.01.03, 23.01.17, 23.02.03, 23.02.07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</si>
  <si>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</si>
  <si>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720207.03.01</t>
  </si>
  <si>
    <t>Дискретная математика. Задачи и упр..: Уч.мет.пос. / А.А.Вороненко, - 2 изд.-М.:НИЦ ИНФРА-М,2024.-105 с.(о)</t>
  </si>
  <si>
    <t>ДИСКРЕТНАЯ МАТЕМАТИКА. ЗАДАЧИ И УПРАЖНЕНИЯ С РЕШЕНИЯМИ, ИЗД.2</t>
  </si>
  <si>
    <t>Вороненко А.А., Федорова В.С.</t>
  </si>
  <si>
    <t>978-5-16-015671-2</t>
  </si>
  <si>
    <t>09.02.01, 09.02.05, 09.02.06, 09.02.07, 09.02.08, 09.02.09, 09.02.10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</si>
  <si>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17 от 11.11.2019)</t>
  </si>
  <si>
    <t>431450.11.01</t>
  </si>
  <si>
    <t>Дискретная математика. Задачи...: Уч.мет.пос. / А.А.Вороненко, - 2 изд., -М.:ИНФРА-М,2024-105с(ВО)(о)</t>
  </si>
  <si>
    <t>978-5-16-019192-8</t>
  </si>
  <si>
    <t>01.03.02, 02.03.02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</si>
  <si>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</si>
  <si>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431450.10.01</t>
  </si>
  <si>
    <t>Дискретная математика. Задачи...: Уч.-метод. пос./А.А.Вороненко - М.: НИЦ ИНФРА-М, 2022-104с.(ВО) (О)</t>
  </si>
  <si>
    <t>ДИСКРЕТНАЯ МАТЕМАТИКА. ЗАДАЧИ И УПРАЖНЕНИЯ С РЕШЕНИЯМИ</t>
  </si>
  <si>
    <t>Вороненко А. А., Федорова В. С.</t>
  </si>
  <si>
    <t>978-5-16-006601-1</t>
  </si>
  <si>
    <t>Допущено У МО по классическому университетскому образованию в качестве учебного пособия для студентов высших учебных заведении, обучающихся по направлениям В ПО 010400 «Прикладная математика и информатика» и 010300 «Фундаментальная информатика и инфо</t>
  </si>
  <si>
    <t>646565.05.01</t>
  </si>
  <si>
    <t>Дискретная математика. Сборник задач: Уч.пос. / А.И.Гусева и др.-М.:КУРС, НИЦ ИНФРА-М,2021-224с(П)</t>
  </si>
  <si>
    <t>ДИСКРЕТНАЯ МАТЕМАТИКА. СБОРНИК ЗАДАЧ</t>
  </si>
  <si>
    <t>Гусева А.И., Киреев В.С., Тихомирова А.Н.</t>
  </si>
  <si>
    <t>978-5-906818-72-0</t>
  </si>
  <si>
    <t>438200.10.01</t>
  </si>
  <si>
    <t>Дискретная математика. Углуб. курс: Уч. / Под ред. Чечкина А.В.-М.:КУРС, НИЦ ИНФРА-М,2024-278 с(П)</t>
  </si>
  <si>
    <t>ДИСКРЕТНАЯ МАТЕМАТИКА. УГЛУБЛЕННЫЙ КУРС</t>
  </si>
  <si>
    <t>Соболева Т.С., Чечкин А.В.</t>
  </si>
  <si>
    <t>978-5-906818-11-9</t>
  </si>
  <si>
    <t>01.03.04, 09.03.01, 09.03.03, 10.03.01, 11.03.02</t>
  </si>
  <si>
    <t>Российский государственный университет нефти и газа (НИУ) им. И.М. Губкина</t>
  </si>
  <si>
    <t>690569.03.01</t>
  </si>
  <si>
    <t>Дискретная математика: прикладные методы..: Уч.пос. / Н.И.Гданский-М.:НИЦ ИНФРА-М,2025.-466 с.(ВО)(П)</t>
  </si>
  <si>
    <t>ДИСКРЕТНАЯ МАТЕМАТИКА: ПРИКЛАДНЫЕ МЕТОДЫ ТЕОРИИ МНОЖЕСТВ, ПОДСЧЕТА И ПРЕДСТАВЛЕНИЯ ИНФОРМАЦИИ И МАТЕМАТИЧЕСКОЙ ЛОГИКИ</t>
  </si>
  <si>
    <t>Гданский Н.И.</t>
  </si>
  <si>
    <t>978-5-16-016956-9</t>
  </si>
  <si>
    <t>01.03.01, 01.03.02, 01.05.01, 02.03.02, 02.03.03, 03.03.02, 04.03.02, 06.05.01, 09.03.03, 09.03.04, 10.05.01, 10.05.02, 10.05.03, 10.05.04, 10.05.05, 11.03.02, 11.05.01, 12.03.03, 12.03.04, 14.05.02, 14.05.04, 15.03.06, 21.05.04, 24.05.06, 27.05.01, 45.03.04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</si>
  <si>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подготовки 09.03.00 «Информатика и вычислительная техника» (квалификация (степень) «бакалавр») (протокол № 5 от 11.05.2022)</t>
  </si>
  <si>
    <t>646563.07.01</t>
  </si>
  <si>
    <t>Дискретная математика: Уч. / А.И.Гусева - М.:КУРС, НИЦ ИНФРА-М,2024 - 208 с.-(СПО)(П)</t>
  </si>
  <si>
    <t>ДИСКРЕТНАЯ МАТЕМАТИКА</t>
  </si>
  <si>
    <t>978-5-906818-21-8</t>
  </si>
  <si>
    <t>179850.12.01</t>
  </si>
  <si>
    <t>Дискретная математика: Уч. / В.Б.Алексеев - М.:НИЦ ИНФРА-М,2023 - 133 с.(ВО)(П)</t>
  </si>
  <si>
    <t>Алексеев В.Б.</t>
  </si>
  <si>
    <t>978-5-16-018503-3</t>
  </si>
  <si>
    <t>01.03.01, 01.03.02, 01.03.03, 01.04.01, 01.04.02, 01.04.03, 02.03.01, 02.03.02, 02.03.03, 02.04.01, 02.04.02, 02.04.03, 03.03.01, 03.03.02, 03.03.03, 03.04.01, 03.04.02, 03.04.03, 04.03.02, 04.04.01, 04.04.02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</si>
  <si>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01.00.00 «Математика и механика» (квалификация (степень) «бакалавр») (протокол № 9 от 28.09.2020)</t>
  </si>
  <si>
    <t>720240.01.01</t>
  </si>
  <si>
    <t>Дискретная математика: Уч.пос. / В.В.Куликов - М.:ИЦ РИОР, НИЦ ИНФРА-М,2020 - 174 с.-(СПО)(П)</t>
  </si>
  <si>
    <t>Куликов В.В.</t>
  </si>
  <si>
    <t>978-5-369-01826-2</t>
  </si>
  <si>
    <t>652698.03.01</t>
  </si>
  <si>
    <t>Дискретная математика: Уч.пос. / В.Е.Ходаков-М.:НИЦ ИНФРА-М,2024.-542 с..-(ВО)(п)</t>
  </si>
  <si>
    <t>Ходаков В.Е., Соколова Н.А.</t>
  </si>
  <si>
    <t>978-5-16-019532-2</t>
  </si>
  <si>
    <t>01.03.02, 02.03.02, 02.03.03, 02.04.03, 03.03.02, 04.03.02, 09.03.03, 09.03.04, 11.03.02, 21.05.04, 45.03.04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</si>
  <si>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9 от 13.05.2019)</t>
  </si>
  <si>
    <t>079850.16.01</t>
  </si>
  <si>
    <t>Дискретная математика: Уч.пос. / С.А.Канцедал - М.:ИД Форум, НИЦ ИНФРА-М,2025 - 222 с.(СПО)(П)</t>
  </si>
  <si>
    <t>Канцедал С. А.</t>
  </si>
  <si>
    <t>978-5-8199-0719-1</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</si>
  <si>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</si>
  <si>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084180.08.01</t>
  </si>
  <si>
    <t>Дискретная математика: Учебное пособие / В.В. Куликов. - М.: РИОР, 2020. - 174 с.- (Высшее обр.) (п)</t>
  </si>
  <si>
    <t>Куликов В. В.</t>
  </si>
  <si>
    <t>978-5-369-00205-6</t>
  </si>
  <si>
    <t>01.03.01, 01.03.02, 01.03.04, 02.03.01, 02.03.02, 02.03.03, 02.04.03, 03.03.02, 04.03.02, 09.03.03, 09.03.04, 11.03.02, 45.03.04</t>
  </si>
  <si>
    <t>Рек. УМО по обр. в обл. телекоммун.  в кач-ве уч. пос. для студ. вузов, обуч. по спец. Физика и техн. оптич. связи, 201000 Многокан. телеком. сист., 201100 Радиосвязь, радиовещ. и телев., 201200 Ср-ва связи с подвиж. объект., 201300 Защищ. сист. связ</t>
  </si>
  <si>
    <t>791615.02.01</t>
  </si>
  <si>
    <t>Диссертанту о диссертации: семантический аспект: Уч.пос. / В.М.Аникин - М.:НИЦ ИНФРА-М,2025. - 225 с.(ВО)(п)</t>
  </si>
  <si>
    <t>ДИССЕРТАНТУ О ДИССЕРТАЦИИ: СЕМАНТИЧЕСКИЙ АСПЕКТ</t>
  </si>
  <si>
    <t>Аникин В.М., Пойзнер Б.Н.</t>
  </si>
  <si>
    <t>978-5-16-020504-5</t>
  </si>
  <si>
    <t>00.05.16</t>
  </si>
  <si>
    <t>437250.09.01</t>
  </si>
  <si>
    <t>Диссертация в зеркале автореферата: Метод. пос. для.../ В.М.Аникин - 3 изд. - М.:НИЦ ИНФРА-М,2025 - 128 с.(о)</t>
  </si>
  <si>
    <t>ДИССЕРТАЦИЯ В ЗЕРКАЛЕ АВТОРЕФЕРАТА, ИЗД.3</t>
  </si>
  <si>
    <t>Аникин В. М., Усанов Д. А.</t>
  </si>
  <si>
    <t>978-5-16-006722-3</t>
  </si>
  <si>
    <t>Методическое пособие</t>
  </si>
  <si>
    <t>01.04.01, 01.04.02, 01.04.03, 01.04.04, 01.06.01, 03.04.01, 03.04.02, 03.04.03, 03.06.01, 04.04.01, 04.04.02, 04.06.01, 04.07.01, 05.04.01, 05.04.02, 05.04.03, 05.04.04, 05.04.05, 05.04.06, 05.06.01, 06.04.01, 06.04.02, 06.06.01, 06.07.01, 12.06.01</t>
  </si>
  <si>
    <t>026850.25.01</t>
  </si>
  <si>
    <t>Диссертация и ученая степень: Науч.-прак. пос. / Б.А.Райзберг - 11 изд. - М.:НИЦ ИНФРА-М,2025 - 253 с.(П)</t>
  </si>
  <si>
    <t>ДИССЕРТАЦИЯ И УЧЕНАЯ СТЕПЕНЬ, ИЗД.11</t>
  </si>
  <si>
    <t>978-5-16-017457-0</t>
  </si>
  <si>
    <t>Научно-практическое пособие</t>
  </si>
  <si>
    <t>01.06.01, 02.06.01, 02.07.01, 03.06.01, 04.06.01, 04.07.01, 05.06.01, 06.06.01, 06.07.01, 07.06.01, 07.07.01, 07.09.01, 07.09.02, 07.09.03, 07.09.04, 08.06.01, 09.06.01, 10.06.01, 11.06.01, 12.06.01, 13.06.01, 14.06.01, 15.06.01, 16.06.01, 17.06.01, 20.06.01, 20.07.01, 21.06.01, 21.06.02, 22.04.02, 22.06.01, 23.06.01, 24.06.01, 25.06.01, 26.06.01, 27.06.01, 28.06.01, 29.06.01, 30.06.01, 30.07.01, 31.06.01, 31.07.01, 31.08.01, 31.08.02, 31.08.03, 31.08.04, 31.08.05, 31.08.06, 31.08.07, 31.08.08, 31.08.09, 31.08.10, 31.08.11, 31.08.12, 31.08.13, 31.08.14, 31.08.15, 31.08.16, 31.08.17, 31.08.18, 31.08.19, 31.08.20, 31.08.21, 31.08.22, 31.08.23, 31.08.24, 31.08.25, 31.08.26, 31.08.27,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 32.06.01, 32.07.01, 32.08.01, 32.08.02, 32.08.03, 32.08.04, 32.08.05, 32.08.06, 32.08.07, 32.08.08, 32.08.09, 32.08.10, 32.08.11, 32.08.12, 32.08.13, 32.08.14, 33.06.01, 33.07.01, 33.08.01, 33.08.02, 33.08.03, 35.06.01, 35.06.02, 35.06.03, 35.06.04, 36.06.01, 37.06.01, 38.06.01, 38.07.02, 39.06.01, 39.07.01, 40.06.01, 41.06.01, 41.07.01, 42.06.01, 44.06.01, 44.07.01, 44.07.02, 45.06.01, 45.07.01, 46.06.01, 47.06.01, 47.07.01, 48.06.01, 49.06.01, 49.07.01, 50.06.01, 50.07.01, 51.06.01, 52.09.01, 52.09.02, 52.09.03, 52.09.04, 52.09.05, 52.09.06, 52.09.07, 52.09.08, 53.09.01, 53.09.02, 53.09.03, 53.09.04, 53.09.05, 54.09.01, 54.09.02, 54.09.03, 54.09.04, 54.09.05, 54.09.06, 54.09.07, 55.09.01, 55.09.02, 55.09.03</t>
  </si>
  <si>
    <t>1112</t>
  </si>
  <si>
    <t>413100.09.01</t>
  </si>
  <si>
    <t>Диссидентство в СССР: ист.-прав. аспекты (1950-1980-е гг.): Уч.пос. / Л.А.Королева-М.:НИЦ ИНФРА-М,2024.-276 с.(О)</t>
  </si>
  <si>
    <t>ДИССИДЕНТСТВО В СССР: ИСТОРИКО-ПРАВОВЫЕ АСПЕКТЫ (1950-1980-Е ГГ.)</t>
  </si>
  <si>
    <t>Королева Л.А., Королев А.А.</t>
  </si>
  <si>
    <t>978-5-16-016030-6</t>
  </si>
  <si>
    <t>40.03.01, 44.03.01, 44.03.05, 46.03.01, 46.04.01</t>
  </si>
  <si>
    <t>Рекомендовано в качестве учебного пособия для студентов высших учебных заведений, обучающихся по направлению подготовки 46.04.01 «История» (квалификация (степень) «магистр»)</t>
  </si>
  <si>
    <t>658917.06.01</t>
  </si>
  <si>
    <t>Дистанционное зондирование Земли: Уч.пос. / В.М.Владимиров - М.:НИЦ ИНФРА-М, СФУ,2023 - 196 с.(П)</t>
  </si>
  <si>
    <t>ДИСТАНЦИОННОЕ ЗОНДИРОВАНИЕ ЗЕМЛИ</t>
  </si>
  <si>
    <t>Владимиров В.М., Дмитриев Д.Д., Дубровская О.А. и др.</t>
  </si>
  <si>
    <t>978-5-16-016372-7</t>
  </si>
  <si>
    <t>Допущено Министерством обороны Российской Федерации в качестве учебного пособия для студентов, обучающихся по специальности «Радиоэлектронные системы и комплексы» (per. № 492 от 11.12.2013)</t>
  </si>
  <si>
    <t>803690.05.01</t>
  </si>
  <si>
    <t>Дисциплинарный устав Вооруженных Сил РФ - 2-е изд. - М.:НИЦ ИНФРА-М,2024. - 66 с.(о)</t>
  </si>
  <si>
    <t>ДИСЦИПЛИНАРНЫЙ УСТАВ ВООРУЖЕННЫХ СИЛ РОССИЙСКОЙ ФЕДЕРАЦИИ, ИЗД.2</t>
  </si>
  <si>
    <t>Без автора</t>
  </si>
  <si>
    <t>Федеральные нормы и правила</t>
  </si>
  <si>
    <t>978-5-16-020059-0</t>
  </si>
  <si>
    <t>Устав</t>
  </si>
  <si>
    <t>56.05.01, 56.05.05</t>
  </si>
  <si>
    <t>803690.03.01</t>
  </si>
  <si>
    <t>Дисциплинарный устав Вооруженных Сил РФ - М.:НИЦ ИНФРА-М,2024.-65 с.(о)</t>
  </si>
  <si>
    <t>ДИСЦИПЛИНАРНЫЙ УСТАВ ВООРУЖЕННЫХ СИЛ РОССИЙСКОЙ ФЕДЕРАЦИИ</t>
  </si>
  <si>
    <t>978-5-16-018487-6</t>
  </si>
  <si>
    <t>328300.10.01</t>
  </si>
  <si>
    <t>Дифференциальная диагн. наруш. реч. разв.: Уч.мет.пос./О.В.Елецкая - М.:Форум,НИЦ ИНФРА-М,2024-160с(ВО)(П)</t>
  </si>
  <si>
    <t>ДИФФЕРЕНЦИАЛЬНАЯ ДИАГНОСТИКА НАРУШЕНИЙ РЕЧЕВОГО РАЗВИТИЯ</t>
  </si>
  <si>
    <t>Елецкая О.В., Тараканова А.А.</t>
  </si>
  <si>
    <t>978-5-00091-498-4</t>
  </si>
  <si>
    <t>Рекомендовано кафедрой логопедии ЛГУ им. А.С. Пушкина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</si>
  <si>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Ленинградский государственный университет им. А.С. Пушкина</t>
  </si>
  <si>
    <t>159350.09.01</t>
  </si>
  <si>
    <t>Дифференциальная психология. Модул. курс: Уч.пос. / Б.Р.Мандель -М.: Вуз.уч., НИЦ ИНФРА-М, 2024 -315с (п)</t>
  </si>
  <si>
    <t>ДИФФЕРЕНЦИАЛЬНАЯ ПСИХОЛОГИЯ. МОДУЛЬНЫЙ КУРС</t>
  </si>
  <si>
    <t>978-5-9558-0205-3</t>
  </si>
  <si>
    <t>253100.10.01</t>
  </si>
  <si>
    <t>Дифференциальная психология: Уч. / Т.Ф.Базылевич - М.:НИЦ ИНФРА-М,2024.-224 с..-(ВО: Бакалавриат)</t>
  </si>
  <si>
    <t>ДИФФЕРЕНЦИАЛЬНАЯ ПСИХОЛОГИЯ</t>
  </si>
  <si>
    <t>Базылевич Т.Ф.</t>
  </si>
  <si>
    <t>978-5-16-009399-4</t>
  </si>
  <si>
    <t>726281.04.01</t>
  </si>
  <si>
    <t>Дифференциальные урав. в примерах и задачах: Уч.пос. / Г.С.Жукова-М.:НИЦ ИНФРА-М,2024.-348 с.(ВО)(П)</t>
  </si>
  <si>
    <t>ДИФФЕРЕНЦИАЛЬНЫЕ УРАВНЕНИЯ В ПРИМЕРАХ И ЗАДАЧАХ</t>
  </si>
  <si>
    <t>Жукова Г.С.</t>
  </si>
  <si>
    <t>978-5-16-019782-1</t>
  </si>
  <si>
    <t>01.03.01, 01.03.02, 01.03.03, 01.03.04, 02.03.01, 02.03.02, 02.03.03, 03.03.02, 03.03.03</t>
  </si>
  <si>
    <t>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химико-технологическим направлениям и биотехнологии</t>
  </si>
  <si>
    <t>728009.01.01</t>
  </si>
  <si>
    <t>Дифференциальные уравнения: Уч. / Г.С.Жукова - М.:НИЦ ИНФРА-М,2020 - 504 с.(ВО: Бакалавриат)(П)</t>
  </si>
  <si>
    <t>ДИФФЕРЕНЦИАЛЬНЫЕ УРАВНЕНИЯ</t>
  </si>
  <si>
    <t>978-5-16-015970-6</t>
  </si>
  <si>
    <t>04.03.02</t>
  </si>
  <si>
    <t>Рекомендовано Учебно-методическим объединением вузов России по образованию в области химической технологии и биотехнологии в качестве учебного пособия для студентов высших учебных заведений, обучающихся по химико-технологическим направлениям и биотехнологии</t>
  </si>
  <si>
    <t>467150.06.01</t>
  </si>
  <si>
    <t>Доверительное управ. финанс. активами: Уч. пос. / Н.М.Ребельский-М.:Вуз. уч., НИЦ ИНФРА-М,2022.-224 с.(П)</t>
  </si>
  <si>
    <t>ДОВЕРИТЕЛЬНОЕ УПРАВЛЕНИЕ ФИНАНСОВЫМИ АКТИВАМИ</t>
  </si>
  <si>
    <t>Ребельский Н.М.</t>
  </si>
  <si>
    <t>978-5-9558-0369-2</t>
  </si>
  <si>
    <t>38.03.01, 38.03.02, 38.04.01, 38.04.08</t>
  </si>
  <si>
    <t>682859.07.01</t>
  </si>
  <si>
    <t>Доврачебная мед. помощь при неотложных сост. у детей: Уч.пос. / Д.И.Зелинская-М.:НИЦ ИНФРА-М,2025.-74с(О)</t>
  </si>
  <si>
    <t>ДОВРАЧЕБНАЯ МЕДИЦИНСКАЯ ПОМОЩЬ ПРИ НЕОТЛОЖНЫХ СОСТОЯНИЯХ У ДЕТЕЙ</t>
  </si>
  <si>
    <t>Зелинская Д.И., Терлецкая Р.Н.</t>
  </si>
  <si>
    <t>978-5-16-013912-8</t>
  </si>
  <si>
    <t>34.02.01</t>
  </si>
  <si>
    <t>Рекомендовано в качестве учебного пособия для студентов средних профессиональных учебных заведений, обучающихся по специальности 34.02.01 «Сестринское дело»</t>
  </si>
  <si>
    <t>Российская медицинская академия непрерывного профессионального образования</t>
  </si>
  <si>
    <t>215200.09.01</t>
  </si>
  <si>
    <t>Дознание в органах внутренних дел:  ист.-правовой аспект: Уч. пос. / М.А.Маков - ИНФРА-М,2025 -126 с.(о)</t>
  </si>
  <si>
    <t>ДОЗНАНИЕ В ОРГАНАХ ВНУТРЕННИХ ДЕЛ:  ИСТОРИКО-ПРАВОВОЙ АСПЕКТ</t>
  </si>
  <si>
    <t>Маков М. А., Борисов А. В., Рыжова Ю. В., Яковлев К. Л., Мулукаев Р. С.</t>
  </si>
  <si>
    <t>978-5-16-006901-2</t>
  </si>
  <si>
    <t>Министерство внутренних дел Российской Федерации</t>
  </si>
  <si>
    <t>754530.02.01</t>
  </si>
  <si>
    <t>Доказывание в уголовном процессе РФ: Уч.пос. / М.В.Слифиш - М.:НИЦ ИНФРА-М,2025. - 255 с.(ВО.)(п)</t>
  </si>
  <si>
    <t>ДОКАЗЫВАНИЕ В УГОЛОВНОМ ПРОЦЕССЕ РОССИЙСКОЙ ФЕДЕРАЦИИ</t>
  </si>
  <si>
    <t>Слифиш М.В.</t>
  </si>
  <si>
    <t>978-5-16-020883-1</t>
  </si>
  <si>
    <t>10.05.04, 38.05.01, 38.05.02, 40.03.01, 40.05.01, 40.05.02, 40.05.03, 40.05.04</t>
  </si>
  <si>
    <t>842884.01.01</t>
  </si>
  <si>
    <t>Доказывание и доказательства по экономич. спорам... / О.С.Смолина-М.:Юр. НОРМА, НИЦ ИНФРА-М,2025.-284 с.(п)</t>
  </si>
  <si>
    <t>ДОКАЗЫВАНИЕ И ДОКАЗАТЕЛЬСТВА ПО ЭКОНОМИЧЕСКИМ СПОРАМ В</t>
  </si>
  <si>
    <t>Смолина О.С.</t>
  </si>
  <si>
    <t>978-5-00156-394-5</t>
  </si>
  <si>
    <t>40.03.01, 40.04.01, 40.05.02, 40.05.04, 40.06.01</t>
  </si>
  <si>
    <t>206500.08.01</t>
  </si>
  <si>
    <t>Докторант вуза: диссертация, подгот. к защите..: Практ. пос. / С.Д.Резник - 3 изд. - М.: ИНФРА-М, 2025 - 282 с.(П)</t>
  </si>
  <si>
    <t>ДОКТОРАНТ ВУЗА: ДИССЕРТАЦИЯ, ПОДГОТОВКА К ЗАЩИТЕ, ЛИЧНАЯ ОРГАНИЗАЦИЯ, ИЗД.3</t>
  </si>
  <si>
    <t>978-5-16-017303-0</t>
  </si>
  <si>
    <t>37.06.01, 38.06.01, 38.07.02, 39.06.01, 39.07.01, 40.06.01, 41.06.01, 41.07.01, 44.06.01, 44.07.01</t>
  </si>
  <si>
    <t>Рекомендовано Советом учебно-методического объединения вузов России по образованию в области менеджмента в качестве практического пособия для системы послевузовского профессионального образования — докторантуры высших учебных заведений</t>
  </si>
  <si>
    <t>206500.05.01</t>
  </si>
  <si>
    <t>Докторант вуза: диссертация, подгот. к защите..: Практ. пос. /С.Д.Резник- 2изд.ИНФРА-М, 2020-299с(П)</t>
  </si>
  <si>
    <t>ДОКТОРАНТ ВУЗА: ДИССЕРТАЦИЯ, ПОДГОТОВКА К ЗАЩИТЕ, ЛИЧНАЯ ОРГАНИЗАЦИЯ, ИЗД.2</t>
  </si>
  <si>
    <t>Резник С. Д.</t>
  </si>
  <si>
    <t>978-5-16-006783-4</t>
  </si>
  <si>
    <t>Пособие</t>
  </si>
  <si>
    <t>Рекомендовано Советом учебно-методического объединения вузов России по образованию в области менеджмента в качестве практического пособия для системы послевузовского профессионального образования - докторантуры высших учебных заведений</t>
  </si>
  <si>
    <t>313700.08.01</t>
  </si>
  <si>
    <t>Докторская диссертация: успешно, эффект.и с удовольств. / С.Влади - М.:Магистр,НИЦ ИНФРА-М,2024 - 128с.(О)</t>
  </si>
  <si>
    <t>ДОКТОРСКАЯ ДИССЕРТАЦИЯ: УСПЕШНО, ЭФФЕКТИВНО И С УДОВОЛЬСТВИЕМ</t>
  </si>
  <si>
    <t>Влади С.</t>
  </si>
  <si>
    <t>978-5-9776-0339-3</t>
  </si>
  <si>
    <t>Общественные науки в целом</t>
  </si>
  <si>
    <t>37.06.01, 38.06.01, 39.06.01, 40.06.01</t>
  </si>
  <si>
    <t>Мельбурнский университет</t>
  </si>
  <si>
    <t>393000.05.01</t>
  </si>
  <si>
    <t>Документационное обесп.кадровой деят...: Уч.пос. / Лаврентьева М.Г. - М.:НИЦ ИНФРА-М,2020 - 99 с.(О)</t>
  </si>
  <si>
    <t>ДОКУМЕНТАЦИОННОЕ ОБЕСПЕЧЕНИЕ КАДРОВОЙ ДЕЯТЕЛЬНОСТИ В СФЕРЕ ИНДУСТРИИ ГОСТЕПРИИМСТВА</t>
  </si>
  <si>
    <t>Лаврентьева М.Г., Можаев А.В., Можаева Н.Г.</t>
  </si>
  <si>
    <t>978-5-16-011901-4</t>
  </si>
  <si>
    <t>43.03.01, 43.03.02, 43.03.03, 43.04.03</t>
  </si>
  <si>
    <t>Рекомендовано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t>
  </si>
  <si>
    <t>Московский колледж бизнес-технологий</t>
  </si>
  <si>
    <t>703746.06.01</t>
  </si>
  <si>
    <t>Документационное обеспеч. кадровой деят. в..: Уч.пос. / Можаева Н.Г. - М.:НИЦ ИНФРА-М,2024 - 99 с.(СПО)(О)</t>
  </si>
  <si>
    <t>978-5-16-014893-9</t>
  </si>
  <si>
    <t>43.02.16, 46.01.03, 46.02.01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</si>
  <si>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43.02.10 «Туризм», 43.02.11 «Гостиничный сервис», 43.02.14 «Гостиничное дело»</t>
  </si>
  <si>
    <t>160750.14.01</t>
  </si>
  <si>
    <t>Документационное обеспечение управл.: Уч.пос. / Т.А.Быкова - 2 изд. - М.:НИЦ ИНФРА-М,2024 - 304с(П)</t>
  </si>
  <si>
    <t>ДОКУМЕНТАЦИОННОЕ ОБЕСПЕЧЕНИЕ УПРАВЛЕНИЯ (ДЕЛОПРОИЗВОДСТВО), ИЗД.2</t>
  </si>
  <si>
    <t>Быкова Т.А., Кузнецова Т.В., Санкина Л.В. и др.</t>
  </si>
  <si>
    <t>978-5-16-004805-5</t>
  </si>
  <si>
    <t>38.03.01, 38.03.02, 38.03.03, 38.03.04, 38.04.02, 38.04.03, 38.04.04, 41.03.06, 46.03.02</t>
  </si>
  <si>
    <t>Допущено Учебно-методическим объединением вузов России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46.03.02 «Документоведение и архивоведение» и специальности 03.20.01 «Документоведение и документационное обеспечение управления»</t>
  </si>
  <si>
    <t>729086.03.01</t>
  </si>
  <si>
    <t>Документирование хоз. операций и ведение бух. учета имущества орг.: Уч. / М.Д.Акатьева-М.:НИЦ ИНФРА-М,2022-242 с.-(СПО)(П)</t>
  </si>
  <si>
    <t>ДОКУМЕНТИРОВАНИЕ ХОЗЯЙСТВЕННЫХ ОПЕРАЦИЙ И ВЕДЕНИЕ БУХГАЛТЕРСКОГО УЧЕТА ИМУЩЕСТВА ОРГАНИЗАЦИИ</t>
  </si>
  <si>
    <t>978-5-16-015928-7</t>
  </si>
  <si>
    <t>38.01.01, 38.02.01, 38.02.03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</si>
  <si>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«Экономика и бухгалтерский учет (по отраслям)» (протокол № 8 от 22.06.2020)</t>
  </si>
  <si>
    <t>771935.01.01</t>
  </si>
  <si>
    <t>Документирование хоз.операций и ведение бух. учета..: Уч. / Г.И.Алексеева-М.:НИЦ ИНФРА-М,2024.-459 с.(п)</t>
  </si>
  <si>
    <t>978-5-16-018032-8</t>
  </si>
  <si>
    <t>747959.01.01</t>
  </si>
  <si>
    <t>Документы и сведения, необходимые для совер. тамож...: Уч.пос. / Под ред. Елфимовой О.С.-М.:НИЦ ИНФРА-М,2022.-188 с.(П)</t>
  </si>
  <si>
    <t>ДОКУМЕНТЫ И СВЕДЕНИЯ, НЕОБХОДИМЫЕ ДЛЯ СОВЕРШЕНИЯ ТАМОЖЕННЫХ ОПЕРАЦИЙ</t>
  </si>
  <si>
    <t>Елфимова О.С., Лузина Т.В., Вакорина Е.А. и др.</t>
  </si>
  <si>
    <t>978-5-16-016952-1</t>
  </si>
  <si>
    <t>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</si>
  <si>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8 от 20.10.2021)</t>
  </si>
  <si>
    <t>290300.08.01</t>
  </si>
  <si>
    <t>Долгосрочная финанс. политика орг.: Уч.пос. / Е.Н.Карпова - 2 изд. - М.:НИЦ ИНФРА-М,2025 - 193 с.(ВО)(П)</t>
  </si>
  <si>
    <t>ДОЛГОСРОЧНАЯ ФИНАНСОВАЯ ПОЛИТИКА ОРГАНИЗАЦИИ, ИЗД.2</t>
  </si>
  <si>
    <t>Карпова Е.Н., Кочановская О.М., Усенко А.М. и др.</t>
  </si>
  <si>
    <t>978-5-16-014376-7</t>
  </si>
  <si>
    <t>38.03.01, 38.03.02, 38.04.01, 38.04.02, 38.04.08, 41.03.06</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</si>
  <si>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Регистрационный номер рецензии 128 от 18.04.2014 (ФГАУ ФИРО)</t>
  </si>
  <si>
    <t>290300.05.01</t>
  </si>
  <si>
    <t>Долгосрочная финанс. политика организации: Уч.пос. / Е.Н.Карпова - М.:Альфа-М, НИЦ ИНФРА-М,2019-208с</t>
  </si>
  <si>
    <t>ДОЛГОСРОЧНАЯ ФИНАНСОВАЯ ПОЛИТИКА ОРГАНИЗАЦИИ</t>
  </si>
  <si>
    <t>Карпова Е. Н., Кочановская О. М., Усенко А. М., Коновалов А. А.</t>
  </si>
  <si>
    <t>978-5-98281-404-3</t>
  </si>
  <si>
    <t>706523.10.01</t>
  </si>
  <si>
    <t>Допуски, посадки и технические измерения: Уч.пос. / В.Э.Завистовский - М.:НИЦ ИНФРА-М,2025 - 278с(СПО)(П)</t>
  </si>
  <si>
    <t>ДОПУСКИ, ПОСАДКИ И ТЕХНИЧЕСКИЕ ИЗМЕРЕНИЯ</t>
  </si>
  <si>
    <t>Завистовский В.Э., Завистовский С.Э.</t>
  </si>
  <si>
    <t>978-5-16-015152-6</t>
  </si>
  <si>
    <t>15.01.35, 15.01.37, 15.02.01, 15.02.04, 15.02.07, 15.02.10, 15.02.16, 15.02.17, 15.02.18, 22.01.04, 23.01.10, 24.01.01, 35.01.05, 35.01.30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</si>
  <si>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программы среднего профессионального образования по техническим специальностям (протокол № 5 от 11.03.2019)</t>
  </si>
  <si>
    <t>Полоцкий государственный университет, научная библиотека</t>
  </si>
  <si>
    <t>434650.10.01</t>
  </si>
  <si>
    <t>Дорожное грунтоведение и механика...: Уч.пос. / Ю.Г.Бабаскин-М.:НИЦ ИНФРА-М, Нов.знание,2023-462с(П)</t>
  </si>
  <si>
    <t>ДОРОЖНОЕ ГРУНТОВЕДЕНИЕ И МЕХАНИКА ЗЕМЛЯНОГО ПОЛОТНА</t>
  </si>
  <si>
    <t>Бабаскин Ю. Г.</t>
  </si>
  <si>
    <t>978-5-16-006694-3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</si>
  <si>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«Автомобильные дороги», «Мосты, транспортные тоннели и метрополитены»</t>
  </si>
  <si>
    <t>430300.15.01</t>
  </si>
  <si>
    <t>Дорожно-строительные матер. и изделия: Уч.мет.пос. / Я.Н.Ковалев - М.:НИЦ ИНФРА-М,2025 - 630 с.(ВО)(П)</t>
  </si>
  <si>
    <t>ДОРОЖНО-СТРОИТЕЛЬНЫЕ МАТЕРИАЛЫ И ИЗДЕЛИЯ</t>
  </si>
  <si>
    <t>Ковалев Я.Н., Кравченко С.Е., Шумчик В.К.</t>
  </si>
  <si>
    <t>978-5-16-006403-1</t>
  </si>
  <si>
    <t>Рекомендовано Учебно-методическим объединением по образованию в области строительства и архитектуры в качестве учебно-методического пособия для студентов специальности 1-70 03 01 «Автомобильные дороги»</t>
  </si>
  <si>
    <t>670024.06.01</t>
  </si>
  <si>
    <t>Дорожно-строительные машины. Систем.проект...: Уч.пос./В.П.Павлов - М.:НИЦ ИНФРА-М,СФУ,2023 - 237с(ВО)(П)</t>
  </si>
  <si>
    <t>ДОРОЖНО-СТРОИТЕЛЬНЫЕ МАШИНЫ. СИСТЕМНОЕ ПРОЕКТИРОВАНИЕ, МОДЕЛИРОВАНИЕ, ОПТИМИЗАЦИЯ</t>
  </si>
  <si>
    <t>Павлов В.П., Карасев Г.Н.</t>
  </si>
  <si>
    <t>Высшее образование: Магистратура (СФУ)</t>
  </si>
  <si>
    <t>978-5-16-015979-9</t>
  </si>
  <si>
    <t>23.04.02, 23.04.03</t>
  </si>
  <si>
    <t>Допущено УМО вузов Российской Федерации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магистров «Наземные транспортные системы»</t>
  </si>
  <si>
    <t>286600.07.01</t>
  </si>
  <si>
    <t>Дорожные переходы через водотоки: Уч.пос. / Г.А.Федотов - М.:НИЦ ИНФРА-М,2024 - 520 с.(ВО)(П)</t>
  </si>
  <si>
    <t>ДОРОЖНЫЕ ПЕРЕХОДЫ ЧЕРЕЗ ВОДОТОКИ</t>
  </si>
  <si>
    <t>Федотов Г. А., Наумов Г. Г.</t>
  </si>
  <si>
    <t>978-5-16-006074-3</t>
  </si>
  <si>
    <t>Допущено Учебно-методическим объединением вузов Российской Федерации по автотранспортному и дорожному образованию в качестве учебного пособия для студентов вузов, обучающихся по направлениям обучения 08.03.01 «Строительство» и специальностям «Автомобильные дороги и аэродромы», «Мосты и транспортные тоннели»</t>
  </si>
  <si>
    <t>806243.01.01</t>
  </si>
  <si>
    <t>Доступ к цифровой инф.: правовое регулирование: Уч.пос./ А.П.Вершинин - М.:НИЦ ИНФРА-М,2024 - 241 с.(ВО)(п)</t>
  </si>
  <si>
    <t>ДОСТУП К ЦИФРОВОЙ ИНФОРМАЦИИ: ПРАВОВОЕ РЕГУЛИРОВАНИЕ</t>
  </si>
  <si>
    <t>Вершинин А.П.</t>
  </si>
  <si>
    <t>978-5-16-019230-7</t>
  </si>
  <si>
    <t>40.05.02, 40.05.04</t>
  </si>
  <si>
    <t>760199.05.01</t>
  </si>
  <si>
    <t>Досудебное производство по уголов. делу: Уч. / С.Б.Россинский - М.:Юр.Норма, НИЦ ИНФРА-М,2025 - 232 с.(П)</t>
  </si>
  <si>
    <t>ДОСУДЕБНОЕ ПРОИЗВОДСТВО ПО УГОЛОВНОМУ ДЕЛУ</t>
  </si>
  <si>
    <t>Россинский С.Б.</t>
  </si>
  <si>
    <t>978-5-00156-185-9</t>
  </si>
  <si>
    <t>665978.03.01</t>
  </si>
  <si>
    <t>Досудебное согл. о сотруд.: уголов.-процес.и криминал. аспекты: Уч.пос. / Е.И.Попова - М.:НИЦ ИНФРА-М,2025 - 168 с.(П)</t>
  </si>
  <si>
    <t>ДОСУДЕБНОЕ СОГЛАШЕНИЕ О СОТРУДНИЧЕСТВЕ: УГОЛОВНО-ПРОЦЕССУАЛЬНЫЙ И КРИМИНАЛИСТИЧЕСКИЙ АСПЕКТЫ</t>
  </si>
  <si>
    <t>Попова Е.И.</t>
  </si>
  <si>
    <t>978-5-16-014760-4</t>
  </si>
  <si>
    <t>40.04.01, 40.05.01, 40.05.02, 40.05.03, 40.05.04, 40.06.01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</si>
  <si>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17 от 11.11.2019)</t>
  </si>
  <si>
    <t>Восточно-Сибирский государственный университет технологий и управления</t>
  </si>
  <si>
    <t>448550.09.01</t>
  </si>
  <si>
    <t>Доходы, расходы и прибыль в орг. торговли: Уч.пос. / Ю.К.Баженов-М.:ИД ФОРУМ, НИЦ ИНФРА-М,2024.-95 с.(ВО)(О)</t>
  </si>
  <si>
    <t>ДОХОДЫ, РАСХОДЫ И ПРИБЫЛЬ В ОРГАНИЗАЦИЯХ ТОРГОВЛИ</t>
  </si>
  <si>
    <t>Баженов Ю.К., Иванов Г.Г.</t>
  </si>
  <si>
    <t>978-5-8199-0816-7</t>
  </si>
  <si>
    <t>38.03.01, 38.03.02, 38.03.06, 41.03.06</t>
  </si>
  <si>
    <t>Рекомендовано кафедрой торговой политики РЭУ им. Г.В. Плеханова в качестве учебного пособия для студентов высших учебных заведений, обучающихся по направлениям 38.03.06 «Торговое дело», 38.03.01 «Экономика», 38.03.02 «Менеджмент» (квалификация (степень) «бакалавр»)</t>
  </si>
  <si>
    <t>818356.02.01</t>
  </si>
  <si>
    <t>Дошкольная педагогика: Уч.пос. / С.Д.Кириенко - М.:НИЦ ИНФРА-М,2024. - 272 с. - (СПО)(п)</t>
  </si>
  <si>
    <t>ДОШКОЛЬНАЯ ПЕДАГОГИКА</t>
  </si>
  <si>
    <t>Кириенко С.Д., Проняева С.В.</t>
  </si>
  <si>
    <t>978-5-16-019438-7</t>
  </si>
  <si>
    <t>44.02.01, 44.02.03, 44.02.04, 44.02.05</t>
  </si>
  <si>
    <t>Южно-Уральский государственный гуманитарно-педагогический университет</t>
  </si>
  <si>
    <t>733186.01.01</t>
  </si>
  <si>
    <t>Дошкольная педагогика: Уч.пос. / С.Д.Кириенко-М.:НИЦ ИНФРА-М,2024.-272 с.(ВО)(п)</t>
  </si>
  <si>
    <t>978-5-16-016167-9</t>
  </si>
  <si>
    <t>44.03.01, 44.04.01</t>
  </si>
  <si>
    <t>682646.03.01</t>
  </si>
  <si>
    <t>Дошкольное образование: Уч.пос. / И.С.Тундалева - М.:НИЦ ИНФРА-М,2024 - 223 с.(СПО)(П)</t>
  </si>
  <si>
    <t>ДОШКОЛЬНОЕ ОБРАЗОВАНИЕ</t>
  </si>
  <si>
    <t>Тундалева И.С.</t>
  </si>
  <si>
    <t>978-5-16-015540-1</t>
  </si>
  <si>
    <t>44.02.01, 44.02.04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</si>
  <si>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8 от 20.10.2021)</t>
  </si>
  <si>
    <t>632783.05.01</t>
  </si>
  <si>
    <t>Древнегреческая драма классич. периода: Уч.пос. / Б.А.Гиленсон - 2 изд. - М.:НИЦ ИНФРА-М,2025 - 208 с.(ВО)(п)</t>
  </si>
  <si>
    <t>ДРЕВНЕГРЕЧЕСКАЯ ДРАМА КЛАССИЧЕСКОГО ПЕРИОДА, ИЗД.2</t>
  </si>
  <si>
    <t>978-5-16-012027-0</t>
  </si>
  <si>
    <t>41.03.06, 42.03.02, 42.03.03, 42.03.04, 44.03.01, 44.03.02, 44.03.04, 44.03.05, 45.03.01, 52.03.04, 52.03.05</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</si>
  <si>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44.03.05 «Педагогическое образование (с двумя профилями подготовки)» (квалификация (степень) «бакалавр»)</t>
  </si>
  <si>
    <t>694850.05.01</t>
  </si>
  <si>
    <t>Древнерусское искусство: Уч. / В.Д.Черный - М.:Вуз. уч., НИЦ ИНФРА-М,2025 - 661 с.-(СПО)(П)</t>
  </si>
  <si>
    <t>ДРЕВНЕРУССКОЕ ИСКУССТВО</t>
  </si>
  <si>
    <t>Черный В.Д.</t>
  </si>
  <si>
    <t>978-5-9558-0629-7</t>
  </si>
  <si>
    <t>29.01.04, 29.01.09, 38.02.02, 42.02.01, 43.02.02, 50.02.01, 51.02.01, 51.02.02, 51.02.03, 52.02.03, 52.02.04, 52.02.05, 54.01.02, 54.01.05, 54.01.06, 54.01.13, 54.02.01, 54.02.02, 54.02.04, 54.02.06, 54.02.08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</si>
  <si>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t>
  </si>
  <si>
    <t>660659.05.01</t>
  </si>
  <si>
    <t>Древнерусское искусство: Уч. / В.Д.Черный - М.:Вуз.уч., НИЦ ИНФРА-М,2025 - 656 с. - (ВО: Бакалавриат)(П)</t>
  </si>
  <si>
    <t>978-5-9558-0588-7</t>
  </si>
  <si>
    <t>50.03.01, 50.03.02, 50.03.03, 50.03.04, 54.03.01, 54.03.02, 54.03.03</t>
  </si>
  <si>
    <t>Рекомендовано в качестве учебника для студентов высших учебных заведений, обучающихся по направлениям подготовки 51.03.01 «Культурология», 50.03.01 «Искусства и гуманитарные науки», 50.03.03 «История искусств» (квалификация (степень) «бакалавр»)</t>
  </si>
  <si>
    <t>683165.04.01</t>
  </si>
  <si>
    <t>Духовно-нравственное воспитание: Уч.пос. / В.Д.Ширшов - М.:НИЦ ИНФРА-М,2024.-182 с(ВО:Магистратура)(П)</t>
  </si>
  <si>
    <t>ДУХОВНО-НРАВСТВЕННОЕ ВОСПИТАНИЕ</t>
  </si>
  <si>
    <t>Ширшов В.Д.</t>
  </si>
  <si>
    <t>978-5-16-014660-7</t>
  </si>
  <si>
    <t>44.04.01, 44.04.02, 44.04.04, 44.05.01, 44.06.01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</si>
  <si>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«магистр») (протокол № 2 от 03.02.2020)</t>
  </si>
  <si>
    <t>Уральский государственный педагогический университет</t>
  </si>
  <si>
    <t>700578.02.01</t>
  </si>
  <si>
    <t>Европейский опыт госуд. регулир.инновац. деят.: Уч.пос. / В.М.Распопов - М.:Магистр, НИЦ ИНФРА-М,2022-264с(О)</t>
  </si>
  <si>
    <t>ЕВРОПЕЙСКИЙ ОПЫТ ГОСУДАРСТВЕННОГО РЕГУЛИРОВАНИЯ ИННОВАЦИОННОЙ ДЕЯТЕЛЬНОСТИ</t>
  </si>
  <si>
    <t>Распопов В.М., Распопов В.В., Ахмадулина Т.В.</t>
  </si>
  <si>
    <t>978-5-9776-0496-3</t>
  </si>
  <si>
    <t>689991.05.01</t>
  </si>
  <si>
    <t>Европейское право. Основы интеграц. права ЕС...: Уч./Л.М.Энтин-М.:Юр.Норма, НИЦ ИНФРА-М,2023-528с(П)</t>
  </si>
  <si>
    <t>ЕВРОПЕЙСКОЕ ПРАВО. ОСНОВЫ ИНТЕГРАЦИОННОГО ПРАВА ЕВРОПЕЙСКОГО СОЮЗА И ЕВРАЗИЙСКОГО ЭКОНОМИЧЕСКОГО СОЮЗА</t>
  </si>
  <si>
    <t>Энтин Л.М., Энтин М.Л.</t>
  </si>
  <si>
    <t>978-5-91768-956-2</t>
  </si>
  <si>
    <t>689992.07.01</t>
  </si>
  <si>
    <t>Европейское право. Отрасли права ЕС и ЕврАзЭС: Уч. / Л.М.Энтин-М.:Юр.Норма, НИЦ ИНФРА-М,2024-416с(П)</t>
  </si>
  <si>
    <t>ЕВРОПЕЙСКОЕ ПРАВО. ОТРАСЛИ ПРАВА ЕС И ЕВРАЗЭС</t>
  </si>
  <si>
    <t>978-5-91768-957-9</t>
  </si>
  <si>
    <t>679377.06.01</t>
  </si>
  <si>
    <t>Европейское право: Уч.пос. / И.С.Иксанов - М.:НИЦ ИНФРА-М,2024-182с-(ВО:Бакалавриат(Финунивер.)(П)</t>
  </si>
  <si>
    <t>ЕВРОПЕЙСКОЕ ПРАВО</t>
  </si>
  <si>
    <t>Иксанов И.С.</t>
  </si>
  <si>
    <t>978-5-16-014648-5</t>
  </si>
  <si>
    <t>38.03.01, 38.04.01, 40.03.01, 40.04.01, 40.05.01, 40.05.02, 40.05.03, 40.05.04, 41.03.05, 41.04.05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</si>
  <si>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38.03.01 «Экономика»,44.03.01 «Юриспруденция», 41.03.05 «Международные отношения» (квалификация (степень) «бакалавр»)</t>
  </si>
  <si>
    <t>463350.02.01</t>
  </si>
  <si>
    <t>Единый внутренний рынок Европейского союза: Уч.пос. /Г.М.Костюнина -М.:Магистр,НИЦ ИНФРА-М, 2016-384(п)</t>
  </si>
  <si>
    <t>ЕДИНЫЙ ВНУТРЕННИЙ РЫНОК ЕВРОПЕЙСКОГО СОЮЗА</t>
  </si>
  <si>
    <t>Костюнина Г. М., Адамчук Н. Г., Баронов В. И.</t>
  </si>
  <si>
    <t>978-5-9776-0304-1</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</si>
  <si>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высших учебных заведений, обучающихся по направлениям подготовки (специальностям) "Международные отношения" и "Зарубежное регионоведение"</t>
  </si>
  <si>
    <t>651471.01.01</t>
  </si>
  <si>
    <t>Еженедельник магистранта: Пособие / С.Д.Резник и др. - М.:НИЦ ИНФРА-М,2017 - 228 с.(П) [12+]</t>
  </si>
  <si>
    <t>ЕЖЕНЕДЕЛЬНИК МАГИСТРАНТА</t>
  </si>
  <si>
    <t>Резник С.Д., Чемезов И.С., Гугина Я.С.</t>
  </si>
  <si>
    <t>Переплет 7БЦ+каптал</t>
  </si>
  <si>
    <t>978-5-16-012672-2</t>
  </si>
  <si>
    <t>15.04.01, 15.04.02, 15.04.03, 15.04.04, 15.04.05, 15.04.06, 20.04.01, 20.04.02, 37.04.01, 37.04.02, 38.04.01, 38.04.02, 38.04.03, 38.04.04, 38.04.05, 38.04.06, 38.04.07, 38.04.08, 38.04.09, 38.05.01, 38.05.02, 39.04.01, 39.04.02, 39.04.03, 40.04.01, 41.04.01, 41.04.02, 41.04.03, 41.04.04, 41.04.05, 42.04.01, 42.04.02, 42.04.03, 42.04.04, 42.04.05, 43.04.01, 43.04.02, 43.04.03, 44.04.01, 44.04.02, 44.04.03, 44.04.04</t>
  </si>
  <si>
    <t>324200.11.01</t>
  </si>
  <si>
    <t>Естественно-науч. методы судебно-эксперт. исслед.: Уч. / Е.Р.Россинская - М:Норма:ИНФРА-М,2025 - 304с(П)</t>
  </si>
  <si>
    <t>ЕСТЕСТВЕННО-НАУЧНЫЕ МЕТОДЫ СУДЕБНО-ЭКСПЕРТНЫХ ИССЛЕДОВАНИЙ</t>
  </si>
  <si>
    <t>Россинская Е.Р., Россинская Е.Р.</t>
  </si>
  <si>
    <t>978-5-91768-573-1</t>
  </si>
  <si>
    <t>Рекомендовано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40.05.03 "Судебная экспертиза»</t>
  </si>
  <si>
    <t>154350.13.01</t>
  </si>
  <si>
    <t>Железобетонные конструкции: Уч.пос. / Т.А.Журавская - 2 изд. - М.:НИЦ ИНФРА-М,2025 - 153 с.(СПО)(П)</t>
  </si>
  <si>
    <t>ЖЕЛЕЗОБЕТОННЫЕ КОНСТРУКЦИИ, ИЗД.2</t>
  </si>
  <si>
    <t>Журавская Т.А.</t>
  </si>
  <si>
    <t>978-5-16-013653-0</t>
  </si>
  <si>
    <t>08.02.01, 08.02.03</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</si>
  <si>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 по дисциплине «Строительные конструкции» по специальности 08.02.01 «Строительство и эксплуатация зданий и сооружений»</t>
  </si>
  <si>
    <t>154350.05.01</t>
  </si>
  <si>
    <t>Железобетонные конструкции: Уч.пос. / Т.А.Журавская - М.:НИЦ ИНФРА-М,2018 - 152 с.-(СПО)(О)</t>
  </si>
  <si>
    <t>ЖЕЛЕЗОБЕТОННЫЕ КОНСТРУКЦИИ</t>
  </si>
  <si>
    <t>978-5-16-013467-3</t>
  </si>
  <si>
    <t>805487.03.01</t>
  </si>
  <si>
    <t>Женщины и армия: уч. модуль для девушек: Уч.пос. / Под ред. Алексеев С.В. - М.:НИЦ ИНФРА-М,2025. - 208 с.(ВО)(п)</t>
  </si>
  <si>
    <t>ЖЕНЩИНЫ И АРМИЯ: УЧЕБНЫЙ МОДУЛЬ ДЛЯ ДЕВУШЕК</t>
  </si>
  <si>
    <t>Алексеев С.В., Данченко С.П., Костецкая Г.А. и др.</t>
  </si>
  <si>
    <t>978-5-16-018599-6</t>
  </si>
  <si>
    <t>685726.04.01</t>
  </si>
  <si>
    <t>Женщины и армия: уч. модуль для девушек: Уч.пос. / Под ред. Алексеева С.В.-М.:НИЦ ИНФРА-М,2024.-208с(П)</t>
  </si>
  <si>
    <t>978-5-16-015506-7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</si>
  <si>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14 от 30.09.2019)</t>
  </si>
  <si>
    <t>408350.12.01</t>
  </si>
  <si>
    <t>Журналистика и редактирование: Уч.пос. / Т.В.Гордиенко - М.:ИД Форум, НИЦ ИНФРА-М,2025. - 176 с.(ВО)(п)</t>
  </si>
  <si>
    <t>ЖУРНАЛИСТИКА И РЕДАКТИРОВАНИЕ</t>
  </si>
  <si>
    <t>Гордиенко Т.В.</t>
  </si>
  <si>
    <t>978-5-8199-0953-9</t>
  </si>
  <si>
    <t>41.03.06, 42.03.02, 42.03.03, 42.04.03, 43.03.01, 43.03.02, 43.04.01, 43.04.02</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</si>
  <si>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направлению подготовки 43.03.01 «Сервис»</t>
  </si>
  <si>
    <t>409850.06.01</t>
  </si>
  <si>
    <t>Задачи по теории функций и функц. анализу с реш.: Уч.пос./ Т.А.Леонтьева-М:НИЦ ИНФРА-М,2020-164с(ВО)</t>
  </si>
  <si>
    <t>ЗАДАЧИ ПО ТЕОРИИ ФУНКЦИЙ И ФУНКЦИОНАЛЬНОМУ АНАЛИЗУ С РЕШЕНИЯМИ</t>
  </si>
  <si>
    <t>Леонтьева Т.А., Домрина А.В.</t>
  </si>
  <si>
    <t>978-5-16-006429-1</t>
  </si>
  <si>
    <t>01.03.01, 01.03.02, 01.03.03, 01.03.04, 01.04.01, 01.04.02, 01.04.03, 01.04.04, 01.05.01, 02.03.01, 02.03.02, 02.03.03, 02.04.01, 02.04.02, 02.04.03, 03.03.01, 03.03.02, 03.03.03, 03.04.01, 03.04.02, 03.04.03, 03.05.01, 04.03.02, 09.03.01, 09.03.02, 09.03.03, 09.03.04, 09.04.01, 09.04.02, 09.04.03, 11.03.01, 11.03.04, 11.04.01, 11.04.02, 11.04.03, 11.04.04, 11.05.01, 11.05.02, 11.05.04, 12.03.01, 12.03.02, 12.03.03, 12.03.04, 12.03.05, 12.04.01, 12.04.02, 12.04.03, 12.04.04, 12.04.05, 12.05.01, 13.03.01, 13.03.02, 13.03.03, 13.04.01, 13.04.02, 13.04.03, 13.05.01, 13.05.02, 14.03.01, 14.03.02, 14.04.01, 14.04.02, 14.05.01, 14.05.02, 14.05.03, 14.05.04, 16.03.01, 16.03.02, 16.03.03, 16.04.01, 16.04.02</t>
  </si>
  <si>
    <t>Рекомендовано в качестве учебного пособия для студентов высших учебных заведений, обучающихся по направлению подготовки "Физико-математические науки», а также технических и педагогических вузов</t>
  </si>
  <si>
    <t>472450.13.01</t>
  </si>
  <si>
    <t>Задачник по высшей математике: Уч.пос. / В.С.Шипачев - 10 изд.,стер. - М.:НИЦ ИНФРА-М,2024-304с-(ВО)(П)</t>
  </si>
  <si>
    <t>ЗАДАЧНИК ПО ВЫСШЕЙ МАТЕМАТИКЕ, ИЗД.10</t>
  </si>
  <si>
    <t>Шипачев В. С.</t>
  </si>
  <si>
    <t>978-5-16-010071-5</t>
  </si>
  <si>
    <t>Допущено Министерством образования и науки Российской Федерации в качестве учебного пособия для студентов высших учебных заведений</t>
  </si>
  <si>
    <t>1015</t>
  </si>
  <si>
    <t>780417.01.01</t>
  </si>
  <si>
    <t>Заимствованные слова в рус. яз.: Сл. / В.Г.Маслов - М.:НИЦ ИНФРА-М,2025 - 198 с.(Б-ка сл. ИНФРА-М)(п)</t>
  </si>
  <si>
    <t>ЗАИМСТВОВАННЫЕ СЛОВА В РУССКОМ ЯЗЫКЕ</t>
  </si>
  <si>
    <t>Маслов В.Г., Маслов Д.Я.</t>
  </si>
  <si>
    <t>978-5-16-017863-9</t>
  </si>
  <si>
    <t>00.02.09, 00.02.34, 00.03.09, 00.05.09, 44.03.01, 44.03.05, 44.04.01, 45.03.01, 45.03.99, 45.04.01, 45.04.03, 45.05.01</t>
  </si>
  <si>
    <t>693942.07.01</t>
  </si>
  <si>
    <t>Законодательная техника: Уч.пос. / Д.А.Керимов - М.:Юр.Норма, НИЦ ИНФРА-М,2025 - 127 с.(П)</t>
  </si>
  <si>
    <t>ЗАКОНОДАТЕЛЬНАЯ ТЕХНИКА</t>
  </si>
  <si>
    <t>Керимов Д.А.</t>
  </si>
  <si>
    <t>978-5-91768-968-5</t>
  </si>
  <si>
    <t>815652.01.01</t>
  </si>
  <si>
    <t>Законодательство о противодействии терроризму: Уч.пос. / В.Н.Исаенко - М.:НИЦ ИНФРА-М,2024. - 175 с.(ВО)(п)</t>
  </si>
  <si>
    <t>ЗАКОНОДАТЕЛЬСТВО О ПРОТИВОДЕЙСТВИИ ТЕРРОРИЗМУ</t>
  </si>
  <si>
    <t>Исаенко В.Н., Мишакова Н.В.</t>
  </si>
  <si>
    <t>978-5-16-019730-2</t>
  </si>
  <si>
    <t>10.05.05, 40.03.01, 40.04.01, 40.05.01, 40.05.02, 40.05.04</t>
  </si>
  <si>
    <t>Рекомендовано Редакционно-издательским советом Университета имени О.Е. Кутафина (МГЮА) для обучающихся по основным профессиональным образовательным программам высшего образования - программам бакалавриата, программам специалитета, программам магистратуры в рамках укрупненной группы специальностей и направлений подготовки 40.00.00 «Юриспруденция»</t>
  </si>
  <si>
    <t>333600.07.01</t>
  </si>
  <si>
    <t>Западная социология XX века: Уч.пос. / В.В.Афанасьев - М.:НИЦ ИНФРА-М,2025-285с.(ВО: Бакалавр.)(О)</t>
  </si>
  <si>
    <t>ЗАПАДНАЯ СОЦИОЛОГИЯ XX ВЕКА</t>
  </si>
  <si>
    <t>Афанасьев В.В.</t>
  </si>
  <si>
    <t>978-5-16-010646-5</t>
  </si>
  <si>
    <t>08.05.01, 39.03.01, 39.04.01, 41.03.06, 44.03.01, 44.03.05</t>
  </si>
  <si>
    <t>Рекомендовано в качестве учебного пособия для студентов высших учебных заведений, обучающихся по направлению подготовки 39.03.01 «Социология» (квалификация (степень) «бакалавр»)</t>
  </si>
  <si>
    <t>127050.15.01</t>
  </si>
  <si>
    <t>Зарубежная практ. антикриз. упр.: Уч.пос. / Под ред. Ряховской А.Н.-2 изд.-М.:Магистр, ИНФРА-М,2025-336с(П)</t>
  </si>
  <si>
    <t>ЗАРУБЕЖНАЯ ПРАКТИКА АНТИКРИЗИСНОГО УПРАВЛЕНИЯ, ИЗД.2</t>
  </si>
  <si>
    <t>Арсенова Е.В., Крюкова О.Г., Ряховская А.Н.</t>
  </si>
  <si>
    <t>978-5-9776-0508-3</t>
  </si>
  <si>
    <t>08.02.01, 08.02.04, 15.02.07, 38.02.01, 38.02.03, 38.02.07, 38.03.01, 38.03.02, 38.03.03, 38.03.04, 38.03.06, 38.04.01, 38.04.02, 38.04.03, 38.04.04, 38.04.06, 40.02.04, 41.03.06, 44.03.01, 44.03.05</t>
  </si>
  <si>
    <t>Одобрено Федеральной регистрационной службой (Росрегистрацией) Министерства экономического развития Российской Федерации</t>
  </si>
  <si>
    <t>127050.10.01</t>
  </si>
  <si>
    <t>Зарубежная практ. антикриз. упр.: Уч.пос. / Под ред. Ряховской А.Н.-М.:Магистр, ИНФРА-М,2019-272с(о)</t>
  </si>
  <si>
    <t>ЗАРУБЕЖНАЯ ПРАКТИКА АНТИКРИЗИСНОГО УПРАВЛЕНИЯ</t>
  </si>
  <si>
    <t>978-5-9776-0132-0</t>
  </si>
  <si>
    <t>713175.06.01</t>
  </si>
  <si>
    <t>Зарубежное экологическое право..: Уч.пос. / Л.И.Брославский - М.:НИЦ ИНФРА-М,2025 - 300 с.(П)</t>
  </si>
  <si>
    <t>ЗАРУБЕЖНОЕ ЭКОЛОГИЧЕСКОЕ ПРАВО: ПРИРОДООХРАННОЕ ЗАКОНОДАТЕЛЬСТВО США</t>
  </si>
  <si>
    <t>Брославский Л.И.</t>
  </si>
  <si>
    <t>978-5-16-015781-8</t>
  </si>
  <si>
    <t>20.03.02, 40.03.01, 40.05.01, 40.05.02, 40.05.03, 40.05.04</t>
  </si>
  <si>
    <t>666449.07.01</t>
  </si>
  <si>
    <t>Зарубежные СМИ сегодня: крупнейшие корпорации...: Уч.пос. / Ю.В.Маркина - М.:НИЦ ИНФРА-М,2024-263 с.-(ВО)(П)</t>
  </si>
  <si>
    <t>ЗАРУБЕЖНЫЕ СМИ СЕГОДНЯ: КРУПНЕЙШИЕ КОРПОРАЦИИ И МОНОПОЛИСТИЧЕСКИЕ ОБЪЕДИНЕНИЯ</t>
  </si>
  <si>
    <t>Маркина Ю.В., Хорольский В.В.</t>
  </si>
  <si>
    <t>978-5-16-019924-5</t>
  </si>
  <si>
    <t>41.03.04, 42.03.01, 42.03.02, 42.03.04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</si>
  <si>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42.03.02 «Журналистика», 41.03.04 «Политология», 42.03.01 «Реклама и связи с общественностью» (квалификация (степень) «бакалавр») (протокол №14 от 30.09.2019)</t>
  </si>
  <si>
    <t>Ростовский государственный университет путей сообщения, ф-л в г. Туапсе</t>
  </si>
  <si>
    <t>478650.07.01</t>
  </si>
  <si>
    <t>Захватные устр.промышл.роботов и манипул.: Уч.пос. /А.А.Москвичев-М.:Форум,НИЦ ИНФРА-М,2020-176с(ВО)</t>
  </si>
  <si>
    <t>ЗАХВАТНЫЕ УСТРОЙСТВА ПРОМЫШЛЕННЫХ РОБОТОВ И МАНИПУЛЯТОРОВ</t>
  </si>
  <si>
    <t>Москвичев А. А., Кварталов А. Р., Устинов Б. В.</t>
  </si>
  <si>
    <t>978-5-91134-969-1</t>
  </si>
  <si>
    <t>15.03.04, 15.03.06</t>
  </si>
  <si>
    <t>712570.03.01</t>
  </si>
  <si>
    <t>Защита древесины и деревянных конструкций: Уч.пос. / Е.И.Стенина-М.:НИЦ ИНФРА-М,2023.-219 с.(СПО)(П)</t>
  </si>
  <si>
    <t>ЗАЩИТА ДРЕВЕСИНЫ И ДЕРЕВЯННЫХ КОНСТРУКЦИЙ</t>
  </si>
  <si>
    <t>Стенина Е.И.</t>
  </si>
  <si>
    <t>978-5-16-015565-4</t>
  </si>
  <si>
    <t>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</si>
  <si>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35.02.03 «Технология деревообработки» (протокол № 12 от 24.06.2019)</t>
  </si>
  <si>
    <t>Уральский государственный лесотехнический университет</t>
  </si>
  <si>
    <t>838456.01.01</t>
  </si>
  <si>
    <t>Защита и безопасность в чрезвыч. ситуац.: Уч.пос. / В.И.Жуков - М.:НИЦ ИНФРА-М,2025 - 392 с.(СПО)(п)</t>
  </si>
  <si>
    <t>ЗАЩИТА И БЕЗОПАСНОСТЬ В ЧРЕЗВЫЧАЙНЫХ СИТУАЦИЯХ</t>
  </si>
  <si>
    <t>Жуков В. И., Горбунова Л. Н.</t>
  </si>
  <si>
    <t>Среднее профессиональное образование (СФУ)</t>
  </si>
  <si>
    <t>978-5-16-020204-4</t>
  </si>
  <si>
    <t>08.02.12, 23.02.01, 23.02.03</t>
  </si>
  <si>
    <t>427900.11.01</t>
  </si>
  <si>
    <t>Защита и безопасность в чрезвыч. ситуац.:Уч.пос. / В.И.Жуков-М.:НИЦ ИНФРА-М, СФУ,2023-392с(ВО)(П)</t>
  </si>
  <si>
    <t>978-5-16-018091-5</t>
  </si>
  <si>
    <t>08.05.02, 08.05.03, 15.03.02, 15.03.03, 15.03.04, 15.03.05, 23.03.01, 23.03.02, 23.03.03, 23.05.04, 23.05.05, 23.05.06, 25.03.04</t>
  </si>
  <si>
    <t>Допущено УМО вузов РФ по образованию в области железнодорожного транспорта и транспортного строительства в качестве учебного пособия для студентов вузов, обучающихся по специальности «Автомобильные дороги и аэродромы» направления подготовки «Транспортное строительство» и направлению подготовки бакалавров «Строительство» с профилем подготовки «Автомобильные дороги и аэродромы»</t>
  </si>
  <si>
    <t>109100.14.01</t>
  </si>
  <si>
    <t>Защита информации в персонал. компьютере: Уч.пос. / Н.З.Емельянова - 2 изд. - М.:Форум, НИЦ ИНФРА-М,2025 - 368 с.(П)</t>
  </si>
  <si>
    <t>ЗАЩИТА ИНФОРМАЦИИ В ПЕРСОНАЛЬНОМ КОМПЬЮТЕРЕ, ИЗД.2</t>
  </si>
  <si>
    <t>Емельянова Н. З., Партыка Т. Л., Попов И. И.</t>
  </si>
  <si>
    <t>978-5-00091-466-3</t>
  </si>
  <si>
    <t>09.02.01, 09.02.02, 09.02.03, 09.02.04, 09.02.05, 09.02.06, 09.02.07, 10.02.01, 10.02.02, 10.02.03, 10.02.04, 10.02.05, 11.02.15, 43.02.06</t>
  </si>
  <si>
    <t>429250.10.01</t>
  </si>
  <si>
    <t>Защита информации: Уч.пос. / А.П.Жук- 3 изд.-М.:ИЦ РИОР, НИЦ ИНФРА-М,2024.-400 с.(ВО)(п)</t>
  </si>
  <si>
    <t>ЗАЩИТА ИНФОРМАЦИИ, ИЗД.3</t>
  </si>
  <si>
    <t>Жук А.П., Жук Е.П., Лепешкин О.М. и др.</t>
  </si>
  <si>
    <t>978-5-369-01759-3</t>
  </si>
  <si>
    <t>01.03.02, 01.04.02, 01.04.04, 02.03.02, 03.03.02, 04.03.02, 09.03.01, 10.03.01, 10.04.01, 27.03.02, 27.04.03, 46.03.02</t>
  </si>
  <si>
    <t>429250.05.01</t>
  </si>
  <si>
    <t>Защита информации: Уч.пос. / А.П.Жук и др. - 2 изд. - М.:ИЦ РИОР, НИЦ ИНФРА-М,2018 - 392 с.(ВО)(П)</t>
  </si>
  <si>
    <t>ЗАЩИТА ИНФОРМАЦИИ, ИЗД.2</t>
  </si>
  <si>
    <t>Жук А. П., Жук Е. П., Лепешкин О. М., Тимошкин А. И.</t>
  </si>
  <si>
    <t>Высшее образование: Бакалавриат и магистратура</t>
  </si>
  <si>
    <t>978-5-369-01378-6</t>
  </si>
  <si>
    <t>Рекомендовано УМО по образованию в области информационных технологий и систем связи в качестве учебного пособия для студентов высших учебных заведений, обучающихся по направлению подготовки 210700 — Инфокоммуникационные технологии и системы связи ква</t>
  </si>
  <si>
    <t>436500.10.01</t>
  </si>
  <si>
    <t>Защита окр.среды от пром.газ.выбросов: Уч.пос. / М.И.Клюшенкова-М.:НИЦ ИНФРА-М,2023.-142с(ВО)(о)</t>
  </si>
  <si>
    <t>ЗАЩИТА ОКРУЖАЮЩЕЙ СРЕДЫ ОТ ПРОМЫШЛЕННЫХ ГАЗОВЫХ ВЫБРОСОВ</t>
  </si>
  <si>
    <t>Клюшенкова М.И., Луканин А.В.</t>
  </si>
  <si>
    <t>978-5-16-011331-9</t>
  </si>
  <si>
    <t>20.03.01, 20.04.01, 20.06.01, 44.03.05</t>
  </si>
  <si>
    <t>Рекомендовано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</si>
  <si>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757841.04.01</t>
  </si>
  <si>
    <t>Защита окружающей среды от промыш. газ. выбр.: Уч.пос. / М.И.Клюшенкова - М.:НИЦ ИНФРА-М,2025. - 142 с.(П)</t>
  </si>
  <si>
    <t>978-5-16-016927-9</t>
  </si>
  <si>
    <t>15.01.29, 19.01.02, 20.02.01, 20.02.02, 35.01.01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</si>
  <si>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20.02.00 «Техносферная безопасность и природообустройство» (протокол № 11 от 09.11.2020)</t>
  </si>
  <si>
    <t>392800.10.01</t>
  </si>
  <si>
    <t>Защита почв от эрозии и дефляции, воспроизвод. их плод.: Уч. / А.И.Беленков - М.:НИЦ ИНФРА-М,2024-252с(П)</t>
  </si>
  <si>
    <t>ЗАЩИТА ПОЧВ ОТ ЭРОЗИИ И ДЕФЛЯЦИИ, ВОСПРОИЗВОДСТВО ИХ ПЛОДОРОДИЯ</t>
  </si>
  <si>
    <t>Беленков А.И., Плескачев Ю.Н., Николаев В.А. и др.</t>
  </si>
  <si>
    <t>978-5-16-011188-9</t>
  </si>
  <si>
    <t>19.02.11, 19.02.12, 20.02.01, 35.01.26, 35.01.27, 35.02.01, 35.02.05, 35.02.07, 35.02.16, 43.01.11</t>
  </si>
  <si>
    <t>Рекомендовано в качестве учебника для учебных заведений, реализующих программу среднего профессионального образования по специальности 35.02.05 «Агрономия»</t>
  </si>
  <si>
    <t>654631.04.01</t>
  </si>
  <si>
    <t>Защита прав автомобилистов: Научно-практ. пос. / И.А.Шувалова - М.:НИЦ ИНФРА-М,2023 - 178 с.(Юр.конс.)(П)</t>
  </si>
  <si>
    <t>ЗАЩИТА ПРАВ АВТОМОБИЛИСТОВ</t>
  </si>
  <si>
    <t>Шувалова И.А.</t>
  </si>
  <si>
    <t>Юридическая консультация</t>
  </si>
  <si>
    <t>978-5-16-013081-1</t>
  </si>
  <si>
    <t>Академия труда и социальных отношений</t>
  </si>
  <si>
    <t>646245.04.01</t>
  </si>
  <si>
    <t>Защита прав человека в политике гос.: срав..: Уч.пос. / В.М.Капицын -М.:НИЦ ИНФРА-М,2024-398с(ВО)(п)</t>
  </si>
  <si>
    <t>ЗАЩИТА ПРАВ ЧЕЛОВЕКА В ПОЛИТИКЕ ГОСУДАРСТВ: СРАВНИТЕЛЬНЫЙ АНАЛИЗ</t>
  </si>
  <si>
    <t>Капицын В.М.</t>
  </si>
  <si>
    <t>978-5-16-019461-5</t>
  </si>
  <si>
    <t>41.03.04, 41.03.06, 44.03.05</t>
  </si>
  <si>
    <t>Рекомендовано в качестве учебного пособия для студентов высших учебных заведений, обучающихся по направлениям подготовки 40.03.01 «Юриспруденция», 41.03.04 «Политология», 41.03.05 «Международные отношения» (квалификация (степень) «бакалавр»)</t>
  </si>
  <si>
    <t>186450.09.01</t>
  </si>
  <si>
    <t>Защита проф. деят. инженеров: Уч. пос. / С.А.Дружилов - М.: Вуз.уч.: Инфра-М, 2024 - 176 с. (п)</t>
  </si>
  <si>
    <t>ЗАЩИТА ПРОФЕССИОНАЛЬНОЙ ДЕЯТЕЛЬНОСТИ ИНЖЕНЕРОВ</t>
  </si>
  <si>
    <t>Дружилов С. А.</t>
  </si>
  <si>
    <t>978-5-9558-0251-0</t>
  </si>
  <si>
    <t>27.03.01, 27.03.03, 27.03.04, 27.04.01, 27.04.03, 27.04.04, 27.04.06, 27.04.07, 27.04.08, 27.05.01</t>
  </si>
  <si>
    <t>Научно-исследовательский институт комплексных проблем гигиены и профессиональных заболеваний</t>
  </si>
  <si>
    <t>728770.08.01</t>
  </si>
  <si>
    <t>Здоровый человек и его окружение: Уч. / С.Р.Волков - М.:НИЦ ИНФРА-М,2024 - 641 с.(СПО)(П)</t>
  </si>
  <si>
    <t>ЗДОРОВЫЙ ЧЕЛОВЕК И ЕГО ОКРУЖЕНИЕ</t>
  </si>
  <si>
    <t>Волков С.Р., Волкова М.М.</t>
  </si>
  <si>
    <t>978-5-16-016062-7</t>
  </si>
  <si>
    <t>31.02.01, 31.02.02, 31.02.05, 31.02.06, 32.02.01, 34.02.01, 34.02.02</t>
  </si>
  <si>
    <t>Рекомендовано ГОУ ВПО «Первый Московский государственный медицинский университет имени И.М. Сеченова» в качестве учебника для студентов учреждений среднего профессионального образования, обучающихся по специальностям «Лечебное дело» и «Сестринское дело»</t>
  </si>
  <si>
    <t>Московский областной медицинский колледж № 1</t>
  </si>
  <si>
    <t>338100.07.01</t>
  </si>
  <si>
    <t>Здоровье ребенка в совр. информ. среде: Уч.мет.пос. / Т.Н.Ле-ван - М.:Форум, НИЦ ИНФРА-М,2025. - 224 с.(ВО)(о)</t>
  </si>
  <si>
    <t>ЗДОРОВЬЕ РЕБЕНКА В СОВРЕМЕННОЙ ИНФОРМАЦИОННОЙ СРЕДЕ</t>
  </si>
  <si>
    <t>Ле-ван Т.Н.</t>
  </si>
  <si>
    <t>978-5-00091-040-5</t>
  </si>
  <si>
    <t>44.03.01, 44.03.02, 44.03.05, 44.04.01, 44.04.02, 44.05.01</t>
  </si>
  <si>
    <t>682861.06.01</t>
  </si>
  <si>
    <t>Здоровье ребенка в совр. информ. среде: Уч.мет.пос. /Т.Н.Ле-ван - М.:Форум,НИЦ ИНФРА-М,2025 - 224 с.(СПО)(П)</t>
  </si>
  <si>
    <t>978-5-00091-574-5</t>
  </si>
  <si>
    <t>00.01.04, 00.02.15, 44.02.01, 44.02.02, 44.02.03, 44.02.04, 44.02.05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</si>
  <si>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</si>
  <si>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104500.11.01</t>
  </si>
  <si>
    <t>Земельное право: Уч. / Е.С.Болтанова - 3 изд. - М.:ИЦ РИОР, НИЦ ИНФРА-М,2021 - 387 с.(П)</t>
  </si>
  <si>
    <t>ЗЕМЕЛЬНОЕ ПРАВО, ИЗД.3</t>
  </si>
  <si>
    <t>Болтанова Е.С.</t>
  </si>
  <si>
    <t>978-5-369-01781-4</t>
  </si>
  <si>
    <t>06.03.02, 20.03.02, 40.03.01, 40.04.01, 40.05.01, 40.05.02, 40.05.03, 40.05.04</t>
  </si>
  <si>
    <t>104500.13.01</t>
  </si>
  <si>
    <t>Земельное право: Уч. / Е.С.Болтанова, - 4 изд.-М.:ИЦ РИОР, НИЦ ИНФРА-М,2023.-388 с.(П)</t>
  </si>
  <si>
    <t>ЗЕМЕЛЬНОЕ ПРАВО, ИЗД.4</t>
  </si>
  <si>
    <t>978-5-369-01908-5</t>
  </si>
  <si>
    <t>104500.14.01</t>
  </si>
  <si>
    <t>Земельное право: Уч. / Е.С.Болтанова, - 5 изд.-М.:ИЦ РИОР, НИЦ ИНФРА-М,2024.-395 с.(ВО)(п)</t>
  </si>
  <si>
    <t>ЗЕМЕЛЬНОЕ ПРАВО, ИЗД.5</t>
  </si>
  <si>
    <t>978-5-369-01951-1</t>
  </si>
  <si>
    <t>0524</t>
  </si>
  <si>
    <t>104500.08.01</t>
  </si>
  <si>
    <t>Земельное право: Уч. / Е.С.Болтанова-М.:ИЦ РИОР, НИЦ ИНФРА-М,2015.-443 с.-(ВО:Бакалавриат)</t>
  </si>
  <si>
    <t>ЗЕМЕЛЬНОЕ ПРАВО, ИЗД.2</t>
  </si>
  <si>
    <t>Болтанова Е. С.</t>
  </si>
  <si>
    <t>978-5-369-01202-4</t>
  </si>
  <si>
    <t>Рекомендовано Московской государственной юридической Академии в качестве учебника для использования в учеб. процессе образ. учрежд., реализ. образоват. программы ВПО (доп. проф. обр.) по напр. Юриспруденция и спец. Юриспруденция и Правоохран. деят.</t>
  </si>
  <si>
    <t>029983.24.01</t>
  </si>
  <si>
    <t>Земельное право: Уч. / О.И.Крассов - 5 изд. - М.:Юр.Норма, НИЦ ИНФРА-М,2025 - 560 с.(П)</t>
  </si>
  <si>
    <t>Крассов О.И.</t>
  </si>
  <si>
    <t>Для юридических вузов и факультетов</t>
  </si>
  <si>
    <t>978-5-91768-631-8</t>
  </si>
  <si>
    <t>06.03.02, 40.03.01, 40.04.01, 40.05.01, 40.05.02, 40.05.03, 40.05.04</t>
  </si>
  <si>
    <t>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t>
  </si>
  <si>
    <t>Московский государственный университет им. М.В. Ломоносова, юридический факультет</t>
  </si>
  <si>
    <t>823422.02.01</t>
  </si>
  <si>
    <t>Земельное право: Уч./ С.А.Боголюбов - М.:НИЦ ИНФРА-М,2025. - 448 с.(ИЗиСП)(п)</t>
  </si>
  <si>
    <t>ЗЕМЕЛЬНОЕ ПРАВО</t>
  </si>
  <si>
    <t>Боголюбов С.А., Галиновская Е.А., Кичигин Н.В. и др.</t>
  </si>
  <si>
    <t>ИЗиСП</t>
  </si>
  <si>
    <t>978-5-16-019734-0</t>
  </si>
  <si>
    <t>06.03.02, 21.03.02, 21.03.03, 21.04.02, 35.03.03, 40.03.01, 40.05.01, 40.05.02, 40.05.04, 41.03.02</t>
  </si>
  <si>
    <t>768638.05.01</t>
  </si>
  <si>
    <t>Земельные правоотношения: Уч.пос. / С.А.Липски - М.:НИЦ ИНФРА-М,2025. - 194 с.(СПО)(П)</t>
  </si>
  <si>
    <t>ЗЕМЕЛЬНЫЕ ПРАВООТНОШЕНИЯ</t>
  </si>
  <si>
    <t>Липски С.А.</t>
  </si>
  <si>
    <t>978-5-16-017337-5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</si>
  <si>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21.02.04 «Землеустройство» (протокол № 1 от 12.01.2022)</t>
  </si>
  <si>
    <t>682863.07.01</t>
  </si>
  <si>
    <t>Земледелие. Практикум: Уч.пос. / И.П.Васильев.-М.:НИЦ ИНФРА-М,2024.-424 с.(СПО)(П)</t>
  </si>
  <si>
    <t>ЗЕМЛЕДЕЛИЕ. ПРАКТИКУМ</t>
  </si>
  <si>
    <t>Васильев И.П., Баздырев Г.И., Туликов А.М. и др.</t>
  </si>
  <si>
    <t>978-5-16-013915-9</t>
  </si>
  <si>
    <t>19.02.11, 19.02.12, 20.02.01, 21.02.19, 35.01.26, 35.01.27, 35.02.01, 35.02.05, 35.02.07, 35.02.12, 35.02.16, 43.01.11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</si>
  <si>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 35.02.07 «Механизация сельского хозяйства»</t>
  </si>
  <si>
    <t>422500.08.01</t>
  </si>
  <si>
    <t>Земледелие: практикум: Уч.пос. / Г.И.Баздырев.-М.:НИЦ ИНФРА-М,2024.-424 с.(ВО: Бакалавр.)(П)</t>
  </si>
  <si>
    <t>ЗЕМЛЕДЕЛИЕ: ПРАКТИКУМ</t>
  </si>
  <si>
    <t>Баздырев Г. И., Васильев И. П., Туликов А. М., Захаренко А. В., Сафонов А. Ф.</t>
  </si>
  <si>
    <t>978-5-16-006299-0</t>
  </si>
  <si>
    <t>06.03.02, 35.03.03, 35.03.04, 35.04.03</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</si>
  <si>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агрономическим специальностям</t>
  </si>
  <si>
    <t>422400.14.01</t>
  </si>
  <si>
    <t>Земледелие: Уч. / Под ред. Баздырева Г.И. - М.:НИЦ ИНФРА-М,2025 - 608 с.-(ВО)(П)</t>
  </si>
  <si>
    <t>ЗЕМЛЕДЕЛИЕ</t>
  </si>
  <si>
    <t>Баздырев Г.И., Захаренко А.В., Лошаков В.Г. и др.</t>
  </si>
  <si>
    <t>978-5-16-020262-4</t>
  </si>
  <si>
    <t>06.03.02, 35.03.03, 35.03.04, 35.03.05, 35.03.07, 35.04.03</t>
  </si>
  <si>
    <t>Рекомендовано Министерством сельского хозяйства Российской Федерации в качестве учебника для студентов высших учебных заведений, обучающихся по направлениям и специальностям агрономического образования</t>
  </si>
  <si>
    <t>682862.07.01</t>
  </si>
  <si>
    <t>Земледелие: Уч.пос. / А.И.Беленков и др. -  М.:НИЦ ИНФРА-М,2025. - 237 с. - (СПО)(П)</t>
  </si>
  <si>
    <t>978-5-16-013914-2</t>
  </si>
  <si>
    <t>392600.07.01</t>
  </si>
  <si>
    <t>Земледелие: Уч.пос. / А.И.Беленков и др. - М.:НИЦ ИНФРА-М,2024 - 237 с.-(ВО)(П)</t>
  </si>
  <si>
    <t>978-5-16-018773-0</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</si>
  <si>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направлению 35.03.04 «Агрономия»</t>
  </si>
  <si>
    <t>315000.08.01</t>
  </si>
  <si>
    <t>Землетрясения. Причины, последст. и обесп.безоп.: Уч.пос. /А.Д.Потапов -М.:НИЦ ИНФРА-М,2025-343с(ВО)</t>
  </si>
  <si>
    <t>ЗЕМЛЕТРЯСЕНИЯ. ПРИЧИНЫ, ПОСЛЕДСТВИЯ И ОБЕСПЕЧЕНИЕ БЕЗОПАСНОСТИ</t>
  </si>
  <si>
    <t>Потапов А.Д., Ревелис И.Л., Чернышев С.Н. и др.</t>
  </si>
  <si>
    <t>978-5-16-011844-4</t>
  </si>
  <si>
    <t>05.03.01, 08.03.01, 20.03.01, 21.05.02, 21.05.03</t>
  </si>
  <si>
    <t>Рекомендовано в качестве учебного пособия для студентов высших учебных заведений, обучающихся по направлениям подготовки 08.03.01 «Строительство», 20.03.01 «Техносферная безопасность» (квалификация (степень) «бакалавр»)</t>
  </si>
  <si>
    <t>849436.03.01</t>
  </si>
  <si>
    <t>Землеустроительное обеспеч.сохр. в обороте земель сельск.назнач.../ С.А.Липски - М.:НИЦ ИНФРА-М,2025. -222с.:цв.ил.(п)</t>
  </si>
  <si>
    <t>ЗЕМЛЕУСТРОИТЕЛЬНОЕ ОБЕСПЕЧЕНИЕ СОХРАНЕНИЯ В ОБОРОТЕ ЗЕМЕЛЬ СЕЛЬСКОХОЗЯЙСТВЕННОГО НАЗНАЧЕНИЯ И РЕОСВОЕНИЯ ЗАБРОШЕННЫХ УГОДИЙ</t>
  </si>
  <si>
    <t>Папаскири Т.В., Липски С.А., Ананичева Е.П. и др.</t>
  </si>
  <si>
    <t>978-5-16-020644-8</t>
  </si>
  <si>
    <t>21.03.02</t>
  </si>
  <si>
    <t>426850.06.01</t>
  </si>
  <si>
    <t>Землеустройство и упр. землепользованием: Уч.пос. / В .В.Слезко - М.:НИЦ ИНФРА-М,2018 - 203с.(ВО)(П)</t>
  </si>
  <si>
    <t>ЗЕМЛЕУСТРОЙСТВО И УПРАВЛЕНИЕ ЗЕМЛЕПОЛЬЗОВАНИЕМ</t>
  </si>
  <si>
    <t>978-5-16-006618-9</t>
  </si>
  <si>
    <t>21.03.02, 38.03.01, 38.03.02, 38.04.01, 38.04.02, 41.03.06</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</si>
  <si>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</si>
  <si>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682864.08.01</t>
  </si>
  <si>
    <t>Землеустройство и упр. землепользованием: Уч.пос. / В.В.Слезко - 2 изд. - М.:НИЦ ИНФРА-М,2025 - 221 с.(СПО)(п)</t>
  </si>
  <si>
    <t>ЗЕМЛЕУСТРОЙСТВО И УПРАВЛЕНИЕ ЗЕМЛЕПОЛЬЗОВАНИЕМ, ИЗД.2</t>
  </si>
  <si>
    <t>978-5-16-019376-2</t>
  </si>
  <si>
    <t>426850.11.01</t>
  </si>
  <si>
    <t>Землеустройство и упр. землепользованием: Уч.пос. / В.В.Слезко-2 изд.-М.:НИЦ ИНФРА-М,2024-221 с.(ВО)(П)</t>
  </si>
  <si>
    <t>978-5-16-019259-8</t>
  </si>
  <si>
    <t>682864.05.01</t>
  </si>
  <si>
    <t>Землеустройство и управление землепользованием: Уч.пос. / В.В.Слезко.-М.:НИЦ ИНФРА-М,2022.-221с(СПО)(П)</t>
  </si>
  <si>
    <t>978-5-16-013916-6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</si>
  <si>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  21.02.06 «Информационные системы обеспечения градостроительной деятельности»</t>
  </si>
  <si>
    <t>126670.08.01</t>
  </si>
  <si>
    <t>Злоупотребление правом: Уч.пос. / В.И.Крусс - М.:Юр.Норма, НИЦ ИНФРА-М, 2024 - 176 с.(О)</t>
  </si>
  <si>
    <t>ЗЛОУПОТРЕБЛЕНИЕ ПРАВОМ</t>
  </si>
  <si>
    <t>Крусс В.И.</t>
  </si>
  <si>
    <t>978-5-91768-643-1</t>
  </si>
  <si>
    <t>40.03.01, 40.04.01, 40.05.01, 40.05.02, 40.05.03, 40.05.04, 41.03.01, 41.03.06, 44.03.05</t>
  </si>
  <si>
    <t>Рекомендовано УМО по юридическому образованию в качестве учебного пособия для студентов вузов, обучающихся по направлению "Юриспруденция" и специальности Юриспруденция"</t>
  </si>
  <si>
    <t>Тверской государственный университет</t>
  </si>
  <si>
    <t>661453.04.01</t>
  </si>
  <si>
    <t>Зоогигиена: Уч. / А.И.Чикалев - 2 изд. - М.:КУРС, НИЦ ИНФРА-М,2024 - 248 с.(П)</t>
  </si>
  <si>
    <t>ЗООГИГИЕНА, ИЗД.2</t>
  </si>
  <si>
    <t>Чикалев А.И., Юлдашбаев Ю.А.</t>
  </si>
  <si>
    <t>978-5-906923-48-6</t>
  </si>
  <si>
    <t>Горно-Алтайский государственный университет</t>
  </si>
  <si>
    <t>416700.09.01</t>
  </si>
  <si>
    <t>Зоология с основами экологии: Уч. пос. / Л.Н.Ердаков - М.:НИЦ ИНФРА-М,2025. - 223 с.(ВО.Бакалавр.)(п)</t>
  </si>
  <si>
    <t>ЗООЛОГИЯ С ОСНОВАМИ ЭКОЛОГИИ</t>
  </si>
  <si>
    <t>Ердаков Л.Н.</t>
  </si>
  <si>
    <t>978-5-16-006246-4</t>
  </si>
  <si>
    <t>35.03.08, 36.03.02, 44.03.01, 44.03.04, 44.03.05</t>
  </si>
  <si>
    <t>Институт систематики и экологии животных Сибирского отделения Российской Академии Наук</t>
  </si>
  <si>
    <t>682865.03.01</t>
  </si>
  <si>
    <t>Зоология с основами экологии: Уч.пос. / Л.Н.Ердаков - М.:НИЦ ИНФРА-М,2024 - 223 с.-(СПО)(П)</t>
  </si>
  <si>
    <t>978-5-16-013917-3</t>
  </si>
  <si>
    <t>44.02.01, 44.02.02, 44.02.03, 44.02.05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</si>
  <si>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t>
  </si>
  <si>
    <t>633908.07.01</t>
  </si>
  <si>
    <t>Зоопсихология и сравнит.психология...: Уч.пос. / С.Н.Козловская - 2 изд. - М.:НИЦ ИНФРА-М,2025 - 154 с.(О)</t>
  </si>
  <si>
    <t>ЗООПСИХОЛОГИЯ И СРАВНИТЕЛЬНАЯ ПСИХОЛОГИЯ. ПРАКТИКУМ, ИЗД.2</t>
  </si>
  <si>
    <t>Козловская С.Н.</t>
  </si>
  <si>
    <t>978-5-16-020716-2</t>
  </si>
  <si>
    <t>Рекомендовано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t>
  </si>
  <si>
    <t>Российский государственный социальный университет</t>
  </si>
  <si>
    <t>713677.04.01</t>
  </si>
  <si>
    <t>Игровые коммуникатив. техн. в усл. инклюзив. обр.: Уч.пос. / С.В.Гайченко - М.:НИЦ ИНФРА-М,2025-83с.(ВО) (о)</t>
  </si>
  <si>
    <t>ИГРОВЫЕ КОММУНИКАТИВНЫЕ ТЕХНОЛОГИИ В УСЛОВИЯХ ИНКЛЮЗИВНОГО ОБРАЗОВАНИЯ</t>
  </si>
  <si>
    <t>Гайченко С.В.</t>
  </si>
  <si>
    <t>978-5-16-019175-1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</si>
  <si>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(протокол № 12 от 24.06.2019)</t>
  </si>
  <si>
    <t>730657.05.01</t>
  </si>
  <si>
    <t>Игровые коммуникатив. технологии в условиях инклюзив. обр.: Уч.пос. / С.В.Гайченко-М.:НИЦ ИНФРА-М,2025-83 с.(О)</t>
  </si>
  <si>
    <t>978-5-16-015951-5</t>
  </si>
  <si>
    <t>44.02.01, 44.02.02, 44.02.03, 44.02.04, 44.02.05, 44.02.06, 49.02.01, 49.02.02, 51.02.01, 53.02.01, 54.02.06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</si>
  <si>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44.02.04 «Специальное дошкольное образование», 44.02.05 «Коррекционная педагогика в начальном образовании» (протокол № 8 от 22.06.2020)</t>
  </si>
  <si>
    <t>684717.02.01</t>
  </si>
  <si>
    <t>Игровые модели для экономических задач: Уч.пос. / В.П.Невежин - М.:НИЦ ИНФРА-М,2022 - 195 с.(ВО)(П)</t>
  </si>
  <si>
    <t>ИГРОВЫЕ МОДЕЛИ ДЛЯ ЭКОНОМИЧЕСКИХ ЗАДАЧ</t>
  </si>
  <si>
    <t>Невежин В.П., Богомолов А.И.</t>
  </si>
  <si>
    <t>978-5-16-015007-9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</si>
  <si>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5 от 11.03.2019)</t>
  </si>
  <si>
    <t>682866.09.01</t>
  </si>
  <si>
    <t>Игры и занятия с детьми раннего возр...: Уч.мет.пос. / Под ред.Стребелевой Е.А. - 3изд.-М.:ИНФРА-М,2025-160с(СПО)(п)</t>
  </si>
  <si>
    <t>ИГРЫ И ЗАНЯТИЯ С ДЕТЬМИ РАННЕГО ВОЗРАСТА С ПСИХОФИЗИЧЕСКИМИ НАРУШЕНИЯМИ, ИЗД.3</t>
  </si>
  <si>
    <t>Браткова М.В., Выродова И.А., Закрепина А.В. и др.</t>
  </si>
  <si>
    <t>978-5-16-013918-0</t>
  </si>
  <si>
    <t>298000.12.01</t>
  </si>
  <si>
    <t>Игры и занятия с детьми раннего возраста.. / Под ред Е.А.Стребелевой - 3 изд  - М:НИЦ ИНФРА-М,2025 - 160 c.(П)</t>
  </si>
  <si>
    <t>978-5-16-011825-3</t>
  </si>
  <si>
    <t>44.02.01, 44.02.04, 44.02.05, 44.03.01, 44.03.02, 44.03.05, 44.04.01, 44.04.02, 44.05.01</t>
  </si>
  <si>
    <t>682867.11.01</t>
  </si>
  <si>
    <t>Игры и игровые задания для детей раннего возраста..:Практ.пос./Стребелева Е.А.- 4 изд.-М.:НИЦ ИНФРА-М,2024-148с(О)</t>
  </si>
  <si>
    <t>ИГРЫ И ИГРОВЫЕ ЗАДАНИЯ ДЛЯ ДЕТЕЙ РАННЕГО ВОЗРАСТА С ОГРАНИЧЕННЫМИ ВОЗМОЖНОСТЯМИ ЗДОРОВЬЯ, ИЗД.4</t>
  </si>
  <si>
    <t>Стребелева Е.А., Закрепина А.В., Кинаш Е.А. и др.</t>
  </si>
  <si>
    <t>978-5-16-015808-2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</si>
  <si>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44.02.03 «Педагогика дополнительного образования», 44.02.04 «Специальное дошкольное образование», 44.02.05 «Коррекционная педагогика в начальном образовании» (протокол № 12 от 24.06.2019)</t>
  </si>
  <si>
    <t>Институт коррекционной педагогики</t>
  </si>
  <si>
    <t>682867.04.01</t>
  </si>
  <si>
    <t>Игры и игровые задания для детей раннего возраста..:Практ.пос./Стребелева Е.А.-М.:НИЦ ИНФРА-М,2020-109с(О)</t>
  </si>
  <si>
    <t>ИГРЫ И ИГРОВЫЕ ЗАДАНИЯ ДЛЯ ДЕТЕЙ РАННЕГО ВОЗРАСТА С ОГРАНИЧЕННЫМИ ВОЗМОЖНОСТЯМИ ЗДОРОВЬЯ</t>
  </si>
  <si>
    <t>978-5-16-014086-5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</si>
  <si>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</si>
  <si>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305000.04.01</t>
  </si>
  <si>
    <t>Игры и игровые задания для детей.. / Под ред. Стребелевой Е.А. - М.:НИЦ ИНФРА-М,2019.-109 с.(О)</t>
  </si>
  <si>
    <t>978-5-16-011835-2</t>
  </si>
  <si>
    <t>44.03.01, 44.03.02, 44.03.03, 44.03.05, 44.04.01, 44.04.02, 44.04.03</t>
  </si>
  <si>
    <t>305000.10.01</t>
  </si>
  <si>
    <t>Игры и игровые задания для детей.. / Под ред. Стребелевой Е.А. - М.:НИЦ ИНФРА-М,2025. - 148 с.(О)</t>
  </si>
  <si>
    <t>978-5-16-015082-6</t>
  </si>
  <si>
    <t>096450.12.01</t>
  </si>
  <si>
    <t>Идентификация и обнаруж. фальсиф. продов..: Уч.пос. /М.А.Николаева - НИЦ ИНФРА-М, 2025 - 464 с.(ВО)(П)</t>
  </si>
  <si>
    <t>ИДЕНТИФИКАЦИЯ И ОБНАРУЖЕНИЕ ФАЛЬСИФИКАЦИИ ПРОДОВОЛЬСТВЕННЫХ ТОВАРОВ</t>
  </si>
  <si>
    <t>Николаева М.А., Положишникова М.А.</t>
  </si>
  <si>
    <t>978-5-16-015307-0</t>
  </si>
  <si>
    <t>19.03.04, 38.03.06, 38.03.07, 38.04.06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</si>
  <si>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15 от 14.10.2019)</t>
  </si>
  <si>
    <t>732566.02.01</t>
  </si>
  <si>
    <t>Идентификация и обнаружение фальсификации прод. товаров: Уч./ М.А.Николаева-М.:НИЦ ИНФРА-М,2023.-461 с.(СПО)(П)</t>
  </si>
  <si>
    <t>978-5-16-016019-1</t>
  </si>
  <si>
    <t>19.01.18, 19.01.19, 19.02.10, 19.02.13, 35.01.23, 38.02.08, 43.01.09, 43.02.15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</si>
  <si>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15 от 14.10.2019)</t>
  </si>
  <si>
    <t>137800.09.01</t>
  </si>
  <si>
    <t>Идиомы и фразовые глаголы в дел. общен. (англ. яз.): Уч. пос. / З.В.Маньковская - М.:ИНФРА-М, 2025 - 184 с. (п)</t>
  </si>
  <si>
    <t>ИДИОМЫ И ФРАЗОВЫЕ ГЛАГОЛЫ В ДЕЛОВОМ ОБЩЕНИИ (АНГЛИЙСКИЙ ЯЗЫК)</t>
  </si>
  <si>
    <t>978-5-16-004460-6</t>
  </si>
  <si>
    <t>45.03.01, 45.04.01</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</si>
  <si>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031000 и специальности 031001 "Филология"</t>
  </si>
  <si>
    <t>453300.03.01</t>
  </si>
  <si>
    <t>Избирательное право и избир.процесс в РФ: Курс лекций /А.Г.Головин -Юр.Норма, НИЦ ИНФРА-М, 2016-256с</t>
  </si>
  <si>
    <t>ИЗБИРАТЕЛЬНОЕ ПРАВО И ИЗБИРАТЕЛЬНЫЙ ПРОЦЕСС В РФ</t>
  </si>
  <si>
    <t>ГоловинА.Г.</t>
  </si>
  <si>
    <t>978-5-91768-673-8</t>
  </si>
  <si>
    <t>38.03.04, 40.03.01, 44.03.05</t>
  </si>
  <si>
    <t>Государственная Дума Федерального Собрания Российской Федерации</t>
  </si>
  <si>
    <t>704856.01.01</t>
  </si>
  <si>
    <t>Избирательное право, избирательный процесс и техн.: Уч. / Р.А.Алексеев - М.:НИЦ ИНФРА-М,2025. - 175 с.(п)</t>
  </si>
  <si>
    <t>ИЗБИРАТЕЛЬНОЕ ПРАВО, ИЗБИРАТЕЛЬНЫЙ ПРОЦЕСС И ТЕХНОЛОГИИ</t>
  </si>
  <si>
    <t>Алексеев Р.А.</t>
  </si>
  <si>
    <t>978-5-16-019750-0</t>
  </si>
  <si>
    <t>40.03.01, 40.04.01, 40.05.02, 40.05.04, 41.04.04</t>
  </si>
  <si>
    <t>Московский государственный университет им. М.В. Ломоносова, факультет политологии</t>
  </si>
  <si>
    <t>671375.04.01</t>
  </si>
  <si>
    <t>Избирательные системы зарубеж. стран: Уч. / Ю.Г.Федотова, - 3 изд.-М.:НИЦ ИНФРА-М,2023.-263 с.(ВО (РЭУ))(п)</t>
  </si>
  <si>
    <t>ИЗБИРАТЕЛЬНЫЕ СИСТЕМЫ ЗАРУБЕЖНЫХ СТРАН, ИЗД.3</t>
  </si>
  <si>
    <t>Федотова Ю.Г.</t>
  </si>
  <si>
    <t>978-5-16-018381-7</t>
  </si>
  <si>
    <t>38.03.04, 40.03.01, 40.05.01, 40.05.02, 40.05.03, 40.05.04</t>
  </si>
  <si>
    <t>Рекомендовано в качестве учебника для студентов высших учебных заведений, обучающихся по направлениям подготовки 40.03.01 «Юриспруденция», 38.03.04 «Государственное и муниципальное управление» (квалификация (степень) «бакалавр»)</t>
  </si>
  <si>
    <t>671375.03.01</t>
  </si>
  <si>
    <t>Избирательные системы зарубежных стран: Уч.пос./Ю.Г.Федотова, - 2 изд.-М.:НИЦ ИНФРА-М,2022-239с(ВО)</t>
  </si>
  <si>
    <t>ИЗБИРАТЕЛЬНЫЕ СИСТЕМЫ ЗАРУБЕЖНЫХ СТРАН, ИЗД.2</t>
  </si>
  <si>
    <t>978-5-16-013600-4</t>
  </si>
  <si>
    <t>Рекомендовано в качестве учебного пособия для студентов высших учебных заведений, обучающихся по направлениям подготовки 40.03.01 «Юриспруденция», 38.03.04 «Государственное и муниципальное управление» (квалификация (степень) «бакалавр»)</t>
  </si>
  <si>
    <t>252200.14.01</t>
  </si>
  <si>
    <t>Изготовление санитарно-технических, вентиляц. систем..: Уч./К.С.Орлов - ИНФРА-М, 2024. - 270 с.(СПО)(п)</t>
  </si>
  <si>
    <t>ИЗГОТОВЛЕНИЕ САНИТАРНО-ТЕХНИЧЕСКИХ, ВЕНТИЛЯЦИОННЫХ СИСТЕМ И ТЕХНОЛОГИЧЕСКИХ ТРУБОПРОВОДОВ</t>
  </si>
  <si>
    <t>Орлов К. С.</t>
  </si>
  <si>
    <t>978-5-16-006006-4</t>
  </si>
  <si>
    <t>08.01.15, 08.01.27, 08.02.08, 08.02.13, 15.01.30, 15.02.10, 18.01.27, 19.01.01, 21.01.17, 23.02.06</t>
  </si>
  <si>
    <t>Рекомендовано в качестве учебника для учебных заведений, реализующих программу начального профессионального образования по профессии 08.01.15 «Слесарь по изготовлению деталей и узлов технических систем в строительстве»</t>
  </si>
  <si>
    <t>689643.04.01</t>
  </si>
  <si>
    <t>Изменения кожи у терапевтического пациента: Уч.пос. / Е.В.Хазова-М.:НИЦ ИНФРА-М,2024.-296 с.(ВО)(п)</t>
  </si>
  <si>
    <t>ИЗМЕНЕНИЯ КОЖИ У ТЕРАПЕВТИЧЕСКОГО ПАЦИЕНТА</t>
  </si>
  <si>
    <t>Хазова Е.В., Ослопов В.Н., Ослопова Ю.В. и др.</t>
  </si>
  <si>
    <t>978-5-16-014756-7</t>
  </si>
  <si>
    <t>31.05.01, 31.05.02, 32.05.01</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</si>
  <si>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направлениям подготовки 31.05.01 «Лечебное дело», 31.05.02 «Педиатрия», 32.05.01 «Медико-профилактическое дело» (регистрационный номер рецензии: 891 ЭКУ от 17 октября 2019 г.)</t>
  </si>
  <si>
    <t>804937.01.01</t>
  </si>
  <si>
    <t>Измерительные преобразователи и приборы: теория... / А.П.Васютенко. - М.:НИЦ ИНФРА-М,2025. - 333 с.(ВО)(п)</t>
  </si>
  <si>
    <t>ИЗМЕРИТЕЛЬНЫЕ ПРЕОБРАЗОВАТЕЛИ И ПРИБОРЫ: ТЕОРИЯ, ИССЛЕДОВАНИЕ, РАСЧЕТ</t>
  </si>
  <si>
    <t>Васютенко А.П., Заморёнова Д.В., Балакина Н.А. и др.</t>
  </si>
  <si>
    <t>978-5-16-018738-9</t>
  </si>
  <si>
    <t>12.03.01, 12.03.02, 12.03.03, 12.03.04, 12.03.05, 15.03.01, 15.03.02, 15.03.03, 15.03.04, 15.03.05, 15.03.06</t>
  </si>
  <si>
    <t>451500.04.01</t>
  </si>
  <si>
    <t>Изыскания и проект.автомоб.дорог.: В 2ч.Ч.1 /П.В.Шведовский -М.:НИЦ ИНФРА-М,Нов.зн.,2024-445с.(ВО)(п)</t>
  </si>
  <si>
    <t>ИЗЫСКАНИЯ И ПРОЕКТИРОВАНИЕ АВТОМОБИЛЬНЫХ ДОРОГ, Т.1</t>
  </si>
  <si>
    <t>Шведовский П.В., Лукша В.В., Чумичева Н.В.</t>
  </si>
  <si>
    <t>978-5-16-011448-4</t>
  </si>
  <si>
    <t>08.05.03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</si>
  <si>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«Автомобильные дороги»</t>
  </si>
  <si>
    <t>653075.06.01</t>
  </si>
  <si>
    <t>Изыскания и проектир. автомобильных дорог: Уч.пос.: В 2 ч.Ч. 2 / П.В.Шведовский - М.:НИЦ ИНФРА-М.,2023-340с.(П)</t>
  </si>
  <si>
    <t>ИЗЫСКАНИЯ И ПРОЕКТИРОВАНИЕ АВТОМОБИЛЬНЫХ ДОРОГ</t>
  </si>
  <si>
    <t>978-5-16-012613-5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</si>
  <si>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«Автомобильные дороги»</t>
  </si>
  <si>
    <t>750426.01.01</t>
  </si>
  <si>
    <t>Имена массовой культуры Великобритании и США: Лингвокультур. сл./ С.И.Гарагуля-М.:НИЦ ИНФРА-М,2024-381с(п)</t>
  </si>
  <si>
    <t>ИМЕНА МАССОВОЙ КУЛЬТУРЫ ВЕЛИКОБРИТАНИИ И США: ЛИНГВОКУЛЬТУРОЛОГИЧЕСКИЙ СЛОВАРЬ.</t>
  </si>
  <si>
    <t>Гарагуля С.И.</t>
  </si>
  <si>
    <t>978-5-16-016960-6</t>
  </si>
  <si>
    <t>706521.04.01</t>
  </si>
  <si>
    <t>Именные симптомы и синдромы в акуш. и гинекологии: Уч.пос. / Стрижаков А.Н. - М.:НИЦ ИНФРА-М,2024.-267с(П)</t>
  </si>
  <si>
    <t>ИМЕННЫЕ СИМПТОМЫ И СИНДРОМЫ В АКУШЕРСТВЕ И ГИНЕКОЛОГИИ</t>
  </si>
  <si>
    <t>Стрижаков А.Н., Тезиков Ю.В., Липатов И.С. и др.</t>
  </si>
  <si>
    <t>978-5-16-015472-5</t>
  </si>
  <si>
    <t>Рекомендовано Координационным советом по области образования «Здравоохранение и медицинские науки» федерального государственного автономного образовательного учреждения высшего образования «Первый Московский государственный медицинский университет имени И.М. Сеченова» Министерства здравоохранения Российской Федерации (Сеченовский Университет)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направлению подготовки 31.05.01 «Лечебное дело»</t>
  </si>
  <si>
    <t>688493.05.01</t>
  </si>
  <si>
    <t>Имитационное моделир. в экономике и упр.: Уч. / Под ред. Емельянова А.А.-М.:НИЦ ИНФРА-М,2024.-592 с.(ВО)(П)</t>
  </si>
  <si>
    <t>ИМИТАЦИОННОЕ МОДЕЛИРОВАНИЕ В ЭКОНОМИКЕ И УПРАВЛЕНИИ</t>
  </si>
  <si>
    <t>Булыгина О.В., Емельянов А.А., Емельянова Н.З. и др.</t>
  </si>
  <si>
    <t>978-5-16-014523-5</t>
  </si>
  <si>
    <t>02.03.01, 02.03.02, 02.03.03, 09.03.01, 09.03.02, 09.03.03, 09.03.04</t>
  </si>
  <si>
    <t>Рекомендовано Учебно-методическим советом по направлению подготовки «Прикладная информатика» Федерального учебно-методического объединения в области информатики и вычислительной техники для студентов направления «Прикладная информатика» с профилем «Экономика и управление»</t>
  </si>
  <si>
    <t>772004.02.01</t>
  </si>
  <si>
    <t>Имитационное моделир. соц. систем..: Уч.пос. / К.В.Пителинский-М.:НИЦ ИНФРА-М,2023.-175 с.(ВО)(п)</t>
  </si>
  <si>
    <t>ИМИТАЦИОННОЕ МОДЕЛИРОВАНИЕ СОЦИОТЕХНИЧЕСКИХ СИСТЕМ: ОСНОВЫ ТЕОРИИ МАССОВОГО ОБСЛУЖИВАНИЯ</t>
  </si>
  <si>
    <t>Пителинский К.В., Бородин А.В.</t>
  </si>
  <si>
    <t>978-5-16-017475-4</t>
  </si>
  <si>
    <t>157350.09.01</t>
  </si>
  <si>
    <t>Имитационное моделир. экономич. процессов: Уч.пос. / Н.Н.Лычкина-М.:НИЦ ИНФРА-М,2024.-254 с.(ВО)(п)</t>
  </si>
  <si>
    <t>ИМИТАЦИОННОЕ МОДЕЛИРОВАНИЕ ЭКОНОМИЧЕСКИХ ПРОЦЕССОВ</t>
  </si>
  <si>
    <t>Лычкина Н. Н.</t>
  </si>
  <si>
    <t>978-5-16-018933-8</t>
  </si>
  <si>
    <t>09.03.03, 09.04.03, 38.03.01, 38.03.02, 38.03.04, 38.04.01, 38.04.02, 38.04.04, 38.04.08, 38.05.01</t>
  </si>
  <si>
    <t>Рекомендуется Государственным образовательным учреждением высшего профессионального образования Национальным исследовательским университетом «Высшая школа экономики» в качестве учебного пособия для студентов высших учебных заведений, обучающихся по направлению подготовки «Прикладная информатика» (регистрационный номер рецензии 1340 от 01.04.2011 МГУП)</t>
  </si>
  <si>
    <t>666391.07.01</t>
  </si>
  <si>
    <t>Имитационные исслед.в среде моделир.GPSS STUDIO: Уч.пос. / В.В.Девятков - М.:Вуз.уч., НИЦ ИНФРА-М,2024 - 283с.(П)</t>
  </si>
  <si>
    <t>ИМИТАЦИОННЫЕ ИССЛЕДОВАНИЯ В СРЕДЕ МОДЕЛИРОВАНИЯ GPSS STUDIO</t>
  </si>
  <si>
    <t>Девятков В.В., Девятков Т.В., Федотов М.В. и др.</t>
  </si>
  <si>
    <t>978-5-9558-0595-5</t>
  </si>
  <si>
    <t>01.03.04, 02.03.03, 09.04.02, 09.04.03, 09.04.04, 11.04.02, 27.03.04, 27.04.03</t>
  </si>
  <si>
    <t>ЭЛИНА - КОМПЬЮТЕР ООО</t>
  </si>
  <si>
    <t>684822.02.01</t>
  </si>
  <si>
    <t>Имитационные модели принятия решений: Уч.пос. / И.В.Трегуб - М.:НИЦ ИНФРА-М,2022 - 193 с.-(ВО)(П)</t>
  </si>
  <si>
    <t>ИМИТАЦИОННЫЕ МОДЕЛИ ПРИНЯТИЯ РЕШЕНИЙ</t>
  </si>
  <si>
    <t>Трегуб И.В., Горошникова Т.А.</t>
  </si>
  <si>
    <t>978-5-16-015393-3</t>
  </si>
  <si>
    <t>01.04.02, 02.03.01, 02.03.02, 02.03.03, 09.03.01, 09.03.02, 09.03.03, 09.03.04, 09.04.02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</si>
  <si>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09.04.03 «Прикладная информатика», 01.04.02 «Прикладная математика и информатика» (квалификация (степень) «магистр») (протокол № 18 от 25.11.2019)</t>
  </si>
  <si>
    <t>818413.03.01</t>
  </si>
  <si>
    <t>Импульсные цепи и устройства: Уч.пос. / Л.П.Гаврилов - М.:НИЦ ИНФРА-М,2025. - 363 с.(ВО)(п)</t>
  </si>
  <si>
    <t>ИМПУЛЬСНЫЕ ЦЕПИ И УСТРОЙСТВА</t>
  </si>
  <si>
    <t>Гаврилов Л.П.</t>
  </si>
  <si>
    <t>978-5-16-019503-2</t>
  </si>
  <si>
    <t>11.03.04, 12.03.03, 12.03.04, 13.03.02, 13.05.01, 14.05.02, 23.05.05, 24.05.03, 26.05.02, 26.05.06, 26.05.07, 28.03.01</t>
  </si>
  <si>
    <t>Военная академия Ракетных войск стратегического назначения им. Петра Великого</t>
  </si>
  <si>
    <t>148250.11.01</t>
  </si>
  <si>
    <t>Инвестиции в человеческий капитал предприятия: Уч. пос. / Е.Н.Голованова - ИНФРА-М, 2025 - 88 с.(ВО) (о)</t>
  </si>
  <si>
    <t>ИНВЕСТИЦИИ В ЧЕЛОВЕЧЕСКИЙ КАПИТАЛ ПРЕДПРИЯТИЯ</t>
  </si>
  <si>
    <t>Голованова Е. Н., Лочан С. А., Хавин Д. В., Асалиев А. М.</t>
  </si>
  <si>
    <t>978-5-16-004754-6</t>
  </si>
  <si>
    <t>38.03.01, 38.03.02, 38.03.03, 38.03.04, 38.04.01, 38.04.02, 38.04.03, 38.04.04, 41.03.06, 44.03.01</t>
  </si>
  <si>
    <t>081150.12.01</t>
  </si>
  <si>
    <t>Инвестиции: матем. методы: Уч. пос./В.Ю.Попов, 2-е изд.-М.:Форум, ИНФРА-М Изд. Дом,2024.-144 с.(О)</t>
  </si>
  <si>
    <t>ИНВЕСТИЦИИ: МАТЕМАТИЧЕСКИЕ МЕТОДЫ, ИЗД.2</t>
  </si>
  <si>
    <t>Попов В. Ю., Шаповал А. Б.</t>
  </si>
  <si>
    <t>978-5-91134-224-1</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</si>
  <si>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060400 "Финансы и кредит"</t>
  </si>
  <si>
    <t>134900.14.01</t>
  </si>
  <si>
    <t>Инвестиции: Уч. / И.Я.Лукасевич - М.:Вуз. уч., НИЦ ИНФРА-М,2024 - 413 с.(П)</t>
  </si>
  <si>
    <t>ИНВЕСТИЦИИ</t>
  </si>
  <si>
    <t>Лукасевич И. Я.</t>
  </si>
  <si>
    <t>978-5-9558-0129-2</t>
  </si>
  <si>
    <t>Рекомендовано в качестве учебника для студентов высших учебных заведений, обучающихся по направлению подготовки «Экономика» и специальностям «Финансы и кредит» и «Бухгалтерский учет, анализ и аудит»</t>
  </si>
  <si>
    <t>097400.10.01</t>
  </si>
  <si>
    <t>Инвестиции: Уч. / Л.Л. Игонина. - 2 изд. - М.: Магистр:  НИЦ Инфра-М, 2021. - 752с. (п)</t>
  </si>
  <si>
    <t>ИНВЕСТИЦИИ, ИЗД.2</t>
  </si>
  <si>
    <t>Игонина Л. Л.</t>
  </si>
  <si>
    <t>978-5-9776-0071-2</t>
  </si>
  <si>
    <t>38.03.01, 38.03.02, 38.03.03, 38.03.04, 38.03.05, 38.03.06, 38.03.07, 38.04.01, 38.04.02, 38.04.03, 38.04.04, 38.04.05, 38.04.06, 38.04.07, 38.04.08, 38.04.09, 38.05.01, 38.05.02, 44.03.01</t>
  </si>
  <si>
    <t>Финансовый университет при Правительстве Российской Федерации, Краснодарский ф-л</t>
  </si>
  <si>
    <t>727870.04.01</t>
  </si>
  <si>
    <t>Инвестиции: Уч. / М.И.Ермилова и др. - М.:НИЦ ИНФРА-М,2024 - 287 с.-(ВО: Бакалавриат)(П)</t>
  </si>
  <si>
    <t>Ермилова М.И., Алтухова Е.В., Грызунова Н.В. и др.</t>
  </si>
  <si>
    <t>978-5-16-016047-4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</si>
  <si>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 (протокол № 10 от 12.10.2020)</t>
  </si>
  <si>
    <t>003643.21.01</t>
  </si>
  <si>
    <t>Инвестиции: Уч. / У.Ф.Шарп и др. - М.:НИЦ ИНФРА-М,2022 - 1028 с.(Универ. учебник. Бакалавриат)(П)</t>
  </si>
  <si>
    <t>Шарп У.Ф., Александер Г.Д., Бэйли Д.В.</t>
  </si>
  <si>
    <t>Университетский учебник. Бакалавриат</t>
  </si>
  <si>
    <t>978-5-16-016789-3</t>
  </si>
  <si>
    <t>Рекомендовано Министерством общего и профессионального образования Российской Федерации для использования в учебном процессе студентами высших учебных заведений, обучающимися по экономическим специальностям</t>
  </si>
  <si>
    <t>0197</t>
  </si>
  <si>
    <t>768231.01.01</t>
  </si>
  <si>
    <t>Инвестиции: Уч. пос. / Т.Г.Бондаренко-М.:НИЦ ИНФРА-М,2024.-157 с.(ВО (РЭУ))(п)</t>
  </si>
  <si>
    <t>Бондаренко Т.Г., Проданова Н.А.</t>
  </si>
  <si>
    <t>978-5-16-017420-4</t>
  </si>
  <si>
    <t>00.03.13, 38.03.02</t>
  </si>
  <si>
    <t>653845.07.01</t>
  </si>
  <si>
    <t>Инвестиционная стратегия региона: Уч.пос. / Н.Н.Новоселова-М.:НИЦ ИНФРА-М,2023.-162 с.(ВО)(О)</t>
  </si>
  <si>
    <t>ИНВЕСТИЦИОННАЯ СТРАТЕГИЯ РЕГИОНА</t>
  </si>
  <si>
    <t>Новоселова Н.Н., Хубулова В.В.</t>
  </si>
  <si>
    <t>978-5-16-017269-9</t>
  </si>
  <si>
    <t>Рекомендовано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(квалификация (степень) «магистр»)</t>
  </si>
  <si>
    <t>Северо-Кавказский институт искусств</t>
  </si>
  <si>
    <t>694944.01.01</t>
  </si>
  <si>
    <t>Инвестиционная стратегия: Уч.пос. / М.В.Чараева-М.:НИЦ ИНФРА-М,2024.-256 с.(ВО)(п)</t>
  </si>
  <si>
    <t>ИНВЕСТИЦИОННАЯ СТРАТЕГИЯ</t>
  </si>
  <si>
    <t>Чараева М.В.</t>
  </si>
  <si>
    <t>978-5-16-015648-4</t>
  </si>
  <si>
    <t>38.03.01, 38.03.02, 38.04.02, 38.04.09</t>
  </si>
  <si>
    <t>241500.10.01</t>
  </si>
  <si>
    <t>Инвестиционное бизнес-планир.: Уч. пос. / М.В.Чараева - М.:Альфа-М:ИНФРА-М, 2025 - 176 с.(Бакалавр.) (П)</t>
  </si>
  <si>
    <t>ИНВЕСТИЦИОННОЕ БИЗНЕС-ПЛАНИРОВАНИЕ</t>
  </si>
  <si>
    <t>Чараева М. В., Лапицкая Г. М., Крашенникова Н. В.</t>
  </si>
  <si>
    <t>978-5-98281-370-1</t>
  </si>
  <si>
    <t>38.03.02, 38.04.01, 38.04.02, 38.04.08, 41.03.06, 44.03.01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</si>
  <si>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080100.62 «Экономика» (квалификация (степень)«бакала</t>
  </si>
  <si>
    <t>431550.08.01</t>
  </si>
  <si>
    <t>Инвестиционное проектирование: Уч. пос. / А.П.Гарнов - М.: НИЦ ИНФРА-М, 2024 - 254 с.(ВО: Бакалавр.) (П)</t>
  </si>
  <si>
    <t>ИНВЕСТИЦИОННОЕ ПРОЕКТИРОВАНИЕ</t>
  </si>
  <si>
    <t>Гарнов А.П., Краснобаева О.В.</t>
  </si>
  <si>
    <t>978-5-16-019304-5</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</si>
  <si>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</si>
  <si>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451050.05.01</t>
  </si>
  <si>
    <t>Инвестиционные риски в маркетинге: Уч. пос./Т.И.Урясьева - М.: Вуз. учеб.: НИЦ ИНФРА-М, 2023-128с. (о)</t>
  </si>
  <si>
    <t>ИНВЕСТИЦИОННЫЕ РИСКИ В МАРКЕТИНГЕ</t>
  </si>
  <si>
    <t>Урясьева Т. И.</t>
  </si>
  <si>
    <t>978-5-9558-0335-7</t>
  </si>
  <si>
    <t>38.03.02, 38.03.05, 38.03.06, 38.04.02, 38.04.06, 38.04.08, 41.03.06</t>
  </si>
  <si>
    <t>Допущено Учебно-методическим объединением по образованию в области маркетинга в качестве учебного пособия для студентов высших учебных заведений, обучающихся по специальности 100700.68 Торговое дело, по магистерской программе «Стратегии и инновации в</t>
  </si>
  <si>
    <t>655234.05.01</t>
  </si>
  <si>
    <t>Инвестиционный анализ: Уч. / В.М.Серов и др. - М.:НИЦ ИНФРА-М,2024 - 248 с.-(ВО: Бакалавриат)(П)</t>
  </si>
  <si>
    <t>ИНВЕСТИЦИОННЫЙ АНАЛИЗ</t>
  </si>
  <si>
    <t>Серов В.М., Богомолова Е.А., Моисеенко Н.А. и др.</t>
  </si>
  <si>
    <t>978-5-16-013104-7</t>
  </si>
  <si>
    <t>260900.07.01</t>
  </si>
  <si>
    <t>Инвестиционный анализ: Уч. пос. / Я.С.Мелкумов - 3 изд. - М.: ИНФРА-М, 2025 - 176 с.(ВО: Бакалавр.) (о)</t>
  </si>
  <si>
    <t>ИНВЕСТИЦИОННЫЙ АНАЛИЗ, ИЗД.3</t>
  </si>
  <si>
    <t>Мелкумов Я. С.</t>
  </si>
  <si>
    <t>978-5-16-009514-1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</si>
  <si>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38.03.02.62 "Менеджмент» (квалификация (степень) «ба</t>
  </si>
  <si>
    <t>102500.14.01</t>
  </si>
  <si>
    <t>Инвестиционный анализ: Уч.пос. / Т.С.Колмыкова, - 2-е изд.-М.:НИЦ ИНФРА-М,2023.-208 с.(ВО)(п)</t>
  </si>
  <si>
    <t>ИНВЕСТИЦИОННЫЙ АНАЛИЗ, ИЗД.2</t>
  </si>
  <si>
    <t>Колмыкова Т. С.</t>
  </si>
  <si>
    <t>978-5-16-018660-3</t>
  </si>
  <si>
    <t>38.03.01, 38.03.02, 38.03.04, 38.03.05, 38.04.01, 38.04.04, 38.04.05, 38.04.08, 41.03.06</t>
  </si>
  <si>
    <t>214500.11.01</t>
  </si>
  <si>
    <t>Инвестиционный менеджмент: Уч. / П.Н.Брусов - М.:НИЦ ИНФРА-М,2024 - 333 с. - (ВО:Бакалавр.)(п)</t>
  </si>
  <si>
    <t>ИНВЕСТИЦИОННЫЙ МЕНЕДЖМЕНТ</t>
  </si>
  <si>
    <t>Брусов П. Н., Филатова Т. В., Лахметкина Н. И.</t>
  </si>
  <si>
    <t>978-5-16-005020-1</t>
  </si>
  <si>
    <t>38.03.01, 38.03.02, 38.03.03, 38.03.04, 41.03.06</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</si>
  <si>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38.03.02 «Менеджмент» (квалификация (степень) - «бакалавр»)</t>
  </si>
  <si>
    <t>374800.07.01</t>
  </si>
  <si>
    <t>Инвестиционный менеджмент: Уч. /С.Е.Метелев.-М.:Форум, НИЦ ИНФРА-М,2024.-288 с.(ВО:Бакалавр.)(О)</t>
  </si>
  <si>
    <t>С.Е.Метелев, В.П.Чижик, С.Е.Елкин</t>
  </si>
  <si>
    <t>978-5-00091-092-4</t>
  </si>
  <si>
    <t>38.03.01, 38.03.02, 38.04.01, 38.04.02, 38.04.08</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</si>
  <si>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080100 «Экономика» (квалификация (степень) «бакалавр»)</t>
  </si>
  <si>
    <t>446150.06.01</t>
  </si>
  <si>
    <t>Инвестиционный менеджмент: Уч.пос. / В.В.Мыльник - М.: ИЦ РИОР:НИЦ ИНФРА-М,2022-229 с.(ВО:Бакалавр.) (п)</t>
  </si>
  <si>
    <t>Мыльник В.В., Мыльник А.В., Зубеева Е.В.</t>
  </si>
  <si>
    <t>978-5-369-01241-3</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</si>
  <si>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«Менеджмент организации»</t>
  </si>
  <si>
    <t>363700.09.01</t>
  </si>
  <si>
    <t>Индивидуальное психолог.консульт.:основы теории.: Уч.пос. / Р.М.Айсина-ИЦ РИОР,НИЦ ИНФРА-М,2025 - 148 с.(ВО)</t>
  </si>
  <si>
    <t>ИНДИВИДУАЛЬНОЕ ПСИХОЛОГИЧЕСКОЕ КОНСУЛЬТИРОВАНИЕ: ОСНОВЫ ТЕОРИИ И ПРАКТИКИ</t>
  </si>
  <si>
    <t>Айсина Р.М.</t>
  </si>
  <si>
    <t>978-5-369-01467-7</t>
  </si>
  <si>
    <t>37.03.01, 37.04.01, 37.05.01</t>
  </si>
  <si>
    <t>292100.05.01</t>
  </si>
  <si>
    <t>Индукторные машины. Проектирование и вычислит. анал...: Уч.пос. / А.Ю.Смирнов - М.:Форум:ИНФРА-М,2022-192с (о)</t>
  </si>
  <si>
    <t>ИНДУКТОРНЫЕ МАШИНЫ. ПРОЕКТИРОВАНИЕ И ВЫЧИСЛИТЕЛЬНЫЙ АНАЛИЗ (СПЕЦИАЛЬНЫЙ КУРС)</t>
  </si>
  <si>
    <t>Смирнов А.Ю.</t>
  </si>
  <si>
    <t>978-5-91134-936-3</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</si>
  <si>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</si>
  <si>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392000.08.01</t>
  </si>
  <si>
    <t>Индустрия гостеприимства. Прак.: Уч.мет.пос. / Н.Г.Можаева, - 2 изд.-М.:НИЦ ИНФРА-М,2024.-113 с.(О)</t>
  </si>
  <si>
    <t>ИНДУСТРИЯ ГОСТЕПРИИМСТВА. ПРАКТИКУМ, ИЗД.2</t>
  </si>
  <si>
    <t>Можаева Н.Г., Камшечко М.В.</t>
  </si>
  <si>
    <t>978-5-16-016990-3</t>
  </si>
  <si>
    <t>43.03.01, 43.03.02, 43.03.03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</si>
  <si>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43.03.01 «Сервис», 43.03.02 «Туризм» (квалификация (степень) «бакалавр») (протокол № 5 от 11.05.2022)</t>
  </si>
  <si>
    <t>682869.06.01</t>
  </si>
  <si>
    <t>Индустрия гостеприимства. Практ.: Уч.мет.пос. / Н.Г.Можаева-2 изд.-М.:НИЦ ИНФРА-М,2024-113 с.(СПО)(о)</t>
  </si>
  <si>
    <t>ИНДУСТРИЯ ГОСТЕПРИИМСТВА, ИЗД.2</t>
  </si>
  <si>
    <t>978-5-16-019338-0</t>
  </si>
  <si>
    <t>392000.06.01</t>
  </si>
  <si>
    <t>Индустрия гостеприимства. Практ.: Уч.пос. / Н.Г.Можаева-М.:Форум, НИЦ ИНФРА-М,2020.-120 с.(ВО)(О)</t>
  </si>
  <si>
    <t>ИНДУСТРИЯ ГОСТЕПРИИМСТВА. ПРАКТИКУМ</t>
  </si>
  <si>
    <t>978-5-00091-602-5</t>
  </si>
  <si>
    <t>Рекомендовано в качестве учебного пособия для студентов высших учебных заведений, обучающихся по направлениям подготовки 43.03.03 «Гостиничное дело», 43.03.01 «Сервис», 43.03.02 «Туризм» (квалификация (степень) «бакалавр»)</t>
  </si>
  <si>
    <t>682868.03.01</t>
  </si>
  <si>
    <t>Индустрия гостеприимства...: Уч.пос. / А.Д.Чудновский - М.:ИД ФОРУМ,НИЦ ИНФРА-М, 2024 - 400с.(СПО)(П)</t>
  </si>
  <si>
    <t>ИНДУСТРИЯ ГОСТЕПРИИМСТВА: ОСНОВЫ ОРГАНИЗАЦИИ И УПРАВЛЕНИЯ</t>
  </si>
  <si>
    <t>Чудновский А.Д., Жукова М.А., Белозерова Ю.М. и др.</t>
  </si>
  <si>
    <t>978-5-8199-0787-0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</si>
  <si>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43.02.11 «Гостиничный сервис»</t>
  </si>
  <si>
    <t>144350.09.01</t>
  </si>
  <si>
    <t>Индустрия гостеприимства: основы орг...: Уч.пос. / А.Д.Чудновский. - М.:ИД Форум, ИНФРА-М,2025. - 400 с.(П)</t>
  </si>
  <si>
    <t>Чудновский А. Д., Жукова М. А., Белозерова Ю. М., Кнышова Е. Н.</t>
  </si>
  <si>
    <t>978-5-8199-0945-4</t>
  </si>
  <si>
    <t>38.03.02, 43.03.03</t>
  </si>
  <si>
    <t>Допущено Советом Учебно-методического объединения по образованию в области менеджмента в качестве учебного пособия по  направлению «Менеджмент организации»</t>
  </si>
  <si>
    <t>682869.05.01</t>
  </si>
  <si>
    <t>Индустрия гостеприимства: Практикум / Н.Г.Можаева-М.:Форум, НИЦ ИНФРА-М,2023-120с(СПО)(О)</t>
  </si>
  <si>
    <t>ИНДУСТРИЯ ГОСТЕПРИИМСТВА</t>
  </si>
  <si>
    <t>978-5-00091-567-7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</si>
  <si>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2 от 28.01.2019)</t>
  </si>
  <si>
    <t>757842.03.01</t>
  </si>
  <si>
    <t>Инженерная биотехнология...: Уч.пос. / А.В.Луканин - М.:НИЦ ИНФРА-М,2024 - 304 с.(П)</t>
  </si>
  <si>
    <t>ИНЖЕНЕРНАЯ БИОТЕХНОЛОГИЯ: ОСНОВЫ ТЕХНОЛОГИИ МИКРОБИОЛОГИЧЕСКИХ ПРОИЗВОДСТВ</t>
  </si>
  <si>
    <t>Луканин А.В.</t>
  </si>
  <si>
    <t>978-5-16-016928-6</t>
  </si>
  <si>
    <t>15.02.01, 18.01.34, 18.02.01, 18.02.15, 19.01.01, 19.02.15, 33.02.01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</si>
  <si>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11 от 09.11.2020)</t>
  </si>
  <si>
    <t>456900.09.01</t>
  </si>
  <si>
    <t>Инженерная биотехнология: основы тех. микробиолог...: Уч.пос. / А.В.Луканин-М.:НИЦ ИНФРА-М,2025-304 с.(ВО)(П)</t>
  </si>
  <si>
    <t>978-5-16-011479-8</t>
  </si>
  <si>
    <t>19.03.01</t>
  </si>
  <si>
    <t>Рекомендовано в качестве учебного пособия для студентов высших учебных заведений, обучающихся по направлению подготовки 19.03.01 «Биотехнология» (квалификация (степень) «бакалавр»)</t>
  </si>
  <si>
    <t>457200.07.01</t>
  </si>
  <si>
    <t>Инженерная биотехнология: Уч.пос. / А.В.Луканин - М.:НИЦ ИНФРА-М,2024 - 451 с.(ВО)(п)</t>
  </si>
  <si>
    <t>ИНЖЕНЕРНАЯ БИОТЕХНОЛОГИЯ: ПРОЦЕССЫ И АППАРАТЫ МИКРОБИОЛОГИЧЕСКИХ ПРОИЗВОДСТВ</t>
  </si>
  <si>
    <t>978-5-16-019814-9</t>
  </si>
  <si>
    <t>311600.11.01</t>
  </si>
  <si>
    <t>Инженерная геодезия: Уч. / Г.А.Федотов - 6 изд. - М.:НИЦ ИНФРА-М,2025 - 479 с.(ВО: Спец.)(П)</t>
  </si>
  <si>
    <t>ИНЖЕНЕРНАЯ ГЕОДЕЗИЯ, ИЗД.6</t>
  </si>
  <si>
    <t>Федотов Г.А.</t>
  </si>
  <si>
    <t>978-5-16-020407-9</t>
  </si>
  <si>
    <t>Рекомендовано УМО вузов Российской Федерации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специальности «Автомобильные дороги и аэродромы» направления подготовки «Транспортное строительство»</t>
  </si>
  <si>
    <t>0616</t>
  </si>
  <si>
    <t>682870.09.01</t>
  </si>
  <si>
    <t>Инженерная геодезия: Уч./ Г.А.Федотов - 6 изд. - М.:НИЦ ИНФРА-М,2025 - 479 с.(СПО)(П)</t>
  </si>
  <si>
    <t>978-5-16-013920-3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</si>
  <si>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t>
  </si>
  <si>
    <t>667634.07.01</t>
  </si>
  <si>
    <t>Инженерная графика. Геометр. и проекц...: Уч.пос. / И.Г.Борисенко - 5 изд. - М.:НИЦ ИНФРА-М, СФУ,2025 - 199 с.(П)</t>
  </si>
  <si>
    <t>ИНЖЕНЕРНАЯ ГРАФИКА. ГЕОМЕТРИЧЕСКОЕ И ПРОЕКЦИОННОЕ ЧЕРЧЕНИЕ, ИЗД.5</t>
  </si>
  <si>
    <t>Борисенко И.Г.</t>
  </si>
  <si>
    <t>978-5-16-020616-5</t>
  </si>
  <si>
    <t>15.03.01, 15.03.02, 15.03.03, 15.03.04, 15.03.05, 15.03.06</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</si>
  <si>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направлениям подготовки в области техники и технологии</t>
  </si>
  <si>
    <t>0518</t>
  </si>
  <si>
    <t>736723.09.01</t>
  </si>
  <si>
    <t>Инженерная графика. Машиностроит. черчение: Уч. / А.А.Чекмарев - М.:НИЦ ИНФРА-М,2025 - 396 с.(СПО)(п)</t>
  </si>
  <si>
    <t>ИНЖЕНЕРНАЯ ГРАФИКА. МАШИНОСТРОИТЕЛЬНОЕ ЧЕРЧЕНИЕ</t>
  </si>
  <si>
    <t>Чекмарев А.А.</t>
  </si>
  <si>
    <t>978-5-16-016231-7</t>
  </si>
  <si>
    <t>12.01.09, 15.01.22, 15.02.03, 15.02.04, 15.02.06, 15.02.09, 15.02.16, 15.02.17, 15.02.18, 15.02.19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</si>
  <si>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машиностроительным специальностям (протокол № 6 от 06.04.2020)</t>
  </si>
  <si>
    <t>104000.20.01</t>
  </si>
  <si>
    <t>Инженерная графика. Машиностроит.черчение: Уч. / А.А.Чекмарев - М.:НИЦ ИНФРА-М,2023-396с.(ВО)(п)</t>
  </si>
  <si>
    <t>978-5-16-013447-5</t>
  </si>
  <si>
    <t>Допущено Научно-методическим советом по начертательной геометрии, инженерной и компьютерной графике Министерства образования и науки Российской Федерации в качестве учебника для студентов высших учебных заведений, обучающихся по направлению подготовки дипломированных специалистов  высшего образования в машиностроении</t>
  </si>
  <si>
    <t>220100.11.01</t>
  </si>
  <si>
    <t>Инженерная графика. Практикум..: Уч.пос. / П.В.Зеленый - НИЦ ИНФРА-М,Нов.знание,2024-128с(ВО:Бак.)(о)</t>
  </si>
  <si>
    <t>ИНЖЕНЕРНАЯ ГРАФИКА. ПРАКТИКУМ ПО ЧЕРТЕЖАМ СБОРОЧНЫХ ЕДИНИЦ</t>
  </si>
  <si>
    <t>Зеленый П. В., Белякова Е. И., Кучура О. Н., Зеленый П. В.</t>
  </si>
  <si>
    <t>978-5-16-006951-7</t>
  </si>
  <si>
    <t>08.03.01, 13.03.03, 15.03.01, 15.03.05, 16.03.02, 18.03.01, 18.03.02, 19.03.01, 20.03.01, 20.03.02, 24.03.01, 26.03.02, 27.03.05, 29.03.03, 29.03.05</t>
  </si>
  <si>
    <t>Допущено Министерством образования Республики Беларусь в качестве учебного пособия для студентов учреждений высшего образования по техническим специальностям</t>
  </si>
  <si>
    <t>039010.17.01</t>
  </si>
  <si>
    <t>Инженерная графика. Ч.1: Раб. тетр. к уч. / И.А.Исаев, - 3 изд. - М.:Форум, НИЦ ИНФРА-М,2025 - 83 с.(СПО)(о)</t>
  </si>
  <si>
    <t>ИНЖЕНЕРНАЯ ГРАФИКА. ЧАСТЬ 1, ИЗД.3</t>
  </si>
  <si>
    <t>Исаев И.А.</t>
  </si>
  <si>
    <t>978-5-00091-542-4</t>
  </si>
  <si>
    <t>Рабочая тетрадь к учебнику</t>
  </si>
  <si>
    <t>00.02.31, 08.02.01, 15.01.22, 15.02.04, 15.02.06, 15.02.09, 15.02.16, 23.02.02, 24.02.01, 24.02.02</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</si>
  <si>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технического профиля</t>
  </si>
  <si>
    <t>667630.04.01</t>
  </si>
  <si>
    <t>Инженерная графика..: Уч.пос./ И.Г.Борисенко - 3 изд. - М.:НИЦ ИНФРА-М, СФУ,2024 - 156 с.(ВО)(п)</t>
  </si>
  <si>
    <t>ИНЖЕНЕРНАЯ ГРАФИКА. ЭСКИЗИРОВАНИЕ ДЕТАЛЕЙ МАШИН, ИЗД.3</t>
  </si>
  <si>
    <t>978-5-16-018572-9</t>
  </si>
  <si>
    <t>15.03.01, 15.03.05, 15.04.01, 15.04.05</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</si>
  <si>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направлениям подготовки в области техники и технологии</t>
  </si>
  <si>
    <t>660182.04.01</t>
  </si>
  <si>
    <t>Инженерная графика: Атлас сборочных единиц..: Уч.пос. / Л.Р.Юренкова. - М.:НИЦ ИНФРА-М,2025. - 125 с.(О)</t>
  </si>
  <si>
    <t>ИНЖЕНЕРНАЯ ГРАФИКА: АТЛАС СБОРОЧНЫХ ЕДИНИЦ С РАЗЛИЧНЫМИ ВИДАМИ СОЕДИНЕНИЙ ДЕТАЛЕЙ</t>
  </si>
  <si>
    <t>Юренкова Л.Р., Бурлай В.В., Федоренко В.И. и др.</t>
  </si>
  <si>
    <t>978-5-16-013770-4</t>
  </si>
  <si>
    <t>15.03.01, 15.03.05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</si>
  <si>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15.00.00 «Машиностроение» (квалификация (степень) «бакалавр») (протокол № 11 от 09.11.2020)</t>
  </si>
  <si>
    <t>454800.08.01</t>
  </si>
  <si>
    <t>Инженерная графика: аудиторные задачи и..: Уч.пос. / А.А.Чекмарев- 2изд.-М.: НИЦ ИНФРА-М,2023 - 78с.(ВО)(о)</t>
  </si>
  <si>
    <t>ИНЖЕНЕРНАЯ ГРАФИКА: АУДИТОРНЫЕ ЗАДАЧИ И ЗАДАНИЯ, ИЗД.2</t>
  </si>
  <si>
    <t>978-5-16-018633-7</t>
  </si>
  <si>
    <t>08.03.01, 13.03.03, 15.03.01, 16.03.02, 18.03.01, 18.03.02, 19.03.01, 20.03.01, 20.03.02, 24.03.01, 26.03.02, 27.03.05, 29.03.03, 29.03.05</t>
  </si>
  <si>
    <t>Рекомендовано в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</si>
  <si>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344300.09.01</t>
  </si>
  <si>
    <t>Инженерная графика: Проецирование геометр. тел / Г.В.Буланже - 3изд -М.:КУРС, НИЦ ИНФРА-М,2024-184с(j)</t>
  </si>
  <si>
    <t>ИНЖЕНЕРНАЯ ГРАФИКА: ПРОЕЦИРОВАНИЕ ГЕОМЕТРИЧЕСКИХ ТЕЛ, ИЗД.3</t>
  </si>
  <si>
    <t>Г.В.Буланже, И.А.Гущин, В.А.Гончарова</t>
  </si>
  <si>
    <t>978-5-905554-86-5</t>
  </si>
  <si>
    <t>15.03.02, 15.03.04, 15.03.05, 26.02.04</t>
  </si>
  <si>
    <t>Рекомендовано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15.03.02 (151000) «Технологические машины и оборудование",  15.03.05 (151900) "Конструкторско-технологическое обеспечение машиностроительных производств", 15.03.04 (220700) "Автоматизация технологических процессов и производств"</t>
  </si>
  <si>
    <t>052720.14.01</t>
  </si>
  <si>
    <t>Инженерная графика: Раб. тетр.: Ч.2 / И.А.Исаев - 3 изд. - М.:Форум, НИЦ ИНФРА-М,2025 - 56 с.(СПО)(О)</t>
  </si>
  <si>
    <t>ИНЖЕНЕРНАЯ ГРАФИКА, ИЗД.3</t>
  </si>
  <si>
    <t>978-5-00091-477-9</t>
  </si>
  <si>
    <t>00.02.31, 08.02.01, 15.01.22, 15.02.10, 15.02.16, 23.02.02, 24.02.01, 24.02.02</t>
  </si>
  <si>
    <t>0311</t>
  </si>
  <si>
    <t>702075.07.01</t>
  </si>
  <si>
    <t>Инженерная графика: Уч. / Г.В.Буланже и др. - М.:НИЦ ИНФРА-М,2023 - 381 с.-(СПО)(П)</t>
  </si>
  <si>
    <t>ИНЖЕНЕРНАЯ ГРАФИКА</t>
  </si>
  <si>
    <t>Буланже Г.В., Гончарова В.А., Гущин И.А. и др.</t>
  </si>
  <si>
    <t>978-5-16-014817-5</t>
  </si>
  <si>
    <t>00.02.31, 08.02.01, 12.01.09, 12.02.09, 15.01.22, 15.02.16, 24.02.01, 24.02.02, 25.02.06, 26.02.02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</si>
  <si>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5 от 11.03.2019)</t>
  </si>
  <si>
    <t>712353.08.01</t>
  </si>
  <si>
    <t>Инженерная графика: Уч. / Г.В.Серга и др. - М.:НИЦ ИНФРА-М,2025. - 383 с.(СПО)(П)</t>
  </si>
  <si>
    <t>Серга Г.В., Табачук И.И., Кузнецова Н.Н.</t>
  </si>
  <si>
    <t>978-5-16-015545-6</t>
  </si>
  <si>
    <t>00.02.31, 08.02.01, 15.01.22, 15.02.04, 15.02.10, 15.02.16, 23.02.02, 24.02.01, 24.02.02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</si>
  <si>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12 от 24.06.2019)</t>
  </si>
  <si>
    <t>708219.05.01</t>
  </si>
  <si>
    <t>Инженерная графика: Уч. / Под ред. Раклова В.П., - 2 изд.,-М.:НИЦ ИНФРА-М,2024-305 с.(СПО)(П)</t>
  </si>
  <si>
    <t>ИНЖЕНЕРНАЯ ГРАФИКА, ИЗД.2</t>
  </si>
  <si>
    <t>Раклов В.П., Яковлева Т.Я., Раклов В.П.</t>
  </si>
  <si>
    <t>978-5-16-015343-8</t>
  </si>
  <si>
    <t>Допущено Министерством сельского хозяйства Российской Федерации в качестве учебника для студентов средних профессиональных учебных заведений по специальности 21.02.04 «Землеустройство»</t>
  </si>
  <si>
    <t>668735.05.01</t>
  </si>
  <si>
    <t>Инженерная графика: Уч.пос. / Л.Н.Головина-М.:НИЦ ИНФРА-М, СФУ,2023.-199 с.(ВО: Бакалавриат (СФУ))(п)</t>
  </si>
  <si>
    <t>Головина Л.Н., Кузнецова М.Н.</t>
  </si>
  <si>
    <t>978-5-16-017453-2</t>
  </si>
  <si>
    <t>00.03.32, 44.03.04</t>
  </si>
  <si>
    <t>Допущено Учебно-методическим объединением по профессио-нально-педагогическому образованию в качестве учебного пособия для студентов высших учебных заведений, обучающихся по направлению подготовки 44.03.04 «Профессиональное обучение (по отраслям)»</t>
  </si>
  <si>
    <t>239500.07.01</t>
  </si>
  <si>
    <t>Инженерная педагогика. Проблемы, опыт, предлож.: Уч.пос. / В.А.Жуков-М.:НИЦ ИНФРА-М,2023.-197 с.(ВО)(о)</t>
  </si>
  <si>
    <t>ИНЖЕНЕРНАЯ ПЕДАГОГИКА. ПРОБЛЕМЫ, ОПЫТ, ПРЕДЛОЖЕНИЯ</t>
  </si>
  <si>
    <t>Жуков В. А.</t>
  </si>
  <si>
    <t>Высшее образование: Аспирантура</t>
  </si>
  <si>
    <t>978-5-16-009221-8</t>
  </si>
  <si>
    <t>44.03.01, 44.03.04, 44.03.05, 44.04.01, 44.04.04</t>
  </si>
  <si>
    <t>Рекомендовано Учебно-методическим объединением по университетскому политехническому образованию в качестве учебно-методического пособия для организаторов образовательного процесса и преподавателей высших учебных заведений технического профиля</t>
  </si>
  <si>
    <t>411450.08.01</t>
  </si>
  <si>
    <t>Инженерная педагогика: Науч.-мет. пос. / Л.А. Найниш - М.: НИЦ Инфра-М, 2024. - 88 с.(ВО) (о)</t>
  </si>
  <si>
    <t>ИНЖЕНЕРНАЯ ПЕДАГОГИКА</t>
  </si>
  <si>
    <t>Найниш Л. А., Люсев В. Н.</t>
  </si>
  <si>
    <t>978-5-16-006002-6</t>
  </si>
  <si>
    <t>44.03.01, 44.03.04, 44.03.05, 44.04.01, 44.04.02, 44.04.04, 44.06.01, 44.07.01</t>
  </si>
  <si>
    <t>Допущено Учебно-методическим объединением по профессионально- педагогическому образованию в качестве учебного пособия для слушателей институтов и факультетов повышения квалификации, преподавателей, аспирантов и других профессионально-педагогических р</t>
  </si>
  <si>
    <t>757843.05.01</t>
  </si>
  <si>
    <t>Инженерная экология...: Уч.пос. / А.В.Луканин - М.:НИЦ ИНФРА-М,2025 - 605 с.(П)</t>
  </si>
  <si>
    <t>ИНЖЕНЕРНАЯ ЭКОЛОГИЯ: ПРОЦЕССЫ И АППАРАТЫ ОЧИСТКИ СТОЧНЫХ ВОД И ПЕРЕРАБОТКИ ОСАДКОВ</t>
  </si>
  <si>
    <t>978-5-16-016929-3</t>
  </si>
  <si>
    <t>08.02.04, 14.02.01, 18.02.15, 20.02.01, 20.02.03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</si>
  <si>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19.02.01 «Биохимическое производство», 20.02.01 «Рациональное использование природохозяйственных комплексов», 20.02.03 «Природоохранное обустройство территорий» (протокол № 11 от 09.11.2020)</t>
  </si>
  <si>
    <t>653104.06.01</t>
  </si>
  <si>
    <t>Инженерная экология: защита литосферы от..: Уч.пос. / А.В.Луканин-М.:НИЦ ИНФРА-М,2023-556с(ВО)(П)</t>
  </si>
  <si>
    <t>ИНЖЕНЕРНАЯ ЭКОЛОГИЯ: ЗАЩИТА ЛИТОСФЕРЫ ОТ ТВЕРДЫХ ПРОМЫШЛЕННЫХ И БЫТОВЫХ ОТХОДОВ</t>
  </si>
  <si>
    <t>978-5-16-012760-6</t>
  </si>
  <si>
    <t>05.03.06, 05.04.06, 20.03.01, 20.03.02, 20.04.01, 20.04.02</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</si>
  <si>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(квалификация (степень) «бакалавр»)</t>
  </si>
  <si>
    <t>АКАДЕМУС-2089, Победитель</t>
  </si>
  <si>
    <t>640795.06.01</t>
  </si>
  <si>
    <t>Инженерная экология: процес. и аппараты очистки...: Уч.пос. / А.В.Луканин - М.:НИЦ ИНФРА-М,2024 - 523 с.(ВО)(П)</t>
  </si>
  <si>
    <t>ИНЖЕНЕРНАЯ ЭКОЛОГИЯ: ПРОЦЕССЫ И АППАРАТЫ ОЧИСТКИ ГАЗОВОЗДУШНЫХ ВЫБРОСОВ</t>
  </si>
  <si>
    <t>978-5-16-019644-2</t>
  </si>
  <si>
    <t>05.03.06, 05.04.06, 13.04.01, 18.03.02, 20.03.01, 20.04.01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</si>
  <si>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(квалификация (степень) «бакалавр»)</t>
  </si>
  <si>
    <t>635885.05.01</t>
  </si>
  <si>
    <t>Инженерная экология: процессы...: Уч.пос. / А.В.Луканин - М.:НИЦ ИНФРА-М,2025 - 605 с(ВО)(П)</t>
  </si>
  <si>
    <t>978-5-16-020192-4</t>
  </si>
  <si>
    <t>05.03.06, 05.04.06, 20.03.01, 20.04.01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</si>
  <si>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19.03.01 «Биотехнология» (квалификация (степень) «бакалавр»)</t>
  </si>
  <si>
    <t>488550.08.01</t>
  </si>
  <si>
    <t>Инженерно-геологический словарь / А.Д.Потапов - М.:НИЦ ИНФРА-М,2023 -336с.(Б-ка словарей ИНФРА-М)(п)</t>
  </si>
  <si>
    <t>ИНЖЕНЕРНО-ГЕОЛОГИЧЕСКИЙ СЛОВАРЬ</t>
  </si>
  <si>
    <t>Потапов А.Д., Ревелис И.Л., Чернышев С.Н.</t>
  </si>
  <si>
    <t>978-5-16-010692-2</t>
  </si>
  <si>
    <t>Словарь-справочник</t>
  </si>
  <si>
    <t>05.03.01, 05.04.01, 08.03.01, 08.04.01, 21.05.02, 21.05.03</t>
  </si>
  <si>
    <t>654481.05.01</t>
  </si>
  <si>
    <t>Инженерные конструкции. Железобет...: Уч. / Т.К.Ксенофонтова и др. - М.:НИЦ ИНФРА-М,2023 - 386 с.(ВО)(п)</t>
  </si>
  <si>
    <t>ИНЖЕНЕРНЫЕ КОНСТРУКЦИИ. ЖЕЛЕЗОБЕТОННЫЕ И КАМЕННЫЕ КОНСТРУКЦИИ</t>
  </si>
  <si>
    <t>Ксенофонтова Т.К., Чумичева М.М., Ксенофонтова Т.К.</t>
  </si>
  <si>
    <t>978-5-16-018525-5</t>
  </si>
  <si>
    <t>08.03.01, 08.05.01, 08.05.02, 08.05.03, 20.03.01, 20.03.02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</si>
  <si>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08.03.01 «Строительство», 20.03.01 «Техносферная безопасность», 20.03.02 «Природообустройство и водопользование» (квалификация (степень) «бакалавр») (протокол № 11 от 10.06.2019)</t>
  </si>
  <si>
    <t>642185.05.01</t>
  </si>
  <si>
    <t>Инженерные конструкции. Метал.конструкции....: Уч. / Ю.М.Дукарский - 4 изд.-М.:НИЦ ИНФРА-М,2024-262с(ВО)(п)</t>
  </si>
  <si>
    <t>ИНЖЕНЕРНЫЕ КОНСТРУКЦИИ. МЕТАЛЛИЧЕСКИЕ КОНСТРУКЦИИ И КОНСТРУКЦИИ ИЗ ДРЕВЕСИНЫ И ПЛАСТМАСС, ИЗД.4</t>
  </si>
  <si>
    <t>Дукарский Ю.М., Расс Ф.В., Мареева О.В.</t>
  </si>
  <si>
    <t>978-5-16-019216-1</t>
  </si>
  <si>
    <t>08.03.01, 20.03.02</t>
  </si>
  <si>
    <t>Рекомендовано в качестве учебника для студентов высших учебных заведений, обучающихся по направлениям подготовки 08.03.01 «Строительство», 20.03.02 «Природообустройство и водопользование» (квалификация (степень) «бакалавр»)</t>
  </si>
  <si>
    <t>648926.04.01</t>
  </si>
  <si>
    <t>Инжиниринг труда: проект.трудовых процес..: Уч.пос. /Е.А.Савельева-М.:Вуз.уч.,НИЦ ИНФРА-М,2023-236с.</t>
  </si>
  <si>
    <t>ИНЖИНИРИНГ ТРУДА: ПРОЕКТИРОВАНИЕ ТРУДОВЫХ ПРОЦЕССОВ И СИСТЕМ</t>
  </si>
  <si>
    <t>Савельева Е.А.</t>
  </si>
  <si>
    <t>978-5-9558-0536-8</t>
  </si>
  <si>
    <t>38.03.01, 38.03.03, 38.04.01, 38.04.03, 39.04.01, 41.03.06</t>
  </si>
  <si>
    <t>714122.05.01</t>
  </si>
  <si>
    <t>Инклюзивное обуч. детей с огранич. возмож...: Уч.мет.пос. / Л.И.Плаксина -  М.:НИЦ ИНФРА-М,2024-192 с.(ВО)(П)</t>
  </si>
  <si>
    <t>ИНКЛЮЗИВНОЕ ОБУЧЕНИЕ ДЕТЕЙ С ОГРАНИЧЕННЫМИ ВОЗМОЖНОСТЯМИ ЗДОРОВЬЯ ПСИХОЛОГО-ПЕДАГОГИЧЕСКОЕ СОПРОВОЖДЕНИЕ ДОШКОЛЬНИКОВ С НАРУШЕНИЯМИ ЗРЕНИЯ</t>
  </si>
  <si>
    <t>Плаксина Л.И., Дружинина Л.А., Осипова Л.Б.</t>
  </si>
  <si>
    <t>978-5-16-018496-8</t>
  </si>
  <si>
    <t>44.03.01, 44.03.02, 44.03.03, 44.04.01, 44.04.02, 44.04.03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</si>
  <si>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44.03.01 «Педагогическое образование» (квалификация (степень) «бакалавр») (протокол № 10 от 12.10.2020)</t>
  </si>
  <si>
    <t>763713.05.01</t>
  </si>
  <si>
    <t>Инклюзивное обуч. детей с огранич. возмож...: Уч.мет.пос. / Л.И.Плаксина - М.:НИЦ ИНФРА-М,2025 - 192 с.(П)</t>
  </si>
  <si>
    <t>978-5-16-017120-3</t>
  </si>
  <si>
    <t>39.02.01, 44.02.01, 44.02.02, 44.02.03, 44.02.04, 44.02.05, 44.02.06, 49.02.01, 49.02.02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</si>
  <si>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3 от 17.03.2021)</t>
  </si>
  <si>
    <t>765296.04.01</t>
  </si>
  <si>
    <t>Инновации и современные модели бизнеса: Уч. / Т.Г.Попадюк и др.-М.:НИЦ ИНФРА-М,2024.-334 с.(ВО)</t>
  </si>
  <si>
    <t>ИННОВАЦИИ И СОВРЕМЕННЫЕ МОДЕЛИ БИЗНЕСА</t>
  </si>
  <si>
    <t>Попадюк Т.Г., Линдер Н.В., Трачук А.В. и др.</t>
  </si>
  <si>
    <t>978-5-16-019078-5</t>
  </si>
  <si>
    <t>27.03.05, 38.03.01, 38.03.02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</si>
  <si>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08.06.2022)</t>
  </si>
  <si>
    <t>766448.07.01</t>
  </si>
  <si>
    <t>Инновационная деят. на автомоб. транспорте: Уч.пос. / Бычков В.П. - 2 изд.-М.:НИЦ ИНФРА-М,2024-404с(П)</t>
  </si>
  <si>
    <t>ИННОВАЦИОННАЯ ДЕЯТЕЛЬНОСТЬ НА АВТОМОБИЛЬНОМ ТРАНСПОРТЕ, ИЗД.2</t>
  </si>
  <si>
    <t>Анисимов Ю.П., Бычков В.П., Куксова И.В. и др.</t>
  </si>
  <si>
    <t>978-5-16-015480-0</t>
  </si>
  <si>
    <t>23.03.01, 23.03.02, 23.03.03, 23.04.03, 23.05.01, 38.03.01, 38.03.02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</si>
  <si>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23.03.00 «Техника и технологии наземного транспорта» и направлению подготовки 38.03.02 «Менеджмент» (квалификация (степень) «бакалавр») (протокол № 5 от 16.03.2020)</t>
  </si>
  <si>
    <t>Воронежский государственный технический университет</t>
  </si>
  <si>
    <t>261600.09.01</t>
  </si>
  <si>
    <t>Инновационная деят. предприятия: Уч. / А.Ф.Наумов - М.:НИЦ ИНФРА-М,2025 - 256 с.(ВО: Бакалавр.) (п)</t>
  </si>
  <si>
    <t>ИННОВАЦИОННАЯ ДЕЯТЕЛЬНОСТЬ ПРЕДПРИЯТИЯ</t>
  </si>
  <si>
    <t>Наумов А.Ф., Захарова А.А.</t>
  </si>
  <si>
    <t>978-5-16-009521-9</t>
  </si>
  <si>
    <t>640373.11.01</t>
  </si>
  <si>
    <t>Инновационная педагогика: Уч.пос. / О.П.Околелов - М.:НИЦ ИНФРА-М,2025 - 167 с.(ВО: Магистр.)(П)</t>
  </si>
  <si>
    <t>ИННОВАЦИОННАЯ ПЕДАГОГИКА</t>
  </si>
  <si>
    <t>Околелов О.П.</t>
  </si>
  <si>
    <t>978-5-16-012564-0</t>
  </si>
  <si>
    <t>44.04.01, 44.04.02, 44.04.03, 44.04.04, 51.04.03</t>
  </si>
  <si>
    <t>Рекомендовано в качестве учебного пособия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44.04.03 «Специальное (дефектологическое) образование» (квалификация (степень) «магистр»)</t>
  </si>
  <si>
    <t>Липецкий Государственный Технический Университет</t>
  </si>
  <si>
    <t>149400.11.01</t>
  </si>
  <si>
    <t>Инновационная экономика молодеж. среды: Уч. пос. / В.О.Евсеев - М.: Вуз. уч., 2025-342с. (п)</t>
  </si>
  <si>
    <t>ИННОВАЦИОННАЯ ЭКОНОМИКА МОЛОДЕЖНОЙ СРЕДЫ</t>
  </si>
  <si>
    <t>978-5-9558-0187-2</t>
  </si>
  <si>
    <t>39.03.02, 39.03.03, 39.04.02, 39.04.03</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</si>
  <si>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и специальности "Социальная работа"</t>
  </si>
  <si>
    <t>282100.07.01</t>
  </si>
  <si>
    <t>Инновационная экономика: Научно-метод. пос./ М.В. Кудина - М.: ФОРУМ: ИНФРА-М, 2023 - 304 с. (П)</t>
  </si>
  <si>
    <t>ИННОВАЦИОННАЯ ЭКОНОМИКА</t>
  </si>
  <si>
    <t>Кудина М.В., Кудина М.В., Сажина М.А.</t>
  </si>
  <si>
    <t>978-5-8199-0595-1</t>
  </si>
  <si>
    <t>27.04.07, 38.03.01, 38.03.02, 38.03.04, 38.04.01, 38.04.02, 38.04.04</t>
  </si>
  <si>
    <t>Рекомендовано Ученым советом факультета государственного управления Московского государственного университета имени М.В. Ломоносова в качестве научно-методического пособия для аспирантов высших учебных заведений, обучающихся по экономическим и управл</t>
  </si>
  <si>
    <t>290200.09.01</t>
  </si>
  <si>
    <t>Инновационная экономика: стратегия...: Уч.пос. / О.И.Донцова-М.: Альфа-М,НИЦ ИНФРА-М,2023-208с(П)</t>
  </si>
  <si>
    <t>ИННОВАЦИОННАЯ ЭКОНОМИКА: СТРАТЕГИЯ И ИНСТРУМЕНТЫ ФОРМИРОВАНИЯ</t>
  </si>
  <si>
    <t>Донцова О. И., Логвинов С. А.</t>
  </si>
  <si>
    <t>978-5-98281-403-6</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</si>
  <si>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</si>
  <si>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681309.06.01</t>
  </si>
  <si>
    <t>Инновационная экономика: Уч. / О.И.Донцова - М.:НИЦ ИНФРА-М,2025 - 217 с.(ВО: Магистратура)(П)</t>
  </si>
  <si>
    <t>Донцова О.И.</t>
  </si>
  <si>
    <t>978-5-16-016895-1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</si>
  <si>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7 от 15.04.2019)</t>
  </si>
  <si>
    <t>728880.02.01</t>
  </si>
  <si>
    <t>Инновационное предпринимательство: Уч. / А.Г.Дементьева.-М.:Магистр, НИЦ ИНФРА-М,2023.-568 с.(П)</t>
  </si>
  <si>
    <t>ИННОВАЦИОННОЕ ПРЕДПРИНИМАТЕЛЬСТВО</t>
  </si>
  <si>
    <t>Дементьева А.Г., Соколова М.И., Хотяшева О.М.</t>
  </si>
  <si>
    <t>978-5-9776-0504-5</t>
  </si>
  <si>
    <t>38.04.02, 39.04.01, 44.04.02</t>
  </si>
  <si>
    <t>487050.05.01</t>
  </si>
  <si>
    <t>Инновационные процессы в упр. объектами. сельск.: Уч.пос. /А.Л.Эйдис -М.: НИЦ ИНФРА-М, 2022 -192с. (ВО:Бакалавр.)(п)</t>
  </si>
  <si>
    <t>ИННОВАЦИОННЫЕ ПРОЦЕССЫ В УПРАВЛЕНИИ ОБЪЕКТАМИ СЕЛЬСКОХОЗЯЙСТВЕННОГО НАЗНАЧЕНИЯ</t>
  </si>
  <si>
    <t>ЭйдисА.Л., ТиняковаВ.И., ПолешкинаИ.О. и др.</t>
  </si>
  <si>
    <t>978-5-16-010658-8</t>
  </si>
  <si>
    <t>35.03.04, 35.03.05, 35.03.08, 38.03.02</t>
  </si>
  <si>
    <t>Рекомендовано Учебно-методическим объединением вузов Российской Федерации по аграрному образованию в качестве учебного пособия для студентов, осваивающих образовательные программы бакалавриата по направлению подготовки «Агроинженерия»</t>
  </si>
  <si>
    <t>156500.10.01</t>
  </si>
  <si>
    <t>Инновационный маркетинг: Уч. / В.Д.Секерин-М.:НИЦ ИНФРА-М,2024.-237 с..-(ВО)(п)</t>
  </si>
  <si>
    <t>ИННОВАЦИОННЫЙ МАРКЕТИНГ</t>
  </si>
  <si>
    <t>Секерин В. Д.</t>
  </si>
  <si>
    <t>978-5-16-018932-1</t>
  </si>
  <si>
    <t>38.03.01, 38.03.02, 38.03.06, 38.04.06, 41.03.06, 44.03.01, 44.03.05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</si>
  <si>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«Менеджмент»</t>
  </si>
  <si>
    <t>439300.07.01</t>
  </si>
  <si>
    <t>Инновационный менеджмент в АПК: Уч. / В.В.Козлов - М.:КУРС,НИЦ ИНФРА-М,2024-364с.(п)</t>
  </si>
  <si>
    <t>ИННОВАЦИОННЫЙ МЕНЕДЖМЕНТ В АПК</t>
  </si>
  <si>
    <t>Козлов В.В., Козлова Е.Ю.</t>
  </si>
  <si>
    <t>978-5-905554-27-8</t>
  </si>
  <si>
    <t>38.03.01, 38.03.02, 38.03.03, 38.04.01, 38.04.02, 38.04.03</t>
  </si>
  <si>
    <t>Допущено УМО по образованию в области производственного менеджемента в качестве учебника для студентов высших учебных заведений, обучающихся по направлению подготовки 38.03.02 «Менеджемент» (профиль «Производственный менеджемнт»)</t>
  </si>
  <si>
    <t>754644.01.01</t>
  </si>
  <si>
    <t>Инновационный менеджмент в образовании: Уч. / Н.А.Патутина.-М.:НИЦ ИНФРА-М,2024.-263 с.(ВО:Магистр)(п)</t>
  </si>
  <si>
    <t>ИННОВАЦИОННЫЙ МЕНЕДЖМЕНТ В ОБРАЗОВАНИИ</t>
  </si>
  <si>
    <t>Патутина Н.А., Гуськов Ю.В., Киселёва О.О.</t>
  </si>
  <si>
    <t>978-5-16-017518-8</t>
  </si>
  <si>
    <t>38.03.01, 38.04.02, 38.04.04, 44.04.01</t>
  </si>
  <si>
    <t>632115.02.01</t>
  </si>
  <si>
    <t>Инновационный менеджмент: Уч. / Под ред. Джухи В.М. - 2 изд.-М.:ИЦ РИОР, НИЦ ИНФРА-М,2017-380с.(ВО)</t>
  </si>
  <si>
    <t>ИННОВАЦИОННЫЙ МЕНЕДЖМЕНТ, ИЗД.2</t>
  </si>
  <si>
    <t>Джуха В.М., Кузьминов А.Н., Погосян Р.Р. и др.</t>
  </si>
  <si>
    <t>978-5-369-01570-4</t>
  </si>
  <si>
    <t>694643.07.01</t>
  </si>
  <si>
    <t>Инновационный менеджмент: Уч. / Т.В.Погодина и др. - М.:НИЦ ИНФРА-М,2025 - 343 с.-(ВО))(П)</t>
  </si>
  <si>
    <t>ИННОВАЦИОННЫЙ МЕНЕДЖМЕНТ</t>
  </si>
  <si>
    <t>Погодина Т.В., Попадюк Т.Г., Удальцова Н.Л.</t>
  </si>
  <si>
    <t>978-5-16-018724-2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</si>
  <si>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(протокол № 8 от 29.04.2019)</t>
  </si>
  <si>
    <t>051540.16.01</t>
  </si>
  <si>
    <t>Инновационный менеджмент: Уч.пос. / А.М.Мухамедьяров, - 3 изд.-М.:НИЦ ИНФРА-М,2024.-191 с.(ВО)(о)</t>
  </si>
  <si>
    <t>ИННОВАЦИОННЫЙ МЕНЕДЖМЕНТ, ИЗД.3</t>
  </si>
  <si>
    <t>Мухамедьяров А. М.</t>
  </si>
  <si>
    <t>978-5-16-006730-8</t>
  </si>
  <si>
    <t>38.03.01, 38.03.02, 38.03.04, 41.03.06</t>
  </si>
  <si>
    <t>Допущено Министерством образования РФ в качестве учебного пособия для студентов высших учебных заведений, обучающихся по специальности 061100 "Менеджмент организации"</t>
  </si>
  <si>
    <t>162100.09.01</t>
  </si>
  <si>
    <t>Инновационный менеджмент: Уч.пос. / В.Д.Грибов - М.:НИЦ ИНФРА-М,2025. - 311 с.(ВО: Бакалавриат)(П)</t>
  </si>
  <si>
    <t>Грибов В. Д., Никитина Л. П.</t>
  </si>
  <si>
    <t>978-5-16-004870-3</t>
  </si>
  <si>
    <t>38.03.02, 38.03.04, 38.04.02, 38.04.04, 41.03.06</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</si>
  <si>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080200 "Менеджмент" и 080507 "Менеджмент организации"</t>
  </si>
  <si>
    <t>Институт деловой карьеры</t>
  </si>
  <si>
    <t>441050.09.01</t>
  </si>
  <si>
    <t>Инновационный менеджмент: Уч.пос. / Е.П.Голубков - М.:НИЦ ИНФРА-М,2024 - 184 с.(ВО: Бакалавриат)(П)</t>
  </si>
  <si>
    <t>Голубков Е. П.</t>
  </si>
  <si>
    <t>978-5-16-006791-9</t>
  </si>
  <si>
    <t>38.03.02, 38.04.02, 41.03.06</t>
  </si>
  <si>
    <t>Рекомендовано Советом Учебно-методического объединения вузов по образованию в области менеджмента в качестве учебного пособия для студентов высших учебных заведений, обучающихся по направлению 080200.65 «Менеджмент» (степень (квалификация) - «бакалав</t>
  </si>
  <si>
    <t>133450.11.01</t>
  </si>
  <si>
    <t>Инновационный потенциал хоз. системы и его оценка: Уч. пос. / И.П.Дежкина - ИНФРА-М, 2023-122с.(ВО) (о)</t>
  </si>
  <si>
    <t>ИННОВАЦИОННЫЙ ПОТЕНЦИАЛ ХОЗЯЙСТВЕННОЙ СИСТЕМЫ И ЕГО ОЦЕНКА (МЕТОДЫ ФОРМИРОВАНИЯ И ОЦЕНКИ)</t>
  </si>
  <si>
    <t>Дежкина И. П., Поташева Г. А.</t>
  </si>
  <si>
    <t>978-5-16-004372-2</t>
  </si>
  <si>
    <t>421150.10.01</t>
  </si>
  <si>
    <t>Иностранные языки: психология усвоения: Уч.пос. / Н.Т.Ерчак-М.:НИЦ ИНФРА-М,2024.-336 с.(ВО)(п)</t>
  </si>
  <si>
    <t>ИНОСТРАННЫЕ ЯЗЫКИ: ПСИХОЛОГИЯ УСВОЕНИЯ</t>
  </si>
  <si>
    <t>Ерчак Н. Т.</t>
  </si>
  <si>
    <t>978-5-16-019258-1</t>
  </si>
  <si>
    <t>37.03.01, 37.04.01, 44.03.02, 44.04.02, 45.03.02, 45.04.02</t>
  </si>
  <si>
    <t>Допущено Министерством образования Республики Беларусь в качестве учебного пособия для магистрантов учреждений высшего образования по специальностям «Теория и методика обучения и воспитания (иностранные языки)», «Общая педагогика, история педагогики и образования», «Психология»</t>
  </si>
  <si>
    <t>206300.08.01</t>
  </si>
  <si>
    <t>Институциональная  экономика: управ. формир...: Уч.пос. / Д.С.Петросян - М.:НИЦ ИНФРА-М,2025 - 279 с.(П)</t>
  </si>
  <si>
    <t>ИНСТИТУЦИОНАЛЬНАЯ  ЭКОНОМИКА: УПРАВЛЕНИЕ ФОРМИРОВАНИЕМ И РАЗВИТИЕМ СОЦИАЛЬНО-ЭКОНОМИЧЕСКИХ ИНСТИТУТОВ</t>
  </si>
  <si>
    <t>Петросян Д. С.</t>
  </si>
  <si>
    <t>978-5-16-006778-0</t>
  </si>
  <si>
    <t>38.03.01, 38.04.01, 44.03.01</t>
  </si>
  <si>
    <t>690666.04.01</t>
  </si>
  <si>
    <t>Институциональная экономика: Уч. / И.А.Назарова.- М.:НИЦ ИНФРА-М,2022 - 268 с.(ВО: Бакалавриат)(П)</t>
  </si>
  <si>
    <t>ИНСТИТУЦИОНАЛЬНАЯ ЭКОНОМИКА</t>
  </si>
  <si>
    <t>Назарова И.А., Тумин В.М., Тумин В.В.</t>
  </si>
  <si>
    <t>978-5-16-014974-5</t>
  </si>
  <si>
    <t>38.03.01, 38.03.02, 38.03.03, 38.03.04, 38.03.05, 38.03.06, 38.03.07, 38.04.01, 38.04.02, 38.04.03, 38.04.04, 38.04.05, 38.04.06, 38.04.07, 38.04.08, 38.04.09, 38.05.01, 38.05.02, 41.03.06, 44.03.01</t>
  </si>
  <si>
    <t>Рекомендовано Учебно-методическим советом высшего образования в качестве учебника для студентов высших учебных заведений, обучающихся по укрупненной группе направлений и специальностей подготовки 38.00.00 «Экономика и управление», а также для студентов технологических направлений и специальностей в части их подготовки по дисциплинам экономико-организационного и управленческого циклов</t>
  </si>
  <si>
    <t>АКАДЕМУС-2024, Победитель, I место</t>
  </si>
  <si>
    <t>089202.11.01</t>
  </si>
  <si>
    <t>Институциональная экономика: Уч. пос. / И.И. Агапова. - М.: Магистр:  НИЦ ИНФРА-М, 2025. - 272 с. (п)</t>
  </si>
  <si>
    <t>Агапова И. И.</t>
  </si>
  <si>
    <t>978-5-9776-0118-4</t>
  </si>
  <si>
    <t>38.03.01, 38.03.02, 38.04.01, 38.04.02, 41.03.06, 44.03.01</t>
  </si>
  <si>
    <t>411900.09.01</t>
  </si>
  <si>
    <t>Институциональная экономика: Уч. пос./ Н.В. Манохина - М.: НИЦ ИНФРА-М, 2024-240с.(ВО) (п)</t>
  </si>
  <si>
    <t>Манохина Н. В., Русановский В. А., Жадан И. Э., Бабайцева И. К., Гвоздева Н. И.</t>
  </si>
  <si>
    <t>978-5-16-005493-3</t>
  </si>
  <si>
    <t>38.03.01, 38.03.02, 38.03.03, 38.03.04, 38.03.05, 38.04.01, 38.04.02, 38.04.03, 38.04.04, 38.04.05, 38.04.08, 38.04.09, 41.03.06, 44.03.01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</si>
  <si>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080100.62 «Экономика»</t>
  </si>
  <si>
    <t>024550.19.01</t>
  </si>
  <si>
    <t>Институциональная экономика: Уч.пос. / А.Н.Олейник - М.:НИЦ ИНФРА-М,2025. - 416 с.(ВО: Бакалавриат)(П)</t>
  </si>
  <si>
    <t>Олейник А. Н.</t>
  </si>
  <si>
    <t>978-5-16-004316-6</t>
  </si>
  <si>
    <t>38.03.01, 38.03.02, 38.03.03, 38.03.04, 38.03.05, 38.03.06, 38.03.07, 38.05.01, 38.05.02, 41.03.06</t>
  </si>
  <si>
    <t>Рекомендовано Министерством образования РФ в качестве учебного пособия для студентов высших учебных заведений, обучающихся по экономическим и управленческим специальностям</t>
  </si>
  <si>
    <t>Центральный экономико-математический институт Российской академии наук</t>
  </si>
  <si>
    <t>0100</t>
  </si>
  <si>
    <t>373100.07.01</t>
  </si>
  <si>
    <t>Институциональная экономика: Уч.пос. / В.М.Пищулов, - 2 изд., испр. и доп.-М.:НИЦ ИНФРА-М,2023.-204 с.(ВО)(П)</t>
  </si>
  <si>
    <t>ИНСТИТУЦИОНАЛЬНАЯ ЭКОНОМИКА, ИЗД.2</t>
  </si>
  <si>
    <t>Пищулов В.М.</t>
  </si>
  <si>
    <t>978-5-16-018497-5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</si>
  <si>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5 от 19.05.2021)</t>
  </si>
  <si>
    <t>373100.04.01</t>
  </si>
  <si>
    <t>Институциональная экономика: Уч.пос. / В.М.Пищулов-М.:НИЦ ИНФРА-М,2021.-160 с..-(ВО: Бакалавриат)(О)</t>
  </si>
  <si>
    <t>978-5-16-011049-3</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</si>
  <si>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 (направление подготовки 38.03.01 «Экономика»)</t>
  </si>
  <si>
    <t>466750.05.01</t>
  </si>
  <si>
    <t>Институциональная экономика: Уч.пос. / Н.В.Василенко-М.:НИЦ ИНФРА-М,2023-272с.(ВО:Бакалавр.)(П)</t>
  </si>
  <si>
    <t>Василенко Н. В.</t>
  </si>
  <si>
    <t>978-5-16-009786-2</t>
  </si>
  <si>
    <t>38.03.01, 38.03.02, 41.03.06, 44.03.01, 44.03.05</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</si>
  <si>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44.03.01 (050100) «Педагогическое образование»</t>
  </si>
  <si>
    <t>Санкт-Петербургский горный университет</t>
  </si>
  <si>
    <t>702814.05.01</t>
  </si>
  <si>
    <t>Институциональная экономика: Уч.пос. / Р.М.Нуреев и др. - М.:Юр.Норма, НИЦ ИНФРА-М,2023 - 472 с.(П)</t>
  </si>
  <si>
    <t>Нуреев Р.М., Буевич А.П., Будкевич Г.В. и др.</t>
  </si>
  <si>
    <t>978-5-91768-998-2</t>
  </si>
  <si>
    <t>651873.03.01</t>
  </si>
  <si>
    <t>Институциональный анализ дисфункций гос.упр..:Моногр./ В.С.Осипов-М.:Вуз. уч.,НИЦ ИНФРА-М,2020-208с.</t>
  </si>
  <si>
    <t>ИНСТИТУЦИОНАЛЬНЫЙ АНАЛИЗ ДИСФУНКЦИЙ ГОСУДАРСТВЕННОГО УПРАВЛЕНИЯ ЭКОНОМИКОЙ</t>
  </si>
  <si>
    <t>Осипов В.С.</t>
  </si>
  <si>
    <t>Научная книга</t>
  </si>
  <si>
    <t>978-5-9558-0542-9</t>
  </si>
  <si>
    <t>06.04.01, 27.03.02, 27.04.07, 38.04.01, 38.04.02, 38.04.04, 38.04.05, 38.04.08, 38.04.09, 40.03.01, 44.03.05</t>
  </si>
  <si>
    <t>359900.05.01</t>
  </si>
  <si>
    <t>Инструментальные материалы в машиностроении: Уч. / А.М. Адаскин-М.:Форум,НИЦ ИНФРА-М,2022-320с-(ВО)</t>
  </si>
  <si>
    <t>ИНСТРУМЕНТАЛЬНЫЕ МАТЕРИАЛЫ В МАШИНОСТРОЕНИИ</t>
  </si>
  <si>
    <t>Адаскин А.М.</t>
  </si>
  <si>
    <t>978-5-00091-073-3</t>
  </si>
  <si>
    <t>359900.06.01</t>
  </si>
  <si>
    <t>Инструментальные материалы в машиностроении: Уч. / А.М.Адаскин, - 2 изд.-М.:НИЦ ИНФРА-М,2024.-391 с.(ВО)(п)</t>
  </si>
  <si>
    <t>ИНСТРУМЕНТАЛЬНЫЕ МАТЕРИАЛЫ В МАШИНОСТРОЕНИИ, ИЗД.2</t>
  </si>
  <si>
    <t>978-5-16-017722-9</t>
  </si>
  <si>
    <t>751892.03.01</t>
  </si>
  <si>
    <t>Инструменты и методы антикриз. упр.: Уч. / Под ред. Ряховской А.Н.-М.:Магистр, НИЦ ИНФРА-М,2024.-624 с.(П)</t>
  </si>
  <si>
    <t>ИНСТРУМЕНТЫ И МЕТОДЫ АНТИКРИЗИСНОГО УПРАВЛЕНИЯ</t>
  </si>
  <si>
    <t>Ряховская А.Н., Волков Л.В.</t>
  </si>
  <si>
    <t>978-5-9776-0532-8</t>
  </si>
  <si>
    <t>465850.06.01</t>
  </si>
  <si>
    <t>Интеграционное правосудие в совр. мире: Уч.пос. / С.Ю.Кашкин-М.:Юр.Норма, НИЦ ИНФРА-М,2020.-112 с.(О)</t>
  </si>
  <si>
    <t>ИНТЕГРАЦИОННОЕ ПРАВОСУДИЕ В СОВРЕМЕННОМ МИРЕ: ОСНОВНЫЕ МОДЕЛИ</t>
  </si>
  <si>
    <t>Кашкин С. Ю., Четвериков А. О.</t>
  </si>
  <si>
    <t>978-5-91768-486-4</t>
  </si>
  <si>
    <t>413250.09.01</t>
  </si>
  <si>
    <t>Интегрированная защита растений от вредных орг.: Уч.пос. / Г.И.Баздырев - М.:НИЦ ИНФРА-М,2025 - 302 с.(ВО)(П)</t>
  </si>
  <si>
    <t>ИНТЕГРИРОВАННАЯ ЗАЩИТА РАСТЕНИЙ ОТ ВРЕДНЫХ ОРГАНИЗМОВ</t>
  </si>
  <si>
    <t>Баздырев Г.И., Третьяков Н.Н., Белошапкина О.О.</t>
  </si>
  <si>
    <t>978-5-16-006469-7</t>
  </si>
  <si>
    <t>35.03.04, 35.04.03, 35.04.04</t>
  </si>
  <si>
    <t>Допущено Учебно-методическим объединением вузов Российской Федерации по агрономическому образованию в качестве учебного пособия для магистров, обучающихся по направлению «Агрономия»</t>
  </si>
  <si>
    <t>792147.02.01</t>
  </si>
  <si>
    <t>Интегрированные информ. сис. управ. объект...: Уч.пос. / Под ред. Григорьева А.А.-М.:НИЦ ИНФРА-М,2024.-273 с(П)</t>
  </si>
  <si>
    <t>ИНТЕГРИРОВАННЫЕ ИНФОРМАЦИОННЫЕ СИСТЕМЫ УПРАВЛЕНИЯ ОБЪЕКТАМИ. КОРПОРАТИВНЫЕ ИНФОРМАЦИОННЫЕ СИСТЕМЫ</t>
  </si>
  <si>
    <t>Григорьев А.А., Исаев Е.А., Корнилов В.В. и др.</t>
  </si>
  <si>
    <t>978-5-16-018103-5</t>
  </si>
  <si>
    <t>09.03.01, 09.03.02, 09.03.03, 38.03.02, 38.03.05</t>
  </si>
  <si>
    <t>АКАДЕМУС-2022, Победитель, III место</t>
  </si>
  <si>
    <t>393400.04.01</t>
  </si>
  <si>
    <t>Интегрированные маркет.коммун. / И.Б.Архангельская - М.:ИЦ РИОР,НИЦ ИНФРА-М,2022 - 171с(ВО:Бакалавр.)(п)</t>
  </si>
  <si>
    <t>ИНТЕГРИРОВАННЫЕ МАРКЕТИНГОВЫЕ КОММУНИКАЦИИ</t>
  </si>
  <si>
    <t>Архангельская И.Б., Мезина Л.Г., Архангельская А.С.</t>
  </si>
  <si>
    <t>978-5-369-01485-1</t>
  </si>
  <si>
    <t>38.03.02, 38.03.06, 42.03.01</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</si>
  <si>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«Менеджмент» (квалификация (степень) «бакалавр»)</t>
  </si>
  <si>
    <t>668893.05.01</t>
  </si>
  <si>
    <t>Интегрированные маркет.коммуникации...: Уч.пос. / О.Г.Кузьмина-М.:ИЦ РИОР, НИЦ ИНФРА-М,2023-187с(П)</t>
  </si>
  <si>
    <t>ИНТЕГРИРОВАННЫЕ МАРКЕТИНГОВЫЕ КОММУНИКАЦИИ: ТЕОРИЯ И ПРАКТИКА РЕКЛАМЫ</t>
  </si>
  <si>
    <t>Кузьмина О.Г., Посухова О.Ю.</t>
  </si>
  <si>
    <t>978-5-369-01756-2</t>
  </si>
  <si>
    <t>38.03.06, 41.03.06, 42.03.01, 42.03.02, 51.03.03</t>
  </si>
  <si>
    <t>189350.07.01</t>
  </si>
  <si>
    <t>Интегрированные маркетинговые коммуник.: Уч. пос. / В.Л.Музыкант - РИОР:Инфра-М,2022 - 216с.(ВО)(п)</t>
  </si>
  <si>
    <t>Высшее образование: Азбука рекламы</t>
  </si>
  <si>
    <t>978-5-369-01121-8</t>
  </si>
  <si>
    <t>38.03.02, 38.04.02, 41.03.06, 42.03.01, 42.04.01, 44.03.01, 44.03.05</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</si>
  <si>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направлению 100700.62 - "Торговое дело" и по специальностям 032401 - "Реклама</t>
  </si>
  <si>
    <t>735531.03.01</t>
  </si>
  <si>
    <t>Интегрированные сис. упр. объектами...: Уч.пос. / Под ред. Григорьева А.А. - М.:НИЦ ИНФРА-М,2023 - 222 с.(П)</t>
  </si>
  <si>
    <t>ИНТЕГРИРОВАННЫЕ СИСТЕМЫ УПРАВЛЕНИЯ ОБЪЕКТАМИ. ВСТРОЕННЫЕ ИНФОРМАЦИОННЫЕ СИСТЕМЫ.</t>
  </si>
  <si>
    <t>Григорьев А.А., Исаев Е.А., Моргунов А.Ф. и др.</t>
  </si>
  <si>
    <t>978-5-16-016511-0</t>
  </si>
  <si>
    <t>01.03.02, 09.03.01, 09.04.01, 09.04.03, 38.03.05, 38.04.05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</si>
  <si>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и направлению подготовки 09.03.02 «Информационные системы и технологии» (квалификация (степень) «бакалавр») (протокол № 4 от 21.04.2021)</t>
  </si>
  <si>
    <t>689655.08.01</t>
  </si>
  <si>
    <t>Интеллектуальные информ. сист. и методы искусств...: Уч. / А.В.Андрейчиков - М.:НИЦ ИНФРА-М,2025. - 530 с.(П)</t>
  </si>
  <si>
    <t>ИНТЕЛЛЕКТУАЛЬНЫЕ ИНФОРМАЦИОННЫЕ СИСТЕМЫ И МЕТОДЫ ИСКУССТВЕННОГО ИНТЕЛЛЕКТА</t>
  </si>
  <si>
    <t>Андрейчиков А.В., Андрейчикова О.Н.</t>
  </si>
  <si>
    <t>978-5-16-020880-0</t>
  </si>
  <si>
    <t>00.00.00, 08.04.01, 09.03.02, 09.04.01, 09.04.02, 09.04.03, 15.04.04, 15.04.06, 23.04.01, 23.04.02, 23.04.03, 24.04.01, 24.04.02, 24.04.04, 24.04.05, 27.04.03, 27.04.04, 27.04.05, 27.04.06, 27.04.07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</si>
  <si>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инженерному делу, технологиям и техническим наукам по направлениям подготовки магистратуры (протокол № 10 от 12.10.2020)</t>
  </si>
  <si>
    <t>Российский университет транспорта (МИИТ)</t>
  </si>
  <si>
    <t>632555.07.01</t>
  </si>
  <si>
    <t>Интеллектуальные средства измерений: Уч. / Г.Г.Раннев - М.:КУРС, НИЦ ИНФРА-М,2023-280с-(Бакалавр)(П)</t>
  </si>
  <si>
    <t>ИНТЕЛЛЕКТУАЛЬНЫЕ СРЕДСТВА ИЗМЕРЕНИЙ</t>
  </si>
  <si>
    <t>Раннев Г.Г., Тарасенко А.П.</t>
  </si>
  <si>
    <t>978-5-906818-66-9</t>
  </si>
  <si>
    <t>12.03.01, 27.03.01, 28.03.02</t>
  </si>
  <si>
    <t>Рекомендовано в качестве учебника для студентов высших учебных заведений, обучающихся по направлениям подготовки 12.03.01 «Приборостроение», 27.03.01 «Стандартизация и метрология», 28.03.02 «Наноинженерия», (Квалификация — Бакалавр)</t>
  </si>
  <si>
    <t>797184.04.01</t>
  </si>
  <si>
    <t>Интеллектуальные технологии в беспилот. сис.: Уч. / В.А.Гвоздева - 2 изд. - М.:НИЦ ИНФРА-М,2025 - 197 с.(СПО)(П)</t>
  </si>
  <si>
    <t>ИНТЕЛЛЕКТУАЛЬНЫЕ ТЕХНОЛОГИИ В БЕСПИЛОТНЫХ СИСТЕМАХ, ИЗД.2</t>
  </si>
  <si>
    <t>978-5-16-018162-2</t>
  </si>
  <si>
    <t>09.02.01, 09.02.02, 09.02.05, 09.02.07, 10.02.03, 10.02.05, 15.02.10, 23.02.03, 23.02.05, 24.02.01, 24.02.03, 25.02.08, 35.01.01, 35.02.01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</si>
  <si>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6 от 08.06.2022)</t>
  </si>
  <si>
    <t>732542.02.01</t>
  </si>
  <si>
    <t>Интеллектуальные технологии в беспилот. сис.: Уч. / В.А.Гвоздева - М.:НИЦ ИНФРА-М,2022-176 с.(ВО: Бакалавр.)(П)</t>
  </si>
  <si>
    <t>ИНТЕЛЛЕКТУАЛЬНЫЕ ТЕХНОЛОГИИ В БЕСПИЛОТНЫХ СИСТЕМАХ</t>
  </si>
  <si>
    <t>978-5-16-016143-3</t>
  </si>
  <si>
    <t>09.03.02, 15.03.06, 24.03.04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</si>
  <si>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09.03.02 «Информационные системы и технологии», 24.03.04 «Авиастроение» (квалификация (степень) «бакалавр») (протокол № 11 от 09.11.2020)</t>
  </si>
  <si>
    <t>732542.06.01</t>
  </si>
  <si>
    <t>Интеллектуальные технологии в беспилот. сист: Уч. / В.А.Гвоздева - 2 изд. - М.:НИЦ ИНФРА-М,2025. - 197 с.(ВО) (п)</t>
  </si>
  <si>
    <t>978-5-16-019615-2</t>
  </si>
  <si>
    <t>700759.03.01</t>
  </si>
  <si>
    <t>Интеллектуальные цифр. технологии концептуал. проектир.: Уч. / А.В.Андрейчиков-М.:НИЦ ИНФРА-М,2023.-511с</t>
  </si>
  <si>
    <t>ИНТЕЛЛЕКТУАЛЬНЫЕ ЦИФРОВЫЕ ТЕХНОЛОГИИ КОНЦЕПТУАЛЬНОГО ПРОЕКТИРОВАНИЯ ИНЖЕНЕРНЫХ РЕШЕНИЙ</t>
  </si>
  <si>
    <t>978-5-16-014884-7</t>
  </si>
  <si>
    <t>09.04.02, 09.04.03, 09.04.04, 15.04.01, 15.04.02, 15.04.04, 15.04.06, 15.05.01, 23.04.02, 27.04.03, 27.04.04, 27.04.05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</si>
  <si>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27.04.04 «Управление в технических системах», 09.04.01 «Информатика и вычислительная техника», 15.04.01 «Машиностроение» (квалификация (степень) «магистр») (протокол № 8 от 29.04.2019)</t>
  </si>
  <si>
    <t>737158.06.01</t>
  </si>
  <si>
    <t>Интеллектуальные электрические сети: Уч.пос. / Ю.Я.Любарский-М.:НИЦ ИНФРА-М,2024.-160 с.(ВО)(П)</t>
  </si>
  <si>
    <t>ИНТЕЛЛЕКТУАЛЬНЫЕ ЭЛЕКТРИЧЕСКИЕ СЕТИ: КОМПЬЮТЕРНАЯ ПОДДЕРЖКА ДИСПЕТЧЕРСКИХ РЕШЕНИЙ</t>
  </si>
  <si>
    <t>Любарский Ю.Я., Хренников А.Ю.</t>
  </si>
  <si>
    <t>978-5-16-016395-6</t>
  </si>
  <si>
    <t>13.04.02, 13.04.03, 13.05.01, 13.05.02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</si>
  <si>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электроэнергетическим направлениям подготовки (квалификация (степень) «бакалавр») (протокол № 10 от 12.10.2020)</t>
  </si>
  <si>
    <t>168450.10.01</t>
  </si>
  <si>
    <t>Интеллектуальный анализ времен. рядов: Уч. пос. / Н.Г.Ярушкина - М.:ИД ФОРУМ: ИНФРА-М, 2025 - 160 с.(ВО) (п)</t>
  </si>
  <si>
    <t>ИНТЕЛЛЕКТУАЛЬНЫЙ АНАЛИЗ ВРЕМЕННЫХ РЯДОВ</t>
  </si>
  <si>
    <t>Ярушкина Н.Г., Афанасьева Т.В., Перфильева И.Г.</t>
  </si>
  <si>
    <t>978-5-8199-0496-1</t>
  </si>
  <si>
    <t>01.03.02, 01.04.02, 02.03.02, 03.03.02, 04.03.02, 09.03.02, 15.04.04, 45.04.04</t>
  </si>
  <si>
    <t>Рекомендовано Учебно-метод. объединением по образованию в области прикладной информатики в качестве уч. пос. студентов вузов, обучающихся по направлению "Прикладная информатика"</t>
  </si>
  <si>
    <t>Ульяновский государственный технический университет</t>
  </si>
  <si>
    <t>389700.04.01</t>
  </si>
  <si>
    <t>Интенсификация воспр. овец: Уч.пос. / А.И.Ерохин и др.-М.:КУРС, НИЦ ИНФРА-М,2023.-240 с..-(ВО)(П)</t>
  </si>
  <si>
    <t>ИНТЕНСИФИКАЦИЯ ВОСПРОИЗВОДСТВА ОВЕЦ</t>
  </si>
  <si>
    <t>ЕрохинА.И., КарасевЕ.А., ЕрохинС.А.</t>
  </si>
  <si>
    <t>978-5-905554-82-7</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</si>
  <si>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направлению подготовки «Зоотехния»</t>
  </si>
  <si>
    <t>148400.09.01</t>
  </si>
  <si>
    <t>Интеркультурная педагогика младшего возраста: Уч. / Е.Ю. Протасова - М.: Форум, 2025 - 400 с.(п)</t>
  </si>
  <si>
    <t>ИНТЕРКУЛЬТУРНАЯ ПЕДАГОГИКА МЛАДШЕГО ВОЗРАСТА</t>
  </si>
  <si>
    <t>Протасова Е. Ю., Родина Н. М.</t>
  </si>
  <si>
    <t>978-5-91134-500-6</t>
  </si>
  <si>
    <t>682872.02.01</t>
  </si>
  <si>
    <t>Интеркультурная педагогика младшего возраста: Уч. / Е.Ю.Протасова-М.:Форум, НИЦ ИНФРА-М,2023-400с(П)</t>
  </si>
  <si>
    <t>Протасова Е.Ю., Родина Н.М.</t>
  </si>
  <si>
    <t>978-5-00091-543-1</t>
  </si>
  <si>
    <t>44.02.01, 44.02.02, 44.02.03, 44.02.04, 44.02.05, 44.02.06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</si>
  <si>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</si>
  <si>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670731.02.01</t>
  </si>
  <si>
    <t>Интермодальные и мультимодальные перевозки: Уч.пос. / Л.Э.Еремеева, - 2 изд.-М.:НИЦ ИНФРА-М,2024.-223 с.(П)</t>
  </si>
  <si>
    <t>ИНТЕРМОДАЛЬНЫЕ И МУЛЬТИМОДАЛЬНЫЕ ПЕРЕВОЗКИ, ИЗД.2</t>
  </si>
  <si>
    <t>Еремеева Л.Э.</t>
  </si>
  <si>
    <t>978-5-16-019629-9</t>
  </si>
  <si>
    <t>23.03.01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</si>
  <si>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23.03.01 «Технология транспортных процессов» (квалификация (степень) «бакалавр») (протокол № 6 от 16.06.2021)</t>
  </si>
  <si>
    <t>Санкт-Петербургский государственный лесотехнический университет, ф-л Сыктывкарский лесной институт</t>
  </si>
  <si>
    <t>732549.05.01</t>
  </si>
  <si>
    <t>Интернациональное и национальное в лингвокультурах: Уч.пос. / Н.Г.Склярова-М.:НИЦ ИНФРА-М,2023.-194 с.(П)</t>
  </si>
  <si>
    <t>ИНТЕРНАЦИОНАЛЬНОЕ И НАЦИОНАЛЬНОЕ В ЛИНГВОКУЛЬТУРАХ (НА МАТЕРИАЛЕ РУССКОЙ И АНГЛИЙСКОЙ ФРАЗЕОЛОГИИ)</t>
  </si>
  <si>
    <t>Склярова Н.Г.</t>
  </si>
  <si>
    <t>978-5-16-016071-9</t>
  </si>
  <si>
    <t>44.03.01, 44.03.05, 44.04.01, 44.04.04, 45.03.01, 45.03.02, 45.04.01, 45.04.02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</si>
  <si>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«бакалавр») (протокол № 6 от 16.06.2021)</t>
  </si>
  <si>
    <t>820928.01.01</t>
  </si>
  <si>
    <t>Интернет-коммуникац. и жанры рус. электронного...: Уч.пос. / И.В.Евсеева-М.:НИЦ ИНФРА-М, СФУ,2024-184с(ВО)(п)</t>
  </si>
  <si>
    <t>ИНТЕРНЕТ-КОММУНИКАЦИЯ И ЖАНРЫ РУССКОГО ЭЛЕКТРОННОГО ЭПИСТОЛЯРИЯ</t>
  </si>
  <si>
    <t>Евсеева И.В., Кожеко А.В.</t>
  </si>
  <si>
    <t>978-5-16-019596-4</t>
  </si>
  <si>
    <t>42.03.05, 42.04.05, 45.04.02</t>
  </si>
  <si>
    <t>708389.02.01</t>
  </si>
  <si>
    <t>Интернет-технологии: Уч.пос. / С.Р.Гуриков - 2 изд. - М.:НИЦ ИНФРА-М,2023 - 174 с.(СПО)(о)</t>
  </si>
  <si>
    <t>ИНТЕРНЕТ-ТЕХНОЛОГИИ, ИЗД.2</t>
  </si>
  <si>
    <t>978-5-16-017117-3</t>
  </si>
  <si>
    <t>Рекомендовано Межрегиональным учебно-методическим советом профессионального образования в качестве учебного пособия для студентов средних профессиональных учебных заведений, обучающихся по основным образовательным программам среднего профессионального образования (протокол № 8 от 20.10.2021)</t>
  </si>
  <si>
    <t>319500.09.01</t>
  </si>
  <si>
    <t>Интернет-технологии: Уч.пос. / С.Р.Гуриков - 2 изд. - М.:НИЦ ИНФРА-М,2024 - 174 с.-(ВО)(п)</t>
  </si>
  <si>
    <t>978-5-16-019834-7</t>
  </si>
  <si>
    <t>09.03.01, 09.03.02, 09.03.03, 09.03.04, 09.04.01, 09.04.02, 09.04.03, 09.04.04, 09.05.01, 10.03.01, 10.04.01, 10.05.01, 10.05.02, 10.05.03, 10.05.04, 10.05.05, 10.05.07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</si>
  <si>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7 от 22.09.2021)</t>
  </si>
  <si>
    <t>319500.05.01</t>
  </si>
  <si>
    <t>Интернет-технологии: Уч.пос. / С.Р.Гуриков - М.:Форум,НИЦ ИНФРА-М,2019-184 с.-(ВО: Бакалавриат)(о)</t>
  </si>
  <si>
    <t>ИНТЕРНЕТ-ТЕХНОЛОГИИ</t>
  </si>
  <si>
    <t>978-5-00091-448-9</t>
  </si>
  <si>
    <t>Рекомендовано в качестве учебного пособия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</si>
  <si>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447050.06.01</t>
  </si>
  <si>
    <t>Интерпретация текста. Французская новелла.: Уч./А.А.Корниенко - М.: Вуз.уч.: ИНФРА-М, 2024-175с(о)</t>
  </si>
  <si>
    <t>ИНТЕРПРЕТАЦИЯ ТЕКСТА. ФРАНЦУЗСКАЯ НОВЕЛЛА.</t>
  </si>
  <si>
    <t>Корниенко А. А.</t>
  </si>
  <si>
    <t>978-5-9558-0326-5</t>
  </si>
  <si>
    <t>45.03.01, 45.03.02, 45.04.01, 45.04.02, 45.05.01, 51.03.06</t>
  </si>
  <si>
    <t>Рекомендовано Московским государственным лингвистическим университетом для студентов 5 курса, обучающихся по специальностям направления «Лингвистика и межкультурная коммуникация», бакалавров 4 курса и магистров, обучающихся по направлению «Лингвистик</t>
  </si>
  <si>
    <t>682873.04.01</t>
  </si>
  <si>
    <t>Инфекционные  и  паразит.забол.у детей: рук.: Уч.пос. / Д.И.Зелинская - М.:НИЦ ИНФРА-М,2024-352(СПО)(П)</t>
  </si>
  <si>
    <t>ИНФЕКЦИОННЫЕ  И  ПАРАЗИТАРНЫЕ ЗАБОЛЕВАНИЯ У ДЕТЕЙ: РУКОВОДСТВО</t>
  </si>
  <si>
    <t>Зелинская Д.И., Исполатовская Э.О., Кешишян Е.С. и др.</t>
  </si>
  <si>
    <t>978-5-16-013923-4</t>
  </si>
  <si>
    <t>31.02.01, 31.02.02, 31.02.05, 31.02.06, 32.02.01, 34.02.01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</si>
  <si>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31.02.01 «Лечебное дело», 31.02.02 «Акушерское дело», 32.02.01 «Медико-профилактическое дело», 34.02.01 «Сестринское дело»</t>
  </si>
  <si>
    <t>274500.09.01</t>
  </si>
  <si>
    <t>Инфекционные  и  паразитарные  заболевания у детей: Уч. пос. / Д.И.Зелинская - М.: ИНФРА-М, 2025 - 352с.(П)</t>
  </si>
  <si>
    <t>ИНФЕКЦИОННЫЕ  И  ПАРАЗИТАРНЫЕ  ЗАБОЛЕВАНИЯ У ДЕТЕЙ</t>
  </si>
  <si>
    <t>Зелинская Д. И., Исполатовская Э. О., Кешишян Е. С., Кузнецов А. И.</t>
  </si>
  <si>
    <t>Дополнительное образование медсестер</t>
  </si>
  <si>
    <t>978-5-16-009702-2</t>
  </si>
  <si>
    <t>30.05.01, 30.05.02, 31.05.01, 31.05.02, 31.05.03, 31.08.19, 31.08.35, 33.05.01, 34.03.01</t>
  </si>
  <si>
    <t>319300.09.01</t>
  </si>
  <si>
    <t>Инфекционные болезни животных: Уч. / Под ред. Сидорчука А.А. - 2 изд.-М.:НИЦ ИНФРА-М,2024.-954с(ВО)(П)</t>
  </si>
  <si>
    <t>ИНФЕКЦИОННЫЕ БОЛЕЗНИ ЖИВОТНЫХ, ИЗД.2</t>
  </si>
  <si>
    <t>Сидорчук А.А., Масимов Н.А., Крупальник В.Л. и др.</t>
  </si>
  <si>
    <t>978-5-16-010419-5</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</si>
  <si>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36.05.01 «Ветеринария» (квалификация «ветеринарный врач»)</t>
  </si>
  <si>
    <t>160300.12.01</t>
  </si>
  <si>
    <t>Инфляционные процессы и денеж.-кредит.регулир..: Уч.пос./М.Ю.Малкина-М.:НИЦ ИНФРА-М,2024-310с(ВО)(п)</t>
  </si>
  <si>
    <t>ИНФЛЯЦИОННЫЕ ПРОЦЕССЫ И ДЕНЕЖНО-КРЕДИТНОЕ РЕГУЛИРОВАНИЕ В РОССИИ И ЗА РУБЕЖОМ</t>
  </si>
  <si>
    <t>Малкина М. Ю.</t>
  </si>
  <si>
    <t>978-5-16-019586-5</t>
  </si>
  <si>
    <t>38.03.01, 44.03.05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</si>
  <si>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15 от 14.10.2019)</t>
  </si>
  <si>
    <t>069000.12.01</t>
  </si>
  <si>
    <t>Информатика для экономистов: Уч. / В.М.Матюшок -2 изд.-М.:НИЦ ИНФРА-М,2023-460 с.(ВО: Бакалавр.)(П)</t>
  </si>
  <si>
    <t>ИНФОРМАТИКА ДЛЯ ЭКОНОМИСТОВ, ИЗД.2</t>
  </si>
  <si>
    <t>Матюшок В. М.</t>
  </si>
  <si>
    <t>978-5-16-009152-5</t>
  </si>
  <si>
    <t>09.03.02, 38.03.01, 38.03.02</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</si>
  <si>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38.03.01 (080100) "Экономика» и 38.03.02 (080200) «Менеджмент»</t>
  </si>
  <si>
    <t>075400.12.01</t>
  </si>
  <si>
    <t>Информатика для экономистов: Уч. / В.П.Агальцов - М.:ИД Форум, НИЦ ИНФРА-М,2025 - 448 с.(ВО)(П)</t>
  </si>
  <si>
    <t>ИНФОРМАТИКА ДЛЯ ЭКОНОМИСТОВ</t>
  </si>
  <si>
    <t>Агальцов В.П., Титов В.М.</t>
  </si>
  <si>
    <t>978-5-8199-0274-5</t>
  </si>
  <si>
    <t>01.03.02, 38.03.01, 38.03.02, 38.03.03, 38.03.05</t>
  </si>
  <si>
    <t>Допущено УМО по образованию в области прикладной информатики в качестве учебника для студентов высших учебных заведений, обучающихся по специальности "Прикладная информатика (по областям)" и другим экономическим специальностям</t>
  </si>
  <si>
    <t>455050.10.01</t>
  </si>
  <si>
    <t>Информатика и информ.-коммуникац. технол. (ИКТ): Уч.пос. / Н.Г.Плотникова-М.:РИОР, ИНФРА-М,2024-124c.(п)</t>
  </si>
  <si>
    <t>ИНФОРМАТИКА И ИНФОРМАЦИОННО-КОММУНИКАЦИОННЫЕ ТЕХНОЛОГИИ (ИКТ)</t>
  </si>
  <si>
    <t>Плотникова Н.Г.</t>
  </si>
  <si>
    <t>978-5-369-01308-3</t>
  </si>
  <si>
    <t>00.02.03, 09.02.05</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</si>
  <si>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программы СПО</t>
  </si>
  <si>
    <t>Новочеркасский машиностроительный колледж Ростовской области</t>
  </si>
  <si>
    <t>694877.06.01</t>
  </si>
  <si>
    <t>Информатика и информац.-коммуникац. технологии в...: Уч.пос. / В.Н.Шитов-М.:НИЦ ИНФРА-М,2025.-247 с.(П)</t>
  </si>
  <si>
    <t>ИНФОРМАТИКА И ИНФОРМАЦИОННО-КОММУНИКАЦИОННЫЕ ТЕХНОЛОГИИ В ПРОФЕССИОНАЛЬНОЙ ДЕЯТЕЛЬНОСТИ</t>
  </si>
  <si>
    <t>Шитов В.Н.</t>
  </si>
  <si>
    <t>978-5-16-014647-8</t>
  </si>
  <si>
    <t>09.02.01, 09.02.02, 09.02.04, 09.02.05, 09.02.07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</si>
  <si>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5 от 19.05.2021)</t>
  </si>
  <si>
    <t>Саратовский техникум промышленных технологий и автомобильного сервиса</t>
  </si>
  <si>
    <t>363600.09.01</t>
  </si>
  <si>
    <t>Информатика и лингвистика: Уч.пос. / Т.М.Волосатова - М.:НИЦ ИНФРА-М,2025. - 196 с.(ВО: Бакалавр.)(П)</t>
  </si>
  <si>
    <t>ИНФОРМАТИКА И ЛИНГВИСТИКА</t>
  </si>
  <si>
    <t>Волосатова Т.М., Чичварин Н.В.</t>
  </si>
  <si>
    <t>978-5-16-010977-0</t>
  </si>
  <si>
    <t>09.03.01, 10.03.01</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</si>
  <si>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10.03.01 «Информационная безопасность» (квалификация (степень) «бакалавр»)</t>
  </si>
  <si>
    <t>705965.09.01</t>
  </si>
  <si>
    <t>Информатика, автоматизир. информац. технологии и сис.: Уч. / В.А.Гвоздева - М.:ИД ФОРУМ, 2025 - 542 с.(П)</t>
  </si>
  <si>
    <t>ИНФОРМАТИКА, АВТОМАТИЗИРОВАННЫЕ ИНФОРМАЦИОННЫЕ ТЕХНОЛОГИИ И СИСТЕМЫ</t>
  </si>
  <si>
    <t>978-5-8199-0877-8</t>
  </si>
  <si>
    <t>01.03.02, 02.03.03, 08.03.01, 09.03.02, 12.03.01, 12.03.02, 12.03.03, 12.03.05, 13.03.02, 13.03.03, 15.03.05, 15.03.06, 17.03.01, 19.03.04, 20.03.01, 21.03.01, 21.03.02, 21.03.03, 23.03.01, 23.03.02, 23.03.03, 24.03.01, 24.03.04, 24.03.05, 25.03.01, 25.03.02, 25.03.03, 25.03.04, 25.05.03, 26.03.02, 27.03.01, 27.03.02, 28.03.02, 29.03.01, 29.03.02, 29.03.03, 29.03.04, 29.03.05, 35.03.03, 35.03.04, 35.03.05, 35.03.09, 38.03.01, 38.03.07, 43.03.01, 43.03.02, 43.03.03, 54.03.04</t>
  </si>
  <si>
    <t>138800.18.01</t>
  </si>
  <si>
    <t>Информатика, автоматизированные информ. техн..: Уч. / В.А.Гвоздева - М.:ФОРУМ:ИНФРА-М,2025 - 542 с.(СПО)</t>
  </si>
  <si>
    <t>978-5-8199-0856-3</t>
  </si>
  <si>
    <t>00.02.03, 08.02.15, 09.01.03, 09.01.04, 09.02.01, 09.02.03, 09.02.06, 11.02.06, 11.02.13, 12.02.07, 12.02.09, 12.02.10, 15.01.06, 15.02.03, 15.02.04, 15.02.07, 15.02.09, 18.02.15, 19.02.14, 19.02.15, 24.02.02, 25.02.01, 25.02.02, 25.02.03, 25.02.04, 25.02.06, 25.02.07, 26.02.02, 26.02.03, 26.02.05, 26.02.06, 27.02.03, 09.02.10</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</si>
  <si>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техническим специальностям</t>
  </si>
  <si>
    <t>136900.06.01</t>
  </si>
  <si>
    <t>Информатика. Курс лекций: Уч.пос./ Е.Л.Федотова-М.:ИД Форум, ИНФРА-М ИД.,2018.-480 с.(ВО)(п)</t>
  </si>
  <si>
    <t>ИНФОРМАТИКА</t>
  </si>
  <si>
    <t>Федотова Е. Л., Федотов А. А.</t>
  </si>
  <si>
    <t>978-5-8199-0448-0</t>
  </si>
  <si>
    <t>775954.01.01</t>
  </si>
  <si>
    <t>Информатика. Практикум: Уч.пос. / С.Г.Канакова-М.:НИЦ ИНФРА-М,2023.-363 с..(СПО)(п)</t>
  </si>
  <si>
    <t>ИНФОРМАТИКА. ПРАКТИКУМ</t>
  </si>
  <si>
    <t>Канакова С.Г.</t>
  </si>
  <si>
    <t>978-5-16-017682-6</t>
  </si>
  <si>
    <t>09.02.05, 09.02.07</t>
  </si>
  <si>
    <t>Прокопьевский горнотехнический техникум им. В.П. Романова</t>
  </si>
  <si>
    <t>718985.07.01</t>
  </si>
  <si>
    <t>Информатика: Уч. / В.Н.Яшин - М.:НИЦ ИНФРА-М,2024 - 522 с.-(ВО: Бакалавриат)(П)</t>
  </si>
  <si>
    <t>Яшин В.Н., Колоденкова А.Е.</t>
  </si>
  <si>
    <t>978-5-16-015924-9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</si>
  <si>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10 от 12.10.2020)</t>
  </si>
  <si>
    <t>682875.04.01</t>
  </si>
  <si>
    <t>Информатика: Уч. / С.Р.Гуриков - 2 изд. - М.:НИЦ ИНФРА-М,2024 - 566 с.-(СПО)(П)</t>
  </si>
  <si>
    <t>ИНФОРМАТИКА, ИЗД.2</t>
  </si>
  <si>
    <t>978-5-16-016575-2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</si>
  <si>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8 от 22.06.2020)</t>
  </si>
  <si>
    <t>231900.10.01</t>
  </si>
  <si>
    <t>Информатика: Уч. / С.Р.Гуриков - 2 изд. - М.:НИЦ ИНФРА-М,2025 - 566 с.(ВО: Бакалавриат)(П)</t>
  </si>
  <si>
    <t>978-5-16-018692-4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</si>
  <si>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бакалавриата  (протокол № 8 от 22.06.2020)</t>
  </si>
  <si>
    <t>231900.04.01</t>
  </si>
  <si>
    <t>Информатика: Уч. / С.Р.Гуриков - М.:Форум,НИЦ ИНФРА-М,2018 - 463 с.-(ВО: Бакалавриат)(П)</t>
  </si>
  <si>
    <t>978-5-00091-699-5</t>
  </si>
  <si>
    <t>Рекомендовано в качестве учебника для студентов образовательных учреждений высшего образования</t>
  </si>
  <si>
    <t>136900.09.01</t>
  </si>
  <si>
    <t>Информатика: Уч.пос. / Е.Л.Федотова - 2 изд. - М.:НИЦ ИНФРА-М,2024 - 453 с.(ВО)(п)</t>
  </si>
  <si>
    <t>Федотова Е.Л.</t>
  </si>
  <si>
    <t>978-5-16-020011-8</t>
  </si>
  <si>
    <t>Рекомендовано Учебно-методическим советом Национального исследовательского университета «МИЭТ» в качестве учебного пособия для студентов, обучающихся по направлению подготовки бакалавров</t>
  </si>
  <si>
    <t>209700.17.01</t>
  </si>
  <si>
    <t>Информационная безоп. и защита инфор.: Уч.пос. / Е.К.Баранова - 4 изд. - М.:ИЦ РИОР,Инфра-М,2024 - 336с(П)</t>
  </si>
  <si>
    <t>ИНФОРМАЦИОННАЯ БЕЗОПАСНОСТЬ И ЗАЩИТА ИНФОРМАЦИИ, ИЗД.4</t>
  </si>
  <si>
    <t>Баранова Е.К., Бабаш А.В.</t>
  </si>
  <si>
    <t>978-5-369-01761-6</t>
  </si>
  <si>
    <t>09.03.03, 10.03.01, 10.04.01, 10.05.02, 10.05.04, 27.04.03, 38.03.05, 38.04.05, 46.03.02</t>
  </si>
  <si>
    <t>Допущено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t>
  </si>
  <si>
    <t>085430.22.01</t>
  </si>
  <si>
    <t>Информационная безоп. комп. сис. и сетей: Уч.пос. / В.Ф.Шаньгин - М.:ИД ФОРУМ, НИЦ ИНФРА-М,2024-416с(п)</t>
  </si>
  <si>
    <t>ИНФОРМАЦИОННАЯ БЕЗОПАСНОСТЬ КОМПЬЮТЕРНЫХ СИСТЕМ И СЕТЕЙ</t>
  </si>
  <si>
    <t>Шаньгин В. Ф.</t>
  </si>
  <si>
    <t>978-5-8199-0754-2</t>
  </si>
  <si>
    <t>09.01.03, 09.01.04, 09.02.01, 09.02.02, 09.02.03, 09.02.04, 09.02.05, 09.02.06, 09.02.07, 10.02.04, 10.02.05, 11.02.15, 11.02.18</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</si>
  <si>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</si>
  <si>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745644.01.01</t>
  </si>
  <si>
    <t>Информационная безоп. конструкций ЭВМ и сис.: Уч.пос. / Е.В.Глинская-М.:НИЦ ИНФРА-М,2021.-118 с.(ВО)(О)</t>
  </si>
  <si>
    <t>ИНФОРМАЦИОННАЯ БЕЗОПАСНОСТЬ КОНСТРУКЦИЙ ЭВМ И СИСТЕМ</t>
  </si>
  <si>
    <t>Глинская Е.В., Чичварин Н.В.</t>
  </si>
  <si>
    <t>978-5-16-016536-3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</si>
  <si>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</si>
  <si>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209700.05.01</t>
  </si>
  <si>
    <t>Информационная безоп.и защита..: Уч.пос. /Е.К.Баранова -3изд. -М.:ИЦ РИОР,НИЦ ИНФРА-М,2017-322(ВО)(П)</t>
  </si>
  <si>
    <t>ИНФОРМАЦИОННАЯ БЕЗОПАСНОСТЬ И ЗАЩИТА ИНФОРМАЦИИ, ИЗД.3</t>
  </si>
  <si>
    <t>978-5-369-01450-9</t>
  </si>
  <si>
    <t>361300.07.01</t>
  </si>
  <si>
    <t>Информационная безоп.констр.ЭВМ...: Уч.пос. / Е.В.Глинская - М.:НИЦ ИНФРА-М,2025 - 118 с.(ВО:Бакалавр.)(о)</t>
  </si>
  <si>
    <t>ГлинскаяЕ.В., ЧичваринН.В.</t>
  </si>
  <si>
    <t>978-5-16-010961-9</t>
  </si>
  <si>
    <t>02.03.02, 09.03.03, 10.04.01, 10.05.01, 27.04.03, 46.03.02</t>
  </si>
  <si>
    <t>Рекомендовано в качестве учебного пособия для студентов высших учебных заведений, обучающихся по направлениям подготовки 09.03.03 «Прикладная информатика» и 10.03.01 «Информационная безопасность» (квалификация (степень) «бакалавр»)</t>
  </si>
  <si>
    <t>116800.10.98</t>
  </si>
  <si>
    <t>Информационная безопасность предпр.: Уч.пос. / Н.В.Гришина, - 2 изд.-М.:Форум, НИЦ ИНФРА-М,2017-239с</t>
  </si>
  <si>
    <t>ИНФОРМАЦИОННАЯ БЕЗОПАСНОСТЬ ПРЕДПРИЯТИЯ, ИЗД.2</t>
  </si>
  <si>
    <t>Гришина Н.В.</t>
  </si>
  <si>
    <t>978-5-00091-007-8</t>
  </si>
  <si>
    <t>09.03.03, 46.03.02</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</si>
  <si>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10.03.01 «Информационная безопасность» (квалификация (степень) «бакалавр»)</t>
  </si>
  <si>
    <t>690120.04.01</t>
  </si>
  <si>
    <t>Информационная безопасность...: Уч.пос. / Е.К.Баранова -М.:ИЦ РИОР, НИЦ ИНФРА-М,2024.-236 с.(П)</t>
  </si>
  <si>
    <t>ИНФОРМАЦИОННАЯ БЕЗОПАСНОСТЬ. ИСТОРИЯ СПЕЦИАЛЬНЫХ МЕТОДОВ КРИПТОГРАФИЧЕСКОЙ ДЕЯТЕЛЬНОСТИ</t>
  </si>
  <si>
    <t>Баранова Е.К., Бабаш А.В., Ларин Д.А.</t>
  </si>
  <si>
    <t>978-5-369-01788-3</t>
  </si>
  <si>
    <t>09.03.03, 10.03.01, 10.04.01, 27.04.03, 38.03.05, 38.04.05</t>
  </si>
  <si>
    <t>039080.21.01</t>
  </si>
  <si>
    <t>Информационная безопасность: Уч.пос. / Т.Л.Партыка - 5 изд. - М.:Форум, НИЦ ИНФРА-М,2025 - 432с(П)</t>
  </si>
  <si>
    <t>ИНФОРМАЦИОННАЯ БЕЗОПАСНОСТЬ, ИЗД.5</t>
  </si>
  <si>
    <t>Партыка Т. Л., Попов И. И.</t>
  </si>
  <si>
    <t>978-5-00091-473-1</t>
  </si>
  <si>
    <t>09.02.01, 09.02.02, 09.02.03, 09.02.04, 09.02.05, 10.02.01, 10.02.02, 10.02.03, 10.02.04, 10.02.05, 11.02.18</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</si>
  <si>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специальностям информатики и вычислительной техники</t>
  </si>
  <si>
    <t>0512</t>
  </si>
  <si>
    <t>121200.11.01</t>
  </si>
  <si>
    <t>Информационная система предприятия: Уч. пос./Л.А.Вдовенко-2 изд.-М.:Вуз. уч., НИЦ ИНФРА-М,2024.-304 с.(П)</t>
  </si>
  <si>
    <t>ИНФОРМАЦИОННАЯ СИСТЕМА ПРЕДПРИЯТИЯ, ИЗД.2</t>
  </si>
  <si>
    <t>Вдовенко Л. А.</t>
  </si>
  <si>
    <t>978-5-9558-0329-6</t>
  </si>
  <si>
    <t>09.03.02, 09.04.02, 38.03.01, 38.03.02, 38.03.03, 38.03.04, 38.03.05, 38.03.06, 38.03.07, 38.04.01, 38.04.02, 38.04.03, 38.04.04, 38.04.05, 38.04.06, 38.04.07, 38.04.08, 38.04.09, 38.05.01, 38.05.02</t>
  </si>
  <si>
    <t>Рекомендовано в качестве учебного пособия для студентов вузов, обучающихся по экономическим направлениям подготовки</t>
  </si>
  <si>
    <t>672141.03.01</t>
  </si>
  <si>
    <t>Информационная структура предприятия: Уч.пос. / Д.В.Капулин - М.:НИЦ ИНФРА-М, СФУ,2022 - 186 с.(ВО)(П)</t>
  </si>
  <si>
    <t>ИНФОРМАЦИОННАЯ СТРУКТУРА ПРЕДПРИЯТИЯ</t>
  </si>
  <si>
    <t>Капулин Д.В., Кузнецов А.С., Носкова Е.Е.</t>
  </si>
  <si>
    <t>978-5-16-013433-8</t>
  </si>
  <si>
    <t>27.03.04, 27.04.04</t>
  </si>
  <si>
    <t>Рекомендовано федеральным государственным бюджетным образовательным учреждением высшего образования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«Управление в технических системах»</t>
  </si>
  <si>
    <t>151250.14.01</t>
  </si>
  <si>
    <t>Информационно-аналит. работа ...: Уч.пос. / А.В.Зобнин - 3 изд. - М.:НИЦ ИНФРА-М,2024 - 145 с.(ВО: Бак.)(о)</t>
  </si>
  <si>
    <t>ИНФОРМАЦИОННО-АНАЛИТИЧЕСКАЯ РАБОТА В ГОСУДАРСТВЕННОМ И МУНИЦИПАЛЬНОМ УПРАВЛЕНИИ, ИЗД.3</t>
  </si>
  <si>
    <t>Зобнин А.В.</t>
  </si>
  <si>
    <t>978-5-16-014763-5</t>
  </si>
  <si>
    <t>38.04.04, 41.03.04, 41.03.05, 41.03.06, 41.04.04, 41.04.05</t>
  </si>
  <si>
    <t>Допущено Научно-методическим советом по политологии Министерства образования и науки Российской Федерации в качестве учебного пособия для студентов вузов и факультетов гуманитарного и социально-экономического профиля</t>
  </si>
  <si>
    <t>151250.10.01</t>
  </si>
  <si>
    <t>Информационно-аналит. работа..: Уч.пос. /  Полывянного Д.И.-2 изд.М.:Вуз.уч.,НИЦ ИНФРА-М,2020-144с</t>
  </si>
  <si>
    <t>ИНФОРМАЦИОННО-АНАЛИТИЧЕСКАЯ РАБОТА В ГОСУДАРСТВЕННОМ И МУНИЦИПАЛЬНОМ УПРАВЛЕНИИ, ИЗД.2</t>
  </si>
  <si>
    <t>Зобнин А.В., Полывянный Д.И.</t>
  </si>
  <si>
    <t>978-5-9558-0405-7</t>
  </si>
  <si>
    <t>Допущено Научно-методическим советом по политологии Министерства образования РФ в качестве учебного пособия  для студентов вузов и факультетов гуманитарного и социально-экономического профиля</t>
  </si>
  <si>
    <t>818408.01.01</t>
  </si>
  <si>
    <t>Информационно-аналитич. деят. финанс. разведки: Уч. / Н.А.Буймов-М.:НИЦ ИНФРА-М, СФУ,2024.-249с(ВО)(п)</t>
  </si>
  <si>
    <t>ИНФОРМАЦИОННО-АНАЛИТИЧЕСКАЯ ДЕЯТЕЛЬНОСТЬ ФИНАНСОВОЙ РАЗВЕДКИ</t>
  </si>
  <si>
    <t>Буймов Н.А., Голобоков В.А., Жирков С.Ф.</t>
  </si>
  <si>
    <t>978-5-16-019514-8</t>
  </si>
  <si>
    <t>10.05.04, 38.03.01, 38.03.05, 38.04.01, 38.04.05, 38.04.08</t>
  </si>
  <si>
    <t>Допущено Учебно-методическим советом Сибирского федерального университета в качестве учебника для студентов, обучающихся по направлениям подготовки 38.03.01 и 38.04.01 «Экономика», 38.03.05 и 38.04.05 «Бизнес-информатика», 10.05.04 «Аналитические системы безопасности»</t>
  </si>
  <si>
    <t>419200.12.01</t>
  </si>
  <si>
    <t>Информационно-аналитич. раб. в межд. отн.: Уч.пос. / В.В.Демидов- 2 изд. - М.:НИЦ ИНФРА-М,2025. - 369 с.(П)</t>
  </si>
  <si>
    <t>ИНФОРМАЦИОННО-АНАЛИТИЧЕСКАЯ РАБОТА В МЕЖДУНАРОДНЫХ ОТНОШЕНИЯХ, ИЗД.2</t>
  </si>
  <si>
    <t>Демидов В.В.</t>
  </si>
  <si>
    <t>978-5-16-020738-4</t>
  </si>
  <si>
    <t>41.03.01, 41.03.04, 41.03.05, 41.03.06, 41.04.01, 41.04.05, 42.03.01, 42.04.01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</si>
  <si>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41.04.01 «Зарубежное регионоведение», 41.04.05 «Международные отношения» (квалификация (степень) «магистр») (протокол № 6 от 25.03.2019)</t>
  </si>
  <si>
    <t>Российская академия народного хозяйства и государственной службы при Президенте РФ, ф-л Сибирский институт управления</t>
  </si>
  <si>
    <t>673762.02.01</t>
  </si>
  <si>
    <t>Информационно-аналитич. работа: Уч.пос. / С.Е.Мишенин-М.:НИЦ ИНФРА-М,2024.-384 с.(ВО: Бакалавр.)(П)</t>
  </si>
  <si>
    <t>ИНФОРМАЦИОННО-АНАЛИТИЧЕСКАЯ РАБОТА</t>
  </si>
  <si>
    <t>Мишенин С.Е.</t>
  </si>
  <si>
    <t>978-5-16-019361-8</t>
  </si>
  <si>
    <t>46.03.01, 46.04.01, 46.06.01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</si>
  <si>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46.03.01 «История» (квалификация (степень) «бакалавр») (протокол № 17 от 11.11.2019)</t>
  </si>
  <si>
    <t>Кузбасский региональный институт развития профессионального образования</t>
  </si>
  <si>
    <t>419200.05.01</t>
  </si>
  <si>
    <t>Информационно-аналитическая работа в межд.отн.: Уч.пос./В.В.Демидов-М.:Вуз.уч.,НИЦ ИНФРА-М,2018-200с</t>
  </si>
  <si>
    <t>ИНФОРМАЦИОННО-АНАЛИТИЧЕСКАЯ РАБОТА В МЕЖДУНАРОДНЫХ ОТНОШЕНИЯХ</t>
  </si>
  <si>
    <t>978-5-9558-0269-5</t>
  </si>
  <si>
    <t>Рекомендовано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и специальностям «Международные отношения», «Регионоведение» и «Связи с общественностью»</t>
  </si>
  <si>
    <t>824591.01.01</t>
  </si>
  <si>
    <t>Информационное право: Уч. / С.Е.Чаннов - М.:Юр. НОРМА, НИЦ ИНФРА-М,2024 - 448 с.(п)</t>
  </si>
  <si>
    <t>ИНФОРМАЦИОННОЕ ПРАВО</t>
  </si>
  <si>
    <t>Чаннов С.Е.</t>
  </si>
  <si>
    <t>978-5-00156-366-2</t>
  </si>
  <si>
    <t>810165.01.01</t>
  </si>
  <si>
    <t>Информационное противоборство: концепт. основы обеспеч...: Уч.пос. / Е.А.Дербин-М.:НИЦ ИНФРА-М,2024.-267(п)</t>
  </si>
  <si>
    <t>ИНФОРМАЦИОННОЕ ПРОТИВОБОРСТВО: КОНЦЕПТУАЛЬНЫЕ ОСНОВЫ ОБЕСПЕЧЕНИЯ ИНФОРМАЦИОННОЙ БЕЗОПАСНОСТИ</t>
  </si>
  <si>
    <t>Дербин Е.А., Царегородцев А.В.</t>
  </si>
  <si>
    <t>978-5-16-019050-1</t>
  </si>
  <si>
    <t>10.05.02, 41.04.05</t>
  </si>
  <si>
    <t>646084.03.01</t>
  </si>
  <si>
    <t>Информационно-коммуникац. технологии в спец. обр.: Уч. / И.А.Никольская - 2изд.-М.:НИЦ ИНФРА-М,2024.-232 с.(ВО)(п)</t>
  </si>
  <si>
    <t>ИНФОРМАЦИОННО-КОММУНИКАЦИОННЫЕ ТЕХНОЛОГИИ В СПЕЦИАЛЬНОМ ОБРАЗОВАНИИ, ИЗД.2</t>
  </si>
  <si>
    <t>Никольская И.А.</t>
  </si>
  <si>
    <t>978-5-16-019267-3</t>
  </si>
  <si>
    <t>44.03.03, 44.05.01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</si>
  <si>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7 от 08.06.2020)</t>
  </si>
  <si>
    <t>742205.04.01</t>
  </si>
  <si>
    <t>Информационно-коммуникац.технологии в спец.образ.: Уч. / И.А.Никольская, - 2изд.,М.:НИЦ ИНФРА-М,2025.-232с (П)</t>
  </si>
  <si>
    <t>978-5-16-016425-0</t>
  </si>
  <si>
    <t>44.02.01, 44.02.02, 44.02.03, 44.02.04, 44.02.05, 49.02.01, 49.02.02, 53.02.01, 54.02.06</t>
  </si>
  <si>
    <t>Рекомендовано Межрегиональным учебно-методическим советом профессионального образования в качестве учебника для студентов учреждений среднего профессионального образования, обучающихся по специальности  44.02.05 «Коррекционная педагогика в начальном образовании» (протокол № 7 от 08.06.2020)</t>
  </si>
  <si>
    <t>632251.11.01</t>
  </si>
  <si>
    <t>Информационно-коммуникационные тех.в образ.: Уч. / О.Ф.Брыксина - М.:НИЦ ИНФРА-М,2024- 549с.(ВО)(п)</t>
  </si>
  <si>
    <t>ИНФОРМАЦИОННО-КОММУНИКАЦИОННЫЕ ТЕХНОЛОГИИ В ОБРАЗОВАНИИ</t>
  </si>
  <si>
    <t>Брыксина О.Ф., Пономарева Е.А., Сонина М.Н.</t>
  </si>
  <si>
    <t>978-5-16-019848-4</t>
  </si>
  <si>
    <t>Самарский государственный социально-педагогический университет</t>
  </si>
  <si>
    <t>468150.05.01</t>
  </si>
  <si>
    <t>Информационно-предметное обеспеч. учеб. дисцип...: Уч.-метод. пос. /Н.А.Логинова -ИНФРА-М,2024-124(О)</t>
  </si>
  <si>
    <t>ИНФОРМАЦИОННО-ПРЕДМЕТНОЕ ОБЕСПЕЧЕНИЕ УЧЕБНЫХ ДИСЦИПЛИН БАКАЛАВРИАТА И МАГИСТРАТУРЫ</t>
  </si>
  <si>
    <t>Логинова Н.А.</t>
  </si>
  <si>
    <t>978-5-16-009859-3</t>
  </si>
  <si>
    <t>44.00.00</t>
  </si>
  <si>
    <t>682889.04.01</t>
  </si>
  <si>
    <t>Информационно-экскурс. деят. на предпр. туризма: Уч. / Под ред. Богданова Е.И. - М.:НИЦ ИНФРА-М,2025. - 383 с.(П)</t>
  </si>
  <si>
    <t>ИНФОРМАЦИОННО-ЭКСКУРСИОННАЯ ДЕЯТЕЛЬНОСТЬ НА ПРЕДПРИЯТИЯХ ТУРИЗМА</t>
  </si>
  <si>
    <t>Баранов А.С., Бисько И.А., Богданов Е.И.</t>
  </si>
  <si>
    <t>978-5-16-013931-9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</si>
  <si>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43.02.10 «Туризм»</t>
  </si>
  <si>
    <t>158400.11.01</t>
  </si>
  <si>
    <t>Информационно-экскурсионная деят. на предпр. туризма: Уч. / А.С. Баранов-М.:НИЦ ИНФРА-М,2024-383с(ВО)(п)</t>
  </si>
  <si>
    <t>Баранов А. С., Бисько И. А., Богданов Е. И.</t>
  </si>
  <si>
    <t>978-5-16-019279-6</t>
  </si>
  <si>
    <t>43.03.02, 43.03.03, 43.04.03</t>
  </si>
  <si>
    <t>Рекомендовано Учебно-методическим объединением по образованию в области производственного менеджмента Минобрнауки РФ в качестве учебника для студентов высших учебных заведений, обуч. по спец. 080502 "Экономика и управление на предприятии туризма"</t>
  </si>
  <si>
    <t>800520.03.01</t>
  </si>
  <si>
    <t>Информационные ресурсы и инструменты в работе исслед.: Уч. / В.Н.Гуреев - М.:НИЦ ИНФРА-М,2025. - 191 с.(ВО)(п)</t>
  </si>
  <si>
    <t>ИНФОРМАЦИОННЫЕ РЕСУРСЫ И ИНСТРУМЕНТЫ В РАБОТЕ ИССЛЕДОВАТЕЛЯ</t>
  </si>
  <si>
    <t>Гуреев В.Н., Мазов Н.А., Ельцов И.Н.</t>
  </si>
  <si>
    <t>978-5-16-018378-7</t>
  </si>
  <si>
    <t>00.03.16, 00.04.16, 00.05.16, 00.06.01</t>
  </si>
  <si>
    <t>424700.08.01</t>
  </si>
  <si>
    <t>Информационные ресурсы и технологии в эконом.: Уч. пос./Б.Е.Одинцов - Вуз. уч.: Инфра-М, 2024-462с.</t>
  </si>
  <si>
    <t>ИНФОРМАЦИОННЫЕ РЕСУРСЫ И ТЕХНОЛОГИИ В ЭКОНОМИКЕ</t>
  </si>
  <si>
    <t>Одинцов Б. Е., Романов А. Н.</t>
  </si>
  <si>
    <t>978-5-9558-0256-5</t>
  </si>
  <si>
    <t>103300.13.01</t>
  </si>
  <si>
    <t>Информационные сис. в экономике: Уч.пос. / Под ред. Чистова Д.В. - М.:НИЦ ИНФРА-М,2024 - 234 с.(ВО)(П)</t>
  </si>
  <si>
    <t>ИНФОРМАЦИОННЫЕ СИСТЕМЫ В ЭКОНОМИКЕ</t>
  </si>
  <si>
    <t>Чистов Д. В.</t>
  </si>
  <si>
    <t>978-5-16-003511-6</t>
  </si>
  <si>
    <t>09.03.02, 09.03.03, 38.03.01, 38.03.02, 38.03.03, 38.03.04, 38.03.05, 38.03.06, 38.03.07, 38.03.10</t>
  </si>
  <si>
    <t>684810.09.01</t>
  </si>
  <si>
    <t>Информационные сис. и технологии: Уч.пос. / О.Л.Голицына.-М.:Форум, НИЦ ИНФРА-М,2024.-400. с(СПО)(П)</t>
  </si>
  <si>
    <t>ИНФОРМАЦИОННЫЕ СИСТЕМЫ И ТЕХНОЛОГИИ</t>
  </si>
  <si>
    <t>978-5-00091-592-9</t>
  </si>
  <si>
    <t>09.02.03, 09.02.04, 09.02.05, 09.02.07</t>
  </si>
  <si>
    <t>719927.02.01</t>
  </si>
  <si>
    <t>Информационные сис. упр. качеством в автоматизир...: Уч.пос./Галиновский А.Л.-М.:НИЦ ИНФРА-М,2023-284с(СПО)(П)</t>
  </si>
  <si>
    <t>ИНФОРМАЦИОННЫЕ СИСТЕМЫ УПРАВЛЕНИЯ КАЧЕСТВОМ В АВТОМАТИЗИРОВАННЫХ И АВТОМАТИЧЕСКИХ ПРОИЗВОДСТВАХ</t>
  </si>
  <si>
    <t>Галиновский А.Л., Бочкарев С.В., Кравченко И.Н. и др.</t>
  </si>
  <si>
    <t>978-5-16-015662-0</t>
  </si>
  <si>
    <t>08.02.09, 13.02.13, 15.02.03, 15.02.07, 15.02.16, 15.02.17, 15.02.18, 35.01.05, 35.01.06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</si>
  <si>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12 от 24.06.2019)</t>
  </si>
  <si>
    <t>665198.05.01</t>
  </si>
  <si>
    <t>Информационные сис. управ. качеством в...: Уч.пос. / Под ред. Галиновский А.Л.-М.:НИЦ ИНФРА-М,2023-284с(П)</t>
  </si>
  <si>
    <t>978-5-16-013582-3</t>
  </si>
  <si>
    <t>09.03.02, 09.04.02, 15.04.04, 24.03.01, 24.03.02, 24.03.03, 24.03.04, 24.03.05, 24.04.01, 24.04.02, 24.04.03, 24.04.04, 24.04.05, 24.05.01, 24.05.02, 24.05.03, 24.05.04, 24.05.05, 24.05.06, 24.05.07, 27.03.02, 27.04.02</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</si>
  <si>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24.00.00 «Авиационная и ракетно-космическая техника» в качестве учебного пособия для студентов и аспирантов, обучающихся по основным образовательным программам высшего образования по направлению подготовки бакалавриата / магистратуры / специалитета</t>
  </si>
  <si>
    <t>169500.13.01</t>
  </si>
  <si>
    <t>Информационные системы в экономике: Уч.пос. / К.В.Балдин - М.:НИЦ ИНФРА-М,2024-218с.(ВО)(п)</t>
  </si>
  <si>
    <t>Балдин К. В.</t>
  </si>
  <si>
    <t>978-5-16-019321-2</t>
  </si>
  <si>
    <t>09.03.03, 38.03.01, 38.03.02, 38.03.03, 38.03.04, 38.03.05, 38.03.06, 38.03.07</t>
  </si>
  <si>
    <t>Рекомендовано в качестве учебного пособия студентам высших учебных заведений, обучающихся по направлению 38.03.01 «Экономика»</t>
  </si>
  <si>
    <t>Российская таможенная академия</t>
  </si>
  <si>
    <t>726004.06.01</t>
  </si>
  <si>
    <t>Информационные системы и програм...: Уч. / М.С.Логачев-М.:НИЦ ИНФРА-М,2024-576с.(СПО)(П)</t>
  </si>
  <si>
    <t>ИНФОРМАЦИОННЫЕ СИСТЕМЫ И ПРОГРАММИРОВАНИЕ. СПЕЦИАЛИСТ ПО ИНФОРМАЦИОННЫМ СИСТЕМАМ. ВЫПУСКНАЯ КВАЛИФИКАЦИОННАЯ РАБОТА</t>
  </si>
  <si>
    <t>Логачев М.С.</t>
  </si>
  <si>
    <t>978-5-16-015919-5</t>
  </si>
  <si>
    <t>09.02.07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</si>
  <si>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17 от 11.11.2019)</t>
  </si>
  <si>
    <t>701990.05.01</t>
  </si>
  <si>
    <t>Информационные системы и программирование...: Уч. / М.С.Логачев - М.:НИЦ ИНФРА-М,2024 - 439 с.(П)</t>
  </si>
  <si>
    <t>ИНФОРМАЦИОННЫЕ СИСТЕМЫ И ПРОГРАММИРОВАНИЕ. АДМИНИСТРАТОР БАЗ ДАННЫХ. ВЫПУСКНАЯ КВАЛИФИКАЦИОННАЯ РАБОТА</t>
  </si>
  <si>
    <t>978-5-16-014985-1</t>
  </si>
  <si>
    <t>09.01.03, 09.02.01, 09.02.07, 10.02.01, 10.02.03, 11.02.12, 51.02.03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</si>
  <si>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16 от 28.10.2019)</t>
  </si>
  <si>
    <t>713030.03.01</t>
  </si>
  <si>
    <t>Информационные системы и программирование...: Уч. / М.С.Логачев - М.:НИЦ ИНФРА-М,2024. - 551 с(П)</t>
  </si>
  <si>
    <t>ИНФОРМАЦИОННЫЕ СИСТЕМЫ И ПРОГРАММИРОВАНИЕ. ТЕХНИЧЕСКИЙ ПИСАТЕЛЬ. ВЫПУСКНАЯ КВАЛИФИКАЦИОННАЯ РАБОТА</t>
  </si>
  <si>
    <t>Логачев М.С., Семенова О.В.</t>
  </si>
  <si>
    <t>978-5-16-015544-9</t>
  </si>
  <si>
    <t>267500.12.01</t>
  </si>
  <si>
    <t>Информационные системы и технологии: Уч.пос. / О.Л.Голицына-М.:Форум, НИЦ ИНФРА-М,2024-400 с(ВО)(п)</t>
  </si>
  <si>
    <t>Голицына О. Л., Максимов Н. В., Попов И. И.</t>
  </si>
  <si>
    <t>978-5-00091-776-3</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</si>
  <si>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направлению «Прикладная информатика»</t>
  </si>
  <si>
    <t>700479.02.01</t>
  </si>
  <si>
    <t>Информационные системы предпр.: Уч.пос. / А.О.Варфоломеева- 2 изд.-М.:НИЦ ИНФРА-М,2023-330с(СПО)(П)</t>
  </si>
  <si>
    <t>ИНФОРМАЦИОННЫЕ СИСТЕМЫ ПРЕДПРИЯТИЯ, ИЗД.2</t>
  </si>
  <si>
    <t>Варфоломеева А.О., Коряковский А.В., Романов В.П.</t>
  </si>
  <si>
    <t>978-5-16-014729-1</t>
  </si>
  <si>
    <t>08.02.08, 09.01.03, 09.02.01, 09.02.02, 09.02.03, 09.02.04, 09.02.05, 10.02.01, 10.02.02, 10.02.03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</si>
  <si>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09.02.04 «Информационные системы (по отраслям)», 09.02.05 «Прикладная информатика (по отраслям)»</t>
  </si>
  <si>
    <t>211100.09.01</t>
  </si>
  <si>
    <t>Информационные системы предприятия: Уч.пос. / А.О.Варфоломеева - 2изд.-М.:НИЦ ИНФРА-М,2024-330с.(ВО)</t>
  </si>
  <si>
    <t>978-5-16-012274-8</t>
  </si>
  <si>
    <t>09.03.01, 09.03.02, 09.03.03, 09.04.01, 09.04.02, 09.04.03, 21.04.01, 38.03.01, 38.03.02, 38.03.05, 38.04.01, 38.04.02, 38.04.05, 41.03.06, 45.03.04, 46.04.02</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</si>
  <si>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направлению 09.03.03. «Прикладная информатика» и экономическим специальностям</t>
  </si>
  <si>
    <t>085640.12.01</t>
  </si>
  <si>
    <t>Информационные системы: Уч.пос. / О.Л.Голицына - 2-е изд.-М.:Форум, НИЦ ИНФРА-М,2024.-448 с.(ВО)(п)</t>
  </si>
  <si>
    <t>ИНФОРМАЦИОННЫЕ СИСТЕМЫ, ИЗД.2</t>
  </si>
  <si>
    <t>978-5-91134-833-5</t>
  </si>
  <si>
    <t>09.03.01, 09.03.02, 09.03.03, 09.03.04, 09.04.01, 09.04.02, 09.04.03, 09.04.04, 10.04.01, 11.03.01, 11.03.03, 11.03.04, 12.03.03, 12.03.04, 15.03.01, 15.03.03, 15.04.04, 16.03.01, 16.03.02, 16.03.03, 27.03.05, 28.03.01, 45.03.04, 46.03.02</t>
  </si>
  <si>
    <t>Рекомендовано Учебно-методическим объединением вузов РФ по образованию в области прикладной информатики в качестве учебного пособия для студентов высших учебных заведений, обучающихся по специальности  510200 "Прикладная  математика и информатика"</t>
  </si>
  <si>
    <t>684812.01.01</t>
  </si>
  <si>
    <t>Информационные системы: Уч.пос. / О.Л.Голицына и др. - 2 изд.-М.:Форум, НИЦ ИНФРА-М,2025-445 с.-(СПО)(п)</t>
  </si>
  <si>
    <t>978-5-00091-594-3</t>
  </si>
  <si>
    <t>08.02.01, 09.02.05, 09.02.10</t>
  </si>
  <si>
    <t>430350.08.01</t>
  </si>
  <si>
    <t>Информационные технол. в бирж. торг..:Уч.пос./ Н.С.Рожнова - М.:НИЦ ИНФРА-М,2023-100с.(ВО)(О)</t>
  </si>
  <si>
    <t>ИНФОРМАЦИОННЫЕ ТЕХНОЛОГИИ В БИРЖЕВОЙ ТОРГОВЛЕ (БИРЖЕВОЙ ТРЕНАЖЕР)</t>
  </si>
  <si>
    <t>Рожнова Н. С.</t>
  </si>
  <si>
    <t>978-5-16-006651-6</t>
  </si>
  <si>
    <t>38.03.01, 38.03.05, 38.04.05, 38.04.08</t>
  </si>
  <si>
    <t>133150.19.01</t>
  </si>
  <si>
    <t>Информационные технол. в науке и образ.: Уч.пос. / Е.Л.Федотова - М.:ИД ФОРУМ, НИЦ ИНФРА-М,2024-335с.(П)</t>
  </si>
  <si>
    <t>ИНФОРМАЦИОННЫЕ ТЕХНОЛОГИИ В НАУКЕ И ОБРАЗОВАНИИ</t>
  </si>
  <si>
    <t>978-5-8199-0884-6</t>
  </si>
  <si>
    <t>09.04.01, 09.04.02, 09.04.03, 09.04.04, 44.04.01, 44.04.02, 44.04.03, 44.04.04</t>
  </si>
  <si>
    <t>Рекомендовано Учебно-методическим советом ВО в качестве учебного пособия для студентов высших учебных заведений, обучающихся по УГСН 44.03.00 «Образование и педагогические науки» (квалификация (степень) «бакалавр»)</t>
  </si>
  <si>
    <t>130450.12.01</t>
  </si>
  <si>
    <t>Информационные технологии в коммерции: Уч.пос. / Л.П.Гаврилов, - 2 изд.-М.:НИЦ ИНФРА-М,2024.-369 с.(ВО)(П)</t>
  </si>
  <si>
    <t>ИНФОРМАЦИОННЫЕ ТЕХНОЛОГИИ В КОММЕРЦИИ, ИЗД.2</t>
  </si>
  <si>
    <t>978-5-16-016187-7</t>
  </si>
  <si>
    <t>38.03.06, 38.04.06</t>
  </si>
  <si>
    <t>Допущено Учебно-методическим объединением по образованию в области коммерции и маркетинга вкачестве учебного пособия для студентов вузов</t>
  </si>
  <si>
    <t>130450.09.01</t>
  </si>
  <si>
    <t>Информационные технологии в коммерции: Уч.пос./ Л.П.Гаврилов-М.:НИЦ ИНФРА-М,2020-238с(ВО:Бакалавр.)(П)</t>
  </si>
  <si>
    <t>ИНФОРМАЦИОННЫЕ ТЕХНОЛОГИИ В КОММЕРЦИИ</t>
  </si>
  <si>
    <t>Гаврилов Л. П.</t>
  </si>
  <si>
    <t>978-5-16-004100-1</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</si>
  <si>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специальности 080301 "Коммерция" (торговое дело) и 080111 "Маркетинг"</t>
  </si>
  <si>
    <t>442550.06.01</t>
  </si>
  <si>
    <t>Информационные технологии в менедж.: Уч. пос./В.И.Карпузова - 2 изд. -М.: Вуз. уч.: ИНФРА-М, 2023-301с. (п)</t>
  </si>
  <si>
    <t>ИНФОРМАЦИОННЫЕ ТЕХНОЛОГИИ В МЕНЕДЖМЕНТЕ, ИЗД.2</t>
  </si>
  <si>
    <t>Карпузова В. И., Скрипченко Э. Н., Чернышева К. В., Карпузова Н. В.</t>
  </si>
  <si>
    <t>978-5-9558-0315-9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</si>
  <si>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«Производственный менеджмент»)</t>
  </si>
  <si>
    <t>753869.03.01</t>
  </si>
  <si>
    <t>Информационные технологии в проф. деят. социологов: Уч. / Л.С.Онокой-М.:НИЦ ИНФРА-М,2023.-344 с.(ВО: Бакалавр.)(П)</t>
  </si>
  <si>
    <t>ИНФОРМАЦИОННЫЕ ТЕХНОЛОГИИ В ПРОФЕССИОНАЛЬНОЙ ДЕЯТЕЛЬНОСТИ СОЦИОЛОГОВ</t>
  </si>
  <si>
    <t>Онокой Л.С., Титов В.М.</t>
  </si>
  <si>
    <t>978-5-16-016959-0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</si>
  <si>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социологическим направлениям подготовки (квалификация (степень) «бакалавр») (протокол № 3 от 17.03.2021)</t>
  </si>
  <si>
    <t>798042.01.01</t>
  </si>
  <si>
    <t>Информационные технологии в проф. деят...: Уч.пос. / Д.М.Назаров-М.:НИЦ ИНФРА-М,2025.-326 с.(СПО)(п)</t>
  </si>
  <si>
    <t>ИНФОРМАЦИОННЫЕ ТЕХНОЛОГИИ В ПРОФЕССИОНАЛЬНОЙ ДЕЯТЕЛЬНОСТИ: ИНТЕЛЛЕКТУАЛЬНЫЙ АНАЛИЗ ДАННЫХ И БИЗНЕС-АНАЛИТИКА</t>
  </si>
  <si>
    <t>Назаров Д.М., Копнин А.А.</t>
  </si>
  <si>
    <t>978-5-16-019356-4</t>
  </si>
  <si>
    <t>00.02.03, 09.02.05, 09.02.07, 09.02.08</t>
  </si>
  <si>
    <t>745695.04.01</t>
  </si>
  <si>
    <t>Информационные технологии в проф. деят.: Уч. / М.М.Ниматулаев-М.:НИЦ ИНФРА-М,2023.-250 с.(ВО: Спец.)(П)</t>
  </si>
  <si>
    <t>ИНФОРМАЦИОННЫЕ ТЕХНОЛОГИИ В ПРОФЕССИОНАЛЬНОЙ ДЕЯТЕЛЬНОСТИ</t>
  </si>
  <si>
    <t>Ниматулаев М.М.</t>
  </si>
  <si>
    <t>978-5-16-016545-5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</si>
  <si>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38.05.00 «Экономика и менеджмент» (протокол № 8 от 22.06.2020)</t>
  </si>
  <si>
    <t>693970.04.01</t>
  </si>
  <si>
    <t>Информационные технологии в проф. деят.: Уч. / М.М.Ниматулаев-М.:НИЦ ИНФРА-М,2024.-250 с.(ВО)(П)</t>
  </si>
  <si>
    <t>978-5-16-015399-5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</si>
  <si>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5 от 26.03.2020)</t>
  </si>
  <si>
    <t>089200.19.01</t>
  </si>
  <si>
    <t>Информационные технологии в проф. деят.: Уч. пос. /Е.Л. Федотова - ФОРУМ:ИНФРА-М, 2025 - 367 с.(СПО) (п)</t>
  </si>
  <si>
    <t>978-5-8199-0752-8</t>
  </si>
  <si>
    <t>00.02.03, 09.02.01, 09.02.02, 09.02.03, 09.02.04, 09.02.05, 09.02.06, 09.02.07, 09.02.08, 09.02.09, 09.02.10</t>
  </si>
  <si>
    <t>731817.01.01</t>
  </si>
  <si>
    <t>Информационные технологии в проф. деят.: Уч.пос. / О.В.Исаченко - М.:НИЦ ИНФРА-М,2025. - 186 с.(СПО)(п)</t>
  </si>
  <si>
    <t>978-5-16-016505-9</t>
  </si>
  <si>
    <t>704239.04.01</t>
  </si>
  <si>
    <t>Информационные технологии в проф. деят.: Уч.пос. / С.В.Синаторов, - М.:НИЦ ИНФРА-М,2025. - 277 с.(СПО)(П)</t>
  </si>
  <si>
    <t>Синаторов С.В., Пикулик О.В., АВАНГАРД-БУКС О.</t>
  </si>
  <si>
    <t>978-5-16-016278-2</t>
  </si>
  <si>
    <t>09.02.01, 09.02.03, 09.02.06, 09.02.07, 44.02.01, 44.02.02, 44.02.03, 44.02.04, 44.02.05, 44.02.06, 54.02.03, 54.02.06, 54.02.07, 54.02.08, 09.02.10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</si>
  <si>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6 от 16.06.2021)</t>
  </si>
  <si>
    <t>Саратовский областной институт развития образования</t>
  </si>
  <si>
    <t>852230.01.01</t>
  </si>
  <si>
    <t>Информационные технологии в юриспруденции: Уч. / С.Е.Чаннов - М.:Юр. НОРМА, НИЦ ИНФРА-М,2025. - 436 с.(п)</t>
  </si>
  <si>
    <t>ИНФОРМАЦИОННЫЕ ТЕХНОЛОГИИ В ЮРИСПРУДЕНЦИИ</t>
  </si>
  <si>
    <t>978-5-00156-425-6</t>
  </si>
  <si>
    <t>40.03.01, 40.05.01, 40.05.02, 40.05.04</t>
  </si>
  <si>
    <t>849926.01.01</t>
  </si>
  <si>
    <t>Информационные технологии в юриспруденции: Уч. / С.Е.Чаннов - М.:Юр. НОРМА, НИЦ ИНФРА-М,2025. - 436 с.(СПО)(п)</t>
  </si>
  <si>
    <t>Чаннов С.Е., Архангельская Е.В., Блинкова О.В. и др.</t>
  </si>
  <si>
    <t>978-5-00156-415-7</t>
  </si>
  <si>
    <t>719228.03.01</t>
  </si>
  <si>
    <t>Информационные технологии и сис.: Уч.пос. / Е.Л.Федотова-М.:ИД ФОРУМ, НИЦ ИНФРА-М,2023.-352 с.(СПО)(П)</t>
  </si>
  <si>
    <t>ИНФОРМАЦИОННЫЕ ТЕХНОЛОГИИ И СИСТЕМЫ</t>
  </si>
  <si>
    <t>Федотова Е. Л.</t>
  </si>
  <si>
    <t>978-5-8199-0899-0</t>
  </si>
  <si>
    <t>09.02.01, 09.02.02, 09.02.03, 09.02.04, 09.02.05, 09.02.06, 09.02.07, 09.02.08, 09.02.09, 38.02.01, 38.02.02, 38.02.03, 38.02.06, 38.02.07, 38.02.08, 09.02.10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</si>
  <si>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11 от 10.06.2019)</t>
  </si>
  <si>
    <t>731824.01.01</t>
  </si>
  <si>
    <t>Информационные технологии и системы: Уч. / О.В.Исаченко - М.:НИЦ ИНФРА-М,2025. - 234 с.(СПО)(п)</t>
  </si>
  <si>
    <t>978-5-16-016507-3</t>
  </si>
  <si>
    <t>00.02.03</t>
  </si>
  <si>
    <t>099200.13.01</t>
  </si>
  <si>
    <t>Информационные технологии и системы: Уч.пос. / Е.Л.Федотова - М.:ИД Форум, НИЦ ИНФРА-М,2025. - 352 с.(ВО)(П)</t>
  </si>
  <si>
    <t>978-5-8199-0927-0</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</si>
  <si>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и другим экономическим специальностям</t>
  </si>
  <si>
    <t>089750.14.01</t>
  </si>
  <si>
    <t>Информационные технологии упр.: Уч. / Б.В.Черников - 2 изд.-М:ИД ФОРУМ,НИЦ ИНФРА-М,2024-368с(ВО)(П)</t>
  </si>
  <si>
    <t>ИНФОРМАЦИОННЫЕ ТЕХНОЛОГИИ УПРАВЛЕНИЯ, ИЗД.2</t>
  </si>
  <si>
    <t>Черников Б.В.</t>
  </si>
  <si>
    <t>978-5-8199-0782-5</t>
  </si>
  <si>
    <t>38.03.02, 38.03.04</t>
  </si>
  <si>
    <t>Рекомендовано УМО в области экономики, менеджмента, логистики и бизнес-информатики в качестве учебника для студентов высших учебных заведений, обучающихся по направлениям подготовки 38.03.02 «Менеджмент» и 38.03.04 «Государственное и муниципальное управление»</t>
  </si>
  <si>
    <t>427250.08.01</t>
  </si>
  <si>
    <t>Информационные технологии: разраб. информ. модел..: Уч.пос. /А.В.Затонский-РИОР:ИНФРА-М,2020-344с(о)</t>
  </si>
  <si>
    <t>ИНФОРМАЦИОННЫЕ ТЕХНОЛОГИИ: РАЗРАБОТКА ИНФОРМАЦИОННЫХ МОДЕЛЕЙ И СИСТЕМ</t>
  </si>
  <si>
    <t>Затонский А. В.</t>
  </si>
  <si>
    <t>978-5-369-01183-6</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</si>
  <si>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230100 «Информатика и вычислительная техника»</t>
  </si>
  <si>
    <t>Пермский национальный исследовательский политехнический университет, Березниковский ф-л</t>
  </si>
  <si>
    <t>719227.01.01</t>
  </si>
  <si>
    <t>Информационные технологии: разраб. информ. моделей и систем: Уч.пос./ А.В.Затонский-М.:ИЦ РИОР, НИЦ ИНФРА-М,2020-344с.(П)</t>
  </si>
  <si>
    <t>978-5-369-01823-1</t>
  </si>
  <si>
    <t>00.02.03, 09.01.03, 09.01.04, 09.01.05, 09.02.01, 09.02.02, 09.02.03, 09.02.04, 09.02.05, 09.02.06, 09.02.07, 09.02.08, 09.02.09, 09.02.10</t>
  </si>
  <si>
    <t>402450.04.01</t>
  </si>
  <si>
    <t>Ионизирующее излучение в гидросфере...: Уч.пос. / В.Н.Кулепанов-М:Форум:НИЦ Инфра-М,2019-88с(ВО)(о)</t>
  </si>
  <si>
    <t>ИОНИЗИРУЮЩЕЕ ИЗЛУЧЕНИЕ В ГИДРОСФЕРЕ. ВВЕДЕНИЕ В РАДИОБИОЛОГИЮ И РАДИОЭКОЛОГИЮ ГИДРОБИОНТОВ</t>
  </si>
  <si>
    <t>Кулепанов В. Н.</t>
  </si>
  <si>
    <t>978-5-91134-690-4</t>
  </si>
  <si>
    <t>05.03.06, 05.04.06, 20.03.01, 20.04.01, 21.03.01</t>
  </si>
  <si>
    <t>Морской государственный университет им. адм. Г.И. Невельского</t>
  </si>
  <si>
    <t>402450.08.01</t>
  </si>
  <si>
    <t>Ионизирующее излучение в гидросфере.: Уч.пос. / В.Н.Кулепанов, - 2 изд. - М.:Форум, НИЦ ИНФРА-М,2025. - 127 с.(ВО)(О)</t>
  </si>
  <si>
    <t>ИОНИЗИРУЮЩЕЕ ИЗЛУЧЕНИЕ В ГИДРОСФЕРЕ. ВВЕДЕНИЕ В РАДИОБИОЛОГИЮ И РАДИОЭКОЛОГИЮ ГИДРОБИОНТОВ, ИЗД.2</t>
  </si>
  <si>
    <t>Кулепанов В.Н.</t>
  </si>
  <si>
    <t>978-5-00091-673-5</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</si>
  <si>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 специальности «Техносферная безопасность» и «Нефтегазовое дело»</t>
  </si>
  <si>
    <t>442150.07.01</t>
  </si>
  <si>
    <t>Ипотечное кредитование жилищного стр-ва: Уч. пос./С.А.Баронин - М.: НИЦ ИНФРА-М, 2023-189с.(ВО) (П)</t>
  </si>
  <si>
    <t>ИПОТЕЧНОЕ КРЕДИТОВАНИЕ ЖИЛИЩНОГО СТРОИТЕЛЬСТВА</t>
  </si>
  <si>
    <t>Баронин С. А., Бочкарев В. В., Николаева Е. Л., Баронин С. А., Казейкин В. С.</t>
  </si>
  <si>
    <t>978-5-16-006823-7</t>
  </si>
  <si>
    <t>08.03.01, 38.03.01, 38.04.01, 38.04.08</t>
  </si>
  <si>
    <t>Рекомендовано в качестве учебного пособия для студентов высших учебных заведений, обучающихся по направлению 270800 «Строительство» (профиль "Экспертиза и управление недвижимостью»)</t>
  </si>
  <si>
    <t>404250.06.01</t>
  </si>
  <si>
    <t>Ипотечно-инвестиционный анализ: Уч.пос. / С.А.Баронин.-М.:НИЦ ИНФРА-М,2023.-176 с.(ВО: Бакалавр.)(п)</t>
  </si>
  <si>
    <t>ИПОТЕЧНО-ИНВЕСТИЦИОННЫЙ АНАЛИЗ</t>
  </si>
  <si>
    <t>Баронин С.А., Бочкарев В.В., Казейкин В.С. и др.</t>
  </si>
  <si>
    <t>978-5-16-006283-9</t>
  </si>
  <si>
    <t>07.03.04, 08.03.01, 08.04.01, 38.03.01, 38.03.02, 38.04.01, 38.04.08, 41.03.06</t>
  </si>
  <si>
    <t>Рекомендовано Учебно-методическим объединением вузов РФ по образованию в области строительства в качестве учебного пособия для студентов, обучающихся по специальности 270115 «Экспертиза и управление недвижимостью», направления 270100 «Строительство»</t>
  </si>
  <si>
    <t>756456.04.01</t>
  </si>
  <si>
    <t>Исключительное право в гражд. обороте: Уч.пос. / Е.А.Моргунова - М.:Юр.Норма, НИЦ ИНФРА-М,2025 - 496 с.(П)</t>
  </si>
  <si>
    <t>ИСКЛЮЧИТЕЛЬНОЕ ПРАВО В ГРАЖДАНСКОМ ОБОРОТЕ</t>
  </si>
  <si>
    <t>Моргунова Е.А., Фролова Н.М.</t>
  </si>
  <si>
    <t>978-5-00156-170-5</t>
  </si>
  <si>
    <t>841395.01.01</t>
  </si>
  <si>
    <t>Искусственный интеллект в образ..: Уч.практ.пос. / С.О.Крамаров. - М.:ИЦ РИОР, НИЦ ИНФРА-М,2025. - 99 с.(о)</t>
  </si>
  <si>
    <t>ИСКУССТВЕННЫЙ ИНТЕЛЛЕКТ В ОБРАЗОВАНИИ: ВОЗМОЖНОСТИ, МЕТОДЫ И РЕКОМЕНДАЦИИ ДЛЯ ПЕДАГОГОВ</t>
  </si>
  <si>
    <t>Крамаров С.О., Гребенюк Е.В., Даниелян С.С. и др.</t>
  </si>
  <si>
    <t>Наука и практика</t>
  </si>
  <si>
    <t>978-5-369-01968-9</t>
  </si>
  <si>
    <t>44.03.01, 44.04.01, 44.06.01</t>
  </si>
  <si>
    <t>Сургутский государственный университет</t>
  </si>
  <si>
    <t>700952.02.01</t>
  </si>
  <si>
    <t>Искусство гостеприимства: Уч.пос. / В.Н.Шитов - М.:НИЦ ИНФРА-М,2023 - 227 с.(СПО)(П)</t>
  </si>
  <si>
    <t>ИСКУССТВО ГОСТЕПРИИМСТВА</t>
  </si>
  <si>
    <t>978-5-16-015080-2</t>
  </si>
  <si>
    <t>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</si>
  <si>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5 от 19.05.2021)</t>
  </si>
  <si>
    <t>753865.04.01</t>
  </si>
  <si>
    <t>Искусство ландшафтной архитектуры и дизайна: Уч.пос. / Г.А.Потаев - М.:НИЦ ИНФРА-М,2025. - 429 с.(ВО)(п)</t>
  </si>
  <si>
    <t>ИСКУССТВО ЛАНДШАФТНОЙ АРХИТЕКТУРЫ И ДИЗАЙНА</t>
  </si>
  <si>
    <t>978-5-16-020193-1</t>
  </si>
  <si>
    <t>05.03.02, 05.04.02, 07.03.01, 07.03.02, 07.03.04, 07.04.01, 35.03.10, 35.04.03, 35.04.09, 54.05.05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</si>
  <si>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35.03.10 «Ландшафтная архитектура», 07.03.03 «Дизайн архитектурной среды», 54.03.01 «Дизайн» (квалификация (степень) «бакалавр») (протокол № 1 от 12.01.2022)</t>
  </si>
  <si>
    <t>682615.04.01</t>
  </si>
  <si>
    <t>Испанский яз.Интенсив. курс.Синтаксис: Уч.пос. / Л.Р.Маилян-М.:ИЦ РИОР, НИЦ ИНФРА-М,2024.-218 с.(ВО)(п)</t>
  </si>
  <si>
    <t>ИСПАНСКИЙ ЯЗЫК.ИНТЕНСИВНЫЙ КУРС.СИНТАКСИС</t>
  </si>
  <si>
    <t>Маилян Л.Р., Эмилия А.Р.</t>
  </si>
  <si>
    <t>978-5-369-01776-0</t>
  </si>
  <si>
    <t>НИИ строительной физики Российской Академии архитектуры и строительных наук</t>
  </si>
  <si>
    <t>640647.04.01</t>
  </si>
  <si>
    <t>Испанский язык: интенсивный курс: Уч.пос. / А.Р.Эмилия - М.:ИЦ РИОР, НИЦ ИНФРА-М,2025. - 241 с.(СПО)(П)</t>
  </si>
  <si>
    <t>ИСПАНСКИЙ ЯЗЫК: ИНТЕНСИВНЫЙ КУРС</t>
  </si>
  <si>
    <t>Родригес Алмейда Э., Маилян Л.Р.</t>
  </si>
  <si>
    <t>978-5-369-01646-6</t>
  </si>
  <si>
    <t>00.03.02, 00.05.02, 45.03.01, 45.03.02, 45.03.03, 45.03.04, 45.05.01</t>
  </si>
  <si>
    <t>678008.06.01</t>
  </si>
  <si>
    <t>Испытание материалов: Уч.пос. / С.Ю.Быков - М.:КУРС, НИЦ ИНФРА-М,2025 - 120 с.(П)</t>
  </si>
  <si>
    <t>ИСПЫТАНИЕ МАТЕРИАЛОВ</t>
  </si>
  <si>
    <t>Быков С.Ю., Схиртладзе А.Г.</t>
  </si>
  <si>
    <t>978-5-906923-84-4</t>
  </si>
  <si>
    <t>682937.02.01</t>
  </si>
  <si>
    <t>Испытания автомобильной электроники: Уч. / В.А.Набоких - М.:НИЦ ИНФРА-М,2020 - 296 с.-(СПО)(П)</t>
  </si>
  <si>
    <t>ИСПЫТАНИЯ АВТОМОБИЛЬНОЙ ЭЛЕКТРОНИКИ</t>
  </si>
  <si>
    <t>978-5-16-013942-5</t>
  </si>
  <si>
    <t>23.01.03, 23.01.17, 23.02.02, 23.02.03, 23.02.04, 23.02.05, 23.02.07</t>
  </si>
  <si>
    <t>636253.05.01</t>
  </si>
  <si>
    <t>Испытания автомобильной электроники: Уч. / В.А.Набоких - М.:НИЦ ИНФРА-М,2024. - 296 с.(ВО)(п)</t>
  </si>
  <si>
    <t>978-5-16-018432-6</t>
  </si>
  <si>
    <t>23.03.02, 23.03.03, 23.04.02, 23.05.01</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</si>
  <si>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23.03.02 «Наземные транспортно-технологические средства»</t>
  </si>
  <si>
    <t>682938.05.01</t>
  </si>
  <si>
    <t>Испытания автомобиля: Уч.пос. / В.А.Набоких - 2 изд. - М.:Форум, НИЦ ИНФРА-М,2025 - 224 с.(СПО)(П)</t>
  </si>
  <si>
    <t>ИСПЫТАНИЯ АВТОМОБИЛЯ, ИЗД.2</t>
  </si>
  <si>
    <t>978-5-00091-547-9</t>
  </si>
  <si>
    <t>23.01.03, 23.01.17, 23.02.02, 23.02.03, 23.02.07, 35.01.01</t>
  </si>
  <si>
    <t>475250.10.01</t>
  </si>
  <si>
    <t>Испытания автомобиля: Уч.пос. / В.А.Набоких - М.:Форум,НИЦ ИНФРА-М,2025 - 224 с.(ВО)(П)</t>
  </si>
  <si>
    <t>ИСПЫТАНИЯ АВТОМОБИЛЯ</t>
  </si>
  <si>
    <t>Набоких В. А.</t>
  </si>
  <si>
    <t>978-5-91134-957-8</t>
  </si>
  <si>
    <t>15.03.01, 15.04.01, 23.03.03</t>
  </si>
  <si>
    <t>Допущено учебно-методическим объединением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 550100 "Автомобиле- и тракторостроение"</t>
  </si>
  <si>
    <t>263800.05.01</t>
  </si>
  <si>
    <t>Исследование систем управления: Уч.пос. / В.В.Мыльник, - 2 изд.-М.:ИЦ РИОР, НИЦ ИНФРА-М,2024.-238 с.(ВО)(п)</t>
  </si>
  <si>
    <t>ИССЛЕДОВАНИЕ СИСТЕМ УПРАВЛЕНИЯ, ИЗД.2</t>
  </si>
  <si>
    <t>Мыльник В.В., Титаренко Б.П.</t>
  </si>
  <si>
    <t>978-5-369-01330-4</t>
  </si>
  <si>
    <t>27.03.03, 27.03.04, 27.04.03, 27.04.04, 38.03.02, 38.04.02</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</si>
  <si>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</si>
  <si>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084880.12.01</t>
  </si>
  <si>
    <t>Исследование соц.-эконом. и полит. процессов: Уч.пос. / Е.П.Тавокин - 3 изд. - М.:НИЦ ИНФРА-М,2025 - 342 с.(П)</t>
  </si>
  <si>
    <t>ИССЛЕДОВАНИЕ СОЦИАЛЬНО-ЭКОНОМИЧЕСКИХ И ПОЛИТИЧЕСКИХ ПРОЦЕССОВ, ИЗД.3</t>
  </si>
  <si>
    <t>Тавокин Е.П.</t>
  </si>
  <si>
    <t>978-5-16-016463-2</t>
  </si>
  <si>
    <t>Рекомендовано Советом УМО вузов России по образованию в области менеджмента в качестве учебного пособия по направлению «Государственное и муниципальное управление»</t>
  </si>
  <si>
    <t>084880.10.01</t>
  </si>
  <si>
    <t>Исследование социально-экономических и политических процессов: уч.пос. / Е.П.Тавокин, - 2-е изд., перер. и доп.-М.:НИЦ ИНФРА-М,2019.-216 с..-(Высшее о</t>
  </si>
  <si>
    <t>ИССЛЕДОВАНИЕ СОЦИАЛЬНО-ЭКОНОМИЧЕСКИХ И ПОЛИТИЧЕСКИХ ПРОЦЕССОВ, ИЗД.2</t>
  </si>
  <si>
    <t>978-5-16-004199-5</t>
  </si>
  <si>
    <t>Рекомендовано Советом УМО вузов России по образованию в области менеджмента в качестве учебного пособия по специальности "Государственное и муниципальное управление"</t>
  </si>
  <si>
    <t>774792.01.01</t>
  </si>
  <si>
    <t>Исследование эконометрич. моделей: Сб. лаб. работ:: Уч.пос. / В.П.Невежин-М.:НИЦ ИНФРА-М,2023.-344 с.(ВО)</t>
  </si>
  <si>
    <t>ИССЛЕДОВАНИЕ ЭКОНОМЕТРИЧЕСКИХ МОДЕЛЕЙ: СБОРНИК ЛАБОРАТОРНЫХ РАБОТ</t>
  </si>
  <si>
    <t>Невежин В.П., Невежин Ю.В.</t>
  </si>
  <si>
    <t>978-5-16-017828-8</t>
  </si>
  <si>
    <t>422300.10.01</t>
  </si>
  <si>
    <t>Исследования в менедж.: пос. для магистр.: Уч.пос. / Т.Л.Короткова - М.:КУРС, НИЦ ИНФРА-М,2025. - 256 с.(П)</t>
  </si>
  <si>
    <t>ИССЛЕДОВАНИЯ В МЕНЕДЖМЕНТЕ: ПОСОБИЕ ДЛЯ МАГИСТРОВ</t>
  </si>
  <si>
    <t>Короткова Т. Л.</t>
  </si>
  <si>
    <t>978-5-905554-25-4</t>
  </si>
  <si>
    <t>38.03.02, 38.03.05, 38.04.02, 38.04.05, 41.03.06</t>
  </si>
  <si>
    <t>Рекомендовано УМК института экономики, управления и права Национального исследовательского университета «МИЭТ» в качестве учебного пособия для магистров по направлению «Менеджмент»</t>
  </si>
  <si>
    <t>798368.01.01</t>
  </si>
  <si>
    <t>Исследования и разработки (R&amp;D): анализ данных...: Уч. / Е.В.Орлова - М.:НИЦ ИНФРА-М,2024. - 282 с.(ВО)(п)</t>
  </si>
  <si>
    <t>ИССЛЕДОВАНИЯ И РАЗРАБОТКИ (R&amp;D): АНАЛИЗ ДАННЫХ И ЭКОНОМИЧЕСКАЯ ЭФФЕКТИВНОСТЬ</t>
  </si>
  <si>
    <t>Орлова Е.В.</t>
  </si>
  <si>
    <t>978-5-16-018291-9</t>
  </si>
  <si>
    <t>27.04.06, 27.04.07, 38.03.01, 38.03.02, 38.04.01, 38.04.02, 38.04.09</t>
  </si>
  <si>
    <t>Уфимский Университет Науки и Технологий</t>
  </si>
  <si>
    <t>117950.04.01</t>
  </si>
  <si>
    <t>Исследовательские университеты США: Механизм интегр. науки и образ.: Моногр. /В.Б.Супян -Магистр, 2016 -399</t>
  </si>
  <si>
    <t>ИССЛЕДОВАТЕЛЬСКИЕ УНИВЕРСИТЕТЫ США: МЕХАНИЗМ ИНТЕГРАЦИИ НАУКИ И ОБРАЗОВАНИЯ</t>
  </si>
  <si>
    <t>Супян В. Б.</t>
  </si>
  <si>
    <t>978-5-9776-0120-7</t>
  </si>
  <si>
    <t>44.03.01, 44.03.02, 44.04.01, 44.04.02, 44.04.04</t>
  </si>
  <si>
    <t>Институт США и Канады Российской академии наук</t>
  </si>
  <si>
    <t>778278.04.01</t>
  </si>
  <si>
    <t>Истоки и основы философии: курс лекций / Ф.А.Тригубенко - М.:НИЦ ИНФРА-М,2025. - 144 с.(ВО.)(О)</t>
  </si>
  <si>
    <t>ИСТОКИ И ОСНОВЫ ФИЛОСОФИИ</t>
  </si>
  <si>
    <t>Тригубенко Ф.А.</t>
  </si>
  <si>
    <t>978-5-16-017691-8</t>
  </si>
  <si>
    <t>00.03.11</t>
  </si>
  <si>
    <t>761185.01.01</t>
  </si>
  <si>
    <t>Историография всеобщей истории: Уч.пос. / Н.С.Креленко - М.:НИЦ ИНФРА-М,2024. - 238 с.(ВО)(п)</t>
  </si>
  <si>
    <t>ИСТОРИОГРАФИЯ ВСЕОБЩЕЙ ИСТОРИИ</t>
  </si>
  <si>
    <t>Креленко Н.С.</t>
  </si>
  <si>
    <t>978-5-16-017797-7</t>
  </si>
  <si>
    <t>00.03.04, 40.04.01</t>
  </si>
  <si>
    <t>657953.08.01</t>
  </si>
  <si>
    <t>Историческая грамматика рус. яз.: Уч.пос. / А.Ф.Пантелеев - 2 изд. - М.:ИЦ РИОР,НИЦ ИНФРА-М,2025 - 216 с.(П)</t>
  </si>
  <si>
    <t>ИСТОРИЧЕСКАЯ ГРАММАТИКА РУССКОГО ЯЗЫКА, ИЗД.2</t>
  </si>
  <si>
    <t>Пантелеев А.Ф., Шейко Е.В.</t>
  </si>
  <si>
    <t>978-5-369-01760-9</t>
  </si>
  <si>
    <t>45.03.01, 45.03.02</t>
  </si>
  <si>
    <t>657953.01.01</t>
  </si>
  <si>
    <t>Историческая грамматика русского яз.: Уч.пос. / Е.В.Шейко-М.:ИЦ РИОР,НИЦ ИНФРА-М,2017-216 с.-(ВО)(П)</t>
  </si>
  <si>
    <t>ИСТОРИЧЕСКАЯ ГРАММАТИКА РУССКОГО ЯЗЫКА</t>
  </si>
  <si>
    <t>Шейко Е.В., Пантелеев А.Ф.</t>
  </si>
  <si>
    <t>978-5-369-01688-6</t>
  </si>
  <si>
    <t>748278.02.01</t>
  </si>
  <si>
    <t>Историческая политика: Уч. / В.Э.Багдасарян-М.:НИЦ ИНФРА-М,2024.-336 с..-(ВО:Магистр)(п)</t>
  </si>
  <si>
    <t>ИСТОРИЧЕСКАЯ ПОЛИТИКА</t>
  </si>
  <si>
    <t>Багдасарян В.Э., Бушуев В.В.</t>
  </si>
  <si>
    <t>978-5-16-016767-1</t>
  </si>
  <si>
    <t>41.04.04, 41.06.01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</si>
  <si>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41.04.04 «Политология» (квалификация (степень) «магистр») (протокол № 8 от 19.10.2022)</t>
  </si>
  <si>
    <t>334300.06.01</t>
  </si>
  <si>
    <t>Историческая социология: Уч.пос. / В.В.Афанасьев - М.:НИЦ ИНФРА-М,2025 -181с.(ВО:Бакалавр.)(о)</t>
  </si>
  <si>
    <t>ИСТОРИЧЕСКАЯ СОЦИОЛОГИЯ</t>
  </si>
  <si>
    <t>978-5-16-010652-6</t>
  </si>
  <si>
    <t>38.03.04, 39.03.01, 41.03.06, 42.03.01, 44.03.01, 44.03.05, 45.03.04, 51.03.01</t>
  </si>
  <si>
    <t>Допущено Учебно-методическим объединением по классическому университетскому образованию к изданию в качестве учебного пособия для студентов высших учебных заведений, обучающихся по направлению 39.03.01 (040200) «Социология»</t>
  </si>
  <si>
    <t>817794.02.01</t>
  </si>
  <si>
    <t>Историческое архивоведение России: Уч.пос. / Д.М.Володихин - М.:НИЦ ИНФРА-М,2025. - 155 с.(ВО)(п)</t>
  </si>
  <si>
    <t>ИСТОРИЧЕСКОЕ АРХИВОВЕДЕНИЕ РОССИИ</t>
  </si>
  <si>
    <t>Володихин Д.М.</t>
  </si>
  <si>
    <t>978-5-16-019864-4</t>
  </si>
  <si>
    <t>Московский государственный университет технологий и управления им. К. Г. Разумовского</t>
  </si>
  <si>
    <t>779603.01.01</t>
  </si>
  <si>
    <t>Историческое краеведение Крыма: Уч. / Л.О.Терновая - М.:НИЦ ИНФРА-М,2025. - 342 с.(ВО)(п)</t>
  </si>
  <si>
    <t>ИСТОРИЧЕСКОЕ КРАЕВЕДЕНИЕ КРЫМА</t>
  </si>
  <si>
    <t>978-5-16-019043-3</t>
  </si>
  <si>
    <t>44.04.01, 46.04.01</t>
  </si>
  <si>
    <t>263600.12.01</t>
  </si>
  <si>
    <t>Историческое краеведение: накопление...: Уч. пос. / А.М.Селиванов - М:Форум:НИЦ ИНФРА-М,2025 - 319 с. (п)</t>
  </si>
  <si>
    <t>ИСТОРИЧЕСКОЕ КРАЕВЕДЕНИЕ: НАКОПЛЕНИЕ И РАЗВИТИЕ КРАЕВЕДЧЕСКИХ ЗНАНИЙ В РОССИИ (XVIII - XX ВВ.), ИЗД.2</t>
  </si>
  <si>
    <t>Селиванов А.М.</t>
  </si>
  <si>
    <t>978-5-91134-850-2</t>
  </si>
  <si>
    <t>46.03.01, 46.04.01</t>
  </si>
  <si>
    <t>Ярославский государственный университет им. П.Г. Демидова</t>
  </si>
  <si>
    <t>645375.08.01</t>
  </si>
  <si>
    <t>История  научной психологии: Уч. / Г.М.Бреслав - М.:НИЦ ИНФРА-М,2025 - 539 с.(ВО: Специалитет)(П)</t>
  </si>
  <si>
    <t>ИСТОРИЯ  НАУЧНОЙ ПСИХОЛОГИИ</t>
  </si>
  <si>
    <t>Бреслав Г.М.</t>
  </si>
  <si>
    <t>978-5-16-012833-7</t>
  </si>
  <si>
    <t>37.03.01, 37.05.01, 37.05.02, 44.05.01</t>
  </si>
  <si>
    <t>Рекомендовано в качестве учебника для студентов высших учебных заведений, обучающихся по направлениям подготовки 37.03.01 «Психология» (квалификация (степень) «бакалавр»); 37.05.01 «Клиническая психология» (квалификация «клинический психолог»); 44.05.01 «Педагогика и психология девиантного поведения» (квалификация «социальный педагог»)</t>
  </si>
  <si>
    <t>465600.07.01</t>
  </si>
  <si>
    <t>История  рекламы: Уч.пос. / Ю.А.Шестаков - М.:ИЦ РИОР,НИЦ ИНФРА-М,2024 - 259 с.(ВО:Бакалавр.)(П)</t>
  </si>
  <si>
    <t>ИСТОРИЯ РЕКЛАМЫ</t>
  </si>
  <si>
    <t>Шестаков Ю.А.</t>
  </si>
  <si>
    <t>978-5-369-01496-7</t>
  </si>
  <si>
    <t>38.03.01, 38.03.02, 42.03.01</t>
  </si>
  <si>
    <t>Донской государственный технический университет, ф-л Институт сферы обслуживания и предпринимательства</t>
  </si>
  <si>
    <t>656364.02.01</t>
  </si>
  <si>
    <t>История архитектуры мировых конфессий: Уч. / С.В.Ильвицкая - М.:НИЦ ИНФРА-М,2024 - 206 с.(ВО)(п)</t>
  </si>
  <si>
    <t>ИСТОРИЯ АРХИТЕКТУРЫ МИРОВЫХ КОНФЕССИЙ</t>
  </si>
  <si>
    <t>Ильвицкая С.В.</t>
  </si>
  <si>
    <t>978-5-16-016963-7</t>
  </si>
  <si>
    <t>АКАДЕМУС-2019, Победитель</t>
  </si>
  <si>
    <t>058400.18.01</t>
  </si>
  <si>
    <t>История архитектуры: Уч.пос. / Н.В.Бирюкова - М.:НИЦ ИНФРА-М,2025 - 367 с.(СПО)(п)</t>
  </si>
  <si>
    <t>ИСТОРИЯ АРХИТЕКТУРЫ</t>
  </si>
  <si>
    <t>Бирюкова Н. В.</t>
  </si>
  <si>
    <t>978-5-16-006329-4</t>
  </si>
  <si>
    <t>07.02.01, 42.02.01, 43.02.02, 43.02.17, 52.02.03, 52.02.04, 52.02.05, 54.01.20, 54.02.01, 54.02.04, 54.02.06, 54.02.08</t>
  </si>
  <si>
    <t>Допущено Государственным комитетом Российской Федерации по строительству и жилищно-коммунальному комплексу в качестве учебного пособия для студентов средних специальных учебных заведений, обучающихся по специальности «Архитектура» (07.02.01)</t>
  </si>
  <si>
    <t>Пензенский колледж архитектуры и строительства</t>
  </si>
  <si>
    <t>206800.09.01</t>
  </si>
  <si>
    <t>История бухгалтерского учета: Уч.пос. / Ю.И.Сигидов - М.:НИЦ ИНФРА-М,2025 - 161 с.(ВО: Бакалавр.)(П)</t>
  </si>
  <si>
    <t>ИСТОРИЯ БУХГАЛТЕРСКОГО УЧЕТА</t>
  </si>
  <si>
    <t>Сигидов Ю. И., Рыбянцева М. С.</t>
  </si>
  <si>
    <t>978-5-16-005668-5</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</si>
  <si>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38.03.01 «Экономика» и специальности/профилю «Бухгалтерский учет, анализ и аудит»</t>
  </si>
  <si>
    <t>708021.03.01</t>
  </si>
  <si>
    <t>История гос. и местного упр. в России IX-XXI в.: Уч.пос. / Н.Д.Борщик-М.:НИЦ ИНФРА-М,2023.-218 с.(ВО)(П)</t>
  </si>
  <si>
    <t>ИСТОРИЯ ГОСУДАРСТВЕННОГО И МЕСТНОГО УПРАВЛЕНИЯ В РОССИИ IX-XXI ВЕКОВ</t>
  </si>
  <si>
    <t>Борщик Н.Д., Третьяков А.В.</t>
  </si>
  <si>
    <t>978-5-16-015562-3</t>
  </si>
  <si>
    <t>46.03.01, 46.03.02</t>
  </si>
  <si>
    <t>Рекомендовано к изданию Учебно-методическим советом Таврической академии (структурное подразделение) ФГАОУ ВО «Крымский федеральный университет им. В.И. Вернадского» (протокол № 4 от 19 ноября 2018 г.)¶Рекомендовано к изданию Учебно-методическим советом ФГАОУ ВО «Крымский федеральный университет им. В.И. Вернадского» (протокол № 1 от 11 января 2019 г.)</t>
  </si>
  <si>
    <t>646577.06.01</t>
  </si>
  <si>
    <t>История гос. и права заруб. стран...: Уч.пос. / Д.А.Пашенцев, - 2 изд. - М.:НИЦ ИНФРА-М,2025.-160 с(О)</t>
  </si>
  <si>
    <t>ИСТОРИЯ ГОСУДАРСТВА И ПРАВА ЗАРУБЕЖНЫХ СТРАН В СХЕМАХ, ИЗД.2</t>
  </si>
  <si>
    <t>Пашенцев Д.А.</t>
  </si>
  <si>
    <t>978-5-16-018464-7</t>
  </si>
  <si>
    <t>Рекомендовано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t>
  </si>
  <si>
    <t>236300.09.01</t>
  </si>
  <si>
    <t>История гос. и права заруб. стран: Уч./ Е.В.Сафронова - М.: РИОР: ИНФРА-М, 2025. - 502 с. (п)</t>
  </si>
  <si>
    <t>ИСТОРИЯ ГОСУДАРСТВА И ПРАВА ЗАРУБЕЖНЫХ СТРАН</t>
  </si>
  <si>
    <t>Сафронова Е. В., Бельчук О. А., Евтушенко С. Г., Сафронова Е. В.</t>
  </si>
  <si>
    <t>978-5-369-01278-9</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</si>
  <si>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030900 «Юриспруденция», квалификация (степень) «бакалавр»</t>
  </si>
  <si>
    <t>Белгородский государственный национальный исследовательский университет</t>
  </si>
  <si>
    <t>320600.13.01</t>
  </si>
  <si>
    <t>История гос. и права заруб. стран: Уч.пос. / А.Крашенинникова - М.:Норма:НИЦ ИНФРА-М,2025 - 320 с.(п)</t>
  </si>
  <si>
    <t>ИСТОРИЯ ГОСУДАРСТВА И ПРАВА ЗАРУБЕЖНЫХ СТРАН: ИЗБРАННЫЕ ПАМЯТНИКИ ПРАВА. ДРЕВНОСТЬ И СРЕДНЕВЕКОВЬЕ</t>
  </si>
  <si>
    <t>Крашенинникова Н.А.</t>
  </si>
  <si>
    <t>978-5-91768-558-8</t>
  </si>
  <si>
    <t>002157.36.01</t>
  </si>
  <si>
    <t>История гос. и права заруб.стран: Уч.: В 2 т.Т.1 / Н.А.Крашенинникова - 3 изд. - Юр.Норма,НИЦ ИНФРА-М,2025-720с(П)</t>
  </si>
  <si>
    <t>ИСТОРИЯ ГОСУДАРСТВА И ПРАВА ЗАРУБЕЖНЫХ СТРАН, Т.1, ИЗД.3</t>
  </si>
  <si>
    <t>Крашенинникова Н.А., Лысенко О.Л., Савельев В.А. и др.</t>
  </si>
  <si>
    <t>978-5-91768-354-6</t>
  </si>
  <si>
    <t>0304</t>
  </si>
  <si>
    <t>010987.34.01</t>
  </si>
  <si>
    <t>История гос. и права заруб.стран: Уч.: В 2 т.Т.2 / Отв.ред.Н.А. Крашенинникова - 3 изд. -  М:НОРМА:ИНФРА-М,2025-816с(п)</t>
  </si>
  <si>
    <t>ИСТОРИЯ ГОСУДАРСТВА И ПРАВА ЗАРУБЕЖНЫХ СТРАН: В 2 ТОМАХ, Т.2, ИЗД.3</t>
  </si>
  <si>
    <t>Крашенинникова Н.А., Гудошников Л.М., Жидков О.А. и др.</t>
  </si>
  <si>
    <t>978-5-91768-702-5</t>
  </si>
  <si>
    <t>0305</t>
  </si>
  <si>
    <t>040300.21.01</t>
  </si>
  <si>
    <t>История гос. и права зарубеж стран: Уч.-метод.пос. / Отв.ред.Н.А.Крашенинникова - М.:НОРМА,ИНФРА-М,2025 - 320 с.(о)</t>
  </si>
  <si>
    <t>Гринько М.А., Кофанов Л.Л., Лысенко О.Л. и др.</t>
  </si>
  <si>
    <t>978-5-91768-237-2</t>
  </si>
  <si>
    <t>Допущено Министерством образования РФ в качестве учебного пособия для студентов высших учебных заведений, обучающихся по специальности 021100 "Юриспруденция"</t>
  </si>
  <si>
    <t>0103</t>
  </si>
  <si>
    <t>177600.11.01</t>
  </si>
  <si>
    <t>История гос. и права зарубеж. стран: Уч. пос. / А.Ю.Саломатин - М.:ИЦ РИОР:НИЦ Инфра-М, 2025 - 344 с.(ВО) (п)</t>
  </si>
  <si>
    <t>978-5-369-00914-7</t>
  </si>
  <si>
    <t>Рекомендовано ФГБОУ ВПО "Московский педагогический государственный университет" в качестве учебного пособия для студентов вузов, обуч. по направлению 030900.62 - Юриспруденция</t>
  </si>
  <si>
    <t>107200.08.01</t>
  </si>
  <si>
    <t>История гос. и права зарубеж. стран: Уч.-методич. компл. / А.Ю.Саломатин-М.:НОРМА, НИЦ ИНФРА-М,2024.-496 с.(П)</t>
  </si>
  <si>
    <t>978-5-468-00289-6</t>
  </si>
  <si>
    <t>Учебно-методический комплекс</t>
  </si>
  <si>
    <t>687933.01.01</t>
  </si>
  <si>
    <t>История гос. и права зарубежных стран: Уч. / А.В.Скоробогатов. - М.:НИЦ ИНФРА-М,2025. - 536 с.(ВО)(п)</t>
  </si>
  <si>
    <t>Скоробогатов А.В., Носаненко Г.Ю., Краснов А.В.</t>
  </si>
  <si>
    <t>978-5-16-019366-3</t>
  </si>
  <si>
    <t>Казанский инновационный университет им. В.Г. Тимирясова</t>
  </si>
  <si>
    <t>744598.07.01</t>
  </si>
  <si>
    <t>История гос. и права России: Хрест.: В 3 т.Т.1 / А.С.Смыкалин - М.:НИЦ ИНФРА-М,2024-292 с.(ВО)(П)</t>
  </si>
  <si>
    <t>ИСТОРИЯ ГОСУДАРСТВА И ПРАВА РОССИИ, Т.1</t>
  </si>
  <si>
    <t>Смыкалин А.С., Баженова Т.М., Бодрова Э.Э. и др.</t>
  </si>
  <si>
    <t>978-5-16-016557-8</t>
  </si>
  <si>
    <t>Хрестоматия</t>
  </si>
  <si>
    <t>745627.08.01</t>
  </si>
  <si>
    <t>История гос. и права России: Хрест.: В 3 т.Т.2 / А.С.Смыкалин -  М.:НИЦ ИНФРА-М,2024 - 336 с.(ВО)(П)</t>
  </si>
  <si>
    <t>ИСТОРИЯ ГОСУДАРСТВА И ПРАВА РОССИИ, Т.2</t>
  </si>
  <si>
    <t>Смыкалин А.С., Баженова Т.М., Смыкалин А.С.</t>
  </si>
  <si>
    <t>978-5-16-016559-2</t>
  </si>
  <si>
    <t>745635.08.01</t>
  </si>
  <si>
    <t>История гос. и права России: Хрестоматия: В 3 т.Т.3 / А.С.Смыкалин - М.:НИЦ ИНФРА-М,2024-315 с.(ВО)(П)</t>
  </si>
  <si>
    <t>ИСТОРИЯ ГОСУДАРСТВА И ПРАВА РОССИИ, Т.3</t>
  </si>
  <si>
    <t>978-5-16-016560-8</t>
  </si>
  <si>
    <t>089570.09.01</t>
  </si>
  <si>
    <t>История гос. управ. в России: Уч.пос. / Ф.И.Биншток - М.:ИЦ РИОР, НИЦ ИНФРА-М,2024. - 125 с.(ВО)(о.к/ф)</t>
  </si>
  <si>
    <t>ИСТОРИЯ ГОСУДАРСТВЕННОГО УПРАВЛЕНИЯ В РОССИИ</t>
  </si>
  <si>
    <t>Биншток Ф. И.</t>
  </si>
  <si>
    <t>978-5-369-00256-8</t>
  </si>
  <si>
    <t>764935.03.01</t>
  </si>
  <si>
    <t>История гос. управления в России: Уч. / П.В.Галкин-М.:НИЦ ИНФРА-М,2023.-322 с.(ВО: Бакалавр.)(П)</t>
  </si>
  <si>
    <t>Галкин П.В.</t>
  </si>
  <si>
    <t>978-5-16-017204-0</t>
  </si>
  <si>
    <t>38.03.04, 40.04.01, 41.03.06</t>
  </si>
  <si>
    <t>Конкурс Ассоциации книгоиздателей России "Лучшие книги года - 2023"-2023, Победитель</t>
  </si>
  <si>
    <t>113001.31.01</t>
  </si>
  <si>
    <t>История государства и права России: Уч. / И.А.Исаев - 4 изд. - М.:Юр.Норма,НИЦ ИНФРА-М,2025 - 800 с.(П)</t>
  </si>
  <si>
    <t>ИСТОРИЯ ГОСУДАРСТВА И ПРАВА РОССИИ, ИЗД.4</t>
  </si>
  <si>
    <t>978-5-91768-378-2</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</si>
  <si>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</si>
  <si>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0412</t>
  </si>
  <si>
    <t>236800.09.01</t>
  </si>
  <si>
    <t>История государства и права России: Уч.: В 2 т.Т.1 / В.В.Захаров - М.: Норма: НИЦ ИНФРА-М, 2023 - 448 с. (п)</t>
  </si>
  <si>
    <t>Захаров В. В., Сырых В. М.</t>
  </si>
  <si>
    <t>978-5-91768-428-4</t>
  </si>
  <si>
    <t>Арбитражный суд Курской области</t>
  </si>
  <si>
    <t>236900.10.01</t>
  </si>
  <si>
    <t>История государства и права России: Уч.: В 2 т.Т.2 /В.М.Сырых - М.: Норма: НИЦ ИНФРА-М, 2024-400с(п)</t>
  </si>
  <si>
    <t>ИСТОРИЯ ГОСУДАРСТВА И ПРАВА РОССИИ</t>
  </si>
  <si>
    <t>Сырых В.М.</t>
  </si>
  <si>
    <t>978-5-91768-429-1</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</si>
  <si>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 ия »</t>
  </si>
  <si>
    <t>649239.09.01</t>
  </si>
  <si>
    <t>История государства и права России: Уч.пос. / Ю.А.Шестаков - М.:ИЦ РИОР, НИЦ ИНФРА-М,2025 - 310 с..(ВО)(П)</t>
  </si>
  <si>
    <t>978-5-369-01650-3</t>
  </si>
  <si>
    <t>738656.05.01</t>
  </si>
  <si>
    <t>История государства и права России: Ч.1:  Уч. / Исаев.И.А.- М.:Юр.Норма, НИЦ ИНФРА-М,2024.-464 с.(П)</t>
  </si>
  <si>
    <t>978-5-00156-076-0</t>
  </si>
  <si>
    <t>40.03.01, 40.05.01, 40.05.02, 40.05.03</t>
  </si>
  <si>
    <t>820966.01.01</t>
  </si>
  <si>
    <t>История Дальнего Востока Рос. в док. и матер.: Хрест. / О.П.Федирко. - М.:НИЦ ИНФРА-М,2025. - 287 с.(ВО)(п)</t>
  </si>
  <si>
    <t>ИСТОРИЯ ДАЛЬНЕГО ВОСТОКА РОССИИ В ДОКУМЕНТАХ И МАТЕРИАЛАХ</t>
  </si>
  <si>
    <t>Федирко О.П., Исаев А.А., Дударенок С.М. и др.</t>
  </si>
  <si>
    <t>978-5-16-019869-9</t>
  </si>
  <si>
    <t>00.03.04, 00.05.04, 46.03.01, 46.04.01</t>
  </si>
  <si>
    <t>Институт истории, археологии и этнографии народов Дальнего Востока ДВО РАН (Владивосток)</t>
  </si>
  <si>
    <t>820957.01.01</t>
  </si>
  <si>
    <t>История Дальнего Востока: Уч.пос. / О.П.Федирко и др. - М.:НИЦ ИНФРА-М,2024. - 485 с.(ВО)(п)</t>
  </si>
  <si>
    <t>ИСТОРИЯ ДАЛЬНЕГО ВОСТОКА</t>
  </si>
  <si>
    <t>Дударенок С.М., Федирко О.П., Крупянко А.А. и др.</t>
  </si>
  <si>
    <t>978-5-16-019798-2</t>
  </si>
  <si>
    <t>00.03.04, 00.05.04</t>
  </si>
  <si>
    <t>701951.06.01</t>
  </si>
  <si>
    <t>История западноевроп. философии: от Античности... Уч.пос. / А.Л.Панищев-М.:НИЦ ИНФРА-М,2023-175с(П)</t>
  </si>
  <si>
    <t>ИСТОРИЯ ЗАПАДНОЕВРОПЕЙСКОЙ ФИЛОСОФИИ: ОТ АНТИЧНОСТИ ДО РЕНЕССАНСА</t>
  </si>
  <si>
    <t>Высшее образование: Бакалавриат (СевГУ)</t>
  </si>
  <si>
    <t>978-5-16-015142-7</t>
  </si>
  <si>
    <t>44.03.05, 47.03.01, 47.03.02, 47.03.03, 47.04.01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</si>
  <si>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бакалавриата (протокол № 12 от 24.06.2019)</t>
  </si>
  <si>
    <t>441950.06.01</t>
  </si>
  <si>
    <t>История защиты информ. в заруб. странах: Уч.пос. / А.В.Бабаш - ИЦ РИОР,НИЦ ИНФРА-М,2021 - 284 с.(ВО)(П)</t>
  </si>
  <si>
    <t>ИСТОРИЯ ЗАЩИТЫ ИНФОРМАЦИИ В ЗАРУБЕЖНЫХ СТРАНАХ</t>
  </si>
  <si>
    <t>Бабаш А. В., Ларин Д. А.</t>
  </si>
  <si>
    <t>978-5-369-01844-6</t>
  </si>
  <si>
    <t>01.04.04, 09.03.01, 10.03.01, 10.04.01, 27.04.03</t>
  </si>
  <si>
    <t>687888.03.01</t>
  </si>
  <si>
    <t>История и методология науки гос. и муниц. управления: Уч. / А.И.Балашов-М.:НИЦ ИНФРА-М,2023.-323с(П)</t>
  </si>
  <si>
    <t>ИСТОРИЯ И МЕТОДОЛОГИЯ НАУКИ ГОСУДАРСТВЕННОГО И МУНИЦИПАЛЬНОГО УПРАВЛЕНИЯ</t>
  </si>
  <si>
    <t>Балашов А.И., Ушаков Е.В.</t>
  </si>
  <si>
    <t>978-5-16-014438-2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</si>
  <si>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38.04.04 «Государственное и муниципальное управление» (квалификация (степень) «магистр») (протокол № 9 от 13.05.2019)</t>
  </si>
  <si>
    <t>144750.10.01</t>
  </si>
  <si>
    <t>История и методология эконом.науки: Уч.пос. / Л.Е.Басовский, - 2 изд.,-М.:НИЦ ИНФРА-М,2024.-212с(ВО)</t>
  </si>
  <si>
    <t>ИСТОРИЯ И МЕТОДОЛОГИЯ ЭКОНОМИЧЕСКОЙ НАУКИ, ИЗД.2</t>
  </si>
  <si>
    <t>Басовский Л. Е.</t>
  </si>
  <si>
    <t>978-5-16-012619-7</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</si>
  <si>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38.04.01 «Экономика» (магистратура) и экономическим специальностям</t>
  </si>
  <si>
    <t>144750.05.01</t>
  </si>
  <si>
    <t>История и методология экономической науки: Уч.пос./Л.Е.Басовский-НИЦ ИНФРА-М,2017-231с(ВО:Бакалавр.)</t>
  </si>
  <si>
    <t>ИСТОРИЯ И МЕТОДОЛОГИЯ ЭКОНОМИЧЕСКОЙ НАУКИ</t>
  </si>
  <si>
    <t>978-5-16-004243-5</t>
  </si>
  <si>
    <t>Рекомендовано УМО по образованию в области экономики и экономической теории в качестве учебного пособия для студентов высших учебных заведений , обучающихся по направлению  080100 "Экономика" (магистратура) и другим экономическим специальностям</t>
  </si>
  <si>
    <t>454200.11.01</t>
  </si>
  <si>
    <t>История и методология юр.науки: универ.курс / В.В.Лазарев - М.:Юр.Норма,НИЦ ИНФРА-М,2023-496с.(п)</t>
  </si>
  <si>
    <t>ИСТОРИЯ И МЕТОДОЛОГИЯ ЮРИДИЧЕСКОЙ НАУКИ</t>
  </si>
  <si>
    <t>ЛазаревВ.В., Липень С.В., КорневА.В.</t>
  </si>
  <si>
    <t>978-5-91768-680-6</t>
  </si>
  <si>
    <t>189500.07.01</t>
  </si>
  <si>
    <t>История и методология юридической науки: Уч. / В.М.Сырых - М.:Юр.Норма,НИЦ ИНФРА-М,2018-464с.(П)</t>
  </si>
  <si>
    <t>Сырых В. М.</t>
  </si>
  <si>
    <t>978-5-91768-299-0</t>
  </si>
  <si>
    <t>844533.01.01</t>
  </si>
  <si>
    <t>История и методология юридической науки: Уч. / Г.С.Працко - М.:ИЦ РИОР, НИЦ ИНФРА-М,2025. - 425 с.(ВО)(п)</t>
  </si>
  <si>
    <t>Працко Г.С.</t>
  </si>
  <si>
    <t>978-5-369-01978-8</t>
  </si>
  <si>
    <t>649061.04.01</t>
  </si>
  <si>
    <t>История и методология юридической науки: Уч. / И.Л.Честнов - М.:НИЦ ИНФРА-М,2023.-283 с.(ВО)(П)</t>
  </si>
  <si>
    <t>Честнов И.Л.</t>
  </si>
  <si>
    <t>978-5-16-011995-3</t>
  </si>
  <si>
    <t>Рекомендовано в качестве учебника для студентов высших учебных заведений, обучающихся по направлению подготовки 40.04.01 «Юриспруденция» (квалификация (степень) «магистр»)</t>
  </si>
  <si>
    <t>Университет прокуратуры Российской Федерации, ф-л Санкт-Петербургский юридический институт</t>
  </si>
  <si>
    <t>768790.04.01</t>
  </si>
  <si>
    <t>История и методология юридической науки: Уч. / Л.П.Рассказов - М.:ИЦ РИОР, НИЦ ИНФРА-М,2025 - 583 с(ВО)(П)</t>
  </si>
  <si>
    <t>Рассказов Л.П.</t>
  </si>
  <si>
    <t>978-5-369-01888-0</t>
  </si>
  <si>
    <t>189500.17.01</t>
  </si>
  <si>
    <t>История и методология юридической науки: Уч./ В.М.Сырых - 2 изд. - М.:Юр.Норма,НИЦ ИНФРА-М,2024-512С(П)</t>
  </si>
  <si>
    <t>ИСТОРИЯ И МЕТОДОЛОГИЯ ЮРИДИЧЕСКОЙ НАУКИ, ИЗД.2</t>
  </si>
  <si>
    <t>978-5-91768-958-6</t>
  </si>
  <si>
    <t>678843.06.01</t>
  </si>
  <si>
    <t>История и методология юридической науки: Уч.пос. / И.А.Исаев-М.:Юр.Норма,НИЦ ИНФРА-М,2024-128с(П)</t>
  </si>
  <si>
    <t>Исаев И.А., Мележик И.Н., Филиппова Т.П.</t>
  </si>
  <si>
    <t>978-5-91768-895-4</t>
  </si>
  <si>
    <t>705850.01.01</t>
  </si>
  <si>
    <t>История и совр. сост. молодеж. политики за рубежом: Уч. / Е.Я.Орехова - М.:НИЦ ИНФРА-М,2022 - 394 с.(ВО)(П)</t>
  </si>
  <si>
    <t>ИСТОРИЯ И СОВРЕМЕННОЕ СОСТОЯНИЕ МОЛОДЕЖНОЙ ПОЛИТИКИ ЗА РУБЕЖОМ</t>
  </si>
  <si>
    <t>Орехова Е.Я., Полунина Л.Н.</t>
  </si>
  <si>
    <t>978-5-16-015304-9</t>
  </si>
  <si>
    <t>39.03.03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</si>
  <si>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39.03.03 «Организация работы с молодежью» (квалификация (степень) «бакалавр») (протокол № 8 от 20.10.2021)</t>
  </si>
  <si>
    <t>720673.05.01</t>
  </si>
  <si>
    <t>История и философия науки: Уч. / В.И.Пржиленский - М.:Юр.Норма, НИЦ ИНФРА-М,2024 - 296 с.(П)</t>
  </si>
  <si>
    <t>ИСТОРИЯ И ФИЛОСОФИЯ НАУКИ</t>
  </si>
  <si>
    <t>Пржиленский В.И.</t>
  </si>
  <si>
    <t>978-5-00156-030-2</t>
  </si>
  <si>
    <t>40.06.01</t>
  </si>
  <si>
    <t>636128.04.01</t>
  </si>
  <si>
    <t>История и философия науки: Уч.пос. / А.Б.Оришев и др. - М.:ИЦ РИОР,НИЦ ИНФРА-М,2025 - 206 с.(ВО)(О)</t>
  </si>
  <si>
    <t>Оришев А.Б., Ромашкин К.И., Мамедов А.А.</t>
  </si>
  <si>
    <t>978-5-369-01593-3</t>
  </si>
  <si>
    <t>47.00.00, 47.03.01</t>
  </si>
  <si>
    <t>Допущено в качестве учебного пособия для студентов, обучающихся по программам магистратуры, и аспирантов, обучающихся по гуманитарным и естественно-научным программам подготовки научно-педагогических кадров высшей квалификации</t>
  </si>
  <si>
    <t>778277.01.01</t>
  </si>
  <si>
    <t>История и философия науки: Уч.пос. / Б.И.Липский - М.:НИЦ ИНФРА-М,2024. - 301 с.(ВО: Аспирантура)(п)</t>
  </si>
  <si>
    <t>Липский Б.И.</t>
  </si>
  <si>
    <t>978-5-16-017952-0</t>
  </si>
  <si>
    <t>00.06.01, 01.04.01, 01.04.02, 03.04.02, 05.04.02, 36.04.02, 41.04.05, 44.04.01, 44.04.02, 44.04.04, 45.04.01, 45.04.02, 46.04.01, 46.04.02, 49.04.02, 49.04.03, 51.04.04</t>
  </si>
  <si>
    <t>418600.09.01</t>
  </si>
  <si>
    <t>История и философия науки: Уч.пос. / В.Э.Вечканов - М.:ИЦ РИОР, НИЦ ИНФРА-М,2025. - 256 с.(ВО: Бакалавр.)(п)</t>
  </si>
  <si>
    <t>Вечканов В. Э.</t>
  </si>
  <si>
    <t>978-5-369-01114-0</t>
  </si>
  <si>
    <t>00.03.16, 00.04.17</t>
  </si>
  <si>
    <t>Учебно-методический центр по гражданской обороне, чрезвычайным ситуациям и пожарной безопасности Сар</t>
  </si>
  <si>
    <t>272000.06.01</t>
  </si>
  <si>
    <t>История и философия науки: Уч.пос. / С.И.Платонова - М.:ИЦ РИОР, НИЦ ИНФРА-М,2024.-148 с.(ВО)(О)</t>
  </si>
  <si>
    <t>978-5-369-01547-6</t>
  </si>
  <si>
    <t>47.04.01</t>
  </si>
  <si>
    <t>094380.11.01</t>
  </si>
  <si>
    <t>История и философия науки: Уч.пос. / С.К.Булдаков - М.:ИЦ РИОР, НИЦ ИНФРА-М,2024 - 141с.(О)</t>
  </si>
  <si>
    <t>Булдаков С. К.</t>
  </si>
  <si>
    <t>978-5-369-00329-9</t>
  </si>
  <si>
    <t>01.06.01, 02.06.01, 03.06.01, 04.06.01, 05.06.01, 06.06.01, 07.06.01, 08.06.01, 09.06.01, 10.06.01, 11.06.01, 12.06.01, 13.06.01, 14.06.01, 15.06.01, 16.06.01, 17.06.01, 20.06.01, 21.06.01, 21.06.02, 22.06.01, 23.06.01, 24.06.01, 25.06.01, 26.06.01, 27.06.01, 28.06.01, 29.06.01, 30.06.01, 31.06.01, 33.06.01, 35.06.01, 35.06.02, 35.06.03, 35.06.04, 36.06.01, 37.06.01, 38.06.01, 39.06.01, 40.06.01, 42.06.01, 44.06.01, 46.06.01, 47.06.01, 48.06.01, 49.06.01, 50.06.01, 51.06.01</t>
  </si>
  <si>
    <t>419100.10.01</t>
  </si>
  <si>
    <t>История и философия науки: Уч.пос. / Э.В.Островский - 2 изд. -М.:Вуз.уч., НИЦ ИНФРА-М,2024-323 с.(П)</t>
  </si>
  <si>
    <t>ИСТОРИЯ И ФИЛОСОФИЯ НАУКИ, ИЗД.2</t>
  </si>
  <si>
    <t>Островский Э. В.</t>
  </si>
  <si>
    <t>Высшее образование: Магистратура (ФУ)</t>
  </si>
  <si>
    <t>978-5-9558-0534-4</t>
  </si>
  <si>
    <t>46.03.01, 46.04.01, 46.04.02, 47.03.01, 47.04.01</t>
  </si>
  <si>
    <t>095620.08.01</t>
  </si>
  <si>
    <t>История и философия экономич. науки: Пос. к канд.экзамену:/ С.А.Бартенев-М.:Магистр, НИЦ ИНФРА-М,2024.-271 с.</t>
  </si>
  <si>
    <t>ИСТОРИЯ И ФИЛОСОФИЯ ЭКОНОМИЧЕСКОЙ НАУКИ: ПОСОБИЕ К КАНДИДАТСКОМУ ЭКЗАМЕНУ</t>
  </si>
  <si>
    <t>Бартенев С.А.</t>
  </si>
  <si>
    <t>978-5-9776-0068-2</t>
  </si>
  <si>
    <t>38.04.01, 38.06.01, 38.07.02</t>
  </si>
  <si>
    <t>714775.08.01</t>
  </si>
  <si>
    <t>История интерьера и мебели: Уч.пос. / А.А.Барташевич - М.:НИЦ ИНФРА-М,2024 - 231 с.(ВО)(п)</t>
  </si>
  <si>
    <t>ИСТОРИЯ ИНТЕРЬЕРА И МЕБЕЛИ</t>
  </si>
  <si>
    <t>Барташевич А.А.</t>
  </si>
  <si>
    <t>978-5-16-018590-3</t>
  </si>
  <si>
    <t>35.03.02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</si>
  <si>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деревоперерабатывающих производств» (квалификация (степень) «бакалавр») (протокол № 18 от 25.11.2019)</t>
  </si>
  <si>
    <t>Белорусский государственный технологический университет</t>
  </si>
  <si>
    <t>741933.03.01</t>
  </si>
  <si>
    <t>История интерьера и мебели: Уч.пос. / А.А.Барташевич - М.:НИЦ ИНФРА-М,2024 - 231 с.-(СПО)(П)</t>
  </si>
  <si>
    <t>978-5-16-016803-6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</si>
  <si>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54.02.01 «Дизайн (по отраслям)» (протокол № 10 от 12.10.2020)</t>
  </si>
  <si>
    <t>741149.01.01</t>
  </si>
  <si>
    <t>История искусств: уч.пос. / А.У.Самогаева-М.:НИЦ ИНФРА-М,2024.-217 с..-(СПО)(п)</t>
  </si>
  <si>
    <t>ИСТОРИЯ ИСКУССТВ</t>
  </si>
  <si>
    <t>Самогаева А.У.</t>
  </si>
  <si>
    <t>978-5-16-016566-0</t>
  </si>
  <si>
    <t>29.01.04, 29.01.09, 42.02.01, 43.02.02, 51.02.03, 52.02.03, 52.02.04, 52.02.05, 54.01.02, 54.01.05, 54.01.06, 54.01.13, 54.02.01, 54.02.02, 54.02.04, 54.02.06, 54.02.07, 54.02.08, 55.02.03</t>
  </si>
  <si>
    <t>845615.02.01</t>
  </si>
  <si>
    <t>История культуры: от Возрождения до модерна / Н.С.Креленко - М.:НИЦ ИНФРА-М,2025. - 320 с. [16+](п)</t>
  </si>
  <si>
    <t>ИСТОРИЯ КУЛЬТУРЫ: ОТ ВОЗРОЖДЕНИЯ ДО МОДЕРНА</t>
  </si>
  <si>
    <t>978-5-16-020481-9</t>
  </si>
  <si>
    <t>51.03.01, 51.03.04, 52.02.04, 54.01.20</t>
  </si>
  <si>
    <t>425650.08.01</t>
  </si>
  <si>
    <t>История культуры: от Возрождения до модерна: Уч. пос. / Н.С.Креленко-М.:НИЦ ИНФРА-М,2024-320с(ВО)(п)</t>
  </si>
  <si>
    <t>Креленко Н. С.</t>
  </si>
  <si>
    <t>978-5-16-006591-5</t>
  </si>
  <si>
    <t>51.03.01, 51.04.01</t>
  </si>
  <si>
    <t>682939.05.01</t>
  </si>
  <si>
    <t>История культуры: от Возрождения до модерна: Уч.пос. / Н.С.Креленко-М.:НИЦ ИНФРА-М,2024.-320 с.(СПО)(П)</t>
  </si>
  <si>
    <t>978-5-16-013944-9</t>
  </si>
  <si>
    <t>29.01.04, 29.01.09, 42.02.01, 43.02.02, 43.02.17, 51.02.03, 52.02.01, 52.02.02, 52.02.03, 52.02.04, 52.02.05, 53.02.01, 53.02.02, 53.02.03, 53.02.04, 53.02.05, 53.02.06, 53.02.07, 53.02.08, 53.02.09, 54.01.01, 54.01.02, 54.01.05, 54.01.06, 54.01.08, 54.01.09, 54.01.12, 54.01.13, 54.01.14, 54.01.15, 54.01.16, 54.01.17, 54.01.18, 54.01.19, 54.01.20, 54.02.01, 54.02.02, 54.02.03, 54.02.04, 54.02.05, 54.02.06, 54.02.07, 54.02.08, 55.02.03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</si>
  <si>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гуманитарным специальностям</t>
  </si>
  <si>
    <t>640121.04.01</t>
  </si>
  <si>
    <t>История лесного дела: Уч. / А.С.Тихонов - М.:НИЦ ИНФРА-М,2023 - 357 с.(ВО: Магистратура)(П)</t>
  </si>
  <si>
    <t>ИСТОРИЯ ЛЕСНОГО ДЕЛА</t>
  </si>
  <si>
    <t>Тихонов А.С.</t>
  </si>
  <si>
    <t>978-5-16-012280-9</t>
  </si>
  <si>
    <t>35.03.01, 35.04.01</t>
  </si>
  <si>
    <t>Рекомендовано в качестве учебника для студентов высших учебных заведений, обучающихся по направлению подготовки 35.04.01 «Лесное дело» (квалификация (степень) «магистр»)</t>
  </si>
  <si>
    <t>Брянский государственный инженерно-технологический университет</t>
  </si>
  <si>
    <t>318500.05.01</t>
  </si>
  <si>
    <t>История межд. отношений и внеш. политики России в Новое..: Уч.пос. / М.Ю.Золотухин - М.:НИЦ ИНФРА-М,2022-272с(П)</t>
  </si>
  <si>
    <t>ИСТОРИЯ МЕЖДУНАРОДНЫХ ОТНОШЕНИЙ И ВНЕШНЕЙ ПОЛИТИКИ РОССИИ В НОВОЕ ВРЕМЯ (XIX ВЕК)</t>
  </si>
  <si>
    <t>М.Ю.Золотухин, В.А.Георгиев, Н.Г.Георгиева</t>
  </si>
  <si>
    <t>978-5-16-010410-2</t>
  </si>
  <si>
    <t>44.03.01, 46.03.01</t>
  </si>
  <si>
    <t>420750.05.01</t>
  </si>
  <si>
    <t>История международных отношений и внешняя: Уч.пос. / М.Ю.Золотухин - М.:НИЦ ИНФРА-М,2022 - 351 с.(ВО)(П)</t>
  </si>
  <si>
    <t>ИСТОРИЯ МЕЖДУНАРОДНЫХ ОТНОШЕНИЙ И ВНЕШНЯЯ ПОЛИТИКА РОССИИ В НОВОЕ ВРЕМЯ. XVI - НАЧАЛО XIX ВЕКА</t>
  </si>
  <si>
    <t>978-5-16-006552-6</t>
  </si>
  <si>
    <t>41.03.01, 41.03.04, 41.03.05, 41.03.06, 41.04.05, 46.03.01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</si>
  <si>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«Педагогическое образование»</t>
  </si>
  <si>
    <t>126200.15.01</t>
  </si>
  <si>
    <t>История менеджмента: Уч.пос. / Под ред. Короткова Э.М. - М.:НИЦ ИНФРА-М,2025 - 240 с.(ВО)(П)</t>
  </si>
  <si>
    <t>ИСТОРИЯ МЕНЕДЖМЕНТА</t>
  </si>
  <si>
    <t>Коротков Э.М., Беляев А.А., Трененков Е.М. и др.</t>
  </si>
  <si>
    <t>978-5-16-003803-2</t>
  </si>
  <si>
    <t>38.03.02, 38.03.04, 38.04.02, 38.04.04, 41.03.06, 42.03.01, 44.03.01</t>
  </si>
  <si>
    <t>Допущено Советом Учебно-методического объединения вузов России по образованию в области менеджмента в качестве учебного пособия по направлению подготовки 38.03.02 «Менеджмент»</t>
  </si>
  <si>
    <t>394900.08.01</t>
  </si>
  <si>
    <t>История мировых цивилизаций: Уч. пос. / Г.В.Драч - 8 изд. - М.:ИЦ РИОР, НИЦ ИНФРА-М,2025 - 320 с(ВО)</t>
  </si>
  <si>
    <t>ИСТОРИЯ МИРОВЫХ ЦИВИЛИЗАЦИЙ, ИЗД.8</t>
  </si>
  <si>
    <t>Драч Г.В.</t>
  </si>
  <si>
    <t>978-5-369-01459-2</t>
  </si>
  <si>
    <t>44.03.01, 44.03.05, 46.03.01, 46.04.01, 47.03.01, 47.03.03, 50.03.01, 51.03.04</t>
  </si>
  <si>
    <t>Рекомендовано научно-методическим советом по культурологии Министерства образования и науки РФ в качестве учебного пособия для студентов высших учебных заведений</t>
  </si>
  <si>
    <t>0816</t>
  </si>
  <si>
    <t>682940.02.01</t>
  </si>
  <si>
    <t>История мировых цивилизаций: Уч.пос./ Под ред. Драч Г.В.-М.:ИЦ РИОР, НИЦ ИНФРА-М,2023-320 с.(СПО)(П)</t>
  </si>
  <si>
    <t>ИСТОРИЯ МИРОВЫХ ЦИВИЛИЗАЦИЙ</t>
  </si>
  <si>
    <t>978-5-369-01769-2</t>
  </si>
  <si>
    <t>51.00.00, 00.01.03, 00.02.04, 51.02.02</t>
  </si>
  <si>
    <t>421900.08.01</t>
  </si>
  <si>
    <t>История налогообложения: Уч. пос. / Н.И. Малис - М.: Магистр:  НИЦ Инфра-М, 2024-248с. (п)</t>
  </si>
  <si>
    <t>ИСТОРИЯ НАЛОГООБЛОЖЕНИЯ</t>
  </si>
  <si>
    <t>Малис Н. И., Анисимов С. А., Данилькевич М. А., Малис Н. И.</t>
  </si>
  <si>
    <t>978-5-9776-0256-3</t>
  </si>
  <si>
    <t>786390.01.01</t>
  </si>
  <si>
    <t>История нем. лит. рубежа XX-XXI в. Проза и...: Уч.пос. / Д.А.Чугунов-М.:НИЦ ИНФРА-М,2024.-263 с.(ВО)(п)</t>
  </si>
  <si>
    <t>ИСТОРИЯ НЕМЕЦКОЙ ЛИТЕРАТУРЫ РУБЕЖА XX-XXI ВЕКОВ. ПРОЗА И ПОЭЗИЯ</t>
  </si>
  <si>
    <t>Чугунов Д.А.</t>
  </si>
  <si>
    <t>978-5-16-017940-7</t>
  </si>
  <si>
    <t>45.03.01</t>
  </si>
  <si>
    <t>708850.04.01</t>
  </si>
  <si>
    <t>История общественно-полит. мысли России: Уч.пос. / В.Э.Багдасарян - М.:НИЦ ИНФРА-М,2024-247с(ВО)(п)</t>
  </si>
  <si>
    <t>ИСТОРИЯ ОБЩЕСТВЕННО-ПОЛИТИЧЕСКОЙ МЫСЛИ РОССИИ</t>
  </si>
  <si>
    <t>Багдасарян В.Э.</t>
  </si>
  <si>
    <t>978-5-16-018947-5</t>
  </si>
  <si>
    <t>41.03.04, 41.03.06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</si>
  <si>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41.03.04 «Политология», 46.03.01 «История», 44.03.01 «Педагогическое образование» (квалификация (степень) «бакалавр») (протокол № 13 от 16.09.2019)</t>
  </si>
  <si>
    <t>473100.10.01</t>
  </si>
  <si>
    <t>История отеч. гос. и права: Уч.пос.: Ч.1 / Давидян Г.М. - М.:Юр.Норма,НИЦ ИНФРА-М,2025 - 640 с.(п)</t>
  </si>
  <si>
    <t>ИСТОРИЯ ОТЕЧЕСТВЕННОГО ГОСУДАРСТВА И ПРАВА. ЧАСТЬ 1</t>
  </si>
  <si>
    <t>Давидян Г.М., Куприянова О.И., Полянский П.Л. и др.</t>
  </si>
  <si>
    <t>978-5-91768-699-8</t>
  </si>
  <si>
    <t>Рекомендовано Учебно-методическим объединением по юридическому образованию вузов Российской Федерации в качестве учебного пособия для студентов образовательных организаций, обучающихся по направлению подготовки «Юриспруденция», квалификация (степень) «бакалавр»</t>
  </si>
  <si>
    <t>653032.11.01</t>
  </si>
  <si>
    <t>История отеч. гос. и права: Уч.пос.: Ч.2 / Давидян Г.М. - М.:Юр.Норма,НИЦ ИНФРА-М,2025 - 736 с.(П)</t>
  </si>
  <si>
    <t>ИСТОРИЯ ОТЕЧЕСТВЕННОГО ГОСУДАРСТВА И ПРАВА. ЧАСТЬ 2</t>
  </si>
  <si>
    <t>Давидян Г.М., Полянский П.Л., Куприянова О.И. и др.</t>
  </si>
  <si>
    <t>978-5-91768-824-4</t>
  </si>
  <si>
    <t>645331.03.01</t>
  </si>
  <si>
    <t>История отечественного гос. и права в схемах: Уч.пос. / Д.А.Пашенцев-М.:НИЦ ИНФРА-М,2024-143с(СПО)(о)</t>
  </si>
  <si>
    <t>ИСТОРИЯ ОТЕЧЕСТВЕННОГО ГОСУДАРСТВА И ПРАВА В СХЕМАХ</t>
  </si>
  <si>
    <t>978-5-16-012434-6</t>
  </si>
  <si>
    <t>40.02.04</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</si>
  <si>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40.00.00 «Юриспруденция»</t>
  </si>
  <si>
    <t>481200.08.01</t>
  </si>
  <si>
    <t>История отечественного гос. и права: Уч.пос. / Д.А.Пашенцев, - 2 изд.-М.:НИЦ ИНФРА-М,2024.-429 с..-(ВО)(п)</t>
  </si>
  <si>
    <t>ИСТОРИЯ ОТЕЧЕСТВЕННОГО ГОСУДАРСТВА И ПРАВА, ИЗД.2</t>
  </si>
  <si>
    <t>Пашенцев Д.А., Чернявский А.Г.</t>
  </si>
  <si>
    <t>978-5-16-019201-7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</si>
  <si>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40.03.00 «Юриспруденция» (квалификация (степень) «бакалавр») (протокол № 9 от 13.04.2019)</t>
  </si>
  <si>
    <t>682941.01.01</t>
  </si>
  <si>
    <t>История отечественного гос. и права: Уч.пос. / Д.А.Пашенцев-М.:НИЦ ИНФРА-М,2021.-429 с.(СПО)(П)</t>
  </si>
  <si>
    <t>ИСТОРИЯ ОТЕЧЕСТВЕННОГО ГОСУДАРСТВА И ПРАВА</t>
  </si>
  <si>
    <t>978-5-16-013945-6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</si>
  <si>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8 от 22.06.2020)</t>
  </si>
  <si>
    <t>481200.03.01</t>
  </si>
  <si>
    <t>История отечественного государства и права: Уч.пос. / Д.А.Пашенцев-М.:НИЦ ИНФРА-М,2019.-428с.(ВО)(П)</t>
  </si>
  <si>
    <t>978-5-16-011701-0</t>
  </si>
  <si>
    <t>Рекомендовано в качестве учебного пособия для студентов высших учебнь/х заведений, обучающихся по направлению подготовки 40.03.01 «Юриспруденция» (квалификация (степень) «бакалавр»)</t>
  </si>
  <si>
    <t>435950.12.01</t>
  </si>
  <si>
    <t>История педагогики в лицах: Уч.пос. / В.А.Капранова - М.:НИЦ ИНФРА-М ,2025 -176 с.(ВО)(п)</t>
  </si>
  <si>
    <t>ИСТОРИЯ ПЕДАГОГИКИ В ЛИЦАХ</t>
  </si>
  <si>
    <t>Капранова В. А.</t>
  </si>
  <si>
    <t>978-5-16-019068-6</t>
  </si>
  <si>
    <t>44.03.01, 44.03.02, 44.03.03, 44.03.04, 44.03.05, 44.04.01, 44.04.02, 44.04.03, 44.04.04, 44.05.01</t>
  </si>
  <si>
    <t>Рекомендовано в качестве учебного пособия для студентов высших учебных заведений, обучающихся по УГС 44.00.00 «Образование и педагогические науки» (квалификация (степень) «бакалавр»)</t>
  </si>
  <si>
    <t>Белорусский государственный педагогический университет им. М. Танка</t>
  </si>
  <si>
    <t>737773.01.01</t>
  </si>
  <si>
    <t>История педагогики и образования в России: Уч.пос. / А.М.Аллагулов-М.:НИЦ ИНФРА-М,2024.-205 с.(ВО)(п)</t>
  </si>
  <si>
    <t>ИСТОРИЯ ПЕДАГОГИКИ И ОБРАЗОВАНИЯ В РОССИИ</t>
  </si>
  <si>
    <t>Аллагулов А.М., Рындак В.Г., Торшина А.В.</t>
  </si>
  <si>
    <t>978-5-16-017370-2</t>
  </si>
  <si>
    <t>Оренбургский государственный педагогический университет</t>
  </si>
  <si>
    <t>207200.07.01</t>
  </si>
  <si>
    <t>История полит. и прав. учений России: Уч. / И.А.Исаев. - 3 изд. - М.:Норма: НИЦ ИНФРА-М, 2024 - 432 с.(CD) (п)</t>
  </si>
  <si>
    <t>ИСТОРИЯ ПОЛИТИЧЕСКИХ И ПРАВОВЫХ УЧЕНИЙ РОССИИ, ИЗД.3</t>
  </si>
  <si>
    <t>Исаев И. А., Золотухина Н. М.</t>
  </si>
  <si>
    <t>978-5-91768-382-9</t>
  </si>
  <si>
    <t>40.03.01, 40.04.01, 40.05.01, 40.05.02, 41.03.04, 41.03.05, 41.03.06, 41.04.04, 41.04.05, 44.03.05</t>
  </si>
  <si>
    <t>025500.17.01</t>
  </si>
  <si>
    <t>История полит. и прав. учений: Краткий учеб. курс / Под  ред. В.С. Нерсесянца. - М.:НОРМА, 2025 - 352 с.(о)</t>
  </si>
  <si>
    <t>ИСТОРИЯ ПОЛИТИЧЕСКИХ И ПРАВОВЫХ УЧЕНИЙ</t>
  </si>
  <si>
    <t>Нерсесянц В. С.</t>
  </si>
  <si>
    <t>978-5-89123-442-0</t>
  </si>
  <si>
    <t>304700.06.01</t>
  </si>
  <si>
    <t>История полит. и правовых учений Др.мира, Средв, Возрож. и Нов.вр.: Уч.пос./О.А.Сухорукова-М.:ИД ФОРУМ,НИЦ ИНФРА-М,2024-128с(О)</t>
  </si>
  <si>
    <t>ИСТОРИЯ ПОЛИТИЧЕСКИХ И ПРАВОВЫХ УЧЕНИЙ ДРЕВНЕГО МИРА, СРЕДНЕВЕКОВЬЯ, ВОЗРОЖДЕНИЯ И НОВОГО ВРЕМЕНИ</t>
  </si>
  <si>
    <t>Сухорукова О.А.</t>
  </si>
  <si>
    <t>978-5-8199-0610-1</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</si>
  <si>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высших учебных заведений (бакалавриат)</t>
  </si>
  <si>
    <t>Московский государственный психолого-педагогический университет</t>
  </si>
  <si>
    <t>073000.06.01</t>
  </si>
  <si>
    <t>История полит. и правовых учений: Уч. пос. / С.А. Дробышевский. - 2 изд. - М.: НОРМА, 2017.-592с(п)</t>
  </si>
  <si>
    <t>ИСТОРИЯ ПОЛИТИЧЕСКИХ И ПРАВОВЫХ УЧЕНИЙ: ОСНОВНЫЕ КЛАССИЧЕСКИЕ ИДЕИ, ИЗД.2</t>
  </si>
  <si>
    <t>Дробышевский С. А.</t>
  </si>
  <si>
    <t>978-5-468-00095-3</t>
  </si>
  <si>
    <t>682942.03.01</t>
  </si>
  <si>
    <t>История полит. и правовых учений: Уч.пос. / О.А.Сухорукова-М.:ИД Форум, НИЦ ИНФРА-М,2023-128 с.(О)</t>
  </si>
  <si>
    <t>978-5-8199-0854-9</t>
  </si>
  <si>
    <t>073000.09.01</t>
  </si>
  <si>
    <t>История политических и правов. учений..: Уч.пос. / С.А.Дробышевский - 3 изд. - М.:НОРМА,2022-592с. (п)</t>
  </si>
  <si>
    <t>ИСТОРИЯ ПОЛИТИЧЕСКИХ И ПРАВОВЫХ УЧЕНИЙ: ОСНОВНЫЕ КЛАССИЧЕСКИЕ ИДЕИ, ИЗД.3</t>
  </si>
  <si>
    <t>Дробышевский С.А.</t>
  </si>
  <si>
    <t>978-5-91768-831-2</t>
  </si>
  <si>
    <t>073000.11.01</t>
  </si>
  <si>
    <t>История политических и правов. учений..: Уч.пос. / С.А.Дробышевский - 4 изд. - М.:НОРМА,2024-792с. (п)</t>
  </si>
  <si>
    <t>ИСТОРИЯ ПОЛИТИЧЕСКИХ И ПРАВОВЫХ УЧЕНИЙ: ОСНОВНЫЕ КЛАССИЧЕСКИЕ ИДЕИ, ИЗД.4</t>
  </si>
  <si>
    <t>978-5-00156-365-5</t>
  </si>
  <si>
    <t>646041.02.01</t>
  </si>
  <si>
    <t>История политических и правовых учений: Уч. / А.А.Акмалова - М.:НИЦ ИНФРА-М,2025. - 482 с.(ВО: Магистр.)(П)</t>
  </si>
  <si>
    <t>Акмалова А.А., Капицын В.М.</t>
  </si>
  <si>
    <t>978-5-16-014365-1</t>
  </si>
  <si>
    <t>060466.16.01</t>
  </si>
  <si>
    <t>История политических и правовых учений: Уч. / В.Г. Графский - 3 изд. - М.: Норма,2024 - 736 с. (п)</t>
  </si>
  <si>
    <t>ИСТОРИЯ ПОЛИТИЧЕСКИХ И ПРАВОВЫХ УЧЕНИЙ, ИЗД.3</t>
  </si>
  <si>
    <t>978-5-91768-037-8</t>
  </si>
  <si>
    <t>40.03.01, 40.04.01, 40.05.01, 40.05.02, 40.05.03, 44.03.05</t>
  </si>
  <si>
    <t>0309</t>
  </si>
  <si>
    <t>062000.22.01</t>
  </si>
  <si>
    <t>История политических и правовых учений: Уч. / В.С.Нерсесянц - М.:Юр.Норма, НИЦ ИНФРА-М,2025 - 704 с.(П)</t>
  </si>
  <si>
    <t>Нерсесянц В.С.</t>
  </si>
  <si>
    <t>978-5-91768-262-4</t>
  </si>
  <si>
    <t>781589.02.01</t>
  </si>
  <si>
    <t>История политических и правовых учений: Уч. / Г.С.Працко-М.:ИЦ РИОР, НИЦ ИНФРА-М,2023.-451 с.(ВО)(П)</t>
  </si>
  <si>
    <t>978-5-369-01910-8</t>
  </si>
  <si>
    <t>292000.05.01</t>
  </si>
  <si>
    <t>История политических и правовых учений: Уч. /В.В.Лазарев - 3 изд.-М.:Юр.Норма,НИЦ ИНФРА-М,2025-800с.(п)</t>
  </si>
  <si>
    <t>ЛазаревВ.В.</t>
  </si>
  <si>
    <t>978-5-91768-725-4</t>
  </si>
  <si>
    <t>078509.11.01</t>
  </si>
  <si>
    <t>История политических учений: Уч. / В.Д.Зотов - 3 изд.-М.:Юр. НОРМА, НИЦ ИНФРА-М,2024.-672 с.(п)</t>
  </si>
  <si>
    <t>ИСТОРИЯ ПОЛИТИЧЕСКИХ УЧЕНИЙ, ИЗД.3</t>
  </si>
  <si>
    <t>Зотов В. Д., Зотова Л. В.</t>
  </si>
  <si>
    <t>978-5-91768-360-7</t>
  </si>
  <si>
    <t>40.03.01, 40.04.01, 40.05.01, 40.05.02, 40.05.03, 40.05.04, 41.03.04, 41.03.06, 44.03.05</t>
  </si>
  <si>
    <t>Рекомендовано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специальности "Политология"</t>
  </si>
  <si>
    <t>748427.01.01</t>
  </si>
  <si>
    <t>История политических учений: Уч. / П.Л.Карабущенко - М.:НИЦ ИНФРА-М,2025. - 725 с.(ВО)(п)</t>
  </si>
  <si>
    <t>ИСТОРИЯ ПОЛИТИЧЕСКИХ УЧЕНИЙ</t>
  </si>
  <si>
    <t>Карабущенко П.Л.</t>
  </si>
  <si>
    <t>978-5-16-016821-0</t>
  </si>
  <si>
    <t>41.03.04, 41.03.06, 46.03.01</t>
  </si>
  <si>
    <t>426300.09.01</t>
  </si>
  <si>
    <t>История политических учений: Уч.пос. / А.И.Демидов - М.:Юр.Норма,НИЦ ИНФРА-М,2024 - 432 с.(п)</t>
  </si>
  <si>
    <t>Демидов А. И., Бичехвост А. Ф., Алексеева Т. А., Демидов А. И.</t>
  </si>
  <si>
    <t>978-5-91768-342-3</t>
  </si>
  <si>
    <t>40.03.01, 40.04.01, 41.03.04, 41.03.06, 44.03.05</t>
  </si>
  <si>
    <t>155950.09.01</t>
  </si>
  <si>
    <t>История путешествий. Античная эпоха / И.Ю.Булкин - М.:Форум,2025 - 240 с.(П)</t>
  </si>
  <si>
    <t>ИСТОРИЯ ПУТЕШЕСТВИЙ. АНТИЧНАЯ ЭПОХА</t>
  </si>
  <si>
    <t>Булкин И. Ю.</t>
  </si>
  <si>
    <t>978-5-91134-528-0</t>
  </si>
  <si>
    <t>Общее</t>
  </si>
  <si>
    <t>43.03.02, 43.04.02, 46.03.01, 46.04.01</t>
  </si>
  <si>
    <t>632275.04.01</t>
  </si>
  <si>
    <t>История развития теории бух. учета: Уч.пос. / М.Д.Акатьева - М.:НИЦ ИНФРА-М,2025 - 170 с.(ВО)(П)</t>
  </si>
  <si>
    <t>ИСТОРИЯ РАЗВИТИЯ ТЕОРИИ БУХГАЛТЕРСКОГО УЧЕТА</t>
  </si>
  <si>
    <t>978-5-16-013493-2</t>
  </si>
  <si>
    <t>Рекомендовано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</si>
  <si>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837235.01.01</t>
  </si>
  <si>
    <t>История развития транспортных средств: Уч.пос. / Ю.Ф.Кайзер - М.:НИЦ ИНФРА-М, СФУ,2025. - 250 с.(ВО)(п)</t>
  </si>
  <si>
    <t>ИСТОРИЯ РАЗВИТИЯ ТРАНСПОРТНЫХ СРЕДСТВ</t>
  </si>
  <si>
    <t>Кайзер Ю.Ф., Лысянников А.В., Желукевич Р.Б. и др.</t>
  </si>
  <si>
    <t>978-5-16-020177-1</t>
  </si>
  <si>
    <t>23.05.04, 23.05.06, 25.03.01, 25.03.02, 26.03.01, 26.05.05, 26.05.06, 38.04.02</t>
  </si>
  <si>
    <t>633722.07.01</t>
  </si>
  <si>
    <t>История религий мира: Уч. / Под общ.ред. И.Г.Палий - М.:ИЦ РИОР, НИЦ ИНФРА-М,2024 - 375 с.(ВО)(п)</t>
  </si>
  <si>
    <t>ИСТОРИЯ РЕЛИГИЙ МИРА</t>
  </si>
  <si>
    <t>Палий И.Г., Богданова О.А., Васечко В.Ю. и др.</t>
  </si>
  <si>
    <t>978-5-369-01586-5</t>
  </si>
  <si>
    <t>Религия. Теология</t>
  </si>
  <si>
    <t>37.03.01, 39.03.02, 42.03.01, 42.03.02, 42.03.04, 44.03.05, 47.03.01, 47.03.03, 48.03.01, 50.04.04, 51.03.01, 51.03.03, 51.03.04, 51.04.04, 54.03.04</t>
  </si>
  <si>
    <t>846364.02.01</t>
  </si>
  <si>
    <t>История религий России: научно-популяр. изд. / А.Л.Панищев - М.:НИЦ ИНФРА-М,2025. - 175 с.[16+](п)</t>
  </si>
  <si>
    <t>ИСТОРИЯ РЕЛИГИЙ РОССИИ</t>
  </si>
  <si>
    <t>978-5-16-020495-6</t>
  </si>
  <si>
    <t>00.03.04, 00.03.11, 00.05.04, 00.05.11, 46.03.01, 47.03.01, 47.03.03</t>
  </si>
  <si>
    <t>828635.01.01</t>
  </si>
  <si>
    <t>История религий России: Уч.пос. / А.Л.Панищев - М.:НИЦ ИНФРА-М,2025. - 188 с.(ВО)(п)</t>
  </si>
  <si>
    <t>978-5-16-020135-1</t>
  </si>
  <si>
    <t>00.00.00, 00.03.04, 00.03.11, 00.05.04, 00.05.11, 46.03.01, 47.03.01, 47.03.03</t>
  </si>
  <si>
    <t>639536.08.01</t>
  </si>
  <si>
    <t>История религий: Уч. / К.А.Соловьев - М.:Вуз.уч.,НИЦ ИНФРА-М,2025 - 480 с.-(ВО)(п)</t>
  </si>
  <si>
    <t>ИСТОРИЯ РЕЛИГИЙ</t>
  </si>
  <si>
    <t>Соловьев К.А.</t>
  </si>
  <si>
    <t>978-5-9558-0532-0</t>
  </si>
  <si>
    <t>44.03.05, 47.03.03, 47.04.03, 48.03.01, 50.03.03, 50.03.04, 50.04.03, 50.04.04, 51.03.01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</si>
  <si>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50.03.03 «История искусств», 50.03.04 «Теория и история искусств» (квалификация (степень) «бакалавр») (протокол № 14 от 30.09.2019)</t>
  </si>
  <si>
    <t>141900.11.01</t>
  </si>
  <si>
    <t>История религий: Уч. пос. / Е.Б. Ерина. - М.: ИЦ РИОР:  ИНФРА-М, 2025. - 175 с.(ПО) (п)</t>
  </si>
  <si>
    <t>Е.Б. Ерина</t>
  </si>
  <si>
    <t>978-5-369-00570-5</t>
  </si>
  <si>
    <t>00.01.03, 00.02.04, 44.02.01, 44.02.03, 44.02.05</t>
  </si>
  <si>
    <t>Рекомендовано Федеральным государственным учреждением "Федеральный институт развития образования" в кач-ве учеб. пос. для использов. в учеб. проц. образоват. учреждений, реал. прогр. сред. проф. образов. по специальности 050401 "История"</t>
  </si>
  <si>
    <t>Государственный морской университет им. адмирала Ф.Ф. Ушакова</t>
  </si>
  <si>
    <t>476050.06.01</t>
  </si>
  <si>
    <t>История римской культуры: Уч.пос. / Ю.Б.Циркин - М.:НИЦ ИНФРА-М,2025. - 336 с.(ВО: Бакалавриат)(п)</t>
  </si>
  <si>
    <t>ИСТОРИЯ РИМСКОЙ КУЛЬТУРЫ</t>
  </si>
  <si>
    <t>Циркин Ю.Б.</t>
  </si>
  <si>
    <t>978-5-16-010216-0</t>
  </si>
  <si>
    <t>Новгородский государственный университет им. Ярослава Мудрого</t>
  </si>
  <si>
    <t>415700.08.01</t>
  </si>
  <si>
    <t>История России (1985 - 2008 г.): Уч.пос. / Г.И.Герасимов - М.:ИЦ РИОР, НИЦ ИНФРА-М,2024 - 315 с.(ВО)(П)</t>
  </si>
  <si>
    <t>ИСТОРИЯ РОССИИ (1985 - 2008 ГОДЫ)</t>
  </si>
  <si>
    <t>Герасимов Г. И.</t>
  </si>
  <si>
    <t>978-5-369-00753-2</t>
  </si>
  <si>
    <t>00.03.04, 00.05.04, 46.03.01</t>
  </si>
  <si>
    <t>Институт общественного проектирования</t>
  </si>
  <si>
    <t>777031.02.01</t>
  </si>
  <si>
    <t>История России IX - нач. XXI в.: Уч.пос. / Е.В.Воейков-М.:НИЦ ИНФРА-М,2024-493с.(ВО (Фин. университет))(п)</t>
  </si>
  <si>
    <t>ИСТОРИЯ РОССИИ IX - НАЧАЛА XXI ВЕКА</t>
  </si>
  <si>
    <t>Воейков Е.В.</t>
  </si>
  <si>
    <t>978-5-16-017712-0</t>
  </si>
  <si>
    <t>Финансовый университет при Правительстве Российской Федерации, Пензенский ф-л</t>
  </si>
  <si>
    <t>646262.08.01</t>
  </si>
  <si>
    <t>История России. XVIII — нач. XX в.: Уч. / М.Ю.Лачаева и др. - М.:НИЦ ИНФРА-М,2024. - 648 с.(ВО:Бакалавр.)(п)</t>
  </si>
  <si>
    <t>ИСТОРИЯ РОССИИ. XVIII — НАЧАЛА XX ВЕКА</t>
  </si>
  <si>
    <t>Лачаева М.Ю., Ляшенко Л.М., Воронин В.Е. и др.</t>
  </si>
  <si>
    <t>978-5-16-012874-0</t>
  </si>
  <si>
    <t>00.03.04, 00.05.04, 46.03.01, 50.03.03</t>
  </si>
  <si>
    <t>Рекомендовано в качестве учебника для студентов высших учебных заведений, обучающихся по направлениям подготовки 46.03.01 «История», 50.03.03 «История искусств» (квалификация (степень) «бакалавр»)</t>
  </si>
  <si>
    <t>712207.08.01</t>
  </si>
  <si>
    <t>История России. Вызовы эпохи Романовых: Уч.пос. / М.В.Жеребкин-М.:НИЦ ИНФРА-М,2024.-456 с.(ВО)(п)</t>
  </si>
  <si>
    <t>ИСТОРИЯ РОССИИ. ВЫЗОВЫ ЭПОХИ РОМАНОВЫХ</t>
  </si>
  <si>
    <t>Жеребкин М.В.</t>
  </si>
  <si>
    <t>978-5-16-015409-1</t>
  </si>
  <si>
    <t>00.03.04, 46.03.01</t>
  </si>
  <si>
    <t>Рекомендовано Ученым советом федерального государственного автономного образовательного учреждения высшего образования «Крымский федеральный университет имени В.И. Вернадского» в качестве учебного пособия для обучающихся по направлению подготовки 46.03.01 «История»</t>
  </si>
  <si>
    <t>667200.08.01</t>
  </si>
  <si>
    <t>История России. Вызовы эпохи Рюриковичей: Уч.пос. / М.В.Жеребкин-М.:Вуз.уч.,НИЦ ИНФРА-М,2024-356с(П)</t>
  </si>
  <si>
    <t>ИСТОРИЯ РОССИИ. ВЫЗОВЫ ЭПОХИ РЮРИКОВИЧЕЙ</t>
  </si>
  <si>
    <t>Крымский федеральный университет 100 лет</t>
  </si>
  <si>
    <t>978-5-9558-0601-3</t>
  </si>
  <si>
    <t>Рекомендовано в качестве учебного пособия для студентов высших учебных заведений, обучающихся по направлению подготовки 46.03.01«История» (квалификация (степень) «бакалавр»)</t>
  </si>
  <si>
    <t>658020.06.01</t>
  </si>
  <si>
    <t>История России: Уч. / Б.Н.Земцов - 2 изд. - М.:НИЦ ИНФРА-М,2025 - 584 с.(ВО)(п)</t>
  </si>
  <si>
    <t>ИСТОРИЯ РОССИИ, ИЗД.2</t>
  </si>
  <si>
    <t>Земцов Б.Н., Шубин А.В., Данилевский И.Н.</t>
  </si>
  <si>
    <t>978-5-16-018656-6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</si>
  <si>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6 от 16.06.2021)</t>
  </si>
  <si>
    <t>003347.29.01</t>
  </si>
  <si>
    <t>История России: Уч./ Ш.М. Мунчаев - 7 изд. - М.: Юр.Норма:НИЦ ИНФРА-М,2025 - 512 с. (п)</t>
  </si>
  <si>
    <t>ИСТОРИЯ РОССИИ, ИЗД.7</t>
  </si>
  <si>
    <t>Мунчаев Ш.М.</t>
  </si>
  <si>
    <t>978-5-91768-930-2</t>
  </si>
  <si>
    <t>00.03.04, 00.05.04, 05.03.06, 09.03.01, 18.03.01, 19.03.01, 23.03.02, 24.03.03, 35.03.08, 38.03.01, 40.03.01, 41.03.01, 41.03.04, 41.03.05, 41.03.06, 43.03.01, 43.03.02, 44.03.01, 44.03.05, 44.05.01, 45.05.01, 46.03.01, 46.03.03, 46.04.01, 50.03.03</t>
  </si>
  <si>
    <t>0718</t>
  </si>
  <si>
    <t>126550.11.01</t>
  </si>
  <si>
    <t>История России: Уч.-практ.пос. / Е.И.Нестеренко - М.:Вуз.уч.,НИЦ ИНФРА-М,2024-296с.(п)</t>
  </si>
  <si>
    <t>ИСТОРИЯ РОССИИ</t>
  </si>
  <si>
    <t>Нестеренко Е. И., Петухова Н. Е., Пляйс Я. А.</t>
  </si>
  <si>
    <t>978-5-9558-0138-4</t>
  </si>
  <si>
    <t>Рекомендовано УМО по образованию в области финансов, учета и мировой экономики в качестве учебно-практического пособия для студентов, обучающихся по специальностям «Бухгалтерский учет, анализ и аудит», «Финансы и кредит», «Мировая экономика» и «Налоги и налогооблажение»</t>
  </si>
  <si>
    <t>765470.01.01</t>
  </si>
  <si>
    <t>История российского казачества: Уч./Л.О.Терновая - М.:НИЦ ИНФРА-М,2025.- 346 с.(ВО)(п)</t>
  </si>
  <si>
    <t>ИСТОРИЯ РОССИЙСКОГО КАЗАЧЕСТВА</t>
  </si>
  <si>
    <t>978-5-16-017202-6</t>
  </si>
  <si>
    <t>44.03.01, 44.03.05, 46.03.01, 46.04.01</t>
  </si>
  <si>
    <t>148200.10.01</t>
  </si>
  <si>
    <t>История российского туризма (IX-XX вв.): Уч.пос. / А.А.Иванов - М.:Форум, НИЦ ИНФРА-М,2025 - 320 с.(ВО)(П)</t>
  </si>
  <si>
    <t>ИСТОРИЯ РОССИЙСКОГО ТУРИЗМА (IX-XX ВВ.)</t>
  </si>
  <si>
    <t>978-5-00091-760-2</t>
  </si>
  <si>
    <t>Рекомендовано в качестве учебного пособия для студентов высших учебных заведений, обучающихся по направлению подготовки 43.03.02 «Туризм» (квалификация (степень) «бакалавр»)</t>
  </si>
  <si>
    <t>682943.03.01</t>
  </si>
  <si>
    <t>История российского туризма (IX-XX вв.): Уч.пос. / А.А.Иванов - М.:Форум, НИЦ ИНФРА-М,2025 - 320 с.(СПО)(П)</t>
  </si>
  <si>
    <t>978-5-00091-548-6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</si>
  <si>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43.02.10 «Туризм», 43.02.11 «Гостиничный сервис» (протокол № 10 от 27.05.2019)</t>
  </si>
  <si>
    <t>682944.07.01</t>
  </si>
  <si>
    <t>История рус. культуры IX-нач.XXIв.: Уч.пос. /Под ред.Кошмана Л.В-5 изд.-М.:НИЦ ИНФРА-М,2024-432с.(СПО)</t>
  </si>
  <si>
    <t>ИСТОРИЯ РУССКОЙ КУЛЬТУРЫ IX - НАЧАЛА XXI ВЕКА, ИЗД.5</t>
  </si>
  <si>
    <t>Кошман Л.В., Сысоева Е.К., Зезина М.Р. и др.</t>
  </si>
  <si>
    <t>978-5-16-013948-7</t>
  </si>
  <si>
    <t>42.02.01, 43.02.02, 44.02.01, 44.02.02, 44.02.03, 44.02.05, 44.02.06, 50.02.01, 51.02.01, 51.02.02, 51.02.03, 52.02.03, 52.02.04, 52.02.05, 54.02.01, 54.02.06, 54.02.08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</si>
  <si>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t>
  </si>
  <si>
    <t>795605.01.01</t>
  </si>
  <si>
    <t>История рус. лит. XX в.: Уч. / О.Ю.Осьмухина - М.:НИЦ ИНФРА-М,2025. - 544 с.:доп.мат. (электр.рес.)(ВО)(п)</t>
  </si>
  <si>
    <t>ИСТОРИЯ РУССКОЙ ЛИТЕРАТУРЫ XX ВЕКА</t>
  </si>
  <si>
    <t>Осьмухина О.Ю., Гудкова С.П., Шаронова Е.А. и др.</t>
  </si>
  <si>
    <t>978-5-16-019061-7</t>
  </si>
  <si>
    <t>44.03.01, 44.03.04, 44.03.05, 44.04.01, 44.04.04, 45.03.01</t>
  </si>
  <si>
    <t>662719.07.01</t>
  </si>
  <si>
    <t>История рус. лит.: от Средневековья до эпохи..: Уч. / Под ред. Мескина В.А.-М.:НИЦ ИНФРА-М,2024.-300 с.(П)</t>
  </si>
  <si>
    <t>ИСТОРИЯ РУССКОЙ ЛИТЕРАТУРЫ: ОТ СРЕДНЕВЕКОВЬЯ ДО ЭПОХИ МОДЕРНИЗМА (ПРОПЕДЕВТИЧЕСКИЙ КУРС)</t>
  </si>
  <si>
    <t>Мескин В.А., Гаврильченко О.В., Городилова Н.И. и др.</t>
  </si>
  <si>
    <t>978-5-16-018650-4</t>
  </si>
  <si>
    <t>44.03.01, 44.03.02, 44.03.04, 44.03.05, 50.03.01, 51.03.01, 51.03.02, 51.03.03, 51.03.04, 51.03.05, 51.03.06, 52.03.04, 52.03.05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</si>
  <si>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нефилологическим направлениям подготовки (квалификация (степень) «бакалавр») (протокол № 8 от 22.06.2020)</t>
  </si>
  <si>
    <t>377700.09.01</t>
  </si>
  <si>
    <t>История рус. материальной культуры: Уч.пос. / Л.В.Беловинский - 2изд.-М.:Форум, НИЦ ИНФРА-М,2025-512с(ВО)(П)</t>
  </si>
  <si>
    <t>ИСТОРИЯ РУССКОЙ МАТЕРИАЛЬНОЙ КУЛЬТУРЫ, ИЗД.2</t>
  </si>
  <si>
    <t>Беловинский Л.В.</t>
  </si>
  <si>
    <t>978-5-00091-809-8</t>
  </si>
  <si>
    <t>00.03.05, 00.05.05, 44.03.05, 50.03.03, 50.04.03, 51.03.01, 51.03.02, 51.03.03, 51.03.04</t>
  </si>
  <si>
    <t>Учебное пособие для студентов высших учебных заведений, обучающихся по направлению подготовки «Музеология и охрана объектов культурного и природного наследия»</t>
  </si>
  <si>
    <t>682945.04.01</t>
  </si>
  <si>
    <t>История рус. материальной культуры: Уч.пос. /Л.В.Беловинский-2изд-М.:Форум,НИЦ ИНФРА-М,2023-512(СПО)</t>
  </si>
  <si>
    <t>978-5-00091-575-2</t>
  </si>
  <si>
    <t>42.02.01, 43.02.02, 44.02.02, 44.02.03, 44.02.05, 44.02.06, 50.02.01, 51.02.01, 51.02.02, 51.02.03, 52.02.03, 52.02.04, 52.02.05, 54.02.01, 54.02.06, 54.02.08</t>
  </si>
  <si>
    <t>208600.10.01</t>
  </si>
  <si>
    <t>История русской культуры IX - начала XXI в.: Уч. пос. /Л.В.Кошман - 5 изд. - ИНФРА-М, 2024-432с.(ВО)(п)</t>
  </si>
  <si>
    <t>Кошман Л. В., Сысоева Е. К., Зезина М. Р., Шульгин В. С.</t>
  </si>
  <si>
    <t>978-5-16-006060-6</t>
  </si>
  <si>
    <t>42.03.04, 45.03.01, 46.03.01, 50.03.01, 50.03.03, 50.03.04, 51.03.01, 51.03.02, 51.03.03, 51.03.04, 51.04.01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</si>
  <si>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030600 «История»</t>
  </si>
  <si>
    <t>0514</t>
  </si>
  <si>
    <t>345400.09.01</t>
  </si>
  <si>
    <t>История русской культуры: Уч.пос. / Н.В.Синявина - М.:НИЦ ИНФРА-М,2025. - 316 с. - (ВО: Бакалавр.)(П)</t>
  </si>
  <si>
    <t>ИСТОРИЯ РУССКОЙ КУЛЬТУРЫ</t>
  </si>
  <si>
    <t>Синявина Н.В.</t>
  </si>
  <si>
    <t>978-5-16-010803-2</t>
  </si>
  <si>
    <t>51.03.01, 51.03.02</t>
  </si>
  <si>
    <t>Рекомендовано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t>
  </si>
  <si>
    <t>764640.01.01</t>
  </si>
  <si>
    <t>История русской лит. конца XIX - нач. ХХ в. Серебр. век.: Уч. / В.А.Мескин-М.:НИЦ ИНФРА-М,2024.-410 с.(ВО)(п)</t>
  </si>
  <si>
    <t>ИСТОРИЯ РУССКОЙ ЛИТЕРАТУРЫ КОНЦА XIX - НАЧАЛА ХХ ВЕКА. СЕРЕБРЯНЫЙ ВЕК.</t>
  </si>
  <si>
    <t>Мескин В.А.</t>
  </si>
  <si>
    <t>978-5-16-018045-8</t>
  </si>
  <si>
    <t>44.03.05, 45.03.01</t>
  </si>
  <si>
    <t>200900.07.01</t>
  </si>
  <si>
    <t>История русской литературы XX в.: Уч. / В.Д.Серафимова -М.:НИЦ ИНФРА-М,2021.-540 с(ВО: Бакалавр.)(П)</t>
  </si>
  <si>
    <t>Серафимова В. Д.</t>
  </si>
  <si>
    <t>978-5-16-005635-7</t>
  </si>
  <si>
    <t>200900.10.01</t>
  </si>
  <si>
    <t>История русской литературы XX--XXI в.: Уч. / В.Д.Серафимова - 2 изд. -М.:НИЦ ИНФРА-М,2022 - 547с.(ВО: Бакалавр.)(П)</t>
  </si>
  <si>
    <t>ИСТОРИЯ РУССКОЙ ЛИТЕРАТУРЫ XX--XXI ВЕКОВ, ИЗД.2</t>
  </si>
  <si>
    <t>Серафимова В.Д.</t>
  </si>
  <si>
    <t>978-5-16-016408-3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</si>
  <si>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гуманитарным направлениям подготовки (квалификация (степень) «бакалавр») (протокол № 9 от 28.09.2020)</t>
  </si>
  <si>
    <t>200900.16.01</t>
  </si>
  <si>
    <t>История русской литературы XX--XXI в.: Уч. / В.Д.Серафимова - 3 изд., - М.:НИЦ ИНФРА-М,2025 - 547 с.(П)</t>
  </si>
  <si>
    <t>ИСТОРИЯ РУССКОЙ ЛИТЕРАТУРЫ XX--XXI ВЕКОВ, ИЗД.3</t>
  </si>
  <si>
    <t>978-5-16-018639-9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</si>
  <si>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гуманитарным направлениям подготовки (квалификация (степень) «бакалавр») (протокол № 6 от 08.06.2022)</t>
  </si>
  <si>
    <t>217600.08.01</t>
  </si>
  <si>
    <t>История русской философии: Уч. / Под общ. ред. М.А.Маслина - 3 изд. - М.:НИЦ ИНФРА-М, 2024-640с.(ВО) (п)</t>
  </si>
  <si>
    <t>ИСТОРИЯ РУССКОЙ ФИЛОСОФИИ, ИЗД.3</t>
  </si>
  <si>
    <t>Маслин М. А.</t>
  </si>
  <si>
    <t>978-5-16-006923-4</t>
  </si>
  <si>
    <t>47.03.01, 47.04.01</t>
  </si>
  <si>
    <t>Рекомендовано Учебно-методическим советом по философии, политологии и религиоведению Учебно-методического объединения по классическому университетскому образованию в качестве учебника для студентов высших учебных заведений</t>
  </si>
  <si>
    <t>236500.11.01</t>
  </si>
  <si>
    <t>История семьи в истории Отечества: Уч.пос. / И.Н.Извеков - М.:НИЦ ИНФРА-М,2025 - 169 с.-(П)</t>
  </si>
  <si>
    <t>ИСТОРИЯ СЕМЬИ В ИСТОРИИ ОТЕЧЕСТВА: ГЕНЕАЛОГИЯ В УЧЕБНОМ ПРОЦЕССЕ ВЫСШЕЙ ШКОЛЫ</t>
  </si>
  <si>
    <t>Извеков И.Н.</t>
  </si>
  <si>
    <t>978-5-16-009158-7</t>
  </si>
  <si>
    <t>682946.04.01</t>
  </si>
  <si>
    <t>История сервиса: Уч.пос. / В.Э.Багдасарян и др. - 2 изд. - М.:НИЦ ИНФРА-М,2023 - 337 с.-(СПО</t>
  </si>
  <si>
    <t>ИСТОРИЯ СЕРВИСА, ИЗД.2</t>
  </si>
  <si>
    <t>Багдасарян В.Э., Орлов И.Б., Катагощина М.В. и др.</t>
  </si>
  <si>
    <t>978-5-16-013950-0</t>
  </si>
  <si>
    <t>08.02.14, 43.01.11, 43.02.01, 43.02.02, 43.02.04, 43.02.06, 43.02.07, 43.02.09, 43.02.11, 43.02.16, 43.02.17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</si>
  <si>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43.02.06 «Сервис на транспорте (по видам транспорта)», 43.02.08 «Сервис домашнего и коммунального хозяйства», 43.02.09 «Ритуальный сервис», 43.02.10 «Туризм», 43.02.11 «Гостиничный сервис»</t>
  </si>
  <si>
    <t>651754.05.01</t>
  </si>
  <si>
    <t>История сервиса: Уч.пос. / В.Э.Багдасарян и др., - 2 изд.-М.:НИЦ ИНФРА-М,2024-337 с.(ВО: Бакалавриат)(п)</t>
  </si>
  <si>
    <t>978-5-16-012845-0</t>
  </si>
  <si>
    <t>43.03.01, 43.04.01</t>
  </si>
  <si>
    <t>Рекомендовано в качестве учебного пособия для студентов высших учебных заведений, обучающихся по направлениям подготовки 43.03.01«Сервис», 46.03.01 «История» (квалификация (степень) «бакалавр»)</t>
  </si>
  <si>
    <t>315500.06.01</t>
  </si>
  <si>
    <t>История Сов.государства: становление, развитие.../ Ш.М.Мунчаев - М.:Юр.Норма, НИЦ ИНФРА-М,2024-304с(П)</t>
  </si>
  <si>
    <t>ИСТОРИЯ СОВЕТСКОГО ГОСУДАРСТВА: СТАНОВЛЕНИЕ, РАЗВИТИЕ, ПАДЕНИЕ</t>
  </si>
  <si>
    <t>978-5-91768-849-7</t>
  </si>
  <si>
    <t>035600.11.01</t>
  </si>
  <si>
    <t>История Советского государства / Ш.М. Мунчаев, В.М. Устинов. - 2 изд. - М.: НОРМА, 2024-720с. (п)</t>
  </si>
  <si>
    <t>ИСТОРИЯ СОВЕТСКОГО ГОСУДАРСТВА, ИЗД.2</t>
  </si>
  <si>
    <t>Мунчаев Ш. М., Устинов В. М.</t>
  </si>
  <si>
    <t>175250.08.01</t>
  </si>
  <si>
    <t>История соц. философии. Курс лекций: Уч. пос. / Д.Э.Гаспарян - М.:Вуз. уч.:НИЦ ИНФРА-М, 2025 - 166 с. (п)</t>
  </si>
  <si>
    <t>ИСТОРИЯ СОЦИАЛЬНОЙ ФИЛОСОФИИ. КУРС ЛЕКЦИЙ</t>
  </si>
  <si>
    <t>Гаспарян Д. Э.</t>
  </si>
  <si>
    <t>978-5-9558-0237-4</t>
  </si>
  <si>
    <t>44.03.05, 46.03.01, 46.04.01, 47.03.01, 47.04.01</t>
  </si>
  <si>
    <t>683167.02.01</t>
  </si>
  <si>
    <t>История социальной работы: Уч.пос. / В.Д.Ширшов - М.:НИЦ ИНФРА-М,2023 - 269 с.-(ВО: Бакалавр.)(П)</t>
  </si>
  <si>
    <t>ИСТОРИЯ СОЦИАЛЬНОЙ РАБОТЫ</t>
  </si>
  <si>
    <t>978-5-16-014540-2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</si>
  <si>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18 от 25.11.2019)</t>
  </si>
  <si>
    <t>842050.01.01</t>
  </si>
  <si>
    <t>История социальной работы: Уч.пос. / В.Д.Ширшов - М.:НИЦ ИНФРА-М,2025. - 269 с.(СПО)(п)</t>
  </si>
  <si>
    <t>978-5-16-020304-1</t>
  </si>
  <si>
    <t>39.02.01</t>
  </si>
  <si>
    <t>475300.06.01</t>
  </si>
  <si>
    <t>История социальной работы: Уч.пос. / Ю.А.Шестаков - М.:ИЦ РИОР,НИЦ ИНФРА-М,2025 - 176 с.(ВО:Бакалавр.)(п)</t>
  </si>
  <si>
    <t>978-5-369-01510-0</t>
  </si>
  <si>
    <t>407100.08.01</t>
  </si>
  <si>
    <t>История социологии: Уч. / Е.И.Кукушкина - 2 изд. - М.: НИЦ Инфра-М, 2023 - 464с.(ВО: Бакалавриат) (п)</t>
  </si>
  <si>
    <t>ИСТОРИЯ СОЦИОЛОГИИ, ИЗД.2</t>
  </si>
  <si>
    <t>Кукушкина Е. И.</t>
  </si>
  <si>
    <t>978-5-16-005124-6</t>
  </si>
  <si>
    <t>39.03.01, 39.03.02, 39.03.03</t>
  </si>
  <si>
    <t>Рекомендовано УМО по классическому университетскому образованию в качестве учебника для студентов, обучающихся по направлению подготовки и специальности 020300 «Социология»</t>
  </si>
  <si>
    <t>120400.09.01</t>
  </si>
  <si>
    <t>История социологии: Уч. для вузов / Отв. ред. Г.В.Осипов - М.: Юр.Норма,НИЦ ИНФРА-М,2024.-1104 с.(П)</t>
  </si>
  <si>
    <t>ИСТОРИЯ СОЦИОЛОГИИ</t>
  </si>
  <si>
    <t>Осипов Г.В., Култыгин В.П.</t>
  </si>
  <si>
    <t>978-5-91768-007-1</t>
  </si>
  <si>
    <t>39.03.01, 39.04.01, 44.03.01, 44.03.05</t>
  </si>
  <si>
    <t>488950.06.01</t>
  </si>
  <si>
    <t>История социологии: Уч.пос. / В.В.Афанасьев - М.:НИЦ ИНФРА-М,2025 - 284 с.(ВО:Бакалавриат)(п)</t>
  </si>
  <si>
    <t>978-5-16-010699-1</t>
  </si>
  <si>
    <t>39.03.01, 44.03.01, 44.03.05</t>
  </si>
  <si>
    <t>231500.03.01</t>
  </si>
  <si>
    <t>История среднегерманских земель в документах XIV-XVI веков: от средневековья к раннему новому: уч.пос. / В.А.Чиркин-М.:НИЦ ИНФРА-М,2019.-269 с.(Перепл</t>
  </si>
  <si>
    <t>ИСТОРИЯ СРЕДНЕГЕРМАНСКИХ ЗЕМЕЛЬ В ДОКУМЕНТАХ XIV-XVI ВЕКОВ: ОТ СРЕДНЕВЕКОВЬЯ К РАННЕМУ НОВОМУ</t>
  </si>
  <si>
    <t>Чиркин В.А.</t>
  </si>
  <si>
    <t>978-5-16-009078-8</t>
  </si>
  <si>
    <t>Удмуртский государственный университет</t>
  </si>
  <si>
    <t>073200.10.01</t>
  </si>
  <si>
    <t>История торговли: Уч.пос. / Л.В.Орленко - М.:НИЦ ИНФРА-М,2024 - 351 с.(ВО: Бакалавриат)(П)</t>
  </si>
  <si>
    <t>ИСТОРИЯ ТОРГОВЛИ</t>
  </si>
  <si>
    <t>978-5-16-016899-9</t>
  </si>
  <si>
    <t>38.03.06, 38.03.07, 38.04.06, 38.04.07</t>
  </si>
  <si>
    <t>Рекомендовано чебно-методическим объединением по образованию в области товароведения и экспертизы товаров в качестве учебного пособия для студентов, обучающихся по направлению подготовки 38.03.07 «Товароведение»</t>
  </si>
  <si>
    <t>682948.03.01</t>
  </si>
  <si>
    <t>История торговли: Уч.пос. / Л.В.Орленко - М.:НИЦ ИНФРА-М,2024 - 351 с.-(СПО)(П)</t>
  </si>
  <si>
    <t>978-5-16-016900-2</t>
  </si>
  <si>
    <t>38.01.02, 38.02.08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</si>
  <si>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11 от 09.11.2020)</t>
  </si>
  <si>
    <t>648915.07.01</t>
  </si>
  <si>
    <t>История туризма: Уч.пос. / В.Э.Багдасарян - М.:НИЦ ИНФРА-М,2025 - 190 с.(ВО: Бакалавриат)(П)</t>
  </si>
  <si>
    <t>ИСТОРИЯ ТУРИЗМА</t>
  </si>
  <si>
    <t>Багдасарян В.Э., Орлов И.Б., Попов А.Д.</t>
  </si>
  <si>
    <t>978-5-16-012702-6</t>
  </si>
  <si>
    <t>43.03.02, 43.04.02, 46.03.01</t>
  </si>
  <si>
    <t>Рекомендовано в качестве учебного пособия для студентов высших учебных заведений, обучающихся по направлениям подготовки 43.03.02 «Туризм», 46.03.01 «История» (квалификация (степень) «бакалавр»)</t>
  </si>
  <si>
    <t>682949.03.01</t>
  </si>
  <si>
    <t>История туризма: Уч.пос. / В.Э.Багдасарян и др. - М.:НИЦ ИНФРА-М,2023 - 190 с.(СПО)(П)</t>
  </si>
  <si>
    <t>978-5-16-013952-4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</si>
  <si>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43.02.10 «Туризм»</t>
  </si>
  <si>
    <t>487600.04.01</t>
  </si>
  <si>
    <t>История управленческой мысли: Уч.пос. / А.Я.Якобсон - М.:ИЦ РИОР, НИЦ ИНФРА-М,2021 - 100 с.-(ВО)(О)</t>
  </si>
  <si>
    <t>ИСТОРИЯ УПРАВЛЕНЧЕСКОЙ МЫСЛИ</t>
  </si>
  <si>
    <t>Якобсон А.Я., Бацюн Н.В.</t>
  </si>
  <si>
    <t>978-5-369-01558-2</t>
  </si>
  <si>
    <t>38.03.02, 38.03.03, 38.04.02, 38.04.03, 41.03.06, 44.03.01</t>
  </si>
  <si>
    <t>Рекомендовано УМО РАЕ по классическому университетскому и техническому образованию в качестве учебного пособия для студентов, обучающихся по направлениям подготовки «Менеджмент», «Управление персоналом»</t>
  </si>
  <si>
    <t>Иркутский государственный университет путей сообщения, ф-л Сибирский колледж транспорта и строительства</t>
  </si>
  <si>
    <t>153700.10.01</t>
  </si>
  <si>
    <t>История философии XIX - нач. XX в.: Уч. пос. / Г.И.Иконникова - М.: Вуз. уч., 2025 - 304 с.(п)</t>
  </si>
  <si>
    <t>ИСТОРИЯ ФИЛОСОФИИ XIX - НАЧАЛА XX ВЕКА</t>
  </si>
  <si>
    <t>Иконникова Г. И., Иконникова Н. И.</t>
  </si>
  <si>
    <t>978-5-9558-0201-5</t>
  </si>
  <si>
    <t>Рекомендовано РФ Научно-методическим советом по заочному экономическому  образованию в качестве учебного пособия для студентов ВУЗ, обучающихся по нефилософским специальностям</t>
  </si>
  <si>
    <t>419350.05.01</t>
  </si>
  <si>
    <t>История философии второй половины XIX-нач. ХХ в. Избр. гл.: Уч. пос./Е.В.Фалев-ИНФРА-М, 2024-217с. (п)</t>
  </si>
  <si>
    <t>ИСТОРИЯ ФИЛОСОФИИ ВТОРОЙ ПОЛОВИНЫ XIX - НАЧАЛА ХХ ВЕКА. ИЗБРАННЫЕ ГЛАВЫ</t>
  </si>
  <si>
    <t>Фалев Е. В.</t>
  </si>
  <si>
    <t>978-5-16-006533-5</t>
  </si>
  <si>
    <t>40.03.01, 44.03.01, 44.03.05, 47.04.01</t>
  </si>
  <si>
    <t>162000.09.01</t>
  </si>
  <si>
    <t>История философии: Уч. / С.А. Нижников. - М.: ИНФРА-М, 2024. - 336 с.(ВО) (п)</t>
  </si>
  <si>
    <t>ИСТОРИЯ ФИЛОСОФИИ</t>
  </si>
  <si>
    <t>Нижников С. А.</t>
  </si>
  <si>
    <t>978-5-16-004929-8</t>
  </si>
  <si>
    <t>669443.05.01</t>
  </si>
  <si>
    <t>История философии: Уч.пос. / В.А.Канке, - 4 изд.-М.:НИЦ ИНФРА-М,2024.-379 с..-(ВО: Бакалавриат)(П)</t>
  </si>
  <si>
    <t>ИСТОРИЯ ФИЛОСОФИИ, ИЗД.4</t>
  </si>
  <si>
    <t>978-5-16-013393-5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</si>
  <si>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47.00.00 «Философия, этика и религиоведение» (квалификация (степень) «бакалавр») (протокол № 10 от 12.10.2020)</t>
  </si>
  <si>
    <t>264200.05.01</t>
  </si>
  <si>
    <t>История экономики зарубежных стран: Уч. пос./В.Н.Савельев-2 изд.-М.:НИЦ ИНФРА-М,2023.-311с.(ВО)(п)</t>
  </si>
  <si>
    <t>ИСТОРИЯ ЭКОНОМИКИ ЗАРУБЕЖНЫХ СТРАН, ИЗД.2</t>
  </si>
  <si>
    <t>В.Н.Савельев</t>
  </si>
  <si>
    <t>978-5-16-009555-4</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</si>
  <si>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 профиль подготовки «Мировая эк</t>
  </si>
  <si>
    <t>022380.22.01</t>
  </si>
  <si>
    <t>История экономики: Уч. / Под общ. ред. О.Д.Кузнецовой - 2 изд. - М.: ИНФРА-М, 2025 - 416 с. (ВО) (п)</t>
  </si>
  <si>
    <t>ИСТОРИЯ ЭКОНОМИКИ, ИЗД.2</t>
  </si>
  <si>
    <t>Кузнецова О.Д., Шапкин И.Н., Квасов А.С. и др.</t>
  </si>
  <si>
    <t>978-5-16-003489-8</t>
  </si>
  <si>
    <t>38.03.01, 38.04.01, 38.05.01</t>
  </si>
  <si>
    <t>0204</t>
  </si>
  <si>
    <t>081350.11.01</t>
  </si>
  <si>
    <t>История экономики: Уч.пос. / И.И.Агапова-М.:Магистр, НИЦ ИНФРА-М,2024.-176 с.(О)</t>
  </si>
  <si>
    <t>ИСТОРИЯ ЭКОНОМИКИ</t>
  </si>
  <si>
    <t>978-5-9776-0005-7</t>
  </si>
  <si>
    <t>Допущено Министерством образования Российской Федерации</t>
  </si>
  <si>
    <t>080900.11.01</t>
  </si>
  <si>
    <t>История экономических учений: Уч. / С.А.Бартенев, - 2 изд.-М.:Магистр, НИЦ ИНФРА-М,2024.-480 с.(П)</t>
  </si>
  <si>
    <t>ИСТОРИЯ ЭКОНОМИЧЕСКИХ УЧЕНИЙ, ИЗД.2</t>
  </si>
  <si>
    <t>Бартенев С. А.</t>
  </si>
  <si>
    <t>978-5-9776-0001-9</t>
  </si>
  <si>
    <t>Рекомендовано Министерством общего и профессионального образования РФ в качестве учебника для студентов высших учебных заведений, обучающихся по экономическим специальностям и направлениям</t>
  </si>
  <si>
    <t>006143.27.01</t>
  </si>
  <si>
    <t>История экономических учений: Уч. / Я.С.Ядгаров - 4 изд.-М.:НИЦ ИНФРА-М, 2018.-480с(ВО:Бакалавр.)(П)</t>
  </si>
  <si>
    <t>ИСТОРИЯ ЭКОНОМИЧЕСКИХ УЧЕНИЙ, ИЗД.4</t>
  </si>
  <si>
    <t>Ядгаров Я.С.</t>
  </si>
  <si>
    <t>978-5-16-003559-8</t>
  </si>
  <si>
    <t>Рекомендовано Министерством общего и профессионального образования РФ в качестве учебника для студентов вузов, обучающихся по экономическим и управленческим специальностям</t>
  </si>
  <si>
    <t>0403</t>
  </si>
  <si>
    <t>006143.37.01</t>
  </si>
  <si>
    <t>История экономических учений: Уч. / Я.С.Ядгаров - 5 изд.- М.:НИЦ ИНФРА-М,2025 - 475 с.(ВО)(П)</t>
  </si>
  <si>
    <t>ИСТОРИЯ ЭКОНОМИЧЕСКИХ УЧЕНИЙ, ИЗД.5</t>
  </si>
  <si>
    <t>978-5-16-016494-6</t>
  </si>
  <si>
    <t>Рекомендовано Министерством общего  и профессионального образования Российской Федерации в качестве учебника для студентов высших учебных заведений, обучающихся  по экономическим и управленческим специальностям</t>
  </si>
  <si>
    <t>049956.12.01</t>
  </si>
  <si>
    <t>История экономических учений: Уч. пос. / И.И. Агапова. - М.: Магистр, 2023. - 304 с. (п)</t>
  </si>
  <si>
    <t>ИСТОРИЯ ЭКОНОМИЧЕСКИХ УЧЕНИЙ</t>
  </si>
  <si>
    <t>978-5-9776-0125-2</t>
  </si>
  <si>
    <t>38.03.01, 38.03.02, 38.03.03, 38.03.04, 38.03.05, 38.03.06, 38.03.07, 38.04.01, 38.04.02, 38.04.03, 38.04.04, 38.04.05, 38.04.06, 38.04.07, 38.04.08, 38.04.09, 38.05.01, 38.05.02, 44.03.01, 44.03.05</t>
  </si>
  <si>
    <t>662867.06.01</t>
  </si>
  <si>
    <t>История экономических учений: Уч.пос. / В.Н.Ковнир - 2 изд.-М.:НИЦ ИНФРА-М,2024-596с.(ВО: Бакалавриат)(П)</t>
  </si>
  <si>
    <t>Ковнир В.Н., Погребинская Е.А., Чурзина И.В.</t>
  </si>
  <si>
    <t>978-5-16-018952-9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</si>
  <si>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5 от 11.05.2022)</t>
  </si>
  <si>
    <t>662867.03.01</t>
  </si>
  <si>
    <t>История экономических учений: Уч.пос. / В.Н.Ковнир -М.:НИЦ ИНФРА-М,2021-578 с.(ВО: Бакалавриат) (П)</t>
  </si>
  <si>
    <t>978-5-16-014404-7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</si>
  <si>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12 от 24.06.2019)</t>
  </si>
  <si>
    <t>057940.16.01</t>
  </si>
  <si>
    <t>История экономических учений: Уч.пос. / М.Г.Покидченко-М.:НИЦ ИНФРА-М,2023.-271 с..-(ВО)(п)</t>
  </si>
  <si>
    <t>Покидченко М.Г., Чаплыгина И.Г.</t>
  </si>
  <si>
    <t>978-5-16-018661-0</t>
  </si>
  <si>
    <t>Рекомендовано Учебно-методическим объединением по классическому университетскому образованию в качестве учебного пособия для студентов вузов, обучающихся по направлению 38.03.01 «Экономика»</t>
  </si>
  <si>
    <t>768349.04.01</t>
  </si>
  <si>
    <t>История, философия и методология соц.-гуманитар. наук: Уч. / А.М.Орехов - М.:НИЦ ИНФРА-М,2025. - 692 с.(П)</t>
  </si>
  <si>
    <t>ИСТОРИЯ, ФИЛОСОФИЯ И МЕТОДОЛОГИЯ СОЦИАЛЬНО-ГУМАНИТАРНЫХ НАУК</t>
  </si>
  <si>
    <t>Орехов А.М.</t>
  </si>
  <si>
    <t>978-5-16-020708-7</t>
  </si>
  <si>
    <t>47.00.00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</si>
  <si>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социально-гуманитарным специальностям и направлениям подготовки (протокол № 5 от 11.05.2022)</t>
  </si>
  <si>
    <t>717626.06.01</t>
  </si>
  <si>
    <t>История: от древних цивилизаций до конца XX в.: Уч. / А.Б.Оришев - М.:ИЦ РИОР, НИЦ ИНФРА-М,2024 - 276с(П)</t>
  </si>
  <si>
    <t>ИСТОРИЯ: ОТ ДРЕВНИХ ЦИВИЛИЗАЦИЙ ДО КОНЦА XX В.</t>
  </si>
  <si>
    <t>Оришев А.Б., Тарасенко В.Н.</t>
  </si>
  <si>
    <t>978-5-369-01828-6</t>
  </si>
  <si>
    <t>00.03.04, 00.05.04, 46.04.01</t>
  </si>
  <si>
    <t>724890.04.01</t>
  </si>
  <si>
    <t>История: Уч. / А.Б.Оришев - М.:ИЦ РИОР, НИЦ ИНФРА-М,2024. - 276 с.(CПО)(п)</t>
  </si>
  <si>
    <t>ИСТОРИЯ</t>
  </si>
  <si>
    <t>978-5-369-01833-0</t>
  </si>
  <si>
    <t>00.01.03, 00.02.04</t>
  </si>
  <si>
    <t>162600.22.01</t>
  </si>
  <si>
    <t>История: Уч.пос. / В.В.Касьянов - 2 изд. - М.:НИЦ ИНФРА-М,2025. - 550 с.(СПО)(П)</t>
  </si>
  <si>
    <t>ИСТОРИЯ, ИЗД.2</t>
  </si>
  <si>
    <t>Касьянов В.В., Самыгин П.С., Самыгин С.И. и др.</t>
  </si>
  <si>
    <t>978-5-16-016200-3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</si>
  <si>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на базе основного общего образования (протокол № 9 от 28.09.2020)</t>
  </si>
  <si>
    <t>697189.06.01</t>
  </si>
  <si>
    <t>История: Уч.пос. / Г.А.Трифонова - М.:НИЦ ИНФРА-М,2024 - 649 с.(СПО)(П)</t>
  </si>
  <si>
    <t>Трифонова Г.А., Супрунова Е.П., Пай С.С. и др.</t>
  </si>
  <si>
    <t>978-5-16-014652-2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</si>
  <si>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8 от 22.06.2020)</t>
  </si>
  <si>
    <t>Дальневосточный государственный технический рыбохозяйственный университет</t>
  </si>
  <si>
    <t>162600.16.01</t>
  </si>
  <si>
    <t>История: Уч.пос. / П.С.Самыгин и др. - М.:НИЦ ИНФРА-М,2020 - 528 с.-(СПО)(П)</t>
  </si>
  <si>
    <t>Самыгин П. С., Самыгин С. И., Шевелев В. Н., Шевелева Е. В.</t>
  </si>
  <si>
    <t>978-5-16-004507-8</t>
  </si>
  <si>
    <t>Рекомендовано в качестве учебного пособия для студентов образовательных учебных заведений, реализующих программы среднего профессионального образования</t>
  </si>
  <si>
    <t>656349.05.01</t>
  </si>
  <si>
    <t>История: Уч.пос./ Ю.А.Шестаков - М.:ИЦ РИОР, НИЦ ИНФРА-М,2025. - 248 с.(ВО)(П)</t>
  </si>
  <si>
    <t>978-5-369-01690-9</t>
  </si>
  <si>
    <t>266900.09.01</t>
  </si>
  <si>
    <t>Источники права: Уч. пос./ М.Н. Марченко. - 2 изд., перераб. - М.: Норма: ИНФРА-М, 2024. - 672 с. (п)</t>
  </si>
  <si>
    <t>ИСТОЧНИКИ ПРАВА, ИЗД.2</t>
  </si>
  <si>
    <t>Марченко М.Н.</t>
  </si>
  <si>
    <t>40.03.01, 41.03.01, 41.03.06, 44.03.05</t>
  </si>
  <si>
    <t>Рекомендовано Учебно-методическим объединением по юридическому образованию высших учебных заведений в качестве учебного пособия для студентов высших учебных заведений, обучающихся по направлению «Юриспруденция» и специальности «Юриспруденция»</t>
  </si>
  <si>
    <t>170300.11.01</t>
  </si>
  <si>
    <t>Источники электропитания: Уч.пос. / А.В.Васильков - М.:Форум,2025 - 400 с.(СПО)(П)</t>
  </si>
  <si>
    <t>ИСТОЧНИКИ ЭЛЕКТРОПИТАНИЯ</t>
  </si>
  <si>
    <t>Васильков А. В., Васильков И. А.</t>
  </si>
  <si>
    <t>978-5-91134-436-8</t>
  </si>
  <si>
    <t>10.02.02, 11.02.15, 13.02.07, 13.02.12, 13.02.13, 15.02.09, 15.02.10</t>
  </si>
  <si>
    <t>160050.11.01</t>
  </si>
  <si>
    <t>Источниковедение новой и новейшей истории...: Уч.пос. / И.В.Григорьева-М.:НИЦ ИНФРА-М,2024.-287 с.(ВО)(П)</t>
  </si>
  <si>
    <t>ИСТОЧНИКОВЕДЕНИЕ НОВОЙ И НОВЕЙШЕЙ ИСТОРИИ СТРАН ЕВРОПЫ И АМЕРИКИ</t>
  </si>
  <si>
    <t>Григорьева И. В.</t>
  </si>
  <si>
    <t>978-5-16-018666-5</t>
  </si>
  <si>
    <t>46.03.01, 46.03.02, 46.04.01, 46.04.02</t>
  </si>
  <si>
    <t>Рекомендовано в качестве учебного пособия студентам высших учебных заведений, обучающихся по направлению 46.03.01 "История" (квалификация (степень) "бакалавр")</t>
  </si>
  <si>
    <t>640996.10.01</t>
  </si>
  <si>
    <t>Итоговое сочинение по литературе... / Ю.В.Вайрах - М.:НИЦ ИНФРА-М,2025 - 169 с.(Практ.педагогика)(О)</t>
  </si>
  <si>
    <t>ИТОГОВОЕ СОЧИНЕНИЕ ПО ЛИТЕРАТУРЕ: ПОДГОТОВКА И ТЕХНОЛОГИЯ НАПИСАНИЯ</t>
  </si>
  <si>
    <t>Вайрах Ю.В., Казорина А.В.</t>
  </si>
  <si>
    <t>978-5-16-012305-9</t>
  </si>
  <si>
    <t>Гуманитарные дисциплины (школа)</t>
  </si>
  <si>
    <t>44.03.01, 44.04.01, 45.03.01, 45.04.01</t>
  </si>
  <si>
    <t>Рекомендовано в качестве учебного пособия для студентов высших учебных заведений, обучающихся по направлениям подготовки 45.03.01 «Филология», 44.03.01 «Педагогическое образование» (квалификация (степень) «бакалавр»)</t>
  </si>
  <si>
    <t>674607.05.01</t>
  </si>
  <si>
    <t>Иудейское право без гос.: история и совр.: Уч.пос./ А.А.Каневский - М.:НИЦ ИНФРА-М,2023 - 195 с.(ВО)(П)</t>
  </si>
  <si>
    <t>ИУДЕЙСКОЕ ПРАВО БЕЗ ГОСУДАРСТВА: ИСТОРИЯ И СОВРЕМЕННОСТЬ</t>
  </si>
  <si>
    <t>Каневский А.А.</t>
  </si>
  <si>
    <t>978-5-16-014328-6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</si>
  <si>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13 от 16.09.2019)</t>
  </si>
  <si>
    <t>289500.08.01</t>
  </si>
  <si>
    <t>К истории Русской Православной Церкви: Уч.пос. / Л.В.Беловинский - М.: Форум: ИНФРА-М, 2025 -128 с.(о)</t>
  </si>
  <si>
    <t>К ИСТОРИИ РУССКОЙ ПРАВОСЛАВНОЙ ЦЕРКВИ</t>
  </si>
  <si>
    <t>978-5-91134-925-7</t>
  </si>
  <si>
    <t>44.03.05, 47.03.03, 47.04.03, 50.03.03, 50.03.04, 50.04.03, 50.04.04, 51.03.01, 51.04.01</t>
  </si>
  <si>
    <t>682950.08.01</t>
  </si>
  <si>
    <t>Кадастровая деятельность: Уч. / А.А.Варламов - 2 изд.,- М.:Форум, НИЦ ИНФРА-М,2023.-280 с..-(СПО)(П)</t>
  </si>
  <si>
    <t>КАДАСТРОВАЯ ДЕЯТЕЛЬНОСТЬ, ИЗД.2</t>
  </si>
  <si>
    <t>Варламов А.А., Гальченко С.А., Аврунев Е.И. и др.</t>
  </si>
  <si>
    <t>978-5-00091-576-9</t>
  </si>
  <si>
    <t>05.02.01, 21.02.19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</si>
  <si>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t>
  </si>
  <si>
    <t>336100.09.01</t>
  </si>
  <si>
    <t>Кадастровая деятельность: Уч./ А.А.Варламов - 2 изд. - М.:Форум, НИЦ ИНФРА-М,2021 - 279 с.(ВО)(П)</t>
  </si>
  <si>
    <t>Варламов А. А., Гальченко С. А., Аврунев Е. И., Варламов А. А.</t>
  </si>
  <si>
    <t>978-5-00091-460-1</t>
  </si>
  <si>
    <t>21.03.02, 21.04.02, 40.03.01, 40.05.03</t>
  </si>
  <si>
    <t>Допущено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 (квалификация (степень) «бакалавр»)</t>
  </si>
  <si>
    <t>642346.06.01</t>
  </si>
  <si>
    <t>Кадровая безопасность компании: Уч.пос. / Т.О.Соломанидина, - 2 изд.-М.:НИЦ ИНФРА-М,2023.-559 с.(ВО)(п)</t>
  </si>
  <si>
    <t>КАДРОВАЯ БЕЗОПАСНОСТЬ КОМПАНИИ, ИЗД.2</t>
  </si>
  <si>
    <t>Соломанидина Т.О., Соломанидин В.Г.</t>
  </si>
  <si>
    <t>978-5-16-018727-3</t>
  </si>
  <si>
    <t>38.03.01, 38.03.02, 38.03.03, 38.04.02, 38.04.03, 38.04.04, 41.03.06</t>
  </si>
  <si>
    <t>Рекомендовано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38.03.01 «Экономика» (квалификация (степень) «бакалавр»)</t>
  </si>
  <si>
    <t>758977.01.01</t>
  </si>
  <si>
    <t>Кадровая безопасность: Уч. / Л.О.Терновая - М.:НИЦ ИНФРА-М,2025. - 354 с.(ВО)(п)</t>
  </si>
  <si>
    <t>КАДРОВАЯ БЕЗОПАСНОСТЬ</t>
  </si>
  <si>
    <t>978-5-16-017133-3</t>
  </si>
  <si>
    <t>38.03.03</t>
  </si>
  <si>
    <t>777083.01.01</t>
  </si>
  <si>
    <t>Кадровая безопасность: Уч.пос. / Н.Н.Карзаева-М.:НИЦ ИНФРА-М,2023.-210 с..-(ВО)(п)</t>
  </si>
  <si>
    <t>Карзаева Н.Н., Каранина Е.В.</t>
  </si>
  <si>
    <t>978-5-16-018051-9</t>
  </si>
  <si>
    <t>10.05.05, 38.03.01, 38.04.01, 38.04.03, 38.04.04, 38.05.01</t>
  </si>
  <si>
    <t>Вятский государственный университет</t>
  </si>
  <si>
    <t>715105.06.01</t>
  </si>
  <si>
    <t>Кадровые риски и их оценка: Уч.пос. / А.Е.Митрофанова - М.:НИЦ ИНФРА-М,2024 - 137 с.(ВО.)(П)</t>
  </si>
  <si>
    <t>КАДРОВЫЕ РИСКИ И ИХ ОЦЕНКА</t>
  </si>
  <si>
    <t>Митрофанова А.Е., Захаров Д.К., Ашурбеков Р.А.</t>
  </si>
  <si>
    <t>978-5-16-020098-9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</si>
  <si>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 (протокол № 18 от 25.11.2019)</t>
  </si>
  <si>
    <t>657951.06.01</t>
  </si>
  <si>
    <t>Кадровый консалтинг: Уч. / О.Л.Чуланова - М.:НИЦ ИНФРА-М,2023 - 358 с.-(ВО: Магистратура)(П)</t>
  </si>
  <si>
    <t>КАДРОВЫЙ КОНСАЛТИНГ</t>
  </si>
  <si>
    <t>Чуланова О.Л.</t>
  </si>
  <si>
    <t>978-5-16-012953-2</t>
  </si>
  <si>
    <t>Рекомендовано в качестве учебника для студентов высших учебных заведений, обучающихся по направлениям подготовки 38.04.03 «Управление персоналом», 38.04.02 «Менеджмент», 38.04.04 «Государственное и муниципальное управление» (квалификация (степень) «магистр»)</t>
  </si>
  <si>
    <t>796010.01.01</t>
  </si>
  <si>
    <t>Кадровый менеджмент в туристской фирме: Уч.пос./ А.Н.Полухина - М.:НИЦ ИНФРА-М,2025. - 231 с.-(ВО)(п)</t>
  </si>
  <si>
    <t>КАДРОВЫЙ МЕНЕДЖМЕНТ В ТУРИСТСКОЙ ФИРМЕ</t>
  </si>
  <si>
    <t>Полухина А.Н., Шерешева М.Ю.</t>
  </si>
  <si>
    <t>978-5-16-018399-2</t>
  </si>
  <si>
    <t>37.04.02, 38.03.03, 38.04.03, 43.03.02, 43.04.02</t>
  </si>
  <si>
    <t>Поволжский государственный технологический университет</t>
  </si>
  <si>
    <t>851492.02.01</t>
  </si>
  <si>
    <t>Казанская губерния в составе Рос. империи...: Моногр. / И.Р.Метшин-М.:Юр. НОРМА,2025.-68 с.(о)</t>
  </si>
  <si>
    <t>КАЗАНСКАЯ ГУБЕРНИЯ В СОСТАВЕ РОССИЙСКОЙ ИМПЕРИИ: ВОПРОСЫ СОХРАНЕНИЯ ГОСУДАРСТВЕННОГО ЕДИНСТВА</t>
  </si>
  <si>
    <t>Метшин И.Р.</t>
  </si>
  <si>
    <t>978-5-00156-423-2</t>
  </si>
  <si>
    <t>46.03.01</t>
  </si>
  <si>
    <t>801693.02.01</t>
  </si>
  <si>
    <t>Казенные учреждения: бюджетный учет и отчетность: Уч. / Т.Маслова-М.:Магистр, НИЦ ИНФРА-М,2024.-648 с.(п)</t>
  </si>
  <si>
    <t>КАЗЕННЫЕ УЧРЕЖДЕНИЯ: БЮДЖЕТНЫЙ УЧЕТ И ОТЧЕТНОСТЬ</t>
  </si>
  <si>
    <t>Маслова Т., Журавлева Т.А.</t>
  </si>
  <si>
    <t>978-5-9776-0552-6</t>
  </si>
  <si>
    <t>38.03.01, 38.03.04, 38.04.01, 38.04.04, 38.04.08</t>
  </si>
  <si>
    <t>076300.14.01</t>
  </si>
  <si>
    <t>Как защитить свою диссертацию: Практ. пос. / С.Д.Резник - 5 изд. - М.:НИЦ ИНФРА-М,2021 - 318 с.(П)</t>
  </si>
  <si>
    <t>КАК ЗАЩИТИТЬ СВОЮ ДИССЕРТАЦИЮ, ИЗД.5</t>
  </si>
  <si>
    <t>978-5-16-011105-6</t>
  </si>
  <si>
    <t>00.04.16, 00.06.01</t>
  </si>
  <si>
    <t>Рекомендовано к изданию Советом Учебно-методического объединения вузов России по образованию в области менеджмента</t>
  </si>
  <si>
    <t>076300.18.01</t>
  </si>
  <si>
    <t>Как защитить свою диссертацию: Практ. пос. / С.Д.Резник, - 6 изд.-М.:НИЦ ИНФРА-М,2024.-245 с.(п)</t>
  </si>
  <si>
    <t>КАК ЗАЩИТИТЬ СВОЮ ДИССЕРТАЦИЮ, ИЗД.6</t>
  </si>
  <si>
    <t>978-5-16-017143-2</t>
  </si>
  <si>
    <t>0622</t>
  </si>
  <si>
    <t>813795.01.01</t>
  </si>
  <si>
    <t>Как можно учить физике в 7-8 кл.: Уч.пос. / С.А.Горбушин - М.:НИЦ ИНФРА-М,2025. - 264 с.-(ВО)(п)</t>
  </si>
  <si>
    <t>КАК МОЖНО УЧИТЬ ФИЗИКЕ В 7-8 КЛАССАХ</t>
  </si>
  <si>
    <t>Горбушин С.А.</t>
  </si>
  <si>
    <t>978-5-16-020477-2</t>
  </si>
  <si>
    <t>44.03.01, 44.03.05, 44.04.01, 44.04.04</t>
  </si>
  <si>
    <t>364400.07.01</t>
  </si>
  <si>
    <t>Как можно учить физике: методика обуч. физике: Уч.пос. / С.А.Горбушин - М.:НИЦ ИНФРА-М,2024-484 с.(ВО)(п)</t>
  </si>
  <si>
    <t>КАК МОЖНО УЧИТЬ ФИЗИКЕ: МЕТОДИКА ОБУЧЕНИЯ ФИЗИКЕ</t>
  </si>
  <si>
    <t>978-5-16-019173-7</t>
  </si>
  <si>
    <t>Естественнонаучные дисциплины (школа)</t>
  </si>
  <si>
    <t>Рекомендовано УМО по образованию в области подготовки педагогических кадров в качестве учебного пособия для осуществления образовательной деятельности по направлениям подготовки 44.03.01 «Педагогическое образование» и 44.03.05 «Педагогическое образование (с двумя профилями подготовки)»</t>
  </si>
  <si>
    <t>189650.17.01</t>
  </si>
  <si>
    <t>Как написать, оформ. и защ. выпуск. квалиф. работу: Уч.пос./В.П.Невежин-Форум,НИЦ ИНФРА-М,2024-112с</t>
  </si>
  <si>
    <t>КАК НАПИСАТЬ, ОФОРМИТЬ И ЗАЩИТИТЬ ВЫПУСКНУЮ КВАЛИФИКАЦИОННУЮ РАБОТУ</t>
  </si>
  <si>
    <t>Невежин В. П.</t>
  </si>
  <si>
    <t>978-5-00091-734-3</t>
  </si>
  <si>
    <t>00.03.16, 00.04.16, 00.05.16</t>
  </si>
  <si>
    <t>Рекомендовано Финансовым университетом при Правительстве Российской Федерации в качестве учебного пособия для студентов, обучающихся по направлению подготовки бакалавров, дипломированых специалистов и магистров</t>
  </si>
  <si>
    <t>374900.06.01</t>
  </si>
  <si>
    <t>Как подготовить выпуск. квалиф..: Уч.пос. / Под ред. Фокина В.А.- 2 изд.-М.:Форум, НИЦ ИНФРА-М,2024-142с.(О)</t>
  </si>
  <si>
    <t>КАК ПОДГОТОВИТЬ ВЫПУСКНУЮ КВАЛИФИКАЦИОННУЮ РАБОТУ БАКАЛАВРАМ СОЦИАЛЬНОЙ РАБОТЫ, ИЗД.2</t>
  </si>
  <si>
    <t>Соломатова В.В., Фокин В.А., Фокин В.А.</t>
  </si>
  <si>
    <t>978-5-16-016781-7</t>
  </si>
  <si>
    <t>00.03.16, 00.04.16, 00.05.16, 39.03.02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</si>
  <si>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3 от 17.03.2021)</t>
  </si>
  <si>
    <t>374900.04.01</t>
  </si>
  <si>
    <t>Как подготовить выпуск. квалиф..: Уч.пос. / Под ред. Фокина В.А.-М.:Форум, НИЦ ИНФРА-М,2020-51с.(О)</t>
  </si>
  <si>
    <t>КАК ПОДГОТОВИТЬ ВЫПУСКНУЮ КВАЛИФИКАЦИОННУЮ РАБОТУ БАКАЛАВРАМ СОЦИАЛЬНОЙ РАБОТЫ</t>
  </si>
  <si>
    <t>В.А.Фокин, В.В.Соломатова, Л.М.Горячева</t>
  </si>
  <si>
    <t>978-5-00091-093-1</t>
  </si>
  <si>
    <t>309900.06.01</t>
  </si>
  <si>
    <t>Каменные работы: Уч.-метод. пос. / В.Н. Черноиван - М.: ИНФРА-М; 2025 - 156 с.(ВО)</t>
  </si>
  <si>
    <t>КАМЕННЫЕ РАБОТЫ</t>
  </si>
  <si>
    <t>Черноиван В.Н., Леонович С.Н.</t>
  </si>
  <si>
    <t>978-5-16-010310-5</t>
  </si>
  <si>
    <t>Брестский государственный технический университет</t>
  </si>
  <si>
    <t>477900.05.01</t>
  </si>
  <si>
    <t>Каракулеводство: Уч. пос. / Ш.Р.Херремов - М.:КУРС, НИЦ ИНФРА-М, 2020 - 144 с.(ВО: Бакалавриат)(о)</t>
  </si>
  <si>
    <t>КАРАКУЛЕВОДСТВО</t>
  </si>
  <si>
    <t>Херремов Ш.Р., Юлдашбаев Ю.А.</t>
  </si>
  <si>
    <t>978-5-906818-22-5</t>
  </si>
  <si>
    <t>Союз промышленников и предпринимателей Волгоградской области</t>
  </si>
  <si>
    <t>682951.02.01</t>
  </si>
  <si>
    <t>Карантинные болезни растений: Уч.пос. / C.И.Чебаненко-М.:НИЦ ИНФРА-М,2023.-136 с.(СПО)(О)</t>
  </si>
  <si>
    <t>КАРАНТИННЫЕ БОЛЕЗНИ РАСТЕНИЙ</t>
  </si>
  <si>
    <t>Чебаненко C.И., Белошапкина О.О.</t>
  </si>
  <si>
    <t>978-5-16-013953-1</t>
  </si>
  <si>
    <t>19.02.11, 19.02.12, 35.01.23, 35.01.26, 35.01.27, 35.02.05, 35.02.07, 35.02.16, 43.01.11</t>
  </si>
  <si>
    <t>299900.09.01</t>
  </si>
  <si>
    <t>Карантинные болезни растений: Уч.пос. / С.И.Чебаненко - М.:НИЦ ИНФРА-М,2025. - 113 с.(ВО)(о)</t>
  </si>
  <si>
    <t>Чебаненко С.И., Белошапкина О.О.</t>
  </si>
  <si>
    <t>978-5-16-019024-2</t>
  </si>
  <si>
    <t>Допущено УМО вузов РФ по агрономическому образованию в качестве учебного пособия для подготовки бакалавров, обучающихся по направлению 35.03.04 «Агрономия»</t>
  </si>
  <si>
    <t>708359.08.01</t>
  </si>
  <si>
    <t>Картография и ГИС: Уч.пос. / В.П.Раклов - 3 изд. - М.:НИЦ ИНФРА-М,2025 - 215 с.(ВО: Бакалавр.)(П)</t>
  </si>
  <si>
    <t>КАРТОГРАФИЯ И ГИС, ИЗД.3</t>
  </si>
  <si>
    <t>978-5-16-015289-9</t>
  </si>
  <si>
    <t>21.03.02, 44.03.05</t>
  </si>
  <si>
    <t>Рекомендовано УМО по образованию в области землеустройства и кадастров в качестве учебного пособия для студентов высших учебных заведений, обучающихся по направлению подготовки «Землеустройство и кадастры»</t>
  </si>
  <si>
    <t>742831.06.01</t>
  </si>
  <si>
    <t>Картография и ГИС: Уч.пос. / В.П.Раклов - 3 изд. - М.:НИЦ ИНФРА-М,2025 - 215 с.-(СПО)(П)</t>
  </si>
  <si>
    <t>978-5-16-016460-1</t>
  </si>
  <si>
    <t>08.02.08, 21.02.09, 21.02.10, 21.02.11, 21.02.12, 21.02.13, 21.02.14, 21.02.15, 21.02.16, 21.02.17, 21.02.18, 21.02.20, 35.01.01, 35.02.01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</si>
  <si>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"Землеустройство и кадастры" (протокол № 8 от 22.06.2020)</t>
  </si>
  <si>
    <t>765800.03.01</t>
  </si>
  <si>
    <t>Картография с основами топографии..: Уч.пос. / О.В.Шульгина, - 2 изд. - М.:НИЦ ИНФРА-М,2025. - 229 с.(П)</t>
  </si>
  <si>
    <t>КАРТОГРАФИЯ С ОСНОВАМИ ТОПОГРАФИИ. СЛОВАРЬ-СПРАВОЧНИК, ИЗД.2</t>
  </si>
  <si>
    <t>Шульгина О.В.</t>
  </si>
  <si>
    <t>978-5-16-020894-7</t>
  </si>
  <si>
    <t>05.03.02, 05.03.03</t>
  </si>
  <si>
    <t>694357.05.01</t>
  </si>
  <si>
    <t>Картофелеводство: Уч.пос. / А.И.Усков - М.:НИЦ ИНФРА-М,2023.- 173 с.(ВО: Бакалавр.)(П)</t>
  </si>
  <si>
    <t>КАРТОФЕЛЕВОДСТВО</t>
  </si>
  <si>
    <t>Усков А.И., Горяников Ю.В., Можаев Е.Е. и др.</t>
  </si>
  <si>
    <t>978-5-16-015392-6</t>
  </si>
  <si>
    <t>35.03.03, 35.03.04, 35.03.07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</si>
  <si>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35.03.04 «Агрономия» (квалификация (степень) «бакалавр») (протокол № 8 от 22.06.2020)</t>
  </si>
  <si>
    <t>Всероссийский научно-исследовательский институт картофельного хозяйства имени А.Г.Лорха</t>
  </si>
  <si>
    <t>255400.10.01</t>
  </si>
  <si>
    <t>Карьерный менеджмент: Уч. пос./ С.Д. Резник - 2 изд. - М.: ИНФРА-М, 2023 - 237 с. (ВО: Бакалавриат)</t>
  </si>
  <si>
    <t>КАРЬЕРНЫЙ МЕНЕДЖМЕНТ, ИЗД.3</t>
  </si>
  <si>
    <t>Резник С. Д., Игошина И. А.</t>
  </si>
  <si>
    <t>978-5-16-009452-6</t>
  </si>
  <si>
    <t>255400.08.01</t>
  </si>
  <si>
    <t>Карьерный менеджмент: Уч.пос. / С.Д.Резник - 4 изд.-М.:НИЦ ИНФРА-М,2023.-196 с.(ВО: Бакалавриат)(п)</t>
  </si>
  <si>
    <t>КАРЬЕРНЫЙ МЕНЕДЖМЕНТ, ИЗД.4</t>
  </si>
  <si>
    <t>Резник С.Д., Игошина И.А., Черницов А.Е. и др.</t>
  </si>
  <si>
    <t>978-5-16-017943-8</t>
  </si>
  <si>
    <t>Рекомендовано Советом УМО по образованию в области менеджмента в качестве учебного пособия для студентов, обучающихся по направлениям подготовки «Менеджмент», «Управление персоналом», «Государственное и муниципальное управление»</t>
  </si>
  <si>
    <t>637700.05.01</t>
  </si>
  <si>
    <t>Категории и некоторые их приложения: Моногр./ Г.В.Кондратьев - М.:НИЦ ИНФРА-М,2023 - 175 с.(О)</t>
  </si>
  <si>
    <t>КАТЕГОРИИ И НЕКОТОРЫЕ ИХ ПРИЛОЖЕНИЯ</t>
  </si>
  <si>
    <t>Кондратьев Г.В.</t>
  </si>
  <si>
    <t>978-5-16-015978-2</t>
  </si>
  <si>
    <t>01.03.01</t>
  </si>
  <si>
    <t>Нижегородский государственный педагогический университет им. К. Минина</t>
  </si>
  <si>
    <t>448850.09.01</t>
  </si>
  <si>
    <t>Категорийный менеджмент: Уч.пос. / В.М.Киселев - М.:Юр.Норма, НИЦ ИНФРА-М,2023 - 208 с.(О)</t>
  </si>
  <si>
    <t>КАТЕГОРИЙНЫЙ МЕНЕДЖМЕНТ</t>
  </si>
  <si>
    <t>Киселев В. М., Николаева М. А.</t>
  </si>
  <si>
    <t>978-5-91768-424-6</t>
  </si>
  <si>
    <t>38.03.07, 38.04.02, 44.03.05</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</si>
  <si>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вузов, обучающихся по направлению 100700.62 «Торговое дело»</t>
  </si>
  <si>
    <t>767032.06.01</t>
  </si>
  <si>
    <t>Квалификация преступлений: Уч.пос. / В.Ф.Антонов - М.:ИЦ РИОР, НИЦ ИНФРА-М,2025 - 72 с.(ВО)(О)</t>
  </si>
  <si>
    <t>КВАЛИФИКАЦИЯ ПРЕСТУПЛЕНИЙ</t>
  </si>
  <si>
    <t>Антонов В.Ф.</t>
  </si>
  <si>
    <t>978-5-369-01895-8</t>
  </si>
  <si>
    <t>40.03.01, 40.04.01, 40.05.01</t>
  </si>
  <si>
    <t>640374.07.01</t>
  </si>
  <si>
    <t>Квалификация убийств: Науч.-практ. пос. / Д.Ю.Гончаров - М.:НИЦ ИНФРА-М,2025 - 131 с.(ВО)(О)</t>
  </si>
  <si>
    <t>КВАЛИФИКАЦИЯ УБИЙСТВ</t>
  </si>
  <si>
    <t>Гончаров Д.Ю.</t>
  </si>
  <si>
    <t>978-5-16-012601-2</t>
  </si>
  <si>
    <t>40.03.01, 40.04.01, 40.05.01, 40.05.02, 40.05.03, 40.05.04, 40.06.01, 44.03.05</t>
  </si>
  <si>
    <t>343700.06.01</t>
  </si>
  <si>
    <t>Кейтеринг: Уч.пос. / Ю.Б.Башин - М.:Вузовский уч., НИЦ ИНФРА-М,2019 - 126 с.(О)</t>
  </si>
  <si>
    <t>КЕЙТЕРИНГ</t>
  </si>
  <si>
    <t>Башин Ю.Б., Телепченкова Н.В.</t>
  </si>
  <si>
    <t>978-5-9558-0424-8</t>
  </si>
  <si>
    <t>19.03.04, 43.03.02, 43.03.03</t>
  </si>
  <si>
    <t>МИРЭА - Российский технологический университет</t>
  </si>
  <si>
    <t>343700.10.01</t>
  </si>
  <si>
    <t>Кейтеринг: Уч.пос. / Ю.Б.Башин, - 2 изд. - М.:Вуз. уч., НИЦ ИНФРА-М,2025. - 155 с.(ВО)(п)</t>
  </si>
  <si>
    <t>КЕЙТЕРИНГ, ИЗД.2</t>
  </si>
  <si>
    <t>Башин Ю.Б., Власова Н.В.</t>
  </si>
  <si>
    <t>978-5-9558-0634-1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</si>
  <si>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1 от 12.01.2022)</t>
  </si>
  <si>
    <t>668070.02.01</t>
  </si>
  <si>
    <t>Кинематика и динамика автомобил. поршневых двигателей: Уч.пос./ М.П.Вальехо-М.:НИЦ ИНФРА-М,2023.-283с(П)</t>
  </si>
  <si>
    <t>КИНЕМАТИКА И ДИНАМИКА АВТОМОБИЛЬНЫХ ПОРШНЕВЫХ ДВИГАТЕЛЕЙ</t>
  </si>
  <si>
    <t>Вальехо М.П., Чайнов Н.Д.</t>
  </si>
  <si>
    <t>978-5-16-014528-0</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</si>
  <si>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«бакалавриат»)</t>
  </si>
  <si>
    <t>301100.06.01</t>
  </si>
  <si>
    <t>Кинематика и динамика кривошипно-шатунного...: Уч.пос. / А.Н.Гоц - 3 изд. - М:Форум:ИНФРА-М,2025 - 384 с.(п)</t>
  </si>
  <si>
    <t>КИНЕМАТИКА И ДИНАМИКА КРИВОШИПНО-ШАТУННОГО МЕХАНИЗМА ПОРШНЕВЫХ ДВИГАТЕЛЕЙ, ИЗД.3</t>
  </si>
  <si>
    <t>978-5-91134-951-6</t>
  </si>
  <si>
    <t>15.03.01, 15.03.05, 15.04.01, 15.04.05, 23.03.03</t>
  </si>
  <si>
    <t>186250.04.01</t>
  </si>
  <si>
    <t>Кинематика, динамика и прочность машин..: Уч. пос./С.Ф.Яцун - М.: Альфа-М:НИЦ Инфра-М, 2017-208с.(п)</t>
  </si>
  <si>
    <t>КИНЕМАТИКА, ДИНАМИКА И ПРОЧНОСТЬ МАШИН, ПРИБОРОВ И АППАРАТУРЫ</t>
  </si>
  <si>
    <t>Яцун С. Ф., Мищенко В. Я., Политов Е. Н.</t>
  </si>
  <si>
    <t>Технологический сервис</t>
  </si>
  <si>
    <t>978-5-98281-305-3</t>
  </si>
  <si>
    <t>15.03.06, 15.04.06, 22.03.01, 22.04.01, 22.04.02</t>
  </si>
  <si>
    <t>Доп. УМО ВУЗ РФ по обр. в обл. материаловедения, технологии материалов и покрытий в кач. уч. пос. для студ. ВУЗов, обуч. по напр. подготовки бакалавров и магистров 150100 "Материаловедение и технологии материалов"</t>
  </si>
  <si>
    <t>763872.06.01</t>
  </si>
  <si>
    <t>Классики русской лит. в детском чтении: Уч.пос. / Г.М.Первова - М.:НИЦ ИНФРА-М,2025. - 205 с.(ВО)(п)</t>
  </si>
  <si>
    <t>КЛАССИКИ РУССКОЙ ЛИТЕРАТУРЫ В ДЕТСКОМ ЧТЕНИИ</t>
  </si>
  <si>
    <t>978-5-16-018926-0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</si>
  <si>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6 от 08.06.2022)</t>
  </si>
  <si>
    <t>729261.05.01</t>
  </si>
  <si>
    <t>Классификация, состав и общая характер.судовых...: Уч.пос. / С.И.Толстой - М.:НИЦ ИНФРА-М,2024-108с(П)</t>
  </si>
  <si>
    <t>КЛАССИФИКАЦИЯ, СОСТАВ И ОБЩАЯ ХАРАКТЕРИСТИКА СУДОВЫХ ДИЗЕЛЬНЫХ ЭНЕРГЕТИЧЕСКИХ УСТАНОВОК</t>
  </si>
  <si>
    <t>Толстой С.И.</t>
  </si>
  <si>
    <t>978-5-16-016007-8</t>
  </si>
  <si>
    <t>26.02.04, 26.05.06</t>
  </si>
  <si>
    <t>Рекомендовано экспертным советом ЧВВМУ имени П.С. Нахимова в качестве учебного пособия по дисциплине «Судовые пропульсивные комплексы» для студентов, обучающихся по специальности 26.05.06 «Эксплуатация судовых энергетических установок»</t>
  </si>
  <si>
    <t>700672.02.01</t>
  </si>
  <si>
    <t>Классические и неклас. логики в истор.-философ. аспекте: Уч.пос./ А.В.Шевцов-М.:НИЦ ИНФРА-М,2020.-259 с.(П)</t>
  </si>
  <si>
    <t>КЛАССИЧЕСКИЕ И НЕКЛАССИЧЕСКИЕ ЛОГИКИ В ИСТОРИКО-ФИЛОСОФСКОМ АСПЕКТЕ: ОСНОВНЫЕ ПРИНЦИПЫ И ПОНЯТИЯ</t>
  </si>
  <si>
    <t>Шевцов А.В.</t>
  </si>
  <si>
    <t>978-5-16-015135-9</t>
  </si>
  <si>
    <t>47.04.01, 47.06.01</t>
  </si>
  <si>
    <t>Рекомендовано Редакционно-издательским советом Московского авиационного института (национального исследовательского университета) в качестве учебного пособия</t>
  </si>
  <si>
    <t>479300.05.01</t>
  </si>
  <si>
    <t>Климатология: Уч. / А.В.Кислов - 3 изд. - М.:НИЦ ИНФРА-М,2020 - 324 с.-(ВО: Бакалавриат)(П)</t>
  </si>
  <si>
    <t>КЛИМАТОЛОГИЯ, ИЗД.3</t>
  </si>
  <si>
    <t>Кислов А.В., Суркова Г.В.</t>
  </si>
  <si>
    <t>978-5-16-011694-5</t>
  </si>
  <si>
    <t>05.03.02, 05.03.04, 20.03.02</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</si>
  <si>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направлениям 05.03.02 «География»; 05.03.04 «Гидрометеорология» (квалификация (степень) «бакалавр»)</t>
  </si>
  <si>
    <t>Московский государственный университет им. М.В. Ломоносова, географический факультет</t>
  </si>
  <si>
    <t>682952.04.01</t>
  </si>
  <si>
    <t>Климатология: Уч. / А.В.Кислов - 3 изд., доп. - М.:НИЦ ИНФРА-М,2023 - 324 с.-(СПО)(П)</t>
  </si>
  <si>
    <t>978-5-16-013954-8</t>
  </si>
  <si>
    <t>05.02.02, 05.02.03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</si>
  <si>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05.02.00 «Науки о Земле»</t>
  </si>
  <si>
    <t>479300.10.01</t>
  </si>
  <si>
    <t>Климатология: Уч. / А.В.Кислов - 4 изд. - М.:НИЦ ИНФРА-М,2025 - 324 с.-(ВО: Бакалавриат)(П)</t>
  </si>
  <si>
    <t>КЛИМАТОЛОГИЯ, ИЗД.4</t>
  </si>
  <si>
    <t>978-5-16-015194-6</t>
  </si>
  <si>
    <t>832384.01.01</t>
  </si>
  <si>
    <t>Клиническая анатомия и заболевания гортани...: Уч.мет.пос. / И.Д.Шляга - М.:НИЦ ИНФРА-М,2025 - 114 с.(ВО)(о)</t>
  </si>
  <si>
    <t>КЛИНИЧЕСКАЯ АНАТОМИЯ И ЗАБОЛЕВАНИЯ ГОРТАНИ. СОВРЕМЕННЫЕ МЕТОДЫ ДИАГНОСТИКИ</t>
  </si>
  <si>
    <t>Шляга И.Д., МЕЖЕЙНИКОВА М.О., Поддубный А.А.</t>
  </si>
  <si>
    <t>978-5-16-020379-9</t>
  </si>
  <si>
    <t>31.05.01, 31.05.02, 31.05.03, 32.05.01</t>
  </si>
  <si>
    <t>643070.09.01</t>
  </si>
  <si>
    <t>Клиническая биохимия:курс лекций / В.Н.Титов - М.:НИЦ ИНФРА-М,2025 - 441 с.(Клиническая практика)(П)</t>
  </si>
  <si>
    <t>КЛИНИЧЕСКАЯ БИОХИМИЯ:КУРС ЛЕКЦИЙ</t>
  </si>
  <si>
    <t>Титов В.Н.</t>
  </si>
  <si>
    <t>978-5-16-012430-8</t>
  </si>
  <si>
    <t>30.06.01, 30.07.01, 31.06.01, 31.07.01</t>
  </si>
  <si>
    <t>Российский кардиологический научно-производственный комплекс</t>
  </si>
  <si>
    <t>716434.04.01</t>
  </si>
  <si>
    <t>Клиническая иммунология и аллергология: Уч. / А.М.Земсков. - М.:НИЦ ИНФРА-М,2025. - 420 с.(ВО: Спец.)(П)</t>
  </si>
  <si>
    <t>КЛИНИЧЕСКАЯ ИММУНОЛОГИЯ И АЛЛЕРГОЛОГИЯ</t>
  </si>
  <si>
    <t>Земсков А.М., Земсков В.М., Земскова В.А.</t>
  </si>
  <si>
    <t>978-5-16-020564-9</t>
  </si>
  <si>
    <t>Воронежский государственный медицинский университет им. Н.Н. Бурденко</t>
  </si>
  <si>
    <t>658024.03.01</t>
  </si>
  <si>
    <t>Клиническая история хирургич. больного: Справ.пос./ В.И.Белоконев-М:Форум,НИЦ ИНФРА-М,2023-223с(ВО)(П)</t>
  </si>
  <si>
    <t>КЛИНИЧЕСКАЯ ИСТОРИЯ ХИРУРГИЧЕСКОГО БОЛЬНОГО</t>
  </si>
  <si>
    <t>Белоконев В.И., Мелентьева О.Н.</t>
  </si>
  <si>
    <t>978-5-00091-470-0</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</si>
  <si>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31.08.67 «Хирургия» (квалификация «врач-хирург»)</t>
  </si>
  <si>
    <t>420150.10.01</t>
  </si>
  <si>
    <t>Клиническая психиатрия. Избр. лекции: Уч.пос. / Л.М.Барденштейн - М.:НИЦ ИНФРА-М,2025 - 432 с.(ВО)(п)</t>
  </si>
  <si>
    <t>КЛИНИЧЕСКАЯ ПСИХИАТРИЯ. ИЗБРАННЫЕ ЛЕКЦИИ</t>
  </si>
  <si>
    <t>Барденштейн Л.М., Беглянкин Н.И., Казаковцев Б.А. и др.</t>
  </si>
  <si>
    <t>978-5-16-006541-0</t>
  </si>
  <si>
    <t>31.00.00, 31.05.03</t>
  </si>
  <si>
    <t>Рекомендуется Учебно-методическим объединением по медицинскому и фармацевтическому образованию вузов России в качестве учебного пособия для студентов медицинских вузов, обучающихся по специальности 060105 — "Стоматология”</t>
  </si>
  <si>
    <t>176300.11.01</t>
  </si>
  <si>
    <t>Клиническая фармакология и рацион..: Уч. пос. / В.В.Косарев - М.:Вуз.уч.:НИЦ Инфра-М, 2025 - 237с. (п)(+CD)</t>
  </si>
  <si>
    <t>КЛИНИЧЕСКАЯ ФАРМАКОЛОГИЯ И РАЦИОНАЛЬНАЯ ФАРМАКОТЕРАПИЯ</t>
  </si>
  <si>
    <t>Косарев В. В., Бабанов С. А.</t>
  </si>
  <si>
    <t>978-5-9558-0258-9</t>
  </si>
  <si>
    <t>31.05.03, 32.05.01, 33.05.01, 34.03.01</t>
  </si>
  <si>
    <t>Рекомендовано Учебно-методическим объединением по медицинскому и фармацевтическому образованию вузов РФ в качестве учебного пособия для системы послевузовского профессионального образования врачей</t>
  </si>
  <si>
    <t>721508.07.01</t>
  </si>
  <si>
    <t>Клиническая эндокрин. детей и подростков: Уч.пос.: В 2 ч.Ч.2 / Ю.Г.Самойлова - М.:НИЦ ИНФРА-М,2025 - 286 с.(П)</t>
  </si>
  <si>
    <t>КЛИНИЧЕСКАЯ ЭНДОКРИНОЛОГИЯ ДЕТЕЙ И ПОДРОСТКОВ: В 2 ЧАСТЯХ ЧАСТЬ 2, Т.2</t>
  </si>
  <si>
    <t>Самойлова Ю.Г., Олейник О.А., Ворожцова И.Н. и др.</t>
  </si>
  <si>
    <t>978-5-16-016020-7</t>
  </si>
  <si>
    <t>31.05.02, 32.05.01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</si>
  <si>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31.05.02 «Педиатрия» (квалификация «врач-педиатр общей практики») (протокол № 12 от 24.06.2019)</t>
  </si>
  <si>
    <t>Сибирский государственный медицинский университет</t>
  </si>
  <si>
    <t>674053.10.01</t>
  </si>
  <si>
    <t>Клиническая эндокринология детей и подростков: Уч. пос.: В 2 ч.Ч.1 / Ю.Г.Самойлова - М.:НИЦ ИНФРА-М,2025 - 313 с.(П)</t>
  </si>
  <si>
    <t>КЛИНИЧЕСКАЯ ЭНДОКРИНОЛОГИЯ ДЕТЕЙ И ПОДРОСТКОВ, Т.1</t>
  </si>
  <si>
    <t>Самойлова Ю.Г., Олейник О.А., Матвеева М.В. и др.</t>
  </si>
  <si>
    <t>978-5-16-015100-7</t>
  </si>
  <si>
    <t>702285.04.01</t>
  </si>
  <si>
    <t>Клинические варианты повреждений пищевода...: Уч.пос. / В.И.Белоконев - М.:НИЦ ИНФРА-М,2022 - 162 с.(П)</t>
  </si>
  <si>
    <t>КЛИНИЧЕСКИЕ ВАРИАНТЫ ПОВРЕЖДЕНИЙ ПИЩЕВОДА, ДИАГНОСТИКА И СПОСОБЫ ЛЕЧЕНИЯ</t>
  </si>
  <si>
    <t>978-5-16-015024-6</t>
  </si>
  <si>
    <t>31.05.01, 31.05.02, 31.08.28</t>
  </si>
  <si>
    <t>682678.05.01</t>
  </si>
  <si>
    <t>Когерентная оптика и оптич. обработка информ.: Уч.пос. / В.Ш.Берикашвили - М.:НИЦ ИНФРА-М,2025. - 306 с.(ВО)(П)</t>
  </si>
  <si>
    <t>КОГЕРЕНТНАЯ ОПТИКА И ОПТИЧЕСКАЯ ОБРАБОТКА ИНФОРМАЦИИ</t>
  </si>
  <si>
    <t>Берикашвили В.Ш.</t>
  </si>
  <si>
    <t>978-5-16-014695-9</t>
  </si>
  <si>
    <t>12.03.01, 12.03.02, 12.03.03, 12.03.05, 12.04.02, 12.04.03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</si>
  <si>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12.03.01 «Приборостроение», 12.03.02 «Оптотехника», 12.03.03 «Фотоника и оптоинформатика» (квалификация (степень) «бакалавр») (протокол № 5 от 16.03.2020)</t>
  </si>
  <si>
    <t>106987.10.01</t>
  </si>
  <si>
    <t>Когнитивная психология: Уч.пос. / А.П.Лобанов - 2 изд.-М.:НИЦ ИНФРА-М,Новое зн.,2023-376 с(ВО)(П)</t>
  </si>
  <si>
    <t>КОГНИТИВНАЯ ПСИХОЛОГИЯ, ИЗД.2</t>
  </si>
  <si>
    <t>Лобанов А. П.</t>
  </si>
  <si>
    <t>978-5-16-006030-9</t>
  </si>
  <si>
    <t>37.03.01, 37.03.02, 37.05.01, 37.05.02, 39.03.01, 39.03.02, 39.03.03, 44.03.01, 44.03.02, 44.03.03, 44.03.04, 44.03.05</t>
  </si>
  <si>
    <t>Допущено Мин. обр. РБ в качестве учебного пособия для студентов учреждеений высшего образования по психологическим и педагогическим специальностям</t>
  </si>
  <si>
    <t>661454.06.01</t>
  </si>
  <si>
    <t>Козоводство: Уч. / А.И.Чикалев - 2 изд. - М.:КУРС, НИЦ ИНФРА-М,2025 - 240 с.(П)</t>
  </si>
  <si>
    <t>КОЗОВОДСТВО, ИЗД.2</t>
  </si>
  <si>
    <t>978-5-906923-49-3</t>
  </si>
  <si>
    <t>425150.09.01</t>
  </si>
  <si>
    <t>Количественные методы в ист. исслед.: Уч.пос. / Под ред. Селунской Н.Б.-М.:НИЦ ИНФРА-М,2024.-255 с.(ВО)(П)</t>
  </si>
  <si>
    <t>КОЛИЧЕСТВЕННЫЕ МЕТОДЫ В ИСТОРИЧЕСКИХ ИССЛЕДОВАНИЯХ</t>
  </si>
  <si>
    <t>Селунская Н. Б., Петрова О. С., Карагодин А. В., Селунская Н. Б.</t>
  </si>
  <si>
    <t>978-5-16-006586-1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</si>
  <si>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«История»</t>
  </si>
  <si>
    <t>733604.03.01</t>
  </si>
  <si>
    <t>Коммент. к главе 8 Кодекса РФ об адм. правонаруш. от 30.12.2001 г. / А.Ф. Ноздрачев - М.: НИЦ ИНФРА-М,2021-472с(П)</t>
  </si>
  <si>
    <t>КОММЕНТАРИЙ К ГЛАВЕ 8 КОДЕКСА РОССИЙСКОЙ ФЕДЕРАЦИИ ОБ АДМИНИСТРАТИВНЫХ ПРАВОНАРУШЕНИЯХ ОТ 30 ДЕКАБРЯ 2001 ГОДА № 195-ФЗ «АДМИНИСТРАТИВНЫЕ ПРАВОНАРУШЕНИЯ В СФЕРЕ ОХРАНЫ ОКРУЖАЮЩЕЙ СРЕДЫ И ПРИРОДОПОЛЬЗОВАНИЯ» (ПОСТАТЕЙНЫЙ)</t>
  </si>
  <si>
    <t>Ноздрачев А.Ф., Васильева М.И., Галиновская Е.А. и др.</t>
  </si>
  <si>
    <t>978-5-16-016077-1</t>
  </si>
  <si>
    <t>Комментарий</t>
  </si>
  <si>
    <t>632528.07.01</t>
  </si>
  <si>
    <t>Коммент. к Конституции РФ для студент... / М.Б.Смоленский - 2 изд-М.:ИЦ РИОР,НИЦ ИНФРА-М,2024-254с.(О,к/ф)</t>
  </si>
  <si>
    <t>КОММЕНТАРИЙ К КОНСТИТУЦИИ РОССИЙСКОЙ ФЕДЕРАЦИИ ДЛЯ СТУДЕНТОВ И ШКОЛЬНИКОВ (ПОСТАТЕЙНЫЙ), ИЗД.2</t>
  </si>
  <si>
    <t>Смоленский М.Б.</t>
  </si>
  <si>
    <t>978-5-369-01897-2</t>
  </si>
  <si>
    <t>40.02.04, 44.02.03</t>
  </si>
  <si>
    <t>632528.04.01</t>
  </si>
  <si>
    <t>Коммент. к Конституции РФ для студент... / М.Б.Смоленский -М.:ИЦ РИОР,НИЦ ИНФРА-М,2019-230с.(О,к/ф)</t>
  </si>
  <si>
    <t>КОММЕНТАРИЙ К КОНСТИТУЦИИ РОССИЙСКОЙ ФЕДЕРАЦИИ ДЛЯ СТУДЕНТОВ И ШКОЛЬНИКОВ (ПОСТАТЕЙНЫЙ)</t>
  </si>
  <si>
    <t>978-5-369-01561-2</t>
  </si>
  <si>
    <t>469750.07.01</t>
  </si>
  <si>
    <t>Коммерция (по отраслям). Уч.мет.пос. / С.И.Жулидов - М.:ИД ФОРУМ, НИЦ ИНФРА-М,2020 -96с.(О)</t>
  </si>
  <si>
    <t>КОММЕРЦИЯ (ПО ОТРАСЛЯМ) : УЧЕБНО-МЕТОДИЧЕСКОЕ ПОСОБИЕ ПО ПОДГОТОВКЕ И ЗАЩИТЕ ВЫПУСКНОЙ КВАЛИФИКАЦИОННОЙ РАБОТЫ</t>
  </si>
  <si>
    <t>Жулидов С. И., Матырская Н. В., Земцова Н. Ф., Дуравина М. Ю.</t>
  </si>
  <si>
    <t>978-5-8199-0751-1</t>
  </si>
  <si>
    <t>38.02.03, 38.02.08</t>
  </si>
  <si>
    <t>Рекомендовано УМК в качестве учебного пособия для студентов средних специальных учебных заведений, обучающихся по специальности 38.02.04 «Коммерция»</t>
  </si>
  <si>
    <t>Многоотраслевой колледж г. Моршанск</t>
  </si>
  <si>
    <t>469750.08.01</t>
  </si>
  <si>
    <t>Коммерция (по отраслям): Уч.мет.пос. / С.И.Жулидов - 2 изд.-М.:НИЦ ИНФРА-М,2023.-209 с.(П)</t>
  </si>
  <si>
    <t>КОММЕРЦИЯ (ПО ОТРАСЛЯМ), ИЗД.2</t>
  </si>
  <si>
    <t>Жулидов С.И., Матырская Н.В., Катюхина Г.А. и др.</t>
  </si>
  <si>
    <t>978-5-16-016628-5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</si>
  <si>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6 от 08.06.2022)</t>
  </si>
  <si>
    <t>143550.06.01</t>
  </si>
  <si>
    <t>Коммерция в средствах массовой информации: уч.пос. / Г.А.Яковлев-М.:НИЦ ИНФРА-М,2024.-143 с..-(ВО)(о)</t>
  </si>
  <si>
    <t>КОММЕРЦИЯ В СРЕДСТВАХ МАССОВОЙ ИНФОРМАЦИИ</t>
  </si>
  <si>
    <t>Яковлев Г. А.</t>
  </si>
  <si>
    <t>978-5-16-019132-4</t>
  </si>
  <si>
    <t>42.03.01, 42.03.02, 42.03.03, 42.03.04, 42.03.05</t>
  </si>
  <si>
    <t>Рекомендовано в качестве учебного пособия для студентов высших учебных заведений, обучающихся по направлениям подготовки 42.03.01 «Реклама и связи с общественностью», 42.03.03 «Издательское дело», 42.03.04 «Телевидение» (квалификация (степень) «бакалавр»)</t>
  </si>
  <si>
    <t>214800.07.01</t>
  </si>
  <si>
    <t>Коммерция: Уч. пос. / Г.Г. Иванов, С.Л. Орлов. - М.: ИД ФОРУМ:  НИЦ ИНФРА-М, 2024. - 160 с.(ВО) (о)</t>
  </si>
  <si>
    <t>КОММЕРЦИЯ</t>
  </si>
  <si>
    <t>Иванов Г. Г., Орлов С. Л.</t>
  </si>
  <si>
    <t>978-5-8199-0555-5</t>
  </si>
  <si>
    <t>38.03.01, 38.03.02, 38.03.06, 38.03.07</t>
  </si>
  <si>
    <t>Рекомендовано кафедрой торговой политики РЭУ им. Г.В. Плеханова в качестве учебного пособия для студентов высших учебных заведений, обучающихя по направлениям «Торговое дело» (бакалвриат), «Экономика» (бакалавриат), «Менеджмент» (бакалавриат)</t>
  </si>
  <si>
    <t>684814.03.01</t>
  </si>
  <si>
    <t>Коммерция: Уч.пос. / Г.Г.Иванов - М.:ИД ФОРУМ, НИЦ ИНФРА-М,2023 - 160 с.-(СПО)(П)</t>
  </si>
  <si>
    <t>Иванов Г.Г., Орлов С.Л.</t>
  </si>
  <si>
    <t>978-5-8199-0807-5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</si>
  <si>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38.02.04 «Коммерция (по отраслям)»</t>
  </si>
  <si>
    <t>167100.07.01</t>
  </si>
  <si>
    <t>Коммерческая деят. предприятий торговли: Уч. пос. / Н.И.Денисова - М.: Магистр:  ИНФРА-М, 2022-480с. (п)</t>
  </si>
  <si>
    <t>КОММЕРЧЕСКАЯ ДЕЯТЕЛЬНОСТЬ ПРЕДПРИЯТИЙ ТОРГОВЛИ</t>
  </si>
  <si>
    <t>Денисова Н. И.</t>
  </si>
  <si>
    <t>978-5-9776-0206-8</t>
  </si>
  <si>
    <t>Допущено УМО по образованию в области коммерции в качестве учебного пособия для студентов высших учебных заведений, обучающихся по специальности "Коммерция (торговое дело)"</t>
  </si>
  <si>
    <t>171600.12.01</t>
  </si>
  <si>
    <t>Коммерческая деятельность: Уч. / Г.Г.Иванов - М.:ИД ФОРУМ, ИНФРА-М,2024 - 384 с.(ВО)(П)</t>
  </si>
  <si>
    <t>КОММЕРЧЕСКАЯ ДЕЯТЕЛЬНОСТЬ</t>
  </si>
  <si>
    <t>Иванов Г. Г., Холин Е. С.</t>
  </si>
  <si>
    <t>978-5-8199-0939-3</t>
  </si>
  <si>
    <t>38.03.06, 38.03.07, 38.04.06</t>
  </si>
  <si>
    <t>Рекомендовано Советом ФЭТТ РЭУ им. Г.В. Плеханова в качестве учебника для студентов вузов, обучающихся по направлению 100700.52 "Торговое дело" (бакалавриат)</t>
  </si>
  <si>
    <t>422150.09.01</t>
  </si>
  <si>
    <t>Коммерческая логистика: Уч.пос. / Н.А.Нагапетьянц - 2 изд  - М.:НИЦ ИНФРА-М,2024 - 259 с.-(П)</t>
  </si>
  <si>
    <t>КОММЕРЧЕСКАЯ ЛОГИСТИКА, ИЗД.2</t>
  </si>
  <si>
    <t>Нагапетьянц Н.А., Каменева Н.Г., Поляков В.А. и др.</t>
  </si>
  <si>
    <t>978-5-16-015875-4</t>
  </si>
  <si>
    <t>29.04.02, 38.03.01, 38.03.02, 38.03.06, 41.03.06, 42.03.01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</si>
  <si>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</si>
  <si>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422150.06.01</t>
  </si>
  <si>
    <t>Коммерческая логистика: Уч.пос. / Н.А.Нагапетьянц -М.:Вуз. уч., НИЦ ИНФРА-М,2020.-253 с.(П)</t>
  </si>
  <si>
    <t>КОММЕРЧЕСКАЯ ЛОГИСТИКА</t>
  </si>
  <si>
    <t>978-5-9558-0303-6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</si>
  <si>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</si>
  <si>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719421.04.01</t>
  </si>
  <si>
    <t>Коммерческая логистика: Уч.пос. / Под ред. Нагапетьянца Н.А. - 2 изд. - М.:НИЦ ИНФРА-М,2023-259 с.(П)</t>
  </si>
  <si>
    <t>978-5-16-015895-2</t>
  </si>
  <si>
    <t>23.02.01, 38.02.03, 38.02.08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</si>
  <si>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3 от 17.03.2021)</t>
  </si>
  <si>
    <t>098200.07.01</t>
  </si>
  <si>
    <t>Коммерческое (предприним.) право: Уч. / В.Ф.Попондопуло,-4 изд.-М.:Юр.Норма,НИЦ ИНФРА-М,2017-608с(п)</t>
  </si>
  <si>
    <t>КОММЕРЧЕСКОЕ (ПРЕДПРИНИМАТЕЛЬСКОЕ) ПРАВО, ИЗД.4</t>
  </si>
  <si>
    <t>Попондопуло В.Ф.</t>
  </si>
  <si>
    <t>978-5-91768-568-7</t>
  </si>
  <si>
    <t>278000.05.01</t>
  </si>
  <si>
    <t>Коммуникативный менеджмент: Уч.пос. / А.А.Шунейко - М.:Вуз.уч.,НИЦ ИНФРА-М,2024 - 176 с.(О)</t>
  </si>
  <si>
    <t>КОММУНИКАТИВНЫЙ МЕНЕДЖМЕНТ</t>
  </si>
  <si>
    <t>Шунейко А.А., Авдеенко И.А.</t>
  </si>
  <si>
    <t>978-5-9558-0488-0</t>
  </si>
  <si>
    <t>38.03.02, 38.04.02, 41.03.06, 42.03.02, 42.03.05, 42.04.02, 42.04.05</t>
  </si>
  <si>
    <t>Комсомольский-на-Амуре государственный университет</t>
  </si>
  <si>
    <t>273000.08.01</t>
  </si>
  <si>
    <t>Коммуникационный  маркетинг: креативные...: уч.пос. / А.М.Пономарева - М.:ИЦ РИОР, НИЦ ИНФРА-М,2025. - 247 с.-(ВО: Магистр.)(п)</t>
  </si>
  <si>
    <t>КОММУНИКАЦИОННЫЙ  МАРКЕТИНГ: КРЕАТИВНЫЕ СРЕДСТВА И ИНСТРУМЕНТЫ</t>
  </si>
  <si>
    <t>Пономарева А.М.</t>
  </si>
  <si>
    <t>978-5-369-01531-5</t>
  </si>
  <si>
    <t>27.03.02, 27.03.05, 38.03.02, 38.03.06, 38.04.02, 38.04.06, 42.03.01, 42.04.01, 43.03.01, 43.03.02, 43.03.03, 44.03.01, 44.03.05</t>
  </si>
  <si>
    <t>Рекомендовано Учебно-методическим объединением вузов России по образованию в области торгового дела в качестве учебного пособия для студентов высших учебных заведений, обучающихся по направлению «Торговое дело» (квалификакия(степень) «магистр»)</t>
  </si>
  <si>
    <t>Ростовский государственный экономический университет (РИНХ), ф-л в г. Миллерово</t>
  </si>
  <si>
    <t>668804.06.01</t>
  </si>
  <si>
    <t>Коммуникация. Стиль. Интеркультура: Уч.пос. / Л.В.Куликова - М.:НИЦ ИНФРА-М, СФУ,2025 - 268 с.(ВО)(П)</t>
  </si>
  <si>
    <t>КОММУНИКАЦИЯ. СТИЛЬ. ИНТЕРКУЛЬТУРА: ПРАГМАЛИНГВИСТИЧЕСКИЕ И КУЛЬТУРНО-АНТРОПОЛОГИЧЕСКИЕ ПОДХОДЫ К МЕЖКУЛЬТУРНОМУ ОБЩЕНИЮ</t>
  </si>
  <si>
    <t>Куликова Л.В.</t>
  </si>
  <si>
    <t>978-5-16-013319-5</t>
  </si>
  <si>
    <t>45.04.02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</si>
  <si>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для студентов, обучающихся по направлению 45.04.02 «Лингвистика» (квалификация (степень) «магистр»)</t>
  </si>
  <si>
    <t>338900.08.01</t>
  </si>
  <si>
    <t>Компетентностный подход в упр. персоналом...: Уч.пос. / О.Л.Чуланова - 2изд.-М.:ИНФРА-М,2024-116с(ВО)(о)</t>
  </si>
  <si>
    <t>КОМПЕТЕНТНОСТНЫЙ ПОДХОД В УПРАВЛЕНИИ ПЕРСОНАЛОМ: СХЕМЫ, ТАБЛИЦЫ, ПРАКТИКА ПРИМЕНЕНИЯ, ИЗД.2</t>
  </si>
  <si>
    <t>978-5-16-018840-9</t>
  </si>
  <si>
    <t>23.03.01, 38.03.01, 38.03.02, 38.03.03, 38.04.02, 38.04.03, 38.06.01, 41.03.06, 44.03.01, 51.03.02</t>
  </si>
  <si>
    <t>Рекомендовано в качестве учебного пособия для студентов образовательных организаций высшего образования, обучающихся по направлениям подготовки 38.03.03 «Управление персоналом» (уровень бакалавриата), 38.04.03 «Управление персоналом» (уровень магистратуры) и 38.06.01 «Экономика» (уровень подготовки кадров высшей квалификации)</t>
  </si>
  <si>
    <t>701559.03.01</t>
  </si>
  <si>
    <t>Компетентностный подход в управ. персоналом: Уч. / О.Л.Чуланова-М.:НИЦ ИНФРА-М,2023.-368 с.(ВО)(П)</t>
  </si>
  <si>
    <t>КОМПЕТЕНТНОСТНЫЙ ПОДХОД В УПРАВЛЕНИИ ПЕРСОНАЛОМ</t>
  </si>
  <si>
    <t>978-5-16-014886-1</t>
  </si>
  <si>
    <t>38.03.01, 38.03.03, 41.03.06</t>
  </si>
  <si>
    <t>Рекомендовано к публикации и использованию в учебном процессе Редакционно-издательским советом бюджетного учреждения высшего образования Ханты-Мансийского автономного округа — Югры «Сургутский государственный университет»</t>
  </si>
  <si>
    <t>338900.02.98</t>
  </si>
  <si>
    <t>Компетентностный подход в управл. персоналом:: Уч.пос. /О.Л.Чуланова -М.:НИЦ ИНФРА-М,2017-73с(ВО)(О)</t>
  </si>
  <si>
    <t>КОМПЕТЕНТНОСТНЫЙ ПОДХОД В УПРАВЛЕНИИ ПЕРСОНАЛОМ: СХЕМЫ, ТАБЛИЦЫ, ПРАКТИКА ПРИМЕНЕНИЯ</t>
  </si>
  <si>
    <t>978-5-16-010724-0</t>
  </si>
  <si>
    <t>Рекомендовано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t>
  </si>
  <si>
    <t>645296.09.01</t>
  </si>
  <si>
    <t>Комплаенс-програм.организации: Практ. пос. /В.А.Черепанова,- 4изд.-М.:Вуз.уч., НИЦ ИНФРА-М,2019-288с</t>
  </si>
  <si>
    <t>КОМПЛАЕНС-ПРОГРАММА ОРГАНИЗАЦИИ, ИЗД.4</t>
  </si>
  <si>
    <t>Черепанова В.А.</t>
  </si>
  <si>
    <t>978-5-16-014703-1</t>
  </si>
  <si>
    <t>38.03.01, 38.03.02, 38.03.03, 38.03.04, 38.04.02, 41.03.06</t>
  </si>
  <si>
    <t>645296.15.01</t>
  </si>
  <si>
    <t>Комплаенс-программа организации: Прак. рук. / В.А.Черепанова - 5 изд. - М.:НИЦ ИНФРА-М,2024-285 с.(ВО)(П)</t>
  </si>
  <si>
    <t>КОМПЛАЕНС-ПРОГРАММА ОРГАНИЗАЦИИ, ИЗД.5</t>
  </si>
  <si>
    <t>978-5-16-016722-0</t>
  </si>
  <si>
    <t>0521</t>
  </si>
  <si>
    <t>632305.07.01</t>
  </si>
  <si>
    <t>Комплексная автоматизация в энергосбережении: Уч.пос. / Р.С.Голов. - М.:НИЦ ИНФРА-М,2025 - 312 с.(ВО)(П)</t>
  </si>
  <si>
    <t>КОМПЛЕКСНАЯ АВТОМАТИЗАЦИЯ В ЭНЕРГОСБЕРЕЖЕНИИ</t>
  </si>
  <si>
    <t>Голов Р.С., Теплышев В.Ю., Сорокин А.Е. и др.</t>
  </si>
  <si>
    <t>978-5-16-011982-3</t>
  </si>
  <si>
    <t>09.05.01, 13.03.02, 13.04.01, 15.03.04</t>
  </si>
  <si>
    <t>Рекомендовано в качестве учебного пособия для студентов высших учебных заведений, обучающихся по направлениям подготовки 13.03.02 «Электроэнергетика и электротехника»,15.03.04 «Автоматизация технологических процессов и производств» (квалификация (степень) «бакалавр»)</t>
  </si>
  <si>
    <t>118450.14.01</t>
  </si>
  <si>
    <t>Комплексная защита информ.в корпорат..: Уч.пос. /В.Ф.Шаньгин-М.:ИД ФОРУМ,НИЦ ИНФРА-М,2024-592с(ВО)(п)</t>
  </si>
  <si>
    <t>КОМПЛЕКСНАЯ ЗАЩИТА ИНФОРМАЦИИ В КОРПОРАТИВНЫХ СИСТЕМАХ</t>
  </si>
  <si>
    <t>978-5-8199-0730-6</t>
  </si>
  <si>
    <t>09.03.03, 09.04.03, 27.04.03, 46.03.02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</si>
  <si>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09.03.01 «Информатика и вычислительная техника»</t>
  </si>
  <si>
    <t>164550.09.01</t>
  </si>
  <si>
    <t>Комплексное восстановл. речи у взрослых пациентов... / В.А.Тинин - М.:ИЦ РИОР, НИЦ ИНФРА-М,2025 - 111 с.(О)</t>
  </si>
  <si>
    <t>КОМПЛЕКСНОЕ ВОССТАНОВЛЕНИЕ РЕЧИ У ВЗРОСЛЫХ ПАЦИЕНТОВ</t>
  </si>
  <si>
    <t>Тинин В.А.</t>
  </si>
  <si>
    <t>978-5-369-00995-6</t>
  </si>
  <si>
    <t>31.05.01, 31.05.02, 31.08.42, 44.04.03</t>
  </si>
  <si>
    <t>ГБУЗ «ГП№69 ДЗМ»</t>
  </si>
  <si>
    <t>033020.25.01</t>
  </si>
  <si>
    <t>Комплексный анализ хоз. деят. предпр.: Уч. / Г.В.Савицкая, - 7 изд. - М.:НИЦ ИНФРА-М,2025. - 608 с.(ВО)(П)</t>
  </si>
  <si>
    <t>КОМПЛЕКСНЫЙ АНАЛИЗ ХОЗЯЙСТВЕННОЙ ДЕЯТЕЛЬНОСТИ ПРЕДПРИЯТИЯ, ИЗД.7</t>
  </si>
  <si>
    <t>978-5-16-018752-5</t>
  </si>
  <si>
    <t>Рекомендовано в качестве учебника для студентов, обучающихся по направлению подготовки 38.03.01«Экономика» (квалификация (степень) «бакалавр»)</t>
  </si>
  <si>
    <t>774778.02.01</t>
  </si>
  <si>
    <t>Комплексный анализ хоз. деятельности: Уч. / Е.В.Никифорова - М.:НИЦ ИНФРА-М,2025. - 248 с.(ВО)(п)</t>
  </si>
  <si>
    <t>КОМПЛЕКСНЫЙ АНАЛИЗ ХОЗЯЙСТВЕННОЙ ДЕЯТЕЛЬНОСТИ</t>
  </si>
  <si>
    <t>Никифорова Е.В., Ушанов И.Г., Шнайдер О.В.</t>
  </si>
  <si>
    <t>978-5-16-018780-8</t>
  </si>
  <si>
    <t>38.03.01, 38.03.02, 38.04.01, 38.04.02, 38.05.01</t>
  </si>
  <si>
    <t>818415.01.01</t>
  </si>
  <si>
    <t>Комплексный аудит экономич. безоп. хоз. субъект.: Уч.пос. / В.Д.Андреев-М.:Магистр, НИЦ ИНФРА-М,2024-392 с.(п)</t>
  </si>
  <si>
    <t>КОМПЛЕКСНЫЙ АУДИТ ЭКОНОМИЧЕСКОЙ БЕЗОПАСНОСТИ ХОЗЯЙСТВУЮЩИХ СУБЪЕКТОВ</t>
  </si>
  <si>
    <t>Андреев В.Д.</t>
  </si>
  <si>
    <t>978-5-9776-0560-1</t>
  </si>
  <si>
    <t>38.05.01</t>
  </si>
  <si>
    <t>641517.03.01</t>
  </si>
  <si>
    <t>Комплексный риск-ориентир.аудит коммерч.орг.:Уч.пос. /В.Д.Андреев-М.:Магистр,НИЦ ИНФРА-М,2019-248(О)</t>
  </si>
  <si>
    <t>КОМПЛЕКСНЫЙ РИСК-ОРИЕНТИРОВАННЫЙ АУДИТ КОММЕРЧЕСКИХ ОРГАНИЗАЦИЙ</t>
  </si>
  <si>
    <t>978-5-9776-0439-0</t>
  </si>
  <si>
    <t>433500.07.01</t>
  </si>
  <si>
    <t>Комплексный фин. анализ в упр. предпр.: Уч.пос./ С.А.Бороненкова - 2 изд. - М.:НИЦ ИНФРА-М,2024 - 509 с.(ВО)(п)</t>
  </si>
  <si>
    <t>КОМПЛЕКСНЫЙ ФИНАНСОВЫЙ АНАЛИЗ В УПРАВЛЕНИИ ПРЕДПРИЯТИЕМ, ИЗД.2</t>
  </si>
  <si>
    <t>Бороненкова С.А., Мельник М.В., Чепулянис А.В.</t>
  </si>
  <si>
    <t>978-5-16-019744-9</t>
  </si>
  <si>
    <t>38.03.02, 38.04.01, 38.04.02, 38.04.08, 41.03.06</t>
  </si>
  <si>
    <t>433500.06.01</t>
  </si>
  <si>
    <t>Комплексный фин.анализ в упр.предпр.: Уч.пос. / С.А.Бороненкова - М.:Форум,НИЦ ИНФРА-М,2021-336с.(п)</t>
  </si>
  <si>
    <t>КОМПЛЕКСНЫЙ ФИНАНСОВЫЙ АНАЛИЗ В УПРАВЛЕНИИ ПРЕДПРИЯТИЕМ</t>
  </si>
  <si>
    <t>Бороненкова С.А., Мельник М.В.</t>
  </si>
  <si>
    <t>978-5-00091-581-3</t>
  </si>
  <si>
    <t>Рекомендовано Учебно-методическим объединением по образованию в области финансов, учета и мировой экономики в качестве учебного пособия для бакалавров и магистров, обучающихся по направлениям подготовки 38.03.01, 38.04.01 «Экономика» и 38.03.02, 38.04.02 «Менеджмент»</t>
  </si>
  <si>
    <t>433400.04.01</t>
  </si>
  <si>
    <t>Комплексный эконом. анализ в упр.предпр.: Уч.пос. / С.А.Бороненкова-М.:Форум, НИЦ ИНФРА-М,2021-352с(ВО)(G)</t>
  </si>
  <si>
    <t>КОМПЛЕКСНЫЙ ЭКОНОМИЧЕСКИЙ АНАЛИЗ В УПРАВЛЕНИИ ПРЕДПРИЯТИЕМ</t>
  </si>
  <si>
    <t>978-5-16-016455-7</t>
  </si>
  <si>
    <t>Рекомендовано Учебно-методическим объединением по образованию в области финансов, учета и мировой экономики в качестве учебного пособия для бакалавров и магистров, обучающихся по направлению подготовки «Экономика»</t>
  </si>
  <si>
    <t>433400.05.01</t>
  </si>
  <si>
    <t>Комплексный эконом. анализ в управ. предпр.: Уч.пос. / С.А.Бороненкова - 2изд.-М.:НИЦ ИНФРА-М,2024-352с(П)</t>
  </si>
  <si>
    <t>КОМПЛЕКСНЫЙ ЭКОНОМИЧЕСКИЙ АНАЛИЗ В УПРАВЛЕНИИ ПРЕДПРИЯТИЕМ, ИЗД.2</t>
  </si>
  <si>
    <t>978-5-16-017109-8</t>
  </si>
  <si>
    <t>051700.15.01</t>
  </si>
  <si>
    <t>Комплексный экономический анализ хоз. деят.: Уч. пос./Л.Е.Басовский - ИНФРА-М, 2025 - 336 с.(ВО) (П)</t>
  </si>
  <si>
    <t>КОМПЛЕКСНЫЙ ЭКОНОМИЧЕСКИЙ АНАЛИЗ ХОЗЯЙСТВЕННОЙ ДЕЯТЕЛЬНОСТИ</t>
  </si>
  <si>
    <t>Басовский Л. Е., Басовская Е. Н.</t>
  </si>
  <si>
    <t>978-5-16-006617-2</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</si>
  <si>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"Бухгалтерский учет, анализ и аудит"</t>
  </si>
  <si>
    <t>243300.04.01</t>
  </si>
  <si>
    <t>Комплексный экономический анализ: Уч. пос. / М.В. Мельник - М.: Форум:  НИЦ ИНФРА-М, 2020.-368 с.(о)</t>
  </si>
  <si>
    <t>КОМПЛЕКСНЫЙ ЭКОНОМИЧЕСКИЙ АНАЛИЗ</t>
  </si>
  <si>
    <t>Мельник М. В., Кривцов А. И., Горлова О. В.</t>
  </si>
  <si>
    <t>978-5-91134-822-9</t>
  </si>
  <si>
    <t>38.03.01, 38.03.02, 38.03.04, 38.03.05, 38.03.06, 38.03.10</t>
  </si>
  <si>
    <t>Рекомендовано УМО по образованию в области финансов, учета и мировой экономики в качестве учебного пособия для бакалавров и магистров по направлениям «Экономика» и «Менеджмент»</t>
  </si>
  <si>
    <t>243300.08.01</t>
  </si>
  <si>
    <t>Комплексный экономический анализ: Уч.пос. / М.В.Мельник - 2 изд.-М.:НИЦ ИНФРА-М,2025.-368 с..-(ВО)(П)</t>
  </si>
  <si>
    <t>КОМПЛЕКСНЫЙ ЭКОНОМИЧЕСКИЙ АНАЛИЗ, ИЗД.2</t>
  </si>
  <si>
    <t>Мельник М.В., Кривцов А.И., Лихтарова О.В.</t>
  </si>
  <si>
    <t>978-5-16-016385-7</t>
  </si>
  <si>
    <t>757945.01.01</t>
  </si>
  <si>
    <t>Комплексный экономический анализ: Уч.пос. / М.В.Мельник - М.:НИЦ ИНФРА-М,2021 - 316 с.(СПО)(П)</t>
  </si>
  <si>
    <t>978-5-16-016962-0</t>
  </si>
  <si>
    <t>776799.01.01</t>
  </si>
  <si>
    <t>Комплексный экономический анализ: Уч.пос. / М.В.Мельник - М.:НИЦ ИНФРА-М,2022 - 352 с.(СПО)(П)</t>
  </si>
  <si>
    <t>978-5-16-017635-2</t>
  </si>
  <si>
    <t>38.02.01, 38.02.06, 38.02.07, 38.02.08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</si>
  <si>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10 от 15.12.2021)</t>
  </si>
  <si>
    <t>462800.05.01</t>
  </si>
  <si>
    <t>Комплексный экономический анализ: Уч.пос. / М.В.Мельник.-М.:Форум, НИЦ ИНФРА-М,2024.-352 с.(ВО)(П)</t>
  </si>
  <si>
    <t>978-5-00091-736-7</t>
  </si>
  <si>
    <t>38.03.01, 38.03.02, 38.03.03, 38.03.04, 38.03.05, 38.03.06, 38.03.07, 38.05.01, 38.05.02</t>
  </si>
  <si>
    <t>702865.08.01</t>
  </si>
  <si>
    <t>Комплексы технич. диагностики мех. оборуд....: Уч.пос. / А.С.Мазнев - М.:НИЦ ИНФРА-М,2025 - 119 с.(О)</t>
  </si>
  <si>
    <t>КОМПЛЕКСЫ ТЕХНИЧЕСКОЙ ДИАГНОСТИКИ МЕХАНИЧЕСКОГО ОБОРУДОВАНИЯ ЭЛЕКТРИЧЕСКОГО ПОДВИЖНОГО СОСТАВА</t>
  </si>
  <si>
    <t>Мазнев А.С., Федоров Д.В.</t>
  </si>
  <si>
    <t>978-5-16-020688-2</t>
  </si>
  <si>
    <t>23.05.03</t>
  </si>
  <si>
    <t>Рекомендовано Экспертным советом по рецензированию Московского государственного университета путей сообщения, уполномоченным приказом Минобрнауки России от 15 января 2007 г. № 10, к использованию в качестве учебного пособия для студентов, обучающихся по специальности «Подвижной состав железных дорог» ВПО (регистрационный номер рецензии 434 от 24 октября 2013 г. базового учреждения ФГАУ «Федеральный институт развития образования»)</t>
  </si>
  <si>
    <t>304600.09.01</t>
  </si>
  <si>
    <t>Композиция в архитектуре и градостроит.: Уч. пос./Г.А.Потаев - Форум: ИНФРА-М, 2025. - 304 с.(ВО)(п)</t>
  </si>
  <si>
    <t>КОМПОЗИЦИЯ В АРХИТЕКТУРЕ И ГРАДОСТРОИТЕЛЬСТВЕ</t>
  </si>
  <si>
    <t>978-5-91134-966-0</t>
  </si>
  <si>
    <t>07.03.01, 07.03.03, 07.03.04, 07.04.01, 07.04.03, 07.04.04, 35.03.10, 35.04.09</t>
  </si>
  <si>
    <t>682953.07.01</t>
  </si>
  <si>
    <t>Композиция в архитектуре и градостроит.: Уч.пос. / Г.А.Потаев - М.:Форум, НИЦ ИНФРА-М,2025 - 304 с.(СПО)(П)</t>
  </si>
  <si>
    <t>978-5-00091-577-6</t>
  </si>
  <si>
    <t>07.02.01, 29.01.09, 42.02.01, 43.01.11, 43.02.17, 53.02.09, 54.01.01, 54.01.06, 54.01.12, 54.01.20, 54.02.01, 54.02.02, 54.02.04, 54.02.06, 54.02.07, 54.02.08, 55.02.02, 55.02.03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</si>
  <si>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07.02.00 «Архитектура» (протокол № 9 от 13.05.2019)</t>
  </si>
  <si>
    <t>708894.04.01</t>
  </si>
  <si>
    <t>Композиция и дизайн мебели: Уч. / А.А.Барташевич - 2 изд.- М.:НИЦ ИНФРА-М,2025 - 178 с.-(ВО)(п)</t>
  </si>
  <si>
    <t>КОМПОЗИЦИЯ И ДИЗАЙН МЕБЕЛИ, ИЗД.2</t>
  </si>
  <si>
    <t>978-5-16-020214-3</t>
  </si>
  <si>
    <t>35.03.02, 54.03.01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</si>
  <si>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35.03.02 «Технология лесозаготовительных и деревоперерабатывающих производств», 54.03.03 «Дизайн» (квалификация (степень) «бакалавр») (протокол № 2 от 03.02.2020)</t>
  </si>
  <si>
    <t>741928.05.01</t>
  </si>
  <si>
    <t>Композиция и дизайн мебели: Уч. / А.А.Барташевич, - 2 изд. - М.:НИЦ ИНФРА-М,2025. - 183 с.(СПО)(П)</t>
  </si>
  <si>
    <t>978-5-16-016802-9</t>
  </si>
  <si>
    <t>29.01.09, 35.02.18, 42.02.01, 43.02.17, 53.02.09, 54.02.01, 54.02.02, 54.02.04, 54.02.06, 54.02.07, 54.02.08, 55.02.03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</si>
  <si>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35.02.03 «Технология деревообработки», 54.02.01 «Дизайн (по отраслям)» (протокол № 10 от 12.10.2020)</t>
  </si>
  <si>
    <t>837137.01.01</t>
  </si>
  <si>
    <t>Компоненты микросистемной техники...: Уч.пос. / П.С.Маринушкин - М.:НИЦ ИНФРА-М, СФУ,2025.-132 с.(ВО(СФУ))(п)</t>
  </si>
  <si>
    <t>КОМПОНЕНТЫ МИКРОСИСТЕМНОЙ ТЕХНИКИ. ОСНОВЫ КОНЕЧНО-ЭЛЕМЕНТНОГО АНАЛИЗА РАДИОЧАСТОТНЫХ МИКРОЭЛЕКТРОМЕХАНИЧЕСКИХ СИСТЕМ</t>
  </si>
  <si>
    <t>Маринушкин П.С., Левицкий А.А.</t>
  </si>
  <si>
    <t>978-5-16-020175-7</t>
  </si>
  <si>
    <t>11.04.04, 11.05.01</t>
  </si>
  <si>
    <t>806260.02.01</t>
  </si>
  <si>
    <t>Компьютер и Основы Программирования: Уч. / М.В.Мельничук - М.:НИЦ ИНФРА-М,2024. - 460 с.(ВО)(п)</t>
  </si>
  <si>
    <t>COMPUTER AND COMPUTER PROGRAMMING (КОМПЬЮТЕР И ОСНОВЫ ПРОГРАММИРОВАНИЯ)</t>
  </si>
  <si>
    <t>978-5-16-018710-5</t>
  </si>
  <si>
    <t>084450.07.01</t>
  </si>
  <si>
    <t>Компьютер. электрофизиол. и функцион. диагн.: Уч. пос. / А.П. Кулаичев - 4 изд. -М.:Форум,2018-640с.</t>
  </si>
  <si>
    <t>КОМПЬЮТЕРНАЯ ЭЛЕКТРОФИЗИОЛОГИЯ И ФУНКЦИОНАЛЬНАЯ ДИАГНОСТИКА, ИЗД.4</t>
  </si>
  <si>
    <t>Кулаичев А. П.</t>
  </si>
  <si>
    <t>978-5-91134-148-0</t>
  </si>
  <si>
    <t>30.05.02, 30.05.03, 31.05.01, 31.05.02</t>
  </si>
  <si>
    <t>Допущено Учебно-методическим объединением по классическому университетскому образованию в качестве учебного пособия для студентов, обучающихся по направлению 020200 "Биология" и специальности 020205 "Физиология"</t>
  </si>
  <si>
    <t>Московский государственный университет им. М.В. Ломоносова, биологический факультет</t>
  </si>
  <si>
    <t>682954.11.01</t>
  </si>
  <si>
    <t>Компьютерная графика и web-дизайн: Уч.пос. / Гагарина Л.Г. - М.:ИД ФОРУМ, НИЦ ИНФРА-М,2025 - 400 с.(П)</t>
  </si>
  <si>
    <t>КОМПЬЮТЕРНАЯ ГРАФИКА И WEB-ДИЗАЙН</t>
  </si>
  <si>
    <t>Немцова Т.И., Казанкова Т.В., Шнякин А.В. и др.</t>
  </si>
  <si>
    <t>978-5-8199-0790-0</t>
  </si>
  <si>
    <t>09.02.01, 09.02.02, 09.02.03, 09.02.04, 09.02.05, 09.02.06, 09.02.07, 09.02.08, 54.02.01</t>
  </si>
  <si>
    <t>Рекомендовано Учебно-методическим советом по среднему профессиональному образованию в качестве учебного пособия для студентов, обучающихся по УГС 09.02.00 «Информатика и вычислительная техника»</t>
  </si>
  <si>
    <t>ООО "ИННОВАЦИЯ" структурное подразделение "Центр Компьютерного Обучения и Дополнительного Образовани</t>
  </si>
  <si>
    <t>467550.12.01</t>
  </si>
  <si>
    <t>Компьютерная графика и web-дизайн: Уч.пос. / Т.И. Немцова - М.:ИД ФОРУМ, НИЦ ИНФРА-М,2025 - 400c(П)</t>
  </si>
  <si>
    <t>978-5-8199-0703-0</t>
  </si>
  <si>
    <t>07.03.03, 09.03.01, 09.03.03</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</si>
  <si>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обучающихся по направлению подготовки 09.03.04 «Программная инженерия»</t>
  </si>
  <si>
    <t>447400.03.01</t>
  </si>
  <si>
    <t>Компьютерная математика: Уч.пос. / К.В.Титов-М.:ИЦ РИОР, НИЦ ИНФРА-М,2023.-261 с.(ВО)(П)</t>
  </si>
  <si>
    <t>КОМПЬЮТЕРНАЯ МАТЕМАТИКА</t>
  </si>
  <si>
    <t>К.В.Титов</t>
  </si>
  <si>
    <t>978-5-369-01470-7</t>
  </si>
  <si>
    <t>01.03.01, 01.03.02, 01.03.04, 01.04.01, 01.04.02, 01.04.04, 02.03.01, 02.04.01</t>
  </si>
  <si>
    <t>122850.13.01</t>
  </si>
  <si>
    <t>Компьютерная оценка воздейств.на...: Уч.пос. / В.П.Мешалкин - М.:НИЦ ИНФРА-М, 2025 - 449 с.(ВО)(о)</t>
  </si>
  <si>
    <t>КОМПЬЮТЕРНАЯ ОЦЕНКА ВОЗДЕЙСТВИЯ НА ОКРУЖАЮЩУЮ СРЕДУ МАГИСТРАЛЬНЫХ ТРУБОПРОВОДОВ</t>
  </si>
  <si>
    <t>Мешалкин В.П., Бутусов О.Б.</t>
  </si>
  <si>
    <t>978-5-16-018615-3</t>
  </si>
  <si>
    <t>05.03.06, 44.03.05</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</si>
  <si>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студентов, обучающихся по направлению подготовки 18.03.02 «Энерго- и ресурсосберегающие процессы химической технологии, нефтехимии и биотехнологии»</t>
  </si>
  <si>
    <t>Российский химико-технологический университет им. Д.И. Менделеева</t>
  </si>
  <si>
    <t>084450.12.01</t>
  </si>
  <si>
    <t>Компьютерная электрофизиол. и функцион. диагн.: Уч.пос. / А.П. Кулаичев - 5 изд. - М.:Форум,2025 - 470 с.(П)</t>
  </si>
  <si>
    <t>КОМПЬЮТЕРНАЯ ЭЛЕКТРОФИЗИОЛОГИЯ И ФУНКЦИОНАЛЬНАЯ ДИАГНОСТИКА, ИЗД.5</t>
  </si>
  <si>
    <t>Кулаичев А.</t>
  </si>
  <si>
    <t>978-5-16-014671-3</t>
  </si>
  <si>
    <t>Допущено Учебно-методическим объединением по классическому университетскому образованию в качестве учебного пособия для вузов по дисциплинам «Физиология», «Психология»</t>
  </si>
  <si>
    <t>683088.05.01</t>
  </si>
  <si>
    <t>Компьютерное моделирование многофазных течений при...: Уч.пос./Е.Ю.Шарай-М.:НИЦ ИНФРА-М,2024-128с(П)</t>
  </si>
  <si>
    <t>КОМПЬЮТЕРНОЕ МОДЕЛИРОВАНИЕ МНОГОФАЗНЫХ ТЕЧЕНИЙ ПРИ РЕШЕНИИ ЗАДАЧ ТЕХНОСФЕРНОЙ БЕЗОПАСНОСТИ</t>
  </si>
  <si>
    <t>Шарай Е.Ю., Девисилов В.А.</t>
  </si>
  <si>
    <t>978-5-16-014257-9</t>
  </si>
  <si>
    <t>20.04.01, 20.04.02, 20.05.01</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</si>
  <si>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учебного пособия для студентов, обучающихся по основным образовательным программам высшего образования по направлению подготовки магистров 20.04.01 «Техносферная безопасность»</t>
  </si>
  <si>
    <t>488850.09.01</t>
  </si>
  <si>
    <t>Компьютерное моделирование..: Уч. пос. / Г.К. Сосновиков - М.: Форум:  НИЦ ИНФРА-М, 2023-112 с.(О)</t>
  </si>
  <si>
    <t>КОМПЬЮТЕРНОЕ МОДЕЛИРОВАНИЕ. ПРАКТИКУМ ПО ИМИТАЦИОННОМУ МОДЕЛИРОВАНИЮ В СРЕДЕ GPSS WORLD</t>
  </si>
  <si>
    <t>Сосновиков Г.К., Воробейчиков Л.А.</t>
  </si>
  <si>
    <t>978-5-00091-035-1</t>
  </si>
  <si>
    <t>02.03.02, 02.04.02, 09.03.02, 09.04.02, 11.03.02, 11.04.02</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</si>
  <si>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11.03.02 «Инфокоммуникационные технологии и системы св</t>
  </si>
  <si>
    <t>638282.11.01</t>
  </si>
  <si>
    <t>Компьютерное моделирование: Уч. / В.М.Градов и др. - М.:КУРС, НИЦ ИНФРА-М,2024 - 264 с.-(ВО)(П)</t>
  </si>
  <si>
    <t>КОМПЬЮТЕРНОЕ МОДЕЛИРОВАНИЕ</t>
  </si>
  <si>
    <t>Градов В.М., Овечкин Г.В., Овечкин П.В. и др.</t>
  </si>
  <si>
    <t>978-5-906818-79-9</t>
  </si>
  <si>
    <t>02.03.03, 02.04.03</t>
  </si>
  <si>
    <t>Рекомендовано Научно-методическим советом «РГРТУ» в качестве учебника для студентов высших учебных заведений. обучающихся по направлению подготовки 02.03.03 — математическое обеспечение и администрирование информационных систем (квалификация «бакалавр»)</t>
  </si>
  <si>
    <t>474850.08.01</t>
  </si>
  <si>
    <t>Компьютерное формообразование в дизайне: Уч.пос. / Л.Б.Каршакова - НИЦ ИНФРА-М, 2025 - 240 с.(ВО: Бак.) (п)</t>
  </si>
  <si>
    <t>КОМПЬЮТЕРНОЕ ФОРМООБРАЗОВАНИЕ В ДИЗАЙНЕ</t>
  </si>
  <si>
    <t>Каршакова Л.Б., Яковлева Н.Б., Бесчастнов П.Н.</t>
  </si>
  <si>
    <t>978-5-16-010191-0</t>
  </si>
  <si>
    <t>09.03.02, 54.03.01, 54.03.03</t>
  </si>
  <si>
    <t>Допущено УМО по образованию в области технологии, конструирования изделий легкой промышленности в качестве учебного пособия для бакалавров и магистров, обучающихся в высших учебных заведениях по направлению подготовки "Информационные системы и технологии», профиль «Информационные технологии в дизайне"</t>
  </si>
  <si>
    <t>788245.02.01</t>
  </si>
  <si>
    <t>Компьютерно-ориентир. методы динамич. сис.: Уч.пос. / Г.С.Осипенко - М.:НИЦ ИНФРА-М,2023. - 295 с. (ВО)(п)</t>
  </si>
  <si>
    <t>КОМПЬЮТЕРНО-ОРИЕНТИРОВАННЫЕ МЕТОДЫ ДИНАМИЧЕСКИХ СИСТЕМ</t>
  </si>
  <si>
    <t>Осипенко Г.С.</t>
  </si>
  <si>
    <t>978-5-16-018137-0</t>
  </si>
  <si>
    <t>01.03.02, 01.04.04, 02.03.03</t>
  </si>
  <si>
    <t>Московский государственный университет им. М.В. Ломоносова, ф-л в г. Севастополь</t>
  </si>
  <si>
    <t>690241.02.01</t>
  </si>
  <si>
    <t>Компьютерные программы в электроэнергетике: Прак.: Уч.пос. / А.М.Башкатов.-М.:НИЦ ИНФРА-М,2023.-455 с.(СПО)(П)</t>
  </si>
  <si>
    <t>КОМПЬЮТЕРНЫЕ ПРОГРАММЫ В ЭЛЕКТРОЭНЕРГЕТИКЕ. ПРАКТИКУМ</t>
  </si>
  <si>
    <t>Башкатов А.М., Сумеркин Е.А., Заседателев Р.С.</t>
  </si>
  <si>
    <t>978-5-16-015738-2</t>
  </si>
  <si>
    <t>13.02.07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</si>
  <si>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10 от 12.10.2020)</t>
  </si>
  <si>
    <t>Приднестровский Государственный университет им. Т. Г. Шевченко</t>
  </si>
  <si>
    <t>064700.18.01</t>
  </si>
  <si>
    <t>Компьютерные сети: Уч.пос. / А.В.Кузин - 4 изд. - М.:Форум,НИЦ ИНФРА-М,2025 - 190 с.-(СПО)(п)</t>
  </si>
  <si>
    <t>КОМПЬЮТЕРНЫЕ СЕТИ, ИЗД.4</t>
  </si>
  <si>
    <t>Кузин А.В., Кузин Д.А.</t>
  </si>
  <si>
    <t>978-5-00091-453-3</t>
  </si>
  <si>
    <t>09.02.01, 09.02.02, 09.02.03, 09.02.04, 09.02.05, 09.02.06, 09.02.07, 09.02.08, 09.02.09, 10.02.01, 10.02.02, 10.02.03, 10.02.04, 10.02.05, 11.02.15</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</si>
  <si>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направлениям подготовки 09.02.02 «Компьютерные сети», 09.02.01 «Компьютерные системы и комплексы» и 09.02.05 «Прикладная информатика (по отраслям)»</t>
  </si>
  <si>
    <t>Даичи ООО</t>
  </si>
  <si>
    <t>0416</t>
  </si>
  <si>
    <t>040100.28.01</t>
  </si>
  <si>
    <t>Компьютерные сети: Уч.пос. / Н.В.Максимов - 6 изд. - М.:Форум,НИЦ ИНФРА-М,2025 - 464 с.(СПО)(П)</t>
  </si>
  <si>
    <t>КОМПЬЮТЕРНЫЕ СЕТИ, ИЗД.6</t>
  </si>
  <si>
    <t>Максимов Н. В., Попов И. И.</t>
  </si>
  <si>
    <t>978-5-00091-454-0</t>
  </si>
  <si>
    <t>09.01.03, 09.01.04, 09.02.01, 09.02.02, 09.02.03, 09.02.04, 09.02.05, 09.02.06, 09.02.07, 09.02.08, 09.02.09, 10.02.01, 10.02.02, 10.02.03, 11.02.15, 11.02.18</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</si>
  <si>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специальностям информатики и вычислительной техники</t>
  </si>
  <si>
    <t>765368.01.01</t>
  </si>
  <si>
    <t>Компьютерные технологии в проф. деят.: Уч. / Н.В.Кузнецова-М.:НИЦ ИНФРА-М,2023.-280 с.(ВО:Магистр)(п)</t>
  </si>
  <si>
    <t>КОМПЬЮТЕРНЫЕ ТЕХНОЛОГИИ В ПРОФЕССИОНАЛЬНОЙ ДЕЯТЕЛЬНОСТИ</t>
  </si>
  <si>
    <t>Кузнецова Н.В., Морозкина С.С.</t>
  </si>
  <si>
    <t>978-5-16-017539-3</t>
  </si>
  <si>
    <t>178750.08.01</t>
  </si>
  <si>
    <t>Компьютерный видеомонтаж: Уч.пос. / Л.И.Алешин - М.:Форум,2024- 176 с.(О)</t>
  </si>
  <si>
    <t>КОМПЬЮТЕРНЫЙ ВИДЕОМОНТАЖ</t>
  </si>
  <si>
    <t>978-5-91134-634-8</t>
  </si>
  <si>
    <t>09.02.05</t>
  </si>
  <si>
    <t>085870.12.01</t>
  </si>
  <si>
    <t>Компьютерный практикум по информатике. Офис. техн.: Уч.пос. / Г.В.Калабухова-М.:ИД Форум, НИЦ ИНФРА-М,2022.-336с.(ВО)(П)</t>
  </si>
  <si>
    <t>КОМПЬЮТЕРНЫЙ ПРАКТИКУМ ПО ИНФОРМАТИКЕ. ОФИСНЫЕ ТЕХНОЛОГИИ</t>
  </si>
  <si>
    <t>Калабухова Г. В., Титов В. М.</t>
  </si>
  <si>
    <t>978-5-8199-0916-4</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</si>
  <si>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и специальности «Социальная работа»</t>
  </si>
  <si>
    <t>654171.05.01</t>
  </si>
  <si>
    <t>Конвенционные требования к безоп. судоходства / Л.Е.Курочкин.-М.:Вуз. уч., НИЦ ИНФРА-М,2023.-136 с.(О)</t>
  </si>
  <si>
    <t>КОНВЕНЦИОННЫЕ ТРЕБОВАНИЯ К БЕЗОПАСНОСТИ СУДОХОДСТВА</t>
  </si>
  <si>
    <t>Курочкин Л.Е., Истомин В.И., Тверская С.Е.</t>
  </si>
  <si>
    <t>978-5-9558-0555-9</t>
  </si>
  <si>
    <t>26.03.01, 26.03.02, 26.04.01, 26.04.02, 35.03.09</t>
  </si>
  <si>
    <t>682956.01.01</t>
  </si>
  <si>
    <t>Конвенционные требования к безопасности судоходства:Уч.пос. / В.И.Истомин и др.-М.:Вузовский учебник, НИЦ ИНФРА-М,2019.-136 с..-(Среднее профе</t>
  </si>
  <si>
    <t>Истомин В.И., Курочкин Л.Е., Тверская С.Е.</t>
  </si>
  <si>
    <t>978-5-9558-0623-5</t>
  </si>
  <si>
    <t>26.02.01, 26.02.03, 26.02.05, 26.02.06, 43.01.04</t>
  </si>
  <si>
    <t>775313.03.01</t>
  </si>
  <si>
    <t>Конкурентоспособность и инвестиц. привлекат. регионов: Уч.пос. / Н.К.Попадюк - М.:НИЦ ИНФРА-М,2024.-147 с.(ВО)</t>
  </si>
  <si>
    <t>КОНКУРЕНТОСПОСОБНОСТЬ И ИНВЕСТИЦИОННАЯ ПРИВЛЕКАТЕЛЬНОСТЬ РЕГИОНОВ</t>
  </si>
  <si>
    <t>Попадюк Н.К., Рождественская И.А.</t>
  </si>
  <si>
    <t>978-5-16-017865-3</t>
  </si>
  <si>
    <t>38.04.01, 38.04.02, 38.04.04, 38.04.09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</si>
  <si>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38.04.04 «Государственное и муниципальное управление» (квалификация (степень) «бакалавр») (протокол № 10 от 21.12.2022)</t>
  </si>
  <si>
    <t>771269.06.01</t>
  </si>
  <si>
    <t>Конкурентоспособность орг. и территорий: Уч. / Г.Д.Антонов - М.:НИЦ ИНФРА-М,2025 - 375 с.(ВО)(П)</t>
  </si>
  <si>
    <t>КОНКУРЕНТОСПОСОБНОСТЬ ОРГАНИЗАЦИЙ И ТЕРРИТОРИЙ</t>
  </si>
  <si>
    <t>Антонов Г.Д., Иванова О.П., Тумин В.М. и др.</t>
  </si>
  <si>
    <t>978-5-16-018499-9</t>
  </si>
  <si>
    <t>27.03.02, 38.04.09, 43.04.01</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</si>
  <si>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экономико-организационной подготовки студентов технологических направлений и специальностей по дисциплинам экономико-организационного и управленческого циклов</t>
  </si>
  <si>
    <t>435850.06.01</t>
  </si>
  <si>
    <t>Конкурентоспособность предприятия (фирмы): Уч.пос. / А.К.Александров-М.:НИЦ ИНФРА-М,2024.-285 с.(ВО)(п)</t>
  </si>
  <si>
    <t>КОНКУРЕНТОСПОСОБНОСТЬ ПРЕДПРИЯТИЯ (ФИРМЫ)</t>
  </si>
  <si>
    <t>Александров А.К., Круглик В.М., Неделькин А.Н. и др.</t>
  </si>
  <si>
    <t>978-5-16-006704-9</t>
  </si>
  <si>
    <t>38.03.01, 38.03.02, 38.03.03, 38.03.06</t>
  </si>
  <si>
    <t>339100.09.01</t>
  </si>
  <si>
    <t>Консалтинг персонала: Уч.пос. / О.Л.Чуланова - 2 изд. - М.:НИЦ ИНФРА-М,2024 - 196 с.(ВО:Магистр.)(П)</t>
  </si>
  <si>
    <t>КОНСАЛТИНГ ПЕРСОНАЛА, ИЗД.2</t>
  </si>
  <si>
    <t>978-5-16-012742-2</t>
  </si>
  <si>
    <t>23.03.01, 38.03.01, 38.03.03, 38.03.04, 38.04.03, 41.03.06, 43.04.03, 44.03.01, 51.03.02</t>
  </si>
  <si>
    <t>Допущено Советом Учебно-методического объединения по образованию в области менеджмента в качестве учебного пособия по направлению «Менеджмент»</t>
  </si>
  <si>
    <t>339100.08.01</t>
  </si>
  <si>
    <t>Консалтинг персонала: Уч.пос. / О.Л.Чуланова-М.:НИЦ ИНФРА-М,2023-163с.(ВО:Магистр.)(П)</t>
  </si>
  <si>
    <t>КОНСАЛТИНГ ПЕРСОНАЛА</t>
  </si>
  <si>
    <t>978-5-16-010725-7</t>
  </si>
  <si>
    <t>Допущено Советом Учебно-методического объединения по образованию в области менеджмента в качестве учебного пособия по направлению подготовки 38.03.02 «Менеджмент» (уровень подготовки «Магистратура»)</t>
  </si>
  <si>
    <t>764236.04.01</t>
  </si>
  <si>
    <t>Конституционное (гос.) право зарубеж. стран: Уч. / А.М.Осавелюк - М.:Юр.Норма, НИЦ ИНФРА-М,2025 - 432 с.(П)</t>
  </si>
  <si>
    <t>КОНСТИТУЦИОННОЕ (ГОСУДАРСТВЕННОЕ) ПРАВО ЗАРУБЕЖНЫХ СТРАН</t>
  </si>
  <si>
    <t>Осавелюк А.М., Невинский В.В., Кононов К.А. и др.</t>
  </si>
  <si>
    <t>978-5-00156-197-2</t>
  </si>
  <si>
    <t>005503.28.01</t>
  </si>
  <si>
    <t>Конституционное право заруб. стран: Уч. / В.Е.Чиркин - 9 изд. - М.:Юр.Норма,НИЦ ИНФРА-М,2025 - 528 с.(П)</t>
  </si>
  <si>
    <t>КОНСТИТУЦИОННОЕ ПРАВО ЗАРУБЕЖНЫХ СТРАН, ИЗД.9</t>
  </si>
  <si>
    <t>978-5-91768-640-0</t>
  </si>
  <si>
    <t>Рекомендовано УМО по юридическому образованию высших учебных заведений в качестве учебника для студентов вузов, обучающихся по направлению "Юриспруденция" и специальности "Юриспруденция"</t>
  </si>
  <si>
    <t>0919</t>
  </si>
  <si>
    <t>019255.26.01</t>
  </si>
  <si>
    <t>Конституционное право заруб. стран: Уч. / М.В.Баглай - 5 изд.- М.:Юр.Норма,НИЦ ИНФРА-М, 2025  - 864 с.(П)</t>
  </si>
  <si>
    <t>КОНСТИТУЦИОННОЕ ПРАВО ЗАРУБЕЖНЫХ СТРАН, ИЗД.5</t>
  </si>
  <si>
    <t>Баглай М.В., Лейбо Ю.И., Энтин Л.М.</t>
  </si>
  <si>
    <t>978-5-00156-182-8</t>
  </si>
  <si>
    <t>0522</t>
  </si>
  <si>
    <t>053261.16.01</t>
  </si>
  <si>
    <t>Конституционное право зарубеж. стран: Уч.пос. / А.М.Арбузкин - 3 изд. - М.:НОРМА, НИЦ ИНФРА-М,2025 - 560 с.(п)</t>
  </si>
  <si>
    <t>КОНСТИТУЦИОННОЕ ПРАВО ЗАРУБЕЖНЫХ СТРАН, ИЗД.3</t>
  </si>
  <si>
    <t>Арбузкин А.М.</t>
  </si>
  <si>
    <t>978-5-00156-347-1</t>
  </si>
  <si>
    <t>055380.12.01</t>
  </si>
  <si>
    <t>Конституционное право зарубеж. стран: Уч.пос. / К.Д.Шестакова - 2 изд. - ИЦ РИОР:Инфра-М,2024 - 191с.(О)</t>
  </si>
  <si>
    <t>КОНСТИТУЦИОННОЕ ПРАВО ЗАРУБЕЖНЫХ СТРАН, ИЗД.2</t>
  </si>
  <si>
    <t>Шестакова К. Д.</t>
  </si>
  <si>
    <t>ВПО: Бакалавриат</t>
  </si>
  <si>
    <t>978-5-369-00644-3</t>
  </si>
  <si>
    <t>38.03.04, 40.03.01, 40.04.01, 40.05.01, 40.05.02, 40.05.03, 44.03.05</t>
  </si>
  <si>
    <t>809557.02.01</t>
  </si>
  <si>
    <t>Конституционное право зарубежных стран: Прак. / В.В.Комарова-М.:Юр. НОРМА, НИЦ ИНФРА-М,2024.-216 с.(п)</t>
  </si>
  <si>
    <t>КОНСТИТУЦИОННОЕ ПРАВО ЗАРУБЕЖНЫХ СТРАН</t>
  </si>
  <si>
    <t>Комарова В.В., Громова А.А., Джавакян Г.З. и др.</t>
  </si>
  <si>
    <t>978-5-00156-321-1</t>
  </si>
  <si>
    <t>40.03.01, 40.05.01, 40.05.02, 40.05.03, 40.05.04, 41.04.04</t>
  </si>
  <si>
    <t>019255.20.01</t>
  </si>
  <si>
    <t>Конституционное право зарубежных стран: Уч. / М.В.Баглай-4изд.-М.:Юр.Норма,НИЦ ИНФРА-М,2020-976с(П)</t>
  </si>
  <si>
    <t>КОНСТИТУЦИОННОЕ ПРАВО ЗАРУБЕЖНЫХ СТРАН, ИЗД.4</t>
  </si>
  <si>
    <t>978-5-91768-726-1</t>
  </si>
  <si>
    <t>418250.08.01</t>
  </si>
  <si>
    <t>Конституционное право зарубежных стран: Уч. / М.Н.Прудников - М.:ИЦ РИОР:НИЦ ИНФРА-М, 2025 - 374 с.(ВО) (п)</t>
  </si>
  <si>
    <t>Прудников М. Н.</t>
  </si>
  <si>
    <t>978-5-369-01172-0</t>
  </si>
  <si>
    <t>Рекомендовано в качестве учебника для студентов высших учебных заведений, обучающихся по направлению •'Юриспруденция» (квалификация (степень) — бакалавр)</t>
  </si>
  <si>
    <t>483450.03.01</t>
  </si>
  <si>
    <t>Конституционное право зарубежных стран: Уч. пос. / А.А. Тимошенкова-М.:ИЦ РИОР,НИЦ ИНФРА-М,2019-135с</t>
  </si>
  <si>
    <t>Тимошенкова А.А.</t>
  </si>
  <si>
    <t>978-5-369-01402-8</t>
  </si>
  <si>
    <t>Международный институт экономики и права</t>
  </si>
  <si>
    <t>069758.22.01</t>
  </si>
  <si>
    <t>Конституционное право Роcсии. Уч. курс: Уч. пос.: Т.2 /С.А.Авакьян - 7 изд.-Юр.Норма:ИНФРА-М,2025-936с.(П)</t>
  </si>
  <si>
    <t>КОНСТИТУЦИОННОЕ ПРАВО РОССИИ. УЧЕБНЫЙ КУРС : В 2 ТОМАХ., Т.2, ИЗД.7</t>
  </si>
  <si>
    <t>Авакьян С. А.</t>
  </si>
  <si>
    <t>978-5-00156-175-0</t>
  </si>
  <si>
    <t>38.03.04, 40.03.01, 40.04.01, 40.05.01, 40.05.02, 40.05.03, 40.05.04</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</si>
  <si>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521400 Юриспруденция и спец. 021100 Юриспруденция</t>
  </si>
  <si>
    <t>0721</t>
  </si>
  <si>
    <t>069758.13.01</t>
  </si>
  <si>
    <t>Конституционное право России. Уч. курс: Уч. пос.: Т.2 /С.А.Авакьян-6изд.-Юр.Норма:ИНФРА-М,2020-928с.(П)</t>
  </si>
  <si>
    <t>КОНСТИТУЦИОННОЕ ПРАВО РОССИИ. УЧЕБНЫЙ КУРС, Т.2, ИЗД.6</t>
  </si>
  <si>
    <t>978-5-91768-903-6</t>
  </si>
  <si>
    <t>069759.25.01</t>
  </si>
  <si>
    <t>Конституционное право России. Уч. курс: Уч.пос.: Т.1 / С.А.Авакьян - 7 изд. - Юр.Норма:ИНФРА-М,2025 - 864 с.(п)</t>
  </si>
  <si>
    <t>КОНСТИТУЦИОННОЕ ПРАВО РОССИИ. УЧЕБНЫЙ КУРС : В 2 ТОМАХ., Т.1, ИЗД.7</t>
  </si>
  <si>
    <t>978-5-00156-165-1</t>
  </si>
  <si>
    <t>38.03.04, 40.03.01, 40.04.01, 40.05.01, 40.05.02, 40.05.03, 40.05.04, 44.03.05</t>
  </si>
  <si>
    <t>Рекомендовано 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и спец. "Юриспруденция"</t>
  </si>
  <si>
    <t>069759.11.01</t>
  </si>
  <si>
    <t>Конституционное право России. Уч.курс: Уч.пос.: В 2 т.Т.1/С.А.Авакьян -5изд.-Норма:ИНФРА-М,2017-864с</t>
  </si>
  <si>
    <t>КОНСТИТУЦИОННОЕ ПРАВО РОССИИ. УЧЕБНЫЙ КУРС, Т.1, ИЗД.5</t>
  </si>
  <si>
    <t>Авакьян С.А.</t>
  </si>
  <si>
    <t>978-5-91768-484-0</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</si>
  <si>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и спец. "Юриспруденция"</t>
  </si>
  <si>
    <t>069758.10.01</t>
  </si>
  <si>
    <t>Конституционное право России. Уч.курс: Уч.пос.: В 2т.Т.2. /С.А.Авакьян-5изд.-Норма:ИНФРА-М,2018-912с</t>
  </si>
  <si>
    <t>КОНСТИТУЦИОННОЕ ПРАВО РОССИИ. УЧЕБНЫЙ КУРС, ИЗД.5</t>
  </si>
  <si>
    <t>978-5-91768-485-7</t>
  </si>
  <si>
    <t>069759.14.01</t>
  </si>
  <si>
    <t>Конституционное право России. Уч.курс: Уч.пос.: Т.1 /С.А.Авакьян-6 изд.-Юр.Норма:ИНФРА-М,2020-864с(П)</t>
  </si>
  <si>
    <t>КОНСТИТУЦИОННОЕ ПРАВО РОССИИ. УЧЕБНЫЙ КУРС, Т.1, ИЗД.6</t>
  </si>
  <si>
    <t>978-5-91768-902-9</t>
  </si>
  <si>
    <t>823231.01.01</t>
  </si>
  <si>
    <t>Конституционное право России: Практикум / В.В.Комарова-М.:Юр. НОРМА, НИЦ ИНФРА-М,2024.-328 с.(п)</t>
  </si>
  <si>
    <t>КОНСТИТУЦИОННОЕ ПРАВО РОССИИ</t>
  </si>
  <si>
    <t>Комарова В.В.</t>
  </si>
  <si>
    <t>978-5-00156-361-7</t>
  </si>
  <si>
    <t>40.03.01, 40.04.01, 40.05.01, 40.05.02, 40.05.04</t>
  </si>
  <si>
    <t>453700.06.01</t>
  </si>
  <si>
    <t>Конституционное право России: Уч. / В.А.Черепанов-2изд.-М.:Юр.Норма, НИЦ ИНФРА-М,2024.-424 с.(П)</t>
  </si>
  <si>
    <t>КОНСТИТУЦИОННОЕ ПРАВО РОССИИ, ИЗД.2</t>
  </si>
  <si>
    <t>Черепанов В.А.</t>
  </si>
  <si>
    <t>978-5-00156-062-3</t>
  </si>
  <si>
    <t>38.03.04, 40.03.01, 40.05.01, 40.05.02, 40.05.03, 44.03.05</t>
  </si>
  <si>
    <t>Рекомендовано Учебно-методическим объединением по юридическому образованию вузов Российской Федерации в качестве учебника по дисциплине «Конституционное право России» для студентов образовательных организаций, обучающихся по направлению подготовки «Государственное и муниципальное управление», квалификация (степень) «бакалавр»</t>
  </si>
  <si>
    <t>Ставропольский государственный аграрный университет</t>
  </si>
  <si>
    <t>345500.05.01</t>
  </si>
  <si>
    <t>Конституционное право России: Уч. / П.А.Астафичев, - 2-е изд.-М.:ИЦ РИОР, НИЦ ИНФРА-М,2023.-443 с.(ВО)(п)</t>
  </si>
  <si>
    <t>Астафичев П.А.</t>
  </si>
  <si>
    <t>978-5-369-01923-8</t>
  </si>
  <si>
    <t>40.03.01, 40.05.01, 40.05.02, 40.05.03, 44.03.05</t>
  </si>
  <si>
    <t>288900.10.01</t>
  </si>
  <si>
    <t>Конституционное право России: Уч. / С.В.Бендюрина - 2 изд. - М.:Юр.Норма, НИЦ ИНФРА-М,2024-496 с.(П)</t>
  </si>
  <si>
    <t>Бендюрина С. В., Гончаров М. В., Евстифеев Д. М., Кокотов А. Н., Саликов М. С.</t>
  </si>
  <si>
    <t>978-5-00156-198-9</t>
  </si>
  <si>
    <t>Допущено Учебно-методическим объединением по юридическому образованию вузов Российской Федерации в качестве учебника длястудентов высших учебных заведений, обучающихсяпо направлению подготовки 030900 «Юриспруденция», квалификация«бакалавр»</t>
  </si>
  <si>
    <t>288900.11.01</t>
  </si>
  <si>
    <t>Конституционное право России: Уч. / С.В.Бендюрина - 3 изд. - М.:Юр.Норма, НИЦ ИНФРА-М,2025 - 528 с.(П)</t>
  </si>
  <si>
    <t>КОНСТИТУЦИОННОЕ ПРАВО РОССИИ, ИЗД.3</t>
  </si>
  <si>
    <t>978-5-00156-418-8</t>
  </si>
  <si>
    <t>757948.02.01</t>
  </si>
  <si>
    <t>Конституционное право России: Уч. / С.В.Нарутто - М.:ИЦ РИОР, НИЦ ИНФРА-М,2022 - 487 с.-(ВО)(П)</t>
  </si>
  <si>
    <t>Нарутто С.В., Таева Н.Е.</t>
  </si>
  <si>
    <t>978-5-369-01873-6</t>
  </si>
  <si>
    <t>757948.04.01</t>
  </si>
  <si>
    <t>Конституционное право России: Уч. / С.В.Нарутто, - 2 изд.-М.:ИЦ РИОР, НИЦ ИНФРА-М,2023.-491 с.(ВО)</t>
  </si>
  <si>
    <t>978-5-369-01921-4</t>
  </si>
  <si>
    <t>775474.01.01</t>
  </si>
  <si>
    <t>Конституционное право России: Уч. для СПО / М.С.Саликов - М.:Юр. НОРМА, НИЦ ИНФРА-М,2022 - 496 с.(П)</t>
  </si>
  <si>
    <t>КОНСТИТУЦИОННОЕ ПРАВО РОССИИ. УЧЕБНИК ДЛЯ СПО</t>
  </si>
  <si>
    <t>Саликов М.С., Кокотов А.Н., Несмеянова С.Э. и др.</t>
  </si>
  <si>
    <t>978-5-00156-238-2</t>
  </si>
  <si>
    <t>288900.04.01</t>
  </si>
  <si>
    <t>Конституционное право России: Уч./Отв.ред.А.Н.Кокотов,М.С.Саликов-М.:Юр.Норма,НИЦ ИНФРА-М,2018-448с(п)</t>
  </si>
  <si>
    <t>978-5-91768-510-6</t>
  </si>
  <si>
    <t>453700.02.01</t>
  </si>
  <si>
    <t>Конституционное право России: Уч.для бакалавров /В.А.Черепанов-М.:Юр.Норма,НИЦ ИНФРА-М,2016-368с.(п)</t>
  </si>
  <si>
    <t>978-5-91768-676-9</t>
  </si>
  <si>
    <t>345500.03.01</t>
  </si>
  <si>
    <t>Конституционное право России:Уч./П.А.Астафичев- М.:ИЦ РИОР, НИЦ ИНФРА-М, 2020-390с(ВО: Бакалавр.)(п)</t>
  </si>
  <si>
    <t>978-5-369-01449-3</t>
  </si>
  <si>
    <t>667426.03.01</t>
  </si>
  <si>
    <t>Конституционное право РФ: Прак.: Уч.пос. / Д.Н.Лукоянов - 2 изд.-М.:ИЦ РИОР, НИЦ ИНФРА-М,2024-112с(ВО)(о)</t>
  </si>
  <si>
    <t>КОНСТИТУЦИОННОЕ ПРАВО РОССИЙСКОЙ ФЕДЕРАЦИИ, ИЗД.2</t>
  </si>
  <si>
    <t>Лукоянов Д.Н.</t>
  </si>
  <si>
    <t>978-5-369-01959-7</t>
  </si>
  <si>
    <t>667426.02.01</t>
  </si>
  <si>
    <t>Конституционное право РФ: Практикум / Д.Н.Лукоянов - М.:ИЦ РИОР,НИЦ ИНФРА-М,2019 - 84 с.(О)</t>
  </si>
  <si>
    <t>КОНСТИТУЦИОННОЕ ПРАВО РОССИЙСКОЙ ФЕДЕРАЦИИ</t>
  </si>
  <si>
    <t>978-5-369-01735-7</t>
  </si>
  <si>
    <t>001074.36.01</t>
  </si>
  <si>
    <t>Конституционное право РФ: Уч. / М.В.Баглай - 14 изд. - М.:Юр.Норма, НИЦ ИНФРА-М,2025 - 704с.(П)</t>
  </si>
  <si>
    <t>КОНСТИТУЦИОННОЕ ПРАВО РОССИЙСКОЙ ФЕДЕРАЦИИ, ИЗД.14</t>
  </si>
  <si>
    <t>Баглай М.В.</t>
  </si>
  <si>
    <t>978-5-00156-272-6</t>
  </si>
  <si>
    <t>1422</t>
  </si>
  <si>
    <t>770521.01.01</t>
  </si>
  <si>
    <t>Конституционное право: Уч. / С.В.Нарутто - М.:ИЦ РИОР, НИЦ ИНФРА-М,2022 - 398 с.-(СПО)(П)</t>
  </si>
  <si>
    <t>КОНСТИТУЦИОННОЕ ПРАВО</t>
  </si>
  <si>
    <t>978-5-369-01890-3</t>
  </si>
  <si>
    <t>00.02.08, 40.02.04</t>
  </si>
  <si>
    <t>770521.03.01</t>
  </si>
  <si>
    <t>Конституционное право: Уч. / С.В.Нарутто, - 2 изд. - М.:ИЦ РИОР, НИЦ ИНФРА-М,2024. - 402 с.(СПО)(п)</t>
  </si>
  <si>
    <t>КОНСТИТУЦИОННОЕ ПРАВО, ИЗД.2</t>
  </si>
  <si>
    <t>978-5-369-01941-2</t>
  </si>
  <si>
    <t>770521.05.01</t>
  </si>
  <si>
    <t>Конституционное право: Уч. / С.В.Нарутто, - 3 изд. - М.:ИЦ РИОР, НИЦ ИНФРА-М,2025. - 405 с.(СПО)(п)</t>
  </si>
  <si>
    <t>КОНСТИТУЦИОННОЕ ПРАВО, ИЗД.3</t>
  </si>
  <si>
    <t>978-5-369-01981-8</t>
  </si>
  <si>
    <t>692966.04.01</t>
  </si>
  <si>
    <t>Конституционно-прав. статус общ. объед. в совр. России: Уч.пос./В.В.Комарова-2изд.-М.:Юр.Норма, НИЦ ИНФРА-М,2023-256с.(П)</t>
  </si>
  <si>
    <t>КОНСТИТУЦИОННО-ПРАВОВОЙ СТАТУС ОБЩЕСТВЕННЫХ ОБЪЕДИНЕНИЙ В СОВРЕМЕННОЙ РОССИИ, ИЗД.2</t>
  </si>
  <si>
    <t>Комарова В.В., Нарутто С.В., Осавелюк А.М. и др.</t>
  </si>
  <si>
    <t>978-5-00156-303-7</t>
  </si>
  <si>
    <t>38.03.04, 38.04.04, 40.03.01, 40.04.01, 40.05.01, 40.05.02, 40.05.03, 40.05.04, 44.03.04, 44.03.05, 44.04.04</t>
  </si>
  <si>
    <t>446800.06.01</t>
  </si>
  <si>
    <t>Конституционно-прав. статус орг.законод...: Уч./Г.Д.Садовников-М.:Юр.Норма,НИЦ ИНФРА-М,2021-128с.(о)</t>
  </si>
  <si>
    <t>КОНСТИТУЦИОННО-ПРАВОВОЙ СТАТУС ОРГАНОВ ЗАКОНОДАТЕЛЬНОЙ И ИСПОЛНИТЕЛЬНОЙ ВЛАСТИ СУБЪЕКТОВ РФ</t>
  </si>
  <si>
    <t>Садовникова Г.Д., Заболотских Е.М., Михайлова М.В. и др.</t>
  </si>
  <si>
    <t>978-5-91768-671-4</t>
  </si>
  <si>
    <t>38.04.04, 40.03.01, 40.04.01, 40.05.01, 40.05.02, 40.05.03, 40.05.04, 40.06.01, 44.03.05</t>
  </si>
  <si>
    <t>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«магистр»</t>
  </si>
  <si>
    <t>682536.08.01</t>
  </si>
  <si>
    <t>Конституционно-правовое обеспеч. нац. без. РФ: Уч. / Ю.Г.Федотова, - 2 изд.-М.:НИЦ ИНФРА-М,2025.- 396с.(П)</t>
  </si>
  <si>
    <t>КОНСТИТУЦИОННО-ПРАВОВОЕ ОБЕСПЕЧЕНИЕ НАЦИОНАЛЬНОЙ БЕЗОПАСНОСТИ РОССИЙСКОЙ ФЕДЕРАЦИИ, ИЗД.2</t>
  </si>
  <si>
    <t>978-5-16-017664-2</t>
  </si>
  <si>
    <t>38.05.01, 40.05.01, 40.05.02, 40.05.03, 40.05.04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</si>
  <si>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2 от 09.02.2022)</t>
  </si>
  <si>
    <t>682536.02.01</t>
  </si>
  <si>
    <t>Конституционно-правовое обеспеч. нац. безопас. РФ: Уч.пос. / Ю.Г.Федотова-М.:НИЦ ИНФРА-М,2021.-363с(П)</t>
  </si>
  <si>
    <t>КОНСТИТУЦИОННО-ПРАВОВОЕ ОБЕСПЕЧЕНИЕ НАЦИОНАЛЬНОЙ БЕЗОПАСНОСТИ РОССИЙСКОЙ ФЕДЕРАЦИИ</t>
  </si>
  <si>
    <t>978-5-16-014465-8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</si>
  <si>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18 от 25.11.2019)</t>
  </si>
  <si>
    <t>692966.03.01</t>
  </si>
  <si>
    <t>Конституционно-правовой статус общ. объед. в совр. России: Уч.пос. /В.В.Комарова-М.:Юр.Норма, НИЦ ИНФРА-М,2020-224с.(П)</t>
  </si>
  <si>
    <t>КОНСТИТУЦИОННО-ПРАВОВОЙ СТАТУС ОБЩЕСТВЕННЫХ ОБЪЕДИНЕНИЙ В СОВРЕМЕННОЙ РОССИИ</t>
  </si>
  <si>
    <t>978-5-91768-963-0</t>
  </si>
  <si>
    <t>766879.04.01</t>
  </si>
  <si>
    <t>Конституционные основы порядка формир. и деят. представ. орг. в РФ: Уч.пос./Варлен М.ВМ.:Юр.Норма, НИЦ ИНФРА-М,2024.-184с</t>
  </si>
  <si>
    <t>КОНСТИТУЦИОННЫЕ ОСНОВЫ ПОРЯДКА ФОРМИРОВАНИЯ И ДЕЯТЕЛЬНОСТИ ПРЕДСТАВИТЕЛЬНЫХ ОРГАНОВ В РОССИЙСКОЙ ФЕДЕРАЦИИ</t>
  </si>
  <si>
    <t>Варлен М.В., Мазуревский К.С.</t>
  </si>
  <si>
    <t>978-5-00156-204-7</t>
  </si>
  <si>
    <t>648391.04.01</t>
  </si>
  <si>
    <t>Конституционный судебный процесс: Практикум / В.В.Комарова - М.:Юр.Норма, НИЦ ИНФРА-М,2022-160 с.(О)</t>
  </si>
  <si>
    <t>КОНСТИТУЦИОННЫЙ СУДЕБНЫЙ ПРОЦЕСС</t>
  </si>
  <si>
    <t>978-5-91768-800-8</t>
  </si>
  <si>
    <t>648391.05.01</t>
  </si>
  <si>
    <t>Конституционный судебный процесс: Практикум/ В.В.Комарова -2 изд.- М.:Юр.Норма, НИЦ ИНФРА-М,2024-176 с.(п)</t>
  </si>
  <si>
    <t>КОНСТИТУЦИОННЫЙ СУДЕБНЫЙ ПРОЦЕСС, ИЗД.2</t>
  </si>
  <si>
    <t>Комарова В.В., Будаев А.М., Нарутто С.В. и др.</t>
  </si>
  <si>
    <t>978-5-00156-329-7</t>
  </si>
  <si>
    <t>303400.02.01</t>
  </si>
  <si>
    <t>Конституционный судебный процесс: Уч. / З.К.Александрова-2 изд.-М.:Юр.Норма, НИЦ ИНФРА-М,2015.-352 с.(п)</t>
  </si>
  <si>
    <t>Александрова З.К., Несмеянова С.Э., Кряжков В.А.</t>
  </si>
  <si>
    <t>978-5-91768-527-4</t>
  </si>
  <si>
    <t>38.03.04, 38.04.04, 40.03.01, 40.04.01, 40.05.01, 40.05.02, 40.05.03, 40.05.04, 44.03.05</t>
  </si>
  <si>
    <t>Допущено Учебно-методическим объединением по юридическому образованию вузов Российской Федерации в качестве учебника для студентов вузов, обучающихся по направлению подготовки 030900 "Юриспруденция", квалификация "бакалавр"</t>
  </si>
  <si>
    <t>645477.05.01</t>
  </si>
  <si>
    <t>Конституционный судебный процесс: Уч. / М.А.Митюков, - 3-изд.-М.:Юр.Норма, НИЦ ИНФРА-М,2024-336с(П)</t>
  </si>
  <si>
    <t>КОНСТИТУЦИОННЫЙ СУДЕБНЫЙ ПРОЦЕСС, ИЗД.3</t>
  </si>
  <si>
    <t>Комарова В.В., Нарутто С.В., Тороп Ю.В. и др.</t>
  </si>
  <si>
    <t>978-5-00156-338-9</t>
  </si>
  <si>
    <t>303400.05.01</t>
  </si>
  <si>
    <t>Конституционный судебный процесс: Уч. / М.С.Саликов - 3 изд.-М.:Юр.Норма,НИЦ ИНФРА-М,2020-352 с.(П)</t>
  </si>
  <si>
    <t>Александрова З. К., Кряжков В. А., Несмеянова С. Э., Саликов М. С.</t>
  </si>
  <si>
    <t>978-5-00156-044-9</t>
  </si>
  <si>
    <t>303400.08.01</t>
  </si>
  <si>
    <t>Конституционный судебный процесс: Уч. / М.С.Саликов - 4 изд. - М.:Юр.Норма,НИЦ ИНФРА-М,2025 - 392 с.(П)</t>
  </si>
  <si>
    <t>КОНСТИТУЦИОННЫЙ СУДЕБНЫЙ ПРОЦЕСС, ИЗД.4</t>
  </si>
  <si>
    <t>978-5-00156-267-2</t>
  </si>
  <si>
    <t>178050.04.01</t>
  </si>
  <si>
    <t>Конституционный судебный процесс: Уч.пос. / С.Э.Несмеянова, - 2 изд.-М.:ИЦ РИОР, НИЦ ИНФРА-М,2020.-200с(ВО)(П)</t>
  </si>
  <si>
    <t>Несмеянова С.Э.</t>
  </si>
  <si>
    <t>978-5-369-01757-9</t>
  </si>
  <si>
    <t>753345.03.01</t>
  </si>
  <si>
    <t>Конституция РФ. Офиц. текст / Вступ. статья Т.Я.Хабриевой - М.:Юр.Норма, НИЦ ИНФРА-М,2024-136 с.(П.к/ф)</t>
  </si>
  <si>
    <t>КОНСТИТУЦИЯ РОССИЙСКОЙ ФЕДЕРАЦИИ. ОФИЦИАЛЬНЫЙ ТЕКСТ.ВСТУПИТЕЛЬНАЯ СТАТЬЯ Т.Я.ХАБРИЕВОЙ</t>
  </si>
  <si>
    <t>978-5-00156-160-6</t>
  </si>
  <si>
    <t>Закон РФ</t>
  </si>
  <si>
    <t>00.02.08, 00.03.08, 00.05.08, 40.03.01</t>
  </si>
  <si>
    <t>761004.01.01</t>
  </si>
  <si>
    <t>Конструирование и расчет коленчатого вала...: Уч.пос. / М.П.Вальехо.-М.:НИЦ ИНФРА-М,2023.-134 с.(ВО)(п)</t>
  </si>
  <si>
    <t>КОНСТРУИРОВАНИЕ И РАСЧЕТ КОЛЕНЧАТОГО ВАЛА ПОРШНЕВОГО ДВИГАТЕЛЯ</t>
  </si>
  <si>
    <t>Вальехо М.П., Чайнов Н.Д., Краснокутский А.Н.</t>
  </si>
  <si>
    <t>978-5-16-017619-2</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</si>
  <si>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 бакалавриат</t>
  </si>
  <si>
    <t>787564.01.01</t>
  </si>
  <si>
    <t>Конструирование и расчет коленчатых валов на вынос.: Уч.пос. / М.П.Вальехо-М.:НИЦ ИНФРА-М,2025.-254 с.(ВО)(п)</t>
  </si>
  <si>
    <t>КОНСТРУИРОВАНИЕ И РАСЧЕТ КОЛЕНЧАТЫХ ВАЛОВ НА ВЫНОСЛИВОСТЬ</t>
  </si>
  <si>
    <t>978-5-16-018393-0</t>
  </si>
  <si>
    <t>15.03.01, 23.03.02</t>
  </si>
  <si>
    <t>798527.01.01</t>
  </si>
  <si>
    <t>Конструирование и расчет наземных транспортно-технологич..: Уч.пос./А.А.Жиздюк-М.:НИЦ ИНФРА-М,2024-288с(п)</t>
  </si>
  <si>
    <t>КОНСТРУИРОВАНИЕ И РАСЧЕТ НАЗЕМНЫХ ТРАНСПОРТНО-ТЕХНОЛОГИЧЕСКИХ МАШИН</t>
  </si>
  <si>
    <t>Жиздюк А.А., Журавлева Л.А., Карпов М.В.</t>
  </si>
  <si>
    <t>978-5-16-018326-8</t>
  </si>
  <si>
    <t>20.03.01, 20.03.02, 20.04.01, 20.04.02, 23.03.02, 23.04.02</t>
  </si>
  <si>
    <t>682957.08.01</t>
  </si>
  <si>
    <t>Конструирование изд. легкой пром.: конструир...: Уч. / Л.Ю.Махоткина - М.:НИЦ ИНФРА-М,2025 - 295 с(СПО)(П)</t>
  </si>
  <si>
    <t>КОНСТРУИРОВАНИЕ ИЗДЕЛИЙ ЛЕГКОЙ ПРОМЫШЛЕННОСТИ: КОНСТРУИРОВАНИЕ ИЗДЕЛИЙ ИЗ КОЖИ</t>
  </si>
  <si>
    <t>Махоткина Л.Ю., Никитина Л.Л., Гаврилова О.Е.</t>
  </si>
  <si>
    <t>978-5-16-013956-2</t>
  </si>
  <si>
    <t>29.01.31, 29.01.33, 29.02.10</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</si>
  <si>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29.02.01 «Конструирование, моделирование и технология изделий из кожи», 29.02.02 «Технология кожи и меха»</t>
  </si>
  <si>
    <t>666417.07.01</t>
  </si>
  <si>
    <t>Конструирование изд.легкой промыш.: констр. шв.изд.: Уч. / Л.Ю.Махоткина - М.:НИЦ ИНФРА-М,2025 - 324 с.(П)</t>
  </si>
  <si>
    <t>КОНСТРУИРОВАНИЕ ИЗДЕЛИЙ ЛЕГКОЙ ПРОМЫШЛЕННОСТИ: КОНСТРУИРОВАНИЕ ШВЕЙНЫХ ИЗДЕЛИЙ</t>
  </si>
  <si>
    <t>978-5-16-018524-8</t>
  </si>
  <si>
    <t>29.03.01, 29.03.05</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</si>
  <si>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29.03.05 «Конструирование изделий легкой промышленности»</t>
  </si>
  <si>
    <t>708891.03.01</t>
  </si>
  <si>
    <t>Конструирование изделий из древесины..: Уч.мет.пос. / А.А.Барташевич - 2 изд. -М.:НИЦ ИНФРА-М,2023-146с.(П)</t>
  </si>
  <si>
    <t>КОНСТРУИРОВАНИЕ ИЗДЕЛИЙ ИЗ ДРЕВЕСИНЫ. КУРСОВОЕ И ДИПЛОМНОЕ ПРОЕКТИРОВАНИЕ, ИЗД.2</t>
  </si>
  <si>
    <t>Барташевич А.А., Гайдук С.С.</t>
  </si>
  <si>
    <t>978-5-16-015350-6</t>
  </si>
  <si>
    <t>Рекомендовано учебно-методическим объединением по образованию в области природопользования и лесного хозяйства в качестве учебно-методического пособия для студентов учреждений высшего образования по специальностям 1-46 01 02 «Технология деревообрабатывающих производств», 1-08 01 01 «Профессиональное обучение (деревообработка)»</t>
  </si>
  <si>
    <t>724856.02.01</t>
  </si>
  <si>
    <t>Конструирование изделий из кожи: Уч. / В.В.Костылева - М.:НИЦ ИНФРА-М,2025. - 353 с.(ВО)(п)</t>
  </si>
  <si>
    <t>КОНСТРУИРОВАНИЕ ИЗДЕЛИЙ ИЗ КОЖИ</t>
  </si>
  <si>
    <t>Костылева В.В., Ключникова В.М.</t>
  </si>
  <si>
    <t>978-5-16-020650-9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</si>
  <si>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 (протокол № 4 от 13.04.2022)</t>
  </si>
  <si>
    <t>704320.06.01</t>
  </si>
  <si>
    <t>Конструирование изделий легкой промыш...: Уч. / Л.Ю.Махоткина - М.:НИЦ ИНФРА-М,2025 - 324 с.(СПО)(П)</t>
  </si>
  <si>
    <t>978-5-16-014930-1</t>
  </si>
  <si>
    <t>29.01.04, 29.02.10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</si>
  <si>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 (протокол № 13 от 16.09.2019)</t>
  </si>
  <si>
    <t>646707.07.01</t>
  </si>
  <si>
    <t>Конструирование изделий легкой промышленности....: Уч. / Л.Ю.Махоткина - М.:НИЦ ИНФРА-М,2024-295с(ВО)(п)</t>
  </si>
  <si>
    <t>978-5-16-018970-3</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</si>
  <si>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29.03.05 «Конструирование изделий легкой промышленности» (квалификация (степень) «бакалавр»)</t>
  </si>
  <si>
    <t>635064.05.01</t>
  </si>
  <si>
    <t>Конструирование изделий легкой промышленности..: Уч. / Л.Ю.Махоткина-М.:НИЦ ИНФРА-М,2024-274с(ВО)(П)</t>
  </si>
  <si>
    <t>КОНСТРУИРОВАНИЕ ИЗДЕЛИЙ ЛЕГКОЙ ПРОМЫШЛЕННОСТИ: ТЕОРЕТИЧЕСКИЕ ОСНОВЫ ПРОЕКТИРОВАНИЯ</t>
  </si>
  <si>
    <t>Махоткина Л.Ю., Никитина Л.Л., Гаврилова О.Е. и др.</t>
  </si>
  <si>
    <t>978-5-16-012120-8</t>
  </si>
  <si>
    <t>29.03.05, 29.04.05</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</si>
  <si>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подготовки 29.03.05 «Конструирование изделий легкой промышленности» (квалификация (степень) «бакалавр»)</t>
  </si>
  <si>
    <t>704373.04.01</t>
  </si>
  <si>
    <t>Конструирование изделий легкой...: Уч. / Под ред. Абуталиповой Л.Н. - М.:НИЦ ИНФРА-М,2025.-274 с(СПО)</t>
  </si>
  <si>
    <t>978-5-16-014935-6</t>
  </si>
  <si>
    <t>27.02.04, 29.01.04, 29.01.31, 29.01.33, 29.02.05, 29.02.10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</si>
  <si>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 (протокол № 5 от 16.03.2020)</t>
  </si>
  <si>
    <t>708896.06.01</t>
  </si>
  <si>
    <t>Конструирование мебели: Уч. / А.А.Барташевич - 2 изд.- М.:НИЦ ИНФРА-М,2024 - 334с(ВО: Бакалавр.)(П)</t>
  </si>
  <si>
    <t>КОНСТРУИРОВАНИЕ МЕБЕЛИ, ИЗД.2</t>
  </si>
  <si>
    <t>Барташевич А.А., Онегин В.И., Трофимов С.П. и др.</t>
  </si>
  <si>
    <t>978-5-16-015338-4</t>
  </si>
  <si>
    <t>Утверждено Министерством образования Республики Беларусь в качестве учебника для студентов специализации «Технология и дизайн мебели» учреждений, обеспечивающих получение высшего образования</t>
  </si>
  <si>
    <t>071770.16.01</t>
  </si>
  <si>
    <t>Конструирование одежды: теор.и практ.: Уч.пос. / Л.П.Шершнева - М.:ИД ФОРУМ,НИЦ ИНФРА-М,2025 - 288 с.(ВО)(п)</t>
  </si>
  <si>
    <t>КОНСТРУИРОВАНИЕ ОДЕЖДЫ: ТЕОРИЯ И ПРАКТИКА</t>
  </si>
  <si>
    <t>Шершнева Л. П., Ларькина Л. В.</t>
  </si>
  <si>
    <t>978-5-8199-0951-5</t>
  </si>
  <si>
    <t>29.03.02, 29.03.05, 29.04.02</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</si>
  <si>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и 29.03.05 «Конструирование изделий легкой промышленности»</t>
  </si>
  <si>
    <t>682958.10.01</t>
  </si>
  <si>
    <t>Конструирование одежды: Теория и практ.: Уч.пос. / Л.П.Шершнева - М.:ИД ФОРУМ,НИЦ ИНФРА-М,2025 - 288 с/(СПО)</t>
  </si>
  <si>
    <t>Шершнева Л.П., Ларькина Л.В.</t>
  </si>
  <si>
    <t>978-5-8199-0791-7</t>
  </si>
  <si>
    <t>27.02.04, 29.01.04, 29.01.31, 29.01.33, 29.02.10, 54.02.06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</si>
  <si>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t>
  </si>
  <si>
    <t>682644.02.01</t>
  </si>
  <si>
    <t>Конструирование программного обеспеч.: Уч.пос. / Под ред. Гагариной Л.Г.-М.:НИЦ ИНФРА-М,2023-319 с.(ВО)(п)</t>
  </si>
  <si>
    <t>КОНСТРУИРОВАНИЕ ПРОГРАММНОГО ОБЕСПЕЧЕНИЯ</t>
  </si>
  <si>
    <t>Гагарина Л.Г., Гаращенко А.В., Акимова Е.Н. и др.</t>
  </si>
  <si>
    <t>978-5-16-017861-5</t>
  </si>
  <si>
    <t>09.03.03, 09.03.04, 09.04.03, 09.04.04</t>
  </si>
  <si>
    <t>472850.10.01</t>
  </si>
  <si>
    <t>Конструирование швейных изделий. Проектир: Уч.пос. / Л.В.Кочесова-2 изд.-М.:Форум, НИЦ ИНФРА-М,2025-391с(П)</t>
  </si>
  <si>
    <t>КОНСТРУИРОВАНИЕ ШВЕЙНЫХ ИЗДЕЛИЙ. ПРОЕКТИРОВАНИЕ СОВРЕМЕННЫХ ШВЕЙНЫХ ИЗДЕЛИЙ НА ИНДИВИДУАЛЬНУЮ ФИГУРУ, ИЗД.2</t>
  </si>
  <si>
    <t>Кочесова Л.В., Коваленко Е.В.</t>
  </si>
  <si>
    <t>978-5-00091-413-7</t>
  </si>
  <si>
    <t>27.02.04, 29.01.33, 29.02.10</t>
  </si>
  <si>
    <t>Рекомендовано в качестве учебного пособия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t>
  </si>
  <si>
    <t>Колледж Петербургской моды</t>
  </si>
  <si>
    <t>706826.07.01</t>
  </si>
  <si>
    <t>Конструирование швейных изделий...: Уч.пос./ Л.В.Кочесова - 2 изд.- М.:ФОРУМ: ИНФРА-М, 2025 - 391с(П)</t>
  </si>
  <si>
    <t>978-5-00091-786-2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</si>
  <si>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(протокол № 9 от 13.05.2019)</t>
  </si>
  <si>
    <t>652139.05.01</t>
  </si>
  <si>
    <t>Конструктивная прочность.Конструкц. стали и сплавы:Уч.пос./В.А.Жуков-М.:НИЦ ИНФРА-М,2023-264с(ВО)(П)</t>
  </si>
  <si>
    <t>КОНСТРУКТИВНАЯ ПРОЧНОСТЬ. КОНСТРУКЦИОННЫЕ СТАЛИ И СПЛАВЫ</t>
  </si>
  <si>
    <t>978-5-16-012956-3</t>
  </si>
  <si>
    <t>15.04.01, 15.04.03, 15.04.05, 15.05.01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</si>
  <si>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15.04.03 «Прикладная механика», 15.04.01 «Машиностроение», 15.04.05 «Конструкторско-технологическое обеспечение машиностроительных производств» (квалификация (степень) «магистр»)</t>
  </si>
  <si>
    <t>682959.10.01</t>
  </si>
  <si>
    <t>Конструктивное модел.одежды в терминах..: Уч.пос. / Л.П.Шершнева - М.:ИД ФОРУМ,НИЦ ИНФРА-М,2025-271(СПО)(П)</t>
  </si>
  <si>
    <t>КОНСТРУКТИВНОЕ МОДЕЛИРОВАНИЕ ОДЕЖДЫ В ТЕРМИНАХ, ЭСКИЗАХ И ЧЕРТЕЖАХ</t>
  </si>
  <si>
    <t>Шершнева Л.П., Дубоносова Е.А., Сунаева С.Г. и др.</t>
  </si>
  <si>
    <t>978-5-8199-0792-4</t>
  </si>
  <si>
    <t>29.01.04, 29.01.31, 29.01.33, 29.02.05, 29.02.10, 43.01.11, 54.01.01, 54.01.05, 54.01.06, 54.01.12, 54.01.20, 54.02.01, 54.02.03, 54.02.06</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</si>
  <si>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направлению подготовки 29.03.05 «Конструирование изделий легкой промышленности»</t>
  </si>
  <si>
    <t>276600.12.01</t>
  </si>
  <si>
    <t>Конструктивное моделир. одежды в...: Уч.пос./ Л.П.Шершнева.-М.:ИД ФОРУМ, НИЦ ИНФРА-М,2025-271с.(ВО)(П)</t>
  </si>
  <si>
    <t>Шершнева Л. П., Дубоносова Е. А., Сунаева С. Г., Баскакова Е. В.</t>
  </si>
  <si>
    <t>978-5-8199-0943-0</t>
  </si>
  <si>
    <t>29.03.01, 29.03.05, 29.04.01, 29.04.05, 54.03.03, 54.04.03</t>
  </si>
  <si>
    <t>110200.08.01</t>
  </si>
  <si>
    <t>Конструкторско-тех. обеспеч. пред. индустрии моды: Лаб. практ./ Н.И.Смирнова.-М.:НИЦ ИНФРА-М,2024.-272 с.(ВО)(п)</t>
  </si>
  <si>
    <t>КОНСТРУКТОРСКО-ТЕХНОЛОГИЧЕСКОЕ ОБЕСПЕЧЕНИЕ ПРЕДПРИЯТИЙ ИНДУСТРИИ МОДЫ</t>
  </si>
  <si>
    <t>Смирнова Н. И., Воронкова Т. Ю., Конопальцева Н. М.</t>
  </si>
  <si>
    <t>978-5-16-018785-3</t>
  </si>
  <si>
    <t>Лабораторный практикум</t>
  </si>
  <si>
    <t>29.03.01, 29.03.02, 29.03.05, 43.03.01, 43.04.01</t>
  </si>
  <si>
    <t>Рекомендовано УМО учебных заведений РФ по образованию в области сервиса и туризма Министерства образования и науки в качестве учебного пособия для студентов высших учебных заведений, обучающихся по направлению подготовки 43.03.01 «Сервис», специализации «Сервис на предприятиях индустрии моды»</t>
  </si>
  <si>
    <t>682960.03.01</t>
  </si>
  <si>
    <t>Конструкторско-технолог.обесп.предпр.индустр.моды/Н.И.Смирнова-М.:Форум,НИЦ ИНФРА-М,2023-272(СПО)(П)</t>
  </si>
  <si>
    <t>Смирнова Н.И., Воронкова Т.Ю., Конопальцева Н.М.</t>
  </si>
  <si>
    <t>978-5-16-015867-9</t>
  </si>
  <si>
    <t>27.02.04, 29.01.33, 29.02.05, 29.02.10</t>
  </si>
  <si>
    <t>704544.01.01</t>
  </si>
  <si>
    <t>Конструкторско-технологич. обеспеч. качества машиностроит. продукции: Уч.пос. / А.С.Мельников.-М.:НИЦ ИНФРА-М,2022.-363с(П)</t>
  </si>
  <si>
    <t>КОНСТРУКТОРСКО-ТЕХНОЛОГИЧЕСКОЕ ОБЕСПЕЧЕНИЕ КАЧЕСТВА МАШИНОСТРОИТЕЛЬНОЙ ПРОДУКЦИИ</t>
  </si>
  <si>
    <t>Мельников А.С., Тамаркин М.А., Тищенко Э.Э. и др.</t>
  </si>
  <si>
    <t>978-5-16-015236-3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</si>
  <si>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 (протокол № 6 от 16.06.2021)</t>
  </si>
  <si>
    <t>682961.07.01</t>
  </si>
  <si>
    <t>Конструкции деревянных зданий: Уч. / В.И.Запруднов - М.:НИЦ ИНФРА-М,2025 - 304 с.(СПО)(П)</t>
  </si>
  <si>
    <t>КОНСТРУКЦИИ ДЕРЕВЯННЫХ ЗДАНИЙ</t>
  </si>
  <si>
    <t>Запруднов В.И., Стриженко В.В.</t>
  </si>
  <si>
    <t>978-5-16-014632-4</t>
  </si>
  <si>
    <t>07.02.01, 08.02.01, 35.02.18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</si>
  <si>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35.02.03 «Технология деревообработки» (протокол № 4 от 25.02.2019)</t>
  </si>
  <si>
    <t>240300.09.01</t>
  </si>
  <si>
    <t>Конструкции деревянных зданий: Уч. / В.И.Запруднов - М.:НИЦ ИНФРА-М,2025. - 304 с.(ВО: Бакалавр.)(П)</t>
  </si>
  <si>
    <t>Запруднов В. И., Стриженко В. В.</t>
  </si>
  <si>
    <t>978-5-16-009229-4</t>
  </si>
  <si>
    <t>35.03.02, 35.04.02</t>
  </si>
  <si>
    <t>Допущено УМО по образованию в области лесного дела в качестве учебника для студентов вузов, обучающихся по направлению подготовки бакалавров и магистров 250400 «Технология лесозаготовительных и деревоперерабатывающих производств»</t>
  </si>
  <si>
    <t>103400.19.01</t>
  </si>
  <si>
    <t>Конструкции зданий и сооружений с элемент. статики / Под ред. Л.Р. Маиляна. - ИНФРА-М,2025. -  687 с.(СПО) (п)</t>
  </si>
  <si>
    <t>КОНСТРУКЦИИ ЗДАНИЙ И СООРУЖЕНИЙ С ЭЛЕМЕНТАМИ СТАТИКИ</t>
  </si>
  <si>
    <t>Маилян Л. Р.</t>
  </si>
  <si>
    <t>978-5-16-003508-6</t>
  </si>
  <si>
    <t>08.02.15</t>
  </si>
  <si>
    <t>Допущено Федеральным агентством по строительству и ЖКХ в качестве учебника для студентов сред. спец. учеб. зав., обуч. по спец. 270301 Архитектура</t>
  </si>
  <si>
    <t>641492.05.01</t>
  </si>
  <si>
    <t>Конструкции и наладка токарных станков: Уч.пос. / Л.И.Вереина и др.-М.:НИЦ ИНФРА-М,2024-480с.(ВО)(П)</t>
  </si>
  <si>
    <t>КОНСТРУКЦИИ И НАЛАДКА ТОКАРНЫХ СТАНКОВ</t>
  </si>
  <si>
    <t>Вереина Л.И., Краснов М.М., Вереина Л.И.</t>
  </si>
  <si>
    <t>978-5-16-012503-9</t>
  </si>
  <si>
    <t>15.03.01, 15.03.02, 15.03.05</t>
  </si>
  <si>
    <t>Рекомендовано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</si>
  <si>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682962.08.01</t>
  </si>
  <si>
    <t>Конструкции и наладка токарных станков: Уч.пос. / Л.И.Вереина. - М.:НИЦ ИНФРА-М,2025 - 480 с.(СПО)(П)</t>
  </si>
  <si>
    <t>978-5-16-013960-9</t>
  </si>
  <si>
    <t>15.01.38, 15.02.01, 15.02.04, 15.02.16, 15.02.17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</si>
  <si>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15.02.08 «Технология машиностроения»</t>
  </si>
  <si>
    <t>702445.04.01</t>
  </si>
  <si>
    <t>Конструкции и электрооборуд. высокоскор. назем. трансп.: Уч.пос. / Д.В.Пегов, -М.:НИЦ ИНФРА-М,2024.-267 с.(ВО)(П)</t>
  </si>
  <si>
    <t>КОНСТРУКЦИИ И ЭЛЕКТРООБОРУДОВАНИЕ ВЫСОКОСКОРОСТНОГО НАЗЕМНОГО ТРАНСПОРТА</t>
  </si>
  <si>
    <t>Пегов Д.В., Евстафьев А.М., Мазнев А.С. и др.</t>
  </si>
  <si>
    <t>978-5-16-014940-0</t>
  </si>
  <si>
    <t>23.05.03, 23.05.04, 23.05.05</t>
  </si>
  <si>
    <t>Рекомендовано Экспертным советом по рецензированию Московского государственного университета путей сообщения, уполномоченным приказом Минобрнауки России от 15 января 2007 г. № 10, к использованию в качестве учебного пособия для студентов, обучающихся по специальности «Подвижной состав железных дорог»</t>
  </si>
  <si>
    <t>348200.14.01</t>
  </si>
  <si>
    <t>Конструкции малоэтажных зданий: Уч.пос. / Л.А.Мунчак - 2 изд. - М.:КУРС, НИЦ ИНФРА-М,2023-464с.(П)</t>
  </si>
  <si>
    <t>КОНСТРУКЦИИ МАЛОЭТАЖНЫХ ЗДАНИЙ, ИЗД.2</t>
  </si>
  <si>
    <t>Мунчак Л.А.</t>
  </si>
  <si>
    <t>978-5-906818-84-3</t>
  </si>
  <si>
    <t>682963.03.01</t>
  </si>
  <si>
    <t>Конструкция автомобильных трансмиссий: Уч.пос. / В.И.Песков - М.:НИЦ ИНФРА-М,2023 - 146 с.(СПО)(П)</t>
  </si>
  <si>
    <t>КОНСТРУКЦИЯ АВТОМОБИЛЬНЫХ ТРАНСМИССИЙ</t>
  </si>
  <si>
    <t>Песков В.И.</t>
  </si>
  <si>
    <t>978-5-16-016145-7</t>
  </si>
  <si>
    <t>15.02.01, 15.02.16, 23.02.02</t>
  </si>
  <si>
    <t>438250.14.01</t>
  </si>
  <si>
    <t>Конструкция автомобильных трансмиссий: Уч.пос. / В.И.Песков - М.:НИЦ ИНФРА-М,2025 - 146 с.(О)</t>
  </si>
  <si>
    <t>978-5-16-020885-5</t>
  </si>
  <si>
    <t>15.03.03, 15.03.05, 15.04.05</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</si>
  <si>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«Автомобиле- и тракторостроение»</t>
  </si>
  <si>
    <t>791515.04.01</t>
  </si>
  <si>
    <t>Конструкция воен. колесных машин. Авто. Урал-4320-10...: Уч.пос. / К.В.Костин - М.:НИЦ ИНФРА-М,2025. - 291с.(п)</t>
  </si>
  <si>
    <t>КОНСТРУКЦИЯ ВОЕННЫХ КОЛЕСНЫХ МАШИН. АВТОМОБИЛИ УРАЛ-4320-10, УРАЛ-4320-31</t>
  </si>
  <si>
    <t>Костин К.В., Галкин А.Н., Брикса С.Л. и др.</t>
  </si>
  <si>
    <t>978-5-16-017998-8</t>
  </si>
  <si>
    <t>23.03.02, 23.03.03, 23.04.02, 23.04.03, 56.04.04</t>
  </si>
  <si>
    <t>777251.01.01</t>
  </si>
  <si>
    <t>Конструкция судовых турбомашин: Уч.пос. / В.В.Кузнецов.-М.:НИЦ ИНФРА-М,2023.-154 с.(ВО)(о)</t>
  </si>
  <si>
    <t>КОНСТРУКЦИЯ СУДОВЫХ ТУРБОМАШИН</t>
  </si>
  <si>
    <t>Кузнецов В.В., Польский Е.В., ЧВВМУ имени П.С Нахимова</t>
  </si>
  <si>
    <t>978-5-16-017931-5</t>
  </si>
  <si>
    <t>18.01.28, 19.01.01, 26.01.03, 26.01.05, 26.02.01, 26.02.02, 26.02.04, 26.02.05, 26.02.06, 26.03.02, 26.05.02, 26.05.05, 26.05.06</t>
  </si>
  <si>
    <t>Рекомендовано экспертным советом ЧВВМУ имени П.С. Нахимова в качестве учебного пособия по дисциплине «Судовые турбомашины» для студентов специальности 26.05.06 «Эксплуатация судовых энергетических установок»</t>
  </si>
  <si>
    <t>701972.05.01</t>
  </si>
  <si>
    <t>Конструкция электроспецоборуд. бронетанк. вооруж..: Уч.: Ч.2 / И.Ю.Лепешинский-М.:НИЦ ИНФРА-М,2024.-419с(П)</t>
  </si>
  <si>
    <t>КОНСТРУКЦИЯ ЭЛЕКТРОСПЕЦОБОРУДОВАНИЯ БРОНЕТАНКОВОГО ВООРУЖЕНИЯ И ТЕХНИКИ, Т.2</t>
  </si>
  <si>
    <t>978-5-16-015032-1</t>
  </si>
  <si>
    <t>23.04.02, 23.04.03, 23.05.01, 23.05.02, 56.04.04, 57.04.01</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</si>
  <si>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</si>
  <si>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701971.05.01</t>
  </si>
  <si>
    <t>Конструкция электроспецоборуд. бронетанкового..: Уч.: Ч.1 / И.Ю.Лепешинский - М.:НИЦ ИНФРА-М,2024-392с.(П)</t>
  </si>
  <si>
    <t>КОНСТРУКЦИЯ ЭЛЕКТРОСПЕЦОБОРУДОВАНИЯ БРОНЕТАНКОВОГО ВООРУЖЕНИЯ И ТЕХНИКИ, Т.1</t>
  </si>
  <si>
    <t>Лепешинский И.Ю., Чикирев О.И., Мунин В.А. и др.</t>
  </si>
  <si>
    <t>978-5-16-015063-5</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</si>
  <si>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 обучающихся по направлению подготовки «Транспортные машины  и транспортно-технологические комплексы»</t>
  </si>
  <si>
    <t>657343.08.01</t>
  </si>
  <si>
    <t>Консультативная психология: Уч.пос. / Е.Е.Сапогова - 2 изд. - М.:НИЦ ИНФРА-М,2025 - 427с(ВО)(п)</t>
  </si>
  <si>
    <t>КОНСУЛЬТАТИВНАЯ ПСИХОЛОГИЯ, ИЗД.2</t>
  </si>
  <si>
    <t>Сапогова Е.Е.</t>
  </si>
  <si>
    <t>978-5-16-019844-6</t>
  </si>
  <si>
    <t>37.03.01, 37.05.01, 44.03.02, 44.04.02, 44.05.01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</si>
  <si>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37.03.01 «Психология», 44.03.02 «Психолого-педагогическое образование» (квалификация (степень) «бакалавр»)</t>
  </si>
  <si>
    <t>128750.06.01</t>
  </si>
  <si>
    <t>Консультирование в упр.человеч.ресурс.: Уч.пос./Н.И.Шаталова-НИЦ ИНФРА-М,2019-221с.(ВО:Бакалавр.)(п)</t>
  </si>
  <si>
    <t>КОНСУЛЬТИРОВАНИЕ В УПРАВЛЕНИИ ЧЕЛОВЕЧЕСКИМИ РЕСУРСАМИ</t>
  </si>
  <si>
    <t>Шаталова Н. И., Александрова Н. А., Брюхова О. Ю., Гилева О. Б., Шаталова Н. И.</t>
  </si>
  <si>
    <t>978-5-16-003824-7</t>
  </si>
  <si>
    <t>38.03.02, 38.03.04, 38.04.04, 41.03.06</t>
  </si>
  <si>
    <t>Допущено Советом Учебно-методического объединения по образованию в области менеджмента в качестве учебного пособия по дисциплине региональной составляющей специальности «Управление персоналом»</t>
  </si>
  <si>
    <t>Уральский государственный университет путей сообщения</t>
  </si>
  <si>
    <t>214900.06.01</t>
  </si>
  <si>
    <t>Контроллинг в банке: Уч.пос. / А.М.Карминский - М.: ИД ФОРУМ:НИЦ ИНФРА-М, 2022 - 288 с.(ВО) (п)</t>
  </si>
  <si>
    <t>КОНТРОЛЛИНГ В БАНКЕ</t>
  </si>
  <si>
    <t>Фалько С.Г., Жевага А.А., Зубов С.А. и др.</t>
  </si>
  <si>
    <t>978-5-8199-0556-2</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</si>
  <si>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заведении, обучающихся по направлению «Экономика» (бакалавриат и магистратура), по пр</t>
  </si>
  <si>
    <t>214900.07.01</t>
  </si>
  <si>
    <t>Контроллинг в банке: Уч.пос. / Под ред. Карминского А.М., - 2 изд. - М.:НИЦ ИНФРА-М,2025. - 284 с.(ВО)(п)</t>
  </si>
  <si>
    <t>КОНТРОЛЛИНГ В БАНКЕ, ИЗД.2</t>
  </si>
  <si>
    <t>Карминский А.М., Фалько С.Г., Жевага А.А. и др.</t>
  </si>
  <si>
    <t>978-5-16-018131-8</t>
  </si>
  <si>
    <t>205200.07.01</t>
  </si>
  <si>
    <t>Контроллинг на промышленном предпр.: Уч. / А.М.Карминский - М.: ИД ФОРУМ: ИНФРА-М, 2022-304с.(ВО) (п)</t>
  </si>
  <si>
    <t>КОНТРОЛЛИНГ НА ПРОМЫШЛЕННОМ ПРЕДПРИЯТИИ</t>
  </si>
  <si>
    <t>Карминский А. М., Фалько С. Г., Грачев И. Д., Иванова Н. Ю., Маликова С. Г., Карминский А. М.</t>
  </si>
  <si>
    <t>978-5-8199-0549-4</t>
  </si>
  <si>
    <t>27.04.06, 27.04.07, 38.03.01, 38.03.02, 38.04.02, 41.03.06</t>
  </si>
  <si>
    <t>Рекомендовано Учебно-методическим объединением вузов по университетскому политехническому образованию в качестве учебника для студентов вузов, обучающихся по направлению 220700 «Организация и управление наукоемкими производствами» специальности 22070</t>
  </si>
  <si>
    <t>205200.08.01</t>
  </si>
  <si>
    <t>Контроллинг на промышленном предприятии: Уч. / А.М.Карминский - 2 изд.-М.:НИЦ ИНФРА-М,2024.-295 с.(ВО)(п)</t>
  </si>
  <si>
    <t>КОНТРОЛЛИНГ НА ПРОМЫШЛЕННОМ ПРЕДПРИЯТИИ, ИЗД.2</t>
  </si>
  <si>
    <t>Иванова Н.Ю., Карминский А.М., Маликова С.Г. и др.</t>
  </si>
  <si>
    <t>978-5-16-017878-3</t>
  </si>
  <si>
    <t>Рекомендовано Учебно-методическим объединением вузов по университетскому политехническому образованию в качестве учебника для студентов вузов, обучающихся по направлению «Организация и управление наукоемкими производствами» специальности «Менеджмент высоких технологий»</t>
  </si>
  <si>
    <t>080990.14.01</t>
  </si>
  <si>
    <t>Контроллинг: Уч. / Под ред. Карминского А.М. - 3 изд. -М.:ИД ФОРУМ,НИЦ ИНФРА-М,2023-336с.(ВО)(П)</t>
  </si>
  <si>
    <t>КОНТРОЛЛИНГ, ИЗД.3</t>
  </si>
  <si>
    <t>978-5-8199-0825-9</t>
  </si>
  <si>
    <t>38.03.01, 38.03.02, 38.03.03, 38.03.04, 38.03.06, 38.04.01, 38.04.02, 38.04.03, 38.04.04, 38.04.06, 41.03.06</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</si>
  <si>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27.04.06 «Организация и управление наукоемкими производствами»</t>
  </si>
  <si>
    <t>080990.12.01</t>
  </si>
  <si>
    <t>Контроллинг: Уч. / Под ред. Карминского А.М., - 4-е изд.,-М.:НИЦ ИНФРА-М,2024.-252 с.(ВО:Магистр)(п)</t>
  </si>
  <si>
    <t>КОНТРОЛЛИНГ, ИЗД.4</t>
  </si>
  <si>
    <t>978-5-16-017877-6</t>
  </si>
  <si>
    <t>739817.02.01</t>
  </si>
  <si>
    <t>Контроль и аудит деят. коммерческой орг...: Уч.пос. / В.И.Осипов - М.:НИЦ ИНФРА-М,2024. - 221 с.(ВО)(П)</t>
  </si>
  <si>
    <t>КОНТРОЛЬ И АУДИТ ДЕЯТЕЛЬНОСТИ КОММЕРЧЕСКОЙ ОРГАНИЗАЦИИ: ВНЕШНИЙ И ВНУТРЕННИЙ</t>
  </si>
  <si>
    <t>Осипов В.И.</t>
  </si>
  <si>
    <t>978-5-16-019994-8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</si>
  <si>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11 от 09.11.2020)</t>
  </si>
  <si>
    <t>150700.12.01</t>
  </si>
  <si>
    <t>Контроль и ревизия в бюджет. учр.: Уч.пос. /Маслова Т.С. - 2 изд. - М.:Магистр,НИЦ ИНФРА-М,2023-336с(О)</t>
  </si>
  <si>
    <t>КОНТРОЛЬ И РЕВИЗИЯ В БЮДЖЕТНЫХ УЧРЕЖДЕНИЯХ, ИЗД.2</t>
  </si>
  <si>
    <t>Маслова Т. С.</t>
  </si>
  <si>
    <t>978-5-9776-0446-8</t>
  </si>
  <si>
    <t>23.03.01, 38.03.01</t>
  </si>
  <si>
    <t>821278.01.01</t>
  </si>
  <si>
    <t>Контроль и ревизия в гос/ учреждениях: Eч. / Т.С.Маслова-М.:Магистр, НИЦ ИНФРА-М,2024.-432 с.(п)</t>
  </si>
  <si>
    <t>КОНТРОЛЬ И РЕВИЗИЯ В ГОСУДАРСТВЕННЫХ УЧРЕЖДЕНИЯХ</t>
  </si>
  <si>
    <t>978-5-9776-0561-8</t>
  </si>
  <si>
    <t>38.03.01, 38.03.02, 38.03.04, 38.04.01, 38.04.02, 38.04.04, 38.04.06, 38.04.08, 38.04.09, 38.05.01</t>
  </si>
  <si>
    <t>720208.04.01</t>
  </si>
  <si>
    <t>Контроль и ревизия. Практикум: Уч.пос. / Н.Г.Гаджиев и др.-М.:НИЦ ИНФРА-М,2023.-321 с..-(ВО)(П)</t>
  </si>
  <si>
    <t>КОНТРОЛЬ И РЕВИЗИЯ. ПРАКТИКУМ</t>
  </si>
  <si>
    <t>Гаджиев Н.Г., Коноваленко С.А., Корнилович Р.А. и др.</t>
  </si>
  <si>
    <t>978-5-16-015731-3</t>
  </si>
  <si>
    <t>38.03.02, 38.03.03, 38.03.06, 38.04.02, 38.04.03, 38.04.06, 38.05.01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</si>
  <si>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10 от 12.10.2020)</t>
  </si>
  <si>
    <t>813857.02.01</t>
  </si>
  <si>
    <t>Контроль и ревизия: Уч. / Е.А.Мизиковский.-М.:Магистр, НИЦ ИНФРА-М,2024.-352 с.(п)</t>
  </si>
  <si>
    <t>КОНТРОЛЬ И РЕВИЗИЯ</t>
  </si>
  <si>
    <t>Мизиковский Е.А., Мизиковский И.Е., Игонина Е.С. и др.</t>
  </si>
  <si>
    <t>978-5-9776-0573-1</t>
  </si>
  <si>
    <t>38.03.01, 38.03.02, 38.03.03, 38.03.06, 38.04.01, 38.04.02, 38.04.03, 38.04.06, 38.05.01</t>
  </si>
  <si>
    <t>749667.05.01</t>
  </si>
  <si>
    <t>Контроль и ревизия: Уч. / Н.Г.Гаджиев и др. - М.:НИЦ ИНФРА-М,2025. - 607 с.(ВО: Специалитет)(П)</t>
  </si>
  <si>
    <t>Гаджиев Н.Г., Коноваленко С.А., Киселева О.В. и др.</t>
  </si>
  <si>
    <t>978-5-16-016757-2</t>
  </si>
  <si>
    <t>38.03.01, 38.03.02, 38.03.06, 38.04.02, 38.04.06, 38.05.01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</si>
  <si>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«экономист») (протокол № 6 от 08.06.2022)</t>
  </si>
  <si>
    <t>055150.17.01</t>
  </si>
  <si>
    <t>Контроль качества воды: Уч. / Л.С. Алексеев - 4 изд. - М.: НИЦ ИНФРА-М, 2025 - 159с.(СПО) (п)</t>
  </si>
  <si>
    <t>КОНТРОЛЬ КАЧЕСТВА ВОДЫ, ИЗД.4</t>
  </si>
  <si>
    <t>Алексеев Л. С.</t>
  </si>
  <si>
    <t>978-5-16-010316-7</t>
  </si>
  <si>
    <t>08.01.29, 08.02.01, 08.02.02, 08.02.04, 08.02.13, 08.02.14, 13.02.02, 13.02.05, 18.02.12, 35.01.33</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</si>
  <si>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08.02.04 «Водоснабжение и водоотведение»</t>
  </si>
  <si>
    <t>0409</t>
  </si>
  <si>
    <t>684352.05.01</t>
  </si>
  <si>
    <t>Конфекционирование матер. для одежды: Уч.пос. / Л.В.Орленко - М.:ИД ФОРУМ, НИЦ ИНФРА-М,2025. - 287 с.(П)</t>
  </si>
  <si>
    <t>КОНФЕКЦИОНИРОВАНИЕ МАТЕРИАЛОВ ДЛЯ ОДЕЖДЫ</t>
  </si>
  <si>
    <t>Орленко Л.В., Гаврилова Н.И.</t>
  </si>
  <si>
    <t>978-5-8199-0788-7</t>
  </si>
  <si>
    <t>29.01.04, 29.01.31, 29.01.33, 29.02.05, 29.02.10, 54.01.05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</si>
  <si>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13 от 16.09.2019)</t>
  </si>
  <si>
    <t>069100.09.01</t>
  </si>
  <si>
    <t>Конфекционирование материалов для одежды: Уч.пос. / Л.В.Орленко - М.:ИД ФОРУМ, НИЦ ИНФРА-М,2025.-287с.(П)</t>
  </si>
  <si>
    <t>Орленко Л. В., Гаврилова Н. И.</t>
  </si>
  <si>
    <t>978-5-8199-0908-9</t>
  </si>
  <si>
    <t>29.03.05</t>
  </si>
  <si>
    <t>Рекомендовано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t>
  </si>
  <si>
    <t>664178.09.01</t>
  </si>
  <si>
    <t>Конфигурирование и моделир.в сист.«1С: Предпр.»: Уч. /Э.Г.Дадян - М.:Вуз.уч. НИЦ ИНФРА-М,2025 - 417 с(П)</t>
  </si>
  <si>
    <t>КОНФИГУРИРОВАНИЕ И МОДЕЛИРОВАНИЕ В СИСТЕМЕ «1С: ПРЕДПРИЯТИЕ»</t>
  </si>
  <si>
    <t>978-5-9558-0581-8</t>
  </si>
  <si>
    <t>01.03.04, 01.04.04, 02.03.02, 03.03.02, 09.03.01, 09.03.03, 09.03.04</t>
  </si>
  <si>
    <t>179350.11.01</t>
  </si>
  <si>
    <t>Конфиденциальное делопроизводство: Уч.пос. / Т.А.Гугуева - 2 изд. - М.:НИЦ ИНФРА-М,2024-199с.(ВО)(П)</t>
  </si>
  <si>
    <t>КОНФИДЕНЦИАЛЬНОЕ ДЕЛОПРОИЗВОДСТВО, ИЗД.2</t>
  </si>
  <si>
    <t>Гугуева Т.А.</t>
  </si>
  <si>
    <t>978-5-16-012525-1</t>
  </si>
  <si>
    <t>23.03.01, 38.03.02, 38.03.04, 46.03.02, 46.04.02</t>
  </si>
  <si>
    <t>Рекомендовано в качестве учебного пособия для студентов высших учебных заведений, обучающихся по направлениям подготовки 46.03.02 «Документоведение и архивоведение», 38.03.02 «Менеджмент» (квалификация (степень) «бакалавр»)</t>
  </si>
  <si>
    <t>Газпром, ф-л Служба корпоративной защиты ПАО "Газпром" в г. Москве</t>
  </si>
  <si>
    <t>747208.04.01</t>
  </si>
  <si>
    <t>Конфиденциальное делопроизводство: Уч.пос. / Т.А.Гугуева - 2 изд. - М.:НИЦ ИНФРА-М,2025 - 199 с.-(СПО)(П)</t>
  </si>
  <si>
    <t>978-5-16-016585-1</t>
  </si>
  <si>
    <t>09.01.03, 10.02.01, 11.02.12, 18.02.01, 19.02.11, 21.02.19, 29.02.05, 38.02.01, 38.02.02, 38.02.03, 38.02.06, 38.02.07, 38.02.08, 39.02.01, 40.02.02, 40.02.04, 43.02.01, 46.02.01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</si>
  <si>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10.02.00 «Информационная безопасность», 38.02.00 «Экономика и менеджмент», 40.02.00» Юриспруденция», 46.02.00» История и археология»  (протокол № 8 от 22.06.2020)</t>
  </si>
  <si>
    <t>745645.02.01</t>
  </si>
  <si>
    <t>Конфиденциальное делопроизводство: Уч.пос. / Т.А.Гугуева-М.:НИЦ ИНФРА-М,2021.-199 с.(ВО: Спец.)(П)</t>
  </si>
  <si>
    <t>КОНФИДЕНЦИАЛЬНОЕ ДЕЛОПРОИЗВОДСТВО</t>
  </si>
  <si>
    <t>978-5-16-016537-0</t>
  </si>
  <si>
    <t>38.00.00, 10.05.01, 10.05.02, 10.05.03, 10.05.04, 10.05.05, 10.05.07, 38.05.01, 38.05.02, 40.05.01, 40.05.02, 40.05.03, 40.05.04, 46.03.02, 46.04.02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</si>
  <si>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программам специалитета (протокол № 8 от 22.06.2020)</t>
  </si>
  <si>
    <t>023598.18.01</t>
  </si>
  <si>
    <t>Конфликтология: Уч. / А.В. Дмитриев. - 4 изд. - М.: Альфа-М: НИЦ ИНФРА-М, 2025. - 336с. (п)</t>
  </si>
  <si>
    <t>КОНФЛИКТОЛОГИЯ, ИЗД.4</t>
  </si>
  <si>
    <t>Дмитриев А. В.</t>
  </si>
  <si>
    <t>978-5-98281-350-3</t>
  </si>
  <si>
    <t>23.03.01, 26.03.01, 37.03.01, 37.03.02, 37.04.01, 37.04.02, 38.03.01, 38.03.03, 38.03.04, 38.04.03, 38.04.04, 39.03.01, 39.03.02, 39.04.01, 41.03.04, 41.03.06, 41.04.01, 41.04.04, 41.04.05, 43.04.03, 44.03.01, 44.03.05, 51.03.02</t>
  </si>
  <si>
    <t>Рекомендовано УМО по образованию в области инновационных  междисциплинарных образовательных программ в качестве учебника по направлению "Конфликтология"</t>
  </si>
  <si>
    <t>Федеральный научно-исследовательский социологический центр Российской академии наук</t>
  </si>
  <si>
    <t>0413</t>
  </si>
  <si>
    <t>123750.12.01</t>
  </si>
  <si>
    <t>Конфликтология: Уч. / Г.И.Козырев - 3 изд. - М.:НИЦ ИНФРА-М,2025 - 289 с.(ВО)(П)</t>
  </si>
  <si>
    <t>КОНФЛИКТОЛОГИЯ, ИЗД.3</t>
  </si>
  <si>
    <t>Козырев Г.И.</t>
  </si>
  <si>
    <t>978-5-16-018512-5</t>
  </si>
  <si>
    <t>37.03.02, 37.04.02, 37.05.02, 38.03.01, 38.03.03, 39.03.02, 41.03.06, 44.03.05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</si>
  <si>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38.03.03 «Управление персоналом», 41.03.06 «Публичная политика и социальные науки» (квалификация (степень) «бакалавр») (протокол № 10 от 27.05.2019)</t>
  </si>
  <si>
    <t>123750.05.01</t>
  </si>
  <si>
    <t>Конфликтология: Уч. / Г.И.Козырев - М.:ИД ФОРУМ, НИЦ ИНФРА-М,2018 - 304 с.-(ВО)(П)</t>
  </si>
  <si>
    <t>КОНФЛИКТОЛОГИЯ</t>
  </si>
  <si>
    <t>978-5-8199-0738-2</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</si>
  <si>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39.03.01 «Социология»</t>
  </si>
  <si>
    <t>024307.27.01</t>
  </si>
  <si>
    <t>Конфликтология: Уч. / Под ред. Кибанова А.Я. - 2 изд. - М.:НИЦ ИНФРА-М,2021 - 301 с.-(ВО)(П)</t>
  </si>
  <si>
    <t>КОНФЛИКТОЛОГИЯ, ИЗД.2</t>
  </si>
  <si>
    <t>Кибанов А. Я., Ворожейкин И. Е., Захаров Д. К., Коновалова В. Г., Кибанов А. Я.</t>
  </si>
  <si>
    <t>978-5-16-005724-8</t>
  </si>
  <si>
    <t>23.03.01, 37.03.01, 37.03.02, 37.04.01, 37.04.02, 38.03.01, 38.03.02, 38.03.03, 38.04.01, 38.04.02, 38.04.03, 39.03.01, 39.03.02, 39.04.01, 41.03.04, 41.03.06, 41.04.01, 41.04.04, 41.04.05, 43.04.03, 44.03.01, 44.03.05, 51.03.02</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</si>
  <si>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направлениям подготовки 38.03.02 «Менеджмент»,  39.03.03 «Управление персоналом»</t>
  </si>
  <si>
    <t>838317.01.01</t>
  </si>
  <si>
    <t>Конфликтология: Уч. / Под ред. Кибанова А.Я. - 2 изд. - М.:НИЦ ИНФРА-М,2025 - 301 с.(СПО)(п)</t>
  </si>
  <si>
    <t>978-5-16-020210-5</t>
  </si>
  <si>
    <t>20.02.05, 31.02.04, 32.02.01, 38.02.03, 38.02.07, 38.02.08, 43.02.06, 43.02.16</t>
  </si>
  <si>
    <t>821275.01.01</t>
  </si>
  <si>
    <t>Конфликты среди подростков и медиативные..: Уч.пос. / С.С.Савельева - М.:НИЦ ИНФРА-М,2025. - 235 с.(ВО)(п)</t>
  </si>
  <si>
    <t>КОНФЛИКТЫ СРЕДИ ПОДРОСТКОВ И МЕДИАТИВНЫЕ ТЕХНИКИ ИХ РЕШЕНИЯ</t>
  </si>
  <si>
    <t>Савельева С.С., Белоус Е.Н., Филиппов М.Н.</t>
  </si>
  <si>
    <t>978-5-16-019863-7</t>
  </si>
  <si>
    <t>37.05.02, 44.03.01, 44.03.02, 44.03.05, 44.04.01, 44.04.02, 44.05.01</t>
  </si>
  <si>
    <t>Государственный социально-гуманитарный университет</t>
  </si>
  <si>
    <t>646254.04.01</t>
  </si>
  <si>
    <t>Концептуальные основы совр. соц. гос. и соц. право: Уч. / А.А.Акмалова - М.:НИЦ ИНФРА-М,2025 - 316 с.(ВО)(П)</t>
  </si>
  <si>
    <t>КОНЦЕПТУАЛЬНЫЕ ОСНОВЫ СОВРЕМЕННОГО СОЦИАЛЬНОГО ГОСУДАРСТВА И СОЦИАЛЬНОЕ ПРАВО</t>
  </si>
  <si>
    <t>978-5-16-013694-3</t>
  </si>
  <si>
    <t>38.04.04, 39.04.02, 40.04.01, 40.05.04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</si>
  <si>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39.04.02 «Социальная работа» (квалификация (степень) «магистр») (протокол № 8 от 22.06.2020)</t>
  </si>
  <si>
    <t>079340.09.01</t>
  </si>
  <si>
    <t>Концепции современного естествознания.: Уч. пос./В.П.Романов - 4 изд.- М.: Вуз.учеб., 2024-286с. (п)</t>
  </si>
  <si>
    <t>КОНЦЕПЦИИ СОВРЕМЕННОГО ЕСТЕСТВОЗНАНИЯ, ИЗД.4</t>
  </si>
  <si>
    <t>Романов В. П.</t>
  </si>
  <si>
    <t>978-5-9558-0189-6</t>
  </si>
  <si>
    <t>37.03.01, 37.03.02, 38.03.01, 38.03.03, 38.03.04, 39.03.03, 41.03.03, 41.03.04, 41.03.06, 42.03.02, 42.03.03, 44.03.01, 44.03.03, 44.03.05, 45.03.04, 46.03.02, 47.03.01, 47.03.02, 47.03.03, 48.03.01, 50.03.01, 51.03.01, 51.03.04</t>
  </si>
  <si>
    <t>Допущено Мин. обр. и науки РФ в качестве УчПос для студ. ВУЗ., обущ. по напр. подг. "Менеджм." и спец. "Менеджм. организ.", "Маркетинг", "Прикл. инф. в эконом.","Компл. защ. объектов информат.", Юриспруд", "Перевод и переводовед.", "Управл. качеств."</t>
  </si>
  <si>
    <t>088550.10.01</t>
  </si>
  <si>
    <t>Концепции современного естествознания: Практ./ В.П. Романов-3изд.,М.:Вуз.уч.,НИЦ ИНФРА-М,2023-128(О)</t>
  </si>
  <si>
    <t>КОНЦЕПЦИИ СОВРЕМЕННОГО ЕСТЕСТВОЗНАНИЯ, ИЗД.3</t>
  </si>
  <si>
    <t>Романов В.П.</t>
  </si>
  <si>
    <t>978-5-9558-0397-5</t>
  </si>
  <si>
    <t>37.03.02, 38.03.01, 38.03.03, 38.03.04, 39.03.03, 41.03.03, 41.03.04, 41.03.06, 42.03.02, 42.03.03, 44.03.01, 44.03.03, 44.03.05, 45.03.04, 46.03.02, 47.03.01, 47.03.02, 47.03.03, 48.03.01, 50.03.01, 51.03.01, 51.03.04</t>
  </si>
  <si>
    <t>Допущено Мин. обр. и науки РФ  в качестве учебного пособия по теоретической механике для студентов высших учебных заведений</t>
  </si>
  <si>
    <t>0308</t>
  </si>
  <si>
    <t>156400.08.01</t>
  </si>
  <si>
    <t>Концепции современного естествознания: Уч. / Г.И.Рузавин - 3 изд. - М.:НИЦ ИНФРА-М,2023-271с(ВО)(п)</t>
  </si>
  <si>
    <t>Рузавин Г.И.</t>
  </si>
  <si>
    <t>978-5-16-018670-2</t>
  </si>
  <si>
    <t>37.03.02, 38.03.01, 38.03.03, 38.03.04, 41.03.04, 41.03.06, 42.03.02, 44.03.01, 44.03.05, 46.03.02, 47.03.01, 47.03.02, 47.03.03, 50.03.01, 51.03.01</t>
  </si>
  <si>
    <t>Рекомендовано Министерством образования РФ в качестве учебника для студентов высших учебных заведений</t>
  </si>
  <si>
    <t>266300.06.01</t>
  </si>
  <si>
    <t>Концепции современного естествознания: Уч. пос. / В.А.Разумов - М.: НИЦ ИНФРА-М, 2024-352с.(ВО) (п)</t>
  </si>
  <si>
    <t>КОНЦЕПЦИИ СОВРЕМЕННОГО ЕСТЕСТВОЗНАНИЯ</t>
  </si>
  <si>
    <t>Разумов В.А.</t>
  </si>
  <si>
    <t>978-5-16-009585-1</t>
  </si>
  <si>
    <t>Курчатовский институт - ИРЕА</t>
  </si>
  <si>
    <t>664423.02.01</t>
  </si>
  <si>
    <t>Концепции современного естествознания: Уч.пос. / Э.В.Островский-М.:Вуз. уч., НИЦ ИНФРА-М,2024.-141 с.(ВО)(п)</t>
  </si>
  <si>
    <t>КОНЦЕПЦИИ СОВРЕМЕННОГО ЕСТЕСТВОЗНАНИЯ.</t>
  </si>
  <si>
    <t>Островский Э.В.</t>
  </si>
  <si>
    <t>978-5-9558-0593-1</t>
  </si>
  <si>
    <t>Рекомендовано Учебно-методическим советом ВО в качестве учебного пособия для студентов высших учебных заведений, обучающихся по экономическим и гуманитарным направлениям подготовки (квалификация (степень) «бакалавр»)</t>
  </si>
  <si>
    <t>700865.03.01</t>
  </si>
  <si>
    <t>Концепции теории бухгалтерского учета: Уч.пос. / Плотников В.С. - М.:НИЦ ИНФРА-М,2024. - 384 с.(ВО)(П)</t>
  </si>
  <si>
    <t>КОНЦЕПЦИИ ТЕОРИИ БУХГАЛТЕРСКОГО УЧЕТА</t>
  </si>
  <si>
    <t>Плотников В.С., Плотникова О.В., Плотников В.С.</t>
  </si>
  <si>
    <t>978-5-16-014881-6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</si>
  <si>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38.04.00 «Экономика и управление» (квалификация (степень) «магистр») (протокол № 3 от 17.02.2020)</t>
  </si>
  <si>
    <t>844588.01.01</t>
  </si>
  <si>
    <t>Координация раб. служб предпр. туризма и...: Уч.пос. / Н.В.Шалаева - М.:НИЦ ИНФРА-М,2025. - 254 с.(СПО)(п)</t>
  </si>
  <si>
    <t>КООРДИНАЦИЯ РАБОТЫ СЛУЖБ ПРЕДПРИЯТИЙ ТУРИЗМА И ГОСТЕПРИИМСТВА</t>
  </si>
  <si>
    <t>Шалаева Н.В.</t>
  </si>
  <si>
    <t>978-5-16-020556-4</t>
  </si>
  <si>
    <t>Апшеронский лесхоз-техникум</t>
  </si>
  <si>
    <t>756095.02.01</t>
  </si>
  <si>
    <t>Корабельные системы и устройства : Уч.пос. / А.Н.Пинчук - М.:НИЦ ИНФРА-М,2024. - 308 с.:цв.ил.(ВО)(п)</t>
  </si>
  <si>
    <t>КОРАБЕЛЬНЫЕ СИСТЕМЫ И УСТРОЙСТВА. УСТРОЙСТВО И ЭКСПЛУАТАЦИЯ КОРАБЕЛЬНЫХ И СУДОВЫХ СИСТЕМ</t>
  </si>
  <si>
    <t>Пинчук А.Н.</t>
  </si>
  <si>
    <t>978-5-16-017675-8</t>
  </si>
  <si>
    <t>26.03.02, 26.05.03</t>
  </si>
  <si>
    <t>Рекомендовано экспертным советом ЧВВМУ имени П.С. Нахимова в качестве учебного пособия по дисциплинам «Корабельные системы и устройства», «Конструкция корпуса корабля» для курсантов и студентов высшего образования, преподавателей, адъюнктов, а также для факультета иностранных военнослужащих ЧВВМУ имени П.С. Нахимова</t>
  </si>
  <si>
    <t>656872.01.01</t>
  </si>
  <si>
    <t>Корабельный устав Военно-Морского Флота РФ - М.:НИЦ ИНФРА-М,2017 - 446 с.(П)</t>
  </si>
  <si>
    <t>КОРАБЕЛЬНЫЙ УСТАВ ВОЕННО-МОРСКОГО ФЛОТА РФ</t>
  </si>
  <si>
    <t>978-5-16-012795-8</t>
  </si>
  <si>
    <t>26.02.03, 26.02.04, 26.02.05, 26.02.06, 26.03.01, 26.05.05, 26.05.06, 26.05.07, 56.05.04</t>
  </si>
  <si>
    <t>Введен в действие приказом Главнокомандующего Военно-Морским Флотом от 1 сентября 2001 года № 350</t>
  </si>
  <si>
    <t>704237.01.01</t>
  </si>
  <si>
    <t>Кораблевождение: Уч. / Г.В. Худяков - М.:НИЦ ИНФРА-М,2024.-774 с.:цв.ил.(ВО (ЧВВМУ им. Нахимова))(п)</t>
  </si>
  <si>
    <t>КОРАБЛЕВОЖДЕНИЕ</t>
  </si>
  <si>
    <t>Худяков Г.В., Головко А.В., Больших А.В. и др.</t>
  </si>
  <si>
    <t>978-5-16-015497-8</t>
  </si>
  <si>
    <t>11.02.03, 20.02.06, 26.01.01, 26.01.02, 26.01.03, 26.01.07, 26.01.09, 26.01.12, 26.01.13, 26.02.01, 26.02.02, 26.02.03, 26.02.04, 26.02.05, 26.02.06, 26.05.04, 26.05.05, 35.01.31, 35.01.32, 35.02.11, 43.01.04</t>
  </si>
  <si>
    <t>Рекомендовано заместителем Главнокомандующего ВМФ РФ для использования в военно-морских учебных заведениях в качестве базового учебника при подготовке специалистов нештурманской специальности к самостоятельному несению штурманской и ходовой вахты</t>
  </si>
  <si>
    <t>391100.08.01</t>
  </si>
  <si>
    <t>Кормление животных с основами..: Уч. пос. / В.С.Токарев -М.:НИЦ ИНФРА-М,2024-592с.(ВО: Бакалавр.)(п)</t>
  </si>
  <si>
    <t>КОРМЛЕНИЕ ЖИВОТНЫХ С ОСНОВАМИ КОРМОПРОИЗВОДСТВА</t>
  </si>
  <si>
    <t>Токарев В.С.</t>
  </si>
  <si>
    <t>978-5-16-011198-8</t>
  </si>
  <si>
    <t>Рекомендовано в качестве учебного пособия для студентов высших учебных заведений, обучающихся по направлениям подготовки 36.03.02 «Зоотехния» (квалификация (степень) «бакалавр») и 36.05.01 «Ветеринария» (квалификация (степень) «ветеринарный врач»)</t>
  </si>
  <si>
    <t>303900.03.01</t>
  </si>
  <si>
    <t>Кормопроизводство с основами земледелия: Уч. / С.С. Михалев - М.: НИЦ ИНФРА-М, 2018-352с.(СПО)</t>
  </si>
  <si>
    <t>КОРМОПРОИЗВОДСТВО С ОСНОВАМИ ЗЕМЛЕДЕЛИЯ</t>
  </si>
  <si>
    <t>Михалев С. С., Хохлов Н. Ф., Лазарев Н. Н.</t>
  </si>
  <si>
    <t>978-5-16-010232-0</t>
  </si>
  <si>
    <t>36.02.03</t>
  </si>
  <si>
    <t>303900.10.01</t>
  </si>
  <si>
    <t>Кормопроизводство с основами земледелия: Уч. / С.С.Михалев- 2 изд.-М.:НИЦ ИНФРА-М,2024-352с(СПО)(п)</t>
  </si>
  <si>
    <t>КОРМОПРОИЗВОДСТВО С ОСНОВАМИ ЗЕМЛЕДЕЛИЯ, ИЗД.2</t>
  </si>
  <si>
    <t>Михалев С.С., Хохлов Н.Ф., Лазарев Н.Н.</t>
  </si>
  <si>
    <t>Допущено Министерством сельского хозяйства Российской Федерации в качестве учебника для студентов средних специальных учебных заведений по специальности «Зоотехния»</t>
  </si>
  <si>
    <t>489350.07.01</t>
  </si>
  <si>
    <t>Кормопроизводство: Уч.пос. / С.С.Михалев - М.:НИЦ ИНФРА-М,2024 - 288 с.-(ВО)(п)</t>
  </si>
  <si>
    <t>КОРМОПРОИЗВОДСТВО</t>
  </si>
  <si>
    <t>Михалев С.С., Лазарев Н.Н.</t>
  </si>
  <si>
    <t>978-5-16-019722-7</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</si>
  <si>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обучающихся по направлению 35.03.04 (110400) "Агрономия"</t>
  </si>
  <si>
    <t>758249.01.01</t>
  </si>
  <si>
    <t>Корпоративная соц. отв. торговых орг.: Уч.пос. / Е.А.Майорова-М.:НИЦ ИНФРА-М,2022.-223 с.(ВО: Бакалавр.)(П)</t>
  </si>
  <si>
    <t>КОРПОРАТИВНАЯ СОЦИАЛЬНАЯ ОТВЕТСТВЕННОСТЬ ТОРГОВЫХ ОРГАНИЗАЦИЙ</t>
  </si>
  <si>
    <t>Майорова Е.А.</t>
  </si>
  <si>
    <t>978-5-16-017058-9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</si>
  <si>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38.03.02 «Менеджмент», 38.03.01 «Экономика» (квалификация (степень) «бакалавр») (протокол № 5 от 11.05.2022)</t>
  </si>
  <si>
    <t>476950.09.01</t>
  </si>
  <si>
    <t>Корпоративная соц.ответственность: Уч.пос. / В.В.Бондаренко - М.:НИЦ ИНФРА-М,2025. - 304 с.(ВО:Бакалавр.)(п)</t>
  </si>
  <si>
    <t>КОРПОРАТИВНАЯ СОЦИАЛЬНАЯ ОТВЕТСТВЕННОСТЬ</t>
  </si>
  <si>
    <t>Бондаренко В.В., Кузнецова Е.В., Танина М.А. и др.</t>
  </si>
  <si>
    <t>978-5-16-010231-3</t>
  </si>
  <si>
    <t>700162.07.01</t>
  </si>
  <si>
    <t>Корпоративное право: Уч.пос. / Под ред. Ручкиной Г.Ф. - М.:НИЦ ИНФРА-М,2024 - 160 с.-(ВО)(п)</t>
  </si>
  <si>
    <t>КОРПОРАТИВНОЕ ПРАВО</t>
  </si>
  <si>
    <t>Ручкина Г.Ф., Васильева О.Н., Ромашкова И.И. и др.</t>
  </si>
  <si>
    <t>978-5-16-018544-6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</si>
  <si>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10 от 27.05.2019)</t>
  </si>
  <si>
    <t>677493.03.01</t>
  </si>
  <si>
    <t>Корпоративное управление в банках: Уч.пос. / А.Ю.Рыманов-М.:НИЦ ИНФРА-М,2024.-111 с.(ВО:Магистр.)(О)</t>
  </si>
  <si>
    <t>КОРПОРАТИВНОЕ УПРАВЛЕНИЕ В БАНКАХ</t>
  </si>
  <si>
    <t>Рыманов А.Ю.</t>
  </si>
  <si>
    <t>978-5-16-013675-2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</si>
  <si>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38.04.01 «Экономика», 38.04.08 «Финансы и кредит» (квалификация (степень) «магистр»)</t>
  </si>
  <si>
    <t>693115.03.01</t>
  </si>
  <si>
    <t>Корпоративное управление. Методол. инструментарий: Уч. / А.Е.Тюлин-М.:НИЦ ИНФРА-М,2023-216с.(ВО)(П)</t>
  </si>
  <si>
    <t>КОРПОРАТИВНОЕ УПРАВЛЕНИЕ. МЕТОДОЛОГИЧЕСКИЙ ИНСТРУМЕНТАРИЙ</t>
  </si>
  <si>
    <t>Тюлин А.Е.</t>
  </si>
  <si>
    <t>978-5-16-014581-5</t>
  </si>
  <si>
    <t>27.04.07, 38.03.01, 38.03.02</t>
  </si>
  <si>
    <t>693115.04.01</t>
  </si>
  <si>
    <t>Корпоративное управление. Методологический...: Уч. / А.Е.Тюлин- 2 изд.-М.:НИЦ ИНФРА-М,2024.-291 с.(ВО)(п)</t>
  </si>
  <si>
    <t>КОРПОРАТИВНОЕ УПРАВЛЕНИЕ. МЕТОДОЛОГИЧЕСКИЙ ИНСТРУМЕНТАРИЙ, ИЗД.2</t>
  </si>
  <si>
    <t>Тюлин А.Е., Чурсин А.А., Островская А.А.</t>
  </si>
  <si>
    <t>978-5-16-019504-9</t>
  </si>
  <si>
    <t>634096.09.01</t>
  </si>
  <si>
    <t>Корпоративное управление: Уч. / А.Г.Дементьева - М.:Магистр, НИЦ ИНФРА-М,2025 - 496с.-(Магистратура)(П)</t>
  </si>
  <si>
    <t>КОРПОРАТИВНОЕ УПРАВЛЕНИЕ</t>
  </si>
  <si>
    <t>Дементьева А.Г.</t>
  </si>
  <si>
    <t>978-5-9776-0431-4</t>
  </si>
  <si>
    <t>35.03.02, 38.03.02, 38.03.03, 38.04.02, 38.04.03, 41.03.06</t>
  </si>
  <si>
    <t>203200.11.01</t>
  </si>
  <si>
    <t>Корпоративное управление: Уч. / В.Р.Веснин - М.:НИЦ ИНФРА-М,2025. - 272 с.-(ВО)(п)</t>
  </si>
  <si>
    <t>Веснин В.Р., Кафидов В.В.</t>
  </si>
  <si>
    <t>978-5-16-020758-2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</si>
  <si>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38.04.02 «Менеджмент» (квалификация (степень) «магистр»)</t>
  </si>
  <si>
    <t>158300.10.01</t>
  </si>
  <si>
    <t>Корпоративное управление: Уч. / И.Ю.Бочарова - 2 изд.-М.:НИЦ ИНФРА-М,2024-395 с.(ВО)(п)</t>
  </si>
  <si>
    <t>КОРПОРАТИВНОЕ УПРАВЛЕНИЕ, ИЗД.2</t>
  </si>
  <si>
    <t>Рыманов А.Ю., Бочарова И.Ю.</t>
  </si>
  <si>
    <t>978-5-16-019588-9</t>
  </si>
  <si>
    <t>27.04.05, 38.03.01, 38.03.02, 38.03.04, 38.04.02, 38.04.04, 40.03.01, 41.03.06</t>
  </si>
  <si>
    <t>Рекомендовано Советом Учебно-методического объединения по образованию в области менеджмента в качестве учебника по направлению подготовки 38.03.02 «Менеджмент»</t>
  </si>
  <si>
    <t>158300.05.98</t>
  </si>
  <si>
    <t>Корпоративное управление: Уч. / И.Ю.Бочарова - М.:НИЦ ИНФРА-М,2017-368с.(ВО: Бакалавриат)(П)</t>
  </si>
  <si>
    <t>Бочарова И.Ю.</t>
  </si>
  <si>
    <t>978-5-16-004827-7</t>
  </si>
  <si>
    <t>Рекомендовано Советом Учебно-методического объединения по образованию в области менеджмента в качестве учебника по направлению подготовки 38.03.02 "Менеджмент"</t>
  </si>
  <si>
    <t>Институт менеджмента, экономики и инноваций</t>
  </si>
  <si>
    <t>683269.02.01</t>
  </si>
  <si>
    <t>Корпоративное управление: Уч. / С.В.Рассказов и др.-М.:НИЦ ИНФРА-М,2023.-338 с.-(ВО: Бакалавриат)(П)</t>
  </si>
  <si>
    <t>Рассказов С.В., Рассказова А.Н., Дерюгин П.П.</t>
  </si>
  <si>
    <t>978-5-16-015290-5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</si>
  <si>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38.03.00 «Экономика и управление», 39.00.00 «Социология» (квалификация (степень) «бакалавр») (протокол № 14 от 30.09.2019)</t>
  </si>
  <si>
    <t>075200.10.01</t>
  </si>
  <si>
    <t>Корпоративное управление: Уч. пос. / В.Г. Антонов - 2 изд. - М.: ИД ФОРУМ:  ИНФРА-М, 2025 - 288 с.(ВО) (п)</t>
  </si>
  <si>
    <t>Антонов В. Г., Крылов В. К., Кузьмичев А. Ю., Масленников В. В., Панфилова Е. Е., Серебрякова Г. В., Антонов В. Г.</t>
  </si>
  <si>
    <t>978-5-8199-0412-1</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</si>
  <si>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</si>
  <si>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298600.07.01</t>
  </si>
  <si>
    <t>Корпоративное управление: Уч./ В.М. Распопов - М.: Магистр:  ИНФРА-М, 2024. - 352 с. (Бакалавриат)</t>
  </si>
  <si>
    <t>Распопов В. М., Распопов В. В.</t>
  </si>
  <si>
    <t>978-5-9776-0328-7</t>
  </si>
  <si>
    <t>38.03.01, 38.03.02, 38.03.03, 38.03.04, 38.04.01, 38.04.02, 38.04.03, 38.04.04</t>
  </si>
  <si>
    <t>773534.01.01</t>
  </si>
  <si>
    <t>Корпоративное финансовое планир. и бюджетирование: Уч. / Т.В.Шубина.-М.:НИЦ ИНФРА-М,2024.-266 с.(ВО)(п)</t>
  </si>
  <si>
    <t>КОРПОРАТИВНОЕ ФИНАНСОВОЕ ПЛАНИРОВАНИЕ И БЮДЖЕТИРОВАНИЕ</t>
  </si>
  <si>
    <t>Шубина Т.В., Иванова Я.Я., Романченко О.В. и др.</t>
  </si>
  <si>
    <t>978-5-16-018279-7</t>
  </si>
  <si>
    <t>26.03.01, 27.04.06, 27.04.07, 38.04.01, 38.04.02, 38.04.06, 38.04.08</t>
  </si>
  <si>
    <t>668860.05.01</t>
  </si>
  <si>
    <t>Корпоративные финансы: стоимост. оценка: Уч.пос. / С.Ю.Богатырев - 2 изд. - М.:ИЦ РИОР, НИЦ ИНФРА-М,2024.-164 с.(О)</t>
  </si>
  <si>
    <t>КОРПОРАТИВНЫЕ ФИНАНСЫ: СТОИМОСТНАЯ ОЦЕНКА, ИЗД.2</t>
  </si>
  <si>
    <t>Богатырев С.Ю.</t>
  </si>
  <si>
    <t>978-5-369-01749-4</t>
  </si>
  <si>
    <t>38.03.01, 38.03.02, 38.04.02, 44.03.05</t>
  </si>
  <si>
    <t>668860.07.01</t>
  </si>
  <si>
    <t>Корпоративные финансы: стоимост..: Уч.пос. / С.Ю.Богатырев - 2 изд. - М.:ИЦ РИОР, НИЦ ИНФРА-М,2025.-164 с.(О)</t>
  </si>
  <si>
    <t>КОРПОРАТИВНЫЕ ФИНАНСЫ: СТОИМОСТНАЯ ОЦЕНКА</t>
  </si>
  <si>
    <t>222900.08.01</t>
  </si>
  <si>
    <t>Корпоративные финансы: Уч. / А.И.Самылин - М.:НИЦ ИНФРА-М,2025. - 472 с.-(ВО: Бакалавриат)</t>
  </si>
  <si>
    <t>КОРПОРАТИВНЫЕ ФИНАНСЫ</t>
  </si>
  <si>
    <t>Самылин А. И.</t>
  </si>
  <si>
    <t>978-5-16-008995-9</t>
  </si>
  <si>
    <t>38.03.01, 38.03.02, 38.04.01, 38.04.02, 41.03.06, 44.03.05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</si>
  <si>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направлениям: 080100.62 «Экономика» и 080200.62 «Менеджмент» (программы подготовки бакалавров), по направлениям</t>
  </si>
  <si>
    <t>682540.06.01</t>
  </si>
  <si>
    <t>Корпоративные финансы: Уч. / И.В.Балынин - М.:НИЦ ИНФРА-М,2024 - 399 с.(ВО)(П)</t>
  </si>
  <si>
    <t>Балынин И.В., Власова Н.В., Губернаторов А.М. и др.</t>
  </si>
  <si>
    <t>978-5-16-014961-5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</si>
  <si>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17 от 11.11.2019)</t>
  </si>
  <si>
    <t>445300.03.01</t>
  </si>
  <si>
    <t>Корпоративные финансы: Уч.пос. / А.С.Кокин - М.:ИЦ РИОР,НИЦ ИНФРА-М,2020 - 369с.(ВО:Бакалавр.)(п)</t>
  </si>
  <si>
    <t>Кокин А.С., Яшин Н.И., Яшин С.Н. и др.</t>
  </si>
  <si>
    <t>978-5-369-01524-7</t>
  </si>
  <si>
    <t>38.03.01, 38.03.02, 38.04.02, 41.03.06, 44.03.05</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</si>
  <si>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«Менеджмент»</t>
  </si>
  <si>
    <t>660870.01.01</t>
  </si>
  <si>
    <t>Корпоративные финансы: Уч.пос. / И.Г.Кукукина, - 2 изд.-М.:НИЦ ИНФРА-М,2023.-422 с.(ВО: Магистр.)(П)</t>
  </si>
  <si>
    <t>КОРПОРАТИВНЫЕ ФИНАНСЫ, ИЗД.2</t>
  </si>
  <si>
    <t>Кукукина И.Г., Макарова А.В., Кукукина И.Г.</t>
  </si>
  <si>
    <t>978-5-16-013819-0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</si>
  <si>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9 от 17.11.2022)</t>
  </si>
  <si>
    <t>Ивановский государственный энергетический университет им. В.И. Ленина</t>
  </si>
  <si>
    <t>647675.04.01</t>
  </si>
  <si>
    <t>Корпоративные финансы: Уч.пос. / М.В.Чараева - М.:НИЦ ИНФРА-М,2023.-286 с.-(ВО: Бакалавриат)(П)</t>
  </si>
  <si>
    <t>978-5-16-011081-3</t>
  </si>
  <si>
    <t>38.03.01, 38.03.02, 38.04.08, 44.03.05</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</si>
  <si>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</si>
  <si>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647675.05.01</t>
  </si>
  <si>
    <t>Корпоративные финансы: Уч.пос. / М.В.Чараева, - 2 изд. - М.:НИЦ ИНФРА-М,2025. - 294 с.-(ВО)(п)</t>
  </si>
  <si>
    <t>978-5-16-019425-7</t>
  </si>
  <si>
    <t>353400.05.01</t>
  </si>
  <si>
    <t>Корпоративные финансы: Финансовые расчеты: Уч. / А.И.Самылин-М.:НИЦ ИНФРА-М,2024.-472 с..-(ВО)(п)</t>
  </si>
  <si>
    <t>КОРПОРАТИВНЫЕ ФИНАНСЫ: ФИНАНСОВЫЕ РАСЧЕТЫ</t>
  </si>
  <si>
    <t>Самылин А.И.</t>
  </si>
  <si>
    <t>978-5-16-018870-6</t>
  </si>
  <si>
    <t>38.03.01, 38.03.02, 41.03.06, 44.03.05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</si>
  <si>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обучающихся по программам высшего образования направлений подготовки 38.03.02 «Менеджмент», 38.03.01 «Экономика» (квалификация (степень) «бакалавр») Регистрационный номер рецензии 335 от 17 июня 2015 г. (ФГАУ ФИРО)</t>
  </si>
  <si>
    <t>814864.01.01</t>
  </si>
  <si>
    <t>Корпоративный финансовый аудит: Уч. / А.А.Бакулина. - М.:НИЦ ИНФРА-М,2025 - 339 с.(ВО)(п)</t>
  </si>
  <si>
    <t>КОРПОРАТИВНЫЙ ФИНАНСОВЫЙ АУДИТ</t>
  </si>
  <si>
    <t>Бакулина А.А., Чараева М.В., Кандаурова Д.Ю.</t>
  </si>
  <si>
    <t>978-5-16-020108-5</t>
  </si>
  <si>
    <t>704842.08.01</t>
  </si>
  <si>
    <t>Коррекционная помощь детям раннего возраста...: Пос. / Е.А. Стребелева. - 4 изд. - М.ИНФРА-М,2025-128с(О)</t>
  </si>
  <si>
    <t>КОРРЕКЦИОННАЯ ПОМОЩЬ ДЕТЯМ РАННЕГО ВОЗРАСТА С ОРГАНИЧЕСКИМ ПОРАЖЕНИЕМ ЦЕНТРАЛЬНОЙ НЕРВНОЙ СИСТЕМЫ В ГРУППАХ КРАТКОВРЕМЕННОГО ПРЕБЫВАНИЯ, ИЗД.4</t>
  </si>
  <si>
    <t>Стребелева Е.А., Белякова Ю.Ю., Браткова М.В. и др.</t>
  </si>
  <si>
    <t>978-5-16-014963-9</t>
  </si>
  <si>
    <t>763137.06.01</t>
  </si>
  <si>
    <t>Коррекционно-восп. раб с детьми дош. возраста с...: Уч.пос. / Т.Г.Неретина - М.:НИЦ ИНФРА-М,2025 - 308 с.(П)</t>
  </si>
  <si>
    <t>КОРРЕКЦИОННО-ВОСПИТАТЕЛЬНАЯ РАБОТА С ДЕТЬМИ ДОШКОЛЬНОГО ВОЗРАСТА С ЗАДЕРЖКОЙ ПСИХИЧЕСКОГО РАЗВИТИЯ</t>
  </si>
  <si>
    <t>Неретина Т.Г.</t>
  </si>
  <si>
    <t>978-5-16-017099-2</t>
  </si>
  <si>
    <t>44.02.04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</si>
  <si>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44.02.04 «Специальное дошкольное образование» (протокол № 2 от 17.02.2021)</t>
  </si>
  <si>
    <t>Магнитогорский государственный технический университет им. Г.И. Носова</t>
  </si>
  <si>
    <t>758858.07.01</t>
  </si>
  <si>
    <t>Коррекционно-восп. раб. с детьми дошк. возраста...: Уч.пос. / Т.Г.Неретина - М.:НИЦ ИНФРА-М,2025 - 308 с.(П)</t>
  </si>
  <si>
    <t>978-5-16-017006-0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</si>
  <si>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44.03.03 «Специальное (дефектологическое) образование» (квалификация (степень) «бакалавр») (протокол № 1 от 20.01.2021)</t>
  </si>
  <si>
    <t>ПОПО</t>
  </si>
  <si>
    <t>657113.05.01</t>
  </si>
  <si>
    <t>Коррекционно-воспитат. работа с детьми дош. возраста...: Уч.пос. / Т.Г.Неретина - М.:НИЦ ИНФРА-М,2025. - 308 с.(П)</t>
  </si>
  <si>
    <t>978-5-16-015411-4</t>
  </si>
  <si>
    <t>39.02.01, 44.02.01, 44.02.02, 44.02.03, 44.02.04, 44.02.05, 44.02.06, 44.03.03, 44.04.03, 49.02.01, 49.02.02</t>
  </si>
  <si>
    <t>403100.11.01</t>
  </si>
  <si>
    <t>Коррекция развития детей с особ. обр. потреб.: Уч.-метод.пос. / Т.В.Варенова - М.:Форум,НИЦ ИНФРА-М,2025-272с(п)</t>
  </si>
  <si>
    <t>КОРРЕКЦИЯ РАЗВИТИЯ ДЕТЕЙ С ОСОБЫМИ ОБРАЗОВАТЕЛЬНЫМИ ПОТРЕБНОСТЯМИ</t>
  </si>
  <si>
    <t>Варенова Т. В.</t>
  </si>
  <si>
    <t>978-5-91134-677-5</t>
  </si>
  <si>
    <t>44.03.03, 44.04.03, 44.05.01</t>
  </si>
  <si>
    <t>295000.10.01</t>
  </si>
  <si>
    <t>Коррозия металлов и средства защиты от коррозии: Уч.пос. / Н.М.Хохлачева-М:НИЦ ИНФРА-М,2023-118с(ВО)(о)</t>
  </si>
  <si>
    <t>КОРРОЗИЯ МЕТАЛЛОВ И СРЕДСТВА ЗАЩИТЫ ОТ КОРРОЗИИ</t>
  </si>
  <si>
    <t>Хохлачева Н.М., Ряховская  Е.В., Романова Т.Г.</t>
  </si>
  <si>
    <t>Высшее образование: Бакалавриат (МАТИ-МАИ)</t>
  </si>
  <si>
    <t>978-5-16-011822-2</t>
  </si>
  <si>
    <t>20.03.01, 20.04.01, 22.03.01, 22.03.02, 22.04.01, 22.04.02</t>
  </si>
  <si>
    <t>Рекомендовано УМО высших учебных заведений Российской Федерации по образованию в области материаловедения, технологии новых материалов и покрытий в качестве учебного пособия для студентов высших учебных заведений, обучающихся по направлению подготовки бакалавров и магистров по укрупненной группе направлений подготовки (специальностей): 22.00.00 «Технологии материалов» и 20.00.00 «Техносферная безопасность и природообустройство»</t>
  </si>
  <si>
    <t>428250.06.01</t>
  </si>
  <si>
    <t>Креативная педагогика на примере дисциплины..:Уч.-метод.пос./ Д.В.Лоренц-М:НИЦ ИНФРА-М,2024-112с(ВО) (о)</t>
  </si>
  <si>
    <t>КРЕАТИВНАЯ ПЕДАГОГИКА НА ПРИМЕРЕ ДИСЦИПЛИНЫ "РИМСКОЕ ЧАСТНОЕ ПРАВО"</t>
  </si>
  <si>
    <t>Лоренц Д. В.</t>
  </si>
  <si>
    <t>978-5-16-006633-2</t>
  </si>
  <si>
    <t>40.03.01, 40.04.01, 44.03.05</t>
  </si>
  <si>
    <t>398600.08.01</t>
  </si>
  <si>
    <t>Кредитный анализ в коммерч. банке: Уч.пос. / С.Ю.Хасянова - М.:НИЦ ИНФРА-М,2023 - 196 с.(ВО)(О)</t>
  </si>
  <si>
    <t>КРЕДИТНЫЙ АНАЛИЗ В КОММЕРЧЕСКОМ БАНКЕ</t>
  </si>
  <si>
    <t>Хасянова С.Ю.</t>
  </si>
  <si>
    <t>978-5-16-011277-0</t>
  </si>
  <si>
    <t>38.00.00, 38.04.08</t>
  </si>
  <si>
    <t>Рекомендовано учебно-методическим советом секции «Экономика» Нижегородского филиала НИУ — ВШЭ от 14 мая 2012 г. в качестве учебного пособия для студентов бакалавриата направления 38.03.01 «Экономика» и магистратуры направления 38.04.08 «Финансы и кредит»</t>
  </si>
  <si>
    <t>023395.13.01</t>
  </si>
  <si>
    <t>Криминалистика в вопр.и ответах: Уч.пос. / Н.П.Яблоков - 3 изд.-М.:Юр.Норма,НИЦ ИНФРА-М,2024-288с.(О)</t>
  </si>
  <si>
    <t>КРИМИНАЛИСТИКА В ВОПРОСАХ И ОТВЕТАХ, ИЗД.3</t>
  </si>
  <si>
    <t>Яблоков Н.П.</t>
  </si>
  <si>
    <t>Повторительный курс</t>
  </si>
  <si>
    <t>978-5-91768-145-0</t>
  </si>
  <si>
    <t>40.02.02, 40.03.01, 40.04.01, 40.05.01, 40.05.02, 40.05.03</t>
  </si>
  <si>
    <t>768884.05.01</t>
  </si>
  <si>
    <t>Криминалистика: Уч. / Д.Н.Балашов и др. - 3 изд. - М.:НИЦ ИНФРА-М,2025 - 449 с(СПО)(П)</t>
  </si>
  <si>
    <t>КРИМИНАЛИСТИКА, ИЗД.3</t>
  </si>
  <si>
    <t>Балашов Д.Н., Балашов Н.М., Маликов С.В.</t>
  </si>
  <si>
    <t>978-5-16-017344-3</t>
  </si>
  <si>
    <t>40.02.02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</si>
  <si>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5 от 19.05.2021)</t>
  </si>
  <si>
    <t>Военный университет Министерства обороны Российский Федерации</t>
  </si>
  <si>
    <t>065600.12.01</t>
  </si>
  <si>
    <t>Криминалистика: Уч. / Д.Н.Балашов и др., - 3 изд. - М.:НИЦ ИНФРА-М,2025 - 448 с.(ВО: Бакалавр.)(п)</t>
  </si>
  <si>
    <t>Балашов Д. Н., Балашов Н. М., Маликов С. В.</t>
  </si>
  <si>
    <t>978-5-16-009361-1</t>
  </si>
  <si>
    <t>Допущено Учебно-методическим объединением по юридическому образованию вузов РФ в качестве учебника для студентов высших учебных заведений, обучающихся по специальностям и направлению юридического профиля</t>
  </si>
  <si>
    <t>173100.14.01</t>
  </si>
  <si>
    <t>Криминалистика: Уч. / Е.Р.Россинская - М.:Юр.Норма, НИЦ ИНФРА-М,2024 - 464 с.(П)</t>
  </si>
  <si>
    <t>КРИМИНАЛИСТИКА</t>
  </si>
  <si>
    <t>Россинская Е. Р.</t>
  </si>
  <si>
    <t>978-5-91768-231-0</t>
  </si>
  <si>
    <t>Допущено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</si>
  <si>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683423.09.01</t>
  </si>
  <si>
    <t>Криминалистика: Уч. / Е.Р.Россинская - М.:Юр.Норма, НИЦ ИНФРА-М,2024 - 464 с.-(СПО)(П)</t>
  </si>
  <si>
    <t>Россинская Е.Р.</t>
  </si>
  <si>
    <t>978-5-91768-929-6</t>
  </si>
  <si>
    <t>173100.16.01</t>
  </si>
  <si>
    <t>Криминалистика: Уч. / Е.Р.Россинская, - 2 изд. - М.:Юр. НОРМА, НИЦ ИНФРА-М,2025 - 608 с.(п)</t>
  </si>
  <si>
    <t>КРИМИНАЛИСТИКА, ИЗД.2</t>
  </si>
  <si>
    <t>978-5-00156-408-9</t>
  </si>
  <si>
    <t>683423.10.01</t>
  </si>
  <si>
    <t>Криминалистика: Уч. / Е.Р.Россинская, - 2 изд. - М.:Юр. НОРМА, НИЦ ИНФРА-М,2025. - 608 с.-(СПО)(п)</t>
  </si>
  <si>
    <t>978-5-00156-409-6</t>
  </si>
  <si>
    <t>020724.23.01</t>
  </si>
  <si>
    <t>Криминалистика: Уч. / Н.П. Яблоков - 2 изд. - М.: Юр.Норма, НИЦ ИНФРА-М, 2025 - 400 с. (п)</t>
  </si>
  <si>
    <t>Яблоков Н. П.</t>
  </si>
  <si>
    <t>978-5-91768-317-1</t>
  </si>
  <si>
    <t>Рекомендовано Учебно-методическим Советом по юридическому образованию Учебно-методического объединения по классическому университетскому образованию в качестве учебника для студентов высших учебных заведений, обучающихся по спец."Юриспруденция"</t>
  </si>
  <si>
    <t>019667.25.01</t>
  </si>
  <si>
    <t>Криминалистика: Уч. / Под ред. Н.П.Яблокова - 5 изд. - М.: Юр.Норма, НИЦ ИНФРА-М, 2025. - 752 с. (п)</t>
  </si>
  <si>
    <t>КРИМИНАЛИСТИКА, ИЗД.5</t>
  </si>
  <si>
    <t>978-5-91768-830-5</t>
  </si>
  <si>
    <t>016775.30.01</t>
  </si>
  <si>
    <t>Криминалистика: Уч. / Т.В. Аверьянова - 4 изд. - М.: Норма:НИЦ Инфра-М,2025 - 928 с. (п)</t>
  </si>
  <si>
    <t>КРИМИНАЛИСТИКА, ИЗД.4</t>
  </si>
  <si>
    <t>Аверьянова Т. В., Россинская Е. Р., Белкин Р. С., Корухов Ю. Г.</t>
  </si>
  <si>
    <t>978-5-91768-334-8</t>
  </si>
  <si>
    <t>Допущено Министерством образования РФ в качестве учебника для студентов вузов, обучающихся по специальности "Юриспруденция"</t>
  </si>
  <si>
    <t>020720.22.01</t>
  </si>
  <si>
    <t>Криминология / А.И.Долгова - 4 изд. - М.: Юр.Норма, НИЦ ИНФРА-М, 2025 -368 с. (О)</t>
  </si>
  <si>
    <t>КРИМИНОЛОГИЯ, ИЗД.4</t>
  </si>
  <si>
    <t>Долгова А.И.</t>
  </si>
  <si>
    <t>978-5-91768-729-2</t>
  </si>
  <si>
    <t>Российская криминологическая ассоциация</t>
  </si>
  <si>
    <t>648392.11.01</t>
  </si>
  <si>
    <t>Криминология в схемах и опред.: Уч.пос. / Под ред.Эминова В.Е. -М.:Юр.Норма,НИЦ ИНФРА-М,2024-128с(О)</t>
  </si>
  <si>
    <t>КРИМИНОЛОГИЯ В СХЕМАХ И ОПРЕДЕЛЕНИЯХ</t>
  </si>
  <si>
    <t>Эминов В.Е.</t>
  </si>
  <si>
    <t>978-5-91768-804-6</t>
  </si>
  <si>
    <t>757869.03.01</t>
  </si>
  <si>
    <t>Криминология в схемах и опред.: Уч.пос. / Под ред.Эминова В.Е. -М.:Юр.Норма,НИЦ ИНФРА-М,2024-128с(П)</t>
  </si>
  <si>
    <t>978-5-00156-176-7</t>
  </si>
  <si>
    <t>786380.01.01</t>
  </si>
  <si>
    <t>Криминология и предупреждение преступлений: Уч. / Н.В.Кузьмина-М.:НИЦ ИНФРА-М,2024.-222 с.(СПО)(п)</t>
  </si>
  <si>
    <t>КРИМИНОЛОГИЯ И ПРЕДУПРЕЖДЕНИЕ ПРЕСТУПЛЕНИЙ</t>
  </si>
  <si>
    <t>Кузьмина Н.В.</t>
  </si>
  <si>
    <t>978-5-16-017970-4</t>
  </si>
  <si>
    <t>СПО-2022, Победитель, III место</t>
  </si>
  <si>
    <t>678844.09.01</t>
  </si>
  <si>
    <t>Криминология цифрового мира: Уч. / В.С.Овчинский - М.:Юр.Норма, НИЦ ИНФРА-М,2024 - 352 с.(П)</t>
  </si>
  <si>
    <t>КРИМИНОЛОГИЯ ЦИФРОВОГО МИРА</t>
  </si>
  <si>
    <t>Овчинский В.С.</t>
  </si>
  <si>
    <t>978-5-91768-896-1</t>
  </si>
  <si>
    <t>785658.01.01</t>
  </si>
  <si>
    <t>Криминология. Общая и Особенная части: Уч. / Н.А.Горшкова.-М.:НИЦ ИНФРА-М,2023.-390 с.(ВО.Сп)(п)</t>
  </si>
  <si>
    <t>КРИМИНОЛОГИЯ: ОБЩАЯ И ОСОБЕННАЯ ЧАСТИ</t>
  </si>
  <si>
    <t>Горшенков Г.Н., Пикин И.В., Михайлов А.Е. и др.</t>
  </si>
  <si>
    <t>978-5-16-017956-8</t>
  </si>
  <si>
    <t>098100.18.01</t>
  </si>
  <si>
    <t>Криминология: Уч. / М.П.Клейменов - 3 изд. - М.:Юр.Норма, НИЦ ИНФРА-М,2023 - 400 с.(П)</t>
  </si>
  <si>
    <t>КРИМИНОЛОГИЯ, ИЗД.3</t>
  </si>
  <si>
    <t>Клейменов М. П.</t>
  </si>
  <si>
    <t>978-5-91768-857-2</t>
  </si>
  <si>
    <t>Допущено УМО по юрид. образованию вузов РФ в качестве учебника для студентов высших учебных заведений, обучающихся по напр. 030500 "Юриспруденция", и по специальностям: 030501 "Юриспруденция", 030505 "Правоохранительная деятельность"</t>
  </si>
  <si>
    <t>098100.20.01</t>
  </si>
  <si>
    <t>Криминология: Уч. / М.П.Клейменов - 4 изд. - М.:Юр.Норма, НИЦ ИНФРА-М,2024 - 416 с.(П)</t>
  </si>
  <si>
    <t>978-5-00156-369-3</t>
  </si>
  <si>
    <t>683422.05.01</t>
  </si>
  <si>
    <t>Криминология: Уч. / М.П.Клейменов - М.:Юр.Норма, НИЦ ИНФРА-М,2024 - 400 с.-(СПО)(П)</t>
  </si>
  <si>
    <t>КРИМИНОЛОГИЯ</t>
  </si>
  <si>
    <t>Клейменов М.П.</t>
  </si>
  <si>
    <t>978-5-91768-928-9</t>
  </si>
  <si>
    <t>001450.23.01</t>
  </si>
  <si>
    <t>Криминология: Уч. / Под ред. Кудрявцева В.Н. - 5 изд. - М.:Юр.Норма, НИЦ ИНФРА-М,2025 - 800 с.(п)</t>
  </si>
  <si>
    <t>КРИМИНОЛОГИЯ, ИЗД.5</t>
  </si>
  <si>
    <t>Кудрявцев В. Н., Эминов В. Е.</t>
  </si>
  <si>
    <t>978-5-91768-394-2</t>
  </si>
  <si>
    <t>10.05.05, 40.03.01, 40.04.01, 40.05.01, 40.05.02, 40.05.03, 40.05.04, 44.05.01</t>
  </si>
  <si>
    <t>Допущено Мин. обр. и науки РФ в качестве учебника для студентов, обучающихся по специальностям  "Юриспруденция", "Правоохранительная деятельность" и по направлению "Юриспруденция"</t>
  </si>
  <si>
    <t>653026.03.01</t>
  </si>
  <si>
    <t>Криминология: Уч. для аспирантов / И.М.Мацкевич и др. - М.:Юр.Норма,НИЦ ИНФРА-М,2022 - 368 с.(П)</t>
  </si>
  <si>
    <t>Мацкевич И.М., Аминов И.И., Антонян Е.А. и др.</t>
  </si>
  <si>
    <t>978-5-91768-819-0</t>
  </si>
  <si>
    <t>40.03.01, 40.05.01, 40.05.02, 40.05.03, 40.05.04, 40.06.01</t>
  </si>
  <si>
    <t>003506.21.01</t>
  </si>
  <si>
    <t>Криминология: Уч. для вузов / А.И.Долгова - М.:Юр.Норма, НИЦ ИНФРА-М,2024 - 1008 с.(П)</t>
  </si>
  <si>
    <t>Долгова А. И.</t>
  </si>
  <si>
    <t>978-5-91768-038-5</t>
  </si>
  <si>
    <t>Рекомендовано Мин. обр. и науки РФ в качестве учебника для студентов ВУЗов, обучающихся по специальности "Юриспруденция"</t>
  </si>
  <si>
    <t>0410</t>
  </si>
  <si>
    <t>654164.12.01</t>
  </si>
  <si>
    <t>Криптографическая защита информации: Уч.пос. / С.О.Крамаров - М.:ИЦ РИОР, НИЦ ИНФРА-М,2025 - 321с.(П)</t>
  </si>
  <si>
    <t>КРИПТОГРАФИЧЕСКАЯ ЗАЩИТА ИНФОРМАЦИИ</t>
  </si>
  <si>
    <t>Крамаров С.О., Тищенко Е.Н., Соколов С.В. и др.</t>
  </si>
  <si>
    <t>978-5-369-01716-6</t>
  </si>
  <si>
    <t>10.03.01, 10.04.01, 11.03.02, 11.04.02, 11.05.04, 38.03.05, 38.04.05</t>
  </si>
  <si>
    <t>447550.06.01</t>
  </si>
  <si>
    <t>Криптографические методы защиты информ.:Уч.пос.:Т.1/А.В.Бабаш-2изд.-ИЦ РИОР,НИЦ ИНФРА-М,2021-413с(о)</t>
  </si>
  <si>
    <t>КРИПТОГРАФИЧЕСКИЕ МЕТОДЫ ЗАЩИТЫ ИНФОРМАЦИИ, Т.1, ИЗД.2</t>
  </si>
  <si>
    <t>Бабаш А. В.</t>
  </si>
  <si>
    <t>978-5-369-01267-3</t>
  </si>
  <si>
    <t>01.03.02, 01.04.02, 02.03.02, 02.04.02, 09.03.02, 09.03.03, 09.04.02, 09.04.03, 10.03.01, 10.04.01, 10.05.04</t>
  </si>
  <si>
    <t>Рекомендовано Учебно-методическим объединением по образованию в области прикладной информатики в качестве учебно-методического пособия для студентов высших учебных заведений, обучающихся по специальности «Прикладная информатика» и другим междисциплинарным специальностям</t>
  </si>
  <si>
    <t>668600.05.01</t>
  </si>
  <si>
    <t>Кристаллография, минерал. и обогащ...: Уч.пос. / В.И.Брагина - М.:НИЦ ИНФРА-М, СФУ,2024-152 с.(ВО)(П)</t>
  </si>
  <si>
    <t>КРИСТАЛЛОГРАФИЯ, МИНЕРАЛОГИЯ И ОБОГАЩЕНИЕ ПОЛЕЗНЫХ ИСКОПАЕМЫХ</t>
  </si>
  <si>
    <t>Брагина В.И.</t>
  </si>
  <si>
    <t>978-5-16-017647-5</t>
  </si>
  <si>
    <t>22.03.02, 22.04.02</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</si>
  <si>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«Металлургия»</t>
  </si>
  <si>
    <t>773688.06.01</t>
  </si>
  <si>
    <t>Критика медиаречи: Уч.пос. / Под ред. Дускаевой Л.Р. - М.:НИЦ ИНФРА-М,2025 - 241 с.(ВО)(п)</t>
  </si>
  <si>
    <t>КРИТИКА МЕДИАРЕЧИ</t>
  </si>
  <si>
    <t>Васильева В.В., Дускаева Л.Р., Иванова Л.Ю. и др.</t>
  </si>
  <si>
    <t>978-5-16-018863-8</t>
  </si>
  <si>
    <t>42.03.05, 42.04.01, 42.04.04, 45.04.01</t>
  </si>
  <si>
    <t>397700.04.01</t>
  </si>
  <si>
    <t>Крутильные колебания коленчатых валов автомоб. и тракт. двиг.: Уч.пос./А.Н.Гоц, 2 изд.-М.:Форум,НИЦ ИНФРА-М,2023-208с(О)</t>
  </si>
  <si>
    <t>КРУТИЛЬНЫЕ КОЛЕБАНИЯ КОЛЕНЧАТЫХ ВАЛОВ АВТОМОБИЛЬНЫХ И ТРАКТОРНЫХ ДВИГАТЕЛЕЙ, ИЗД.2</t>
  </si>
  <si>
    <t>978-5-00091-120-4</t>
  </si>
  <si>
    <t>13.03.02, 13.03.03, 15.03.01</t>
  </si>
  <si>
    <t>Допущено УМО по образованию в области электро- и теплоэнергетики в качестве учебного пособия для студентов высших учебных заведений, обучающихся по направлению подготовки 13.03.03 и 141100 «Энергетическое машиностроение»</t>
  </si>
  <si>
    <t>420650.09.01</t>
  </si>
  <si>
    <t>Крыши и кровли гражданских и производ. здан.: Уч. пос. / Н.А.Бузало - РИОР: ИНФРА-М, 2025 - 152 с.(ВО) (п)</t>
  </si>
  <si>
    <t>КРЫШИ И КРОВЛИ ГРАЖДАНСКИХ И ПРОИЗВОДСТВЕННЫХ ЗДАНИЙ</t>
  </si>
  <si>
    <t>Бузало Н. А., Платонова И. Д., Царитова Н. Г.</t>
  </si>
  <si>
    <t>978-5-369-01175-1</t>
  </si>
  <si>
    <t>Рекомендуется федеральным государственным бюджетным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ВПО, обучающихся по программе</t>
  </si>
  <si>
    <t>684086.03.01</t>
  </si>
  <si>
    <t>Кто есть кто в международном терроризме: Справ. / В.В.Красинский - М.:НИЦ ИНФРА-М,2019 - 128 с.(О)</t>
  </si>
  <si>
    <t>КТО ЕСТЬ КТО В МЕЖДУНАРОДНОМ ТЕРРОРИЗМЕ</t>
  </si>
  <si>
    <t>Красинский В.В., Машко В.В.</t>
  </si>
  <si>
    <t>978-5-16-014191-6</t>
  </si>
  <si>
    <t>Нижегородский государственный технический университет им. Р.А. Алексеева, ф-л Дзержинский политехнический институт</t>
  </si>
  <si>
    <t>255600.10.01</t>
  </si>
  <si>
    <t>Кузнечно-штамповочное производ.: Уч. / И.Л.Константинов, - 2 изд. - М.:НИЦ ИНФРА-М,СФУ,2025 - 464 с.(ВО)(П)</t>
  </si>
  <si>
    <t>КУЗНЕЧНО-ШТАМПОВОЧНОЕ ПРОИЗВОДСТВО, ИЗД.2</t>
  </si>
  <si>
    <t>Константинов И. Л., Сидельников С. Б.</t>
  </si>
  <si>
    <t>978-5-16-009455-7</t>
  </si>
  <si>
    <t>15.03.01, 22.03.02</t>
  </si>
  <si>
    <t>Рекомендовано Национальным исследовательским технологическим университетом «МИСиС» (НИТУ «МИСиС») в качестве учебникадля студентов высших образовательных учебных заведений, реализующих программы ВПО, ДПО, профессиональной переподготовки и повышения к</t>
  </si>
  <si>
    <t>709016.01.01</t>
  </si>
  <si>
    <t>Кузнечно-штамповочное производство: Уч. / И.Л.Константинов, - 2 изд.-М.:НИЦ ИНФРА-М,2023.-464 с.(СПО)(п)</t>
  </si>
  <si>
    <t>Константинов И.Л., Сидельников С.Б.</t>
  </si>
  <si>
    <t>978-5-16-015279-0</t>
  </si>
  <si>
    <t>12.02.04, 15.02.01, 15.02.03, 15.02.09, 15.02.16, 15.02.17, 23.02.03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</si>
  <si>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22.02.05 «Обработка металлов давлением» (протокол № 9 от 17.11.2022)</t>
  </si>
  <si>
    <t>185600.06.01</t>
  </si>
  <si>
    <t>Культ личности в России: попытка осмысления: Моногр. /В.В.Викторов-М.:Вуз.уч., НИЦ ИНФРА-М,2019-207с</t>
  </si>
  <si>
    <t>КУЛЬТ ЛИЧНОСТИ В РОССИИ: ПОПЫТКА ОСМЫСЛЕНИЯ</t>
  </si>
  <si>
    <t>Викторов В. В.</t>
  </si>
  <si>
    <t>978-5-9558-0248-0</t>
  </si>
  <si>
    <t>39.04.01, 41.03.06, 41.04.04, 46.04.01</t>
  </si>
  <si>
    <t>665277.08.01</t>
  </si>
  <si>
    <t>Культура Древнего Китая: Уч.пос. / Д.Л.Обидин - М.:НИЦ ИНФРА-М,2024 - 163 с.(ВО)(п)</t>
  </si>
  <si>
    <t>КУЛЬТУРА ДРЕВНЕГО КИТАЯ</t>
  </si>
  <si>
    <t>Обидин Д.Л.</t>
  </si>
  <si>
    <t>978-5-16-019067-9</t>
  </si>
  <si>
    <t>00.03.05, 45.03.01, 50.03.01, 51.03.01</t>
  </si>
  <si>
    <t>Рекомендовано в качестве учебного пособия для студентов высших учебных заведени, обучающихся по направлениям подготовки 51.03.01 «Культурология», 50.03.01 «Искусства и гуманитарные науки» (квалификация (степень) «бакалавр»)</t>
  </si>
  <si>
    <t>395200.07.01</t>
  </si>
  <si>
    <t>Культура Древней Индии: Уч.пос. / Д.Л.Обидин - М.:НИЦ ИНФРА-М,2024 - 95 с.-(ВО:(МАТИ-МАИ))(О)</t>
  </si>
  <si>
    <t>КУЛЬТУРА ДРЕВНЕЙ ИНДИИ</t>
  </si>
  <si>
    <t>978-5-16-011224-4</t>
  </si>
  <si>
    <t>47.03.01, 47.03.03, 51.03.01</t>
  </si>
  <si>
    <t>Рекомендовано в качестве учебного пособия для студентов высших учебных заведений, обучающихся по направлениям подготовки 51.03.01 «Культурология», 47.03.01 «Философия», 47.03.03 «Религиоведение» (квалификация (степень) «бакалавр»)</t>
  </si>
  <si>
    <t>173350.06.01</t>
  </si>
  <si>
    <t>Культура маркетинга: Уч.пос. / В.Е.Новаторов - М.:Форум,ИНФРА-М,2023 - 224 с.(ВО)(о)</t>
  </si>
  <si>
    <t>КУЛЬТУРА МАРКЕТИНГА</t>
  </si>
  <si>
    <t>Новаторов В.Е.</t>
  </si>
  <si>
    <t>978-5-91134-589-1</t>
  </si>
  <si>
    <t>38.03.01, 38.03.02, 42.03.01, 44.03.01, 44.03.05</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</si>
  <si>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42.03.01 «Реклама и связи с общественностью» (квалификация (степень) «бакалавр»)</t>
  </si>
  <si>
    <t>Санкт-Петербургский государственный институт кино и телевидения</t>
  </si>
  <si>
    <t>178100.10.01</t>
  </si>
  <si>
    <t>Культура письменной и устной русской речи. Деловое письмо / Л.Я. Ковадло. - М.: Форум, 2025. - 400с. (п)</t>
  </si>
  <si>
    <t>КУЛЬТУРА ПИСЬМЕННОЙ И УСТНОЙ РУССКОЙ РЕЧИ. ДЕЛОВОЕ ПИСЬМО</t>
  </si>
  <si>
    <t>Ковадло Л. Я.</t>
  </si>
  <si>
    <t>978-5-91134-580-8</t>
  </si>
  <si>
    <t>721351.02.01</t>
  </si>
  <si>
    <t>Культура письменной и устной русской речи..: Практ. пос./ Л.Я.Ковадло-М.:Форум, НИЦ ИНФРА-М,2021-401 с.(СПО)(П)</t>
  </si>
  <si>
    <t>978-5-00091-722-0</t>
  </si>
  <si>
    <t>00.01.04, 00.02.15, 11.02.12, 25.02.09, 26.02.03, 38.02.01, 38.02.06, 38.02.07, 38.02.08, 39.02.01, 39.02.03, 42.02.01, 43.02.01, 43.02.06, 43.02.16, 44.02.06, 46.02.01, 51.02.02, 51.02.03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</si>
  <si>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12 от 24.06.2019)</t>
  </si>
  <si>
    <t>780316.02.01</t>
  </si>
  <si>
    <t>Культура речи и деловое общение: Уч.пос. / Н.Ю.Паудяль и др. - М.:НИЦ ИНФРА-М,2025. - 526 с.(СПО)(П)</t>
  </si>
  <si>
    <t>КУЛЬТУРА РЕЧИ И ДЕЛОВОЕ ОБЩЕНИЕ</t>
  </si>
  <si>
    <t>Паудяль Н.Ю., Филиндаш Л.В.</t>
  </si>
  <si>
    <t>978-5-16-017750-2</t>
  </si>
  <si>
    <t>11.02.12, 32.02.01, 38.02.07, 39.02.02, 40.02.02, 40.02.04, 42.02.01, 43.02.01, 51.02.03, 52.02.03, 52.02.04, 52.02.05</t>
  </si>
  <si>
    <t>Рекомендовано Межрегиональным учебно-методическим советом профессионального образования в качестве учебного пособия для студентов учреждений среднего профессионального образования, обучающихся по основным образовательным программам среднего профессионального образования  (протокол № 4 от 13.04.2022)</t>
  </si>
  <si>
    <t>674742.03.01</t>
  </si>
  <si>
    <t>Культура речи и деловое общение: Уч.пос. / Н.Ю.Паудяль-М.:НИЦ ИНФРА-М,2023.-526 с.(ВО: Бакалавр.)(П)</t>
  </si>
  <si>
    <t>978-5-16-015015-4</t>
  </si>
  <si>
    <t>21.05.01, 26.05.05, 35.03.07, 35.03.10, 38.03.01, 38.03.03, 38.05.02, 41.03.06, 43.04.01, 45.03.01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</si>
  <si>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по направлениям подготовки бакалавриата (протокол № 1 от 12.01.2022)</t>
  </si>
  <si>
    <t>438600.11.01</t>
  </si>
  <si>
    <t>Культура. Религия. Толерантность. Культурология: Уч.пос. / О.Н.Сенюткина -2 изд.-М.:НИЦ ИНФРА-М,2024-247 с.(ВО)(п)</t>
  </si>
  <si>
    <t>КУЛЬТУРА. РЕЛИГИЯ. ТОЛЕРАНТНОСТЬ. КУЛЬТУРОЛОГИЯ, ИЗД.2</t>
  </si>
  <si>
    <t>Сенюткина О.Н., Шиманская О.К., Паршаков А.С. и др.</t>
  </si>
  <si>
    <t>978-5-16-019846-0</t>
  </si>
  <si>
    <t>44.03.05, 51.03.01</t>
  </si>
  <si>
    <t>Допущено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51.03.01 «Культурология»</t>
  </si>
  <si>
    <t>Нижегородский государственный лингвистический университет им. Добролюбова</t>
  </si>
  <si>
    <t>232700.06.01</t>
  </si>
  <si>
    <t>Культурные традиции права: Монография / Г.В.Мальцев - М.:Юр.Норма, НИЦ ИНФРА-М,2020. - 608 с.</t>
  </si>
  <si>
    <t>КУЛЬТУРНЫЕ ТРАДИЦИИ ПРАВА</t>
  </si>
  <si>
    <t>Мальцев Г. В.</t>
  </si>
  <si>
    <t>978-5-91768-423-9</t>
  </si>
  <si>
    <t>40.04.01, 46.04.01, 51.04.01</t>
  </si>
  <si>
    <t>651245.07.01</t>
  </si>
  <si>
    <t>Культурология: Уч. / А.М.Руденко - М.:ИЦ РИОР, НИЦ ИНФРА-М,2025 - 336 с.-(ВО)(П)</t>
  </si>
  <si>
    <t>КУЛЬТУРОЛОГИЯ</t>
  </si>
  <si>
    <t>Руденко А.М.</t>
  </si>
  <si>
    <t>978-5-369-01703-6</t>
  </si>
  <si>
    <t>00.03.05, 00.05.05</t>
  </si>
  <si>
    <t>082990.17.01</t>
  </si>
  <si>
    <t>Культурология: Уч. / В.В.Викторов - 2 изд. - М.:Вуз.уч.,НИЦ ИНФРА-М,2025 - 435 с.(ВО)(П)</t>
  </si>
  <si>
    <t>КУЛЬТУРОЛОГИЯ, ИЗД.2</t>
  </si>
  <si>
    <t>Викторов В.В.</t>
  </si>
  <si>
    <t>978-5-9558-0633-4</t>
  </si>
  <si>
    <t>Рекомендовано Научно-методическим советом по культурологии Министерства образования и науки РФ для высших учебных заведений в качестве учебника по дисциплине «Культурология»</t>
  </si>
  <si>
    <t>082990.11.01</t>
  </si>
  <si>
    <t>Культурология: Уч. / В.В.Викторов - М.:Вуз.уч.,НИЦ ИНФРА-М,2019 - 411 с.(Вузовский учебник)(П)</t>
  </si>
  <si>
    <t>978-5-9558-0459-0</t>
  </si>
  <si>
    <t>Рекомендовано Научно-методическим советом по культурологии Министерства образования и науки РФ для высших учебных заведений в качестве учебника по дисциплине «Культурология" блока ГСЭ Государственного образовательного стандарта</t>
  </si>
  <si>
    <t>206200.11.01</t>
  </si>
  <si>
    <t>Культурология: Уч. / О.Г.Данильян - 2 изд. - М.:НИЦ ИНФРА-М,2024 - 239 с.-(ВО)(п)</t>
  </si>
  <si>
    <t>Данильян О. Г., Тараненко В. М.</t>
  </si>
  <si>
    <t>978-5-16-019871-2</t>
  </si>
  <si>
    <t>Юридическая академия Украины им. Ярослава Мудрого</t>
  </si>
  <si>
    <t>144600.09.01</t>
  </si>
  <si>
    <t>Культурология: Уч. пос. / Д.А.Силичев - 5 изд. - М.:Вуз. уч., НИЦ ИНФРА-М,2024. - 393 с.(П)</t>
  </si>
  <si>
    <t>КУЛЬТУРОЛОГИЯ, ИЗД.5</t>
  </si>
  <si>
    <t>Силичев Д. А.</t>
  </si>
  <si>
    <t>978-5-9558-0460-6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</si>
  <si>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(бакалавриат)»</t>
  </si>
  <si>
    <t>0511</t>
  </si>
  <si>
    <t>471650.06.01</t>
  </si>
  <si>
    <t>Культурология: Уч. пос. / Т.В.Попова - М.:ИД ФОРУМ, НИЦ ИНФРА-М,2025 - 256 с.(ВО)(П)</t>
  </si>
  <si>
    <t>Попова Т.В.</t>
  </si>
  <si>
    <t>978-5-8199-0604-0</t>
  </si>
  <si>
    <t>010000.23.01</t>
  </si>
  <si>
    <t>Культурология: Уч.пос. / Ю.Я.Малюга - 2 изд. - М.:ИНФРА-М,2024 - 333с.(ВО)(п)</t>
  </si>
  <si>
    <t>Малюга Ю. Я.</t>
  </si>
  <si>
    <t>978-5-16-004270-1</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</si>
  <si>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38.03.03 «Управление персоналом», 40.03.01 «Юриспруденция» (квалификация (степень) «бакалавр»)</t>
  </si>
  <si>
    <t>0203</t>
  </si>
  <si>
    <t>696948.02.01</t>
  </si>
  <si>
    <t>Культурфилософская мысль в России ХХ - нач. XXI в.:Уч.пос. / Т.С.Злотникова-М.:НИЦ ИНФРА-М,2023-204с</t>
  </si>
  <si>
    <t>КУЛЬТУРФИЛОСОФСКАЯ МЫСЛЬ В РОССИИ ХХ - НАЧАЛА XXI ВЕКА: ЛИЦА,ШКОЛЫ, ИДЕИ</t>
  </si>
  <si>
    <t>Злотникова Т.С.</t>
  </si>
  <si>
    <t>978-5-16-014734-5</t>
  </si>
  <si>
    <t>44.04.01</t>
  </si>
  <si>
    <t>Рекомендовано Учебно-методическим советом ВО в качестве учебного пособия для студентов высших учебных заведений, обучающихся по гуманитарным направлениям подготовки (квалификация (степень) «магистр»)</t>
  </si>
  <si>
    <t>Ярославский государственный педагогический университет им. К.Д. Ушинского</t>
  </si>
  <si>
    <t>376200.06.01</t>
  </si>
  <si>
    <t>Курс высшей матем. для экономистов: Уч. / под ред. Сагитова Р.В.-М.:НИЦ ИНФРА-М,2024.-647 с.(ВО)(п)</t>
  </si>
  <si>
    <t>КУРС ВЫСШЕЙ МАТЕМАТИКИ ДЛЯ ЭКОНОМИСТОВ</t>
  </si>
  <si>
    <t>Рудык Б.М., Бобрик Г.И., Гринцевичюс Р.К. и др.</t>
  </si>
  <si>
    <t>978-5-16-019153-9</t>
  </si>
  <si>
    <t>38.03.01, 38.03.02, 38.03.03, 38.03.04, 38.03.07</t>
  </si>
  <si>
    <t>Рекомендовано в качестве учебника для студентов высших учебных заведений, обучающихся по направлениям подготовки 38.03.01 «Экономика», 38.03.02 «Менеджмент», 38.03.03 «Управление персоналом», 38.03.04 «Государственное и муниципальное управление», 38.03.07 «Товароведение» (квалификация (степень) «бакалавр»)</t>
  </si>
  <si>
    <t>462150.08.01</t>
  </si>
  <si>
    <t>Курс инженерной геодезии: Уч. / Н.А.Буденков - 2 изд. - М.:Форум, НИЦ ИНФРА-М,2023 - 272 с.-(ВО)(П)</t>
  </si>
  <si>
    <t>КУРС ИНЖЕНЕРНОЙ ГЕОДЕЗИИ, ИЗД.2</t>
  </si>
  <si>
    <t>Буденков Н. А., Нехорошков П. А., Щекова О. Г.,</t>
  </si>
  <si>
    <t>978-5-91134-851-9</t>
  </si>
  <si>
    <t>07.03.01, 07.03.02, 07.03.03, 07.03.04, 08.03.01, 08.05.01, 08.05.02, 08.05.03, 21.03.02, 21.03.03, 21.04.02, 21.05.01</t>
  </si>
  <si>
    <t>682964.02.01</t>
  </si>
  <si>
    <t>Курс инженерной геодезии: Уч. / Н.А.Буденков - 2 изд. - М.:Форум,НИЦ ИНФРА-М,2023 - 272 с.(СПО)(П)</t>
  </si>
  <si>
    <t>Буденков Н.А., Нехорошков П.А., Щекова О.Г.</t>
  </si>
  <si>
    <t>978-5-00091-614-8</t>
  </si>
  <si>
    <t>07.02.01, 08.02.01, 08.02.02, 08.02.03, 08.02.04, 08.02.08, 08.02.09, 08.02.12, 08.02.13, 08.02.14, 13.02.04, 21.02.03, 21.02.11, 21.02.19, 23.02.08, 26.02.01, 35.01.19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</si>
  <si>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35.02.01 «Лесное и лесопарковое хозяйство», 35.02.02 «Технология лесозаготовок»</t>
  </si>
  <si>
    <t>682964.05.01</t>
  </si>
  <si>
    <t>Курс инженерной геодезии: Уч. / Н.А.Буденков - 3 изд. - М.:Форум, НИЦ ИНФРА-М,2025. - 244 с.(СПО)(п)</t>
  </si>
  <si>
    <t>КУРС ИНЖЕНЕРНОЙ ГЕОДЕЗИИ, ИЗД.3</t>
  </si>
  <si>
    <t>978-5-00091-804-3</t>
  </si>
  <si>
    <t>462150.06.01</t>
  </si>
  <si>
    <t>Курс инженерной геодезии: Уч. / Н.А.Буденков- 3 изд.-М.:Форум, НИЦ ИНФРА-М,2024.-244 с.(ВО)(п)</t>
  </si>
  <si>
    <t>Буденков Н.А., Нехорошков П.А., Щекова О.Г. и др.</t>
  </si>
  <si>
    <t>978-5-00091-732-9</t>
  </si>
  <si>
    <t>673677.02.01</t>
  </si>
  <si>
    <t>Курс мат. анализа для студентов-бакалавров...: Уч.пос. / Т.В.Волкова - М.:НИЦ ИНФРА-М,2023 - 268 с.(ВО)(П)</t>
  </si>
  <si>
    <t>КУРС МАТЕМАТИЧЕСКОГО АНАЛИЗА ДЛЯ СТУДЕНТОВ-БАКАЛАВРОВ ИНЖЕНЕРНЫХ ФАКУЛЬТЕТОВ</t>
  </si>
  <si>
    <t>Волкова Т.В.</t>
  </si>
  <si>
    <t>978-5-16-014950-9</t>
  </si>
  <si>
    <t>09.03.01, 09.03.02, 09.03.04, 11.03.02, 21.05.04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</si>
  <si>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инженерно-техническим направлениям подготовки (квалификация (степень) «бакалавр») (протокол № 11 от 09.11.2020)</t>
  </si>
  <si>
    <t>012761.30.01</t>
  </si>
  <si>
    <t>Курс микроэкономики: Уч. / Р.М.Нуреев - 3 изд. - М.:Юр.Норма, НИЦ ИНФРА-М,2025 - 624 с.(П)</t>
  </si>
  <si>
    <t>КУРС МИКРОЭКОНОМИКИ, ИЗД.3</t>
  </si>
  <si>
    <t>Нуреев Р. М.</t>
  </si>
  <si>
    <t>978-5-91768-450-5</t>
  </si>
  <si>
    <t>21.03.03, 21.05.01, 27.04.07, 38.03.01, 38.04.01, 38.05.01, 38.05.02, 40.03.01, 40.04.01, 41.03.01, 41.03.02, 41.03.05, 43.03.02, 44.03.01, 44.03.05</t>
  </si>
  <si>
    <t>256300.13.01</t>
  </si>
  <si>
    <t>Курс общей физики: Уч. / К.Б.Канн - М.:КУРС, НИЦ ИНФРА-М,2025 - 360 с.(П)</t>
  </si>
  <si>
    <t>КУРС ОБЩЕЙ ФИЗИКИ</t>
  </si>
  <si>
    <t>Канн К. Б.</t>
  </si>
  <si>
    <t>978-5-905554-47-6</t>
  </si>
  <si>
    <t>01.03.01, 01.03.02, 01.03.03, 01.03.04, 02.03.01, 02.03.02, 02.03.03, 03.03.02, 03.03.03, 04.03.01, 04.04.01, 05.03.01, 05.03.02, 05.03.03, 05.03.04, 05.03.05, 05.03.06, 06.03.01, 06.03.02</t>
  </si>
  <si>
    <t>Допущено Научно-методическим советом Министерства образования и науки Российской Федерации в качестве учебного пособия для студентов высших учебных заведений, обучающихся по естественным специальностям, для которых физика не является профилирующим пр</t>
  </si>
  <si>
    <t>085960.22.01</t>
  </si>
  <si>
    <t>Курс римского частного права: Уч.  / Ч.Санфилиппо и др. - М.: Юр.Норма, НИЦ ИНФРА-М, 2025 - 464 с.(П)</t>
  </si>
  <si>
    <t>КУРС РИМСКОГО ЧАСТНОГО ПРАВА</t>
  </si>
  <si>
    <t>Санфилиппо Ч., Дождев Д. В., Маханьков И. И.</t>
  </si>
  <si>
    <t>978-5-91768-994-4</t>
  </si>
  <si>
    <t>Московская высшая школа социальных и экономических наук</t>
  </si>
  <si>
    <t>383300.09.01</t>
  </si>
  <si>
    <t>Курс русской риторики: Уч.пос. / А.А.Волков - М.:Форум, НИЦ ИНФРА-М,2025 - 544 с.(ВО)(П)</t>
  </si>
  <si>
    <t>КУРС РУССКОЙ РИТОРИКИ</t>
  </si>
  <si>
    <t>Волков А.А.</t>
  </si>
  <si>
    <t>978-5-00091-104-4</t>
  </si>
  <si>
    <t>40.03.01, 42.03.01, 44.03.05, 45.03.01</t>
  </si>
  <si>
    <t>429800.08.01</t>
  </si>
  <si>
    <t>Курс физики: Уч. / В.Г.Хавруняк-М.:НИЦ ИНФРА-М,2024.-400 с..-(ВО: Бакалавриат)(п)</t>
  </si>
  <si>
    <t>КУРС ФИЗИКИ</t>
  </si>
  <si>
    <t>Хавруняк В. Г.</t>
  </si>
  <si>
    <t>978-5-16-006395-9</t>
  </si>
  <si>
    <t>09.03.01, 09.03.02, 09.03.03, 09.03.04, 10.03.01, 11.03.01, 11.03.02, 11.03.03, 11.03.04, 12.03.01, 12.03.02, 12.03.03, 12.03.04, 13.03.01, 13.03.02, 13.03.03, 14.03.01, 14.03.02, 16.03.01, 16.03.02, 16.03.03</t>
  </si>
  <si>
    <t>Допущено научно-методическим советом по физике Министерства образования и науки РФ в качестве учебного пособия для студентов высших учебных заведений, обучающихся по техническим направлениям подготовки и специальностям</t>
  </si>
  <si>
    <t>002938.22.01</t>
  </si>
  <si>
    <t>Курс экономики: Уч. / Под ред. Райзберга Б.А. - 5 изд. - М.:НИЦ ИНФРА-М,2023 - 686 с.(ВО)(п)</t>
  </si>
  <si>
    <t>КУРС ЭКОНОМИКИ, ИЗД.5</t>
  </si>
  <si>
    <t>Райзберг Б. А., Стародубцева Е. Б.</t>
  </si>
  <si>
    <t>978-5-16-019211-6</t>
  </si>
  <si>
    <t>00.03.13, 00.05.13, 38.03.01, 38.03.02, 38.03.03, 38.03.04, 38.03.05, 38.03.06, 38.03.07, 38.03.10, 38.04.01, 38.05.01, 38.05.02, 44.03.01, 44.03.04</t>
  </si>
  <si>
    <t>Рекомендуется в качестве учебника для студентов высших учебных заведений, обучающихся по экономическим и неэкономическим специальностям</t>
  </si>
  <si>
    <t>0508</t>
  </si>
  <si>
    <t>487650.07.01</t>
  </si>
  <si>
    <t>Курс эффект. грамматики англ. яз.: Уч.пос. / А.В. Афанасьев - М.: Форум: НИЦ ИНФРА-М, 2025 - 88 с.(о)</t>
  </si>
  <si>
    <t>КУРС ЭФФЕКТИВНОЙ ГРАММАТИКИ АНГЛИЙСКОГО ЯЗЫКА</t>
  </si>
  <si>
    <t>Афанасьев А.В.</t>
  </si>
  <si>
    <t>978-5-00091-030-6</t>
  </si>
  <si>
    <t>674273.04.01</t>
  </si>
  <si>
    <t>Курсовая работа в проф. образ. орг. СПО: Уч.мет.пос. / С.Н.Рыжиков - М.:НИЦ ИНФРА-М,2025. - 345 с.(П)</t>
  </si>
  <si>
    <t>КУРСОВАЯ РАБОТА В ПРОФЕССИОНАЛЬНОЙ ОБРАЗОВАТЕЛЬНОЙ ОРГАНИЗАЦИИ СПО</t>
  </si>
  <si>
    <t>978-5-16-014172-5</t>
  </si>
  <si>
    <t>38.02.01, 38.02.02, 38.02.03, 38.02.06, 38.02.07, 38.02.08, 43.02.11, 43.02.16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</si>
  <si>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43.02.00 «Сервис и туризм» (протокол № 5 от 16.03.2020)</t>
  </si>
  <si>
    <t>154360.13.01</t>
  </si>
  <si>
    <t>Курсовое и дипломное проектирование: Уч.пос. / Н.П.Молоканова - М.:Форум, НИЦ ИНФРА-М,2025. - 88 с.(СПО)(о)</t>
  </si>
  <si>
    <t>КУРСОВОЕ И ДИПЛОМНОЕ ПРОЕКТИРОВАНИЕ</t>
  </si>
  <si>
    <t>Молоканова Н.П.</t>
  </si>
  <si>
    <t>978-5-00091-606-3</t>
  </si>
  <si>
    <t>08.02.03, 15.01.26, 15.01.27, 15.01.35, 15.01.36, 15.01.38, 15.02.07, 15.02.16, 15.02.18, 39.02.01, 44.02.01, 44.02.02, 44.02.03, 44.02.04, 44.02.05, 44.02.06, 49.02.01, 49.02.02</t>
  </si>
  <si>
    <t>Допущено методическим советом Обнинского политехнического техникума в качестве учебного пособия для студентов образовательных учреждений среднего профессионального образования, обучающихся по специальности 15.02.07 «Автоматизация технологических процессов и производств»</t>
  </si>
  <si>
    <t>709046.05.01</t>
  </si>
  <si>
    <t>Курсовое проектир. деталей машин: Уч.пос. / С.А.Чернавский - 3 изд. - М.:НИЦ ИНФРА-М,2025. - 414 с/(ВО)(П)</t>
  </si>
  <si>
    <t>КУРСОВОЕ ПРОЕКТИРОВАНИЕ ДЕТАЛЕЙ МАШИН, ИЗД.3</t>
  </si>
  <si>
    <t>Чернавский С.А., Боков К.Н., Чернин И.М. и др.</t>
  </si>
  <si>
    <t>978-5-16-020740-7</t>
  </si>
  <si>
    <t>15.03.01, 15.03.02, 15.03.03, 15.03.04, 15.03.05, 15.03.06, 22.03.01, 22.03.02, 23.03.01, 23.03.02, 23.03.03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</si>
  <si>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15.03.00 «Машиностроение», 22.03.00 «Технологии материалов», 23.03.00 «Техника и технологии наземного транспорта» (квалификация (степень) «бакалавр») (протокол № 5 от 11.03.2019)</t>
  </si>
  <si>
    <t>657059.03.01</t>
  </si>
  <si>
    <t>Курсовое проектир.по технологии машиностр.: Уч.пос. / И.В.Шрубченко -3 изд.-М.:НИЦ ИНФРА-М,2023-244с</t>
  </si>
  <si>
    <t>КУРСОВОЕ ПРОЕКТИРОВАНИЕ ПО ТЕХНОЛОГИИ МАШИНОСТРОЕНИЯ, ИЗД.3</t>
  </si>
  <si>
    <t>Шрубченко И.В., Погонин А.А., Афанасьев А.А.</t>
  </si>
  <si>
    <t>978-5-16-013617-2</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</si>
  <si>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специальности «Технология машиностроения» направления подготовки «Конструкторско-технологическое обеспечение машиностроительных производств»</t>
  </si>
  <si>
    <t>144550.12.01</t>
  </si>
  <si>
    <t>Курсовое проектирование деталей машин: Уч.пос. / С.А.Чернавский - 3 изд. - М.:НИЦ ИНФРА-М,2025 - 414 с.(П)</t>
  </si>
  <si>
    <t>Чернавский С.А., Боков К.Н., Чернин Е.И. и др.</t>
  </si>
  <si>
    <t>978-5-16-004336-4</t>
  </si>
  <si>
    <t>15.01.26, 15.01.27, 15.01.35, 15.01.36, 15.01.38</t>
  </si>
  <si>
    <t>Допущено Министерством образования в качестве учебного пособия для учащихся машиностроительных специальностей средних технических учебных заведений</t>
  </si>
  <si>
    <t>809269.01.01</t>
  </si>
  <si>
    <t>Лабораторный прак. по агрономич. химии: Уч.пос. / Е.Н.Белоусова-М.:НИЦ ИНФРА-М,2024.-259 с.(ВО (КрГАУ))(п)</t>
  </si>
  <si>
    <t>ЛАБОРАТОРНЫЙ ПРАКТИКУМ ПО АГРОНОМИЧЕСКОЙ ХИМИИ</t>
  </si>
  <si>
    <t>978-5-16-019397-7</t>
  </si>
  <si>
    <t>35.03.04, 44.03.04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</si>
  <si>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межвузовского использования в качестве учебного пособия для студентов, обучающихся по направлению 44.03.04 «Профессиональное обучение (по отраслям)», направленность «Агрономия»</t>
  </si>
  <si>
    <t>648905.03.01</t>
  </si>
  <si>
    <t>Лабораторный прак.по инженер.дисцип...: Уч.пос. / А.А.Дорофеев-М.:ИЦ РИОР, НИЦ ИНФРА-М,2024-302с.(ВО) (П)</t>
  </si>
  <si>
    <t>ЛАБОРАТОРНЫЙ ПРАКТИКУМ ПО ИНЖЕНЕРНЫМ ДИСЦИПЛИНАМ: ДИДАКТИКА И МЕТОДИКА</t>
  </si>
  <si>
    <t>Дорофеев А.А.</t>
  </si>
  <si>
    <t>978-5-369-01668-8</t>
  </si>
  <si>
    <t>37.03.01, 44.04.01, 44.04.02</t>
  </si>
  <si>
    <t>337400.04.01</t>
  </si>
  <si>
    <t>Лабораторный практ. по бух. учету и фин.анализу: Уч.пос. /Л.В.Пономарева - М.:Вуз.уч., НИЦ ИНФРА-М, 2022-287с(П)</t>
  </si>
  <si>
    <t>ЛАБОРАТОРНЫЙ ПРАКТИКУМ  ПО БУХГАЛТЕРСКОМУ УЧЕТУ И ФИНАНСОВОМУ АНАЛИЗУ (СКВОЗНАЯ ЗАДАЧА)</t>
  </si>
  <si>
    <t>978-5-9558-0420-0</t>
  </si>
  <si>
    <t>Рекомендуется в качестве учебного пособия для студентов высших учебных заведений, обучающихся по направлению подготовки 38.03.01 «Экономика» (уровень подготовки — бакалавр)</t>
  </si>
  <si>
    <t>049530.17.01</t>
  </si>
  <si>
    <t>Лабораторный практикум по бух.учету: Уч.пос. /Л.В.Пономарева-5изд.-М.:Вуз.уч.,НИЦ ИНФРА-М,2024-228с.(О)</t>
  </si>
  <si>
    <t>ЛАБОРАТОРНЫЙ ПРАКТИКУМ ПО БУХГАЛТЕРСКОМУ УЧЕТУ (СКВОЗНАЯ ЗАДАЧА), ИЗД.5</t>
  </si>
  <si>
    <t>978-5-9558-0407-1</t>
  </si>
  <si>
    <t>039720.14.01</t>
  </si>
  <si>
    <t>Лабораторный практикум по экологии: Уч. пос. / Н.А.Голубкина, - 4 изд. - М.:Форум, НИЦ ИНФРА-М,2025. - 97 с.(О)</t>
  </si>
  <si>
    <t>ЛАБОРАТОРНЫЙ ПРАКТИКУМ ПО ЭКОЛОГИИ, ИЗД.4</t>
  </si>
  <si>
    <t>Голубкина Н. А., Лосева Т. А.</t>
  </si>
  <si>
    <t>978-5-00091-411-3</t>
  </si>
  <si>
    <t>00.02.37, 27.02.03</t>
  </si>
  <si>
    <t>Допущено Министерством образования РФ в качестве учебного пособия для студентов учреждений среднего профессионального образования</t>
  </si>
  <si>
    <t>Федеральный научный центр овощеводства</t>
  </si>
  <si>
    <t>684813.06.01</t>
  </si>
  <si>
    <t>Ландшафтная архитектура и дизайн...: Уч.пос. / Г.А.Потаев - М.:Форум, НИЦ ИНФРА-М,2023 - 368 с.(П)</t>
  </si>
  <si>
    <t>ЛАНДШАФТНАЯ АРХИТЕКТУРА И ДИЗАЙН: ТРАДИЦИИ И ИННОВАЦИИ</t>
  </si>
  <si>
    <t>978-5-00091-595-0</t>
  </si>
  <si>
    <t>35.02.12, 43.01.11, 54.01.01, 54.01.06, 54.01.12, 54.01.20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</si>
  <si>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35.02.12 «Садово-парковое и ландшафтное строительство»</t>
  </si>
  <si>
    <t>137550.12.01</t>
  </si>
  <si>
    <t>Ландшафтная архитектура с осн.проектир.: Уч.пос./В.С.Теодоронский-2изд.-Форум,НИЦ ИНФРА-М,2022-304с.</t>
  </si>
  <si>
    <t>ЛАНДШАФТНАЯ АРХИТЕКТУРА С ОСНОВАМИ ПРОЕКТИРОВАНИЯ, ИЗД.2</t>
  </si>
  <si>
    <t>Теодоронский В.С., Боговая И.О.</t>
  </si>
  <si>
    <t>978-5-00091-463-2</t>
  </si>
  <si>
    <t>35.03.10, 35.04.09</t>
  </si>
  <si>
    <t>Рекомендовано в качестве учебного пособия для студентов высших учебных заведений, обучающихся по направлению подготовки «Ландшафтная архитектура» (35.03.10 — бакалавриат и 35.04.09 — магистратура)</t>
  </si>
  <si>
    <t>682965.03.01</t>
  </si>
  <si>
    <t>Ландшафтная архитектура с основами проектир.: Уч.пос. / В.С.Теодоронский - 2 изд.-М.:Форум, НИЦ ИНФРА-М,2022-304с(П)</t>
  </si>
  <si>
    <t>978-5-00091-579-0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</si>
  <si>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35.02.12 "Садово-парковое и ландшафтное строительство" (протокол № 6 от 06.04.2020)</t>
  </si>
  <si>
    <t>682965.06.01</t>
  </si>
  <si>
    <t>Ландшафтная архитектура с основами проектир.: Уч.пос. / В.С.Теодоронский - 3 изд. - М.:НИЦ ИНФРА-М,2025 - 389 с(СПО)(п)</t>
  </si>
  <si>
    <t>ЛАНДШАФТНАЯ АРХИТЕКТУРА С ОСНОВАМИ ПРОЕКТИРОВАНИЯ, ИЗД.3</t>
  </si>
  <si>
    <t>978-5-16-019018-1</t>
  </si>
  <si>
    <t>137550.16.01</t>
  </si>
  <si>
    <t>Ландшафтная архитектура: теор.и прак.: Уч.пос. / В.С.Теодоронский - 3 изд.-М.:НИЦ ИНФРА-М,2025-389 с.(ВО)(п)</t>
  </si>
  <si>
    <t>ЛАНДШАФТНАЯ АРХИТЕКТУРА: ТЕОРИЯ И ПРАКТИКА, ИЗД.3</t>
  </si>
  <si>
    <t>Теодоронский В.С., Боговая И.О., Теодоронский В.С.</t>
  </si>
  <si>
    <t>978-5-16-019986-3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</si>
  <si>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35.03.10 «Ландшафтная архитектура» (квалификация (степень) «бакалавр») (протокол № 6 от 16.06.2021)</t>
  </si>
  <si>
    <t>682966.09.01</t>
  </si>
  <si>
    <t>Ландшафтное проектирование: Уч.пос. / Ю.В.Разумовский - 2 изд. - М.:НИЦ ИНФРА-М,2025. - 140 с.(СПО)(П)</t>
  </si>
  <si>
    <t>ЛАНДШАФТНОЕ ПРОЕКТИРОВАНИЕ, ИЗД.2</t>
  </si>
  <si>
    <t>Разумовский Ю.В., Фурсова Л.М., Теодоронский В.С.</t>
  </si>
  <si>
    <t>978-5-16-016772-5</t>
  </si>
  <si>
    <t>180600.12.01</t>
  </si>
  <si>
    <t>Ландшафтное проектирование: Уч.пос. / Ю.В.Разумовский-2 изд.-М.:НИЦ ИНФРА-М,2024-140с. [16]с.(ВО)(п)</t>
  </si>
  <si>
    <t>978-5-16-018549-1</t>
  </si>
  <si>
    <t>Рекомендовано Учебно-методическим объединением по образованию в области лесного дела в качестве учебного пособия для студентов вузов, обучающихся по направлению подготовки «Ландшафтная архитектура»</t>
  </si>
  <si>
    <t>813399.01.01</t>
  </si>
  <si>
    <t>Ландшафтные конструкции: Уч.пос. / И.А.Шадрин - М.:НИЦ ИНФРА-М,2024. - 156 с.(ВО (КрГАУ))(п)</t>
  </si>
  <si>
    <t>ЛАНДШАФТНЫЕ КОНСТРУКЦИИ</t>
  </si>
  <si>
    <t>Шадрин И.А., Фомина Н.В.</t>
  </si>
  <si>
    <t>978-5-16-019758-6</t>
  </si>
  <si>
    <t>35.03.10</t>
  </si>
  <si>
    <t>416100.13.01</t>
  </si>
  <si>
    <t>Ландшафтоведение: Уч. / Н.Ф.Ганжара - 2 изд. - М.:НИЦ ИНФРА-М,2025 - 240 с.(ВО:Бакалавр.)(П)</t>
  </si>
  <si>
    <t>ЛАНДШАФТОВЕДЕНИЕ, ИЗД.2</t>
  </si>
  <si>
    <t>Ганжара Н. Ф., Борисов Б. А., Байбеков Р. Ф.</t>
  </si>
  <si>
    <t>978-5-16-006239-6</t>
  </si>
  <si>
    <t>35.03.03, 35.03.05, 35.03.10</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</si>
  <si>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направлениям 110100 «Агрохимия и агропочвоведение», 110400 «Агрономия», 110500 «Садоводство»</t>
  </si>
  <si>
    <t>813148.02.01</t>
  </si>
  <si>
    <t>Латинский язык и основы проф. терминологии: Уч.пос. / Е.А.Грудева-М.:НИЦ ИНФРА-М,2024.-223 с.(ВО)(п)</t>
  </si>
  <si>
    <t>ЛАТИНСКИЙ ЯЗЫК И ОСНОВЫ ПРОФЕССИОНАЛЬНОЙ ТЕРМИНОЛОГИИ</t>
  </si>
  <si>
    <t>Грудева Е.А.</t>
  </si>
  <si>
    <t>978-5-16-019364-9</t>
  </si>
  <si>
    <t>143400.10.01</t>
  </si>
  <si>
    <t>Латинский язык: Уч. / Н.А. Гончарова - 5 изд. - М.: ИНФРА-М, 2024 - 408 с. (ВО) (п)</t>
  </si>
  <si>
    <t>ЛАТИНСКИЙ ЯЗЫК, ИЗД.5</t>
  </si>
  <si>
    <t>Гончарова Н. А.</t>
  </si>
  <si>
    <t>978-5-16-018669-6</t>
  </si>
  <si>
    <t>40.03.01, 40.04.01, 44.03.01, 44.03.05</t>
  </si>
  <si>
    <t>Утверждено Министерстовм образования Республики Беларусь в качестве учебника для студентов гуманитарных специальностей высших учебных заведений</t>
  </si>
  <si>
    <t>692963.06.01</t>
  </si>
  <si>
    <t>Латинский язык: Уч. для бакалавриата / Л.А.Брусенская. - М.:Юр.Норма, НИЦ ИНФРА-М,2024. - 288 с.(П)</t>
  </si>
  <si>
    <t>ЛАТИНСКИЙ ЯЗЫК</t>
  </si>
  <si>
    <t>Брусенская Л.А., Куликова Э.Г., Беляева И.В.</t>
  </si>
  <si>
    <t>978-5-91768-961-6</t>
  </si>
  <si>
    <t>360100.11.01</t>
  </si>
  <si>
    <t>Лекарственные и эфирномасличные растения: Уч. / Е.Л.Маланкина-М.:НИЦ ИНФРА-М,2024.-368 с.(ВО)(п)</t>
  </si>
  <si>
    <t>ЛЕКАРСТВЕННЫЕ И ЭФИРНОМАСЛИЧНЫЕ РАСТЕНИЯ</t>
  </si>
  <si>
    <t>МаланкинаЕ.Л., ЦицилинА.Н.</t>
  </si>
  <si>
    <t>978-5-16-018929-1</t>
  </si>
  <si>
    <t>Допущено УМО вузов РФ по агрономическому образованию в качестве учебника для подготовки бакалавров, обучающихся по направлению подготовки 35.03.05 «Садоводство»</t>
  </si>
  <si>
    <t>685010.06.01</t>
  </si>
  <si>
    <t>Лекарственные растения в декор. садоводстве: Уч.пос. / Е.Л.Маланкина - М.:НИЦ ИНФРА-М,2025-240 с.(СПО)(П)</t>
  </si>
  <si>
    <t>ЛЕКАРСТВЕННЫЕ РАСТЕНИЯ В ДЕКОРАТИВНОМ САДОВОДСТВЕ</t>
  </si>
  <si>
    <t>Маланкина Е.Л.</t>
  </si>
  <si>
    <t>978-5-16-014163-3</t>
  </si>
  <si>
    <t>35.01.19, 35.02.12</t>
  </si>
  <si>
    <t>482250.09.01</t>
  </si>
  <si>
    <t>Лекарственные растения в декор.садоводстве: Уч.пос. / Е.Л.Маланкина - М.:НИЦ ИНФРА-М,2025 - 240 с.(ВО)(П)</t>
  </si>
  <si>
    <t>978-5-16-010449-2</t>
  </si>
  <si>
    <t>Допущено УМО вузов РФ по  агрономическому образованию в качестве учебного пособия для подготовки бакалавров, обучающихся по направлению 35.03.05 «Садоводство» (квалификация (степень) «бакалавр»)</t>
  </si>
  <si>
    <t>653170.09.01</t>
  </si>
  <si>
    <t>Лекторское мастерство: Уч.пос. / А.К.Михальская - М.:НИЦ ИНФРА-М,2025 - 172 с.(ВО: Магистратура)(П)</t>
  </si>
  <si>
    <t>ЛЕКТОРСКОЕ МАСТЕРСТВО</t>
  </si>
  <si>
    <t>Михальская А.К.</t>
  </si>
  <si>
    <t>978-5-16-012997-6</t>
  </si>
  <si>
    <t>37.03.01, 39.04.02, 41.03.06, 44.03.01, 44.03.05, 44.04.01, 45.04.02</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</si>
  <si>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(по отраслям)» (квалификация (степень) «магистр»)</t>
  </si>
  <si>
    <t>Школа профессора Михальской</t>
  </si>
  <si>
    <t>475600.06.01</t>
  </si>
  <si>
    <t>Лекции по криминологии: Уч.пос. / В.Н.Кудрявцев - М.:Юр.Норма,НИЦ ИНФРА-М,2024-188с.(П)</t>
  </si>
  <si>
    <t>ЛЕКЦИИ ПО КРИМИНОЛОГИИ</t>
  </si>
  <si>
    <t>Кудрявцев В.Н.</t>
  </si>
  <si>
    <t>978-5-91768-706-3</t>
  </si>
  <si>
    <t>798670.01.01</t>
  </si>
  <si>
    <t>Лекции по социальной философии: лекции-М.:Юр. НОРМА, НИЦ ИНФРА-М,2023.-392 с.(п)</t>
  </si>
  <si>
    <t>ЛЕКЦИИ ПО СОЦИАЛЬНОЙ ФИЛОСОФИИ</t>
  </si>
  <si>
    <t>Бучило Н.Ф.</t>
  </si>
  <si>
    <t>978-5-00156-288-7</t>
  </si>
  <si>
    <t>Лекции</t>
  </si>
  <si>
    <t>39.03.01, 47.03.01</t>
  </si>
  <si>
    <t>222200.09.01</t>
  </si>
  <si>
    <t>Лекции по численным методам матем. физики: Уч. пос./М.В. Абакумов - М.: НИЦ ИНФРА-М, 2024-158с.(ВО) (о)</t>
  </si>
  <si>
    <t>ЛЕКЦИИ ПО ЧИСЛЕННЫМ МЕТОДАМ МАТЕМАТИЧЕСКОЙ ФИЗИКИ</t>
  </si>
  <si>
    <t>Абакумов М. В., Гулин А. В.</t>
  </si>
  <si>
    <t>978-5-16-006108-5</t>
  </si>
  <si>
    <t>01.03.01, 01.03.02, 01.03.04, 02.03.03, 03.03.01, 03.03.02, 03.04.01, 04.03.02, 04.04.01</t>
  </si>
  <si>
    <t>797759.02.01</t>
  </si>
  <si>
    <t>Лесные культуры: Уч.пос. / Н.В.Фомина - М.:НИЦ ИНФРА-М,2025. - 277 с.(ВО (КрГАУ))(п)</t>
  </si>
  <si>
    <t>ЛЕСНЫЕ КУЛЬТУРЫ</t>
  </si>
  <si>
    <t>Фомина Н.В.</t>
  </si>
  <si>
    <t>978-5-16-018415-9</t>
  </si>
  <si>
    <t>35.03.01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</si>
  <si>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t>
  </si>
  <si>
    <t>635706.08.01</t>
  </si>
  <si>
    <t>Лесоведение: Уч. / А.С.Тихонов - М.:НИЦ ИНФРА-М,2024 - 348 с.(ВО)(П)</t>
  </si>
  <si>
    <t>ЛЕСОВЕДЕНИЕ</t>
  </si>
  <si>
    <t>978-5-16-012125-3</t>
  </si>
  <si>
    <t>20.03.02, 20.04.02, 35.03.01, 35.04.01</t>
  </si>
  <si>
    <t>Рекомендовано в качестве учебника для студентов высших учебных заведений, обучающихся по направлениям подготовки 35.03.01 «Лесное дело» (квалификация (степень) «бакалавр»); 35.04.01 «Лесное дело» (квалификация (степень) «магистр»)</t>
  </si>
  <si>
    <t>728700.03.01</t>
  </si>
  <si>
    <t>Лесоведение: Уч. / А.С.Тихонов - М.:НИЦ ИНФРА-М,2025 - 348 с.(СПО)(П)</t>
  </si>
  <si>
    <t>978-5-16-015897-6</t>
  </si>
  <si>
    <t>15.01.08, 35.01.01, 35.01.05, 35.01.25, 35.01.30, 35.02.01, 35.02.02, 35.02.14, 35.02.18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</si>
  <si>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35.02.01 «Лесное и лесопарковое хозяйство», 35.02.02 «Технология лесозаготовок» (протокол № 13 от 16.09.2019)</t>
  </si>
  <si>
    <t>705307.02.01</t>
  </si>
  <si>
    <t>Лесозаготовительное производство...: Уч.пос. / С.В.Фокин-М.:НИЦ ИНФРА-М,2022.-280 с.(ВО)(П)</t>
  </si>
  <si>
    <t>ЛЕСОЗАГОТОВИТЕЛЬНОЕ ПРОИЗВОДСТВО: ТЕХНОЛОГИИ И ОБОРУДОВАНИЕ</t>
  </si>
  <si>
    <t>978-5-16-015827-3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</si>
  <si>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35.03.01 «Лесное дело» (квалификация (степень) «бакалавр») (протокол № 6 от 16.06.2021)</t>
  </si>
  <si>
    <t>770564.02.01</t>
  </si>
  <si>
    <t>Лесозаготовительное производство: технологии...: Уч.пос. / С.В.Фокин - М.:НИЦ ИНФРА-М,2025 - 280 с.(СПО)(П)</t>
  </si>
  <si>
    <t>978-5-16-017389-4</t>
  </si>
  <si>
    <t>15.01.08, 35.01.01, 35.01.05, 35.01.25, 35.01.28, 35.01.30, 35.02.01, 35.02.02, 35.02.18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</si>
  <si>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35.02.02 «Технология лесозаготовок» (протокол № 5 от 19.05.2021)</t>
  </si>
  <si>
    <t>757077.01.01</t>
  </si>
  <si>
    <t>Лесопильно-деревообрабат.производства лесозаготовит. предпр.: Уч.пос. / В.А.Азаренок- 2 изд.-М.:НИЦ ИНФРА-М,2022-601с(П)</t>
  </si>
  <si>
    <t>ЛЕСОПИЛЬНО-ДЕРЕВООБРАБАТЫВАЮЩИЕ ПРОИЗВОДСТВА ЛЕСОЗАГОТОВИТЕЛЬНЫХ ПРЕДПРИЯТИЙ, ИЗД.2</t>
  </si>
  <si>
    <t>Азаренок В.А., Кошелева Н.А., Меньшиков Б.Е.</t>
  </si>
  <si>
    <t>978-5-16-017400-6</t>
  </si>
  <si>
    <t>Рекомендовано УМО по образованию в области лесного дела в качестве учебного пособия для студентов высших учебных заведений, обучающихся по направлениям подготовки бакалавров и магистров 35.03.02, 35.04.02 «Технология лесозаготовительных и деревоперерабатывающих производств»</t>
  </si>
  <si>
    <t>717628.06.01</t>
  </si>
  <si>
    <t>Лечебная физ. культ. при заболев. людей пожилого возраста: Уч.пос. / Т.В.Карасева - М.:НИЦ ИНФРА-М,2025. - 219 с.(ВО)(П)</t>
  </si>
  <si>
    <t>ЛЕЧЕБНАЯ ФИЗИЧЕСКАЯ КУЛЬТУРА ПРИ ЗАБОЛЕВАНИЯХ ЛЮДЕЙ ПОЖИЛОГО ВОЗРАСТА</t>
  </si>
  <si>
    <t>Карасева Т.В., Махов А.С., Замогильнов А.И. и др.</t>
  </si>
  <si>
    <t>978-5-16-018569-9</t>
  </si>
  <si>
    <t>49.03.01, 49.03.02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</si>
  <si>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</si>
  <si>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АКАДЕМУС, Победитель</t>
  </si>
  <si>
    <t>758397.04.01</t>
  </si>
  <si>
    <t>Лечебная физ. культ. при заболеваниях людей...: Уч.пос. / Т.В.Карасева. - М.:НИЦ ИНФРА-М,2024.-219 с(П)</t>
  </si>
  <si>
    <t>978-5-16-016983-5</t>
  </si>
  <si>
    <t>31.02.01, 49.02.01, 49.02.02, 49.02.03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</si>
  <si>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31.02.01 «Лечебное дело» (протокол № 12 от 14.12.2020)</t>
  </si>
  <si>
    <t>758402.04.01</t>
  </si>
  <si>
    <t>Лечебная физ. культ. при заболеваниях нервной сис.: Уч.пос. / Т.В.Карасева - М.:НИЦ ИНФРА-М,2024-164 с.(П)</t>
  </si>
  <si>
    <t>ЛЕЧЕБНАЯ ФИЗИЧЕСКАЯ КУЛЬТУРА ПРИ ЗАБОЛЕВАНИЯХ НЕРВНОЙ СИСТЕМЫ</t>
  </si>
  <si>
    <t>Карасева Т.В., Махов А.С., Толстова С.Ю.</t>
  </si>
  <si>
    <t>978-5-16-016984-2</t>
  </si>
  <si>
    <t>31.02.01, 34.02.02, 49.02.01, 49.02.02, 49.02.03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</si>
  <si>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(протокол № 12 от 14.12.2020)</t>
  </si>
  <si>
    <t>717627.06.01</t>
  </si>
  <si>
    <t>Лечебная физ. культура при заболеваниях дет. возраста: Уч.пос. / Т.В.Карасева. - М.:НИЦ ИНФРА-М,2025. - 223 с.(ВО)(П)</t>
  </si>
  <si>
    <t>ЛЕЧЕБНАЯ ФИЗИЧЕСКАЯ КУЛЬТУРА ПРИ ЗАБОЛЕВАНИЯХ ДЕТСКОГО ВОЗРАСТА</t>
  </si>
  <si>
    <t>978-5-16-019328-1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</si>
  <si>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</si>
  <si>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758404.03.01</t>
  </si>
  <si>
    <t>Лечебная физ. культура при заболеваниях дет. возраста: Уч.пос. / Т.В.Карасева.-М.:НИЦ ИНФРА-М,2024.-223 с.(П)</t>
  </si>
  <si>
    <t>978-5-16-016986-6</t>
  </si>
  <si>
    <t>31.02.01, 44.02.01, 49.02.01, 49.02.02, 49.02.03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</si>
  <si>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(протокол № 11 от 09.11.2020)</t>
  </si>
  <si>
    <t>758403.04.01</t>
  </si>
  <si>
    <t>Лечебная физ. культура при терапевтич. заболеваниях: Уч.пос. / Т.В.Карасева.-М.:НИЦ ИНФРА-М,2024.-158 с.(П)</t>
  </si>
  <si>
    <t>ЛЕЧЕБНАЯ ФИЗИЧЕСКАЯ КУЛЬТУРА ПРИ ТЕРАПЕВТИЧЕСКИХ ЗАБОЛЕВАНИЯХ</t>
  </si>
  <si>
    <t>978-5-16-016985-9</t>
  </si>
  <si>
    <t>717631.04.01</t>
  </si>
  <si>
    <t>Лечебная физ. культура при терапевтич. заболеваниях: Уч.пос. / Т.В.Карасева-М.:НИЦ ИНФРА-М,2025.-158 с.(ВО)(П)</t>
  </si>
  <si>
    <t>978-5-16-018979-6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</si>
  <si>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и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</si>
  <si>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717630.03.01</t>
  </si>
  <si>
    <t>Лечебная физич. культ. при заболеваниях нерв. сис.: Уч.пос. / Т.В.Карасева.-М.:НИЦ ИНФРА-М,2023.-164 с.(ВО)(П)</t>
  </si>
  <si>
    <t>978-5-16-015591-3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</si>
  <si>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49.03.02 «Физическая культура для лиц с отклонениями в состоянии здоровья (адаптивная физическая культура)» (квалификация (степень) «бакалавр») (протокол №9 от 28.09.2020)</t>
  </si>
  <si>
    <t>757844.06.01</t>
  </si>
  <si>
    <t>Лечебная физическая культура при травмах: Уч.пос. / Т.В.Карасева - М.:НИЦ ИНФРА-М,2025. - 140 с.(СПО)(П)</t>
  </si>
  <si>
    <t>ЛЕЧЕБНАЯ ФИЗИЧЕСКАЯ КУЛЬТУРА ПРИ ТРАВМАХ</t>
  </si>
  <si>
    <t>978-5-16-016938-5</t>
  </si>
  <si>
    <t>717629.05.01</t>
  </si>
  <si>
    <t>Лечебная физическая культура при травмах: Уч.пос. / Т.В.Карасева. - М.:НИЦ ИНФРА-М,2025. - 140 с.(ВО)(О)</t>
  </si>
  <si>
    <t>978-5-16-015590-6</t>
  </si>
  <si>
    <t>339900.06.01</t>
  </si>
  <si>
    <t>Лечение пациентов терапевтич. профиля: Уч.пос. / В.Г.Лычев - М.:Форум, НИЦ ИНФРА-М,2024-400 с.(СПО)(П)</t>
  </si>
  <si>
    <t>ЛЕЧЕНИЕ ПАЦИЕНТОВ ТЕРАПЕВТИЧЕСКОГО ПРОФИЛЯ</t>
  </si>
  <si>
    <t>Лычев В.Г., Карманов В.К.</t>
  </si>
  <si>
    <t>978-5-00091-618-6</t>
  </si>
  <si>
    <t>31.02.01, 34.02.01</t>
  </si>
  <si>
    <t>Рекомендовано в качестве учебного пособия для студентов учреждений среднего профессионального образования, обучающихся по специальности 31.02.01 «Лечебное дело»</t>
  </si>
  <si>
    <t>425950.09.01</t>
  </si>
  <si>
    <t>Лечение псих. забол. в период беремен. и лактации: Уч.пос./ Е.А.Ушкалова-М:НИЦ ИНФРА-М,2023-284с.(ВО) (п)</t>
  </si>
  <si>
    <t>ЛЕЧЕНИЕ ПСИХИЧЕСКИХ ЗАБОЛЕВАНИЙ В ПЕРИОД БЕРЕМЕННОСТИ И ЛАКТАЦИИ</t>
  </si>
  <si>
    <t>Ушкалова Е. А., Ушкалова А. В., Шифман Е. М.</t>
  </si>
  <si>
    <t>978-5-16-006600-4</t>
  </si>
  <si>
    <t>725225.05.01</t>
  </si>
  <si>
    <t>Лидерство: Уч. / В.Э.Багдасарян - М.:НИЦ ИНФРА-М,2025. - 339 с.(ВО: Бакалавриат)(П)</t>
  </si>
  <si>
    <t>ЛИДЕРСТВО</t>
  </si>
  <si>
    <t>978-5-16-016204-1</t>
  </si>
  <si>
    <t>00.03.07, 38.03.02, 41.03.06, 44.03.01, 44.03.02, 44.03.03, 44.03.04, 44.03.05, 44.04.01, 44.04.02, 44.04.03, 44.04.04, 44.05.01, 46.03.01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</si>
  <si>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педагогическим направлениям подготовки (квалификация (степень) «бакалавр») (протокол № 10 от 12.10.2020)</t>
  </si>
  <si>
    <t>653243.08.01</t>
  </si>
  <si>
    <t>Лимфедема нижних конечностей: диагност..: Уч.пос. / С.Е.Каторкин - 2изд.-М.:НИЦ ИНФРА-М,2023-110 с.(ВО)(о)</t>
  </si>
  <si>
    <t>ЛИМФЕДЕМА НИЖНИХ КОНЕЧНОСТЕЙ: ДИАГНОСТИКА И ЛЕЧЕНИЕ, ИЗД.2</t>
  </si>
  <si>
    <t>Каторкин С.Е., Мышенцев П.Н., Мельников М.А.</t>
  </si>
  <si>
    <t>978-5-16-018213-1</t>
  </si>
  <si>
    <t>31.05.01, 32.05.01</t>
  </si>
  <si>
    <t>Рекомендовано Центральным координационно-методическим советом федерального государственного бюджетного образовательного учреждения высшего образования «Самарский государственный медицинский университет» Министерства здравоохранения Российской Федерации</t>
  </si>
  <si>
    <t>653243.06.01</t>
  </si>
  <si>
    <t>Лимфедема нижних конечностей: диагност..: Уч.пос. / С.Е.Каторкин -М.:Форум, НИЦ ИНФРА-М,2022-103с(О)</t>
  </si>
  <si>
    <t>ЛИМФЕДЕМА НИЖНИХ КОНЕЧНОСТЕЙ: ДИАГНОСТИКА И ЛЕЧЕНИЕ</t>
  </si>
  <si>
    <t>Каторкин С.Е., Сушков С.А., Мышенцев П.Н. и др.</t>
  </si>
  <si>
    <t>978-5-00091-438-0</t>
  </si>
  <si>
    <t>699570.03.01</t>
  </si>
  <si>
    <t>Лингвистические основы деловой коммуникации: Уч. / Т.И.Сурикова - М.:НИЦ ИНФРА-М,2024 - 248 с.(ВО)(п)</t>
  </si>
  <si>
    <t>ЛИНГВИСТИЧЕСКИЕ ОСНОВЫ ДЕЛОВОЙ КОММУНИКАЦИИ</t>
  </si>
  <si>
    <t>Сурикова Т.И., Коньков В.И.</t>
  </si>
  <si>
    <t>978-5-16-018925-3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</si>
  <si>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управленческим направлениям подготовки (квалификация (степень) «бакалавр») (протокол № 11 от 09.11.2020)</t>
  </si>
  <si>
    <t>Московский государственный университет им. М.В. Ломоносова, факультет журналистики</t>
  </si>
  <si>
    <t>485450.08.01</t>
  </si>
  <si>
    <t>Линейная алгебра в примерах и задачах: Уч пос. / А.С. Бортаковский - 3 изд. - М.: НИЦ ИНФРА-М,2025 - 592 с. (п)</t>
  </si>
  <si>
    <t>ЛИНЕЙНАЯ АЛГЕБРА В ПРИМЕРАХ И ЗАДАЧАХ, ИЗД.3</t>
  </si>
  <si>
    <t>978-5-16-010586-4</t>
  </si>
  <si>
    <t>01.03.02, 01.03.04, 01.04.02, 01.04.04, 01.05.01, 02.03.02, 03.03.02, 04.03.02, 24.03.01, 38.03.01</t>
  </si>
  <si>
    <t>475450.05.01</t>
  </si>
  <si>
    <t>Линейная алгебра и аналитическая геометрия. Практ.: Уч. пос. / А.С.Бортаковский - ИНФРА-М,2025 - 352 с.(ВО)</t>
  </si>
  <si>
    <t>ЛИНЕЙНАЯ АЛГЕБРА И АНАЛИТИЧЕСКАЯ ГЕОМЕТРИЯ. ПРАКТИКУМ</t>
  </si>
  <si>
    <t>Бортаковский А. С., Пантелеев А. В.</t>
  </si>
  <si>
    <t>978-5-16-010206-1</t>
  </si>
  <si>
    <t>01.03.02, 01.03.04, 01.04.02, 01.04.04, 03.03.01, 03.03.02, 03.03.03, 03.04.01, 04.03.01, 04.03.02, 05.03.01, 05.03.02, 05.03.03, 05.03.04, 05.03.05, 05.03.06, 06.03.01, 06.03.02, 08.03.01, 09.03.01, 09.03.02, 09.03.03, 09.03.04, 10.03.01, 10.05.01, 10.05.02, 10.05.03, 10.05.04, 10.05.05, 10.05.07, 11.03.01, 11.03.02, 11.03.03, 11.03.04, 13.03.01, 13.03.02, 13.03.03, 15.03.01, 15.03.02, 15.03.03, 15.03.04, 15.03.05, 15.03.06, 38.03.01, 38.03.02, 38.03.03, 38.03.04, 38.03.05, 38.03.06, 38.03.07, 38.03.10</t>
  </si>
  <si>
    <t>136550.11.01</t>
  </si>
  <si>
    <t>Линейная алгебра: теория и приклад. аспек.: Уч. пос. / Г.С.Шевцов - 3 изд. - Магистр: ИНФРА-М, 2025 - 544 с. (п)</t>
  </si>
  <si>
    <t>ЛИНЕЙНАЯ АЛГЕБРА: ТЕОРИЯ И ПРИКЛАДНЫЕ АСПЕКТЫ, ИЗД.3</t>
  </si>
  <si>
    <t>Шевцов Г. С.</t>
  </si>
  <si>
    <t>978-5-9776-0258-7</t>
  </si>
  <si>
    <t>01.03.02, 01.04.02</t>
  </si>
  <si>
    <t>Рекомендованно Научно-методическим советом по математике и механике Учебно-методического объединения по классическому университетскому образованию в качестве учебного пособия для математических направлений и специальностей</t>
  </si>
  <si>
    <t>411750.06.01</t>
  </si>
  <si>
    <t>Линейная алгебра: Уч. пос./ Б.М. Рудык. - М.: НИЦ ИНФРА-М, 2023. - 318 с. (ВО: Бакалавриат) (п)</t>
  </si>
  <si>
    <t>ЛИНЕЙНАЯ АЛГЕБРА</t>
  </si>
  <si>
    <t>Рудык Б. М.</t>
  </si>
  <si>
    <t>978-5-16-004533-7</t>
  </si>
  <si>
    <t>01.03.01, 01.03.02, 01.03.04, 02.03.01, 03.03.01, 03.03.02</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</si>
  <si>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(080100) «Экономика», квалификация (степень) — «бакалавр» Регистрацион</t>
  </si>
  <si>
    <t>820929.01.01</t>
  </si>
  <si>
    <t>Линейная алгебра: Уч.пос. / А.В.Литаврин-М.:НИЦ ИНФРА-М, СФУ,2024.-241 с.(ВО (СФУ))(п)</t>
  </si>
  <si>
    <t>Литаврин А.В., Моисеенкова Т.В.</t>
  </si>
  <si>
    <t>978-5-16-019597-1</t>
  </si>
  <si>
    <t>38.03.01, 38.03.02, 38.03.05, 38.05.01</t>
  </si>
  <si>
    <t>786287.01.01</t>
  </si>
  <si>
    <t>Линейное программирование: Уч.пос. / А.С.Шевченко-М.:НИЦ ИНФРА-М,2024.-253 с.(СПО)(п)</t>
  </si>
  <si>
    <t>ЛИНЕЙНОЕ ПРОГРАММИРОВАНИЕ</t>
  </si>
  <si>
    <t>Шевченко А.С.</t>
  </si>
  <si>
    <t>978-5-16-017949-0</t>
  </si>
  <si>
    <t>00.02.06, 09.02.01, 09.02.02, 09.02.03, 09.02.04, 09.02.05, 09.02.06, 09.02.07, 15.01.18, 35.02.10, 35.02.16, 38.02.03</t>
  </si>
  <si>
    <t>Югорский государственный университет</t>
  </si>
  <si>
    <t>СПО-2022, Победитель, II место</t>
  </si>
  <si>
    <t>381100.04.01</t>
  </si>
  <si>
    <t>Линейные целочисленные задачи оптимизации: Уч.пос. /Г.А.Соколов -М.:НИЦ ИНФРА-М,2024-132с.(ВО)(о)</t>
  </si>
  <si>
    <t>ЛИНЕЙНЫЕ ЦЕЛОЧИСЛЕННЫЕ ЗАДАЧИ ОПТИМИЗАЦИИ</t>
  </si>
  <si>
    <t>Соколов Г.А.</t>
  </si>
  <si>
    <t>978-5-16-019450-9</t>
  </si>
  <si>
    <t>01.03.01, 01.03.03, 02.03.01, 02.03.03, 03.03.02, 03.03.03, 24.03.01, 45.03.04</t>
  </si>
  <si>
    <t>Рекомендовано в качестве учебного пособия для студентов высших учебных заведений, обучающихся по специальности 38.03.01 «Экономика», 38.03.02 «Менеджмент» (квалификация (степень) «бакалавр»)</t>
  </si>
  <si>
    <t>648192.01.01</t>
  </si>
  <si>
    <t>Литература и культура Древнего мира: Уч.пос. / Б.А.Гиленсон - М.:НИЦ ИНФРА-М,2017 - 315 с.-(ВО)(П)</t>
  </si>
  <si>
    <t>ЛИТЕРАТУРА И КУЛЬТУРА ДРЕВНЕГО МИРА</t>
  </si>
  <si>
    <t>978-5-16-012489-6</t>
  </si>
  <si>
    <t>45.03.01, 45.04.01, 45.06.01, 45.07.01, 51.04.01, 51.06.01</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</si>
  <si>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45.03.01 «Филология»</t>
  </si>
  <si>
    <t>648192.05.01</t>
  </si>
  <si>
    <t>Литература и культура Древнего мира: Уч.пос. / Б.А.Гиленсон-2 изд.-М.:НИЦ ИНФРА-М,2024-315с.(ВО)(П)</t>
  </si>
  <si>
    <t>ЛИТЕРАТУРА И КУЛЬТУРА ДРЕВНЕГО МИРА, ИЗД.2</t>
  </si>
  <si>
    <t>978-5-16-014253-1</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</si>
  <si>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45.03.01 «Филология»</t>
  </si>
  <si>
    <t>820926.01.01</t>
  </si>
  <si>
    <t>Литература Испании: Уч.пос. / О.Е.Гевель-М.:НИЦ ИНФРА-М, СФУ,2024.-110 с.(ВО (СФУ))(о)</t>
  </si>
  <si>
    <t>ЛИТЕРАТУРА ИСПАНИИ</t>
  </si>
  <si>
    <t>Гевель О.Е.</t>
  </si>
  <si>
    <t>978-5-16-019594-0</t>
  </si>
  <si>
    <t>45.03.01, 45.03.03, 45.05.01</t>
  </si>
  <si>
    <t>701998.02.01</t>
  </si>
  <si>
    <t>Литература народов России: Уч.пос. / Под ред. Хайруллина Р.З. - М.:НИЦ ИНФРА-М,2022 - 395 с.(СПО)(П)</t>
  </si>
  <si>
    <t>ЛИТЕРАТУРА НАРОДОВ РОССИИ</t>
  </si>
  <si>
    <t>Хайруллин Р.З., Зайцева Т.И., Алибаев З.А. и др.</t>
  </si>
  <si>
    <t>978-5-16-014814-4</t>
  </si>
  <si>
    <t>00.02.09, 51.02.02, 51.02.03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</si>
  <si>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группе гуманитарных специальностей (протокол № 8 от 29.04.2019)</t>
  </si>
  <si>
    <t>381200.08.01</t>
  </si>
  <si>
    <t>Литература народов России: Уч.пос. / Под ред. Хайруллина Р.З. - М.:НИЦ ИНФРА-М,2023 - 396 с.(ВО)(П)</t>
  </si>
  <si>
    <t>978-5-16-011145-2</t>
  </si>
  <si>
    <t>763313.05.01</t>
  </si>
  <si>
    <t>Литература финно-угорских народов России: Уч.пос. / Р.З.Хайруллин. - М.:НИЦ ИНФРА-М,2025. - 384 с.(ВО)(п)</t>
  </si>
  <si>
    <t>ЛИТЕРАТУРА ФИННО-УГОРСКИХ НАРОДОВ РОССИИ</t>
  </si>
  <si>
    <t>Хайруллин Р.З., Зайцева Т.И., Кузнецова Т.Л. и др.</t>
  </si>
  <si>
    <t>978-5-16-019377-9</t>
  </si>
  <si>
    <t>41.03.01, 44.03.01, 45.04.01, 45.06.01</t>
  </si>
  <si>
    <t>Югорская книга – 2024-2024, Победитель, I место</t>
  </si>
  <si>
    <t>675231.08.01</t>
  </si>
  <si>
    <t>Литературное мастерство: Creative Writing: Уч. / А.К.Михальская - М.:НИЦ ИНФРА-М,2025 - 347 с.(ВО)(П)</t>
  </si>
  <si>
    <t>ЛИТЕРАТУРНОЕ МАСТЕРСТВО: CREATIVE WRITING</t>
  </si>
  <si>
    <t>978-5-16-020882-4</t>
  </si>
  <si>
    <t>52.05.04</t>
  </si>
  <si>
    <t>642408.09.01</t>
  </si>
  <si>
    <t>Литературное редакт. текстов средств мас. информ.: Уч.пос. / Т.И.Сурикова - М.:НИЦ ИНФРА-М,2025 - 152 с.(ВО)(П)</t>
  </si>
  <si>
    <t>ЛИТЕРАТУРНОЕ РЕДАКТИРОВАНИЕ ТЕКСТОВ СРЕДСТВ МАССОВОЙ ИНФОРМАЦИИ</t>
  </si>
  <si>
    <t>Сурикова Т.И.</t>
  </si>
  <si>
    <t>978-5-16-012873-3</t>
  </si>
  <si>
    <t>Рекомендовано Учебно-методическим советом по направлению подготовки «Журналистика» в качестве учебного пособия для студентов образовательных организаций высшего образования, обучающихся по направлению подготовки 42.03.02 «Журналистика» (квалификация (степень) «бакалавр»)</t>
  </si>
  <si>
    <t>753313.03.01</t>
  </si>
  <si>
    <t>Литературный английский язык: Уч.пос. / З.В.Маньковская-М.:НИЦ ИНФРА-М,2023.-295 с.(ВО: Бакалавр.)(П)</t>
  </si>
  <si>
    <t>ЛИТЕРАТУРНЫЙ АНГЛИЙСКИЙ ЯЗЫК</t>
  </si>
  <si>
    <t>978-5-16-016855-5</t>
  </si>
  <si>
    <t>00.03.02, 00.05.02, 45.03.02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</si>
  <si>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45.03.02 «Лингвистика» (квалификация (степень) «бакалавр») (протокол № 2 от 09.02.2022)</t>
  </si>
  <si>
    <t>681873.01.01</t>
  </si>
  <si>
    <t>Литология нефти и газа: Уч. / О.И.Серебряков.-М.:НИЦ ИНФРА-М,2022.-284 с.(ВО: Бакалавр.)(П)</t>
  </si>
  <si>
    <t>ЛИТОЛОГИЯ НЕФТИ И ГАЗА</t>
  </si>
  <si>
    <t>Серебряков О.И., Смирнова Т.С., Быстрова И.В. и др.</t>
  </si>
  <si>
    <t>978-5-16-014285-2</t>
  </si>
  <si>
    <t>05.03.01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</si>
  <si>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05.03.01 «Геология» (квалификация (степень) «бакалавр») (протокол № 2 от 09.02.2022)</t>
  </si>
  <si>
    <t>373700.05.01</t>
  </si>
  <si>
    <t>Литология: Уч. / О.В.Япаскурт - 2 изд. - М.:НИЦ ИНФРА-М,2023 - 359 с.-(ВО: Бакалавриат)(П)</t>
  </si>
  <si>
    <t>ЛИТОЛОГИЯ, ИЗД.2</t>
  </si>
  <si>
    <t>978-5-16-011054-7</t>
  </si>
  <si>
    <t>Рекомендовано УМО по классическому университетскому образованию в качестве учебника для студентов, обучающихся по программам бакалавриата (05.03.01) и магистратуры (05.04.01) по направлению подготовки «Геология»</t>
  </si>
  <si>
    <t>794018.01.01</t>
  </si>
  <si>
    <t>Личная финансовая безопасность: Уч.пос. / Н.Н.Карзаева.-М.:НИЦ ИНФРА-М,2024.-194 с.(ВО)(п)</t>
  </si>
  <si>
    <t>ЛИЧНАЯ ФИНАНСОВАЯ БЕЗОПАСНОСТЬ</t>
  </si>
  <si>
    <t>Карзаева Н.Н., Каранина Е.В., Карзаева Е.А.</t>
  </si>
  <si>
    <t>978-5-16-018480-7</t>
  </si>
  <si>
    <t>423600.11.01</t>
  </si>
  <si>
    <t>Логика диссертации: Уч.пос. / Г.Ч.Синченко, - 4 изд.-М.:НИЦ ИНФРА-М,2025.-312 с.(ВО: Аспирантура)(п)</t>
  </si>
  <si>
    <t>ЛОГИКА ДИССЕРТАЦИИ, ИЗД.4</t>
  </si>
  <si>
    <t>Синченко Г.Ч.</t>
  </si>
  <si>
    <t>978-5-16-019348-9</t>
  </si>
  <si>
    <t>00.03.16, 00.04.16, 00.04.17, 00.05.16, 00.06.01, 47.04.01</t>
  </si>
  <si>
    <t>Омская академия Министерства внутренних дел Российской Федерации</t>
  </si>
  <si>
    <t>392200.08.01</t>
  </si>
  <si>
    <t>Логика для бакалавров: Уч.пос. / С.М.Марков - М.:ИЦ РИОР,НИЦ ИНФРА-М,2023 - 159с.(ВО:Бакалавр.)(о)</t>
  </si>
  <si>
    <t>ЛОГИКА ДЛЯ БАКАЛАВРОВ</t>
  </si>
  <si>
    <t>Марков С.М.</t>
  </si>
  <si>
    <t>978-5-369-01507-0</t>
  </si>
  <si>
    <t>37.03.01, 38.03.01, 40.03.01, 41.03.06, 42.03.02, 42.03.03, 44.03.05, 47.03.01, 47.03.02, 49.04.01, 49.04.02</t>
  </si>
  <si>
    <t>732045.03.01</t>
  </si>
  <si>
    <t>Логика для юристов: Уч. / Е.А.Кротков - М.:НИЦ ИНФРА-М,2025 - 210 с.(СПО)(П)</t>
  </si>
  <si>
    <t>ЛОГИКА ДЛЯ ЮРИСТОВ</t>
  </si>
  <si>
    <t>Кротков Е.А.</t>
  </si>
  <si>
    <t>978-5-16-015997-3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</si>
  <si>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18 от 25.11.2019)</t>
  </si>
  <si>
    <t>652792.06.01</t>
  </si>
  <si>
    <t>Логика для юристов: Уч. / Е.А.Кротков - М.:НИЦ ИНФРА-М,2025. - 210 с.-(ВО)(п)</t>
  </si>
  <si>
    <t>978-5-16-020105-4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</si>
  <si>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12  от 24.06.2019)</t>
  </si>
  <si>
    <t>642082.07.01</t>
  </si>
  <si>
    <t>Логика для юристов: Уч.пос. / С.В.Корнакова - 2 изд. - М.:НИЦ ИНФРА-М,2024 - 179 с.(ВО)(П)</t>
  </si>
  <si>
    <t>ЛОГИКА ДЛЯ ЮРИСТОВ, ИЗД.2</t>
  </si>
  <si>
    <t>Корнакова С.В., Сергеева О.С.</t>
  </si>
  <si>
    <t>978-5-16-019318-2</t>
  </si>
  <si>
    <t>40.05.01, 40.05.02, 40.05.03, 40.05.04, 44.03.05</t>
  </si>
  <si>
    <t>845257.01.01</t>
  </si>
  <si>
    <t>Логика для юристов: Уч.пос. / С.В.Корнакова - 2 изд. - М.:НИЦ ИНФРА-М,2025 - 179 с.(СПО)(п)</t>
  </si>
  <si>
    <t>978-5-16-020459-8</t>
  </si>
  <si>
    <t>667548.05.01</t>
  </si>
  <si>
    <t>Логика и методология науч. исслед.: Уч.пос. / Е.Д.Кравцова-М.:НИЦ ИНФРА-М, СФУ,2023-168 с.(П)</t>
  </si>
  <si>
    <t>ЛОГИКА И МЕТОДОЛОГИЯ НАУЧНЫХ ИССЛЕДОВАНИЙ</t>
  </si>
  <si>
    <t>Кравцова Е.Д., Городищева А.Н.</t>
  </si>
  <si>
    <t>978-5-16-018004-5</t>
  </si>
  <si>
    <t>22.04.01</t>
  </si>
  <si>
    <t>Рекомендовано ФГБОУ ВО «Санкт-Петербургский государственный университет» в качестве учебного пособия по дисциплине «Логика и методология научных исследований» для студентов высших учебных заведений, обучающихся по направлению подготовки 22.04.01 «Материаловедение и технологии материалов» (квалификация (степень) «магистр»)</t>
  </si>
  <si>
    <t>767386.03.01</t>
  </si>
  <si>
    <t>Логика с элементами матем. логики: Уч. / В.И.Игошин - М.:НИЦ ИНФРА-М,2025. - 418 с.(ВО: Бакалавр.)(П)</t>
  </si>
  <si>
    <t>ЛОГИКА С ЭЛЕМЕНТАМИ МАТЕМАТИЧЕСКОЙ ЛОГИКИ</t>
  </si>
  <si>
    <t>Игошин В.И.</t>
  </si>
  <si>
    <t>978-5-16-017468-6</t>
  </si>
  <si>
    <t>01.00.00</t>
  </si>
  <si>
    <t>648930.08.01</t>
  </si>
  <si>
    <t>Логика уголовно-процессуального доказывания: Уч.пос./ С.В.Корнакова-М.:НИЦ ИНФРА-М,2024-142 с.(ВО)(П)</t>
  </si>
  <si>
    <t>ЛОГИКА УГОЛОВНО-ПРОЦЕССУАЛЬНОГО ДОКАЗЫВАНИЯ</t>
  </si>
  <si>
    <t>Корнакова С.В.</t>
  </si>
  <si>
    <t>978-5-16-012576-3</t>
  </si>
  <si>
    <t>Рекомендовано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t>
  </si>
  <si>
    <t>838517.01.01</t>
  </si>
  <si>
    <t>Логика, пропозиция и типология текстов на англ. яз...: Уч. / М.Э.Конурбаев - М.:НИЦ ИНФРА-М,2024 - 521 с.(п)</t>
  </si>
  <si>
    <t>ЛОГИКА, ПРОПОЗИЦИЯ И ТИПОЛОГИЯ ТЕКСТОВ НА АНГЛИЙСКОМ ЯЗЫКЕ.CRITICAL ARISTOTLE. POLITICS.</t>
  </si>
  <si>
    <t>Конурбаев М.Э.</t>
  </si>
  <si>
    <t>978-5-16-020306-5</t>
  </si>
  <si>
    <t>45.03.02</t>
  </si>
  <si>
    <t>732014.05.01</t>
  </si>
  <si>
    <t>Логика. Теория аргументации: Уч.пос. / В.В.Дягилев-М.:НИЦ ИНФРА-М,2023.-192 сВО: Бакалавр.)(П)</t>
  </si>
  <si>
    <t>ЛОГИКА. ТЕОРИЯ АРГУМЕНТАЦИИ</t>
  </si>
  <si>
    <t>Дягилев В.В., Разов П.В.</t>
  </si>
  <si>
    <t>978-5-16-016183-9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</si>
  <si>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6 от 16.06.2021)</t>
  </si>
  <si>
    <t>664375.07.01</t>
  </si>
  <si>
    <t>Логика: основы рассуждения и науч.анализа: Уч.пос. / В.Г.Кузнецов - М.:НИЦ ИНФРА-М,2024 - 290с(ВО)(п)</t>
  </si>
  <si>
    <t>ЛОГИКА: ОСНОВЫ РАССУЖДЕНИЯ И НАУЧНОГО АНАЛИЗА</t>
  </si>
  <si>
    <t>Кузнецов В.Г., Егоров Ю.Д.</t>
  </si>
  <si>
    <t>978-5-16-019281-9</t>
  </si>
  <si>
    <t>37.03.01, 37.03.02, 37.04.01, 37.04.02, 37.05.01, 38.03.01, 38.03.02, 38.03.03, 39.03.01, 40.03.01, 40.04.01, 40.05.01, 40.05.02, 40.05.03, 41.03.04, 41.03.06, 42.03.02, 42.03.03, 44.03.05, 47.03.01, 47.03.02, 49.04.01, 49.04.02</t>
  </si>
  <si>
    <t>Рекомендовано Учебно-методическим советом ВО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t>
  </si>
  <si>
    <t>Московский государственный университет им. М.В. Ломоносова, философский факультет</t>
  </si>
  <si>
    <t>647270.12.01</t>
  </si>
  <si>
    <t>Логика: Уч. / В.И.Кириллов - 3 изд., стер. - М.:Юр.Норма, НИЦ ИНФРА-М,2024 - 240 с.(П)</t>
  </si>
  <si>
    <t>ЛОГИКА, ИЗД.3</t>
  </si>
  <si>
    <t>Кириллов В.И.</t>
  </si>
  <si>
    <t>978-5-91768-860-2</t>
  </si>
  <si>
    <t>688077.01.01</t>
  </si>
  <si>
    <t>Логика: Уч. / В.И.Кириллов, - 3-е изд.-М.:Юр.Норма, НИЦ ИНФРА-М,2024.-240 с.(СПО)(п)</t>
  </si>
  <si>
    <t>978-5-00156-379-2</t>
  </si>
  <si>
    <t>392200.09.01</t>
  </si>
  <si>
    <t>Логика: Уч. / С.М.Марков, - 2 изд. - М.:ИЦ РИОР, НИЦ ИНФРА-М,2025. - 178 с.(ВО)(о)</t>
  </si>
  <si>
    <t>ЛОГИКА, ИЗД.2</t>
  </si>
  <si>
    <t>978-5-369-01957-3</t>
  </si>
  <si>
    <t>706544.07.01</t>
  </si>
  <si>
    <t>Логика: Уч. для бакалавриата / Л.А.Демина и др. - М.:Юр.Норма, НИЦ ИНФРА-М,2025 - 224 с.(П)</t>
  </si>
  <si>
    <t>ЛОГИКА</t>
  </si>
  <si>
    <t>Демина Л.А., Гунибский М.Ш., Пржиленский В.И. и др.</t>
  </si>
  <si>
    <t>978-5-91768-644-8</t>
  </si>
  <si>
    <t>37.03.01, 37.05.01, 38.03.01, 40.03.01, 40.05.01, 40.05.02, 40.05.03, 41.03.06, 42.03.02, 42.03.03, 44.03.05, 47.03.01, 47.03.02, 49.04.01, 49.04.02</t>
  </si>
  <si>
    <t>177150.12.01</t>
  </si>
  <si>
    <t>Логика: Уч.пос. / В.К.Батурин - М.:КУРС,НИЦ ИНФРА-М,2024 - 96с.(ВО:Бакалавриат)(о)</t>
  </si>
  <si>
    <t>Батурин В. К.</t>
  </si>
  <si>
    <t>978-5-905554-06-3</t>
  </si>
  <si>
    <t>37.03.01, 38.03.01, 38.03.02, 38.04.01, 38.04.02, 40.03.01, 41.03.06, 44.03.05</t>
  </si>
  <si>
    <t>Российская академия народного хозяйства и государственной службы при Президенте РФ, ф-л Дальневосточный институт управления</t>
  </si>
  <si>
    <t>697022.03.01</t>
  </si>
  <si>
    <t>Логика: Уч.пос. / Е.А.Воронцов - М.:НИЦ ИНФРА-М,2023 - 134 с.-(ВО: Бакалавриат)(О)</t>
  </si>
  <si>
    <t>978-5-16-014904-2</t>
  </si>
  <si>
    <t>37.03.01, 37.05.01, 38.03.01, 40.03.01, 40.05.01, 40.05.02, 40.05.03, 41.03.06, 42.03.02, 42.03.03, 44.03.05, 47.03.01, 47.03.02</t>
  </si>
  <si>
    <t>Рекомендовано Межрегиональным учебно-методическим советом профессионального образования в качестве учебного пособия для реализации образовательных программ высшего образования по гуманитарным направлениям подготовки бакалавриата (протокол № 10 от 27.05.2019)</t>
  </si>
  <si>
    <t>745699.02.01</t>
  </si>
  <si>
    <t>Логика: Уч.пос. / Е.А.Воронцов - М.:НИЦ ИНФРА-М,2023 - 134 с.-(ВО: Специалитет)(О)</t>
  </si>
  <si>
    <t>978-5-16-016546-2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</si>
  <si>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программам специалитета  (протокол № 8 от 22.06.2020)</t>
  </si>
  <si>
    <t>371400.05.01</t>
  </si>
  <si>
    <t>Логистика  для бакалавров: Уч. / С.В.Карпова - М.:Вуз. уч.,НИЦ ИНФРА-М,2023 - 323с.(п)</t>
  </si>
  <si>
    <t>ЛОГИСТИКА  ДЛЯ БАКАЛАВРОВ</t>
  </si>
  <si>
    <t>КарповаС.В.</t>
  </si>
  <si>
    <t>978-5-9558-0442-2</t>
  </si>
  <si>
    <t>842426.01.01</t>
  </si>
  <si>
    <t>Логистика производства: Уч.пос. / В.И.Степанов - М.:НИЦ ИНФРА-М,2025. - 200 с.(СПО)(п)</t>
  </si>
  <si>
    <t>ЛОГИСТИКА ПРОИЗВОДСТВА</t>
  </si>
  <si>
    <t>Степанов В.И.</t>
  </si>
  <si>
    <t>978-5-16-020340-9</t>
  </si>
  <si>
    <t>08.02.01, 08.02.08, 23.02.02, 38.02.08</t>
  </si>
  <si>
    <t>174550.09.01</t>
  </si>
  <si>
    <t>Логистика производства: Уч.пос. / В.И.Степанов-М.:НИЦ ИНФРА-М,2024.-200 с..-(ВО: Бакалавриат)(П)</t>
  </si>
  <si>
    <t>978-5-16-004973-1</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</si>
  <si>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t>
  </si>
  <si>
    <t>145500.14.01</t>
  </si>
  <si>
    <t>Логистика складирования: Уч. / В.В.Дыбская - М.:НИЦ ИНФРА-М,2025. - 559 с.(ВО)(п)</t>
  </si>
  <si>
    <t>ЛОГИСТИКА СКЛАДИРОВАНИЯ</t>
  </si>
  <si>
    <t>Дыбская В.В.</t>
  </si>
  <si>
    <t>978-5-16-020399-7</t>
  </si>
  <si>
    <t>23.03.01, 29.04.02, 38.03.01, 38.03.02, 38.03.04, 38.04.02, 38.04.04, 41.03.06, 42.03.03</t>
  </si>
  <si>
    <t>Допущено УМО по образованию в области логистики в качестве учебника для студентов высших учебных заведений, обучающихся по специальности «Логистика и управление цепями поставок»</t>
  </si>
  <si>
    <t>642427.04.01</t>
  </si>
  <si>
    <t>Логистика: модели и методы: Уч.пос. / П.В.Попов - М.:НИЦ ИНФРА-М,2023 - 272 с.(ВО: Магистратура)(П)</t>
  </si>
  <si>
    <t>ЛОГИСТИКА: МОДЕЛИ И МЕТОДЫ</t>
  </si>
  <si>
    <t>Попов П.В., Мирецкий И.Ю., Ивуть Р.Б. и др.</t>
  </si>
  <si>
    <t>978-5-16-012704-0</t>
  </si>
  <si>
    <t>Рекомендовано к изданию учебно-методическим объединением Республики Беларусь по образованию в области экономики и организации производства. Рекомендовано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t>
  </si>
  <si>
    <t>Волгоградский государственный университет, Волжский ф-л</t>
  </si>
  <si>
    <t>651651.05.01</t>
  </si>
  <si>
    <t>Логистика: практикум  для бакалавров: Уч.пос. / С.В.Карпова.-М.:Вуз. уч., НИЦ ИНФРА-М,2023.-139с.(О)</t>
  </si>
  <si>
    <t>ЛОГИСТИКА: ПРАКТИКУМ  ДЛЯ БАКАЛАВРОВ</t>
  </si>
  <si>
    <t>Карпова С.В., Арский А.А., Борщ В.В. и др.</t>
  </si>
  <si>
    <t>978-5-9558-0545-0</t>
  </si>
  <si>
    <t>13.04.01, 19.04.04, 23.04.02, 23.05.04, 27.03.02, 29.04.02, 35.03.05, 38.03.01, 38.03.02, 38.04.02, 38.04.06, 38.04.09, 42.03.03</t>
  </si>
  <si>
    <t>084500.12.01</t>
  </si>
  <si>
    <t>Логистика: Уч. / В.А.Галанов - 2 изд. - М.:Форум, НИЦ ИНФРА-М,2025 - 272 с.(ПО)(о)</t>
  </si>
  <si>
    <t>ЛОГИСТИКА, ИЗД.2</t>
  </si>
  <si>
    <t>Галанов В. А.</t>
  </si>
  <si>
    <t>978-5-91134-906-6</t>
  </si>
  <si>
    <t>08.02.01, 08.02.08, 38.02.03, 38.02.08</t>
  </si>
  <si>
    <t>Допущено Мин. обр. и науки РФ в качестве учебника для студентов учреждений среднего профессионального образования</t>
  </si>
  <si>
    <t>632118.02.01</t>
  </si>
  <si>
    <t>Логистика: Уч. / Под ред. Альбекова А.У.-М.:ИЦ РИОР, НИЦ ИНФРА-М,2017.-404 с..-(ВО)(П)</t>
  </si>
  <si>
    <t>ЛОГИСТИКА</t>
  </si>
  <si>
    <t>Альбеков А.У., Пархоменко Т.В., Лопаткин Г.А. и др.</t>
  </si>
  <si>
    <t>978-5-369-01578-0</t>
  </si>
  <si>
    <t>38.03.01, 38.03.06</t>
  </si>
  <si>
    <t>004166.24.01</t>
  </si>
  <si>
    <t>Логистика: Уч. / Под ред. Б.А.Аникина - 4 изд. - М.:НИЦ ИНФРА-М,2025. - 320 с.-(ВО: Бакалавриат)(п)</t>
  </si>
  <si>
    <t>ЛОГИСТИКА, ИЗД.4</t>
  </si>
  <si>
    <t>Аникин Б. А.</t>
  </si>
  <si>
    <t>978-5-16-009814-2</t>
  </si>
  <si>
    <t>Рекомендовано Министерством образования Российской Федерации в качестве учебника для студентов высших учебных заведений, обучающихся по направлению и специальности «Менеджмент»</t>
  </si>
  <si>
    <t>371400.06.01</t>
  </si>
  <si>
    <t>Логистика: Уч. / С.В.Карпова - 2 изд. - М.:НИЦ ИНФРА-М,2025. - 292 с.(ВО (Финанс. универ.))(п)</t>
  </si>
  <si>
    <t>Карпова С.В., Захаренко И.К., Комаров В.М. и др.</t>
  </si>
  <si>
    <t>978-5-16-019811-8</t>
  </si>
  <si>
    <t>288300.05.01</t>
  </si>
  <si>
    <t>Логистика: Уч. пос. / О.А. Александров - М.: НИЦ ИНФРА-М, 2022 - 217 с. (ВО: Бакалавриат) (п)</t>
  </si>
  <si>
    <t>Александров О. А.</t>
  </si>
  <si>
    <t>978-5-16-010001-2</t>
  </si>
  <si>
    <t>Рекомендовано Советом Учебно-методического объединения по образованию в области менеджмента в качестве учебного пособия для студентов высшего профессионального образования, обучающихся по направлению подготовки 38.03.02  (080200.62)  «Менеджмент" (кв</t>
  </si>
  <si>
    <t>Московский региональный социально-экономический институт</t>
  </si>
  <si>
    <t>275100.05.01</t>
  </si>
  <si>
    <t>Логистика: Уч. пос./ А.Л. Носов - М.:Магистр:НИЦ ИНФРА-М, 2023 - 184 с. (Бакалавриат). (О)</t>
  </si>
  <si>
    <t>Носов А. Л.</t>
  </si>
  <si>
    <t>978-5-9776-0315-7</t>
  </si>
  <si>
    <t>062900.19.01</t>
  </si>
  <si>
    <t>Логистика: Уч.пос. / А.А.Канке - 2 изд. - М.:ИД Форум, НИЦ ИНФРА-М,2024 - 384 с.-(СПО)(П)</t>
  </si>
  <si>
    <t>Канке А. А., Кошевая И. П.</t>
  </si>
  <si>
    <t>978-5-8199-0930-0</t>
  </si>
  <si>
    <t>08.02.01, 08.02.08, 38.02.01, 38.02.03, 38.02.08</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</si>
  <si>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«Менеджмент (по отраслям)», «Маркетинг (по отраслям)», «Коммерция (по отраслям)»</t>
  </si>
  <si>
    <t>062900.18.01</t>
  </si>
  <si>
    <t>Логистика: Уч.пос. / А.А.Канке, - 3 изд. - М.:НИЦ ИНФРА-М,2025. - 493 с. - (СПО)(п)</t>
  </si>
  <si>
    <t>ЛОГИСТИКА, ИЗД.3</t>
  </si>
  <si>
    <t>Канке А.А., Ковалева И.А.</t>
  </si>
  <si>
    <t>978-5-16-018261-2</t>
  </si>
  <si>
    <t>707355.03.01</t>
  </si>
  <si>
    <t>Логистика: Уч.пос. / О.А.Александров - М.:НИЦ ИНФРА-М,2023 - 217 с.-(СПО)(п)</t>
  </si>
  <si>
    <t>Александров О.А.</t>
  </si>
  <si>
    <t>978-5-16-015154-0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</si>
  <si>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6 от 25.03.2019)</t>
  </si>
  <si>
    <t>362100.07.01</t>
  </si>
  <si>
    <t>Логистика: Уч.пос. / Ю.Н.Егоров - М.:НИЦ ИНФРА-М,2024 - 256 с.(ВО)(п)</t>
  </si>
  <si>
    <t>Егоров Ю.Н.</t>
  </si>
  <si>
    <t>978-5-16-018905-5</t>
  </si>
  <si>
    <t>Рекомендовано АНО ВПО «Московский региональный социально-экономический институт» в качестве учебного пособия для студентов высших учебных заведений, обучающихся по направлениям подготовки 38.03.01 «Экономика» и 38.03.02 «Менеджмент»</t>
  </si>
  <si>
    <t>688040.03.01</t>
  </si>
  <si>
    <t>Логистический менеджмент: Уч. / Н.Б.Куршакова - М.:НИЦ ИНФРА-М,2024 - 399 с.(ВО: Бакалавр.)(П)</t>
  </si>
  <si>
    <t>ЛОГИСТИЧЕСКИЙ МЕНЕДЖМЕНТ</t>
  </si>
  <si>
    <t>Куршакова Н.Б., Левкин Г.Г.</t>
  </si>
  <si>
    <t>978-5-16-018817-1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</si>
  <si>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23.03.01 «Технология транспортных процессов», 27.03.02 «Управление качеством», 38.03.02 «Менеджмент» (квалификация (степень) «бакалавр») (протокол № 11 от 26.10.2020 )</t>
  </si>
  <si>
    <t>Омский государственный университет путей сообщения</t>
  </si>
  <si>
    <t>798978.01.01</t>
  </si>
  <si>
    <t>Логическое программирование: Уч. / А.А.Петренко - М.:НИЦ ИНФРА-М,2025. - 221 с.-(ВО)(п)</t>
  </si>
  <si>
    <t>ЛОГИЧЕСКОЕ ПРОГРАММИРОВАНИЕ</t>
  </si>
  <si>
    <t>Петренко А.А., Суворов А.О.</t>
  </si>
  <si>
    <t>978-5-16-018782-2</t>
  </si>
  <si>
    <t>01.04.02, 02.03.02, 09.03.01, 09.03.02, 09.03.03, 09.03.04, 09.04.01, 09.04.02, 09.04.03, 09.04.04, 09.05.01, 45.03.04</t>
  </si>
  <si>
    <t>Пермский Национальный Исследовательский Политехнический Университет</t>
  </si>
  <si>
    <t>730178.06.01</t>
  </si>
  <si>
    <t>Логопедическая раб. с детьми с задержкой психич. развит.: Уч.мет.пос. / В.В.Морозова-М.:НИЦ ИНФРА-М,2024.-48с(О)</t>
  </si>
  <si>
    <t>ЛОГОПЕДИЧЕСКАЯ РАБОТА С ДЕТЬМИ С ЗАДЕРЖКОЙ ПСИХИЧЕСКОГО РАЗВИТИЯ</t>
  </si>
  <si>
    <t>Морозова В.В.</t>
  </si>
  <si>
    <t>978-5-16-015934-8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</si>
  <si>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14 от 30.09.2019)</t>
  </si>
  <si>
    <t>838401.01.01</t>
  </si>
  <si>
    <t>Логопедическая работа с детьми, имеющими задержку..: Уч.мет.пос. / В.В.Морозова - М.:НИЦ ИНФРА-М,2025  - 102с(о)</t>
  </si>
  <si>
    <t>ЛОГОПЕДИЧЕСКАЯ РАБОТА С ДЕТЬМИ, ИМЕЮЩИМИ ЗАДЕРЖКУ ПСИХИЧЕСКОГО РАЗВИТИЯ, С УЧЕТОМ ДИФФЕРЕНЦИРОВАННОГО ПОДХОДА</t>
  </si>
  <si>
    <t>978-5-16-020268-6</t>
  </si>
  <si>
    <t>44.04.03</t>
  </si>
  <si>
    <t>327900.10.01</t>
  </si>
  <si>
    <t>Логопедическая работа с детьми...: Уч.мет.пос. / В.В.Морозова - М.:НИЦ ИНФРА-М,2025 - 48 с.(ВО)(о)</t>
  </si>
  <si>
    <t>ЛОГОПЕДИЧЕСКАЯ РАБОТА С ДЕТЬМИ С ЗАДЕРЖКОЙ ПСИХОЛОГИЧЕСКОГО РАЗВИТИЯ</t>
  </si>
  <si>
    <t>Морозова В. В.</t>
  </si>
  <si>
    <t>978-5-16-019560-5</t>
  </si>
  <si>
    <t>Рекомендовано кафедрой логопедии ЛГУ имени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</si>
  <si>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828887.01.01</t>
  </si>
  <si>
    <t>Логопедическая работа с дош. с общим недоразвитием речи: Уч. / Г.Р.Шашкина - М.:НИЦ ИНФРА-М,2025. - 304 с.(п)</t>
  </si>
  <si>
    <t>ЛОГОПЕДИЧЕСКАЯ РАБОТА С ДОШКОЛЬНИКАМИ С ОБЩИМ НЕДОРАЗВИТИЕМ РЕЧИ (ТЕОРЕТИЧЕСКИЕ ОСНОВЫ И ПРАКТИКУМ)</t>
  </si>
  <si>
    <t>Шашкина Г.Р., Гравицкая Е.Г., Звягинцева А.А. и др.</t>
  </si>
  <si>
    <t>978-5-16-019968-9</t>
  </si>
  <si>
    <t>765846.04.01</t>
  </si>
  <si>
    <t>Логопедические технологии диагностики реч. наруш. у дош.: Уч.пос. / Г.Р.Шашкина-М.:НИЦ ИНФРА-М,2024.-219 с.(П)</t>
  </si>
  <si>
    <t>ЛОГОПЕДИЧЕСКИЕ ТЕХНОЛОГИИ ДИАГНОСТИКИ РЕЧЕВЫХ НАРУШЕНИЙ У ДОШКОЛЬНИКОВ</t>
  </si>
  <si>
    <t>978-5-16-018801-0</t>
  </si>
  <si>
    <t>44.03.01, 44.04.03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</si>
  <si>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 (протокол № 2 от 09.02.2022)</t>
  </si>
  <si>
    <t>768787.04.01</t>
  </si>
  <si>
    <t>Логопедические технологии диагностики реч. наруш. у дош.: Уч.пос./Г.Р.Шашкина.-М.:НИЦ ИНФРА-М,2025-238с(П)</t>
  </si>
  <si>
    <t>978-5-16-017398-6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</si>
  <si>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44.04.03 «Специальное (дефектологическое) образование» (квалификация (степень) «магистр») (протокол № 2 от 09.02.2022)</t>
  </si>
  <si>
    <t>637924.07.01</t>
  </si>
  <si>
    <t>Логопедические технологии: Уч. / О.И.Азова и др. - М.:НИЦ ИНФРА-М,2025 - 243 с.-(ВО)(п)</t>
  </si>
  <si>
    <t>ЛОГОПЕДИЧЕСКИЕ ТЕХНОЛОГИИ</t>
  </si>
  <si>
    <t>Азова О.И., Дьякова Е.А., Антипова Ж.В. и др.</t>
  </si>
  <si>
    <t>978-5-16-018755-6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</si>
  <si>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9 от 28.09.2020)</t>
  </si>
  <si>
    <t>МПСУ ОАНО ВО</t>
  </si>
  <si>
    <t>458600.09.01</t>
  </si>
  <si>
    <t>Логопедия. Дизорфография: Уч.пос. / О.И.Азова - М.:НИЦ ИНФРА-М,2025 - 180 с.-(ВО)(о)</t>
  </si>
  <si>
    <t>ЛОГОПЕДИЯ. ДИЗОРФОГРАФИЯ</t>
  </si>
  <si>
    <t>Азова О.И.</t>
  </si>
  <si>
    <t>978-5-16-018859-1</t>
  </si>
  <si>
    <t>44.03.01, 44.03.02, 44.03.03</t>
  </si>
  <si>
    <t>Рекомендовано в качестве учебного пособия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44.03.01 «Педагогическое образование»(квалификация (степень) «бакалавр»)</t>
  </si>
  <si>
    <t>719889.06.01</t>
  </si>
  <si>
    <t>Логопедия. Дизорфография: Уч.пос. / О.И.Азова - М.:НИЦ ИНФРА-М,2025 - 180 с.-(СПО)(о)</t>
  </si>
  <si>
    <t>978-5-16-015655-2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</si>
  <si>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44.02.05 «Коррекционная педагогика в начальном образовании» (протокол № 8 от 22.06.2020)</t>
  </si>
  <si>
    <t>463900.10.01</t>
  </si>
  <si>
    <t>Логопедия: методика и технологии развития речи дошк.: Уч. / Ж.В.Антипова - М:НИЦ ИНФРА-М,2025 - 313 с.(ВО)(п)</t>
  </si>
  <si>
    <t>ЛОГОПЕДИЯ: МЕТОДИКА И ТЕХНОЛОГИИ РАЗВИТИЯ РЕЧИ ДОШКОЛЬНИКОВ</t>
  </si>
  <si>
    <t>Антипова Ж.В., Давидович Л.Р., Дианова О.Н. и др.</t>
  </si>
  <si>
    <t>978-5-16-019305-2</t>
  </si>
  <si>
    <t>Рекомендовано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(квалификация (степень) «бакалавр»)</t>
  </si>
  <si>
    <t>701130.01.01</t>
  </si>
  <si>
    <t>Логопедия: методика..: Уч. / Под ред. Микляевой Н.В. - М.:НИЦ ИНФРА-М,2025. - 313 с.(СПО)(п)</t>
  </si>
  <si>
    <t>978-5-16-014789-5</t>
  </si>
  <si>
    <t>Рекомендовано Учебно-методическим советом СПО в качестве учебника учебного пособия для студентов учебных заведений, реализующих программу среднего профессионального образования по  специальност (и) (ям) 44.02.01 Дошкольное образование,  44.02.03 Педагогика дополнительного образования, 44.02.04 Специальное дошкольное образование</t>
  </si>
  <si>
    <t>799194.01.01</t>
  </si>
  <si>
    <t>Логопедия: сб. задач и упражнений: Уч.пос. / И.А.Горшенёва и др. - М.:НИЦ ИНФРА-М,2025. - 228 с.(ВО)(п)</t>
  </si>
  <si>
    <t>ЛОГОПЕДИЯ: СБОРНИК ЗАДАЧ И УПРАЖНЕНИЙ</t>
  </si>
  <si>
    <t>Горшенёва И.А., Гордиевский А.Ю., Федорова М.А. и др.</t>
  </si>
  <si>
    <t>978-5-16-018413-5</t>
  </si>
  <si>
    <t>828708.01.01</t>
  </si>
  <si>
    <t>Магнитные компасы: Уч.пос. / К.Е.Яковлев и др. - М.:НИЦ ИНФРА-М,2024. - 211 с.(п)</t>
  </si>
  <si>
    <t>МАГНИТНЫЕ КОМПАСЫ</t>
  </si>
  <si>
    <t>Яковлев К.Е., Худяков Г.В., Палий Н.Н. и др.</t>
  </si>
  <si>
    <t>978-5-16-020022-4</t>
  </si>
  <si>
    <t>179550.11.01</t>
  </si>
  <si>
    <t>Макроэкономика - I: Уч. пос. / А.Ю.Воронин, И.А.Киршин - М.: НИЦ Инфра-М, 2025 - 110 с.(ВО: Бакалавр.) (о)</t>
  </si>
  <si>
    <t>МАКРОЭКОНОМИКА - I</t>
  </si>
  <si>
    <t>Воронин А. Ю., Киршин И. А.</t>
  </si>
  <si>
    <t>978-5-16-005486-5</t>
  </si>
  <si>
    <t>38.03.01, 38.03.02, 38.03.03, 38.03.04, 38.03.05, 38.04.01, 38.04.02, 38.04.03, 38.04.04, 38.04.05, 38.04.08, 38.04.09, 41.03.06, 44.03.01, 44.03.05</t>
  </si>
  <si>
    <t>Рекомендовано Учебно-методическим объединением по образованию в области экономики в качестве учебного пособия для студентов вузов, обучающихся по направлению 080100 "Экономика" (квалиф. (степень) бакалавр")</t>
  </si>
  <si>
    <t>310200.05.01</t>
  </si>
  <si>
    <t>Макроэкономика / Н.С.Косов и др. - М.:НИЦ ИНФРА-М,2024.-264 с.(ВО: Бакалавриат)(п)</t>
  </si>
  <si>
    <t>МАКРОЭКОНОМИКА</t>
  </si>
  <si>
    <t>Н.С.Косов, Н.И.Саталкина, Ю.О.Терехова</t>
  </si>
  <si>
    <t>978-5-16-010315-0</t>
  </si>
  <si>
    <t>805086.02.01</t>
  </si>
  <si>
    <t>Макроэкономика. Прак. странового анализа: Уч.пос. / Под ред.Бондаренко К.А. - М.:НИЦ ИНФРА-М,2025 - 552с(ВО)(п)</t>
  </si>
  <si>
    <t>МАКРОЭКОНОМИКА. ПРАКТИКУМ СТРАНОВОГО АНАЛИЗА</t>
  </si>
  <si>
    <t>Баженов Г.А., Беляков И.В., Бирюкова О.В. и др.</t>
  </si>
  <si>
    <t>978-5-16-019748-7</t>
  </si>
  <si>
    <t>38.03.01, 38.03.04, 50.03.01, 58.04.01</t>
  </si>
  <si>
    <t>АКАДЕМУС-2024, Победитель, III место</t>
  </si>
  <si>
    <t>645478.09.01</t>
  </si>
  <si>
    <t>Макроэкономика: Пос. для семинар. занятий /Под ред. Нуреева Р.М.-М:Юр.Норма,НИЦ ИНФРА-М,2024-384с(П)</t>
  </si>
  <si>
    <t>Нуреев Р.М.</t>
  </si>
  <si>
    <t>978-5-91768-788-9</t>
  </si>
  <si>
    <t>38.03.01, 38.03.04, 38.04.01, 44.03.01, 44.03.05</t>
  </si>
  <si>
    <t>324300.07.01</t>
  </si>
  <si>
    <t>Макроэкономика: Практикум / Р.М.Нуреев - М.:Юр.Норма, НИЦ ИНФРА-М,2024 - 400 с.(п)</t>
  </si>
  <si>
    <t>Нуреев Р. М.,  под ред.</t>
  </si>
  <si>
    <t>978-5-91768-574-8</t>
  </si>
  <si>
    <t>38.03.01, 38.04.01, 44.03.01, 44.03.05</t>
  </si>
  <si>
    <t>174500.08.01</t>
  </si>
  <si>
    <t>Макроэкономика: Продв. уров.: Курс лекций / Б.Е.Бродский - М:Магистр,НИЦ ИНФРА-М,2024-336с(Магистр.)(п)</t>
  </si>
  <si>
    <t>МАКРОЭКОНОМИКА: ПРОДВИНУТЫЙ УРОВЕНЬ</t>
  </si>
  <si>
    <t>Бродский Б. Е.</t>
  </si>
  <si>
    <t>978-5-9776-0223-5</t>
  </si>
  <si>
    <t>144500.14.01</t>
  </si>
  <si>
    <t>Макроэкономика: Уч. / В.В.Золотарчук - 2 изд. - М.:НИЦ ИНФРА-М,2025 - 537 с.(ВО)(п)</t>
  </si>
  <si>
    <t>МАКРОЭКОНОМИКА, ИЗД.2</t>
  </si>
  <si>
    <t>Золотарчук В.В.</t>
  </si>
  <si>
    <t>978-5-16-018608-5</t>
  </si>
  <si>
    <t>38.03.01, 38.03.02, 38.03.04, 38.03.05, 38.03.06, 38.03.07, 38.04.01, 38.04.02, 38.04.04, 38.04.05, 38.04.06, 38.04.07, 38.04.08, 38.04.09, 44.03.01, 44.03.05</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</si>
  <si>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экономическим и неэкономическим специальностям</t>
  </si>
  <si>
    <t>151800.10.01</t>
  </si>
  <si>
    <t>Макроэкономика: Уч. / Л.Е.Басовский - М.:НИЦ ИНФРА-М,2023 - 202 с..-(ВО: Бакалавриат)(П)</t>
  </si>
  <si>
    <t>Басовский Л.Е., Басовская Е.Н.</t>
  </si>
  <si>
    <t>978-5-16-004928-1</t>
  </si>
  <si>
    <t>38.03.01, 38.03.04</t>
  </si>
  <si>
    <t>Рекомендовано Учебно-методическим объединением по образованию в области экономики в качестве учебного пособия для студентов вузов, обучающихся по направлению 080100 "Экономика"</t>
  </si>
  <si>
    <t>444400.02.01</t>
  </si>
  <si>
    <t>Макроэкономика: Уч. / Под ред. Чередниченко Л.Г. - М.:НИЦ ИНФРА-М,2017.-396 с..-(ВО: Бакалавриат)(П)</t>
  </si>
  <si>
    <t>Батудаева Л.И., Бурденко Е.В., Громыко В.В. и др.</t>
  </si>
  <si>
    <t>978-5-16-011387-6</t>
  </si>
  <si>
    <t>444400.07.01</t>
  </si>
  <si>
    <t>Макроэкономика: Уч. / Под ред. Чередниченко Л.Г., - 2 изд.-М.:НИЦ ИНФРА-М,2024.-385 с.(ВО)(П)</t>
  </si>
  <si>
    <t>Чередниченко Л.Г., Батудаева Л.И., Бондаренко Н.Е. и др.</t>
  </si>
  <si>
    <t>Высшее образование: Бакалавриат (РЭУ)</t>
  </si>
  <si>
    <t>978-5-16-019299-4</t>
  </si>
  <si>
    <t>Рекомендовано в качестве учебника для студентов высших учебных заведений, обучающихся по направлению подготовки 38.03.01 -Экономика" (квалификация (степень) "бакалавр»)</t>
  </si>
  <si>
    <t>757717.01.01</t>
  </si>
  <si>
    <t>Макроэкономическая теория. Ист. и нереш. пробл.: Уч.пос. / В.С.Гродский-М.:ИЦ РИОР, НИЦ ИНФРА-М,2022.-304 с.(ВО)(П)</t>
  </si>
  <si>
    <t>МАКРОЭКОНОМИЧЕСКАЯ ТЕОРИЯ</t>
  </si>
  <si>
    <t>Гродский В.С.</t>
  </si>
  <si>
    <t>978-5-369-01879-8</t>
  </si>
  <si>
    <t>707962.04.01</t>
  </si>
  <si>
    <t>Маневрирование и управление судном. Уч.мет.пос.: Ч.2: уч.мет.пос. / В.И.Носенко и др.-М.:НИЦ ИНФРА-М,2023.-304 с..-(Воен. обр. (ЧВВМУ))(п)</t>
  </si>
  <si>
    <t>МАНЕВРИРОВАНИЕ И УПРАВЛЕНИЕ СУДНОМ, Т.2</t>
  </si>
  <si>
    <t>Носенко В.И., Сухина М.И., Наумов М.В. и др.</t>
  </si>
  <si>
    <t>978-5-16-015334-6</t>
  </si>
  <si>
    <t>26.05.04, 26.05.05, 26.05.06, 26.05.07</t>
  </si>
  <si>
    <t>757824.04.01</t>
  </si>
  <si>
    <t>Маневрирование и управление судном: Уч.мет.пос.: В 2 ч.Ч.1 / В.И.Носенко - М.:НИЦ ИНФРА-М,2025 - 240 с.(П)</t>
  </si>
  <si>
    <t>МАНЕВРИРОВАНИЕ И УПРАВЛЕНИЕ СУДНОМ, Т.1</t>
  </si>
  <si>
    <t>978-5-16-016918-7</t>
  </si>
  <si>
    <t>26.01.07, 26.01.09, 26.02.01, 26.02.03, 26.02.04, 26.02.05, 26.02.06, 35.01.32, 43.01.04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</si>
  <si>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26.02.03 «Судовождение» (протокол № 11 от 09.11.2020)</t>
  </si>
  <si>
    <t>757827.03.01</t>
  </si>
  <si>
    <t>Маневрирование и управление судном: Уч.мет.пос.: Ч 2. / В.И.Носенко - М.:НИЦ ИНФРА-М,2025 - 304 с.-(СПО)(П)</t>
  </si>
  <si>
    <t>978-5-16-016920-0</t>
  </si>
  <si>
    <t>26.01.07, 26.01.09, 26.02.01, 26.02.03, 26.02.05, 26.02.06, 35.01.32, 43.01.04</t>
  </si>
  <si>
    <t>707963.05.01</t>
  </si>
  <si>
    <t>Маневрирование и управление судном: Уч.мет.пос.: Ч.1 / В.И.Носенко - М.:НИЦ ИНФРА-М,2023-240с(П)</t>
  </si>
  <si>
    <t>978-5-16-015333-9</t>
  </si>
  <si>
    <t>26.05.03, 26.05.04, 26.05.05, 26.05.06, 26.05.07</t>
  </si>
  <si>
    <t>842369.01.01</t>
  </si>
  <si>
    <t>Маркетинг в общественном питании: Уч. / Е.С.Григорян. - М.:НИЦ ИНФРА-М,2025. - 352 с.(СПО)(п)</t>
  </si>
  <si>
    <t>МАРКЕТИНГ В ОБЩЕСТВЕННОМ ПИТАНИИ</t>
  </si>
  <si>
    <t>Григорян Е.С., Пиканина Г.Т., Соколова Е.А.</t>
  </si>
  <si>
    <t>978-5-16-020322-5</t>
  </si>
  <si>
    <t>19.02.10, 38.02.08, 43.02.01</t>
  </si>
  <si>
    <t>Военная академия материально-технического обеспечения им. генерала армии А.В. Хрулёва, ф-л г. Пенза</t>
  </si>
  <si>
    <t>684980.03.01</t>
  </si>
  <si>
    <t>Маркетинг в общественном питании: Уч. / Е.С.Григорян.-М.:НИЦ ИНФРА-М,2021.-352 с.(ВО)(П)</t>
  </si>
  <si>
    <t>978-5-16-015320-9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</si>
  <si>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19.03.04 «Технология продукции и организация общественного питания», 38.03.02 «Менеджмент» (профиль «Маркетинг») (квалификация (степень) «бакалавр») (протокол № 11 от 26.10.2020)</t>
  </si>
  <si>
    <t>071100.13.01</t>
  </si>
  <si>
    <t>Маркетинг в отраслях и сферах деятел.: Уч.пос. / Н.А.Нагапетьянц - 2 изд. - М.:Вуз.уч.,ИНФРА-М,2024 - 282 с.(п)</t>
  </si>
  <si>
    <t>МАРКЕТИНГ В ОТРАСЛЯХ И СФЕРАХ ДЕЯТЕЛЬНОСТИ, ИЗД.2</t>
  </si>
  <si>
    <t>Нагапетьянц Н. А.</t>
  </si>
  <si>
    <t>978-5-9558-0163-6</t>
  </si>
  <si>
    <t>Допущено Мин. обр. и науки РФ в качестве учебного пособия для студентов высших учебных заведений, обучающихся по специальности 080111 "Маркетинг"</t>
  </si>
  <si>
    <t>697596.03.1</t>
  </si>
  <si>
    <t>Маркетинг в ракетно-космической сфере: Уч.пос. / Т.Н.Рыжикова - М.:НИЦ ИНФРА-М,2025 - 201 с.(ВО)(П)</t>
  </si>
  <si>
    <t>МАРКЕТИНГ В РАКЕТНО-КОСМИЧЕСКОЙ СФЕРЕ</t>
  </si>
  <si>
    <t>978-5-16-014767-3</t>
  </si>
  <si>
    <t>24.03.01, 24.04.01, 38.03.01, 38.03.02, 38.04.01, 38.04.02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</si>
  <si>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24.03.01 «Ракетные комплексы и космонавтика» (квалификация (степень) «бакалавр») (протокол № 2 от 03.02.2020)</t>
  </si>
  <si>
    <t>149700.11.01</t>
  </si>
  <si>
    <t>Маркетинг в туризме: Уч. / Под ред. Богданова Е.И. - М.:НИЦ ИНФРА-М,2025 - 214 с.(ВО)(п)</t>
  </si>
  <si>
    <t>МАРКЕТИНГ В ТУРИЗМЕ</t>
  </si>
  <si>
    <t>Абабков Ю.Н., Абабкова М.Ю., Филиппова И.Г. и др.</t>
  </si>
  <si>
    <t>978-5-16-019701-2</t>
  </si>
  <si>
    <t>682968.06.01</t>
  </si>
  <si>
    <t>Маркетинг в туризме: Уч. / Под ред. Богданова Е.И. - М.:НИЦ ИНФРА-М,2025 - 214 с.(СПО)(П)</t>
  </si>
  <si>
    <t>978-5-16-013962-3</t>
  </si>
  <si>
    <t>126660.12.01</t>
  </si>
  <si>
    <t>Маркетинг в туризме: Уч. пос./ А.П. Дурович. - М.: НИЦ ИНФРА-М, 2025. - 316 с. (ВО: Бакалавр.) (п)</t>
  </si>
  <si>
    <t>Дурович А. П.</t>
  </si>
  <si>
    <t>978-5-16-009967-5</t>
  </si>
  <si>
    <t>Рекомендовано УМО по образованию в области сервиса и туризма в качестве учебного пособия для студентов вузов, обучающихся по специальности 100103 - Социально-культурный сервис и туризм</t>
  </si>
  <si>
    <t>763470.04.01</t>
  </si>
  <si>
    <t>Маркетинг В2В: Уч.пос. / Под ред. Бек Н.Н. - 2 изд. - М.:НИЦ ИНФРА-М,2024 - 392 с.(ВО: Магистратура)(П)</t>
  </si>
  <si>
    <t>МАРКЕТИНГ В2В, ИЗД.2</t>
  </si>
  <si>
    <t>Бек М.А., Бек Н.Н.</t>
  </si>
  <si>
    <t>978-5-16-017157-9</t>
  </si>
  <si>
    <t>38.04.01, 38.04.02, 38.04.08</t>
  </si>
  <si>
    <t>343800.07.01</t>
  </si>
  <si>
    <t>Маркетинг гостиничного предприятия. Практ. / Л.В.Баумгартен-М.:Вуз. уч., НИЦ ИНФРА-М,2024.-216 с.(П)</t>
  </si>
  <si>
    <t>МАРКЕТИНГ ГОСТИНИЧНОГО ПРЕДПРИЯТИЯ. ПРАКТИКУМ</t>
  </si>
  <si>
    <t>Баумгартен Л.В.</t>
  </si>
  <si>
    <t>978-5-9558-0425-5</t>
  </si>
  <si>
    <t>719420.02.01</t>
  </si>
  <si>
    <t>Маркетинг гостиничного предприятия: Уч.пос. / И.С.Ключевская - М.:НИЦ ИНФРА-М,2022 - 236 с.-(СПО)(П)</t>
  </si>
  <si>
    <t>МАРКЕТИНГ ГОСТИНИЧНОГО ПРЕДПРИЯТИЯ</t>
  </si>
  <si>
    <t>Ключевская И.С.</t>
  </si>
  <si>
    <t>978-5-16-015631-6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</si>
  <si>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12 от 24.06.2019)</t>
  </si>
  <si>
    <t>670850.03.01</t>
  </si>
  <si>
    <t>Маркетинг гостиничного предприятия: Уч.пос. / И.С.Ключевская - М.:НИЦ ИНФРА-М,2025 - 236 с.-(ВО)(П)</t>
  </si>
  <si>
    <t>978-5-16-014427-6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</si>
  <si>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43.04.01 «Сервис», 43.04.02 «Туризм» (протокол № 9 от 13.05.2019)</t>
  </si>
  <si>
    <t>423950.07.01</t>
  </si>
  <si>
    <t>Маркетинг для инженеров: Уч. пос. / В.Д.Сыров - М.: ИЦ РИОР:  НИЦ ИНФРА-М, 2024-133с.(ВО: Бакалавр.)(П)</t>
  </si>
  <si>
    <t>МАРКЕТИНГ ДЛЯ ИНЖЕНЕРОВ</t>
  </si>
  <si>
    <t>Сыров В. Д.</t>
  </si>
  <si>
    <t>978-5-369-01180-5</t>
  </si>
  <si>
    <t>11.03.01, 11.03.02, 11.03.03, 11.03.04, 11.04.01, 11.04.02, 11.04.03, 11.04.04, 11.05.01, 11.05.02, 11.05.04, 44.03.01, 44.03.05</t>
  </si>
  <si>
    <t>337200.05.01</t>
  </si>
  <si>
    <t>Маркетинг для магистров: Уч. / Под общ. ред.И.М.Синяевой - М.:Вуз. уч., НИЦ ИНФРА-М,2024.-368 с.(П)</t>
  </si>
  <si>
    <t>МАРКЕТИНГ ДЛЯ МАГИСТРОВ</t>
  </si>
  <si>
    <t>978-5-9558-0419-4</t>
  </si>
  <si>
    <t>38.04.01, 38.04.02, 38.06.01</t>
  </si>
  <si>
    <t>805158.01.01</t>
  </si>
  <si>
    <t>Маркетинг инноваций: Уч. / В.Д.Маркова - М.:НИЦ ИНФРА-М,2025. - 181 с.(ВО:Магистр)(п)</t>
  </si>
  <si>
    <t>МАРКЕТИНГ ИННОВАЦИЙ</t>
  </si>
  <si>
    <t>Маркова В.Д.</t>
  </si>
  <si>
    <t>978-5-16-018716-7</t>
  </si>
  <si>
    <t>27.03.05, 27.04.05, 38.03.01, 38.03.02, 38.04.01, 38.04.02</t>
  </si>
  <si>
    <t>Новосибирский национальный исследовательский государственный университет</t>
  </si>
  <si>
    <t>407950.06.01</t>
  </si>
  <si>
    <t>Маркетинг на финансовом рынке:Уч.пос. / К.А.Смирнов-М.:НИЦ ИНФРА-М,2023.-207 с..-(ВО: Бакалавриат)(П)</t>
  </si>
  <si>
    <t>МАРКЕТИНГ НА ФИНАНСОВОМ РЫНКЕ</t>
  </si>
  <si>
    <t>Смирнов К.А., Никитина Т.Е.</t>
  </si>
  <si>
    <t>978-5-16-005579-4</t>
  </si>
  <si>
    <t>38.03.01, 38.03.02, 38.04.01, 38.04.02, 38.04.08, 41.03.06, 44.03.01, 44.03.05</t>
  </si>
  <si>
    <t>Рекомендовано ФБГОУ ВПО «государстеенный университет управления» в качестве учебного пособия для студентов высших учебных заведений, обучающихся по направлению подготовки 38.03.01 (080100) «Экономика» (квалификация (степень) "бакалавр»). Регистр, ном</t>
  </si>
  <si>
    <t>Международный славянский институт</t>
  </si>
  <si>
    <t>096300.13.01</t>
  </si>
  <si>
    <t>Маркетинг рекламы: Уч.пос. / М.А.Блюм и др., - 2 изд.-М.:Форум, НИЦ ИНФРА-М,2024.-144 с.(СПО)(о)</t>
  </si>
  <si>
    <t>МАРКЕТИНГ РЕКЛАМЫ, ИЗД.2</t>
  </si>
  <si>
    <t>Блюм М.А., Герасимов Б.И., Молоткова Н.В.</t>
  </si>
  <si>
    <t>978-5-00091-692-6</t>
  </si>
  <si>
    <t>135150.10.01</t>
  </si>
  <si>
    <t>Маркетинг розничного торг. предпр.: Уч.пос. / Г.А.Васильев-М.:Вуз. уч., НИЦ ИНФРА-М,2024.-159 с.(ВО)(п)</t>
  </si>
  <si>
    <t>МАРКЕТИНГ РОЗНИЧНОГО ТОРГОВОГО ПРЕДПРИЯТИЯ</t>
  </si>
  <si>
    <t>Васильев Г. А., Романов А. А., Поляков В. А.</t>
  </si>
  <si>
    <t>978-5-9558-0152-0</t>
  </si>
  <si>
    <t>38.03.02, 38.03.06, 38.04.06</t>
  </si>
  <si>
    <t>684818.04.01</t>
  </si>
  <si>
    <t>Маркетинг розничного торгового предприятия: Уч.пос./ Г.А.Васильев - М.:Вуз. уч., НИЦ ИНФРА-М,2025 - 159 с.(П)</t>
  </si>
  <si>
    <t>Васильев Г.А., Романов А.А., Поляков В.А.</t>
  </si>
  <si>
    <t>978-5-9558-0628-0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</si>
  <si>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8 от 20.10.2021)</t>
  </si>
  <si>
    <t>804950.03.01</t>
  </si>
  <si>
    <t>Маркетинг рыночных ниш: Уч.пос. / Б.Е.Токарев - М.:Магистр, НИЦ ИНФРА-М,2025 - 124 с.(п)</t>
  </si>
  <si>
    <t>МАРКЕТИНГ РЫНОЧНЫХ НИШ</t>
  </si>
  <si>
    <t>Токарев Б.Е.</t>
  </si>
  <si>
    <t>978-5-9776-0553-3</t>
  </si>
  <si>
    <t>404050.06.01</t>
  </si>
  <si>
    <t>Маркетинг сферы услуг: Уч. пос. / С.Н. Диянова, - М.: Магистр:  НИЦ Инфра-М, 2023-192с. (о)</t>
  </si>
  <si>
    <t>МАРКЕТИНГ СФЕРЫ УСЛУГ</t>
  </si>
  <si>
    <t>Диянова С. Н., Штезель А. Э.</t>
  </si>
  <si>
    <t>978-5-9776-0240-2</t>
  </si>
  <si>
    <t>38.03.02, 38.03.06, 43.03.01, 43.03.02, 43.03.03</t>
  </si>
  <si>
    <t>095160.16.01</t>
  </si>
  <si>
    <t>Маркетинг товаров и услуг: Уч.пос. / А.В.Лукина, - 2 изд.-М.:Форум, НИЦ ИНФРА-М,2024.-239 с.(СПО)(П)</t>
  </si>
  <si>
    <t>МАРКЕТИНГ ТОВАРОВ И УСЛУГ, ИЗД.2</t>
  </si>
  <si>
    <t>Лукина А. В.</t>
  </si>
  <si>
    <t>978-5-00091-686-5</t>
  </si>
  <si>
    <t>38.02.01, 38.02.02, 38.02.03, 38.02.06, 38.02.07, 38.02.08, 51.02.03</t>
  </si>
  <si>
    <t>Допущено Министерством образования РФ в качестве учебного пособия для студентов учреждений среднего специального образования, обучающихся по группе специальностей «Экономика и управление»</t>
  </si>
  <si>
    <t>120050.11.01</t>
  </si>
  <si>
    <t>Маркетинг туризма: Уч. пос. / Е.Н. Кнышова. - М.: ИД ФОРУМ: ИНФРА-М, 2025. - 352 с.(ПО) (п)</t>
  </si>
  <si>
    <t>МАРКЕТИНГ ТУРИЗМА</t>
  </si>
  <si>
    <t>Кнышова Е. Н.</t>
  </si>
  <si>
    <t>978-5-8199-0407-7</t>
  </si>
  <si>
    <t>Допущено Министерством образования Российской Федерации в качестве учебного пособия для студентов образовательных учреждений среднего профессионального образования</t>
  </si>
  <si>
    <t>176200.11.01</t>
  </si>
  <si>
    <t>Маркетинг услуг: Уч. / Т.А. Тультаев. - М.: НИЦ Инфра-М, 2025. - 208 с.(ВО) (п)</t>
  </si>
  <si>
    <t>МАРКЕТИНГ УСЛУГ</t>
  </si>
  <si>
    <t>Тультаев Т. А.</t>
  </si>
  <si>
    <t>978-5-16-005021-8</t>
  </si>
  <si>
    <t>38.03.02, 38.03.06, 38.04.06, 38.04.08, 44.03.01, 44.03.05</t>
  </si>
  <si>
    <t>Рекомендовано ФГБОУ ВПО "Государственный университет управления" в качестве учебного пособия для студентов вузов, обучающихся по направлению 080111 "Маркетинг услуг"</t>
  </si>
  <si>
    <t>783850.01.01</t>
  </si>
  <si>
    <t>Маркетинг услуг: Уч.пос. / Е.Е.Жукова - М.:НИЦ ИНФРА-М,2025. - 364 с.(ВО)(п)</t>
  </si>
  <si>
    <t>978-5-16-019538-4</t>
  </si>
  <si>
    <t>38.03.01, 38.03.06, 38.04.01, 38.04.06, 38.04.07</t>
  </si>
  <si>
    <t>015496.23.01</t>
  </si>
  <si>
    <t>Маркетинг: курс лекций: Уч.пос. / Л.Е.Басовский - М.:НИЦ ИНФРА-М,2024.-219 с.(ВО)(о)</t>
  </si>
  <si>
    <t>МАРКЕТИНГ: КУРС ЛЕКЦИЙ</t>
  </si>
  <si>
    <t>Басовский Л.Е.</t>
  </si>
  <si>
    <t>978-5-16-019182-9</t>
  </si>
  <si>
    <t>17.03.01, 18.05.02, 19.03.03, 19.03.04, 23.03.01, 23.03.03, 23.05.01, 24.05.06, 26.03.02, 27.03.02, 27.05.01, 29.03.02, 35.03.03, 35.03.04, 35.03.07, 37.03.02, 38.03.01, 38.03.02, 38.03.03, 38.03.04, 38.03.05, 38.03.06, 38.03.07, 38.03.10, 38.05.01, 41.03.02, 41.03.06, 42.03.01, 42.03.04, 43.03.01, 43.03.02, 43.03.03, 44.03.01, 44.03.05, 52.03.01, 55.05.04, 56.05.01</t>
  </si>
  <si>
    <t>0199</t>
  </si>
  <si>
    <t>721141.05.01</t>
  </si>
  <si>
    <t>Маркетинг: ситуационные задачи и тесты: практикум / М.Б.Щепакин - М.:Магистр, НИЦ ИНФРА-М,2023-512 с.(П)</t>
  </si>
  <si>
    <t>МАРКЕТИНГ</t>
  </si>
  <si>
    <t>Щепакин М.Б., Михайлова В.М., Куренова Д.Г. и др.</t>
  </si>
  <si>
    <t>978-5-9776-0524-3</t>
  </si>
  <si>
    <t>Кубанский государственный технологический университет</t>
  </si>
  <si>
    <t>700041.05.01</t>
  </si>
  <si>
    <t>Маркетинг: создание и донесение потребит. ценности: Уч. / И.И.Скоробогатых - М.:НИЦ ИНФРА-М,2025 - 589 с.(п)</t>
  </si>
  <si>
    <t>МАРКЕТИНГ: СОЗДАНИЕ И ДОНЕСЕНИЕ ПОТРЕБИТЕЛЬСКОЙ ЦЕННОСТИ</t>
  </si>
  <si>
    <t>Скоробогатых И.И., Сидорчук Р.Р., Андреев С.Н. и др.</t>
  </si>
  <si>
    <t>978-5-16-019085-3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</si>
  <si>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13 от 16.09.2019)</t>
  </si>
  <si>
    <t>113900.15.01</t>
  </si>
  <si>
    <t>Маркетинг: Уч. / Б.А.Соловьев и др. - М.:НИЦ ИНФРА-М,2024 - 337 с.-(ВО)(п)</t>
  </si>
  <si>
    <t>Соловьев Б.А., Мешков А.А., Мусатов Б.В.</t>
  </si>
  <si>
    <t>978-5-16-019076-1</t>
  </si>
  <si>
    <t>Рекомендовано Учебно-методическим объединением по образованию в области экономики и экономической теории в качестве учебника для студентов высших учебных заведений, обучающихся по направлению 38.03.01 «Экономика» и экономическим специальностям</t>
  </si>
  <si>
    <t>060900.12.01</t>
  </si>
  <si>
    <t>Маркетинг: уч. / Б.А.Соловьев-М.:ИНФРА-М Издательский Дом,2018.-383 с..-(Уч.и для программы MBA)(П 7БЦ)</t>
  </si>
  <si>
    <t>Соловьев Б. А.</t>
  </si>
  <si>
    <t>Учебники для программы MBA</t>
  </si>
  <si>
    <t>978-5-16-002263-5</t>
  </si>
  <si>
    <t>38.04.01, 38.04.02, 38.04.04, 38.06.01</t>
  </si>
  <si>
    <t>Допущено Министерством образования РФ в качестве учебного пособия для слушателей образовательных учреждений, обучающихся по программе MBA и другим программам подготовки управленческих кадров</t>
  </si>
  <si>
    <t>168800.06.01</t>
  </si>
  <si>
    <t>Маркетинг: Уч. / В.В. Кислицына - М.: ИД ФОРМ: ИНФРА-М, 2024 - 464 с.(ВО) (п)</t>
  </si>
  <si>
    <t>Кислицына В.В.</t>
  </si>
  <si>
    <t>978-5-8199-0954-6</t>
  </si>
  <si>
    <t>38.03.01, 38.03.02, 38.03.06, 44.03.01, 44.03.05</t>
  </si>
  <si>
    <t>356600.03.01</t>
  </si>
  <si>
    <t>Маркетинг: Уч. / В.Н.Наумов - М.:НИЦ ИНФРА-М,2020 - 320с. (ВО:Бакалавриат)(п)</t>
  </si>
  <si>
    <t>Наумов В.Н.</t>
  </si>
  <si>
    <t>978-5-16-010921-3</t>
  </si>
  <si>
    <t>38.03.06, 44.03.01, 44.03.05</t>
  </si>
  <si>
    <t>Рекомендовано в качестве учебника для студентов высших учебных заведений, обучающихся по направлениям подготовки 38.03.06 «Торговое дело», 38.03.01 «Экономика» и 38.03.02 «Менеджмент» (квалификация (степень) «бакалавр»)</t>
  </si>
  <si>
    <t>356600.09.01</t>
  </si>
  <si>
    <t>Маркетинг: Уч. / В.Н.Наумов, - 2 изд. - М.:НИЦ ИНФРА-М,2024. - 410 с.(ВО)(П)</t>
  </si>
  <si>
    <t>МАРКЕТИНГ, ИЗД.2</t>
  </si>
  <si>
    <t>978-5-16-020076-7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</si>
  <si>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38.04.06 «Торговое дело» (квалификация (степень) «бакалавр») (протокол № 1 от 12.01.2022)</t>
  </si>
  <si>
    <t>707549.03.01</t>
  </si>
  <si>
    <t>Маркетинг: Уч. / Н.В.Дмитриева - М.:ИЦ РИОР, НИЦ ИНФРА-М, 2023.-240 с.(СПО)(П)</t>
  </si>
  <si>
    <t>Дмитриева Н.В., Габинская О.С.</t>
  </si>
  <si>
    <t>978-5-369-01811-8</t>
  </si>
  <si>
    <t>00.02.38, 38.02.01, 38.02.08</t>
  </si>
  <si>
    <t>189700.09.01</t>
  </si>
  <si>
    <t>Маркетинг: Уч. / Под ред. В.П. Третьяка. - М.: Магистр:  НИЦ Инфра-М, 2024. - 368 с.(Бакалавр.) (п)</t>
  </si>
  <si>
    <t>Третьяк В. П.</t>
  </si>
  <si>
    <t>978-5-9776-0238-9</t>
  </si>
  <si>
    <t>17.03.01, 19.03.04, 23.03.01, 23.03.03, 26.03.02, 27.03.02, 29.03.02, 35.03.03, 35.03.04, 38.03.02, 38.03.05, 38.04.05, 41.03.06, 42.03.01, 44.03.01, 44.03.05, 52.03.01</t>
  </si>
  <si>
    <t>Допущено Учебно-метод. объед. по образ. в области коммерции и маркетингв в качестве учебника для студентов ВУЗов, обучающихся по специальностям 080301 "Коммерция (Торговое дело)", 032401 "Реклама", 080111 "Маркетинг" и напр. 100700.62 "Торговое дело"</t>
  </si>
  <si>
    <t>674467.05.01</t>
  </si>
  <si>
    <t>Маркетинг: Уч. / С.У.Нуралиев - М.:НИЦ ИНФРА-М,2024 - 305 с.-(ВО: Бакалавриат)(П)</t>
  </si>
  <si>
    <t>Нуралиев С.У.</t>
  </si>
  <si>
    <t>978-5-16-013783-4</t>
  </si>
  <si>
    <t>17.03.01, 19.03.04, 23.03.01, 23.03.03, 26.03.02, 27.03.02, 29.03.02, 35.03.03, 35.03.04, 38.03.02, 38.03.05, 41.03.06, 44.03.01, 44.03.05, 52.03.01, 56.05.01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</si>
  <si>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</si>
  <si>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Союз рынков России</t>
  </si>
  <si>
    <t>145700.06.01</t>
  </si>
  <si>
    <t>Маркетинг: Уч. пос. / Под ред. проф. И.М. Синяевой. - М.: Вузовский учебник:  ИНФРА-М, 2024-384с. (п)</t>
  </si>
  <si>
    <t>Синяева И. М.</t>
  </si>
  <si>
    <t>978-5-9558-0183-4</t>
  </si>
  <si>
    <t>38.03.01, 38.03.02, 38.03.06, 38.04.06, 44.03.01, 44.03.05</t>
  </si>
  <si>
    <t>Рекомендовано Научно-методическим советом по заочному экономическому образованию в качестве учебного пособия для магистров, аспирантов и специалистов, осуществляющих маркетинговую деятельность</t>
  </si>
  <si>
    <t>071450.15.01</t>
  </si>
  <si>
    <t>Маркетинг: Уч.пос. / А.В.Лукина - 3 изд. - М.:Форум, НИЦ ИНФРА-М,2024 - 238 с.-(СПО)(П)</t>
  </si>
  <si>
    <t>МАРКЕТИНГ, ИЗД.3</t>
  </si>
  <si>
    <t>Лукина А.В.</t>
  </si>
  <si>
    <t>978-5-00091-694-0</t>
  </si>
  <si>
    <t>Допущено Министерством образования и науки РФ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</si>
  <si>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097750.09.01</t>
  </si>
  <si>
    <t>Маркетинг: Уч.пос. / Б.И.Герасимов и др., - 2 изд.-М.:НИЦ ИНФРА-М,2024.-320 с.(СПО)(п)</t>
  </si>
  <si>
    <t>Герасимов Б. И., Жариков В. В., Жарикова М. В.</t>
  </si>
  <si>
    <t>978-5-16-018783-9</t>
  </si>
  <si>
    <t>38.02.01, 38.02.03, 38.02.06, 38.02.08, 51.02.03</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</si>
  <si>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</si>
  <si>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144200.06.01</t>
  </si>
  <si>
    <t>Маркетинг: Уч.пос. / В.А.Морошкин и др.-М.:Форум,2024.-352 с.(ПО) (П)</t>
  </si>
  <si>
    <t>Морошкин В.А., Контарева Н.А., Курганова Н.Ю.</t>
  </si>
  <si>
    <t>978-5-91134-432-0</t>
  </si>
  <si>
    <t>Рекомендовано методическим советом Учебно-методического центра по профессиональному образованию Департамента образования г. Москвы в качестве учебного пособия для студентов образовательных учреждений среднего профессионального образования.</t>
  </si>
  <si>
    <t>753715.02.01</t>
  </si>
  <si>
    <t>Маркетинг: Уч.пос. / Г.А.Резник - 4 изд. - М.:НИЦ ИНФРА-М,2023 - 199 с.-(СПО)(п)</t>
  </si>
  <si>
    <t>МАРКЕТИНГ, ИЗД.4</t>
  </si>
  <si>
    <t>Резник Г.А.</t>
  </si>
  <si>
    <t>978-5-16-018914-7</t>
  </si>
  <si>
    <t>38.02.01, 38.02.03, 38.02.08, 51.02.03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</si>
  <si>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12 от 14.12.2020)</t>
  </si>
  <si>
    <t>157600.12.01</t>
  </si>
  <si>
    <t>Маркетинг: Уч.пос. / Г.А.Резник - 4 изд. - М.:НИЦ ИНФРА-М,2025 - 199 с.-(ВО: Бакалавриат)(П)</t>
  </si>
  <si>
    <t>978-5-16-016830-2</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</si>
  <si>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38.03.02 «Менеджмент»</t>
  </si>
  <si>
    <t>753715.01.01</t>
  </si>
  <si>
    <t>Маркетинг: Уч.пос. / Г.А.Резник - М.:НИЦ ИНФРА-М,2021 - 199 с.(СПО)(П)</t>
  </si>
  <si>
    <t>978-5-16-016833-3</t>
  </si>
  <si>
    <t>114200.11.01</t>
  </si>
  <si>
    <t>Маркетинг: Уч.пос. / Л.Е.Басовский - 3 изд. - М.:НИЦ ИНФРА-М,2024 - 233 с.(ВО)(п)</t>
  </si>
  <si>
    <t>978-5-16-019248-2</t>
  </si>
  <si>
    <t>19.03.04, 23.03.01, 23.03.03, 27.03.02, 29.03.02, 35.03.03, 35.03.04, 38.03.01, 38.03.02, 38.04.01, 38.04.02, 41.03.06, 42.03.01, 44.03.01, 44.03.05</t>
  </si>
  <si>
    <t>Допущено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38.03.02 «Менеджмент»</t>
  </si>
  <si>
    <t>844475.01.01</t>
  </si>
  <si>
    <t>Маркетинг: Уч.пос. / Л.Е.Басовский - 3 изд. - М.:НИЦ ИНФРА-М,2025 - 233 с.(СПО)(п)</t>
  </si>
  <si>
    <t>978-5-16-020419-2</t>
  </si>
  <si>
    <t>09.02.02, 11.02.12, 21.02.20, 27.02.02, 38.01.01, 38.02.01, 38.02.02, 38.02.03, 38.02.06, 38.02.07, 38.02.08, 43.02.04, 43.02.06, 51.02.02</t>
  </si>
  <si>
    <t>051250.08.01</t>
  </si>
  <si>
    <t>Маркетинг: Уч.пос. / М.И.Тимофеев - 3 изд. - М.:ИЦ РИОР, НИЦ ИНФРА-М,2018-223 с(ВПО: Бакалавр.)(О)</t>
  </si>
  <si>
    <t>Тимофеев М.И.</t>
  </si>
  <si>
    <t>978-5-369-00402-9</t>
  </si>
  <si>
    <t>Национальный институт бизнеса</t>
  </si>
  <si>
    <t>802167.01.01</t>
  </si>
  <si>
    <t>Маркетинг: Уч.пос. / Н.А.Диесперова-М.:НИЦ ИНФРА-М,2024.-376 с.(ВО)(п)</t>
  </si>
  <si>
    <t>Диесперова Н.А.</t>
  </si>
  <si>
    <t>978-5-16-018654-2</t>
  </si>
  <si>
    <t>38.03.01, 38.03.02, 38.03.03, 38.03.04, 38.03.05, 38.03.06, 38.03.07, 38.03.10, 38.04.02</t>
  </si>
  <si>
    <t>634151.03.01</t>
  </si>
  <si>
    <t>Маркетинг: Уч.пос. / Н.В.Дмитриева - М.:ИЦ РИОР, НИЦ ИНФРА-М, 2024.-240 с.(ВО)(П)</t>
  </si>
  <si>
    <t>978-5-369-01775-3</t>
  </si>
  <si>
    <t>17.03.01, 23.03.01, 23.03.03, 23.05.01, 23.05.04, 24.05.06, 26.03.02, 26.05.03, 27.03.02, 27.05.01, 29.03.02, 29.03.05, 35.03.03, 35.03.04, 35.03.07, 37.03.02, 38.03.02, 38.03.05, 38.04.02, 38.04.05, 38.05.01, 41.03.02, 41.03.06, 42.03.01, 42.03.04, 42.03.05, 42.04.01, 43.03.01, 43.03.02, 43.03.03, 44.03.01, 44.03.05, 51.03.03, 52.03.01, 55.05.04, 56.05.01</t>
  </si>
  <si>
    <t>647830.08.01</t>
  </si>
  <si>
    <t>Маркетинг: экономика, финансы, контроллинг: Уч.пос. / Т.Н.Рыжикова-М.:НИЦ ИНФРА-М,2024-225с(ВО:Бак.)</t>
  </si>
  <si>
    <t>МАРКЕТИНГ: ЭКОНОМИКА, ФИНАНСЫ, КОНТРОЛЛИНГ</t>
  </si>
  <si>
    <t>978-5-16-012515-2</t>
  </si>
  <si>
    <t>750225.01.01</t>
  </si>
  <si>
    <t>Маркетинговая  лингвистика: Уч. / Под ред. Гончаровой Л.М.-М.:НИЦ ИНФРА-М,2023.-290 с.(ВО:Магистр)(п)</t>
  </si>
  <si>
    <t>МАРКЕТИНГОВАЯ  ЛИНГВИСТИКА</t>
  </si>
  <si>
    <t>Гончарова Л.М., Ксензенко О.А., Марченко Е.П. и др.</t>
  </si>
  <si>
    <t>978-5-16-017598-0</t>
  </si>
  <si>
    <t>42.03.01, 42.04.01, 45.03.02, 51.03.01</t>
  </si>
  <si>
    <t>Государственный институт русского языка им. А.С. Пушкина</t>
  </si>
  <si>
    <t>077750.13.01</t>
  </si>
  <si>
    <t>Маркетинговые исслед. с SPSS: Уч.пос. / Г.Моосмюллер, - 2 изд.-М.:НИЦ ИНФРА-М,2024.-200 с.(ВО: Бакалавр.)(о)</t>
  </si>
  <si>
    <t>МАРКЕТИНГОВЫЕ ИССЛЕДОВАНИЯ С SPSS, ИЗД.2</t>
  </si>
  <si>
    <t>Моосмюллер Г., Ребик Н. Н.</t>
  </si>
  <si>
    <t>978-5-16-018759-4</t>
  </si>
  <si>
    <t>38.03.01, 38.03.02, 38.03.06, 38.04.01, 38.04.02, 38.04.06</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</si>
  <si>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специальности «Маркетинг»</t>
  </si>
  <si>
    <t>100850.10.01</t>
  </si>
  <si>
    <t>Маркетинговые исследования рынка: Уч. пос./Б.И.Герасимов - 2 изд. - М.:Форум:ИНФРА-М, 2024-336с.(ПО) (о)</t>
  </si>
  <si>
    <t>МАРКЕТИНГОВЫЕ ИССЛЕДОВАНИЯ РЫНКА, ИЗД.2</t>
  </si>
  <si>
    <t>Герасимов Б. И., Мозгов Н. Н.</t>
  </si>
  <si>
    <t>978-5-91134-811-3</t>
  </si>
  <si>
    <t>38.02.01, 38.02.02, 38.02.03, 38.02.08</t>
  </si>
  <si>
    <t>Рекомендовано Методическим советом Учебно-метод. центра по проф. обр. Департамента обр. г. Москвы в качестве учебного пос. для студентов обр. учреждений среднего проф. образования</t>
  </si>
  <si>
    <t>077750.14.01</t>
  </si>
  <si>
    <t>Маркетинговые исследования с SPSS: Уч.пос. / Н.Н.Ребик, - 3 изд.-М.:НИЦ ИНФРА-М,2025.-218 с.(ВО)(п)</t>
  </si>
  <si>
    <t>МАРКЕТИНГОВЫЕ ИССЛЕДОВАНИЯ С SPSS, ИЗД.3</t>
  </si>
  <si>
    <t>Ребик Н.Н.</t>
  </si>
  <si>
    <t>978-5-16-020086-6</t>
  </si>
  <si>
    <t>251900.08.01</t>
  </si>
  <si>
    <t>Маркетинговые исследования: Практикум / В.Т. Гришина - М.: Вуз. уч.:  НИЦ ИНФРА-М, 2021. - 58 с.</t>
  </si>
  <si>
    <t>МАРКЕТИНГОВЫЕ ИССЛЕДОВАНИЯ: ПРАКТИКУМ</t>
  </si>
  <si>
    <t>Гришина В. Т.</t>
  </si>
  <si>
    <t>978-5-9558-0348-7</t>
  </si>
  <si>
    <t>072518.12.01</t>
  </si>
  <si>
    <t>Маркетинговые исследования: Уч. / Б.Е.Токарев, - 2 изд.-М.:Магистр, НИЦ ИНФРА-М,2024.-512 с.(П)</t>
  </si>
  <si>
    <t>МАРКЕТИНГОВЫЕ ИССЛЕДОВАНИЯ, ИЗД.2</t>
  </si>
  <si>
    <t>Токарев Б. Е.</t>
  </si>
  <si>
    <t>978-5-9776-0175-7</t>
  </si>
  <si>
    <t>Допущено Министерством образования и науки РФ в качестве учебника для студентов высших учебных заведений, обучающихся по специальности "Маркетинг"</t>
  </si>
  <si>
    <t>061660.14.01</t>
  </si>
  <si>
    <t>Маркетинговые исследования: Уч. пос. / Н.Г.Каменева - 2изд. - М: Вуз.уч.:НИЦ Инфра-М,2024 - 368 с. (П)</t>
  </si>
  <si>
    <t>Каменева Н. Г., Поляков В. А.</t>
  </si>
  <si>
    <t>978-5-9558-0233-6</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</si>
  <si>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Маркетинг</t>
  </si>
  <si>
    <t>336400.06.01</t>
  </si>
  <si>
    <t>Маркетинговые исследования: Уч.пос. / А.Г.Зайцев - М.:ИЦ РИОР, НИЦ ИНФРА-М,2024 - 88 с.(ВО)(о)</t>
  </si>
  <si>
    <t>МАРКЕТИНГОВЫЕ ИССЛЕДОВАНИЯ</t>
  </si>
  <si>
    <t>Зайцев А.Г., Такмакова Е.В.</t>
  </si>
  <si>
    <t>978-5-369-01444-8</t>
  </si>
  <si>
    <t>38.03.01, 38.03.02, 38.03.06, 38.04.01, 38.04.06, 42.03.01, 42.04.01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</si>
  <si>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подготовки «Торговое дело»</t>
  </si>
  <si>
    <t>152600.09.01</t>
  </si>
  <si>
    <t>Маркетинговые коммуникации: Уч. / А.А.Романов - М.:Вуз.уч.;ИНФРА-М,2023 - 384 с. (П)</t>
  </si>
  <si>
    <t>МАРКЕТИНГОВЫЕ КОММУНИКАЦИИ</t>
  </si>
  <si>
    <t>Романов А. А., Синяева И. М., Поляков В. А.</t>
  </si>
  <si>
    <t>978-5-9558-0194-0</t>
  </si>
  <si>
    <t>38.03.02, 38.03.04, 38.03.06, 38.04.02, 38.04.04, 38.04.06, 41.03.06</t>
  </si>
  <si>
    <t>Рекомендовано Учебно-методического объединения по образованию в области маркетинга в качестве учебника для студентов вузов, обучающихся по специальности 080111 "Маркетинг"</t>
  </si>
  <si>
    <t>741773.01.01</t>
  </si>
  <si>
    <t>Маркетинговые коммуникации: Уч. / Е.С.Григорян - М.:НИЦ ИНФРА-М,2021 - 294 с.-(СПО)(П)</t>
  </si>
  <si>
    <t>Григорян Е.С.</t>
  </si>
  <si>
    <t>978-5-16-016384-0</t>
  </si>
  <si>
    <t>38.02.01, 38.02.08, 42.02.01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</si>
  <si>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38.02.04 "Коммерция (по отраслям)"  (протокол № 7 от 08.06.2020)</t>
  </si>
  <si>
    <t>659069.02.01</t>
  </si>
  <si>
    <t>Маркетинговые коммуникации: Уч. / Е.С.Григорян - М.:НИЦ ИНФРА-М,2023 - 294 с.-(ВО: Бакалавриат)(П)</t>
  </si>
  <si>
    <t>978-5-16-014741-3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</si>
  <si>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38.03.05 «Бизнес-информатика», 38.03.06 «Торговое дело» (квалификация (степень) «бакалавр») (протокол № 5 от 26.03.2020)</t>
  </si>
  <si>
    <t>180800.11.01</t>
  </si>
  <si>
    <t>Маркетинговый анализ: Уч. пос. / Н.А.Казакова - М.: НИЦ ИНФРА-М, 2025. - 240 с.(ВО: Бакалавриат) (п)</t>
  </si>
  <si>
    <t>МАРКЕТИНГОВЫЙ АНАЛИЗ</t>
  </si>
  <si>
    <t>Казакова Н. А.</t>
  </si>
  <si>
    <t>978-5-16-005220-5</t>
  </si>
  <si>
    <t>38.03.02, 38.03.06, 38.04.06, 38.04.08, 41.03.06, 42.03.01, 44.03.01, 44.03.05</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</si>
  <si>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(степень-бакалавр)" и спец./профилям "Бух. учет и аудит", "Финансы и кредит","Мировая экон</t>
  </si>
  <si>
    <t>186700.09.01</t>
  </si>
  <si>
    <t>Маркетинговый аудит: Уч. / Д.В. Тюрин. - 2 изд. - М.: НИЦ ИНФРА-М, 2025 - 285 с. (ВО: Бакалавр.) (п)</t>
  </si>
  <si>
    <t>МАРКЕТИНГОВЫЙ АУДИТ, ИЗД.2</t>
  </si>
  <si>
    <t>Тюрин Д. В.</t>
  </si>
  <si>
    <t>978-5-16-006440-6</t>
  </si>
  <si>
    <t>38.03.01, 38.03.02, 44.03.01, 44.03.05</t>
  </si>
  <si>
    <t>Рекомендовано ФГБОУ ВПО "Государственный университет управления" в качестве учебного пособия для студентов вузов, обучающихся по направлению 080200.68 "Менеджмент"</t>
  </si>
  <si>
    <t>684808.06.01</t>
  </si>
  <si>
    <t>Маркетри и инкрустация (искус...): Уч.пос. / А.С.Хворостов - М.:Форум, НИЦ ИНФРА-М,2025. - 223, [24] с.:цв.ил.(СПО)(П)</t>
  </si>
  <si>
    <t>МАРКЕТРИ И ИНКРУСТАЦИЯ (ИСКУССТВО И ТЕХНОЛОГИЯ)</t>
  </si>
  <si>
    <t>Хворостов А.С., Хворостов Д.А.</t>
  </si>
  <si>
    <t>978-5-00091-590-5</t>
  </si>
  <si>
    <t>35.01.28, 38.02.02, 42.02.01, 43.02.02, 52.02.03, 52.02.04, 52.02.05, 54.01.01, 54.01.05, 54.02.01, 54.02.02, 54.02.03, 54.02.04, 54.02.06, 54.02.08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</si>
  <si>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художественно-графическим специальностям (протокол № 12 от 24.06.2019)</t>
  </si>
  <si>
    <t>243400.07.01</t>
  </si>
  <si>
    <t>Маркетри и инкрустация (искусство и технол.): Уч.пос. / А.С.Хворостов - М.:Форум: ИНФРА-М, 2024-224с(ВО) (о)</t>
  </si>
  <si>
    <t>978-5-91134-823-6</t>
  </si>
  <si>
    <t>54.03.01, 54.03.02, 54.03.03, 54.04.01, 54.04.02, 54.04.03</t>
  </si>
  <si>
    <t>142300.10.01</t>
  </si>
  <si>
    <t>Маркшейдерское дело. Подзем. гор. раб.: Уч.пос. / А.А.Кологривко - М.:НИЦ ИНФРА-М, Нов. зн.,2025. - 412 с.(ВО)(П)</t>
  </si>
  <si>
    <t>МАРКШЕЙДЕРСКОЕ ДЕЛО. ПОДЗЕМНЫЕ ГОРНЫЕ РАБОТЫ</t>
  </si>
  <si>
    <t>Кологривко А. А.</t>
  </si>
  <si>
    <t>978-5-16-004758-4</t>
  </si>
  <si>
    <t>05.03.01, 05.04.01, 21.03.03, 21.04.03, 21.05.01, 21.05.02, 21.05.04</t>
  </si>
  <si>
    <t>Допущено Министерством образования Республики Беларусь в качестве учебного пособия для студентов высших учебных заведений по специальностям «Разработка месторождений полезных ископаемых», «Горные машины и оборудование»</t>
  </si>
  <si>
    <t>667547.05.01</t>
  </si>
  <si>
    <t>Маркшейдерско-топографич. черчение: Уч.пос. / П.С.Шпаков-М.:НИЦ ИНФРА-М, СФУ,2024.-287 с..-(ВО)(П)</t>
  </si>
  <si>
    <t>МАРКШЕЙДЕРСКО-ТОПОГРАФИЧЕСКОЕ ЧЕРЧЕНИЕ</t>
  </si>
  <si>
    <t>Шпаков П.С., Юнаков Ю.Л.</t>
  </si>
  <si>
    <t>978-5-16-016293-5</t>
  </si>
  <si>
    <t>21.03.02, 21.03.03, 21.05.04</t>
  </si>
  <si>
    <t>218300.09.01</t>
  </si>
  <si>
    <t>Массмедиа в социокультурном пространстве: Уч.пос. / В.А.Евдокимов-М.:НИЦ ИНФРА-М,2024.224с(ВО)(П)</t>
  </si>
  <si>
    <t>МАССМЕДИА В СОЦИОКУЛЬТУРНОМ ПРОСТРАНСТВЕ</t>
  </si>
  <si>
    <t>Евдокимов В. А.</t>
  </si>
  <si>
    <t>978-5-16-006932-6</t>
  </si>
  <si>
    <t>41.03.06, 42.03.02, 42.04.02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</si>
  <si>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42.04.02 «Журналистика»</t>
  </si>
  <si>
    <t>Омская гуманитарная академия</t>
  </si>
  <si>
    <t>658763.12.01</t>
  </si>
  <si>
    <t>Массмедиа как сфера применения полит.технологий: Уч.пос./ В.А.Евдокимов - М.:НИЦ ИНФРА-М,2025-230с.(ВО)(П)</t>
  </si>
  <si>
    <t>МАССМЕДИА КАК СФЕРА ПРИМЕНЕНИЯ ПОЛИТИЧЕСКИХ ТЕХНОЛОГИЙ</t>
  </si>
  <si>
    <t>Евдокимов В.А.</t>
  </si>
  <si>
    <t>978-5-16-012974-7</t>
  </si>
  <si>
    <t>41.03.04, 41.03.06, 41.04.04, 42.03.01, 42.03.02, 42.04.01, 42.04.02</t>
  </si>
  <si>
    <t>726494.06.01</t>
  </si>
  <si>
    <t>Математика в нач. школе: методика обуч.: Уч. / А.В.Белошистая - М .:НИЦ ИНФРА-М,2025 - 316 с.(СПО)(П)</t>
  </si>
  <si>
    <t>МАТЕМАТИКА В НАЧАЛЬНОЙ ШКОЛЕ: МЕТОДИКА ОБУЧЕНИЯ</t>
  </si>
  <si>
    <t>Белошистая А.В.</t>
  </si>
  <si>
    <t>978-5-16-015926-3</t>
  </si>
  <si>
    <t>15.02.16, 44.02.02, 44.02.04, 44.02.05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</si>
  <si>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44.02.02 «Преподавание в начальных классах» (протокол № 10 от 12.10.2020)</t>
  </si>
  <si>
    <t>Мурманский арктический университет</t>
  </si>
  <si>
    <t>102550.14.01</t>
  </si>
  <si>
    <t>Математика в примерах и задачах: Уч.пос. / Л.Н.Журбенко и др. - М.:НИЦ ИНФРА-М,2025 - 372 с.(ВО)(П)</t>
  </si>
  <si>
    <t>МАТЕМАТИКА В ПРИМЕРАХ И ЗАДАЧАХ</t>
  </si>
  <si>
    <t>Журбенко Л.Н., Никонова Г.А., Никонова Н.В. и др.</t>
  </si>
  <si>
    <t>978-5-16-011256-5</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</si>
  <si>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техническим специальностям</t>
  </si>
  <si>
    <t>086850.13.01</t>
  </si>
  <si>
    <t>Математика для воспитателей: Уч. / Н.И.Фрейлах, - 2 изд. - М.:НИЦ ИНФРА-М,2025. - 136 с.(О)</t>
  </si>
  <si>
    <t>МАТЕМАТИКА ДЛЯ ВОСПИТАТЕЛЕЙ, ИЗД.2</t>
  </si>
  <si>
    <t>Фрейлах Н. И.</t>
  </si>
  <si>
    <t>978-5-16-018090-8</t>
  </si>
  <si>
    <t>15.02.16, 43.02.06, 44.02.01, 44.02.02, 44.02.03, 44.02.04, 44.02.05, 49.02.02, 51.02.03</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</si>
  <si>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t>
  </si>
  <si>
    <t>373000.09.01</t>
  </si>
  <si>
    <t>Математика для экономистов: основы теории...: Уч.пос. / А.И.Песчанский-М.:Вуз. уч.,НИЦ ИНФРА-М,2024.-520с.(П)</t>
  </si>
  <si>
    <t>МАТЕМАТИКА ДЛЯ ЭКОНОМИСТОВ: ОСНОВЫ ТЕОРИИ, ПРИМЕРЫ И ЗАДАЧИ</t>
  </si>
  <si>
    <t>Песчанский А.И.</t>
  </si>
  <si>
    <t>978-5-9558-0493-4</t>
  </si>
  <si>
    <t>Допущено Научно-методическим советом по математике Министерства образования и науки Российской Федерации в качестве учебного пособия для студентов вузов, обучающихся по экономическим направлениям</t>
  </si>
  <si>
    <t>148500.13.01</t>
  </si>
  <si>
    <t>Математика для экономического бакалавриата: Уч. / М.С.Красс-М.:НИЦ ИНФРА-М,2024.-472 с.(ВО)(П)</t>
  </si>
  <si>
    <t>МАТЕМАТИКА ДЛЯ ЭКОНОМИЧЕСКОГО БАКАЛАВРИАТА</t>
  </si>
  <si>
    <t>Красс М.С., Чупрынов Б.П.</t>
  </si>
  <si>
    <t>978-5-16-018923-9</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</si>
  <si>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t>
  </si>
  <si>
    <t>026800.19.01</t>
  </si>
  <si>
    <t>Математика и информатика: Уч. / В.Я.Турецкий, - 3 изд. - М.:ИНФРА-М Изд. Дом,2025. - 558 с.(ВО)(п)</t>
  </si>
  <si>
    <t>МАТЕМАТИКА И ИНФОРМАТИКА, ИЗД.3</t>
  </si>
  <si>
    <t>Турецкий В. Я.</t>
  </si>
  <si>
    <t>978-5-16-005296-0</t>
  </si>
  <si>
    <t>00.03.03, 00.03.06, 00.05.03, 00.05.06</t>
  </si>
  <si>
    <t>Допущено Министерством образования РФ в качестве учебного пособия для студентов высших учебных заведений, обучающихся по гуманитарным направлениям и специальностям</t>
  </si>
  <si>
    <t>0302</t>
  </si>
  <si>
    <t>323500.04.01</t>
  </si>
  <si>
    <t>Математика и экон.-матем. модели: Уч./С.В.Юдин-М.:ИЦ РИОР, НИЦ ИНФРА-М,2022.-374 с.(ВО: Бакалавриат)(п)</t>
  </si>
  <si>
    <t>МАТЕМАТИКА И ЭКОНОМИКО-МАТЕМАТИЧЕСКИЕ МОДЕЛИ</t>
  </si>
  <si>
    <t>Юдин С.В.</t>
  </si>
  <si>
    <t>978-5-369-01409-7</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</si>
  <si>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080100 — «Экономика»</t>
  </si>
  <si>
    <t>Российский экономический университет им. Г.В. Плеханова, Тульский ф-л</t>
  </si>
  <si>
    <t>408050.06.01</t>
  </si>
  <si>
    <t>Математика. Линейная алгебра: Уч.пос. / Под ред. Расулова К.М. - М.:Форум, НИЦ ИНФРА-М,2025. - 144 с.(СПО)(О)</t>
  </si>
  <si>
    <t>МАТЕМАТИКА. ЛИНЕЙНАЯ АЛГЕБРА</t>
  </si>
  <si>
    <t>Расулов К.М., Гомонов С.А., Расулов К.М.</t>
  </si>
  <si>
    <t>978-5-91134-713-0</t>
  </si>
  <si>
    <t>09.02.01, 09.02.05, 09.02.06, 09.02.07, 09.02.08, 09.02.09, 11.02.11, 44.02.02, 44.02.05, 44.02.06, 09.02.10</t>
  </si>
  <si>
    <t>Смоленский государственный университет</t>
  </si>
  <si>
    <t>640311.09.01</t>
  </si>
  <si>
    <t>Математика. Элементы высшей матем.: Уч.: В 2 т.Т.1 / В.В.Бардушкин - М.:КУРС,НИЦ ИНФРА-М,2025 - 304 с.(СПО)(П)</t>
  </si>
  <si>
    <t>МАТЕМАТИКА. ЭЛЕМЕНТЫ ВЫСШЕЙ МАТЕМАТИКИ, Т.1</t>
  </si>
  <si>
    <t>Бардушкин В.В., Прокофьев А.А.</t>
  </si>
  <si>
    <t>978-5-906923-05-9</t>
  </si>
  <si>
    <t>00.02.06, 09.02.01, 09.02.05, 09.02.06, 09.02.07, 09.02.08, 09.02.09, 09.02.10</t>
  </si>
  <si>
    <t>657352.09.01</t>
  </si>
  <si>
    <t>Математика. Элементы высшей матем.: Уч.: В 2 т.Т.2 / В.В.Бардушкин-М.:КУРС, НИЦ ИНФРА-М,2024-368с(СПО) (П)</t>
  </si>
  <si>
    <t>МАТЕМАТИКА. ЭЛЕМЕНТЫ ВЫСШЕЙ МАТЕМАТИКИ, Т.2</t>
  </si>
  <si>
    <t>978-5-906923-34-9</t>
  </si>
  <si>
    <t>00.02.06, 09.02.01, 09.02.02, 09.02.03, 09.02.04, 09.02.05</t>
  </si>
  <si>
    <t>043500.29.01</t>
  </si>
  <si>
    <t>Математика: Уч. / А.А.Дадаян - 3 изд. - М.:НИЦ ИНФРА-М,2024 - 544 с.(СПО)(П)</t>
  </si>
  <si>
    <t>МАТЕМАТИКА, ИЗД.3</t>
  </si>
  <si>
    <t>Дадаян А.А.</t>
  </si>
  <si>
    <t>978-5-16-012592-3</t>
  </si>
  <si>
    <t>00.02.06, 08.02.02, 08.02.03, 08.02.08, 08.02.09, 08.02.14, 08.02.15, 10.02.04, 10.02.05, 11.02.03, 11.02.06, 11.02.16, 12.02.04, 13.02.02, 13.02.07, 15.02.09, 15.02.10, 15.02.17, 15.02.18, 18.02.13, 18.02.15, 21.02.02, 21.02.09, 21.02.10, 21.02.19, 21.02.20, 23.02.07, 23.02.08, 24.02.01, 24.02.04, 25.02.06, 25.02.07, 25.02.08, 26.02.04, 27.02.03, 29.02.02, 29.02.05, 38.02.06, 43.02.06, 43.02.07, 49.02.02, 52.02.01, 52.02.02, 53.02.02, 54.02.01, 54.02.03, 49.02.03, 35.02.19</t>
  </si>
  <si>
    <t>Рекомендовано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t>
  </si>
  <si>
    <t>769299.04.01</t>
  </si>
  <si>
    <t>Математика: Уч. / В.П.Омельченко - М.:НИЦ ИНФРА-М,2025. - 349 с.(СПО)(П)</t>
  </si>
  <si>
    <t>МАТЕМАТИКА</t>
  </si>
  <si>
    <t>Омельченко В.П., Карасенко Н.В.</t>
  </si>
  <si>
    <t>978-5-16-017462-4</t>
  </si>
  <si>
    <t>00.02.06, 08.02.01, 09.02.07, 11.02.15, 13.02.02, 13.02.07, 15.02.16, 23.02.08, 26.02.02, 27.02.03, 29.02.05, 33.02.01, 38.02.01, 38.02.06, 38.02.07, 38.02.08, 43.02.02, 44.02.02, 51.02.03, 49.02.03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</si>
  <si>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программу среднего профессионального образования (протокол № 5 от 11.05.2022)</t>
  </si>
  <si>
    <t>690282.05.01</t>
  </si>
  <si>
    <t>Математика: Уч. / Н.С.Юхно - М.:НИЦ ИНФРА-М,2024 - 204 с.-(СПО)(П)</t>
  </si>
  <si>
    <t>Юхно Н.С.</t>
  </si>
  <si>
    <t>978-5-16-014744-4</t>
  </si>
  <si>
    <t>00.02.06, 13.02.13, 23.02.03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</si>
  <si>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на базе основного общего образования (протокол № 10 от 12.10.2020)</t>
  </si>
  <si>
    <t>692926.04.01</t>
  </si>
  <si>
    <t>Математика: Уч.пос. / Л.И.Шипова - М.:НИЦ ИНФРА-М,2019 - 238 с.-(СПО)(П)</t>
  </si>
  <si>
    <t>Шипова Л.И., Шипов А.Е.</t>
  </si>
  <si>
    <t>978-5-16-014561-7</t>
  </si>
  <si>
    <t>07.02.01, 08.02.01, 08.02.03, 08.02.12, 35.02.12</t>
  </si>
  <si>
    <t>Допущено Региональным научно-методическим центром при Совете директоров средних специальных заведений Санкт-Петербурга и Ленинградской области в качестве учебного пособия для студентов второго курса среднего профессионального образования, обучающихся по специальностям: 08.02.01, 07.02.01, 08.02.03, 08.02.06, 35.02.12</t>
  </si>
  <si>
    <t>Академия управления городской средой, градостроительства и печати</t>
  </si>
  <si>
    <t>803722.02.01</t>
  </si>
  <si>
    <t>Математика: Уч.пос. / Под ред. Жуковой Г.С. - М.:НИЦ ИНФРА-М,2024. - 543 с.(ВО (Финанс. универ.))(п)</t>
  </si>
  <si>
    <t>Жукова Г.С., Борисова Л.Р., Жукова Г.С.</t>
  </si>
  <si>
    <t>978-5-16-019002-0</t>
  </si>
  <si>
    <t>00.03.06</t>
  </si>
  <si>
    <t>073850.13.01</t>
  </si>
  <si>
    <t>Математика: Уч.пос. / Ю.М.Данилов - М.:НИЦ ИНФРА-М,2022 - 496с.(ВО:Бакалавр.)(П)</t>
  </si>
  <si>
    <t>Данилов Ю.М., Журбенко Л.Н., Никонова Г.А. и др.</t>
  </si>
  <si>
    <t>978-5-16-010118-7</t>
  </si>
  <si>
    <t>636279.08.01</t>
  </si>
  <si>
    <t>Математическая логика и теор.алгорит.: Уч./ А.В.Пруцков -М.:КУРС,НИЦ ИНФРА-М,2023-152с(Бакалавр.)(п)</t>
  </si>
  <si>
    <t>МАТЕМАТИЧЕСКАЯ ЛОГИКА И ТЕОРИЯ АЛГОРИТМОВ</t>
  </si>
  <si>
    <t>Пруцков А.В., Волкова Л.Л.</t>
  </si>
  <si>
    <t>978-5-906818-74-4</t>
  </si>
  <si>
    <t>Рекомендовано Научно-методическим советом Федерального государственного бюджетного образовательного учреждения высшего образования «Рязанский государственный радиотехнический университет» в качестве учебника для студентов высших учебных заведений, обучающихся по направлению подготовки «Программная инженерия» (квалификация "Бакалавр")</t>
  </si>
  <si>
    <t>719223.02.01</t>
  </si>
  <si>
    <t>Математическая логика: Уч.пос. / В.И.Игошин - М.:НИЦ ИНФРА-М,2023 - 399 с.-(СПО)(П)</t>
  </si>
  <si>
    <t>МАТЕМАТИЧЕСКАЯ ЛОГИКА</t>
  </si>
  <si>
    <t>978-5-16-015595-1</t>
  </si>
  <si>
    <t>08.02.15, 09.02.02, 09.02.03, 09.02.04, 09.02.06, 09.02.07, 09.02.09, 11.02.03, 11.02.06, 13.02.07, 13.02.12, 15.02.10, 18.02.04, 18.02.10, 18.02.12, 18.02.14, 18.02.15, 20.02.01, 21.02.02, 21.02.09, 21.02.10, 21.02.19, 21.02.20, 24.02.01, 24.02.02, 35.02.09, 35.02.16, 35.02.17, 09.02.10, 35.02.19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</si>
  <si>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12 от 24.06.2019)</t>
  </si>
  <si>
    <t>163900.12.01</t>
  </si>
  <si>
    <t>Математическая логика: Уч.пос. / В.И.Игошин-М.:НИЦ ИНФРА-М,2024.-399 с..-(ВО)(п)</t>
  </si>
  <si>
    <t>978-5-16-019779-1</t>
  </si>
  <si>
    <t>01.03.01, 01.03.04, 01.04.01, 02.03.01, 02.03.02, 02.03.03, 02.04.03, 09.03.04, 09.04.04, 44.03.01, 44.03.05, 44.04.01, 45.03.03, 45.03.04</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</si>
  <si>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подготовки 44.03.05 «Педагогическое образование» (квалификация (степень) «бакалавр»)</t>
  </si>
  <si>
    <t>672058.05.01</t>
  </si>
  <si>
    <t>Математическая обработка результ. измерений: Уч.пос. / П.С.Шпаков - М.:НИЦ ИНФРА-М, СФУ,2025 - 409 с.(ВО)</t>
  </si>
  <si>
    <t>МАТЕМАТИЧЕСКАЯ ОБРАБОТКА РЕЗУЛЬТАТОВ ИЗМЕРЕНИЙ</t>
  </si>
  <si>
    <t>978-5-16-020497-0</t>
  </si>
  <si>
    <t>01.04.01, 01.06.01</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</si>
  <si>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 и «Физические процессы горного или нефтегазового производства»</t>
  </si>
  <si>
    <t>777801.04.01</t>
  </si>
  <si>
    <t>Математическая статистика: Прак. / Т.Г.Апалькова - М.:НИЦ ИНФРА-М,2025. - 254 с.(ВО: (Финуниверситет))(п)</t>
  </si>
  <si>
    <t>МАТЕМАТИЧЕСКАЯ СТАТИСТИКА. ПРАКТИКУМ</t>
  </si>
  <si>
    <t>Апалькова Т.Г., Глебов В.И., Зададаев С.А. и др.</t>
  </si>
  <si>
    <t>978-5-16-017913-1</t>
  </si>
  <si>
    <t>461550.08.01</t>
  </si>
  <si>
    <t>Математическая статистика: Уч.пос. / Р.Ш. Хуснутдинов - М.: НИЦ ИНФРА-М, 2025. - 205 с. (ВО) (о)</t>
  </si>
  <si>
    <t>МАТЕМАТИЧЕСКАЯ СТАТИСТИКА</t>
  </si>
  <si>
    <t>Хуснутдинов Р.Ш.</t>
  </si>
  <si>
    <t>978-5-16-009520-2</t>
  </si>
  <si>
    <t>01.03.01, 01.03.02, 01.03.04, 01.04.01, 01.04.02, 01.04.04, 01.05.01, 02.03.01, 02.04.01, 02.04.03, 03.03.01, 03.03.02</t>
  </si>
  <si>
    <t>075550.15.01</t>
  </si>
  <si>
    <t>Математические методы в программир.: Уч. / В.П.Агальцов - 2 изд. - М.:ИД Форум, НИЦ ИНФРА-М,2025 - 240 с.(СПО)(П)</t>
  </si>
  <si>
    <t>МАТЕМАТИЧЕСКИЕ МЕТОДЫ В ПРОГРАММИРОВАНИИ, ИЗД.2</t>
  </si>
  <si>
    <t>978-5-8199-0410-7</t>
  </si>
  <si>
    <t>09.02.01, 10.02.04, 10.02.05, 38.02.03</t>
  </si>
  <si>
    <t>Рекомендовано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«Информатика и вычислительная техника»</t>
  </si>
  <si>
    <t>646535.04.01</t>
  </si>
  <si>
    <t>Математические методы в психологии (логопедии): Уч.пос. / А.И.Новиков-М.:НИЦ ИНФРА-М,2023-376с.(ВО)(П)</t>
  </si>
  <si>
    <t>МАТЕМАТИЧЕСКИЕ МЕТОДЫ В ПСИХОЛОГИИ (ЛОГОПЕДИИ)</t>
  </si>
  <si>
    <t>Новиков А.И., Новикова Н.В.</t>
  </si>
  <si>
    <t>978-5-16-018745-7</t>
  </si>
  <si>
    <t>37.03.01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</si>
  <si>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17 от 11.11.2019)</t>
  </si>
  <si>
    <t>282800.10.01</t>
  </si>
  <si>
    <t>Математические методы в психологии: Уч.пос. / А.И.Новиков - 2 изд. - М.:НИЦ ИНФРА-М,2025 - 288 с.(ВО)(п)</t>
  </si>
  <si>
    <t>МАТЕМАТИЧЕСКИЕ МЕТОДЫ В ПСИХОЛОГИИ, ИЗД.2</t>
  </si>
  <si>
    <t>978-5-16-020408-6</t>
  </si>
  <si>
    <t>Рекомендовано федеральным государственным бюджетным образовательным учреждением высшего профессионального образования «Санкт-Петербургский государственный университет» в качестве учебного пособия по дисциплине «Математические методы в психологии" для</t>
  </si>
  <si>
    <t>282800.03.01</t>
  </si>
  <si>
    <t>Математические методы в психологии: Уч.пос. / А.И.Новиков-М.:НИЦ ИНФРА-М,2018.-256с.(ВО:Бакалавриат)</t>
  </si>
  <si>
    <t>МАТЕМАТИЧЕСКИЕ МЕТОДЫ В ПСИХОЛОГИИ</t>
  </si>
  <si>
    <t>А.И.Новиков, Н.В.Новикова</t>
  </si>
  <si>
    <t>978-5-16-009891-3</t>
  </si>
  <si>
    <t>267200.05.01</t>
  </si>
  <si>
    <t>Математические методы в современных социал. науках: Уч. пос./Г.В.Осипов - М:Норма:ИНФРА-М,2023-384с. (п)</t>
  </si>
  <si>
    <t>МАТЕМАТИЧЕСКИЕ МЕТОДЫ В СОВРЕМЕННЫХ СОЦИАЛЬНЫХ НАУКАХ</t>
  </si>
  <si>
    <t>Осипов Г. В., Лисичкин В. А., Садовничий В. А.</t>
  </si>
  <si>
    <t>978-5-91768-470-3</t>
  </si>
  <si>
    <t>163800.10.01</t>
  </si>
  <si>
    <t>Математические методы в упр.: Уч.пос. / А.Н.Гармаш - М.: Вуз. уч.: НИЦ Инфра - М, 2025 - 272 с. (п)</t>
  </si>
  <si>
    <t>МАТЕМАТИЧЕСКИЕ МЕТОДЫ В УПРАВЛЕНИИ</t>
  </si>
  <si>
    <t>Гармаш А. Н., Орлова И. В.</t>
  </si>
  <si>
    <t>978-5-9558-0200-8</t>
  </si>
  <si>
    <t>38.03.01, 38.03.02, 38.04.02</t>
  </si>
  <si>
    <t>Рекомендовано Учебно-методическим объединением вузов Российской Федерации по образованию в области прикладной информатики, математических методов в экономике, статистики и антикризисного управления в качестве учебного пособия для студентов высших уче</t>
  </si>
  <si>
    <t>679425.04.01</t>
  </si>
  <si>
    <t>Математические методы поддержки принятия реш.: Уч.пос. / В.А.Осипова - М.:НИЦ ИНФРА-М,2023 - 134 с.(ВО)(П)</t>
  </si>
  <si>
    <t>МАТЕМАТИЧЕСКИЕ МЕТОДЫ ПОДДЕРЖКИ ПРИНЯТИЯ РЕШЕНИЙ</t>
  </si>
  <si>
    <t>Осипова В.А., Алексеев Н.С.</t>
  </si>
  <si>
    <t>978-5-16-014248-7</t>
  </si>
  <si>
    <t>02.03.02, 38.03.04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</si>
  <si>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магистратуры</t>
  </si>
  <si>
    <t>728023.05.01</t>
  </si>
  <si>
    <t>Математические методы принятия управ. решений: Уч.пос. / Г.С.Жукова-М.:НИЦ ИНФРА-М,2023.-212 с.(ВО)(П)</t>
  </si>
  <si>
    <t>МАТЕМАТИЧЕСКИЕ МЕТОДЫ ПРИНЯТИЯ УПРАВЛЕНЧЕСКИХ РЕШЕНИЙ</t>
  </si>
  <si>
    <t>978-5-16-018725-9</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</si>
  <si>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экономическим специальностям</t>
  </si>
  <si>
    <t>653221.08.01</t>
  </si>
  <si>
    <t>Математические модели упр. проектами: Уч. / И.Н.Царьков - М.:НИЦ ИНФРА-М,2024-514 с.(ВО:Магистр.)(П)</t>
  </si>
  <si>
    <t>МАТЕМАТИЧЕСКИЕ МОДЕЛИ УПРАВЛЕНИЯ ПРОЕКТАМИ</t>
  </si>
  <si>
    <t>Царьков И.Н.</t>
  </si>
  <si>
    <t>978-5-16-012831-3</t>
  </si>
  <si>
    <t>01.03.04, 01.04.04, 09.03.04, 09.04.04, 38.03.02, 38.04.02</t>
  </si>
  <si>
    <t>634193.07.01</t>
  </si>
  <si>
    <t>Математические олимпиады студентов технических вузов /М.И.Деркач-М.:Вуз.уч.,НИЦ ИНФРА-М,2024-112с(о)</t>
  </si>
  <si>
    <t>МАТЕМАТИЧЕСКИЕ ОЛИМПИАДЫ СТУДЕНТОВ ТЕХНИЧЕСКИХ ВУЗОВ</t>
  </si>
  <si>
    <t>Деркач М.И.</t>
  </si>
  <si>
    <t>978-5-9558-0521-4</t>
  </si>
  <si>
    <t>727955.02.01</t>
  </si>
  <si>
    <t>Математический анализ в примерах и задачах: Уч.пос.: Ч.1 / Г.С.Жукова - М.:НИЦ ИНФРА-М,2022 - 260 с.(ВО)(П)</t>
  </si>
  <si>
    <t>МАТЕМАТИЧЕСКИЙ АНАЛИЗ В ПРИМЕРАХ И ЗАДАЧАХ. ЧАСТЬ 1, Т.1</t>
  </si>
  <si>
    <t>Жукова Г.С., Рушайло М.Ф.</t>
  </si>
  <si>
    <t>978-5-16-015963-8</t>
  </si>
  <si>
    <t>02.03.02, 02.03.03, 03.03.02, 04.03.02, 09.03.04, 38.03.01, 38.03.02, 38.03.05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</si>
  <si>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и экономическим направлениям подготовки (квалификация (степень) «бакалавр») (протокол № 2 от 03.02.2020)</t>
  </si>
  <si>
    <t>727958.02.01</t>
  </si>
  <si>
    <t>Математический анализ в примерах и задачах: Уч.пос.: Ч.2 / Г.С.Жукова - М.:НИЦ ИНФРА-М,2022  -544 с.(ВО)(П)</t>
  </si>
  <si>
    <t>МАТЕМАТИЧЕСКИЙ АНАЛИЗ В ПРИМЕРАХ И ЗАДАЧАХ. ЧАСТЬ 2, Т.2</t>
  </si>
  <si>
    <t>978-5-16-015965-2</t>
  </si>
  <si>
    <t>01.03.04, 02.03.02, 02.03.03, 03.03.02, 04.03.02, 09.03.04, 11.03.02, 38.03.01, 38.03.02, 38.03.05</t>
  </si>
  <si>
    <t>316800.05.01</t>
  </si>
  <si>
    <t>Математический анализ для эконом.:практ.:Уч.пос./Т.И.Демина-М.:НИЦ ИНФРА-М,2024-365с(ВО:Бакалавриат)(п)</t>
  </si>
  <si>
    <t>МАТЕМАТИЧЕСКИЙ АНАЛИЗ ДЛЯ ЭКОНОМИСТОВ:ПРАКТИКУМ</t>
  </si>
  <si>
    <t>Демина Т.И., Шевякова О.П.</t>
  </si>
  <si>
    <t>978-5-16-010388-4</t>
  </si>
  <si>
    <t>Допущено УМО по образованию в области прикладной информатики, статистики, антикризисного управления и математических методов в качестве учебного пособия для студентов, обучающихся по направлению подготовки бакалавров 38.03.01 «Экономика»</t>
  </si>
  <si>
    <t>Майкопский государственный технологический университет</t>
  </si>
  <si>
    <t>734496.01.01</t>
  </si>
  <si>
    <t>Математический анализ. Сборник задач и решений с прим.системы Maple: Уч.пос. / О.С.Кузнецова-М.:НИЦ ИНФРА-М,2021.-375 с(П)</t>
  </si>
  <si>
    <t>МАТЕМАТИЧЕСКИЙ АНАЛИЗ. СБОРНИК ЗАДАЧ И РЕШЕНИЙ С ПРИМЕНЕНИЕМ СИСТЕМЫ MAPLE</t>
  </si>
  <si>
    <t>Кузнецова О.С., Кирсанов М.Н.</t>
  </si>
  <si>
    <t>978-5-16-016476-2</t>
  </si>
  <si>
    <t>01.03.01, 11.03.01, 11.03.02, 11.03.03, 11.03.04, 12.03.01, 12.03.02, 12.03.03, 12.03.04, 12.03.05, 13.03.01, 13.03.02, 13.03.03, 14.03.01, 14.03.02, 15.03.01, 15.03.02, 15.03.03, 15.03.04, 15.03.05, 15.03.06, 16.03.01, 16.03.02, 16.03.03, 18.03.01, 18.03.02, 22.03.01, 22.03.02, 24.03.01, 38.03.01, 38.03.02, 38.03.03, 38.03.04, 38.03.05, 38.03.06, 38.03.07, 38.03.10,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</si>
  <si>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8 от 22.06.2020)</t>
  </si>
  <si>
    <t>293100.07.01</t>
  </si>
  <si>
    <t>Математический анализ. Теория и прак.: Уч.пос. / В.С.Шипачев, - 3 изд. - М.:НИЦ ИНФРА-М,2025. - 351 с.(ВО)(п)</t>
  </si>
  <si>
    <t>МАТЕМАТИЧЕСКИЙ АНАЛИЗ. ТЕОРИЯ И ПРАКТИКА, ИЗД.3</t>
  </si>
  <si>
    <t>978-5-16-010073-9</t>
  </si>
  <si>
    <t>01.03.01, 01.04.01, 02.03.01</t>
  </si>
  <si>
    <t>301000.05.01</t>
  </si>
  <si>
    <t>Математический анализ: N-мерное пространство..: Уч. / В.Е.Барбаумов - М.:НИЦ ИНФРА-М,2024 - 341с.(ВО)</t>
  </si>
  <si>
    <t>МАТЕМАТИЧЕСКИЙ АНАЛИЗ: N-МЕРНОЕ ПРОСТРАНСТВО. ФУНКЦИИ. ЭКСТРЕМУМЫ</t>
  </si>
  <si>
    <t>Барбаумов В.Е., Попова Н.В.</t>
  </si>
  <si>
    <t>978-5-16-011829-1</t>
  </si>
  <si>
    <t>01.00.00, 01.03.01, 01.03.02, 01.03.03, 01.03.04, 02.03.01, 02.03.02, 02.03.03, 03.03.02, 03.03.03, 04.03.02, 09.03.04, 11.03.02, 24.03.01, 38.03.01, 38.04.01, 45.03.04</t>
  </si>
  <si>
    <t>Рекомендовано в качестве учебника для студентов высших учебных заведений, обучающихся по УГС 38.00.00 «Экономика и управление» (квалификация (степень) «бакалавр»)</t>
  </si>
  <si>
    <t>206600.08.01</t>
  </si>
  <si>
    <t>Математический анализ: Сб. задач с реш.: Уч.пос. / В.Г.Шершнев - М.:НИЦ ИНФРА-М,2025. - 164 с.(ВО)(о)</t>
  </si>
  <si>
    <t>МАТЕМАТИЧЕСКИЙ АНАЛИЗ: СБОРНИК ЗАДАЧ С РЕШЕНИЯМИ</t>
  </si>
  <si>
    <t>Шершнев В.Г.</t>
  </si>
  <si>
    <t>978-5-16-018502-6</t>
  </si>
  <si>
    <t>38.03.01, 38.03.02, 38.03.03, 38.03.04, 38.03.05, 38.04.01, 38.04.02, 38.04.03, 38.04.04, 38.04.05, 38.04.08, 38.04.09, 41.03.06</t>
  </si>
  <si>
    <t>Рекомендовано в качестве учебного пособия студентам высших учебных заведений, обучающимся по направлению подготовки 38.03.01 «Экономика» (квалификация (степень) «бакалавр»)</t>
  </si>
  <si>
    <t>214300.08.01</t>
  </si>
  <si>
    <t>Математический анализ: Уч. пос./ В.Г. Шершнев. - М.: НИЦ ИНФРА-М, 2025. - 288 с. (ВО: Бакалавр.)(П)</t>
  </si>
  <si>
    <t>МАТЕМАТИЧЕСКИЙ АНАЛИЗ</t>
  </si>
  <si>
    <t>Шершнев В. Г.</t>
  </si>
  <si>
    <t>978-5-16-005488-9</t>
  </si>
  <si>
    <t>Рекомендовано в качестве учебного пособия для студентов высших учебных заведений, обучающихся по направлению 38.03.01 «Экономика»</t>
  </si>
  <si>
    <t>727995.03.01</t>
  </si>
  <si>
    <t>Математический анализ: Уч.: Т.1 / Под ред. Жуковой Г.С. - М.:НИЦ ИНФРА-М,2024-388 с.(ВО)(п)</t>
  </si>
  <si>
    <t>МАТЕМАТИЧЕСКИЙ АНАЛИЗ. ТОМ 1, Т.1</t>
  </si>
  <si>
    <t>Жукова Г.С., Рушайло М.Ф., Жукова Г.С.</t>
  </si>
  <si>
    <t>978-5-16-019247-5</t>
  </si>
  <si>
    <t>02.03.01, 04.03.01, 04.03.02, 05.03.01, 38.03.01, 38.03.02, 38.03.05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</si>
  <si>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естественно-научным и экономическим направлениям подготовки (квалификация (степень) «бакалавр») (протокол № 2 от 03.02.2020)</t>
  </si>
  <si>
    <t>727999.02.01</t>
  </si>
  <si>
    <t>Математический анализ: Уч.: Т.2 / Под ред. Жуковой Г.С. - М.:НИЦ ИНФРА-М,2024-518 с..-(ВО)(п)</t>
  </si>
  <si>
    <t>МАТЕМАТИЧЕСКИЙ АНАЛИЗ. ТОМ 2, Т.2</t>
  </si>
  <si>
    <t>978-5-16-019221-5</t>
  </si>
  <si>
    <t>00.00.00, 01.03.02, 03.03.01, 03.03.02, 03.03.03, 04.03.01, 04.03.02, 38.03.01, 38.03.02, 38.03.05</t>
  </si>
  <si>
    <t>729532.05.01</t>
  </si>
  <si>
    <t>Математический анализ: Уч.пос. / А.В.Пантелеев. - М.:НИЦ ИНФРА-М,2024 - 502 с.(ВО: Бакалавр.)(П)</t>
  </si>
  <si>
    <t>Пантелеев А.В., Савостьянова Н.И., Федорова Н.М.</t>
  </si>
  <si>
    <t>978-5-16-016008-5</t>
  </si>
  <si>
    <t>01.03.01, 01.03.03, 01.03.04, 02.03.01, 02.03.03, 03.03.02, 03.03.03, 04.03.02, 09.03.04, 11.03.02, 21.05.04, 24.03.01, 38.03.01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</si>
  <si>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негуманитарным направлениям подготовки (квалификация (степень) «бакалавр») (протокол № 17 от 11.11.2019)</t>
  </si>
  <si>
    <t>642385.09.01</t>
  </si>
  <si>
    <t>Математическое и имитац. моделирование: Уч.пос. / А.И.Безруков - М.:НИЦ ИНФРА-М,2025 - 227 с.(ВО)(п)</t>
  </si>
  <si>
    <t>МАТЕМАТИЧЕСКОЕ И ИМИТАЦИОННОЕ МОДЕЛИРОВАНИЕ</t>
  </si>
  <si>
    <t>Безруков А.И., Алексенцева О.Н.</t>
  </si>
  <si>
    <t>978-5-16-020396-6</t>
  </si>
  <si>
    <t>01.03.04, 38.03.01, 38.03.05, 38.04.01, 38.04.05</t>
  </si>
  <si>
    <t>Рекомендовано в качестве учебного пособия для студентов высших учебных заведений, обучающихся по направлениям подготовки 01.03.04 «Прикладная математика», 38.03.05 «Бизнес-информатика» (квалификация (степень) «бакалавр»)</t>
  </si>
  <si>
    <t>719810.05.01</t>
  </si>
  <si>
    <t>Математическое моделир. и проектир.: Уч.пос. / Под ред. Коломейченко А.С. - М.:НИЦ ИНФРА-М,2025 - 181с.(СПО)(П)</t>
  </si>
  <si>
    <t>МАТЕМАТИЧЕСКОЕ МОДЕЛИРОВАНИЕ И ПРОЕКТИРОВАНИЕ</t>
  </si>
  <si>
    <t>Коломейченко А.С., Кравченко И.Н., Ставцев А.Н. и др.</t>
  </si>
  <si>
    <t>978-5-16-015651-4</t>
  </si>
  <si>
    <t>35.02.16, 38.02.01, 38.02.03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</si>
  <si>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35.02.05 «Агрономия» (протокол № 12 от 24.06.2019)</t>
  </si>
  <si>
    <t>655236.05.01</t>
  </si>
  <si>
    <t>Математическое моделиров. и проектир.:Уч.пос./ Под ред.Коломейченко А.С.-М:НИЦ ИНФРА-М,2024-181с(ВО)</t>
  </si>
  <si>
    <t>978-5-16-012890-0</t>
  </si>
  <si>
    <t>06.04.02, 35.04.03, 35.04.04</t>
  </si>
  <si>
    <t>Рекомендовано Научно-методическим советом по сельскому хозяйству в качестве учебного пособия для подготовки магистров по направлениям 35.04.03 «Агрохимия и агропочвоведение», 35.04.04 «Агрономия»</t>
  </si>
  <si>
    <t>667236.03.01</t>
  </si>
  <si>
    <t>Математическое моделиров.и колич. методы...: Уч.пос. / М.Ю.Михалева-М.:Вуз.уч.,НИЦ ИНФРА-М,2023-296с</t>
  </si>
  <si>
    <t>МАТЕМАТИЧЕСКОЕ МОДЕЛИРОВАНИЕ И КОЛИЧЕСТВЕННЫЕ МЕТОДЫ ИССЛЕДОВАНИЙ В МЕНЕДЖМЕНТЕ</t>
  </si>
  <si>
    <t>Михалева М.Ю., Орлова И.В.</t>
  </si>
  <si>
    <t>978-5-9558-0607-5</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</si>
  <si>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t>
  </si>
  <si>
    <t>632560.13.01</t>
  </si>
  <si>
    <t>Математическое моделирование технических систем: Уч. / В.П.Тарасик-М.:НИЦ ИНФРА-М,2023-592 с.(ВО)(П)</t>
  </si>
  <si>
    <t>МАТЕМАТИЧЕСКОЕ МОДЕЛИРОВАНИЕ ТЕХНИЧЕСКИХ СИСТЕМ</t>
  </si>
  <si>
    <t>Тарасик В.П.</t>
  </si>
  <si>
    <t>978-5-16-011996-0</t>
  </si>
  <si>
    <t>23.03.02, 23.04.02, 23.05.01</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</si>
  <si>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23.05.01 «Наземные транспортно-технологические средства». Утверждено Министерством образования Республики Беларусь в качестве учебника для студентов учреждений высшего образования по техническим специальностям</t>
  </si>
  <si>
    <t>402900.13.01</t>
  </si>
  <si>
    <t>Материаловедение (Дизайн костюма): Уч. / Е.А.Кирсанова - М.:Вуз. уч., НИЦ ИНФРА-М,2025 - 395 с.(ВО)(П)</t>
  </si>
  <si>
    <t>МАТЕРИАЛОВЕДЕНИЕ (ДИЗАЙН КОСТЮМА)</t>
  </si>
  <si>
    <t>Кирсанова Е.А., Шустов Ю.С., Куличенко А.В. и др.</t>
  </si>
  <si>
    <t>978-5-9558-0665-5</t>
  </si>
  <si>
    <t>51.03.02, 51.04.02, 54.03.01, 54.03.03, 54.04.01, 54.04.03</t>
  </si>
  <si>
    <t>Рекомендовано Учебно-методическим объединением вузов по образованию в области дизайна, монументального и декоративного искусств в качестве учебника для студентов высших учебных заведений, обучающихся по направлениям бакалавриата и магистратуры и специальности «Дизайн»</t>
  </si>
  <si>
    <t>682969.07.01</t>
  </si>
  <si>
    <t>Материаловедение (дизайн костюма): Уч. / Е.А.Кирсанова - М.:Вуз.уч.,НИЦ ИНФРА-М,2025 - 395с(СПО)(П)</t>
  </si>
  <si>
    <t>978-5-9558-0647-1</t>
  </si>
  <si>
    <t>43.01.11, 54.01.06, 54.01.12, 54.02.01, 54.02.03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</si>
  <si>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t>
  </si>
  <si>
    <t>682970.06.01</t>
  </si>
  <si>
    <t>Материаловедение в машиностроении: Уч.пос. / В.П.Дмитренко - М.:НИЦ ИНФРА-М,2024 - 432 с.-(СПО)(П)</t>
  </si>
  <si>
    <t>МАТЕРИАЛОВЕДЕНИЕ В МАШИНОСТРОЕНИИ</t>
  </si>
  <si>
    <t>Дмитренко В.П., Мануйлова Н.Б.</t>
  </si>
  <si>
    <t>978-5-16-014356-9</t>
  </si>
  <si>
    <t>15.02.01, 15.02.03, 15.02.04, 15.02.06, 15.02.09, 15.02.16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</si>
  <si>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15.02.08 «Технология машиностроения», 15.02.09 «Аддитивные технологии»</t>
  </si>
  <si>
    <t>337700.06.01</t>
  </si>
  <si>
    <t>Материаловедение в машиностроении: Уч.пос. / В.П.Дмитренко - М.:НИЦ ИНФРА-М,2025 - 432 с.(ВО:Бакалавр.)(п)</t>
  </si>
  <si>
    <t>ДмитренкоВ.П., МануйловаН.Б.</t>
  </si>
  <si>
    <t>978-5-16-010712-7</t>
  </si>
  <si>
    <t>15.03.01, 15.04.01, 20.03.01, 20.04.01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</si>
  <si>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15.03.01 «Машиностроение» (квалификация (степень) «бакалавр»)</t>
  </si>
  <si>
    <t>665703.03.01</t>
  </si>
  <si>
    <t>Материаловедение в станкостроении: Уч. / А.М.Адаскин -М.:НИЦ ИНФРА-М,2023-320 с.-(ВО:Бакалавриат)(П)</t>
  </si>
  <si>
    <t>МАТЕРИАЛОВЕДЕНИЕ В СТАНКОСТРОЕНИИ</t>
  </si>
  <si>
    <t>978-5-16-014918-9</t>
  </si>
  <si>
    <t>15.03.01, 15.04.01</t>
  </si>
  <si>
    <t>Рекомендовано в качестве учебника для бакалавров, магистрантов и аспирантов, обучающихся по укрупненным группам специальностей 15.00.00 «Машиностроение» и 22.00.00 «Технологии материалов»</t>
  </si>
  <si>
    <t>796833.01.01</t>
  </si>
  <si>
    <t>Материаловедение и тех. конструк. матер.: Уч.пос. Ч.2 / Н.М.Романченко - М.:НИЦ ИНФРА-М,2025. - 263 с.(п)</t>
  </si>
  <si>
    <t>МАТЕРИАЛОВЕДЕНИЕ И ТЕХНОЛОГИЯ КОНСТРУКЦИОННЫХ МАТЕРИАЛОВ. ЧАСТЬ 2</t>
  </si>
  <si>
    <t>Романченко Н.М.</t>
  </si>
  <si>
    <t>978-5-16-018777-8</t>
  </si>
  <si>
    <t>15.03.02, 35.03.06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</si>
  <si>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15.03.02 «Технологические машины и оборудование», 35.03.06 «Агроинженерия» (квалификация (степень) «бакалавр») (протокол № 8 от 19.10.2022)</t>
  </si>
  <si>
    <t>799190.01.01</t>
  </si>
  <si>
    <t>Материаловедение и тех. конструк.матер.: Уч.пос.: Ч.1 / Н.М.Романченко-М.:НИЦ ИНФРА-М,2024.-309 с.(ВО)(п)</t>
  </si>
  <si>
    <t>МАТЕРИАЛОВЕДЕНИЕ И ТЕХНОЛОГИЯ КОНСТРУКЦИОННЫХ МАТЕРИАЛОВ. ЧАСТЬ 1, Т.1</t>
  </si>
  <si>
    <t>978-5-16-018417-3</t>
  </si>
  <si>
    <t>119150.19.01</t>
  </si>
  <si>
    <t>Материаловедение и тех. матер.: Уч.пос. / А.М.Адаскин - 2 изд. - М.:Форум, НИЦ ИНФРА-М,2025 - 335 с.(СПО)(П)</t>
  </si>
  <si>
    <t>МАТЕРИАЛОВЕДЕНИЕ И ТЕХНОЛОГИЯ МАТЕРИАЛОВ, ИЗД.2</t>
  </si>
  <si>
    <t>Адаскин А. М., Зуев В. М.</t>
  </si>
  <si>
    <t>978-5-00091-756-5</t>
  </si>
  <si>
    <t>15.02.01, 15.02.03, 15.02.04, 15.02.06, 15.02.07, 15.02.09, 15.02.10, 15.02.16, 15.02.17, 15.02.18, 15.02.19, 22.02.08</t>
  </si>
  <si>
    <t>156250.16.01</t>
  </si>
  <si>
    <t>Материаловедение и тех. материалов: Уч.пос. / Под ред.Батышева А.И. - М.:НИЦ ИНФРА-М,2025 - 288 с.(ВО)(П)</t>
  </si>
  <si>
    <t>МАТЕРИАЛОВЕДЕНИЕ И ТЕХНОЛОГИЯ МАТЕРИАЛОВ</t>
  </si>
  <si>
    <t>Батышев А.И., Смолькин А.А., Батышев К.А. и др.</t>
  </si>
  <si>
    <t>978-5-16-004821-5</t>
  </si>
  <si>
    <t>15.03.01, 15.03.02, 15.03.03, 15.03.04, 15.03.05, 15.05.01, 22.03.01</t>
  </si>
  <si>
    <t>Рекомендовано Научно-методическим советом «Материаловедение и технология конструкционных материалов» при Минобрнауки РФ в качестве учебного пособия для подготовки бакалавров технических направлений</t>
  </si>
  <si>
    <t>671518.06.01</t>
  </si>
  <si>
    <t>Материаловедение и тех.конструкц.материалов: Уч.пос. / О.А.Масанский-М.:НИЦ ИНФРА-М,СФУ,2023-268с(П)</t>
  </si>
  <si>
    <t>МАТЕРИАЛОВЕДЕНИЕ И ТЕХНОЛОГИИ КОНСТРУКЦИОННЫХ МАТЕРИАЛОВ</t>
  </si>
  <si>
    <t>Масанский О.А., Казаков В.С., Токмин А.М. и др.</t>
  </si>
  <si>
    <t>978-5-16-013435-2</t>
  </si>
  <si>
    <t>13.03.01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</si>
  <si>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подготовки 13.03.01 «Теплоэнергетика и теплотехника»</t>
  </si>
  <si>
    <t>220900.11.01</t>
  </si>
  <si>
    <t>Материаловедение и технологии электроники: Уч. пос. / В.И.Капустин - М.:ИНФРА-М,2024 - 427 с.(ВО)(П)</t>
  </si>
  <si>
    <t>МАТЕРИАЛОВЕДЕНИЕ И ТЕХНОЛОГИИ ЭЛЕКТРОНИКИ</t>
  </si>
  <si>
    <t>Капустин В. И., Сигов А. С.</t>
  </si>
  <si>
    <t>978-5-16-008966-9</t>
  </si>
  <si>
    <t>11.03.03, 11.03.04, 12.03.01, 12.03.02, 20.03.01, 27.03.01, 27.03.02, 28.03.01</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</si>
  <si>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учебныз заведений, обучающихся по направлениям подготовки 11.03.04(210100) «Электроника и наноэлектроника», 28.0</t>
  </si>
  <si>
    <t>215100.09.01</t>
  </si>
  <si>
    <t>Материаловедение и технология материалов: Уч. / Г.П.Фетисов - М.:НИЦ ИНФРА-М,2023 - 397 с.(ВО)(П)</t>
  </si>
  <si>
    <t>Фетисов Г.П., Гарифуллин Ф.А.</t>
  </si>
  <si>
    <t>978-5-16-006899-2</t>
  </si>
  <si>
    <t>22.03.01, 22.03.02</t>
  </si>
  <si>
    <t>Рекомендовано Научно-методическим советом по материаловедению и технологии конструкционных материалов при Минобрнауки РФ в качестве учебника для бакалавров высших учебных заведений инженерно-технического профиля</t>
  </si>
  <si>
    <t>705034.06.01</t>
  </si>
  <si>
    <t>Материаловедение и технология материалов: Уч.пос. / И.Т.Сухопяткина - 3 изд.-М.:НИЦ ИНФРА-М,2024-396 с.(П)</t>
  </si>
  <si>
    <t>МАТЕРИАЛОВЕДЕНИЕ И ТЕХНОЛОГИЯ МАТЕРИАЛОВ, ИЗД.3</t>
  </si>
  <si>
    <t>Сухопяткина И.Т.</t>
  </si>
  <si>
    <t>978-5-16-015292-9</t>
  </si>
  <si>
    <t>13.03.03, 15.03.01, 15.03.03, 15.03.05</t>
  </si>
  <si>
    <t>737467.04.01</t>
  </si>
  <si>
    <t>Материаловедение и технология металлич..: Уч.: Кн.2 / А.М.Адаскин - 2 изд. - М.:НИЦ ИНФРА-М,2025. - 241 с.(ВО)(п)</t>
  </si>
  <si>
    <t>МАТЕРИАЛОВЕДЕНИЕ И ТЕХНОЛОГИЯ МЕТАЛЛИЧЕСКИХ, НЕМЕТАЛЛИЧЕСКИХ И КОМПОЗИЦИОННЫХ МАТЕРИАЛОВ:ТЕХНОЛОГИЯ ИЗГОТОВЛЕНИЯ ЗАГОТОВОК И ДЕТАЛЕЙ. КНИГА 2, Т.2, ИЗД.2</t>
  </si>
  <si>
    <t>Адаскин А.М., Красновский А.Н., Тарасова Т.В.</t>
  </si>
  <si>
    <t>978-5-16-019533-9</t>
  </si>
  <si>
    <t>15.03.01, 15.03.02, 15.03.03, 15.03.04, 15.03.05, 15.03.06, 22.03.01, 22.03.02</t>
  </si>
  <si>
    <t>Рекомендовано Учебно-методическим советом ФГБОУ ВО «МГТУ "СТАНКИН”» в качестве учебника для бакалавров и магистрантов, обучающихся по направлениям подготовки 15.00.00 «Машиностроение» и 22.00.00 «Технологии материалов»</t>
  </si>
  <si>
    <t>342000.07.01</t>
  </si>
  <si>
    <t>Материаловедение и технология металлических,..: Уч. / А.М.Адаскин-М.:Форум,НИЦ ИНФРА-М,2020-400с(ВО)</t>
  </si>
  <si>
    <t>МАТЕРИАЛОВЕДЕНИЕ И ТЕХНОЛОГИЯ МЕТАЛЛИЧЕСКИХ, НЕМЕТАЛЛИЧЕСКИХ И КОМПОЗИЦИОННЫХ МАТЕРИАЛОВ</t>
  </si>
  <si>
    <t>Адаскин А.М., Красновский А.Н.</t>
  </si>
  <si>
    <t>978-5-00091-431-1</t>
  </si>
  <si>
    <t>22.03.01, 22.04.01, 22.04.02</t>
  </si>
  <si>
    <t>Рекомендовано Учебно-методическим Советом ФГБОУ ВО «МГТУ «СТАНКИН» в качестве учебника для бакалавров и магистров, обучающихся по направлениям подготовки 15.00.00 «Машиностроение» и 22.00.00 «Технологии материалов»</t>
  </si>
  <si>
    <t>342000.11.01</t>
  </si>
  <si>
    <t>Материаловедение и технология металлических...: Уч.: Кн.1 / А.М.Адаскин - 2 изд. - М.:НИЦ ИНФРА-М,2025 - 250 с.(П)</t>
  </si>
  <si>
    <t>МАТЕРИАЛОВЕДЕНИЕ И ТЕХНОЛОГИЯ МЕТАЛЛИЧЕСКИХ, НЕМЕТАЛЛИЧЕСКИХ И КОМПОЗИЦИОННЫХ МАТЕРИАЛОВ, Т.1, ИЗД.2</t>
  </si>
  <si>
    <t>978-5-16-016429-8</t>
  </si>
  <si>
    <t>713375.01.01</t>
  </si>
  <si>
    <t>Материаловедение конструкцион. и инструментал. материал...: Уч. / А.М.Адаскин-М.:НИЦ ИНФРА-М,2019.-320с(П)</t>
  </si>
  <si>
    <t>МАТЕРИАЛОВЕДЕНИЕ КОНСТРУКЦИОННЫХ И ИНСТРУМЕНТАЛЬНЫХ МАТЕРИАЛОВ В СТАНКОСТРОЕНИИ</t>
  </si>
  <si>
    <t>978-5-16-015391-9</t>
  </si>
  <si>
    <t>15.02.01, 15.02.03, 15.02.04, 15.02.06, 15.02.07, 15.02.16, 15.02.17, 15.02.19, 22.02.08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</si>
  <si>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15.02.00 «Машиностроение» и 22.02.00 «Технологии материалов» (протокол № 8 от 29.04.2019)</t>
  </si>
  <si>
    <t>704852.02.01</t>
  </si>
  <si>
    <t>Материаловедение: дизайн, архитектура: Уч. пос.: Т.1 / Е.Б.Володина - М.:НИЦ ИНФРА-М,2023 - 388 с.(ВО)(П.)</t>
  </si>
  <si>
    <t>МАТЕРИАЛОВЕДЕНИЕ: ДИЗАЙН, АРХИТЕКТУРА, Т.1</t>
  </si>
  <si>
    <t>Володина Е.Б.</t>
  </si>
  <si>
    <t>978-5-16-015541-8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</si>
  <si>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54.03.01 «Дизайн» (квалификация (степень) «бакалавр») (протокол № 8 от 20.10.2021)</t>
  </si>
  <si>
    <t>720210.03.01</t>
  </si>
  <si>
    <t>Материаловедение: дизайн, архитектура: Уч.пос.: В 2 т.Т.2 / Е.Б.Володина - М.:НИЦ ИНФРА-М,2024-432с.(ВО)(п)</t>
  </si>
  <si>
    <t>МАТЕРИАЛОВЕДЕНИЕ: ДИЗАЙН, АРХИТЕКТУРА, Т.2</t>
  </si>
  <si>
    <t>978-5-16-015691-0</t>
  </si>
  <si>
    <t>07.03.01, 07.03.02, 07.03.04, 54.03.01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</si>
  <si>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54.03.01 «Дизайн» (квалификация (степень) «бакалавр») (протокол № 8 от 15.12.2021)</t>
  </si>
  <si>
    <t>775843.06.01</t>
  </si>
  <si>
    <t>Материаловедение: дизайн, архитектура: Уч.пос.: Т.1 / Е.Б.Володина - М.:НИЦ ИНФРА-М,2025 - 388 с.(СПО)(П)</t>
  </si>
  <si>
    <t>978-5-16-017570-6</t>
  </si>
  <si>
    <t>07.02.01, 43.01.11, 54.01.06, 54.01.12, 54.02.01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</si>
  <si>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07.02.01 «Архитектура», 54.02.01 «Дизайн (по отраслям)» (протокол № 10 от 15.12.2021)</t>
  </si>
  <si>
    <t>775844.05.01</t>
  </si>
  <si>
    <t>Материаловедение: дизайн...: Уч.пос.: В 2 т.Т.2 / Е.Б.Володина - М.:НИЦ ИНФРА-М,2025 - 432 с(СПО)(П)</t>
  </si>
  <si>
    <t>978-5-16-017571-3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</si>
  <si>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54.02.01 «Дизайн (по отраслям)» (протокол № 10 от 15.12.2021)</t>
  </si>
  <si>
    <t>683404.05.01</t>
  </si>
  <si>
    <t>Материаловедение: Раб. тетр.: Уч. пос. / М.А.Труевцева - М.:НИЦ ИНФРА-М,2025 - 316 с.(СПО)(О)</t>
  </si>
  <si>
    <t>МАТЕРИАЛОВЕДЕНИЕ: РАБОЧАЯ ТЕТРАДЬ</t>
  </si>
  <si>
    <t>Труевцева М.А., Краснова Е.Н.</t>
  </si>
  <si>
    <t>978-5-16-014411-5</t>
  </si>
  <si>
    <t>29.02.05, 29.02.10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</si>
  <si>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 (протокол № 6 от 16.06.2021)</t>
  </si>
  <si>
    <t>267700.08.01</t>
  </si>
  <si>
    <t>Материаловедение: Уч. / А.А.Воробьев - М.:АРГАМАК-МЕДИА, НИЦ ИНФРА-М,2023 - 304 с.-(Высшая школа)(П)</t>
  </si>
  <si>
    <t>МАТЕРИАЛОВЕДЕНИЕ</t>
  </si>
  <si>
    <t>Воробьев А.А., Жуков Д.А., Кононов Д.П. и др.</t>
  </si>
  <si>
    <t>АРГАМАК-МЕДИА</t>
  </si>
  <si>
    <t>Высшая школа</t>
  </si>
  <si>
    <t>978-5-00024-013-7</t>
  </si>
  <si>
    <t>Рекомендовано Научно-методическим советом «Материаловедение и технология конструкционных материалов» при Минобнауки РФ в качестве учебника для студентов высших учебных заведений, обучающихся по направлениям подготовки дипломированных специалистов 190</t>
  </si>
  <si>
    <t>654517.12.01</t>
  </si>
  <si>
    <t>Материаловедение: Уч. / А.А.Черепахин - М.:КУРС, НИЦ ИНФРА-М,2025 - 336 с.-(СПО)(п)</t>
  </si>
  <si>
    <t>Черепахин А.А.</t>
  </si>
  <si>
    <t>978-5-906923-18-9</t>
  </si>
  <si>
    <t>13.02.13, 15.02.07, 15.02.16, 22.02.08</t>
  </si>
  <si>
    <t>632553.05.01</t>
  </si>
  <si>
    <t>Материаловедение: Уч. / А.А.Черепахин-М.:КУРС, НИЦ ИНФРА-М,2019.-284 с..-(Бакалавриат)(П)</t>
  </si>
  <si>
    <t>Черепахин А.А., Смолькин А.А.</t>
  </si>
  <si>
    <t>978-5-906818-56-0</t>
  </si>
  <si>
    <t>13.03.03, 15.03.01, 15.03.03, 15.03.04, 15.03.05, 23.03.01, 23.03.03, 23.05.01, 27.03.01, 27.03.03</t>
  </si>
  <si>
    <t>Рекомендован в качестве учебника для студентов высших учебных заведений, обучающихся по направлениям подготовки: 13.03.03 «Энергетическое машиностроение»,15.03.01 «Машиностроение», 15.03.02 «Технологические машины и оборудование», 15.03.03 «Прикладная механика», 15.03.05 «Конструкторско-технологическое обеспечение машиностроительных производств»,23.03.03 «Эксплуатация транспортно-технологических машин и комплексов», 23.03.01 «Технология транспортных процессов», 27.03.03 «Системный анализ и управление», 15.03.04 «Автоматизация технологических процессов и производств», 27.03.01 «Стандартизация и метрология» (квалификация «Бакалавр»), 23.05.01 «Наземные транспортно-технологические средства» (квалификация «Специалист»)</t>
  </si>
  <si>
    <t>267800.08.01</t>
  </si>
  <si>
    <t>Материаловедение: Уч. / В.Н. Гадалов - М.: АРГАМАК-МЕДИА:  НИЦ ИНФРА-М, 2024. -272 с. (Высшая школа) (п)</t>
  </si>
  <si>
    <t>Гадалов В.Н., Сафонов С.В., Романенко Д.Н. и др.</t>
  </si>
  <si>
    <t>978-5-00024-017-5</t>
  </si>
  <si>
    <t>15.03.01, 15.03.02, 15.03.03, 15.03.04, 15.03.05, 15.03.06, 23.03.01, 23.03.02, 23.03.03</t>
  </si>
  <si>
    <t>Допущено Учебно-методическим объединением вузов «Материаловедение и технология конструкционных материалов» при Минобрнауки РФ в качестве учебника для студентов технических направлений</t>
  </si>
  <si>
    <t>062150.18.01</t>
  </si>
  <si>
    <t>Материаловедение: Уч. / Под ред. Батиенкова В.Т. - М.:НИЦ ИНФРА-М,2025 - 151 с.(СПО)(П)</t>
  </si>
  <si>
    <t>Сеферов Г.Г., Батиенков В.Т., Сеферов Г.Г. и др.</t>
  </si>
  <si>
    <t>978-5-16-016094-8</t>
  </si>
  <si>
    <t>08.01.29, 08.02.01, 08.02.08, 18.02.13</t>
  </si>
  <si>
    <t>082740.07.01</t>
  </si>
  <si>
    <t>Материаловедение: Уч. пос. / Г.Г. Сеферов - М.: РИОР, 2025 - 158 с. (Проф. обр.) (о.к/ф)</t>
  </si>
  <si>
    <t>Сеферов Г. Г., Батиенков В. Т.</t>
  </si>
  <si>
    <t>Профессиональное образование [карм. формат]</t>
  </si>
  <si>
    <t>978-5-369-00137-0</t>
  </si>
  <si>
    <t>08.02.08</t>
  </si>
  <si>
    <t>173900.09.01</t>
  </si>
  <si>
    <t>Материаловедение: Уч. пос. / Л.В. Тарасенко - М.: НИЦ Инфра-М, 2023. - 475 с.(ВО) (п)</t>
  </si>
  <si>
    <t>Тарасенко Л. В., Пахомова С. А., Унчикова М. В., Герасимов С. А., Тарасенко Л. В.</t>
  </si>
  <si>
    <t>978-5-16-004868-0</t>
  </si>
  <si>
    <t>15.03.01, 15.03.02, 15.03.03, 15.03.04, 15.03.05, 15.03.06, 15.05.01, 22.03.01</t>
  </si>
  <si>
    <t>Допущено научно-методическим советом по материаловедению и технологии конструкционных материалов Министерства образования и науки РФ в качестве учебного пособия для студентов вузов, обуч. по машиностроительным направлениям</t>
  </si>
  <si>
    <t>095050.19.01</t>
  </si>
  <si>
    <t>Материаловедение: Уч.пос. / В.А.Стуканов - М.:ИД ФОРУМ, НИЦ ИНФРА-М,2024. - 368с.(ПО)</t>
  </si>
  <si>
    <t>978-5-8199-0352-0</t>
  </si>
  <si>
    <t>23.01.17, 23.02.03, 23.02.07</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</si>
  <si>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</si>
  <si>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071230.10.01</t>
  </si>
  <si>
    <t>Материаловедение: Уч.пос. / И.С.Давыдова - 2 изд. - М.:ИЦ РИОР,НИЦ ИНФРА-М,2025 - 228 с.(ВО:Бакалавр.)(о)</t>
  </si>
  <si>
    <t>МАТЕРИАЛОВЕДЕНИЕ, ИЗД.2</t>
  </si>
  <si>
    <t>Давыдова И. С., Максина Е. Л.</t>
  </si>
  <si>
    <t>ВО: Бакалавриат</t>
  </si>
  <si>
    <t>978-5-369-01222-2</t>
  </si>
  <si>
    <t>13.03.03, 15.03.01, 15.03.02, 15.03.03, 15.03.05, 22.03.01, 27.03.01</t>
  </si>
  <si>
    <t>730631.07.01</t>
  </si>
  <si>
    <t>Материалы деревообраба. производств: Уч.пос. / А.А.Барташевич - 2 изд. - М.:НИЦ ИНФРА-М,2024-307 с.(СПО)(П)</t>
  </si>
  <si>
    <t>МАТЕРИАЛЫ ДЕРЕВООБРАБАТЫВАЮЩИХ ПРОИЗВОДСТВ, ИЗД.2</t>
  </si>
  <si>
    <t>Барташевич А.А., Игнатович Л.В.</t>
  </si>
  <si>
    <t>978-5-16-015944-7</t>
  </si>
  <si>
    <t>26.01.02, 35.02.18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</si>
  <si>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15 от 14.10.2019)</t>
  </si>
  <si>
    <t>708890.03.01</t>
  </si>
  <si>
    <t>Материалы деревообрабатывающих произв.: Уч.пос. / А.А.Барташевич - 2 изд. - М.:НИЦ ИНФРА-М,2023-307с(ВО)</t>
  </si>
  <si>
    <t>978-5-16-015355-1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</si>
  <si>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деревообрабатывающих производств» (квалификация (степень) «бакалавр») (протокол № 12 от 24.06.2019)</t>
  </si>
  <si>
    <t>682971.10.01</t>
  </si>
  <si>
    <t>Материалы для одежды. Ткани: Справ.: Уч.пос. / Б.А.Бузов - М.:ИД ФОРУМ, НИЦ ИНФРА-М,2025. - 224 с.(СПО)(П)</t>
  </si>
  <si>
    <t>МАТЕРИАЛЫ ДЛЯ ОДЕЖДЫ. ТКАНИ</t>
  </si>
  <si>
    <t>Бузов Б.А., Румянцева Г.П.</t>
  </si>
  <si>
    <t>978-5-8199-0793-1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</si>
  <si>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t>
  </si>
  <si>
    <t>184800.14.01</t>
  </si>
  <si>
    <t>Материалы для одежды. Ткани: Уч.пос. / Б.А.Бузов - М.:ИД Форум, НИЦ ИНФРА-М,2025 - 224 с.(ВО)(п)</t>
  </si>
  <si>
    <t>978-5-8199-0921-8</t>
  </si>
  <si>
    <t>29.03.01, 29.03.02, 29.03.05, 29.04.01, 29.04.02, 29.04.04, 29.04.05</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</si>
  <si>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29.03.01 «Технология изделий легкой промышленности», 29.03.05 «Конструирование изделий легкой промышленности» (квалификация (степень) «бакалавр»)</t>
  </si>
  <si>
    <t>682972.06.01</t>
  </si>
  <si>
    <t>Материалы для отделки одежды: Уч.пос. / Н.Г.Бессонова - М.:ИД ФОРУМ, НИЦ ИНФРА-М,2025 - 144 с.(СПО)(П)</t>
  </si>
  <si>
    <t>МАТЕРИАЛЫ ДЛЯ ОТДЕЛКИ ОДЕЖДЫ</t>
  </si>
  <si>
    <t>Бессонова Н.Г., Бузов Б.А.</t>
  </si>
  <si>
    <t>978-5-8199-0794-8</t>
  </si>
  <si>
    <t>54.01.05, 54.02.03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</si>
  <si>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t>
  </si>
  <si>
    <t>405550.09.01</t>
  </si>
  <si>
    <t>Материалы для отделки одежды: Уч.пос. / Н.Г.Бессонова - М.:ИД ФОРУМ,НИЦ ИНФРА-М,2024 - 144 с.(ВО)(О)</t>
  </si>
  <si>
    <t>978-5-8199-0736-8</t>
  </si>
  <si>
    <t>29.03.01, 29.03.02, 29.03.05, 29.04.01, 29.04.02, 29.04.05</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</si>
  <si>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по дисциплинам «Материалы для одежды и конфекционирование», «Материалы для изделий легкой промышленности и конфекционирование» для студентов высших учебных заведений, обучающихся по направлению подготовки бакалавров 29.03.01 «Технология изделий легкой промышленности» и 29.03.05 «Конструирование изделий легкой промышленности»</t>
  </si>
  <si>
    <t>064750.19.01</t>
  </si>
  <si>
    <t>Материалы и изделия для сан.-техн.устройств и систем обесп..: Уч. / К.С.Орлов-НИЦ ИНФРА-М,2024-183(СПО)(П)</t>
  </si>
  <si>
    <t>МАТЕРИАЛЫ И ИЗДЕЛИЯ ДЛЯ САНИТАРНО-ТЕХНИЧЕСКИХ УСТРОЙСТВ И СИСТЕМ ОБЕСПЕЧЕНИЯ МИКРОКЛИМАТА</t>
  </si>
  <si>
    <t>978-5-16-004418-7</t>
  </si>
  <si>
    <t>08.02.04, 08.02.13, 13.02.02, 18.01.27, 19.01.01</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</si>
  <si>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и вентиляции»</t>
  </si>
  <si>
    <t>262200.08.01</t>
  </si>
  <si>
    <t>Материалы и их технологии: Уч.: В 2 ч.Ч.1 / В.А.Горохов - М.:НИЦ ИНФРА-М,Нов.зн.,2024-589(ВО:Бак.)(п)</t>
  </si>
  <si>
    <t>МАТЕРИАЛЫ И ИХ ТЕХНОЛОГИИ, Т.1</t>
  </si>
  <si>
    <t>Горохов В. А., Беляков Н. В., Схиртладзе А. Г., Горохов В. А.</t>
  </si>
  <si>
    <t>978-5-16-009529-5</t>
  </si>
  <si>
    <t>15.03.01, 15.03.02, 15.03.03, 15.03.04, 15.03.05, 15.03.06, 15.05.01</t>
  </si>
  <si>
    <t>Допущено Учебно-методическим объединением вузов Российской Федерации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«Технология, оборудование и автоматизация машиностроительных производств», «Конструкторско-технологическое обеспечение машиностроительных производств», «Автоматизированные технологии и производства»</t>
  </si>
  <si>
    <t>262300.06.01</t>
  </si>
  <si>
    <t>Материалы и их технологии: Уч.: В 2 ч.Ч.2 /В.А.Горохов - М:НИЦ ИНФРА-М; Мн.: Нов. знание,2024-533с. (п)</t>
  </si>
  <si>
    <t>МАТЕРИАЛЫ И ИХ ТЕХНОЛОГИИ</t>
  </si>
  <si>
    <t>978-5-16-009532-5</t>
  </si>
  <si>
    <t>Допущено Учебно-методическим объединением вузов Российской Федерации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«Технология, оборудова</t>
  </si>
  <si>
    <t>161200.16.01</t>
  </si>
  <si>
    <t>Материально-технич. база библиотек: Уч.пос. / Л.И.Алешин - М.:Форум, НИЦ ИНФРА-М,2025 - 448 с.(ВО)(П)</t>
  </si>
  <si>
    <t>МАТЕРИАЛЬНО-ТЕХНИЧЕСКАЯ БАЗА БИБЛИОТЕК</t>
  </si>
  <si>
    <t>978-5-00091-767-1</t>
  </si>
  <si>
    <t>Рекомендовано УМО по образованию в области народной художественной культуры, социально-культурной деятельности и информационных ресурсов в качестве учебного пособия для студентов высших учебных заведений, обучающихся по направлению подготовки 51.03.06 «Библиотечно-информационная деятельность»</t>
  </si>
  <si>
    <t>690268.06.01</t>
  </si>
  <si>
    <t>Материально-технич. обеспеч. ж/д транспорта: Уч. / А.В.Цевелев - 2 изд. - М.:НИЦ ИНФРА-М,2024-444 с.(ВО)(п)</t>
  </si>
  <si>
    <t>МАТЕРИАЛЬНО-ТЕХНИЧЕСКОЕ ОБЕСПЕЧЕНИЕ ЖЕЛЕЗНОДОРОЖНОГО ТРАНСПОРТА, ИЗД.2</t>
  </si>
  <si>
    <t>Цевелев А.В.</t>
  </si>
  <si>
    <t>978-5-16-018950-5</t>
  </si>
  <si>
    <t>23.05.04, 23.05.05, 38.03.01, 38.03.02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</si>
  <si>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3 от 17.03.2021)</t>
  </si>
  <si>
    <t>Сибирский государственный университет путей сообщения</t>
  </si>
  <si>
    <t>838479.01.01</t>
  </si>
  <si>
    <t>Материально-технич. снабжение ж/д транспорта: Уч. / А.В.Цевелев - М.:НИЦ ИНФРА-М,2025. - 409 с.-(СПО)(п)</t>
  </si>
  <si>
    <t>МАТЕРИАЛЬНО-ТЕХНИЧЕСКОЕ СНАБЖЕНИЕ ЖЕЛЕЗНОДОРОЖНОГО ТРАНСПОРТА</t>
  </si>
  <si>
    <t>978-5-16-020208-2</t>
  </si>
  <si>
    <t>23.02.01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</si>
  <si>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2 от 17.02.2021)</t>
  </si>
  <si>
    <t>798334.05.01</t>
  </si>
  <si>
    <t>Материально-техническая база библиотек: Уч.пос. / Л.И.Алешин - М.:Форум, НИЦ ИНФРА-М,2025. - 448 с.(СПО)(п)</t>
  </si>
  <si>
    <t>978-5-00091-770-1</t>
  </si>
  <si>
    <t>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</si>
  <si>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51.02.03 «Библиотековедение» (протокол № 10 от 21.12.2022)</t>
  </si>
  <si>
    <t>722474.02.01</t>
  </si>
  <si>
    <t>Машинный интеллект: Очерки по теории машинного обучения.. / С.А.Шумский-М.:ИЦ РИОР, НИЦ ИНФРА-М,2020-340с(П)</t>
  </si>
  <si>
    <t>МАШИННЫЙ ИНТЕЛЛЕКТ</t>
  </si>
  <si>
    <t>Шумский С.А.</t>
  </si>
  <si>
    <t>978-5-369-01832-3</t>
  </si>
  <si>
    <t>Научное издание</t>
  </si>
  <si>
    <t>01.04.02, 02.04.01, 02.04.02, 10.04.01, 15.04.04, 38.04.05</t>
  </si>
  <si>
    <t>Московский физико-технический институт (национальный исследовательский университет) МФТИ</t>
  </si>
  <si>
    <t>646091.04.01</t>
  </si>
  <si>
    <t>Машиностроительные материалы нового поколения: Уч.пос. / Г.М.Волков-М.:НИЦ ИНФРА-М,2023.-319 с.(ВО)(П)</t>
  </si>
  <si>
    <t>МАШИНОСТРОИТЕЛЬНЫЕ МАТЕРИАЛЫ НОВОГО ПОКОЛЕНИЯ</t>
  </si>
  <si>
    <t>Волков Г.М.</t>
  </si>
  <si>
    <t>978-5-16-012892-4</t>
  </si>
  <si>
    <t>Рекомендовано в качестве учебного пособия для студентов высших учебных заведений, обучающихся по направлению подготовки 15.03.01 «Машиностроение» (квалификация (степень) «бакалавр»)</t>
  </si>
  <si>
    <t>668828.05.01</t>
  </si>
  <si>
    <t>Машины для строит.и содерж.дорог и аэродромов:Уч.пос. / Павлов В.П.-М.:НИЦ ИНФРА-М, СФУ,2023-195с(П)</t>
  </si>
  <si>
    <t>МАШИНЫ ДЛЯ СТРОИТЕЛЬСТВА И СОДЕРЖАНИЯ ДОРОГ И АЭРОДРОМОВ : ИССЛЕДОВАНИЕ, РАСЧЕТ, КОНСТРУИРОВАНИЕ</t>
  </si>
  <si>
    <t>Павлов В.П., Минин В.В., Байкалов В.А. и др.</t>
  </si>
  <si>
    <t>978-5-16-013323-2</t>
  </si>
  <si>
    <t>23.04.01, 23.04.02, 23.04.03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</si>
  <si>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магистров «Наземные транспортно-технологические машины и комплексы»</t>
  </si>
  <si>
    <t>706236.04.01</t>
  </si>
  <si>
    <t>Машины и агрегаты для заправки авиаГСМ..: Уч.пос. / Р.Б.Желукевич - 2 изд. - М.:НИЦ ИНФРА-М,2025 - 449 с.(П)</t>
  </si>
  <si>
    <t>МАШИНЫ И АГРЕГАТЫ ДЛЯ ЗАПРАВКИ АВИАГСМ И ОБСЛУЖИВАНИЯ ВОЗДУШНЫХ СУДОВ, ИЗД.2</t>
  </si>
  <si>
    <t>Желукевич Р.Б., Подвезенный В.Н., Безбородов Ю.Н. и др.</t>
  </si>
  <si>
    <t>978-5-16-015099-4</t>
  </si>
  <si>
    <t>24.03.04, 24.05.02, 25.03.02, 25.05.04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</si>
  <si>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обучающихся по специальности «Средства аэродромно-технического обеспечения полетов авиации» направления подготовки дипломированных специалистов «Транспортные машины и транспортно-технологические комплексы»</t>
  </si>
  <si>
    <t>654437.05.01</t>
  </si>
  <si>
    <t>Машины и оборудование в животновод.: Уч.пос. / Под ред. Мирзоянц Ю.А.-М.:НИЦ ИНФРА-М,2023-439с(ВО(П)</t>
  </si>
  <si>
    <t>МАШИНЫ И ОБОРУДОВАНИЕ В ЖИВОТНОВОДСТВЕ</t>
  </si>
  <si>
    <t>Мирзоянц Ю.А., Филонов Р.Ф., Середа Н.А. и др.</t>
  </si>
  <si>
    <t>978-5-16-013120-7</t>
  </si>
  <si>
    <t>35.03.06, 36.03.02</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</si>
  <si>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35.00.00 по сельскому, лесному и рыбному хозяйству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t>
  </si>
  <si>
    <t>822125.01.01</t>
  </si>
  <si>
    <t>Машины и оборудование в кормопроизводстве: Уч.пос. / В.М.Долбаненко - М.:НИЦ ИНФРА-М,2025. - 203 с.(ВО (КрГАУ))(п)</t>
  </si>
  <si>
    <t>МАШИНЫ И ОБОРУДОВАНИЕ В КОРМОПРОИЗВОДСТВЕ</t>
  </si>
  <si>
    <t>Долбаненко В.М., Терских С.А.</t>
  </si>
  <si>
    <t>978-5-16-020002-6</t>
  </si>
  <si>
    <t>665720.08.01</t>
  </si>
  <si>
    <t>Медиаполитика: Уч. / Р.Т.Мухаев - М.:НИЦ ИНФРА-М,2024 - 401 с.-(ВО: Бакалавриат)(П)</t>
  </si>
  <si>
    <t>МЕДИАПОЛИТИКА</t>
  </si>
  <si>
    <t>978-5-16-015134-2</t>
  </si>
  <si>
    <t>38.03.04, 39.03.03, 41.03.04, 42.03.01, 42.03.02, 42.03.04, 42.03.05, 43.03.02, 43.03.03</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</si>
  <si>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43.03.01 «Реклама и связи с общественностью», 41.03.04 «Политология», 41.03.05. «Международные отношения» (квалификация (степень) «бакалавр»)</t>
  </si>
  <si>
    <t>808709.01.01</t>
  </si>
  <si>
    <t>Медиаправо: Уч.пос. / Г.И.Уваркин-М.:НИЦ ИНФРА-М,2024.-300 с.(ВО)(п)</t>
  </si>
  <si>
    <t>МЕДИАПРАВО</t>
  </si>
  <si>
    <t>Уваркин Г.И.</t>
  </si>
  <si>
    <t>978-5-16-018899-7</t>
  </si>
  <si>
    <t>10.05.04, 10.05.05, 38.03.01, 38.03.05, 38.04.05, 38.05.02, 40.03.01, 40.04.01, 40.05.02, 40.05.04, 42.03.05, 42.04.02, 42.04.04, 42.04.05, 46.03.02</t>
  </si>
  <si>
    <t>819243.01.01</t>
  </si>
  <si>
    <t>Медиапсихология: Уч.пос. / Ю.В.Харланова - М.:НИЦ ИНФРА-М,2025. - 283 с.(ВО)(п)</t>
  </si>
  <si>
    <t>МЕДИАПСИХОЛОГИЯ</t>
  </si>
  <si>
    <t>Харланова Ю.В.</t>
  </si>
  <si>
    <t>978-5-16-019720-3</t>
  </si>
  <si>
    <t>42.03.02</t>
  </si>
  <si>
    <t>834830.02.01</t>
  </si>
  <si>
    <t>Медиация в публичных финансах...: Уч.пос. / Е.Ю.Грачева - М.:Юр. НОРМА, НИЦ ИНФРА-М,2025. - 72 с.(о)</t>
  </si>
  <si>
    <t>МЕДИАЦИЯ В ПУБЛИЧНЫХ ФИНАНСАХ: МЯГКИЕ НАВЫКИ ЮРИСТА</t>
  </si>
  <si>
    <t>978-5-00156-384-6</t>
  </si>
  <si>
    <t>38.04.09, 38.05.01, 40.03.01, 40.04.01, 40.05.01, 40.05.02, 40.05.04</t>
  </si>
  <si>
    <t>742682.04.01</t>
  </si>
  <si>
    <t>Медико-биологич. основы безопас.: Уч. / А.И.Лобанов, - 2 изд. - М.:НИЦ ИНФРА-М,2025. - 368 с.(СПО)(п)</t>
  </si>
  <si>
    <t>МЕДИКО-БИОЛОГИЧЕСКИЕ ОСНОВЫ БЕЗОПАСНОСТИ, ИЗД.2</t>
  </si>
  <si>
    <t>Лобанов А.И.</t>
  </si>
  <si>
    <t>978-5-16-019795-1</t>
  </si>
  <si>
    <t>00.02.01, 20.02.01, 20.02.02</t>
  </si>
  <si>
    <t>Допущено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слушателей, студентов и курсантов образовательных учреждений МЧС России</t>
  </si>
  <si>
    <t>Академия гражданской защиты МЧС России</t>
  </si>
  <si>
    <t>699847.04.01</t>
  </si>
  <si>
    <t>Медико-биологич. основы безопас.: Уч. / А.И.Лобанов, - 2 изд.-М.:НИЦ ИНФРА-М,2024.-368 с.(ВО)(П)</t>
  </si>
  <si>
    <t>978-5-16-016974-3</t>
  </si>
  <si>
    <t>20.03.01</t>
  </si>
  <si>
    <t>Рекомендовано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слушателей, студентов и курсантов образовательных учреждений МЧС России</t>
  </si>
  <si>
    <t>699847.02.01</t>
  </si>
  <si>
    <t>Медико-биологические основы безопасности: Уч. / А.И.Лобанов - М.:НИЦ ИНФРА-М,2021 - 357 с.(ВО)(П)</t>
  </si>
  <si>
    <t>МЕДИКО-БИОЛОГИЧЕСКИЕ ОСНОВЫ БЕЗОПАСНОСТИ</t>
  </si>
  <si>
    <t>978-5-16-014840-3</t>
  </si>
  <si>
    <t>742682.01.01</t>
  </si>
  <si>
    <t>Медико-биологические основы безопасности: Уч. / А.И.Лобанов-М.:НИЦ ИНФРА-М,2021.-357 с..-(СПО)(П)</t>
  </si>
  <si>
    <t>978-5-16-016445-8</t>
  </si>
  <si>
    <t>699848.08.01</t>
  </si>
  <si>
    <t>Медицина катастроф (вопросы орг.лечебно-эвакуац...: Уч. / П.В.Авитисов - М.:НИЦ ИНФРА-М,2025 - 365 с.(ВО)</t>
  </si>
  <si>
    <t>МЕДИЦИНА КАТАСТРОФ (ВОПРОСЫ ОРГАНИЗАЦИИ ЛЕЧЕБНО-ЭВАКУАЦИОННОГО ОБЕСПЕЧЕНИЯ НАСЕЛЕНИЯ В ЧРЕЗВЫЧАЙНЫХ СИТУАЦИЯХ МИРНОГО ВРЕМЕНИ)</t>
  </si>
  <si>
    <t>Авитисов П.В., Лобанов А.И., Золотухин А.В. и др.</t>
  </si>
  <si>
    <t>978-5-16-018983-3</t>
  </si>
  <si>
    <t>20.03.01, 20.04.01, 31.05.01, 32.05.01, 34.03.01</t>
  </si>
  <si>
    <t>Допущено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курсантов, студентов и слушателей образовательных учреждений МЧС России</t>
  </si>
  <si>
    <t>713079.01.01</t>
  </si>
  <si>
    <t>Медицинская антропология: Уч.пос. / Д.В.Михель-М.:НИЦ ИНФРА-М,2021.-338 с.(ВО: Бакалавриат)(П)</t>
  </si>
  <si>
    <t>МЕДИЦИНСКАЯ АНТРОПОЛОГИЯ</t>
  </si>
  <si>
    <t>Михель Д.В.</t>
  </si>
  <si>
    <t>978-5-16-015975-1</t>
  </si>
  <si>
    <t>31.05.01, 31.05.02, 31.05.03, 44.03.05, 51.03.01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</si>
  <si>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и медицинским направлениям подготовки (квалификация (степень) «бакалавр») (протокол № 6 от 16.06.2021)</t>
  </si>
  <si>
    <t>712503.07.01</t>
  </si>
  <si>
    <t>Медицинская антропология: Уч.пос. / О.В.Калмин - М.:НИЦ ИНФРА-М,2025 - 411 с.(ВО: Специалитет)(П)</t>
  </si>
  <si>
    <t>Калмин О.В., Галкина Т.Н.</t>
  </si>
  <si>
    <t>978-5-16-015414-5</t>
  </si>
  <si>
    <t>31.05.01, 31.05.02, 31.05.03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</si>
  <si>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31.05.00 «Клиническая медицина» (протокол № 3 от 16.09.2019)</t>
  </si>
  <si>
    <t>476700.04.01</t>
  </si>
  <si>
    <t>Медицинская биология: Энц. справ. / О.Ю.Смирнов - М.:Форум, НИЦ ИНФРА-М, 2018-608с.(ВО)(П)</t>
  </si>
  <si>
    <t>МЕДИЦИНСКАЯ БИОЛОГИЯ</t>
  </si>
  <si>
    <t>Смирнов  О.Ю.</t>
  </si>
  <si>
    <t>978-5-00091-177-8</t>
  </si>
  <si>
    <t>30.05.01, 30.05.02, 31.05.01, 31.05.02, 31.05.03, 32.05.01, 33.05.01, 34.03.01</t>
  </si>
  <si>
    <t>Сумский государственный университет</t>
  </si>
  <si>
    <t>440350.08.01</t>
  </si>
  <si>
    <t>Медицинская и биологическая физика.Практ.: Уч.пос. / В.Г.Лещенко-М:НИЦ ИНФРА-М;Мн:Нов.знание,2023-334с. (П)</t>
  </si>
  <si>
    <t>МЕДИЦИНСКАЯ И БИОЛОГИЧЕСКАЯ ФИЗИКА. ПРАКТИКУМ</t>
  </si>
  <si>
    <t>Лещенко В. Г., Ильич Г. К., Инсарова Н. И., Лещенко В. Г.</t>
  </si>
  <si>
    <t>978-5-16-006664-6</t>
  </si>
  <si>
    <t>03.03.01, 03.04.01, 04.04.01, 06.03.01, 06.04.01, 31.05.01, 31.05.02, 31.05.03, 32.05.01, 33.05.01, 34.03.01</t>
  </si>
  <si>
    <t>758704.05.01</t>
  </si>
  <si>
    <t>Медицинская паразитология: Уч.пос. / М.Д.Новак и др. - М.:НИЦ ИНФРА-М,2025. - 342 с.(ВО: Спец.)(П)</t>
  </si>
  <si>
    <t>МЕДИЦИНСКАЯ ПАРАЗИТОЛОГИЯ</t>
  </si>
  <si>
    <t>Новак М.Д., Новак А.И., Енгашев С.В.</t>
  </si>
  <si>
    <t>978-5-16-017315-3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</si>
  <si>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31.05.01 «Лечебное дело», 31.05.02 «Педиатрия», 32.05.01 «Медико-профилактическое дело» (квалификация «врач-лечебник, врач-педиатр, врач по общей гигиене, по эпидемиологии») (протокол № 4 от 13.04.2022)</t>
  </si>
  <si>
    <t>Рязанский государственный медицинский университет им. академика И.П. Павлова</t>
  </si>
  <si>
    <t>699849.07.01</t>
  </si>
  <si>
    <t>Медицинское обеспеч. ликвидации чрезвычайных...: Уч. / А.И.Лобанов - М.:НИЦ ИНФРА-М,2024. - 298 с.(ВО)(П)</t>
  </si>
  <si>
    <t>МЕДИЦИНСКОЕ ОБЕСПЕЧЕНИЕ ЛИКВИДАЦИИ ЧРЕЗВЫЧАЙНЫХ СИТУАЦИЙ</t>
  </si>
  <si>
    <t>978-5-16-014843-4</t>
  </si>
  <si>
    <t>20.03.01, 20.05.01, 31.05.01, 31.05.02, 32.04.01, 32.05.01, 34.03.01</t>
  </si>
  <si>
    <t>750415.05.01</t>
  </si>
  <si>
    <t>Медицинское право: Уч. / Н.Г.Петрова - М.:НИЦ ИНФРА-М,2024 - 193 с.(ВО)(п)</t>
  </si>
  <si>
    <t>МЕДИЦИНСКОЕ ПРАВО</t>
  </si>
  <si>
    <t>Петрова Н.Г.</t>
  </si>
  <si>
    <t>978-5-16-018551-4</t>
  </si>
  <si>
    <t>31.05.01, 31.05.02, 31.05.03, 32.04.01, 32.05.01, 34.03.01, 40.03.01, 40.04.01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</si>
  <si>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34.03.01 «Сестринское дело» (квалификация (степень) «бакалавр») (протокол № 1 от 12.01.2022)</t>
  </si>
  <si>
    <t>Первый Санкт-Петербургский государственный медицинский университет им. академика И.П.Павлова</t>
  </si>
  <si>
    <t>786123.01.01</t>
  </si>
  <si>
    <t>Медицинское страхование: Уч. / А.П.Архипов-М.:НИЦ ИНФРА-М,2023.-231 с.(ВО)(п)</t>
  </si>
  <si>
    <t>МЕДИЦИНСКОЕ СТРАХОВАНИЕ</t>
  </si>
  <si>
    <t>Архипов А.П.</t>
  </si>
  <si>
    <t>978-5-16-018216-2</t>
  </si>
  <si>
    <t>32.04.01, 34.03.01, 39.03.02</t>
  </si>
  <si>
    <t>705676.05.01</t>
  </si>
  <si>
    <t>Медицинское тепловидение: Уч.пос. / Е.Е.Ачкасов-М.:НИЦ ИНФРА-М,2023.-218 с.(ВО: Специалитет)(п)</t>
  </si>
  <si>
    <t>МЕДИЦИНСКОЕ ТЕПЛОВИДЕНИЕ</t>
  </si>
  <si>
    <t>Ачкасов Е.Е., Воловик М.Г., Долгов И.М. и др.</t>
  </si>
  <si>
    <t>978-5-16-015293-6</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</si>
  <si>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программы дополнительного профессионального образования врачей. Регистрационный номер рецензии: 582 ЭКУ от 17 января 2019 г.</t>
  </si>
  <si>
    <t>696947.02.01</t>
  </si>
  <si>
    <t>Междисциплинарный дискурс культуры...: Уч.пос. / Т.С.Злотникова-М.:НИЦ ИНФРА-М,2023.-342с(П)</t>
  </si>
  <si>
    <t>МЕЖДИСЦИПЛИНАРНЫЙ ДИСКУРС КУЛЬТУРЫ (ФИЛОСОФСКО-ПСИХОЛОГИЧЕСКАЯ И СОЦИОКУЛЬТУРНАЯ МЕТОДОЛОГИЯ)</t>
  </si>
  <si>
    <t>978-5-16-014728-4</t>
  </si>
  <si>
    <t>47.03.01, 47.04.01, 51.03.01, 51.04.01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</si>
  <si>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«магистр») (протокол № 8 от 22.06.2020)</t>
  </si>
  <si>
    <t>696683.04.01</t>
  </si>
  <si>
    <t>Международная валютно-финансовая система: Уч. / Е.В.Зенкина - М.:НИЦ ИНФРА-М,2025 - 190 с.-(ВО)(П)</t>
  </si>
  <si>
    <t>МЕЖДУНАРОДНАЯ ВАЛЮТНО-ФИНАНСОВАЯ СИСТЕМА</t>
  </si>
  <si>
    <t>Зенкина Е.В.</t>
  </si>
  <si>
    <t>978-5-16-014954-7</t>
  </si>
  <si>
    <t>38.03.01, 38.03.02, 38.03.04, 38.03.06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</si>
  <si>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38.03.06 «Торговое дело» (протокол № 10 от 27.05.2019)</t>
  </si>
  <si>
    <t>758047.02.01</t>
  </si>
  <si>
    <t>Международная защита прав человека...: Уч.пос. / Ю.В.Самович - М.:ИЦ РИОР, НИЦ ИНФРА-М,2023 - 152 с.(ВО)(О)</t>
  </si>
  <si>
    <t>МЕЖДУНАРОДНАЯ ЗАЩИТА ПРАВ ЧЕЛОВЕКА</t>
  </si>
  <si>
    <t>Самович Ю.В., Шарифуллин Р.А.</t>
  </si>
  <si>
    <t>978-5-369-01871-2</t>
  </si>
  <si>
    <t>656454.04.01</t>
  </si>
  <si>
    <t>Международная практика оценочной деят.: Уч.пос. / С.Ю.Богатырев - М.:ИЦ РИОР, НИЦ ИНФРА-М,2025. - 96 с.(ВО)(о)</t>
  </si>
  <si>
    <t>МЕЖДУНАРОДНАЯ ПРАКТИКА ОЦЕНОЧНОЙ ДЕЯТЕЛЬНОСТИ</t>
  </si>
  <si>
    <t>978-5-369-01689-3</t>
  </si>
  <si>
    <t>656392.03.01</t>
  </si>
  <si>
    <t>Международная торговля: Уч. / С.У.Нуралиев - М.:НИЦ ИНФРА-М,2022 - 307 с.-(ВО: Бакалавриат)(П)</t>
  </si>
  <si>
    <t>МЕЖДУНАРОДНАЯ ТОРГОВЛЯ</t>
  </si>
  <si>
    <t>978-5-16-013788-9</t>
  </si>
  <si>
    <t>38.03.01, 38.03.02, 38.03.06, 38.04.01, 38.04.02, 38.04.06, 38.05.01</t>
  </si>
  <si>
    <t>Рекомендовано в качестве учебника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t>
  </si>
  <si>
    <t>279900.06.01</t>
  </si>
  <si>
    <t>Международная торговля: Уч. / Ю.В. Рагулина - М.: Альфа-М:  ИНФРА-М, 2024. - 272 с. (Бакалавр.) (П)</t>
  </si>
  <si>
    <t>Рагулина Ю. В., Завалько Н. А., Кожина В. О.</t>
  </si>
  <si>
    <t>978-5-98281-398-5</t>
  </si>
  <si>
    <t>Рекомендовано уполномоченным учреждением ФГБОУ «Государственный университет управления» в качестве учебника для студентов высших учебных заведений, обучающихся по направлению подготовки 38.03.01.62 «Экономика» (квалификация (степень) «бакалавр»</t>
  </si>
  <si>
    <t>Московская академия предпринимательства при Правительстве Москвы</t>
  </si>
  <si>
    <t>412400.08.01</t>
  </si>
  <si>
    <t>Международная торговля: Уч.пос. / А.О.Руднева, - 2 изд. - М .:НИЦ ИНФРА-М,2025 - 273 с.(ВО: Бакалавриат)(П)</t>
  </si>
  <si>
    <t>МЕЖДУНАРОДНАЯ ТОРГОВЛЯ, ИЗД.2</t>
  </si>
  <si>
    <t>Руднева А.О.</t>
  </si>
  <si>
    <t>978-5-16-013714-8</t>
  </si>
  <si>
    <t>38.03.01, 38.03.02, 38.03.06, 38.04.01, 38.04.02, 38.04.06, 38.05.02</t>
  </si>
  <si>
    <t>Рекомендовано ФГБОУ ВО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</si>
  <si>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412400.04.01</t>
  </si>
  <si>
    <t>Международная торговля: Уч.пос. / А.О.Руднева-М.:НИЦ ИНФРА-М,2017.-234 с..-(ВО)(П)</t>
  </si>
  <si>
    <t>978-5-16-005378-3</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</si>
  <si>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080100.68 «Экономика» (квалификация (степень) «магистр»)</t>
  </si>
  <si>
    <t>015538.15.01</t>
  </si>
  <si>
    <t>Международное гуманитарное право: Уч. / О.И.Тиунов - 3 изд. - М.:Юр.Норма,НИЦ ИНФРА-М,2025 - 320 с.(О)</t>
  </si>
  <si>
    <t>МЕЖДУНАРОДНОЕ ГУМАНИТАРНОЕ ПРАВО, ИЗД.3</t>
  </si>
  <si>
    <t>Тиунов О.И.</t>
  </si>
  <si>
    <t>978-5-91768-586-1</t>
  </si>
  <si>
    <t>37.03.01, 40.03.01, 40.04.01, 40.05.01, 40.05.02, 40.05.03, 40.05.04, 41.03.01, 41.03.05, 44.03.05</t>
  </si>
  <si>
    <t>778300.01.01</t>
  </si>
  <si>
    <t>Международное и европейское налог. право. Уч.пос. / Л.Л.Арзуманова-М.:Юр. НОРМА, НИЦ ИНФРА-М,2022.-224с(П)</t>
  </si>
  <si>
    <t>МЕЖДУНАРОДНОЕ И ЕВРОПЕЙСКОЕ НАЛОГОВОЕ ПРАВО</t>
  </si>
  <si>
    <t>Арзуманова Л.Л., Горлова Е.Н., Грачева Е.Ю. и др.</t>
  </si>
  <si>
    <t>978-5-00156-249-8</t>
  </si>
  <si>
    <t>40.03.01, 40.04.01, 40.05.01, 41.03.01</t>
  </si>
  <si>
    <t>638386.09.01</t>
  </si>
  <si>
    <t>Международное морское право (частное и публ.): Уч. / В.Н.Коваль  - М.:Вуз.уч.,НИЦ ИНФРА-М,2024 - 228 с.(П)</t>
  </si>
  <si>
    <t>МЕЖДУНАРОДНОЕ МОРСКОЕ ПРАВО (ЧАСТНОЕ И ПУБЛИЧНОЕ)</t>
  </si>
  <si>
    <t>Коваль В.Н., Стаценко О.С., Никитина А.П. и др.</t>
  </si>
  <si>
    <t>978-5-9558-0524-5</t>
  </si>
  <si>
    <t>35.03.09, 40.03.01, 40.04.01, 40.05.01, 40.05.02, 40.05.03, 40.05.04</t>
  </si>
  <si>
    <t>682755.04.01</t>
  </si>
  <si>
    <t>Международное налоговое право: Уч.пос. / В.А.Мачехин - М.:Юр.Норма, НИЦ ИНФРА-М,2024 - 128 с.(О)</t>
  </si>
  <si>
    <t>МЕЖДУНАРОДНОЕ НАЛОГОВОЕ ПРАВО</t>
  </si>
  <si>
    <t>Мачехин В.А., Арзуманова Л.Л., Горлова Е.Н. и др.</t>
  </si>
  <si>
    <t>978-5-91768-912-8</t>
  </si>
  <si>
    <t>300900.09.01</t>
  </si>
  <si>
    <t>Международное право. Практикум: Уч. пос. / Е.В.Сафронова - 2 изд. - М.: РИОР: ИНФРА-М,2025 - 312 с.(ВО)(о)</t>
  </si>
  <si>
    <t>МЕЖДУНАРОДНОЕ ПРАВО. ПРАКТИКУМ, ИЗД.2</t>
  </si>
  <si>
    <t>Сафронова Е. В., Абашева Е. А.</t>
  </si>
  <si>
    <t>978-5-369-01377-9</t>
  </si>
  <si>
    <t>40.03.01, 40.05.01, 40.05.02, 40.05.03, 40.05.04, 44.03.05</t>
  </si>
  <si>
    <t>Рекомендовано Научно-исследовательским институтом образования и науки в качестве учебно-методического пособия для студентов высших учебных заведений, обучающихся по направлению 030900.62 «Юриспруденция», квалификация (степень) — бакалавр</t>
  </si>
  <si>
    <t>085130.11.01</t>
  </si>
  <si>
    <t>Международное право: Уч. / А.Х.Абашидзе - 4 изд. - М.:Юр. НОРМА, НИЦ ИНФРА-М,2025. - 576 с.(п)</t>
  </si>
  <si>
    <t>МЕЖДУНАРОДНОЕ ПРАВО, ИЗД.4</t>
  </si>
  <si>
    <t>Абашидзе А. Х., Верещетин В. С., Егоров С. А., Марочкин С. Ю.</t>
  </si>
  <si>
    <t>978-5-91768-469-7</t>
  </si>
  <si>
    <t>319200.07.01</t>
  </si>
  <si>
    <t>Международное право: Уч. / Г.С.Стародубцев - 2изд. - М.:ИЦ РИОР,НИЦ ИНФРА-М,2022-416с(ВО)(п)</t>
  </si>
  <si>
    <t>МЕЖДУНАРОДНОЕ ПРАВО, ИЗД.2</t>
  </si>
  <si>
    <t>Стародубцев Г.С.</t>
  </si>
  <si>
    <t>978-5-369-01936-8</t>
  </si>
  <si>
    <t>40.03.01, 40.05.01, 40.05.02, 40.05.03, 40.05.04, 41.03.05, 44.03.05</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</si>
  <si>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</si>
  <si>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801664.01.01</t>
  </si>
  <si>
    <t>Международное право: Уч. / Л.А.Лазутин и др.-М.:Юр. НОРМА, НИЦ ИНФРА-М,2023.-656 с.(п)</t>
  </si>
  <si>
    <t>МЕЖДУНАРОДНОЕ ПРАВО</t>
  </si>
  <si>
    <t>Лазутин Л.А., Безбородов Ю.С., Федоров И.В. и др.</t>
  </si>
  <si>
    <t>978-5-00156-299-3</t>
  </si>
  <si>
    <t>38.05.02, 40.03.01, 40.05.01, 40.05.02, 40.05.03, 40.05.04, 41.03.01, 41.03.05, 41.04.05, 42.03.02, 44.03.05</t>
  </si>
  <si>
    <t>015838.25.01</t>
  </si>
  <si>
    <t>Международное право: Уч. / Отв.ред.Г.В.Игнатенко - 6 изд. - М.:Юр.Норма, НИЦ ИНФРА-М, 2023 -752с.(П)</t>
  </si>
  <si>
    <t>МЕЖДУНАРОДНОЕ ПРАВО, ИЗД.6</t>
  </si>
  <si>
    <t>Игнатенко Г.В., Тиунов О.И., Игнатенко Г.В.</t>
  </si>
  <si>
    <t>978-5-91768-368-3</t>
  </si>
  <si>
    <t>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профессионального образования «Уральская государственная ю</t>
  </si>
  <si>
    <t>214700.07.01</t>
  </si>
  <si>
    <t>Международное право: Уч.пос. / Е.В.Гулин - 2 изд. - М.:ИЦ РИОР, НИЦ ИНФРА-М,2025 - 176 с.(ВО)(П)</t>
  </si>
  <si>
    <t>Гулин Е.В.</t>
  </si>
  <si>
    <t>978-5-369-01778-4</t>
  </si>
  <si>
    <t>214700.02.01</t>
  </si>
  <si>
    <t>Международное право: Уч.пос. / Е.В.Гулин - М.:ИЦ РИОР, НИЦ ИНФРА-М,2017.-168 с.-(ВО: Бакалавриат)(П)</t>
  </si>
  <si>
    <t>Гулин Е. В.</t>
  </si>
  <si>
    <t>978-5-369-01225-3</t>
  </si>
  <si>
    <t>Рекомендовано в качестве учебного пособия для студентов высших учебных заведений, обучающихся по направлению «Юриспруденция» (квалификация (степень) — бакалавр)</t>
  </si>
  <si>
    <t>126650.08.01</t>
  </si>
  <si>
    <t>Международное право: Уч.пос. / Н.Н.Федощева - 2 изд. - М.:НИЦ ИНФРА-М,2024 - 398 с.(ВО: Бакалавр.)(П)</t>
  </si>
  <si>
    <t>Федощева Н.Н.</t>
  </si>
  <si>
    <t>978-5-16-018898-0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</si>
  <si>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8 от 22.06.2020)</t>
  </si>
  <si>
    <t>768875.01.01</t>
  </si>
  <si>
    <t>Международное предпринимательство: Уч.пос. / И.Г.Кратко-М.:НИЦ ИНФРА-М,2023.-200 с.(ВО: Бакалавр.)(п)</t>
  </si>
  <si>
    <t>МЕЖДУНАРОДНОЕ ПРЕДПРИНИМАТЕЛЬСТВО</t>
  </si>
  <si>
    <t>Кратко И.Г.</t>
  </si>
  <si>
    <t>978-5-16-018104-2</t>
  </si>
  <si>
    <t>38.04.01, 38.04.02, 38.04.06</t>
  </si>
  <si>
    <t>170700.14.01</t>
  </si>
  <si>
    <t>Международное торговое дело: Уч. / Под ред. Дегтяревой О.И. - М.:Магистр,НИЦ ИНФРА-М,2025-608с.(П)</t>
  </si>
  <si>
    <t>МЕЖДУНАРОДНОЕ ТОРГОВОЕ ДЕЛО</t>
  </si>
  <si>
    <t>Дегтярева О.И., Васильева Т.Н., Гаврилова Л.Д. и др.</t>
  </si>
  <si>
    <t>978-5-9776-0211-2</t>
  </si>
  <si>
    <t>Допущено Учебно-метод. объед. по образ. в области коммерции и маркетингв в качестве учебника для студентов ВУЗов, обучающихся по специальностям 080301 "Коммерция (Торговое дело)" и напр. 100700.62 "Торговое дело"</t>
  </si>
  <si>
    <t>801996.01.01</t>
  </si>
  <si>
    <t>Международное частное право. Практикум: Уч.пос. / Ю.А.Тарасенко-М.:НИЦ ИНФРА-М,2024.-251 с.(ВО)(п)</t>
  </si>
  <si>
    <t>МЕЖДУНАРОДНОЕ ЧАСТНОЕ ПРАВО. ПРАКТИКУМ</t>
  </si>
  <si>
    <t>Тарасенко Ю.А.</t>
  </si>
  <si>
    <t>978-5-16-018578-1</t>
  </si>
  <si>
    <t>030166.13.01</t>
  </si>
  <si>
    <t>Международное частное право: Практ. / М.М.Богуславский - 3 изд. - М.:Юр. НОРМА, ИНФРА-М ,2025-400с.(о)</t>
  </si>
  <si>
    <t>МЕЖДУНАРОДНОЕ ЧАСТНОЕ ПРАВО, ИЗД.3</t>
  </si>
  <si>
    <t>Богуславский М. М.</t>
  </si>
  <si>
    <t>Практикум: Для юридических вузов и факультетов</t>
  </si>
  <si>
    <t>978-5-91768-084-2</t>
  </si>
  <si>
    <t>013308.26.01</t>
  </si>
  <si>
    <t>Международное частное право: Уч. / М.М.Богуславский - 7 изд. - М.:Юр.Норма, НИЦ ИНФРА-М,2024-672с(п)</t>
  </si>
  <si>
    <t>МЕЖДУНАРОДНОЕ ЧАСТНОЕ ПРАВО, ИЗД.7</t>
  </si>
  <si>
    <t>978-5-91768-645-5</t>
  </si>
  <si>
    <t>Рекомендовано Министерством образования РФ в качестве учебника для студентов высших учебных заведений, обучающихся по специальности 021100 "Юриспруденция"</t>
  </si>
  <si>
    <t>800529.01.01</t>
  </si>
  <si>
    <t>Международное экономическое право: Уч. / Под ред. Ручкиной Г.Ф. - М.:НИЦ ИНФРА-М,2024. - 539 с.(ВО)(п)</t>
  </si>
  <si>
    <t>МЕЖДУНАРОДНОЕ ЭКОНОМИЧЕСКОЕ ПРАВО</t>
  </si>
  <si>
    <t>Алексеева Д.Г., Баркова А.В., Галушко Д.В. и др.</t>
  </si>
  <si>
    <t>978-5-16-019045-7</t>
  </si>
  <si>
    <t>38.03.01, 38.03.04, 38.04.01, 38.04.04, 38.04.08, 38.05.01, 40.04.01, 41.03.01, 41.04.05</t>
  </si>
  <si>
    <t>075800.16.01</t>
  </si>
  <si>
    <t>Международные валютно-кредитные отношения: Уч. / Н.П.Гусаков - 3-изд.-М.:НИЦ ИНФРА-М,2022-351с.(П)</t>
  </si>
  <si>
    <t>МЕЖДУНАРОДНЫЕ ВАЛЮТНО-КРЕДИТНЫЕ ОТНОШЕНИЯ, ИЗД.3</t>
  </si>
  <si>
    <t>Гусаков Н.П., Белова И.Н., Стренина М.А. и др.</t>
  </si>
  <si>
    <t>Учебники РУДН</t>
  </si>
  <si>
    <t>978-5-16-012234-2</t>
  </si>
  <si>
    <t>38.03.01, 38.03.02, 38.03.04, 38.04.02, 38.04.04, 38.04.08, 38.05.01</t>
  </si>
  <si>
    <t>Рекомендовано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t>
  </si>
  <si>
    <t>650522.08.01</t>
  </si>
  <si>
    <t>Международные контракты и их регуляторы: Уч. / М.В.Мажорина - М.:Юр.Норма, НИЦ ИНФРА-М,2024-448с.(П)</t>
  </si>
  <si>
    <t>МЕЖДУНАРОДНЫЕ КОНТРАКТЫ И ИХ РЕГУЛЯТОРЫ</t>
  </si>
  <si>
    <t>Мажорина М.В., Алимова Я.О.</t>
  </si>
  <si>
    <t>978-5-91768-815-2</t>
  </si>
  <si>
    <t>664211.06.01</t>
  </si>
  <si>
    <t>Международные конфликты XXI в.: Уч. / Под ред. Зеленкова М.Ю.-М.:НИЦ ИНФРА-М,2024.-362 с.(ВО)(П)</t>
  </si>
  <si>
    <t>МЕЖДУНАРОДНЫЕ КОНФЛИКТЫ XXI ВЕКА</t>
  </si>
  <si>
    <t>Зеленков М.Ю., Бочарников И.В., Зеленков М.Ю.</t>
  </si>
  <si>
    <t>978-5-16-018830-0</t>
  </si>
  <si>
    <t>41.03.04, 41.03.05, 41.03.06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</si>
  <si>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41.03.00 «Политические науки и регионоведение» (квалификация (степень) «бакалавр») (протокол № 4 от 25.02.2019)</t>
  </si>
  <si>
    <t>775466.02.01</t>
  </si>
  <si>
    <t>Международные перевозки: Уч. / А.Е.Архипов-М.:НИЦ ИНФРА-М,2023.-222 с.(ВО)(п)</t>
  </si>
  <si>
    <t>МЕЖДУНАРОДНЫЕ ПЕРЕВОЗКИ</t>
  </si>
  <si>
    <t>Архипов А.Е., Масленников С.Н.</t>
  </si>
  <si>
    <t>978-5-16-017624-6</t>
  </si>
  <si>
    <t>23.03.01, 26.03.01, 26.03.02</t>
  </si>
  <si>
    <t>Сибирский государственный университет водного транспорта</t>
  </si>
  <si>
    <t>632490.05.01</t>
  </si>
  <si>
    <t>Международные переговоры: Уч.пос. / С.И.Лашко-М.:ИЦ РИОР, НИЦ ИНФРА-М,2024.-132 с..-(ВО)(о)</t>
  </si>
  <si>
    <t>МЕЖДУНАРОДНЫЕ ПЕРЕГОВОРЫ</t>
  </si>
  <si>
    <t>Лашко С.И., Мартыненко И.О.</t>
  </si>
  <si>
    <t>978-5-369-01940-5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</si>
  <si>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 (профиль подготовки «Мировая экономика»)</t>
  </si>
  <si>
    <t>635295.06.01</t>
  </si>
  <si>
    <t>Международные расчеты и валют. операции: Уч.пос. / Ю.В.Никитинская-М.:Вуз. уч., НИЦ ИНФРА-М,2024.-215 с.(П)</t>
  </si>
  <si>
    <t>МЕЖДУНАРОДНЫЕ РАСЧЕТЫ И ВАЛЮТНЫЕ ОПЕРАЦИИ</t>
  </si>
  <si>
    <t>Никитинская Ю.В., Нечаева Т.В.</t>
  </si>
  <si>
    <t>978-5-9558-0519-1</t>
  </si>
  <si>
    <t>396600.06.01</t>
  </si>
  <si>
    <t>Международные связи регионов государств...: Уч ./О.В.Плотникова-М.:Юр.Норма, НИЦ ИНФРА-М,2024.-192 с.(О)</t>
  </si>
  <si>
    <t>МЕЖДУНАРОДНЫЕ СВЯЗИ РЕГИОНОВ ГОСУДАРСТВ: ХАРАКТЕРИСТИКА И ОСОБЕННОСТИ</t>
  </si>
  <si>
    <t>Плотникова О.В.</t>
  </si>
  <si>
    <t>978-5-91768-652-3</t>
  </si>
  <si>
    <t>696779.03.01</t>
  </si>
  <si>
    <t>Международные стандарты аудита: теория и практика: Уч. / Л.И.Воронина - М.:НИЦ ИНФРА-М,2024 - 456 с.(ВО)(П)</t>
  </si>
  <si>
    <t>МЕЖДУНАРОДНЫЕ СТАНДАРТЫ АУДИТА: ТЕОРИЯ И ПРАКТИКА</t>
  </si>
  <si>
    <t>978-5-16-019923-8</t>
  </si>
  <si>
    <t>Рекомендовано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17 от 11.11.2019)</t>
  </si>
  <si>
    <t>083460.12.01</t>
  </si>
  <si>
    <t>Международные стандарты аудита: Уч. пос. / С.П.Суворова - 2 изд. - М.:ИД ФОРУМ:НИЦ ИНФРА-М,2025-304с.(ВО) (п)</t>
  </si>
  <si>
    <t>МЕЖДУНАРОДНЫЕ СТАНДАРТЫ АУДИТА, ИЗД.2</t>
  </si>
  <si>
    <t>Суворова С. П., Парушина Н. В., Галкина Е. В.</t>
  </si>
  <si>
    <t>978-5-8199-0503-6</t>
  </si>
  <si>
    <t>756452.02.01</t>
  </si>
  <si>
    <t>Международные стандарты аудита: Уч.пос. / Л.Л.Арзуманова - 2 изд.-М.:Юр. НОРМА, НИЦ ИНФРА-М,2024.-152 с.(п)</t>
  </si>
  <si>
    <t>Арзуманова Л.Л., Орлова Н.Ю., Цареградская Ю.К. и др.</t>
  </si>
  <si>
    <t>978-5-00156-368-6</t>
  </si>
  <si>
    <t>756452.01.01</t>
  </si>
  <si>
    <t>Международные стандарты аудита: Уч.пос. / Л.Л.Арзуманова и др. - М.:Юр.Норма, НИЦ ИНФРА-М,2021 - 152 с.(П)</t>
  </si>
  <si>
    <t>МЕЖДУНАРОДНЫЕ СТАНДАРТЫ АУДИТА</t>
  </si>
  <si>
    <t>978-5-00156-169-9</t>
  </si>
  <si>
    <t>664268.07.01</t>
  </si>
  <si>
    <t>Международные стандарты фин. отчет.: Уч. / Е.А.Мизиковский - 2 изд. - М.:Магистр, ИНФРА-М,2022 - 568с(П)</t>
  </si>
  <si>
    <t>МЕЖДУНАРОДНЫЕ СТАНДАРТЫ ФИНАНСОВОЙ ОТЧЕТНОСТИ, ИЗД.2</t>
  </si>
  <si>
    <t>Мизиковский Е.А., Дружиловская Т.Ю., Дружиловская Э.С.</t>
  </si>
  <si>
    <t>978-5-9776-0505-2</t>
  </si>
  <si>
    <t>38.03.01, 44.03.01</t>
  </si>
  <si>
    <t>159500.08.01</t>
  </si>
  <si>
    <t>Международные стандарты фин. отчет.: Уч. / Под ред. В.Г.Гетьмана - 3 изд. - ИНФРА-М, 2019-559с.(ВО)</t>
  </si>
  <si>
    <t>МЕЖДУНАРОДНЫЕ СТАНДАРТЫ ФИНАНСОВОЙ ОТЧЕТНОСТИ, ИЗД.3</t>
  </si>
  <si>
    <t>Гетьман В.Г., Рожнова О.В., Литвиненко М.И. и др.</t>
  </si>
  <si>
    <t>978-5-16-012520-6</t>
  </si>
  <si>
    <t>38.03.01, 38.03.02, 38.03.06, 44.03.01</t>
  </si>
  <si>
    <t>Рекомендовано Государственным университетом управления в качестве учебника для студентов высших учебных заведений, обучающихся экономическим специальностям и направлениям</t>
  </si>
  <si>
    <t>664268.02.01</t>
  </si>
  <si>
    <t>Международные стандарты фин. отчетности и соврем.бух.учет. в России: Уч. / Е.А.Мизиковский-М.:Магистр, НИЦ ИНФРА-М,2018-560с(П)</t>
  </si>
  <si>
    <t>МЕЖДУНАРОДНЫЕ СТАНДАРТЫ ФИНАНСОВОЙ ОТЧЕТНОСТИ И СОВРЕМЕННЫЙ БУХГАЛТЕРСКИЙ УЧЕТ В РОССИИ</t>
  </si>
  <si>
    <t>978-5-9776-0466-6</t>
  </si>
  <si>
    <t>736511.04.01</t>
  </si>
  <si>
    <t>Международные стандарты финанс. отчет. и аудита: Уч. / М.А.Вахрушина - М.:НИЦ ИНФРА-М,2024 - 447 с.(ВО)(П)</t>
  </si>
  <si>
    <t>МЕЖДУНАРОДНЫЕ СТАНДАРТЫ ФИНАНСОВОЙ ОТЧЕТНОСТИ И АУДИТА</t>
  </si>
  <si>
    <t>Вахрушина М.А., Суйц В.П.</t>
  </si>
  <si>
    <t>978-5-16-016325-3</t>
  </si>
  <si>
    <t>38.03.01, 38.04.01, 38.06.01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</si>
  <si>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 от 20.01.2021)</t>
  </si>
  <si>
    <t>159500.11.01</t>
  </si>
  <si>
    <t>Международные стандарты финанс. отчет.: Уч. / Гетьман В.Г. - 4 изд. - М.:НИЦ ИНФРА-М,2025 - 582 с.(П)</t>
  </si>
  <si>
    <t>МЕЖДУНАРОДНЫЕ СТАНДАРТЫ ФИНАНСОВОЙ ОТЧЕТНОСТИ, ИЗД.4</t>
  </si>
  <si>
    <t>Гетьман В.Г., Рожнова О.В., Гришкина С.Н. и др.</t>
  </si>
  <si>
    <t>978-5-16-020714-8</t>
  </si>
  <si>
    <t>665682.02.01</t>
  </si>
  <si>
    <t>Международные стандарты финанс. отчет.: Уч. / Т.В.Шишкова, - 3 изд.-М.:НИЦ ИНФРА-М,2021.-265с(П)(ВО)</t>
  </si>
  <si>
    <t>Шишкова Т.В., Козельцева Е.А.</t>
  </si>
  <si>
    <t>978-5-16-013583-0</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</si>
  <si>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t>
  </si>
  <si>
    <t>788039.03.01</t>
  </si>
  <si>
    <t>Международные стандарты финанс. отчет.: Уч.пос. / Ю.К.Цареградская-М.:Юр. НОРМА, НИЦ ИНФРА-М,2025.-152 с.(П)</t>
  </si>
  <si>
    <t>МЕЖДУНАРОДНЫЕ СТАНДАРТЫ ФИНАНСОВОЙ ОТЧЕТНОСТИ</t>
  </si>
  <si>
    <t>Цареградская Ю.К., Соболь О.С., Арзуманова Л.Л. и др.</t>
  </si>
  <si>
    <t>978-5-00156-265-8</t>
  </si>
  <si>
    <t>38.04.06, 38.04.08, 38.05.01</t>
  </si>
  <si>
    <t>763862.01.01</t>
  </si>
  <si>
    <t>Международные стандарты финанс. отчетности...: Уч. / Т.В.Морозова - М.:НИЦ ИНФРА-М,2022 - 293 с.(П)</t>
  </si>
  <si>
    <t>МЕЖДУНАРОДНЫЕ СТАНДАРТЫ ФИНАНСОВОЙ ОТЧЕТНОСТИ: МАТЕРИАЛЬНЫЕ И НЕМАТЕРИАЛЬНЫЕ АКТИВЫ. ПРАКТИКА ПРИМЕНЕНИЯ</t>
  </si>
  <si>
    <t>Морозова Т.В., Малицкая В.Б.</t>
  </si>
  <si>
    <t>978-5-16-017242-2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</si>
  <si>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10 от 15.12.2021)</t>
  </si>
  <si>
    <t>776425.01.01</t>
  </si>
  <si>
    <t>Международные стандарты финансовой отчетности...: Уч. / В.Б.Малицкая-М.:НИЦ ИНФРА-М,2023.-254 с.(ВО)(п)</t>
  </si>
  <si>
    <t>Малицкая В.Б., Морозова Т.В.</t>
  </si>
  <si>
    <t>978-5-16-017723-6</t>
  </si>
  <si>
    <t>38.03.01, 38.04.06, 38.04.08</t>
  </si>
  <si>
    <t>677047.05.01</t>
  </si>
  <si>
    <t>Международные стандарты финансовой отчетности: Уч. / А.М.Петров - М.:Вуз.уч.,НИЦ ИНФРА-М,2020 - 449 с(ВО)</t>
  </si>
  <si>
    <t>Петров А.М.</t>
  </si>
  <si>
    <t>978-5-9558-0613-6</t>
  </si>
  <si>
    <t>38.04.08, 40.03.01, 44.03.01, 44.03.05</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</si>
  <si>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38.04.01 «Экономика»  (квалификация (степень) «магистр»)</t>
  </si>
  <si>
    <t>320400.06.01</t>
  </si>
  <si>
    <t>Международные финансы: обзор. курс: Уч. / С.В.Котелкин - 2 изд. - М.:Магистр, НИЦ ИНФРА-М,2023 - 368 с(П)</t>
  </si>
  <si>
    <t>МЕЖДУНАРОДНЫЕ ФИНАНСЫ: ОБЗОРНЫЙ КУРС, ИЗД.2</t>
  </si>
  <si>
    <t>Котелкин С.В.</t>
  </si>
  <si>
    <t>978-5-9776-0503-8</t>
  </si>
  <si>
    <t>320400.03.01</t>
  </si>
  <si>
    <t>Международные финансы: Уч. / С.В.Котелкин - М.:Магистр, НИЦ ИНФРА-М,2018 - 688 с.(п)</t>
  </si>
  <si>
    <t>МЕЖДУНАРОДНЫЕ ФИНАНСЫ</t>
  </si>
  <si>
    <t>978-5-9776-0350-8</t>
  </si>
  <si>
    <t>241300.08.01</t>
  </si>
  <si>
    <t>Международные финансы: Уч.пос. / Е.Н.Карпова и др. - 4 изд. - М.:НИЦ ИНФРА-М,2025 - 216 с.(ВО)(П)</t>
  </si>
  <si>
    <t>МЕЖДУНАРОДНЫЕ ФИНАНСЫ, ИЗД.4</t>
  </si>
  <si>
    <t>Карпова Е.Н., Коновалов А.А., Кочановская О.М. и др.</t>
  </si>
  <si>
    <t>978-5-16-012706-4</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</si>
  <si>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</si>
  <si>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632489.06.01</t>
  </si>
  <si>
    <t>Международный бизнес: PR и реклам. дело: Уч.пос./ С.И.Лашко-М.:ИЦ РИОР, НИЦ ИНФРА-М,2023-171с(ВО)(О)</t>
  </si>
  <si>
    <t>МЕЖДУНАРОДНЫЙ БИЗНЕС: PR И РЕКЛАМНОЕ ДЕЛО</t>
  </si>
  <si>
    <t>Лашко С.И., Сапрыкина В.Ю.</t>
  </si>
  <si>
    <t>978-5-369-01589-6</t>
  </si>
  <si>
    <t>255700.09.01</t>
  </si>
  <si>
    <t>Международный бизнес: Уч. / Под ред. Поспелова В.К., - 2 изд. - М.:НИЦ ИНФРА-М,2025. - 379 с.(ВО)(п)</t>
  </si>
  <si>
    <t>МЕЖДУНАРОДНЫЙ БИЗНЕС, ИЗД.2</t>
  </si>
  <si>
    <t>Поспелов В.К., Котляров Н.Н., Лукьянович Н.В. и др.</t>
  </si>
  <si>
    <t>978-5-16-018733-4</t>
  </si>
  <si>
    <t>255700.04.01</t>
  </si>
  <si>
    <t>Международный бизнес:Уч.пос. / Под ред. Поспелов В.К.-М.:Вузовский учебник, НИЦ ИНФРА-М,2018-256с</t>
  </si>
  <si>
    <t>МЕЖДУНАРОДНЫЙ БИЗНЕС</t>
  </si>
  <si>
    <t>Поспелов В. К., Котляров Н. Н., Лукьянович Н. В., Стародубцева Е. Б., Поспелов В. К.</t>
  </si>
  <si>
    <t>978-5-9558-0355-5</t>
  </si>
  <si>
    <t>410750.08.01</t>
  </si>
  <si>
    <t>Международный маркетинг и бизнес: Уч.пос./Н.К.Моисеева -М.:КУРС, НИЦ ИНФРА-М,2023.-272 с.(П)</t>
  </si>
  <si>
    <t>МЕЖДУНАРОДНЫЙ МАРКЕТИНГ И БИЗНЕС</t>
  </si>
  <si>
    <t>Моисеева Н. К.</t>
  </si>
  <si>
    <t>978-5-905554-30-8</t>
  </si>
  <si>
    <t>Рекомендовано Учебно-методической комиссией института экономики, управления и права Национального исследовательского университета «МИЭТ»</t>
  </si>
  <si>
    <t>371500.06.01</t>
  </si>
  <si>
    <t>Международный нефтегазовый бизнес: Уч. / Ю.Н.Линник- 2 изд.-М.:НИЦ ИНФРА-М,2023.-232 с.(ВО)(П)</t>
  </si>
  <si>
    <t>МЕЖДУНАРОДНЫЙ НЕФТЕГАЗОВЫЙ БИЗНЕС, ИЗД.2</t>
  </si>
  <si>
    <t>Линник Ю.Н., Линник В.Ю., Байкова О.В. и др.</t>
  </si>
  <si>
    <t>978-5-16-015208-0</t>
  </si>
  <si>
    <t>21.03.01, 21.04.01, 38.03.01, 44.03.05</t>
  </si>
  <si>
    <t>Рекомендовано в качестве учебника для студентов высших учебных заведений, обучающихся по направлениям подготовки 38.03.01 «Экономика» и 21.03.01 «Нефтегазовое дело» (квалификация (степень) «бакалавр»)</t>
  </si>
  <si>
    <t>672318.03.01</t>
  </si>
  <si>
    <t>Международный опыт реализ. гос. молодеж. полит.: Уч.пос./ Т.К.Ростовская -М.:НИЦ ИНФРА-М,2020-120с.(ВО) (О)</t>
  </si>
  <si>
    <t>МЕЖДУНАРОДНЫЙ ОПЫТ РЕАЛИЗАЦИИ ГОСУДАРСТВЕННОЙ МОЛОДЕЖНОЙ ПОЛИТИКИ</t>
  </si>
  <si>
    <t>Ростовская Т.К., Петрова Т.Э.</t>
  </si>
  <si>
    <t>978-5-16-013515-1</t>
  </si>
  <si>
    <t>39.03.01, 39.03.02, 39.03.03, 39.04.01, 39.04.02, 39.04.03, 44.03.02, 44.04.02</t>
  </si>
  <si>
    <t>Рекомендовано в качестве учебного пособия для студентов высших учебных заведений, обучающихся по направлениям подготовки 39.03.03 «Организация работы с молодежью», 39.03.01 «Социология», 39.03.02 «Социальная работа», 44.03.02 «Психолого-педагогическое образование» (квалификация (степень) «бакалавр»)</t>
  </si>
  <si>
    <t>632810.05.01</t>
  </si>
  <si>
    <t>Международный офшорный бизнес: Уч.пос. / А.П.Матусевич - М.:Магистр, НИЦ ИНФРА-М,2025. - 192 с.(О)</t>
  </si>
  <si>
    <t>МЕЖДУНАРОДНЫЙ ОФШОРНЫЙ БИЗНЕС</t>
  </si>
  <si>
    <t>Матусевич А.П.</t>
  </si>
  <si>
    <t>978-5-9776-0428-4</t>
  </si>
  <si>
    <t>371500.07.01</t>
  </si>
  <si>
    <t>Международный топливно-энергетический  бизнес: Уч./ Ю.Н.Линник и др. - М.:НИЦ ИНФРА-М,2024. - 278 с.(ВО)(п)</t>
  </si>
  <si>
    <t>МЕЖДУНАРОДНЫЙ ТОПЛИВНО-ЭНЕРГЕТИЧЕСКИЙ  БИЗНЕС</t>
  </si>
  <si>
    <t>Линник Ю.Н., Линник В.Ю., Байкова О.В.</t>
  </si>
  <si>
    <t>978-5-16-019540-7</t>
  </si>
  <si>
    <t>Рекомендовано к изданию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учебника для подготовки обучающихся по направлению подготовки 38.03.02 Менеджмент (уровень - бакалавриат)</t>
  </si>
  <si>
    <t>127850.08.01</t>
  </si>
  <si>
    <t>Международный финансовый менеджмент: Уч.пос. / С.В.Котелкин - М.:Магистр, НИЦ ИНФРА-М,2022-605 с.(П)</t>
  </si>
  <si>
    <t>МЕЖДУНАРОДНЫЙ ФИНАНСОВЫЙ МЕНЕДЖМЕНТ</t>
  </si>
  <si>
    <t>Котелкин С. В.</t>
  </si>
  <si>
    <t>978-5-9776-0137-5</t>
  </si>
  <si>
    <t>38.03.01, 38.03.02, 38.03.03, 38.04.01, 38.04.02, 38.04.08, 38.04.09, 41.03.06, 44.03.01, 44.03.05</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</si>
  <si>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"Мировая экономика" и "Финансы и кредит"</t>
  </si>
  <si>
    <t>656465.03.01</t>
  </si>
  <si>
    <t>Межкультурные отличия в практике бизнеса: Уч.пос. / Н.М.Громова-М.:Магистр, НИЦ ИНФРА-М,2020-164с(О)</t>
  </si>
  <si>
    <t>МЕЖКУЛЬТУРНЫЕ ОТЛИЧИЯ В ПРАКТИКЕ БИЗНЕСА</t>
  </si>
  <si>
    <t>Громова Н.М.</t>
  </si>
  <si>
    <t>978-5-9776-0459-8</t>
  </si>
  <si>
    <t>38.03.01, 38.04.02, 38.04.06</t>
  </si>
  <si>
    <t>658843.05.01</t>
  </si>
  <si>
    <t>Менеджмент  в туризме: Уч.пос. / П.В.Большаник и др., - 2 изд. - М.:НИЦ ИНФРА-М,2025. - 207 с.(ВО)(п)</t>
  </si>
  <si>
    <t>МЕНЕДЖМЕНТ  В ТУРИЗМЕ, ИЗД.2</t>
  </si>
  <si>
    <t>Большаник П.В., Джураев А.Т., Махмудова Н.У. и др.</t>
  </si>
  <si>
    <t>978-5-16-019645-9</t>
  </si>
  <si>
    <t>38.03.02, 43.03.02</t>
  </si>
  <si>
    <t>658843.04.01</t>
  </si>
  <si>
    <t>Менеджмент  в туристских организациях: Уч.пос. / П.В.Большаник - М.:НИЦ ИНФРА-М,2023 - 193 с.-(ВО)(П)</t>
  </si>
  <si>
    <t>МЕНЕДЖМЕНТ  В ТУРИСТСКИХ ОРГАНИЗАЦИЯХ</t>
  </si>
  <si>
    <t>978-5-16-013170-2</t>
  </si>
  <si>
    <t>Рекомендовано в качестве учебного пособия для студентов высших учебных заведений, обучающихся по направлению подготовки 43.03.02 «Туризм»  (квалификация (степень) «бакалавр»)</t>
  </si>
  <si>
    <t>151100.10.01</t>
  </si>
  <si>
    <t>Менеджмент - твоя работа. Действуй на опережение!: Уч. / Л.Д.Гительман - М.: ИНФРА-М, 2025 - 544с. (п)</t>
  </si>
  <si>
    <t>МЕНЕДЖМЕНТ - ТВОЯ РАБОТА. ДЕЙСТВУЙ НА ОПЕРЕЖЕНИЕ!</t>
  </si>
  <si>
    <t>Гительман Л. Д.</t>
  </si>
  <si>
    <t>978-5-16-004970-0</t>
  </si>
  <si>
    <t>38.03.02, 38.03.04, 38.04.01, 38.04.02, 38.04.04</t>
  </si>
  <si>
    <t>Допущено Советом УМО по образованию в области менеджмента в качестве учебника по направлению 080200 ""Менеджмент"</t>
  </si>
  <si>
    <t>124600.10.01</t>
  </si>
  <si>
    <t>Менеджмент в домашнем хоз.: Уч. пос./Под общ. ред.С.Д. Резника.-3 изд.-ИНФРА-М,2024.-461с.(ВО) (п)</t>
  </si>
  <si>
    <t>МЕНЕДЖМЕНТ В ДОМАШНЕМ ХОЗЯЙСТВЕ, ИЗД.3</t>
  </si>
  <si>
    <t>Резник С. Д., Бобров В. А., Егорова Н. Ю.</t>
  </si>
  <si>
    <t>978-5-16-003715-8</t>
  </si>
  <si>
    <t>38.03.01, 38.03.02, 38.03.03, 38.03.04, 38.03.05, 38.03.06, 38.03.07, 38.05.01, 38.05.02, 42.03.01, 43.03.01, 43.04.01</t>
  </si>
  <si>
    <t>Допущено Советом Учебно-методического объединения вузов России по образованию в области менеджмента в качестве учебного пособия для студентов экономических, управленческих и других специальностей вузов</t>
  </si>
  <si>
    <t>084090.14.01</t>
  </si>
  <si>
    <t>Менеджмент в молодеж. политике: Уч.пос. / Под общ.ред.  М.П.Переверзева -М.:НИЦ ИНФРА-М,2024-238с(П)</t>
  </si>
  <si>
    <t>МЕНЕДЖМЕНТ В МОЛОДЕЖНОЙ ПОЛИТИКЕ</t>
  </si>
  <si>
    <t>Переверзев М.П., Калинина З.Н., Переверзев М.П.</t>
  </si>
  <si>
    <t>978-5-16-006328-7</t>
  </si>
  <si>
    <t>39.03.03, 39.04.03</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</si>
  <si>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39.03.03 «Организация работы с молодежью»</t>
  </si>
  <si>
    <t>634332.07.01</t>
  </si>
  <si>
    <t>Менеджмент в образовании: Уч. / Г.Г.Корзникова - 2 изд. - М.:НИЦ ИНФРА-М,2024 - 352 с.-(ВО)(П)</t>
  </si>
  <si>
    <t>МЕНЕДЖМЕНТ В ОБРАЗОВАНИИ, ИЗД.2</t>
  </si>
  <si>
    <t>Корзникова Г.Г.</t>
  </si>
  <si>
    <t>978-5-16-012109-3</t>
  </si>
  <si>
    <t>44.03.01, 44.03.05, 44.04.01</t>
  </si>
  <si>
    <t>Рекомендовано Ученым советом федерального государственного бюджетного образовательного учреждения высшего образования «Уральский государственный педагогический университет» в качестве учебного издания. Рекомендовано в качестве учебника для студентов высших учебных заведений, обучающихся по направлению подготовки 44.04.01 «Педагогическое образование» (квалификация (степень) «магистр»)</t>
  </si>
  <si>
    <t>770723.01.01</t>
  </si>
  <si>
    <t>Менеджмент в орган. отдыха детей и их оздоровления: Уч./М.П.Кулаченко-М.:НИЦ ИНФРА-М,2025-531с.(ВО:Магистр)(п)</t>
  </si>
  <si>
    <t>МЕНЕДЖМЕНТ В ОРГАНИЗАЦИИ ОТДЫХА ДЕТЕЙ И ИХ ОЗДОРОВЛЕНИЯ</t>
  </si>
  <si>
    <t>Кулаченко М.П.</t>
  </si>
  <si>
    <t>978-5-16-017521-8</t>
  </si>
  <si>
    <t>44.00.00, 44.03.05</t>
  </si>
  <si>
    <t>124300.08.01</t>
  </si>
  <si>
    <t>Менеджмент в рекламе: Уч. пос. / Н.В. Бацюн - М.: ИЦ РИОР:ИНФРА-М,2024 - 175 с.(ВО) (П)</t>
  </si>
  <si>
    <t>МЕНЕДЖМЕНТ В РЕКЛАМЕ</t>
  </si>
  <si>
    <t>Бацюн Н. В.</t>
  </si>
  <si>
    <t>978-5-369-00601-6</t>
  </si>
  <si>
    <t>38.03.02, 38.04.02, 42.03.01, 42.04.01</t>
  </si>
  <si>
    <t>Допущено УМО по образованию в области коммерции в качестве учебного пособия для студентов вузов, обучающихся по специальности "Реклама"</t>
  </si>
  <si>
    <t>648904.08.01</t>
  </si>
  <si>
    <t>Менеджмент в сервисе и туризме: Уч.пос. / В.М.Пищулов - 3 изд. - М.:НИЦ ИНФРА-М,2025 - 284 с.(ВО)(П)</t>
  </si>
  <si>
    <t>МЕНЕДЖМЕНТ В СЕРВИСЕ И ТУРИЗМЕ, ИЗД.3</t>
  </si>
  <si>
    <t>978-5-16-012517-6</t>
  </si>
  <si>
    <t>43.03.01, 43.03.02, 44.03.05, 49.03.03</t>
  </si>
  <si>
    <t>Рекомендовано ФГБОУ ВО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образовательные программы высшего образования по направлениям подготовки 43.03.02 «Туризм», 43.03.01 «Сервис» (квалификация (степень) «бакалавр»)</t>
  </si>
  <si>
    <t>703218.05.01</t>
  </si>
  <si>
    <t>Менеджмент в сервисе и туризме: Уч.пос. / В.М.Пищулов, - 3 изд. - М.:НИЦ ИНФРА-М,2025. - 284 с.(СПО)(п)</t>
  </si>
  <si>
    <t>978-5-16-014869-4</t>
  </si>
  <si>
    <t>43.02.11, 43.02.16, 43.02.17</t>
  </si>
  <si>
    <t>086260.19.01</t>
  </si>
  <si>
    <t>Менеджмент в сервисе и туризме: Уч.пос. / Н.А.Зайцева - 3 изд. - М.:НИЦ ИНФРА-М,2025 - 366 с.(СПО)(о)</t>
  </si>
  <si>
    <t>Зайцева Н. А.</t>
  </si>
  <si>
    <t>978-5-16-016114-3</t>
  </si>
  <si>
    <t>38.02.01, 43.02.11, 43.02.16</t>
  </si>
  <si>
    <t>446550.05.01</t>
  </si>
  <si>
    <t>Менеджмент в социал. и эконом.сист..: Уч.пос./С.Д.Резник-2 изд.-М:ИЦ РИОР:НИЦ ИНФРА-М,2024-207с.(ВО)(п)</t>
  </si>
  <si>
    <t>МЕНЕДЖМЕНТ В СОЦИАЛЬНЫХ И ЭКОНОМИЧЕСКИХ СИСТЕМАХ НЕПРОИЗВОДСТВЕННОЙ СФЕРЫ, ИЗД.2</t>
  </si>
  <si>
    <t>Резник С.Д., Резник С.Д., Кондратьев Э.В.</t>
  </si>
  <si>
    <t>978-5-369-01262-8</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</si>
  <si>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по специальности «Менеджмент организации»</t>
  </si>
  <si>
    <t>440050.04.01</t>
  </si>
  <si>
    <t>Менеджмент в социальных. и экон. сист.: Уч.пос. / С.Д.Резник-2 изд.-М.:РИОР, ИНФРА-М,2024-304 с.(ВО: Бак)(п)</t>
  </si>
  <si>
    <t>МЕНЕДЖМЕНТ В СОЦИАЛЬНЫХ И ЭКОНОМИЧЕСКИХ СИСТЕМАХ: ТЕОРИЯ И МЕТОДОЛОГИЯ, ИЗД.2</t>
  </si>
  <si>
    <t>Резник С.Д., Кондратьев Э.В., Неретина Е.А. и др.</t>
  </si>
  <si>
    <t>978-5-369-01207-9</t>
  </si>
  <si>
    <t>38.03.01, 38.03.02, 38.03.03, 38.03.04, 38.04.01, 38.04.02</t>
  </si>
  <si>
    <t>Допущено Учебно-методическим объединением вузов России по образованию в области менеджмента в качестве учебного пособия для студентов управленческих и экономических специальностей, бакалавриата и магистратуры</t>
  </si>
  <si>
    <t>083300.14.01</t>
  </si>
  <si>
    <t>Менеджмент в сфере культуры и искусства: Уч.пос. / Переверзев М.П. - М.:НИЦ ИНФРА-М,2023 - 192с(ВО)(П)</t>
  </si>
  <si>
    <t>МЕНЕДЖМЕНТ В СФЕРЕ КУЛЬТУРЫ И ИСКУССТВА</t>
  </si>
  <si>
    <t>Переверзев М.П., Косцов Т.В., Переверзев М.П.</t>
  </si>
  <si>
    <t>978-5-16-006927-2</t>
  </si>
  <si>
    <t>44.03.05, 50.03.04, 50.04.04, 51.03.01, 51.03.05, 51.04.04</t>
  </si>
  <si>
    <t>Рекомендовано Учебно-методическим объединением по образованию в области инновационных междисциплинарных образовательных программ в качестве учебного пособия по направлению подготовки 50.03.01 «Искусства и гуманитарные науки» (квалификация (степень) «бакалавр»)</t>
  </si>
  <si>
    <t>420700.08.01</t>
  </si>
  <si>
    <t>Менеджмент в туризме: уч. / Под ред. Богданов Е.И.-М.:НИЦ ИНФРА-М,2024.-152 с..-(ВО: Бакалавриат)(п)</t>
  </si>
  <si>
    <t>МЕНЕДЖМЕНТ В ТУРИЗМЕ</t>
  </si>
  <si>
    <t>Киседобрев В. П., Кострюкова О. Н., Киседобрев А. В., Богданов Е. И.</t>
  </si>
  <si>
    <t>978-5-16-006294-5</t>
  </si>
  <si>
    <t>38.03.02, 43.03.02, 43.04.02, 49.03.03</t>
  </si>
  <si>
    <t>Рекомендовано Учебно-методическим объединением по образованию в области производственного менеджмента Министерства образования и науки Российской Федерации в качестве учебника для студентов высших учебных заведений, обучающихся по специальности 08050</t>
  </si>
  <si>
    <t>470100.06.01</t>
  </si>
  <si>
    <t>Менеджмент в туристской индустрии: Уч. / Л.В.Баумгартен - М.:Вуз.уч.,НИЦ ИНФРА-М,2024 - 236 с.(П)</t>
  </si>
  <si>
    <t>МЕНЕДЖМЕНТ В ТУРИСТСКОЙ ИНДУСТРИИ</t>
  </si>
  <si>
    <t>978-5-9558-0480-4</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</si>
  <si>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38.03.02 «Менеджмент», 43.04.02 «Туризм» (квалификация (степень) «бакалавр»)</t>
  </si>
  <si>
    <t>775404.01.01</t>
  </si>
  <si>
    <t>Менеджмент в туристской индустрии: Уч.пос. / А.Н.Полухина - М.:НИЦ ИНФРА-М,2025 - 329 с.(ВО)(п)</t>
  </si>
  <si>
    <t>Полухина А.Н., Шерешева М.Ю., Лежнин В.В.</t>
  </si>
  <si>
    <t>978-5-16-017907-0</t>
  </si>
  <si>
    <t>43.03.01, 43.03.02, 43.04.03</t>
  </si>
  <si>
    <t>682973.05.01</t>
  </si>
  <si>
    <t>Менеджмент гостеприимства: Уч.пос. / Е.Н.Кнышова - М.:ИД ФОРУМ, НИЦ ИНФРА-М,2025. - 512 с.(СПО)(П)</t>
  </si>
  <si>
    <t>МЕНЕДЖМЕНТ ГОСТЕПРИИМСТВА</t>
  </si>
  <si>
    <t>Кнышова Е.Н., Белозерова Ю.М.</t>
  </si>
  <si>
    <t>978-5-8199-0795-5</t>
  </si>
  <si>
    <t>43.02.16, 43.02.17</t>
  </si>
  <si>
    <t>700690.01.01</t>
  </si>
  <si>
    <t>Менеджмент и маркетинг: Уч. / Н.Г.Забродская - М.:НИЦ ИНФРА-М,2025. - 301 с.-(ВО)(п)</t>
  </si>
  <si>
    <t>МЕНЕДЖМЕНТ И МАРКЕТИНГ</t>
  </si>
  <si>
    <t>Забродская Н.Г.</t>
  </si>
  <si>
    <t>978-5-16-015211-0</t>
  </si>
  <si>
    <t>Белорусский государственный университет информатики и радиоэлектроники</t>
  </si>
  <si>
    <t>758795.04.01</t>
  </si>
  <si>
    <t>Менеджмент информационного контента: Уч.пос. / В.Н.Шитов - М.:НИЦ ИНФРА-М,2025 - 209 с.(СПО)(П)</t>
  </si>
  <si>
    <t>МЕНЕДЖМЕНТ ИНФОРМАЦИОННОГО КОНТЕНТА</t>
  </si>
  <si>
    <t>978-5-16-017311-5</t>
  </si>
  <si>
    <t>09.01.03, 09.02.07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</si>
  <si>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9 от 17.11.2021)</t>
  </si>
  <si>
    <t>174900.11.01</t>
  </si>
  <si>
    <t>Менеджмент организации: теория, ист., прак.: Уч.пос. / О.Г.Тихомирова-М.:НИЦ ИНФРА-М,2024.-256 с.(ВО)(О)</t>
  </si>
  <si>
    <t>МЕНЕДЖМЕНТ ОРГАНИЗАЦИИ: ТЕОРИЯ, ИСТОРИЯ, ПРАКТИКА</t>
  </si>
  <si>
    <t>Тихомирова О. Г., Варламов Б. А.</t>
  </si>
  <si>
    <t>978-5-16-005014-0</t>
  </si>
  <si>
    <t>38.03.02, 38.03.04, 38.04.02, 38.04.04, 41.03.06, 44.03.05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</si>
  <si>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080200 «Менеджмент» и специальности 080507 «Менеджмент организа</t>
  </si>
  <si>
    <t>Национальный исследовательский университет ИТМО</t>
  </si>
  <si>
    <t>096850.10.01</t>
  </si>
  <si>
    <t>Менеджмент продаж: Уч. пос. / С.П. Коноплев. - М.: ИНФРА-М, 2024. - 304 с.- (ВО) (п)</t>
  </si>
  <si>
    <t>МЕНЕДЖМЕНТ ПРОДАЖ</t>
  </si>
  <si>
    <t>Коноплев С. П., Коноплева В. С.</t>
  </si>
  <si>
    <t>978-5-16-003407-2</t>
  </si>
  <si>
    <t>38.03.02, 38.03.06, 38.04.02, 38.04.06</t>
  </si>
  <si>
    <t>Допущено УМО по образованию в области прикладной информатики в качестве учебного пособия для студентов вузов, обучающихся по специальности "Прикладная информатика (по областям)" и другим специальностям</t>
  </si>
  <si>
    <t>689445.02.01</t>
  </si>
  <si>
    <t>Менеджмент техники и технологии сельскохоз.машин: Уч.пос. / А.Л.Эйдис-М.:НИЦ ИНФРА-М,2023-196с(ВО)(П)</t>
  </si>
  <si>
    <t>МЕНЕДЖМЕНТ ТЕХНИКИ И ТЕХНОЛОГИИ СЕЛЬСКОХОЗЯЙСТВЕННЫХ МАШИН</t>
  </si>
  <si>
    <t>Эйдис А.Л., Парлюк Е.П., Еремеев В.И.</t>
  </si>
  <si>
    <t>978-5-16-014488-7</t>
  </si>
  <si>
    <t>23.04.02, 23.05.01, 35.03.06, 35.04.06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</si>
  <si>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23.03.02 «Наземные транспортно-технологические комплексы», 35.03.06 «Агроинженерия» (квалификация (степень) «бакалавр») (протокол № 12 от 24.06.2019)</t>
  </si>
  <si>
    <t>188900.05.01</t>
  </si>
  <si>
    <t>Менеджмент: бакалаврская работа: Уч.пос. / С.Д.Резник - 2 изд. - М.:НИЦ ИНФРА-М,2019-260 с.(ВО)(П)</t>
  </si>
  <si>
    <t>МЕНЕДЖМЕНТ: БАКАЛАВРСКАЯ РАБОТА, ИЗД.2</t>
  </si>
  <si>
    <t>978-5-16-011845-1</t>
  </si>
  <si>
    <t>38.03.01, 38.03.02, 38.04.02, 41.03.06, 44.03.01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</si>
  <si>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</si>
  <si>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188900.07.01</t>
  </si>
  <si>
    <t>Менеджмент: вып. квалификац. раб. бакалавра: Уч.пос. / С.Д.Резник - 3 изд. - М.:НИЦ ИНФРА-М,2025. - 251 с(П)</t>
  </si>
  <si>
    <t>МЕНЕДЖМЕНТ: ВЫПУСКНАЯ КВАЛИФИКАЦИОННАЯ РАБОТА БАКАЛАВРА, ИЗД.3</t>
  </si>
  <si>
    <t>Резник С.Д., Баулин А.В., Джевицкая Е.С. и др.</t>
  </si>
  <si>
    <t>978-5-16-017144-9</t>
  </si>
  <si>
    <t>Рекомендовано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направлениям подготовки 38.03.02 «Менеджмент» и 38.03.03 «Управление персоналом»</t>
  </si>
  <si>
    <t>159750.12.01</t>
  </si>
  <si>
    <t>Менеджмент: выпуск. квалификац. раб. магистр.: Уч.пос. / С.Д.Резник - 4 изд.-М.:НИЦ ИНФРА-М,2023.-277 с(П)</t>
  </si>
  <si>
    <t>МЕНЕДЖМЕНТ: ВЫПУСКНАЯ КВАЛИФИКАЦИОННАЯ РАБОТА МАГИСТРАНТА, ИЗД.4</t>
  </si>
  <si>
    <t>Резник С.Д., Двоеглазов В.В., Джевицкая Е.С. и др.</t>
  </si>
  <si>
    <t>978-5-16-017304-7</t>
  </si>
  <si>
    <t>38.03.04, 38.04.02, 38.04.04, 44.03.05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</si>
  <si>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t>
  </si>
  <si>
    <t>159750.10.01</t>
  </si>
  <si>
    <t>Менеджмент: магистерская диссертация: Уч.пос. / С.Д.Резник - 3 изд. - М.:НИЦ ИНФРА-М,2022 - 282с(ВО)</t>
  </si>
  <si>
    <t>МЕНЕДЖМЕНТ: МАГИСТЕРСКАЯ ДИССЕРТАЦИЯ, ИЗД.3</t>
  </si>
  <si>
    <t>978-5-16-013828-2</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</si>
  <si>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t>
  </si>
  <si>
    <t>159750.04.01</t>
  </si>
  <si>
    <t>Менеджмент: магистерская диссертация:Уч.пос. / Под ред. Резник С.Д., - 2-е изд., стереотип.-М.:ИНФРА-М Издательский Дом,2018.-240 с..-(Высшее</t>
  </si>
  <si>
    <t>МЕНЕДЖМЕНТ: МАГИСТЕРСКАЯ ДИССЕРТАЦИЯ, ИЗД.2</t>
  </si>
  <si>
    <t>978-5-16-004945-8</t>
  </si>
  <si>
    <t>Рекомендовано Учебн-методиским объединением по образованию в области менеджмента для студентво высших учебных заведений, обучающихся по направлени. "Менеджмент"</t>
  </si>
  <si>
    <t>708853.02.01</t>
  </si>
  <si>
    <t>Менеджмент: методы управления: Уч.пос. / С.Н.Рыжиков-М.:НИЦ ИНФРА-М,2023.-202 с.(ВО: Бакалавр/) (П)</t>
  </si>
  <si>
    <t>МЕНЕДЖМЕНТ: МЕТОДЫ УПРАВЛЕНИЯ</t>
  </si>
  <si>
    <t>978-5-16-015539-5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</si>
  <si>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38.00.00 «Экономика и управление» (протокол № 8 от 22.06.2020)</t>
  </si>
  <si>
    <t>680324.03.01</t>
  </si>
  <si>
    <t>Менеджмент: практическая подготовка магистранта: Уч.пос. / С.Д.Резник-М.:НИЦ ИНФРА-М,2023-148с(ВО(П)</t>
  </si>
  <si>
    <t>МЕНЕДЖМЕНТ: ПРАКТИЧЕСКАЯ ПОДГОТОВКА МАГИСТРАНТА</t>
  </si>
  <si>
    <t>Резник С.Д., Двоеглазов В.В., Вдовина О.А. и др.</t>
  </si>
  <si>
    <t>978-5-16-014247-0</t>
  </si>
  <si>
    <t>773018.03.01</t>
  </si>
  <si>
    <t>Менеджмент: теория и практика: Уч.пос. / В.М.Федоров - М.:НИЦ ИНФРА-М,2025. - 267 с.(СПО)(П)</t>
  </si>
  <si>
    <t>МЕНЕДЖМЕНТ: ТЕОРИЯ И ПРАКТИКА</t>
  </si>
  <si>
    <t>Федоров В.М., Саньков М.А.</t>
  </si>
  <si>
    <t>978-5-16-017501-0</t>
  </si>
  <si>
    <t>638370.07.01</t>
  </si>
  <si>
    <t>Менеджмент: традиц.и совр. модели: Справ.пос. / В.В.Филатов -М.:НИЦ ИНФРА-М,2024-474(Спр.ИНФРА-М)(П)</t>
  </si>
  <si>
    <t>МЕНЕДЖМЕНТ: ТРАДИЦИОННЫЕ И СОВРЕМЕННЫЕ МОДЕЛИ</t>
  </si>
  <si>
    <t>Филатов В.В., Петросян Д.С., Алексеев А.Е. и др.</t>
  </si>
  <si>
    <t>Справочники ИНФРА-М</t>
  </si>
  <si>
    <t>978-5-16-012235-9</t>
  </si>
  <si>
    <t>247800.07.01</t>
  </si>
  <si>
    <t>Менеджмент: Уч. / А.В. Тебекин - М: НИЦ ИНФРА-М, 2024 - 384 - (ВО: Бакалавриат)(П)</t>
  </si>
  <si>
    <t>МЕНЕДЖМЕНТ</t>
  </si>
  <si>
    <t>Тебекин А. В.</t>
  </si>
  <si>
    <t>978-5-16-009321-5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</si>
  <si>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(080200.62) "Менеджмент» (квалификация (степень) "б</t>
  </si>
  <si>
    <t>814863.01.01</t>
  </si>
  <si>
    <t>Менеджмент: Уч. / М.В.Чараева - М.:НИЦ ИНФРА-М,2025 - 343 с.(ВО)(п)</t>
  </si>
  <si>
    <t>Чараева М.В., Шевченко Д.А., Лысоченко А.А. и др.</t>
  </si>
  <si>
    <t>978-5-16-019672-5</t>
  </si>
  <si>
    <t>033295.22.01</t>
  </si>
  <si>
    <t>Менеджмент: Уч. / О.С.Виханский - 2 изд. - М.:Магистр, НИЦ ИНФРА-М,2024 - 288 с.(П)</t>
  </si>
  <si>
    <t>МЕНЕДЖМЕНТ, ИЗД.2</t>
  </si>
  <si>
    <t>Виханский О. С., Наумов А. И.</t>
  </si>
  <si>
    <t>978-5-9776-0085-9</t>
  </si>
  <si>
    <t>Рекомендовано Министерство образования и науки Российской Федерации в качестве учебника обучающихся по направлению подготовки «Экономика» и для студентов высших учебных заведений, специальностям «Финансы и кредит», «Бухгалтерский учет, анализ, и ауди</t>
  </si>
  <si>
    <t>002806.28.01</t>
  </si>
  <si>
    <t>Менеджмент: Уч. / О.С.Виханский - 6 изд., перераб. и доп. - М.:Магистр, НИЦ ИНФРА-М,2023.-656с.(п)</t>
  </si>
  <si>
    <t>МЕНЕДЖМЕНТ, ИЗД.6</t>
  </si>
  <si>
    <t>Виханский О.С., Наумов А.И.</t>
  </si>
  <si>
    <t>978-5-9776-0320-1</t>
  </si>
  <si>
    <t>07.03.03, 07.04.01, 16.03.03, 18.05.01, 19.03.03, 19.03.04, 20.03.01, 20.03.02, 20.05.01, 23.05.01, 23.05.02, 23.05.03, 23.05.04, 23.05.05, 24.05.01, 24.05.07, 27.03.02, 28.03.01, 29.03.02, 35.03.03, 35.03.04, 35.03.07, 35.03.09, 37.03.02, 37.05.01, 38.03.02, 38.04.02, 38.05.01, 38.05.02, 39.03.01, 41.03.05, 41.03.06, 42.03.01, 43.03.01, 43.03.02, 43.03.03, 44.03.01, 44.03.05, 45.03.01, 45.03.03, 51.03.01</t>
  </si>
  <si>
    <t>Рекомендовано Министерством образования и науки Российской Федерации в качестве учебника обучающихся по направлению подготовки «Экономика» и для студентов высших учебных заведений, специальностям «Финансы и кредит», «Бухгалтерский учет, анализ и аудит», «Мировая экономика», «Налоги и налогообложение»</t>
  </si>
  <si>
    <t>0614</t>
  </si>
  <si>
    <t>002806.33.01</t>
  </si>
  <si>
    <t>Менеджмент: Уч. / О.С.Виханский - 7 изд. - М.:Магистр, НИЦ ИНФРА-М,2025. - 672 c.(п)</t>
  </si>
  <si>
    <t>МЕНЕДЖМЕНТ, ИЗД.7</t>
  </si>
  <si>
    <t>978-5-9776-0554-0</t>
  </si>
  <si>
    <t>0723</t>
  </si>
  <si>
    <t>698849.03.01</t>
  </si>
  <si>
    <t>Менеджмент: Уч. / О.С.Гапонова и др. - М.:ИЦ РИОР, НИЦ ИНФРА-М,2025 - 480 с.-(ВО)(П)</t>
  </si>
  <si>
    <t>Гапонова О.С., Данилова Л.С., Чилипенок Ю.Ю.</t>
  </si>
  <si>
    <t>978-5-369-01819-4</t>
  </si>
  <si>
    <t>38.03.01, 38.03.02, 38.03.04, 38.04.02</t>
  </si>
  <si>
    <t>047950.19.01</t>
  </si>
  <si>
    <t>Менеджмент: Уч. пос. / Е.Н.Кнышова - М.:ИД ФОРУМ, НИЦ ИНФРА-М,2025. - 304 с.-(Проф.обр.)(П)</t>
  </si>
  <si>
    <t>978-5-8199-0106-9</t>
  </si>
  <si>
    <t>092250.12.01</t>
  </si>
  <si>
    <t>Менеджмент: Уч. пос./ В.Д. Дорофеев - М.: НИЦ ИНФРА-М, 2025. - 328 с. (ВО) (П)</t>
  </si>
  <si>
    <t>Дорофеев В. Д., Шмелева А. Н., Шестопал Н. Ю.</t>
  </si>
  <si>
    <t>978-5-16-009538-7</t>
  </si>
  <si>
    <t>087120.17.01</t>
  </si>
  <si>
    <t>Менеджмент: Уч.пос. / А.В.Райченко - 2 изд. - М.:НИЦ ИНФРА-М,2025. - 342 с.-(СПО)(П)</t>
  </si>
  <si>
    <t>Райченко А.В., Хохлова И.В.</t>
  </si>
  <si>
    <t>978-5-16-012233-5</t>
  </si>
  <si>
    <t>271700.07.01</t>
  </si>
  <si>
    <t>Менеджмент: Уч.пос. / А.П.Балашов - М.:Вуз. уч., НИЦ ИНФРА-М,2025. - 272 с.(п)</t>
  </si>
  <si>
    <t>Балашов А.П.</t>
  </si>
  <si>
    <t>978-5-9558-0365-4</t>
  </si>
  <si>
    <t>38.03.01, 38.03.02, 38.03.06, 41.03.06, 44.03.05</t>
  </si>
  <si>
    <t>684816.05.01</t>
  </si>
  <si>
    <t>Менеджмент: Уч.пос. / А.П.Балашов - М.:Вуз.уч., НИЦ ИНФРА-М,2025 - 272 с.-(СПО)(П)</t>
  </si>
  <si>
    <t>978-5-9558-0627-3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</si>
  <si>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5 от 11.03.2019)</t>
  </si>
  <si>
    <t>645602.06.01</t>
  </si>
  <si>
    <t>Менеджмент: Уч.пос. / Е.И.Мазилкина - М.:НИЦ ИНФРА-М,2024 - 197 с.(СПО)(П)</t>
  </si>
  <si>
    <t>Мазилкина Е.И.</t>
  </si>
  <si>
    <t>978-5-16-012447-6</t>
  </si>
  <si>
    <t>Рекомендовано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t>
  </si>
  <si>
    <t>027277.19.01</t>
  </si>
  <si>
    <t>Менеджмент: Уч.пос. / Л.Е. Басовский - 2 изд. - М.: НИЦ ИНФРА-М, 2025 - 256 с.(ВО) (п)</t>
  </si>
  <si>
    <t>978-5-16-006401-7</t>
  </si>
  <si>
    <t>38.03.01, 38.03.02, 38.03.03, 44.03.01, 44.03.02, 44.03.03, 44.03.04, 44.03.05</t>
  </si>
  <si>
    <t>757597.05.01</t>
  </si>
  <si>
    <t>Менеджмент: Уч.пос. / С.Д.Резник - 4 изд.-М.:НИЦ ИНФРА-М,2023.-367 с.(Менеджмент в высшей школе)(П)</t>
  </si>
  <si>
    <t>МЕНЕДЖМЕНТ, ИЗД.4</t>
  </si>
  <si>
    <t>978-5-16-017017-6</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</si>
  <si>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направлениям «Менеджмент», «Управление персоналом» и «Экономика»</t>
  </si>
  <si>
    <t>141550.07.01</t>
  </si>
  <si>
    <t>Менеждмент. Восприятие сущности менедж....: Уч. пос. / В.И.Грушенко - М.: ИНФРА-М, 2024-288с.(ВО) (п)</t>
  </si>
  <si>
    <t>МЕНЕЖДМЕНТ. ВОСПРИЯТИЕ СУЩНОСТИ МЕНЕДЖМЕНТА В УСЛОВИЯХ СТРАТЕГИЧЕСКИХ ИЗМЕНЕНИЙ</t>
  </si>
  <si>
    <t>Грушенко В. И.</t>
  </si>
  <si>
    <t>978-5-16-004559-7</t>
  </si>
  <si>
    <t>38.03.01, 38.03.02, 38.03.03, 38.03.04, 38.04.01, 38.04.02, 38.04.03, 38.04.04, 41.03.06, 44.03.01, 44.03.05</t>
  </si>
  <si>
    <t>Допущено Советом Учебно-методического объединения вузов России по образованию в области менеджмента в качестве учебного пособия по направлению "Менеджмент"</t>
  </si>
  <si>
    <t>Финансовый университет при Правительстве Российской Федерации, Смоленский ф-л</t>
  </si>
  <si>
    <t>656472.03.01</t>
  </si>
  <si>
    <t>Менталитет, ментальность и этнопсихолог. особ. китайцев: Моногр. / В.В.Собольников-М.:Вуз.уч.,НИЦ ИНФРА-М,2019-160с(О)</t>
  </si>
  <si>
    <t>МЕНТАЛИТЕТ, МЕНТАЛЬНОСТЬ И ЭТНОПСИХОЛОГИЧЕСКИЕ ОСОБЕННОСТИ КИТАЙЦЕВ</t>
  </si>
  <si>
    <t>Собольников В.В.</t>
  </si>
  <si>
    <t>978-5-9558-0561-0</t>
  </si>
  <si>
    <t>37.03.01, 38.03.01, 38.03.02, 38.03.03, 38.04.01, 38.04.02, 38.04.03, 43.03.02, 43.03.03</t>
  </si>
  <si>
    <t>257900.09.01</t>
  </si>
  <si>
    <t>Мерчандайзинг: Уч.пос. / С.Б.Алексина - 2 изд. - М.:НИЦ ИНФРА-М,2024 - 178 с.(СПО)(П)</t>
  </si>
  <si>
    <t>МЕРЧАНДАЙЗИНГ, ИЗД.2</t>
  </si>
  <si>
    <t>Алексина С.Б., Иванов Г.Г.</t>
  </si>
  <si>
    <t>978-5-16-016846-3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</si>
  <si>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10 от 15.12.2021)</t>
  </si>
  <si>
    <t>257900.06.01</t>
  </si>
  <si>
    <t>Мерчандайзинг: Уч.пос. / С.Б.Алексина - М.:ИД Форум, НИЦ ИНФРА-М,2021 - 152 с.-(СПО)(О)</t>
  </si>
  <si>
    <t>МЕРЧАНДАЙЗИНГ</t>
  </si>
  <si>
    <t>978-5-8199-0919-5</t>
  </si>
  <si>
    <t>Рекомендовано кафедрой торговой политики РЭУ им. Г.В. Плеханова в качестве учебного пособия для студентов средних специальных учебных заведений, обучающихся по направлениям «Торговое дело» (бакалавриат), «Экономика» (бакалавриат), «Менеджмент» (бакалавриат)</t>
  </si>
  <si>
    <t>169300.10.01</t>
  </si>
  <si>
    <t>Месть и возмездие в древнем праве: Моногр./ Г.В. Мальцев. - М.: Норма:  НИЦ ИНФРА-М, 2024 -736 с.(п)</t>
  </si>
  <si>
    <t>МЕСТЬ И ВОЗМЕЗДИЕ В ДРЕВНЕМ ПРАВЕ</t>
  </si>
  <si>
    <t>978-5-91768-217-4</t>
  </si>
  <si>
    <t>112200.16.01</t>
  </si>
  <si>
    <t>Металлические конструкции: Уч. / В.В.Доркин - М.:НИЦ ИНФРА-М,2025 - 457 с.(СПО)(П)</t>
  </si>
  <si>
    <t>МЕТАЛЛИЧЕСКИЕ КОНСТРУКЦИИ</t>
  </si>
  <si>
    <t>Доркин В. В., Рябцева М. П.</t>
  </si>
  <si>
    <t>978-5-16-003631-1</t>
  </si>
  <si>
    <t>08.02.01, 08.02.02, 23.02.08</t>
  </si>
  <si>
    <t>Допущено Федеральным агентством по строительству и жилищно-коммунальному хозяйству в кач-ве учебника для студентов средних специальных учебных заведений, обучающихся по специальности 270103 "Строительство и экспл. зданий и сооружений"</t>
  </si>
  <si>
    <t>155400.13.01</t>
  </si>
  <si>
    <t>Металловедение: Уч. / В.В.Овчинников - М.:ИД ФОРУМ, НИЦ ИНФРА-М,2025 - 320 с.(СПО)(П)</t>
  </si>
  <si>
    <t>МЕТАЛЛОВЕДЕНИЕ</t>
  </si>
  <si>
    <t>Овчинников В. В.</t>
  </si>
  <si>
    <t>978-5-8199-0867-9</t>
  </si>
  <si>
    <t>15.01.36, 22.02.08, 26.02.04</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</si>
  <si>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</si>
  <si>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110050.11.01</t>
  </si>
  <si>
    <t>Металловедение: Уч.пос. / В.С.Власов - М.:Альфа-М, ИНФРА-М ,2025. - 336 с.(ПРОФИль)(п)</t>
  </si>
  <si>
    <t>Власов В. С.</t>
  </si>
  <si>
    <t>978-5-98281-167-7</t>
  </si>
  <si>
    <t>15.01.38, 22.01.11, 22.02.08</t>
  </si>
  <si>
    <t>Рекомендовано Федеральным государственным учреждением "Федеральный институт развития образования" в качестве учебного пособия для студентов образовательных  учреждений, реализующих программы среднего профессионального образования</t>
  </si>
  <si>
    <t>682974.04.01</t>
  </si>
  <si>
    <t>Металлообрабатывающие станки и оборуд...: Уч.пос. / А.О.Харченко, - 2 изд.-М.:Вуз. уч., 2024-260с(П)</t>
  </si>
  <si>
    <t>МЕТАЛЛООБРАБАТЫВАЮЩИЕ СТАНКИ И ОБОРУДОВАНИЕ МАШИНОСТРОИТЕЛЬНЫХ ПРОИЗВОДСТВ, ИЗД.2</t>
  </si>
  <si>
    <t>Харченко А.О.</t>
  </si>
  <si>
    <t>978-5-9558-0624-2</t>
  </si>
  <si>
    <t>12.02.04, 15.01.22, 15.01.26, 15.01.27, 15.01.35, 15.01.36, 15.01.38, 15.02.01, 15.02.03, 15.02.04, 15.02.07, 15.02.09, 15.02.16, 15.02.17, 15.02.18, 23.02.03, 27.02.02, 27.02.07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</si>
  <si>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15.02.00 «Машиностроение»</t>
  </si>
  <si>
    <t>344100.08.01</t>
  </si>
  <si>
    <t>Металлообрабатывающие станки и оборуд.: Уч.пос. /А.О.Харченко-2изд.-М.:Вуз.уч.,НИЦ ИНФРА-М,2023-260с(П)</t>
  </si>
  <si>
    <t>978-5-9558-0426-2</t>
  </si>
  <si>
    <t>353300.05.01</t>
  </si>
  <si>
    <t>Металлообрабатывающие станки: Уч. / Л.И.Вереина - М.:НИЦ ИНФРА-М,2025 - 440 с.(ВО:Бакалавриат)(П)</t>
  </si>
  <si>
    <t>МЕТАЛЛООБРАБАТЫВАЮЩИЕ СТАНКИ</t>
  </si>
  <si>
    <t>ВереинаЛ.И.</t>
  </si>
  <si>
    <t>978-5-16-010887-2</t>
  </si>
  <si>
    <t>Рекомендовано в качестве учебника для студентов высших учебных заведений, обучающихся по направлениям подготовки 15.03.01 «Машиностроение», 15.03.02 «Технологические машины и оборудование» (квалификация (степень) «бакалавр»)</t>
  </si>
  <si>
    <t>682975.08.01</t>
  </si>
  <si>
    <t>Металлообрабатывающие станки: Уч. / Л.И.Вереина - М.:НИЦ ИНФРА-М,2025 - 440 с.(СПО)(П)</t>
  </si>
  <si>
    <t>Вереина Л.И.</t>
  </si>
  <si>
    <t>978-5-16-013967-8</t>
  </si>
  <si>
    <t>412800.10.01</t>
  </si>
  <si>
    <t>Металлообработка: справочник: Уч.пос. / Л.И.Вереина, -М.:НИЦ ИНФРА-М,2024.-320 с.(ВО)(п)</t>
  </si>
  <si>
    <t>МЕТАЛЛООБРАБОТКА: СПРАВОЧНИК</t>
  </si>
  <si>
    <t>Вереина Л.И., Краснов М.М., Фрадкин Е.И. и др.</t>
  </si>
  <si>
    <t>978-5-16-019582-7</t>
  </si>
  <si>
    <t>15.03.01, 15.03.02, 15.03.03, 15.03.04, 15.03.05, 15.03.06, 22.03.02, 22.04.02</t>
  </si>
  <si>
    <t>664236.04.01</t>
  </si>
  <si>
    <t>Металлорежущее технолог. оборуд.: Уч.пос. / Л.И.Вереина. - М.:НИЦ ИНФРА-М,2025. - 435 с.(ВО)(П)</t>
  </si>
  <si>
    <t>МЕТАЛЛОРЕЖУЩЕЕ ТЕХНОЛОГИЧЕСКОЕ ОБОРУДОВАНИЕ</t>
  </si>
  <si>
    <t>Вереина Л.И., Ягопольский А.Г., Вереина Л.И.</t>
  </si>
  <si>
    <t>978-5-16-013642-4</t>
  </si>
  <si>
    <t>15.03.01, 15.03.02, 15.03.04</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</si>
  <si>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15.03.01 «Машиностроение» и специальности 15.05.01 «Проектирование технологических машин и комплексов»</t>
  </si>
  <si>
    <t>714244.06.01</t>
  </si>
  <si>
    <t>Металлорежущее технологическое оборудование: Уч.пос. / Л.И.Вереина - М.:НИЦ ИНФРА-М,2025-435с(СПО)(П)</t>
  </si>
  <si>
    <t>978-5-16-015434-3</t>
  </si>
  <si>
    <t>12.02.04, 15.01.35, 15.01.38, 15.02.01, 15.02.03, 15.02.04, 15.02.09, 15.02.16, 15.02.17, 23.02.03</t>
  </si>
  <si>
    <t>475650.09.01</t>
  </si>
  <si>
    <t>Металлорежущие станки с ЧПУ: Уч.пос. / В.Б.Мещерякова - М.:НИЦ ИНФРА-М,2025 - 336 с.(ВО(п)</t>
  </si>
  <si>
    <t>МЕТАЛЛОРЕЖУЩИЕ СТАНКИ С ЧПУ</t>
  </si>
  <si>
    <t>Мещерякова В.Б., Стародубов В.С.</t>
  </si>
  <si>
    <t>978-5-16-019740-1</t>
  </si>
  <si>
    <t>15.03.02, 15.03.05, 15.04.02, 15.04.05</t>
  </si>
  <si>
    <t>Допущено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бакалавров 15.03.02 «Технологические машины и оборудование» (квалификация (степень) «бакалавр»)</t>
  </si>
  <si>
    <t>682976.14.01</t>
  </si>
  <si>
    <t>Металлорежущие станки с ЧПУ: Уч.пос. / В.Б.Мещерякова - М.:НИЦ ИНФРА-М,2025 - 336 с.(СПО)(п)</t>
  </si>
  <si>
    <t>978-5-16-013968-5</t>
  </si>
  <si>
    <t>12.02.04, 15.01.22, 15.01.26, 15.01.27, 15.01.35, 15.01.36, 15.01.38, 15.02.01, 15.02.03, 15.02.04, 15.02.07, 15.02.09, 15.02.16, 15.02.17, 15.02.18, 18.02.13, 23.02.03, 27.02.02, 27.02.07</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</si>
  <si>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15.02.08 «Технология машиностроения»</t>
  </si>
  <si>
    <t>412450.10.01</t>
  </si>
  <si>
    <t>Метеорология и климатология: Уч.пос. / Г.И.Пиловец - М.:НИЦ ИНФРА-М, 2025 - 399 с(ВО)(п)</t>
  </si>
  <si>
    <t>МЕТЕОРОЛОГИЯ И КЛИМАТОЛОГИЯ</t>
  </si>
  <si>
    <t>Пиловец Г. И.</t>
  </si>
  <si>
    <t>978-5-16-006463-5</t>
  </si>
  <si>
    <t>05.03.02, 05.03.04, 05.04.02, 05.04.04</t>
  </si>
  <si>
    <t>Допущено Министерством образования Республики Белорусь в качестве учебного пособия для студентов вузов по географическим специальностям</t>
  </si>
  <si>
    <t>461750.07.01</t>
  </si>
  <si>
    <t>Методика геоэкологических исследований: Уч. пос./ М.Г. Ясовеев - М.: НИЦ ИНФРА-М, 2023 - 292с. (п)</t>
  </si>
  <si>
    <t>МЕТОДИКА ГЕОЭКОЛОГИЧЕСКИХ ИССЛЕДОВАНИЙ</t>
  </si>
  <si>
    <t>Ясовеев М.Г., Стреха Н.Л., Шевцова Н.С. и др.</t>
  </si>
  <si>
    <t>978-5-16-009534-9</t>
  </si>
  <si>
    <t>05.03.02, 05.03.06, 05.04.02, 05.04.06</t>
  </si>
  <si>
    <t>717632.03.01</t>
  </si>
  <si>
    <t>Методика гигиенич. обр. детей с интеллектуал. недостаточ.: Уч.пос. / Т.В.Карасева.-М.:НИЦ ИНФРА-М,2024.-298 с.(П)</t>
  </si>
  <si>
    <t>МЕТОДИКА ГИГИЕНИЧЕСКОГО ОБРАЗОВАНИЯ ДЕТЕЙ С ИНТЕЛЛЕКТУАЛЬНОЙ НЕДОСТАТОЧНОСТЬЮ</t>
  </si>
  <si>
    <t>Карасева Т.В., Толстова С.Ю., Воробьева С.Н.</t>
  </si>
  <si>
    <t>978-5-16-015593-7</t>
  </si>
  <si>
    <t>44.03.02, 44.03.03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</si>
  <si>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и психологическим направлениям подготовки¶(квалификация (степень) «бакалавр») (протокол № 10 от 12.10.2020)</t>
  </si>
  <si>
    <t>634606.08.01</t>
  </si>
  <si>
    <t>Методика и техника полевых палеонтолого..: Уч.пос. / И.С.Барсков - 2 изд. - М.:НИЦ ИНФРА-М,2025 - 116 с.(о)</t>
  </si>
  <si>
    <t>МЕТОДИКА И ТЕХНИКА ПОЛЕВЫХ ПАЛЕОНТОЛОГО-СТРАТИГРАФИЧЕСКИХ ИССЛЕДОВАНИЙ, ИЗД.2</t>
  </si>
  <si>
    <t>Барсков И.С., Янин Б.Т.</t>
  </si>
  <si>
    <t>978-5-16-019129-4</t>
  </si>
  <si>
    <t>Рекомендовано в качестве учебного пособия для студентов высших учебных заведений, обучающихся по направлению подготовки 05.03.01 "Геология" (квалификация (степень) "бакалавр")</t>
  </si>
  <si>
    <t>342300.07.01</t>
  </si>
  <si>
    <t>Методика коррекции дизорфографии у шк.: Уч.мет.пос. /О.В.Елецкая-М.:Форум, НИЦ ИНФРА-М,2024-175с(ВО)</t>
  </si>
  <si>
    <t>МЕТОДИКА КОРРЕКЦИИ ДИЗОРФОГРАФИИ У ШКОЛЬНИКОВ</t>
  </si>
  <si>
    <t>Елецкая О.В.</t>
  </si>
  <si>
    <t>978-5-00091-632-2</t>
  </si>
  <si>
    <t>44.03.01, 44.03.02, 44.03.03, 44.03.04, 44.03.05, 44.04.01, 44.04.03</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</si>
  <si>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</si>
  <si>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075300.20.01</t>
  </si>
  <si>
    <t>Методика матем. развития: Уч.пос. / Н.И.Фрейлах - 2 изд. - М.:ИД ФОРУМ,НИЦ ИНФРА-М,2025 - 240 с.(СПО)(П)</t>
  </si>
  <si>
    <t>МЕТОДИКА МАТЕМАТИЧЕСКОГО РАЗВИТИЯ, ИЗД.2</t>
  </si>
  <si>
    <t>978-5-8199-0741-2</t>
  </si>
  <si>
    <t>44.02.01, 44.02.03, 44.02.05</t>
  </si>
  <si>
    <t>778017.04.01</t>
  </si>
  <si>
    <t>Методика обуч. матем. в нач. шк. Прак.: Уч.пос. / Н.Б.Истомина-Кастровская - 2 изд. - М.:НИЦ ИНФРА-М,2025 - 187 с.(П)</t>
  </si>
  <si>
    <t>МЕТОДИКА ОБУЧЕНИЯ МАТЕМАТИКЕ В НАЧАЛЬНОЙ ШКОЛЕ. ПРАКТИКУМ, ИЗД.2</t>
  </si>
  <si>
    <t>Истомина-Кастровская Н.Б., Заяц Ю.С.</t>
  </si>
  <si>
    <t>978-5-16-017843-1</t>
  </si>
  <si>
    <t>Алтайский государственный педагогический университет</t>
  </si>
  <si>
    <t>817349.02.01</t>
  </si>
  <si>
    <t>Методика обучения биофизике в школе: Уч.пос. / С.А.Старченко - М.:НИЦ ИНФРА-М,2024. - 260 с.(п)</t>
  </si>
  <si>
    <t>МЕТОДИКА ОБУЧЕНИЯ БИОФИЗИКЕ В ШКОЛЕ</t>
  </si>
  <si>
    <t>Старченко С.А., Скрябин А.А.</t>
  </si>
  <si>
    <t>978-5-16-019465-3</t>
  </si>
  <si>
    <t>44.03.05, 44.04.01</t>
  </si>
  <si>
    <t>Троицкий педагогический колледж</t>
  </si>
  <si>
    <t>666517.07.01</t>
  </si>
  <si>
    <t>Методика обучения матем. в нач. шк.: Уч. / Н.Б.Истомина-Кастровская - 2 изд. - М.:НИЦ ИНФРА-М,2025. - 301 с.(П)</t>
  </si>
  <si>
    <t>МЕТОДИКА ОБУЧЕНИЯ МАТЕМАТИКЕ В НАЧАЛЬНОЙ ШКОЛЕ, ИЗД.2</t>
  </si>
  <si>
    <t>Истомина-Кастровская Н.Б., Иванова И.Ю., Редько З.Б. и др.</t>
  </si>
  <si>
    <t>978-5-16-014058-2</t>
  </si>
  <si>
    <t>44.03.01</t>
  </si>
  <si>
    <t>Рекомендовано Учебно-методическим советом ВО в качестве учебника для студентов высших учебных заведений, обучающихся по направлению  подготовки  44.03.01 «Педагогическое образование»  (квалификация (степень) «бакалавр»)</t>
  </si>
  <si>
    <t>666516.07.01</t>
  </si>
  <si>
    <t>Методика обучения математике в нач. шк.: Уч.пос. / Н.Б.Истомина-Кастровская, - 2-изд.-М.:НИЦ ИНФРА-М,2019-198с</t>
  </si>
  <si>
    <t>МЕТОДИКА ОБУЧЕНИЯ МАТЕМАТИКЕ В НАЧАЛЬНОЙ ШКОЛЕ: ПРАКТИКУМ, ИЗД.2</t>
  </si>
  <si>
    <t>978-5-16-014059-9</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</si>
  <si>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t>
  </si>
  <si>
    <t>671270.06.01</t>
  </si>
  <si>
    <t>Методика подготовки детей к изуч. рус. яз. в шк.: Уч.пос. / А.Г.Биба - М.:НИЦ ИНФРА-М,2025 - 120 с.(ВО)(П)</t>
  </si>
  <si>
    <t>МЕТОДИКА ПОДГОТОВКИ ДЕТЕЙ К ИЗУЧЕНИЮ РУССКОГО ЯЗЫКА В ШКОЛЕ</t>
  </si>
  <si>
    <t>Биба А.Г.</t>
  </si>
  <si>
    <t>978-5-16-014582-2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</si>
  <si>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направлений 44.00.00 «Образование и педагогические науки» (квалификация (степень) «бакалавр») (протокол № 8 от 22.06.2020)</t>
  </si>
  <si>
    <t>Калужский государственный  университет им. К.Э. Циолковского</t>
  </si>
  <si>
    <t>641235.06.01</t>
  </si>
  <si>
    <t>Методика преподавания географии: Уч. / Под ред. Низовцева В.А. - М.:НИЦ ИНФРА-М,2024. - 320 с.(ВО)(п)</t>
  </si>
  <si>
    <t>МЕТОДИКА ПРЕПОДАВАНИЯ ГЕОГРАФИИ</t>
  </si>
  <si>
    <t>Дмитрук Н.Г., Низовцев В.А., Низовцев В.А.</t>
  </si>
  <si>
    <t>978-5-16-012320-2</t>
  </si>
  <si>
    <t>05.03.02, 44.03.01, 44.03.05, 44.04.01</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</si>
  <si>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05.03.02 «География» (квалификация (степень) «бакалавр»)</t>
  </si>
  <si>
    <t>418550.05.01</t>
  </si>
  <si>
    <t>Методика преподавания психологии в сред.уч.зав.: Уч.пос./Б.Р.Мандель-М:НИЦ ИНФРА-М,2024 - 256 с.(П)</t>
  </si>
  <si>
    <t>МЕТОДИКА ПРЕПОДАВАНИЯ ПСИХОЛОГИИ В СРЕДНИХ УЧЕБНЫХ ЗАВЕДЕНИЯХ</t>
  </si>
  <si>
    <t>978-5-16-018887-4</t>
  </si>
  <si>
    <t>44.02.03</t>
  </si>
  <si>
    <t>773944.05.01</t>
  </si>
  <si>
    <t>Методика расслед. преступл., совершенных...: Уч. / Е.В.Шишкина - М.:НИЦ ИНФРА-М,2025. - 255 с.(ВО)П)</t>
  </si>
  <si>
    <t>МЕТОДИКА РАССЛЕДОВАНИЯ ПРЕСТУПЛЕНИЙ, СОВЕРШЕННЫХ НЕСОВЕРШЕННОЛЕТНИМИ</t>
  </si>
  <si>
    <t>Шишкина Е.В.</t>
  </si>
  <si>
    <t>978-5-16-017932-2</t>
  </si>
  <si>
    <t>40.04.01, 40.05.01, 40.05.04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</si>
  <si>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специальностям (квалификация «юрист») (протокол № 9 от 17.11.2022)</t>
  </si>
  <si>
    <t>682977.07.01</t>
  </si>
  <si>
    <t>Методика физ. восп. и развития ребенка: Уч.пос. / Под ред.Козловой С.А. - 2 изд. - М:НИЦ ИНФРА-М,2024-312с(п)</t>
  </si>
  <si>
    <t>МЕТОДИКА ФИЗИЧЕСКОГО ВОСПИТАНИЯ И РАЗВИТИЯ РЕБЕНКА, ИЗД.2</t>
  </si>
  <si>
    <t>Кожухова Н.Н., Рыжкова Л.А., Борисова М.М. и др.</t>
  </si>
  <si>
    <t>978-5-16-013969-2</t>
  </si>
  <si>
    <t>44.02.01, 44.02.02, 44.02.03, 44.02.04, 44.02.05, 49.02.01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</si>
  <si>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t>
  </si>
  <si>
    <t>441200.08.01</t>
  </si>
  <si>
    <t>Методика физического воспит. и развит.: Уч. / Под ред. Козловой С.А. - 2 изд. - М.:НИЦ ИНФРА-М,2025 - 312 с.(п)</t>
  </si>
  <si>
    <t>978-5-16-011377-7</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</si>
  <si>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</si>
  <si>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704068.04.01</t>
  </si>
  <si>
    <t>Методики расчета механосбороч. и вспомогат. цехов...: Уч.пос. / Е.С.Киселев - 2 изд. - М.: ИНФРА-М, 2025 - 143 с.(О)</t>
  </si>
  <si>
    <t>МЕТОДИКИ РАСЧЕТА МЕХАНОСБОРОЧНЫХ И ВСПОМОГАТЕЛЬНЫХ ЦЕХОВ, УЧАСТКОВ И МАЛЫХ ПРЕДПРИЯТИЙ МАШИНОСТРОИТЕЛЬНОГО ПРОИЗВОДСТВА, ИЗД.2</t>
  </si>
  <si>
    <t>Киселев Е.С., Худобин Л.В.</t>
  </si>
  <si>
    <t>978-5-16-014910-3</t>
  </si>
  <si>
    <t>15.02.16</t>
  </si>
  <si>
    <t>253800.05.01</t>
  </si>
  <si>
    <t>Методики расчета механосборочных и вспомог. цехов...: Уч.пос. / Е.С.Киселев-2изд.-ИНФРА-М,2020-143с(о)</t>
  </si>
  <si>
    <t>Киселев Е. С., Худобин Л. В.</t>
  </si>
  <si>
    <t>978-5-16-009418-2</t>
  </si>
  <si>
    <t>15.03.05, 15.04.05</t>
  </si>
  <si>
    <t>Допущено учебно-методическим объединением вузов ззованию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«Конструкторско-технологическое о</t>
  </si>
  <si>
    <t>682978.10.01</t>
  </si>
  <si>
    <t>Методическая работа в ДОУ: Уч. / Н.А.Виноградова - М.:НИЦ ИНФРА-М,2025 - 219 с.(П)</t>
  </si>
  <si>
    <t>МЕТОДИЧЕСКАЯ РАБОТА В ДОШКОЛЬНОМ ОБРАЗОВАТЕЛЬНОМ УЧРЕЖДЕНИИ</t>
  </si>
  <si>
    <t>Виноградова Н.А., Микляева Н.В.</t>
  </si>
  <si>
    <t>978-5-16-013970-8</t>
  </si>
  <si>
    <t>44.02.01, 44.02.03, 44.02.04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</si>
  <si>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44.02.04 «Специальное дошкольное образование»</t>
  </si>
  <si>
    <t>398500.08.01</t>
  </si>
  <si>
    <t>Методическая работа в дошк. образ. учреждении: Уч. / Н.А.Виноградова-М.:НИЦ ИНФРА-М,2023.-219 с.(ВО)(П)</t>
  </si>
  <si>
    <t>978-5-16-011271-8</t>
  </si>
  <si>
    <t>704944.03.01</t>
  </si>
  <si>
    <t>Методические указ. к диплом. проектир. по специал...:Уч.мет.пос./Под ред. Володина В.Н.-М.:НИЦ ИНФРА-М,2023-156с(О)</t>
  </si>
  <si>
    <t>МЕТОДИЧЕСКИЕ УКАЗАНИЯ К ДИПЛОМНОМУ ПРОЕКТИРОВАНИЮ ПО СПЕЦИАЛЬНОСТИ 26.05.05 «СУДОВОЖДЕНИЕ»</t>
  </si>
  <si>
    <t>Паткаускас А.В., Кузнецов В.В., Сухина М.И. и др.</t>
  </si>
  <si>
    <t>978-5-16-015419-0</t>
  </si>
  <si>
    <t>786568.01.01</t>
  </si>
  <si>
    <t>Методическое обеспеч. образоват. процессов: Уч.пос. / А.В.Воронцова.-М.:НИЦ ИНФРА-М,2024.-234 с.(п)</t>
  </si>
  <si>
    <t>МЕТОДИЧЕСКОЕ ОБЕСПЕЧЕНИЕ ОБРАЗОВАТЕЛЬНЫХ ПРОЦЕССОВ</t>
  </si>
  <si>
    <t>Воронцова А.В., Мамонтова Н.И., Павлова О.А. и др.</t>
  </si>
  <si>
    <t>978-5-16-018222-3</t>
  </si>
  <si>
    <t>301800.06.01</t>
  </si>
  <si>
    <t>Методологические и правовые осн. инжен. твор.: Уч. пос./В.В.Нескоромных-2изд.-ИНФРА-М,2024-318с.(ВО)</t>
  </si>
  <si>
    <t>МЕТОДОЛОГИЧЕСКИЕ И ПРАВОВЫЕ ОСНОВЫ ИНЖЕНЕРНОГО ТВОРЧЕСТВА, ИЗД.2</t>
  </si>
  <si>
    <t>Нескоромных В.В., Рожков В.П.</t>
  </si>
  <si>
    <t>978-5-16-010187-3</t>
  </si>
  <si>
    <t>05.03.01, 05.04.01, 21.03.01, 21.04.01, 21.05.02, 21.05.03, 21.05.04, 21.05.06, 44.03.05</t>
  </si>
  <si>
    <t>633747.06.01</t>
  </si>
  <si>
    <t>Методологические основы инновац.и науч.творч.: Уч.пос. / В.И.Бесшапошникова - М.:НИЦ ИНФРА-М,2023 - 180с.(О)</t>
  </si>
  <si>
    <t>МЕТОДОЛОГИЧЕСКИЕ ОСНОВЫ ИННОВАЦИЙ И НАУЧНОГО ТВОРЧЕСТВА</t>
  </si>
  <si>
    <t>Бесшапошникова В.И.</t>
  </si>
  <si>
    <t>978-5-16-012078-2</t>
  </si>
  <si>
    <t>27.03.01, 29.04.02</t>
  </si>
  <si>
    <t>Допущено к изданию редакционно-издательским советом университета в качестве учебного пособия для подготовки бакалавров и магистров по направлениям 27.03.01 "Стандартизация и метрология», 29.04.02 «Технологии и проектирование текстильных изделий»</t>
  </si>
  <si>
    <t>405400.10.01</t>
  </si>
  <si>
    <t>Методологические основы психологии: Уч. пос. / Т.И.Чиркова - М.:Вуз.уч.: НИЦ ИНФРА-М, 2025 - 416 с.(п)</t>
  </si>
  <si>
    <t>МЕТОДОЛОГИЧЕСКИЕ ОСНОВЫ ПСИХОЛОГИИ</t>
  </si>
  <si>
    <t>Чиркова Т. И.</t>
  </si>
  <si>
    <t>978-5-9558-0276-3</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</si>
  <si>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специальности  ГОС ВПО 030301 "Психология"</t>
  </si>
  <si>
    <t>230100.07.01</t>
  </si>
  <si>
    <t>Методологические основы судеб.-экон.эксперт..:Моногр./Т.В.Котенева,2изд.-М.:НИЦ ИНФРА-М,2019-212с(п)</t>
  </si>
  <si>
    <t>МЕТОДОЛОГИЧЕСКИЕ ОСНОВЫ СУДЕБНО-ЭКОНОМИЧЕСКОЙ ЭКСПЕРТИЗЫ, ИЗД.3</t>
  </si>
  <si>
    <t>Котенева Т.В.</t>
  </si>
  <si>
    <t>978-5-16-014306-4</t>
  </si>
  <si>
    <t>Самарский государственный экономический университет</t>
  </si>
  <si>
    <t>177650.09.01</t>
  </si>
  <si>
    <t>Методологические основы этнич. и кросскульт. психологии: Уч. пос. / В.Ю.Хотинец - М.: Форум, 2025 - 88 с.(о)</t>
  </si>
  <si>
    <t>МЕТОДОЛОГИЧЕСКИЕ ОСНОВЫ ЭТНИЧЕСКОЙ И КРОССКУЛЬТУРНОЙ ПСИХОЛОГИИ</t>
  </si>
  <si>
    <t>Хотинец В. Ю.</t>
  </si>
  <si>
    <t>978-5-91134-621-8</t>
  </si>
  <si>
    <t>37.04.01, 46.04.03, 51.04.01</t>
  </si>
  <si>
    <t>653144.03.01</t>
  </si>
  <si>
    <t>Методология  региональных исследований: Уч.пос. / А.В.Лубский-М.:НИЦ ИНФРА-М,2024.-223 с..-(ВО)(П)</t>
  </si>
  <si>
    <t>МЕТОДОЛОГИЯ  РЕГИОНАЛЬНЫХ ИССЛЕДОВАНИЙ</t>
  </si>
  <si>
    <t>Лубский А.В.</t>
  </si>
  <si>
    <t>978-5-16-013820-6</t>
  </si>
  <si>
    <t>38.04.08, 39.04.01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</si>
  <si>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41.04.01 «Зарубежное регионоведение»,  41.04.02 «Регионоведение России»,  39.04.01 «Социология»  (квалификация (степень) «магистр»)</t>
  </si>
  <si>
    <t>093950.10.01</t>
  </si>
  <si>
    <t>Методология выбора материал. и упроч. технол. в машин.: Уч. / В.Е.Зоткин -4 изд.ФОРУМ,2024-320с.(ВО)</t>
  </si>
  <si>
    <t>МЕТОДОЛОГИЯ ВЫБОРА МАТЕРИАЛОВ И УПРОЧНЯЮЩИХ ТЕХНОЛОГИЙ В МАШИНОСТРОЕНИИ, ИЗД.4</t>
  </si>
  <si>
    <t>Зоткин В. Е.</t>
  </si>
  <si>
    <t>978-5-8199-0852-5</t>
  </si>
  <si>
    <t>15.03.01, 15.03.02, 15.03.05, 15.04.01, 15.04.02, 15.04.05</t>
  </si>
  <si>
    <t>Допущено Учебно-методическим объединением по образованию в области металлургии в качестве учебника для студентов высших учебных заведений, обучающихся по направлению 22.03.02 «Металлургия»</t>
  </si>
  <si>
    <t>0408</t>
  </si>
  <si>
    <t>742794.03.01</t>
  </si>
  <si>
    <t>Методология и история теологии: Уч.пос. / А.Л.Панищев - М.:НИЦ ИНФРА-М,2023 - 242 с.(ВО: Магистр.)(П)</t>
  </si>
  <si>
    <t>МЕТОДОЛОГИЯ И ИСТОРИЯ ТЕОЛОГИИ</t>
  </si>
  <si>
    <t>978-5-16-016527-1</t>
  </si>
  <si>
    <t>47.04.03, 48.04.01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</si>
  <si>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47.04.03 «Религиоведение», 48.04.01 «Теология» (квалификация (степень) «бакалавр») (протокол № 1 от 20.01.2021)</t>
  </si>
  <si>
    <t>634892.04.01</t>
  </si>
  <si>
    <t>Методология и методы психол.-педагог. исслед..:: Уч.пос. / М.А.Крылова-М.:ИЦ РИОР, НИЦ ИНФРА-М,2024-96с(ВО)(о)</t>
  </si>
  <si>
    <t>МЕТОДОЛОГИЯ И МЕТОДЫ ПСИХОЛОГО-ПЕДАГОГИЧЕСКОГО ИССЛЕДОВАНИЯ: ОСНОВЫ ТЕОРИИ И ПРАКТИКИ</t>
  </si>
  <si>
    <t>Крылова М.А.</t>
  </si>
  <si>
    <t>978-5-369-01648-0</t>
  </si>
  <si>
    <t>38.04.03, 44.03.02, 44.03.03, 44.04.02, 44.04.03</t>
  </si>
  <si>
    <t>242000.06.01</t>
  </si>
  <si>
    <t>Методология и практ. науч.-педагог. деят.: Уч.пос. /В.Д.Колдаев -М.:ИД ФОРУМ, НИЦ ИНФРА-М,2024-400с</t>
  </si>
  <si>
    <t>МЕТОДОЛОГИЯ И ПРАКТИКА НАУЧНО-ПЕДАГОГИЧЕСКОЙ ДЕЯТЕЛЬНОСТИ</t>
  </si>
  <si>
    <t>Колдаев В.Д.</t>
  </si>
  <si>
    <t>978-5-8199-0814-3</t>
  </si>
  <si>
    <t>44.04.04</t>
  </si>
  <si>
    <t>Рекомендовано Научно-методическим советом Национального исследовательского университета «Московского института электронной техники» в качестве учебного пособия для аспирантов и магистров любых направлений подготовки и специальностей</t>
  </si>
  <si>
    <t>100200.10.01</t>
  </si>
  <si>
    <t>Методология и теория соц. работы: Уч.пос. / П.Д.Павленок - 3 изд. - М.:НИЦ ИНФРА-М,2024 - 271 с.(ВО)(П)</t>
  </si>
  <si>
    <t>МЕТОДОЛОГИЯ И ТЕОРИЯ СОЦИАЛЬНОЙ РАБОТЫ, ИЗД.3</t>
  </si>
  <si>
    <t>Павленок П.Д.</t>
  </si>
  <si>
    <t>978-5-16-015130-4</t>
  </si>
  <si>
    <t>39.04.02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</si>
  <si>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39.04.02 «Социальная работа» (квалификация (степень) «магистр») (протокол № 17 от 11.11.2019)</t>
  </si>
  <si>
    <t>100200.06.01</t>
  </si>
  <si>
    <t>Методология и теория социальной работы: уч.пос. / П.Д.Павленок, - 2-е изд.-М.:НИЦ ИНФРА-М,2018.-267 с..-(ВО: Магистратура)(П 7Б</t>
  </si>
  <si>
    <t>МЕТОДОЛОГИЯ И ТЕОРИЯ СОЦИАЛЬНОЙ РАБОТЫ, ИЗД.2</t>
  </si>
  <si>
    <t>Павленок П. Д.</t>
  </si>
  <si>
    <t>978-5-16-009206-5</t>
  </si>
  <si>
    <t>411150.08.01</t>
  </si>
  <si>
    <t>Методология качественных исслед. в психологии: Уч.пос. / Н.П.Бусыгина - М.:НИЦ ИНФРА-М,2024-304с.(ВО)(п)</t>
  </si>
  <si>
    <t>МЕТОДОЛОГИЯ КАЧЕСТВЕННЫХ ИССЛЕДОВАНИЙ В ПСИХОЛОГИИ</t>
  </si>
  <si>
    <t>Бусыгина Н.П.</t>
  </si>
  <si>
    <t>978-5-16-019158-4</t>
  </si>
  <si>
    <t>37.03.01, 37.04.01, 44.03.01</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</si>
  <si>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специальностям 37.05.02 «Психология», «Клиническая психология» и направлению подготовки 37.03.01 «Психология»</t>
  </si>
  <si>
    <t>412650.08.01</t>
  </si>
  <si>
    <t>Методология науки и инновац. деят.: Пос. для аспирантов... / Старжинский В.П. - М.: НИЦ ИНФРА-М,2025 - 327 с.(п)</t>
  </si>
  <si>
    <t>МЕТОДОЛОГИЯ НАУКИ И ИННОВАЦИОННАЯ ДЕЯТЕЛЬНОСТЬ</t>
  </si>
  <si>
    <t>Старжинский В. П., Цепкало В. В.</t>
  </si>
  <si>
    <t>978-5-16-006464-2</t>
  </si>
  <si>
    <t>00.05.16, 13.04.01, 13.04.02, 13.04.03, 14.04.01, 14.04.02, 15.04.01, 15.04.02, 15.04.03, 15.04.04, 15.04.05, 15.04.06, 16.04.01, 16.04.02, 16.04.03, 22.04.01, 22.04.02, 38.04.01, 38.04.02, 38.04.03, 38.04.04, 38.04.05, 38.04.06, 38.04.07, 38.04.08, 38.04.09</t>
  </si>
  <si>
    <t>798523.01.01</t>
  </si>
  <si>
    <t>Методология науч. исслед. (агроинж.): практ.: Уч.пос. / Под ред. Кравченко И.Н.-М.:ИНФРА-М,2024-379 с.(п)</t>
  </si>
  <si>
    <t>МЕТОДОЛОГИЯ НАУЧНЫХ ИССЛЕДОВАНИЙ (АГРОИНЖЕНЕРИЯ): ПРАКТИКУМ</t>
  </si>
  <si>
    <t>Кравченко И.Н., Пастухов А.Г., Кузнецов Ю.А. и др.</t>
  </si>
  <si>
    <t>978-5-16-018264-3</t>
  </si>
  <si>
    <t>35.04.06</t>
  </si>
  <si>
    <t>Рекомендовано Федеральным УМО по сельскому, лесному и рыбному хозяйству в качестве учебного пособия для использования в учебном процессе при подготовке магистров по направлению «Агроинженерия»</t>
  </si>
  <si>
    <t>693384.10.01</t>
  </si>
  <si>
    <t>Методология науч. исслед. (в кандидат. и док. диссертациях): Уч. / Г.Д.Боуш - М.:НИЦ ИНФРА-М,2025 - 227 с.(ВО)(П)</t>
  </si>
  <si>
    <t>МЕТОДОЛОГИЯ НАУЧНОГО ИССЛЕДОВАНИЯ (В КАНДИДАТСКИХ И ДОКТОРСКИХ ДИССЕРТАЦИЯХ)</t>
  </si>
  <si>
    <t>Боуш Г.Д., Разумов В.И.</t>
  </si>
  <si>
    <t>978-5-16-020509-0</t>
  </si>
  <si>
    <t>00.04.16, 38.06.01, 40.06.01</t>
  </si>
  <si>
    <t>801722.01.01</t>
  </si>
  <si>
    <t>Методология науч. исслед. Нравств. наука: Уч.пос. / Н.Г.Привалов - М.:НИЦ ИНФРА-М,2025. - 239 с.(ВО)(п)</t>
  </si>
  <si>
    <t>МЕТОДОЛОГИЯ НАУЧНОГО ИССЛЕДОВАНИЯ. НРАВСТВЕННАЯ НАУКА</t>
  </si>
  <si>
    <t>Привалов Н.Г.</t>
  </si>
  <si>
    <t>978-5-16-018469-2</t>
  </si>
  <si>
    <t>38.03.01, 38.04.01, 38.04.02, 38.04.08</t>
  </si>
  <si>
    <t>Российский государственный университет правосудия Северо-Западный филиал</t>
  </si>
  <si>
    <t>238800.15.01</t>
  </si>
  <si>
    <t>Методология науч. исследования: Уч. / А.О.Овчаров, - 2 изд. - М.:НИЦ ИНФРА-М,2025. - 310 с.(ВО: Магистр.)(П)</t>
  </si>
  <si>
    <t>МЕТОДОЛОГИЯ НАУЧНОГО ИССЛЕДОВАНИЯ, ИЗД.2</t>
  </si>
  <si>
    <t>Овчаров А.О., Овчарова Т.Н.</t>
  </si>
  <si>
    <t>978-5-16-017366-5</t>
  </si>
  <si>
    <t>00.03.16, 00.04.16, 00.05.16, 38.04.01, 38.04.02, 38.04.03, 38.04.04, 38.04.05, 38.04.06, 38.04.07, 38.04.08, 38.04.09</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</si>
  <si>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подготовки 38.04.01 «Экономика»</t>
  </si>
  <si>
    <t>238800.12.01</t>
  </si>
  <si>
    <t>Методология научного исследования: Уч. / А.О.Овчаров - М.:НИЦ ИНФРА-М,2021 - 304 с.(ВО:Магистр.)(П)</t>
  </si>
  <si>
    <t>МЕТОДОЛОГИЯ НАУЧНОГО ИССЛЕДОВАНИЯ</t>
  </si>
  <si>
    <t>Овчаров А. О., Овчарова Т. Н.</t>
  </si>
  <si>
    <t>978-5-16-009204-1</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</si>
  <si>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38.04.01 «Экономика»</t>
  </si>
  <si>
    <t>651739.02.01</t>
  </si>
  <si>
    <t>Методология научно-гуманитар.познания: Моногр. / Е.А.Соколков-М.:Вуз. уч., НИЦ ИНФРА-М,2017-352с.(П)</t>
  </si>
  <si>
    <t>МЕТОДОЛОГИЯ НАУЧНО-ГУМАНИТАРНОГО ПОЗНАНИЯ</t>
  </si>
  <si>
    <t>Соколков Е.А.</t>
  </si>
  <si>
    <t>978-5-9558-0543-6</t>
  </si>
  <si>
    <t>40.03.01, 44.03.01, 44.03.05, 47.03.01</t>
  </si>
  <si>
    <t>690269.07.01</t>
  </si>
  <si>
    <t>Методология научных исследований ..: Уч. / Г.Д.Боуш - М.:НИЦ ИНФРА-М,2025 - 210 с.(ВО: Бакалавриат)(П)</t>
  </si>
  <si>
    <t>МЕТОДОЛОГИЯ НАУЧНЫХ ИССЛЕДОВАНИЙ (В КУРСОВЫХ И ВЫПУСКНЫХ КВАЛИФИКАЦИОННЫХ РАБОТАХ)</t>
  </si>
  <si>
    <t>978-5-16-014583-9</t>
  </si>
  <si>
    <t>Рекомендовано Учебно-методическим советом ВО в качестве учебника для учебных учреждений, реализующих программу высшего образования по направлениям подготовки бакалавриата, специалитета и магистратуры</t>
  </si>
  <si>
    <t>759446.04.01</t>
  </si>
  <si>
    <t>Методология научных исследований: Уч. / Н.Н.Каргин - М.:НИЦ ИНФРА-М,2024. - 259 с.(ВО:Магистр)(п)</t>
  </si>
  <si>
    <t>МЕТОДОЛОГИЯ НАУЧНЫХ ИССЛЕДОВАНИЙ</t>
  </si>
  <si>
    <t>Каргин Н.Н., Изаак С.И.</t>
  </si>
  <si>
    <t>978-5-16-017831-8</t>
  </si>
  <si>
    <t>00.03.16, 00.04.16, 00.05.16, 43.03.01, 43.03.02, 43.03.03, 43.04.01, 43.04.02, 43.04.03</t>
  </si>
  <si>
    <t>753314.01.01</t>
  </si>
  <si>
    <t>Методология обществоведческого исследования: Уч.пос. / Д.А.Михайлов-М.:НИЦ ИНФРА-М,2023.-179 с.(ВО)(П)</t>
  </si>
  <si>
    <t>МЕТОДОЛОГИЯ ОБЩЕСТВОВЕДЧЕСКОГО ИССЛЕДОВАНИЯ</t>
  </si>
  <si>
    <t>Михайлов Д.А.</t>
  </si>
  <si>
    <t>978-5-16-016894-4</t>
  </si>
  <si>
    <t>38.03.04, 38.04.04, 39.03.01, 39.03.03, 39.04.01, 39.04.03, 40.03.01, 40.04.01, 41.03.01, 41.03.02, 41.03.04, 41.03.05, 41.03.06, 41.04.01, 41.04.02, 41.04.04, 41.04.05, 41.04.06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</si>
  <si>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38.00.00 «Экономика и управление», 39.00.00 «Социология и социальная работа», 40.00.00 «Юриспруденция», 41.00.00 «Политические науки и регионоведение» (квалификация (степень) «бакалавр») (протокол № 6 от 08.06.2022)</t>
  </si>
  <si>
    <t>346700.06.01</t>
  </si>
  <si>
    <t>Методология проект.в нефтегаз.отрасли...: Уч.пос. / В.Ю.Керимов - М.:НИЦ ИНФРА-М,2025 - 123 с. (ВО:Магистр)(о)</t>
  </si>
  <si>
    <t>МЕТОДОЛОГИЯ ПРОЕКТИРОВАНИЯ В НЕФТЕГАЗОВОЙ ОТРАСЛИ И УПРАВЛЕНИЕ ПРОЕКТАМИ</t>
  </si>
  <si>
    <t>Керимов В.Ю., Толстов А.Б., Мустаев Р.Н. и др.</t>
  </si>
  <si>
    <t>978-5-16-010809-4</t>
  </si>
  <si>
    <t>Специализация по профилю «Геология нефти и газа» направления 21.05.02 «Прикладная геология» Направление подготовки 21.04.01 «Нефтегазовое дело». Программы подготовки 21.04.01.32 «Технологии освоения ресурсов углеводородов», 21.04.01.34 «Моделирование нефтегазовых геосистем и осадочных бассейнов»</t>
  </si>
  <si>
    <t>652775.06.01</t>
  </si>
  <si>
    <t>Методология проф. образования: Уч.пос. / А.Н.Ходусов-М.:НИЦ ИНФРА-М,2024-351 с.(ВО: Магистр.)(П)</t>
  </si>
  <si>
    <t>МЕТОДОЛОГИЯ ПРОФЕССИОНАЛЬНОГО ОБРАЗОВАНИЯ</t>
  </si>
  <si>
    <t>Ходусов А.Н.</t>
  </si>
  <si>
    <t>978-5-16-014406-1</t>
  </si>
  <si>
    <t>44.04.01, 44.04.04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</si>
  <si>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«магистр») (протокол № 12 от 24.06.2019)</t>
  </si>
  <si>
    <t>Курский государственный университет</t>
  </si>
  <si>
    <t>719226.03.01</t>
  </si>
  <si>
    <t>Методология создания информ. сис.: Уч.пос. / А.М.Карминский - 2 изд. - М.:ИД Форум, НИЦ ИНФРА-М,2025 - 320 с.(П)</t>
  </si>
  <si>
    <t>МЕТОДОЛОГИЯ СОЗДАНИЯ ИНФОРМАЦИОННЫХ СИСТЕМ, ИЗД.2</t>
  </si>
  <si>
    <t>Карминский А. М., Черников Б. В.</t>
  </si>
  <si>
    <t>978-5-8199-0898-3</t>
  </si>
  <si>
    <t>09.01.04, 09.01.05, 09.02.03, 38.02.01, 38.02.02, 38.02.03, 38.02.06, 38.02.07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</si>
  <si>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8 от 22.06.2020)</t>
  </si>
  <si>
    <t>170900.09.01</t>
  </si>
  <si>
    <t>Методология создания информ. сист.: Уч. пос. / А.М.Карминский-2изд.-М.:ИД ФОРУМ:ИНФРА-М, 2024-320с.(ВО)</t>
  </si>
  <si>
    <t>978-5-8199-0494-7</t>
  </si>
  <si>
    <t>09.03.02, 09.04.02, 38.03.01, 38.03.02</t>
  </si>
  <si>
    <t>Допущено Советом Учебно-методического объединения по образованию в области менеджмента в качестве учебного пособия по дисциплине специальности "Менеджмент организации"</t>
  </si>
  <si>
    <t>646487.05.01</t>
  </si>
  <si>
    <t>Методология социального исследования: Уч.пос. / А.В.Лубский - М.:НИЦ ИНФРА-М,2023 - 154 с.(ВО)(П)</t>
  </si>
  <si>
    <t>МЕТОДОЛОГИЯ СОЦИАЛЬНОГО ИССЛЕДОВАНИЯ</t>
  </si>
  <si>
    <t>978-5-16-012467-4</t>
  </si>
  <si>
    <t>39.04.01, 39.04.02, 39.04.03</t>
  </si>
  <si>
    <t>Рекомендовано в качестве учебного пособия  для студентов высших учебных заведений, обучающихся по направлениям подготовки 39.04.01 «Социология», 39.04.02 «Социальная работа», 39.04.03 «Организационная работа с молодежью» (квалификация (степень) «магистр»)</t>
  </si>
  <si>
    <t>648206.02.01</t>
  </si>
  <si>
    <t>Методология эксперимента: Уч. пос. / Э.А.Соснин - М.:НИЦ ИНФРА-М,2017 - 162 с.-(ВО: Магистратура)(П)</t>
  </si>
  <si>
    <t>МЕТОДОЛОГИЯ ЭКСПЕРИМЕНТА</t>
  </si>
  <si>
    <t>Соснин Э.А., Пойзнер Б.Н.</t>
  </si>
  <si>
    <t>978-5-16-012591-6</t>
  </si>
  <si>
    <t>14.03.01, 15.04.01, 15.04.04, 15.04.06, 16.03.01, 27.04.01, 27.04.02, 27.04.05, 44.04.04</t>
  </si>
  <si>
    <t>Рекомендовано кафедрой квантовой электроники и фотоники ФГАОУ ВО «Национальный исследовательский Томский государственный университет» для обучения магистрантов по направлениям подготовки 03.04.03 «Радиофизика», 12.04.03 «Фотоника и оптоинформатика», 12.04.02 «Оптотехника», аспирантов по направлению подготовки 03.06.01 «Физика и астрономия»</t>
  </si>
  <si>
    <t>648206.07.01</t>
  </si>
  <si>
    <t>Методология эксперимента: Уч.пос. / Э.А.Соснин - 2 изд. - М.:НИЦ ИНФРА-М,2023 - 162 с.-(ВО)(П)</t>
  </si>
  <si>
    <t>МЕТОДОЛОГИЯ ЭКСПЕРИМЕНТА, ИЗД.2</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</si>
  <si>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12.00.00 «Фотоника, приборостроение, оптические и биотехнические системы и технологии» в качестве учебного пособия для реализации образовательных программ высшего образования по направлениям подготовки магистратуры 12.04.02 «Оптотехника», 12.04.03 «Фотоника и оптоинформатика»</t>
  </si>
  <si>
    <t>813395.01.01</t>
  </si>
  <si>
    <t>Методы зоологических исследований: прак.: Уч.пос. / А.П.Суворов-М.:НИЦ ИНФРА-М,2024.-322 с.(ВО)(п)</t>
  </si>
  <si>
    <t>МЕТОДЫ ЗООЛОГИЧЕСКИХ ИССЛЕДОВАНИЙ: ПРАКТИКУМ</t>
  </si>
  <si>
    <t>Суворов А.П., Беленюк Н.Н., Тимошкина О.А. и др.</t>
  </si>
  <si>
    <t>978-5-16-019482-0</t>
  </si>
  <si>
    <t>06.03.01, 36.03.01, 36.03.02, 36.05.01</t>
  </si>
  <si>
    <t>Рекомендовано Научно-методическим советом федерального государственного бюджетного образовательного учреждения высшего профессионального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020400.62 «Биология»</t>
  </si>
  <si>
    <t>631443.06.01</t>
  </si>
  <si>
    <t>Методы и алгоритмы обработки данных: Уч.пос. / А.А.Григорьев - 2 изд. - М.:НИЦ ИНФРА-М,2024 - 383 с.(ВО)(П)</t>
  </si>
  <si>
    <t>МЕТОДЫ И АЛГОРИТМЫ ОБРАБОТКИ ДАННЫХ, ИЗД.2</t>
  </si>
  <si>
    <t>Григорьев А.А., Исаев Е.А.</t>
  </si>
  <si>
    <t>978-5-16-015581-4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</si>
  <si>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и специальностям  (протокол № 8 от 22.06.2020)</t>
  </si>
  <si>
    <t>631443.02.01</t>
  </si>
  <si>
    <t>Методы и алгоритмы обработки данных: Уч.пос. / А.А.Григорьев - М.:НИЦ ИНФРА-М,2018-256с.(ВО)(П)</t>
  </si>
  <si>
    <t>МЕТОДЫ И АЛГОРИТМЫ ОБРАБОТКИ ДАННЫХ</t>
  </si>
  <si>
    <t>Григорьев А.А.</t>
  </si>
  <si>
    <t>978-5-16-011916-8</t>
  </si>
  <si>
    <t>445550.08.01</t>
  </si>
  <si>
    <t>Методы и модели принятия упр.решений: Уч.пос./Е.В.Бережная-М.:НИЦ ИНФРА-М,2022-384с.(ВО:Бакалавр.)(п)</t>
  </si>
  <si>
    <t>МЕТОДЫ И МОДЕЛИ ПРИНЯТИЯ УПРАВЛЕНЧЕСКИХ РЕШЕНИЙ</t>
  </si>
  <si>
    <t>Бережная Е. В., Бережной В. И.</t>
  </si>
  <si>
    <t>978-5-16-006914-2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</si>
  <si>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</si>
  <si>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151150.07.01</t>
  </si>
  <si>
    <t>Методы и модели упр. огранич. ресурс. в логист. сист.: Уч.пос. / А.В.Мищенко - 2 изд.- М.: ИНФРА-М, 2024-185с.(ВО)</t>
  </si>
  <si>
    <t>МЕТОДЫ И МОДЕЛИ УПРАВЛЕНИЯ ОГРАНИЧЕННЫМИ РЕСУРСАМИ В ЛОГИСТИЧЕСКИХ СИСТЕМАХ, ИЗД.2</t>
  </si>
  <si>
    <t>Мищенко А.В.</t>
  </si>
  <si>
    <t>978-5-16-013083-5</t>
  </si>
  <si>
    <t>23.03.01, 29.04.02, 38.03.01, 38.03.06, 38.04.06, 42.03.03</t>
  </si>
  <si>
    <t>Допущено УМО по образованию в области логистики в качестве учебного пособия для студентов высших учебных заведений, обучающихся по направлению «Менеджмент» (специальность «Логистика и управление цепями поставок»)</t>
  </si>
  <si>
    <t>108000.10.01</t>
  </si>
  <si>
    <t>Методы и модели упр.инвест.в логистике: Уч.пос. / А.В.Мищенко - 2 изд. -М.:НИЦ ИНФРА-М,2020-370с.(п)</t>
  </si>
  <si>
    <t>МЕТОДЫ И МОДЕЛИ УПРАВЛЕНИЯ ИНВЕСТИЦИЯМИ В ЛОГИСТИКЕ, ИЗД.2</t>
  </si>
  <si>
    <t>Мищенко А. В.</t>
  </si>
  <si>
    <t>978-5-16-011703-4</t>
  </si>
  <si>
    <t>23.03.01, 29.04.02, 38.03.01, 38.03.02, 38.03.05, 38.03.06, 38.04.01, 38.04.02, 38.04.05, 38.04.06, 38.04.07, 38.04.08</t>
  </si>
  <si>
    <t>683434.03.01</t>
  </si>
  <si>
    <t>Методы и приборы контроля окружающей среды: Уч.пос. / Л.Е.Пустовая-М.:НИЦ ИНФРА-М,2023.-246 с.(ВО)(П)</t>
  </si>
  <si>
    <t>МЕТОДЫ И ПРИБОРЫ КОНТРОЛЯ ОКРУЖАЮЩЕЙ СРЕДЫ. ЭКОЛОГИЧЕСКИЙ МОНИТОРИНГ</t>
  </si>
  <si>
    <t>Пустовая Л.Е., Месхи Б.Ч.</t>
  </si>
  <si>
    <t>978-5-16-018522-4</t>
  </si>
  <si>
    <t>12.03.04, 20.03.01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</si>
  <si>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12.03.04 «Биотехнические системы и технологии», 20.03.01 «Техносферная безопасность» (квалификация (степень) «бакалавр») (протокол № 6 от 16.06.2021)</t>
  </si>
  <si>
    <t>Донской государственный технический университет ф-л Азовский технологический институт</t>
  </si>
  <si>
    <t>068000.06.01</t>
  </si>
  <si>
    <t>Методы и средства компл. анализа данных: Уч.пос. / А.П.Кулаичев-4 изд.-М.:Форум,ИНФРА-М,2017-512с(п)</t>
  </si>
  <si>
    <t>МЕТОДЫ И СРЕДСТВА КОМПЛЕКСНОГО АНАЛИЗА ДАННЫХ, ИЗД.4</t>
  </si>
  <si>
    <t>5-8199-0234-3</t>
  </si>
  <si>
    <t>Допущено Учебно-методическим объединением по классическому университетскому образованию в качестве учебного пособия для студентов вузов по дисциплинам "Прикладная статистика" и "Информатика"</t>
  </si>
  <si>
    <t>0406</t>
  </si>
  <si>
    <t>068000.11.01</t>
  </si>
  <si>
    <t>Методы и средства компл. статистич. анализа...: Уч.пос. / А.П.Кулаичев,- 5изд.-М.:НИЦ ИНФРА-М,2025-484с(ВО)(п)</t>
  </si>
  <si>
    <t>МЕТОДЫ И СРЕДСТВА КОМПЛЕКСНОГО СТАТИСТИЧЕСКОГО АНАЛИЗА ДАННЫХ, ИЗД.5</t>
  </si>
  <si>
    <t>Кулаичев А.П.</t>
  </si>
  <si>
    <t>978-5-16-020053-8</t>
  </si>
  <si>
    <t>Допущено Учебно-методическим объединением по классическому университетскому образованию в качестве учебного пособия для вузов по дисциплинам «Математическая статистика» и «Информатика»</t>
  </si>
  <si>
    <t>345800.08.01</t>
  </si>
  <si>
    <t>Методы и средства научных исследований: Уч. / А.А.Пижурин. - М.:НИЦ ИНФРА-М,2025 - 264 с.(ВО)(п)</t>
  </si>
  <si>
    <t>МЕТОДЫ И СРЕДСТВА НАУЧНЫХ ИССЛЕДОВАНИЙ</t>
  </si>
  <si>
    <t>Пижурин А.А., Пижурин А.А., Пятков В.Е.</t>
  </si>
  <si>
    <t>978-5-16-018550-7</t>
  </si>
  <si>
    <t>00.03.16, 00.04.16, 00.05.16, 35.03.02</t>
  </si>
  <si>
    <t>Рекомендовано УМО по образованию в области лесного дела в качестве учебника для студентов высших учебных заведений, обучающихся по направлению подготовки бакалавров 35.03.02 «Технология лесозаготовительных и деревоперерабатывающих производств»</t>
  </si>
  <si>
    <t>719225.06.01</t>
  </si>
  <si>
    <t>Методы и средства проектир. информац. сис.: Уч.пос. / Н.Н.Заботина - М.:НИЦ ИНФРА-М,2025. - 331 с.(П)</t>
  </si>
  <si>
    <t>МЕТОДЫ И СРЕДСТВА ПРОЕКТИРОВАНИЯ ИНФОРМАЦИОННЫХ СИСТЕМ</t>
  </si>
  <si>
    <t>Заботина Н.Н.</t>
  </si>
  <si>
    <t>978-5-16-015597-5</t>
  </si>
  <si>
    <t>09.02.03, 09.02.04, 09.02.10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</si>
  <si>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09.02.04 «Информационные системы (по отраслям)» (протокол № 13 от 16.09.2019)</t>
  </si>
  <si>
    <t>Ярославский государственный медицинский университет</t>
  </si>
  <si>
    <t>174350.11.01</t>
  </si>
  <si>
    <t>Методы исслед. работы в молодеж. среде: Уч.пос. / В.О.Евсеев - 2 изд.-М.:НИЦ ИНФРА-М,2025.-268 с.(ВО)(П)</t>
  </si>
  <si>
    <t>МЕТОДЫ ИССЛЕДОВАТЕЛЬСКОЙ РАБОТЫ В МОЛОДЕЖНОЙ СРЕДЕ, ИЗД.2</t>
  </si>
  <si>
    <t>Евсеев В.О., Волгин Н.А., Егорычев А.М.</t>
  </si>
  <si>
    <t>978-5-16-016760-2</t>
  </si>
  <si>
    <t>39.03.01, 39.03.02, 39.03.03, 39.04.01, 39.04.02, 39.04.03</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</si>
  <si>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специальности «Управление персоналом»</t>
  </si>
  <si>
    <t>174350.09.01</t>
  </si>
  <si>
    <t>Методы исслед. работы в молодежной среде: Уч.пос. / В.О.Евсеев-М.:Вуз. уч., НИЦ ИНФРА-М,2020.-237 с.(П)</t>
  </si>
  <si>
    <t>МЕТОДЫ ИССЛЕДОВАТЕЛЬСКОЙ РАБОТЫ В МОЛОДЕЖНОЙ СРЕДЕ</t>
  </si>
  <si>
    <t>Евсеев В. О., Волгин Н. А.</t>
  </si>
  <si>
    <t>978-5-9558-0236-7</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</si>
  <si>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специальности 080400 "Управление персоналом"</t>
  </si>
  <si>
    <t>321100.09.01</t>
  </si>
  <si>
    <t>Методы исследований в соц. работе: Уч. пос. /С.С.Новикова -М.:НИЦ ИНФРА-М,2024-381с(ВО:Бакалавр.)(п)</t>
  </si>
  <si>
    <t>МЕТОДЫ ИССЛЕДОВАНИЙ В СОЦИАЛЬНОЙ РАБОТЕ</t>
  </si>
  <si>
    <t>Новикова С.С., Соловьев А.В.</t>
  </si>
  <si>
    <t>978-5-16-010444-7</t>
  </si>
  <si>
    <t>Институт социально-политических исследований Российской академии наук</t>
  </si>
  <si>
    <t>290600.08.01</t>
  </si>
  <si>
    <t>Методы комплексной оценки сельскохоз...: Уч. пос. / Н.И. Римиханов - М.: КУРС: ИНФРА-М, 2022-144с(О)</t>
  </si>
  <si>
    <t>МЕТОДЫ КОМПЛЕКСНОЙ ОЦЕНКИ СЕЛЬСКОХОЗЯЙСТВЕННЫХ И МЕЛКИХ ДОМАШНИХ ЖИВОТНЫХ</t>
  </si>
  <si>
    <t>Римиханов Н.И., Юлдашбаев Ю.А., Сушкова З.Н. и др.</t>
  </si>
  <si>
    <t>978-5-905554-63-6</t>
  </si>
  <si>
    <t>06.03.01, 06.04.01, 36.03.01, 36.04.01</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</si>
  <si>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подготовки высшего образования «Зоотехния", "Ветеринария", "Ветеринарно-санитарна</t>
  </si>
  <si>
    <t>479900.08.01</t>
  </si>
  <si>
    <t>Методы контроля качества окр. среды: Уч.пос. / Н.А.Политаева-М.:НИЦ ИНФРА-М,2023.-112 с.(ВО: Бакалавр.)(О)</t>
  </si>
  <si>
    <t>МЕТОДЫ КОНТРОЛЯ КАЧЕСТВА ОКРУЖАЮЩЕЙ СРЕДЫ</t>
  </si>
  <si>
    <t>Политаева Н.А.</t>
  </si>
  <si>
    <t>978-5-16-016500-4</t>
  </si>
  <si>
    <t>05.03.06, 20.03.01</t>
  </si>
  <si>
    <t>Рекомендовано в качестве учебного пособия для студентов высших учебных заведений, обучающихся по направлениям 18.03.02 «Энерго- и ресурсосберегающие процессы в химической технологии, нефтехимии и биотехнологии» и 20.03.01 «Техносферная безопасность»</t>
  </si>
  <si>
    <t>668587.04.01</t>
  </si>
  <si>
    <t>Методы матем. физики: Уч.пос./ В.А.Барашков-М.:НИЦ ИНФРА-М, СФУ,2023-149 с.(ВО: Бакалавриат (СФУ))(П)</t>
  </si>
  <si>
    <t>МЕТОДЫ МАТЕМАТИЧЕСКОЙ ФИЗИКИ</t>
  </si>
  <si>
    <t>Барашков В.А.</t>
  </si>
  <si>
    <t>978-5-16-013302-7</t>
  </si>
  <si>
    <t>00.03.12, 11.03.01, 11.03.02, 11.03.03, 11.03.04, 12.03.01, 12.03.02, 12.03.03, 12.03.04, 12.03.05</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</si>
  <si>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вузов по направлению 11.03.03 «Конструирование и технология электронных средств»</t>
  </si>
  <si>
    <t>151200.07.01</t>
  </si>
  <si>
    <t>Методы менеджмента кач-ва. Методол. организ... /П.С.Серенков-М:Инфра-М; Мн:Нов. знан., 2022-491с(ВО)</t>
  </si>
  <si>
    <t>МЕТОДЫ МЕНЕДЖМЕНТА КАЧЕСТВА. МЕТОДОЛОГИЯ ОРГАНИЗАЦИОННОГО ПРОЕКТИРОВАНИЯ ИНЖЕНЕРНОЙ СОСТАВЛЯЮЩЕЙ СИСТЕМЫ МЕНЕДЖМЕНТА КАЧЕСТВА</t>
  </si>
  <si>
    <t>Серенков П. С.</t>
  </si>
  <si>
    <t>978-5-16-004962-5</t>
  </si>
  <si>
    <t>20.03.02, 27.03.01, 27.03.02, 27.04.05, 28.03.02, 29.03.03, 38.03.02, 38.03.04, 38.04.02, 38.04.04, 41.03.06</t>
  </si>
  <si>
    <t>254100.03.01</t>
  </si>
  <si>
    <t>Методы менеджмента качества. Методология упр.. / П.С.Серенков - М.:НИЦ ИНФРА-М, Нов.знание,2018-256с</t>
  </si>
  <si>
    <t>МЕТОДЫ МЕНЕДЖМЕНТА КАЧЕСТВА. МЕТОДОЛОГИЯ УПРАВЛЕНИЯ РИСКОМ СТАНДАРТИЗАЦИИ</t>
  </si>
  <si>
    <t>Серенков П. С., Гуревич В. Л., Романчак В. М., Янушкевич А. В.</t>
  </si>
  <si>
    <t>978-985-475-626-4</t>
  </si>
  <si>
    <t>27.04.01, 27.04.02, 27.04.03, 27.04.04, 27.04.05, 27.04.06, 27.04.07, 27.04.08, 27.05.01, 27.05.02, 38.04.02</t>
  </si>
  <si>
    <t>832223.01.01</t>
  </si>
  <si>
    <t>Методы микробиологич. исслед.: Уч.пос. / Л.В.Лагун -М.:НИЦ ИНФРА-М, ГомГМУ,2024.-192 с.: цв.ил.(ВО(п)</t>
  </si>
  <si>
    <t>МЕТОДЫ МИКРОБИОЛОГИЧЕСКИХ ИССЛЕДОВАНИЙ</t>
  </si>
  <si>
    <t>Лагун Л.В., Тапальский Д.В., Стома И.О.</t>
  </si>
  <si>
    <t>978-5-16-019984-9</t>
  </si>
  <si>
    <t>Рекомендовано Учебно-методическим объединением по высшему медицинскому, фармацевтическому образованию в качестве учебно-методического пособия для студентов учреждений высшего образования, обучающихся по специальностям 1-79 01 01 «Лечебное дело», 1-79 01 03 «Медико-профилактическое дело», 1-79 01 04 «Медико-диагностическое дело»</t>
  </si>
  <si>
    <t>397400.04.01</t>
  </si>
  <si>
    <t>Методы морск. геолог. иссл.: Уч. / О.А.Серебрякова - М.: Альфа-М, НИЦ ИНФРА-М, 2023 -244с  (П)</t>
  </si>
  <si>
    <t>МЕТОДЫ МОРСКИХ ГЕОЛОГИЧЕСКИХ ИССЛЕДОВАНИЙ</t>
  </si>
  <si>
    <t>Серебрякова О.А.</t>
  </si>
  <si>
    <t>Высшая школа: Магистратура</t>
  </si>
  <si>
    <t>978-5-98281-435-7</t>
  </si>
  <si>
    <t>269600.10.01</t>
  </si>
  <si>
    <t>Методы научного познания: Уч.пос. / С.А.Лебедев - М.:НИЦ ИНФРА-М,2024 - 272 с.(ВО: Магистр.)(п)</t>
  </si>
  <si>
    <t>МЕТОДЫ НАУЧНОГО ПОЗНАНИЯ</t>
  </si>
  <si>
    <t>Лебедев С.А.</t>
  </si>
  <si>
    <t>978-5-16-015244-8</t>
  </si>
  <si>
    <t>Допущено Министерством образования и науки Российской Федерации в качестве учебного пособия по дисциплине «История и философия науки» для аспирантов естественно-научных, технических и гуманитарных специальностей, а также по дисциплинам «Философия», «Философия и методология науки» для студентов, обучающихся по направлению «Философия» (квалификация (степень) «магистр»)</t>
  </si>
  <si>
    <t>715616.04.01</t>
  </si>
  <si>
    <t>Методы научных и экспериментальных  исслед.: Уч.пос. / Ю.М.Осадчий.-М.:НИЦ ИНФРА-М,2024.-238 с.(П)</t>
  </si>
  <si>
    <t>МЕТОДЫ НАУЧНЫХ И ЭКСПЕРИМЕНТАЛЬНЫХ  ИССЛЕДОВАНИЙ</t>
  </si>
  <si>
    <t>Осадчий Ю.М., Кузнецов В.В., Паткаускас А.В. и др.</t>
  </si>
  <si>
    <t>978-5-16-015734-4</t>
  </si>
  <si>
    <t>26.03.01, 26.03.02, 26.04.01, 26.04.02, 26.05.01, 26.05.02, 26.05.03, 26.05.04, 26.05.05, 26.05.06, 26.05.07</t>
  </si>
  <si>
    <t>288000.06.01</t>
  </si>
  <si>
    <t>Методы определения термодинам...: Уч.пос. / Н.М.Хохлачева и др. - М.:НИЦ ИНФРА-М,2022 - 194 с.(О)</t>
  </si>
  <si>
    <t>МЕТОДЫ ОПРЕДЕЛЕНИЯ ТЕРМОДИНАМИЧЕСКИХ ХАРАКТЕРИСТИК ВЕЩЕСТВ, ХИМИЧЕСКИХ РЕАКЦИЙ И РАСТВОРОВ</t>
  </si>
  <si>
    <t>Хохлачева Н.М., Ильина Е.Б., Мареичева Е.Е. и др.</t>
  </si>
  <si>
    <t>978-5-16-011813-0</t>
  </si>
  <si>
    <t>04.03.01, 04.03.02, 20.03.01, 20.04.01, 22.03.01, 22.03.02, 22.04.01, 22.04.02</t>
  </si>
  <si>
    <t>Допущено Учебно-методическим объединением высших учебных заведений Российской Федерации по образованию в области материаловедения, технологий материалов и покрытий в качестве учебного пособия для студентов, обучающихся по направлению подготовки бакалавров 22.03.01 «Материаловедение и технологии материалов»</t>
  </si>
  <si>
    <t>439500.07.01</t>
  </si>
  <si>
    <t>Методы оптимальных решений: Уч. / И.Н.Мастяева и др. - М.:КУРС, НИЦ ИНФРА-М,2023 - 384 с.(п)</t>
  </si>
  <si>
    <t>МЕТОДЫ ОПТИМАЛЬНЫХ РЕШЕНИЙ</t>
  </si>
  <si>
    <t>Мастяева И.Н., Горемыкина Г.И., Семенихина О.Н.</t>
  </si>
  <si>
    <t>978-5-905554-24-7</t>
  </si>
  <si>
    <t>667672.05.01</t>
  </si>
  <si>
    <t>Методы оптимальных решений: Уч.пос. / А.В.Бородин - М.:НИЦ ИНФРА-М,2023 - 203 с.-(ВО)(П)</t>
  </si>
  <si>
    <t>Бородин А.В., Пителинский К.В.</t>
  </si>
  <si>
    <t>978-5-16-012308-0</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</si>
  <si>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</si>
  <si>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175150.12.01</t>
  </si>
  <si>
    <t>Методы оптимизации: Уч. пос. / А.В. Аттетков - М.: ИЦ РИОР, НИЦ ИНФРА-М, 2025 - 270 с.(ВО:Бакалавр.) (П)</t>
  </si>
  <si>
    <t>МЕТОДЫ ОПТИМИЗАЦИИ</t>
  </si>
  <si>
    <t>Аттетков А. В., Зарубин В. С., Канатников А. Н.</t>
  </si>
  <si>
    <t>978-5-369-01037-2</t>
  </si>
  <si>
    <t>01.03.02, 01.03.04, 02.03.01, 02.03.02, 02.04.01, 02.04.02, 03.03.02, 04.03.02, 09.04.01, 24.03.03, 24.04.03, 28.04.02</t>
  </si>
  <si>
    <t>Рекомендовано Министерством образования РФ в качестве учебного пособия для студентов высших учебных заведений</t>
  </si>
  <si>
    <t>335500.06.01</t>
  </si>
  <si>
    <t>Методы подбора состава модифицированных бетонов: Уч.пос. / Б.А.Усов - М.:НИЦ ИНФРА-М,2024-162с.(ВО)(О)</t>
  </si>
  <si>
    <t>МЕТОДЫ ПОДБОРА СОСТАВА МОДИФИЦИРОВАННЫХ БЕТОНОВ</t>
  </si>
  <si>
    <t>Усов Б.А.</t>
  </si>
  <si>
    <t>978-5-16-010674-8</t>
  </si>
  <si>
    <t>Рекомендовано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t>
  </si>
  <si>
    <t>485800.08.01</t>
  </si>
  <si>
    <t>Методы принятия упр.решений: Уч.пос. / В.Л.Сендеров - М.:НИЦ ИНФРА-М,2023-227с.(ВО:Бакалавр.)(П)</t>
  </si>
  <si>
    <t>МЕТОДЫ ПРИНЯТИЯ УПРАВЛЕНЧЕСКИХ РЕШЕНИЙ</t>
  </si>
  <si>
    <t>Сендеров В.Л., Юрченко Т.И., Воронцова Ю.В. и др.</t>
  </si>
  <si>
    <t>978-5-16-011735-5</t>
  </si>
  <si>
    <t>483850.09.01</t>
  </si>
  <si>
    <t>Методы принятия управленческих решений: Уч.пос. / Н.В.Кузнецова - М.:НИЦ ИНФРА-М,2024-222с.(ВО:Бакалавр.)</t>
  </si>
  <si>
    <t>Н.В.Кузнецова</t>
  </si>
  <si>
    <t>978-5-16-010495-9</t>
  </si>
  <si>
    <t>694844.08.01</t>
  </si>
  <si>
    <t>Методы расчёта строит. конструкций: теория...: Уч. пос./ Б.А.Тухфатуллин-М.:НИЦ ИНФРА-М,2024-124с(О)</t>
  </si>
  <si>
    <t>МЕТОДЫ РАСЧЁТА СТРОИТЕЛЬНЫХ КОНСТРУКЦИЙ: ТЕОРИЯ И ЗАДАЧИ С РЕАЛИЗАЦИЕЙ В ПРОГРАММНОМ КОМПЛЕКСЕ SCILAB</t>
  </si>
  <si>
    <t>Тухфатуллин Б.А., Черняк А.М.</t>
  </si>
  <si>
    <t>978-5-16-014735-2</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</si>
  <si>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08.00.00 «Техника и технологии строительства»</t>
  </si>
  <si>
    <t>055900.18.01</t>
  </si>
  <si>
    <t>Методы социологического исследования: Уч. / В.И.Добреньков-М.:НИЦ ИНФРА-М,2024-768с.(ВО)(п)</t>
  </si>
  <si>
    <t>МЕТОДЫ СОЦИОЛОГИЧЕСКОГО ИССЛЕДОВАНИЯ</t>
  </si>
  <si>
    <t>Добреньков В. И., Кравченко А. И.</t>
  </si>
  <si>
    <t>978-5-16-018913-0</t>
  </si>
  <si>
    <t>38.04.03, 39.03.01, 39.04.01</t>
  </si>
  <si>
    <t>Допущено Министерством образования РФ в качестве учебника для студентов высших учебных заведений, обучающихся по специальности 020300 "Социология"</t>
  </si>
  <si>
    <t>Московский государственный университет им. М.В. Ломоносова, социологический факультет</t>
  </si>
  <si>
    <t>425300.07.01</t>
  </si>
  <si>
    <t>Методы стимулир. продаж в торговле: Уч. / С.Б.Алексина.- М.:ИД ФОРУМ:НИЦ Инфра-М,2023-304с.(ВО) (п)</t>
  </si>
  <si>
    <t>МЕТОДЫ СТИМУЛИРОВАНИЯ ПРОДАЖ В ТОРГОВЛЕ</t>
  </si>
  <si>
    <t>Алексина С. Б., Иванов Г. Г., Крышталев В. К., Панкина Т. В.</t>
  </si>
  <si>
    <t>978-5-8199-0526-5</t>
  </si>
  <si>
    <t>682979.03.01</t>
  </si>
  <si>
    <t>Методы стимулир. продаж в торговле: Уч. / С.Б.Алексина.-М.:ИД ФОРУМ, НИЦ ИНФРА-М,2020.-304с.(СПО)(П)</t>
  </si>
  <si>
    <t>Алексина С.Б., Иванов Г.Г., Крышталев В.К. и др.</t>
  </si>
  <si>
    <t>978-5-8199-0796-2</t>
  </si>
  <si>
    <t>11.02.12, 38.02.08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</si>
  <si>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t>
  </si>
  <si>
    <t>682980.07.01</t>
  </si>
  <si>
    <t>Методы тех. диагностики автомобилей: Уч.пос. / В.Д.Мигаль - М.:ИД ФОРУМ, НИЦ ИНФРА-М,2025 - 417 с.(СПО)</t>
  </si>
  <si>
    <t>МЕТОДЫ ТЕХНИЧЕСКОЙ ДИАГНОСТИКИ АВТОМОБИЛЕЙ</t>
  </si>
  <si>
    <t>Мигаль В.Д., Мигаль В.П.</t>
  </si>
  <si>
    <t>978-5-8199-0797-9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</si>
  <si>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23.02.02 «Автомобиле- и тракторостроение»</t>
  </si>
  <si>
    <t>454150.10.01</t>
  </si>
  <si>
    <t>Методы техн. диагностики автомобилей: Уч.пос. / В.Д.Мигаль-М.:ИД Форум, НИЦ ИНФРА-М,2023.-417 с.(ВО)(П)</t>
  </si>
  <si>
    <t>Мигаль В. Д., Мигаль В. П.</t>
  </si>
  <si>
    <t>978-5-8199-0804-4</t>
  </si>
  <si>
    <t>23.03.01, 23.03.02</t>
  </si>
  <si>
    <t>Рекомендовано в качестве учебного пособия для студентов высших учебных заведений, обучающихся по направлению подготовки 23.03.01 «Технологии транспортных процессов» (квалификация (степень) «бакалавр»)</t>
  </si>
  <si>
    <t>151150.04.01</t>
  </si>
  <si>
    <t>Методы упр. ограниченными ресурсами в логистике: Уч.пос. / А.В.Мищенко - М.: ИНФРА-М, 2017-184с.(ВО)</t>
  </si>
  <si>
    <t>МЕТОДЫ УПРАВЛЕНИЯ ОГРАНИЧЕННЫМИ РЕСУРСАМИ В ЛОГИСТИКЕ</t>
  </si>
  <si>
    <t>978-5-16-004515-3</t>
  </si>
  <si>
    <t>642151.07.01</t>
  </si>
  <si>
    <t>Методы экологических исследований: Уч. / Рязанова Н.Е. - М.:НИЦ ИНФРА-М,2024 - 474 с.(ВО)(П)</t>
  </si>
  <si>
    <t>МЕТОДЫ ЭКОЛОГИЧЕСКИХ ИССЛЕДОВАНИЙ</t>
  </si>
  <si>
    <t>Рязанова Н.Е., Аковецкий В.Г., Зубалий А.М. и др.</t>
  </si>
  <si>
    <t>978-5-16-018515-6</t>
  </si>
  <si>
    <t>05.03.06, 06.03.01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</si>
  <si>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05.03.06 «Экология и природопользование» (квалификация (степень) «бакалавр») (протокол № 5 от 11.03.2019)</t>
  </si>
  <si>
    <t>131600.12.01</t>
  </si>
  <si>
    <t>Методы эконометрики: Уч. / С.А.Айвазян - М.:Магистр, НИЦ ИНФРА-М,2025 - 512 с.(Бакалавр.)(п)</t>
  </si>
  <si>
    <t>МЕТОДЫ ЭКОНОМЕТРИКИ</t>
  </si>
  <si>
    <t>Айвазян С.А.</t>
  </si>
  <si>
    <t>978-5-9776-0153-5</t>
  </si>
  <si>
    <t>09.03.03, 09.04.03, 38.03.01, 38.03.02, 38.03.03, 38.03.04, 38.03.05, 38.03.06, 38.03.07, 38.04.01, 38.04.02, 38.04.03, 38.04.04, 38.04.05, 38.04.06, 38.04.07, 38.04.08, 38.04.09, 38.05.01, 38.05.02, 41.03.06</t>
  </si>
  <si>
    <t>Рекомендовано Учебно-методическим объединением по образованию в области математических методов в экономике в качестве учебника для студентов вузов, обучающихся по специальности  "Математические методы в экономике" и другим экономическим специальност</t>
  </si>
  <si>
    <t>073300.11.01</t>
  </si>
  <si>
    <t>Методы экономических исследований: Уч.пос. / А.М.Орехов, - 2 изд. - М.:НИЦ ИНФРА-М,2025. - 344 с.(ВО)(П)</t>
  </si>
  <si>
    <t>МЕТОДЫ ЭКОНОМИЧЕСКИХ ИССЛЕДОВАНИЙ, ИЗД.2</t>
  </si>
  <si>
    <t>978-5-16-005748-4</t>
  </si>
  <si>
    <t>Рекомендовано Учебно-методическим объединением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t>
  </si>
  <si>
    <t>668702.03.01</t>
  </si>
  <si>
    <t>Методы этимологических исследований: Уч.пос. / О.А.Теуш-М.:НИЦ ИНФРА-М,2023.-166 с.(ВО:Бакалавр.)(П)</t>
  </si>
  <si>
    <t>МЕТОДЫ ЭТИМОЛОГИЧЕСКИХ ИССЛЕДОВАНИЙ</t>
  </si>
  <si>
    <t>Теуш О.А.</t>
  </si>
  <si>
    <t>978-5-16-013798-8</t>
  </si>
  <si>
    <t>45.03.01, 45.04.01, 45.04.02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</si>
  <si>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45.03.01 «Филология» (квалификация (степень) «бакалавр») (протокол № 6 от 25.03.2019)</t>
  </si>
  <si>
    <t>287000.09.01</t>
  </si>
  <si>
    <t>Методы, модели, средства хранения и обр.данных: Уч. / Э.Г.Дадян-М.:Вуз.уч.,НИЦ ИНФРА-М,2024-168с.(П)</t>
  </si>
  <si>
    <t>МЕТОДЫ, МОДЕЛИ, СРЕДСТВА ХРАНЕНИЯ И ОБРАБОТКИ ДАННЫХ</t>
  </si>
  <si>
    <t>Дадян Э.Г., Зеленков Ю.А.</t>
  </si>
  <si>
    <t>978-5-9558-0490-3</t>
  </si>
  <si>
    <t>01.03.02, 01.03.04, 01.04.02, 01.04.04, 02.03.01, 02.03.02, 02.03.03, 02.04.01, 02.04.02, 02.04.03, 03.03.02, 09.03.01, 09.03.03, 09.03.04</t>
  </si>
  <si>
    <t>463550.06.01</t>
  </si>
  <si>
    <t>Метрологическое обеспеч. безопас. сложных...: Уч. пос./Н.А.Северцев -М.: КУРС: ИНФРА-М,2023-352с.(П)</t>
  </si>
  <si>
    <t>МЕТРОЛОГИЧЕСКОЕ ОБЕСПЕЧЕНИЕ БЕЗОПАСНОСТИ СЛОЖНЫХ ТЕХНИЧЕСКИХ СИСТЕМ</t>
  </si>
  <si>
    <t>Северцев Н. А., Темнов В. Н.</t>
  </si>
  <si>
    <t>978-5-905554-54-4</t>
  </si>
  <si>
    <t>20.03.01, 20.03.02, 20.04.02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</si>
  <si>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280100 «Безопасность жизнедеятельности»</t>
  </si>
  <si>
    <t>356300.08.01</t>
  </si>
  <si>
    <t>Метрологическое обеспеч.производ. в машиностроении: Уч. / В.А.Тимирязев - М.:НИЦ ИНФРА-М,2025 - 259 с.(ВО)</t>
  </si>
  <si>
    <t>МЕТРОЛОГИЧЕСКОЕ ОБЕСПЕЧЕНИЕ ПРОИЗВОДСТВА В МАШИНОСТРОЕНИИ</t>
  </si>
  <si>
    <t>Тимирязев В.А., Схиртладзе А.Г., Дмитриев С.И. и др.</t>
  </si>
  <si>
    <t>978-5-16-010916-9</t>
  </si>
  <si>
    <t>Допущено Учебно-методическим объединением вузов по образованию в области автоматизированного машиностроения (УМО АМ) в качестве учебника для студентов высших учебных заведений, обучающихся по направлениям подготовки 15.03.05 «Конструкторско-технологическое обеспечение машиностроительных производств», 15.03.04 «Автоматизация технологических процессов и производств» (квалификация (степень) «бакалавр»)</t>
  </si>
  <si>
    <t>205900.12.01</t>
  </si>
  <si>
    <t>Метрология и средства измер.: Уч.пос. / В.Ф.Пелевин - М.:НИЦ ИНФРА-М, Нов. знание,2023 - 273 с.(ВО)(П)</t>
  </si>
  <si>
    <t>МЕТРОЛОГИЯ И СРЕДСТВА ИЗМЕРЕНИЙ</t>
  </si>
  <si>
    <t>Пелевин В.Ф.</t>
  </si>
  <si>
    <t>978-5-16-006769-8</t>
  </si>
  <si>
    <t>18.03.01, 18.03.02, 18.05.01, 18.05.02, 19.03.01, 19.03.02, 19.03.03, 19.03.04, 27.03.01</t>
  </si>
  <si>
    <t>Допущено Министерством образования Республики Беларусь в качестве учебного пособия для студентов учреждений высшего образования по техническим и технологическим специальностям</t>
  </si>
  <si>
    <t>092450.19.01</t>
  </si>
  <si>
    <t>Метрология, стандарт. и сертифик.: Уч.пос. / Е.Б.Герасимова-2 изд.-М:Форум,ИНФРА-М,2024-224с(СПО)(п)</t>
  </si>
  <si>
    <t>МЕТРОЛОГИЯ, СТАНДАРТИЗАЦИЯ И СЕРТИФИКАЦИЯ, ИЗД.2</t>
  </si>
  <si>
    <t>Герасимова Е.Б., Герасимов Б.И.</t>
  </si>
  <si>
    <t>978-5-00091-479-3</t>
  </si>
  <si>
    <t>00.02.32, 08.02.03, 12.02.10, 13.02.07, 14.02.01, 14.02.02, 15.01.37, 15.02.01, 15.02.03, 15.02.09, 15.02.10, 15.02.16, 15.02.18, 15.02.19, 18.02.12, 21.02.12, 23.02.02, 23.02.05, 25.02.08, 27.02.04, 35.02.18</t>
  </si>
  <si>
    <t>179900.08.01</t>
  </si>
  <si>
    <t>Метрология, стандартизация и взаимозаменяемость: Уч. / С.Б.Тарасов -М.:НИЦ ИНФРА-М,2024-337c(ВО)(п)</t>
  </si>
  <si>
    <t>МЕТРОЛОГИЯ, СТАНДАРТИЗАЦИЯ И ВЗАИМОЗАМЕНЯЕМОСТЬ</t>
  </si>
  <si>
    <t>Тарасов С.Б., Любомудров С.А., Макарова Т.А. и др.</t>
  </si>
  <si>
    <t>978-5-16-018882-9</t>
  </si>
  <si>
    <t>15.03.01, 15.03.02, 15.03.03, 15.03.04, 15.03.05, 15.03.06, 15.05.01, 22.03.01, 22.03.02, 23.03.01, 23.03.02, 23.03.03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</si>
  <si>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подготовки 15.03.00 «Машиностроение», 13.03.00 «Электро- и теплоэнергетика» (квалификация (степень) «бакалавр») (протокол № 5 от 11.03.2019)</t>
  </si>
  <si>
    <t>765098.01.01</t>
  </si>
  <si>
    <t>Метрология, стандартизация и сертификация в вооруж...: Уч. / Ю.М.Голубинский.-М.:НИЦ ИНФРА-М,2024.-341 с.(ВО)(п)</t>
  </si>
  <si>
    <t>МЕТРОЛОГИЯ, СТАНДАРТИЗАЦИЯ И СЕРТИФИКАЦИЯ В ВООРУЖЕНИИ И ВОЕННОЙ ТЕХНИКЕ</t>
  </si>
  <si>
    <t>Голубинский Ю.М., Григорян Е.С., Савицкий В.Я.</t>
  </si>
  <si>
    <t>978-5-16-018071-7</t>
  </si>
  <si>
    <t>12.05.01, 17.05.02, 27.03.01, 27.04.01</t>
  </si>
  <si>
    <t>708376.05.01</t>
  </si>
  <si>
    <t>Метрология, стандартизация и сертификация..: Уч.пос. / В.Д.Мочалов - 2 изд. - М.:НИЦ ИНФРА-М,2025 - 264 с.(П)</t>
  </si>
  <si>
    <t>МЕТРОЛОГИЯ, СТАНДАРТИЗАЦИЯ И СЕРТИФИКАЦИЯ. ОСНОВЫ ВЗАИМОЗАМЕНЯЕМОСТИ, ИЗД.2</t>
  </si>
  <si>
    <t>Мочалов В.Д., Погонин А.А., Афанасьев А.А.</t>
  </si>
  <si>
    <t>978-5-16-015107-6</t>
  </si>
  <si>
    <t>15.02.01, 15.02.03, 15.02.04, 15.02.06, 15.02.07, 15.02.09, 15.02.10, 15.02.16, 15.02.17, 15.02.18, 15.02.19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</si>
  <si>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(протокол № 4 от 25.02.2019)</t>
  </si>
  <si>
    <t>679469.04.01</t>
  </si>
  <si>
    <t>Метрология, стандартизация и сертификация..: Уч.пос. / В.Д.Мочалов -2 изд.-М.:НИЦ ИНФРА-М,2024-264с.(ВО)(п)</t>
  </si>
  <si>
    <t>978-5-16-018960-4</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</si>
  <si>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«Технологические машины и оборудование», «Конструкторско-технологическое обеспечение машиностроительных производств», «Автоматизация технологических процессов и производств»</t>
  </si>
  <si>
    <t>713271.08.01</t>
  </si>
  <si>
    <t>Метрология, стандартизация и сертификация: Уч. / А.А.Иванов - М.:НИЦ ИНФРА-М,2025 - 301 с.(П)</t>
  </si>
  <si>
    <t>МЕТРОЛОГИЯ, СТАНДАРТИЗАЦИЯ И СЕРТИФИКАЦИЯ</t>
  </si>
  <si>
    <t>Иванов А.А., Ефремов В.В., Ковчик А.И.</t>
  </si>
  <si>
    <t>978-5-16-015546-3</t>
  </si>
  <si>
    <t>23.02.03</t>
  </si>
  <si>
    <t>Допущен Федеральным государственным казенным военным образовательным учреждением высшего образования «Рязанское гвардейское высшее воздушно-десантное ордена Суворова дважды Краснознаменное командное училище имени генерала армии В.Ф. Маргелова» Министерства обороны Российской Федерации в качестве учебника для курсантов, обучающихся по специальности 23.02.03 «Техническое обслуживание и ремонт автомобильного транспорта», квалификация (степень) «техник»</t>
  </si>
  <si>
    <t>704397.03.01</t>
  </si>
  <si>
    <t>Метрология, стандартизация и сертификация: Уч. / А.А.Иванов и др.-М.:НИЦ ИНФРА-М,2023.-523 с.(П)</t>
  </si>
  <si>
    <t>Иванов А.А., Ковчик А.И., Столяров А.С. и др.</t>
  </si>
  <si>
    <t>978-5-16-015048-2</t>
  </si>
  <si>
    <t>23.02.02, 23.02.03, 23.02.04, 23.02.07</t>
  </si>
  <si>
    <t>Допущено Министерством обороны Российской Федерации в качестве учебника для курсантов и слушателей высших военно-учебных заведений, обучающихся по направлению «Эксплуатация наземного транспорта и транспортного оборудования» по специальности «Автомобили и автомобильное хозяйство» и направлению «Транспортные машины и транспортно-технологические комплексы» по специальности «Многоцелевые гусеничные и колесные машины»</t>
  </si>
  <si>
    <t>091850.11.01</t>
  </si>
  <si>
    <t>Метрология, стандартизация и сертификация: Уч.пос. / В.Е.Эрастов,-2 изд.-М.:НИЦ ИНФРА-М,2023-196с(П)</t>
  </si>
  <si>
    <t>Эрастов В.Е.</t>
  </si>
  <si>
    <t>978-5-16-012324-0</t>
  </si>
  <si>
    <t>09.03.01, 09.03.02, 09.03.03, 09.03.04, 11.03.01, 11.03.02, 11.03.03, 11.03.04, 27.03.01</t>
  </si>
  <si>
    <t>Рекомендовано в качестве учебного пособия для студентов высших учебных заведений, обучающихся по направлениям подготовки 12.03.01 «Приборостроение», 15.03.01 «Машиностроение», 20.03.01 «Техносферная безопасность» (квалификация (степень) «бакалавр»)</t>
  </si>
  <si>
    <t>Томский государственный университет систем управления и радиоэлектроники</t>
  </si>
  <si>
    <t>653007.10.01</t>
  </si>
  <si>
    <t>Метрология, стандартизация, сертиф.,технич...: Уч. / В.Ю.Шишмарев - М.:КУРС, НИЦ ИНФРА-М,2025 - 312 с.(СПО)(п)</t>
  </si>
  <si>
    <t>МЕТРОЛОГИЯ, СТАНДАРТИЗАЦИЯ, СЕРТИФИКАЦИЯ, ТЕХНИЧЕСКОЕ РЕГУЛИРОВАНИЕ И ДОКУМЕНТОВЕДЕНИЕ</t>
  </si>
  <si>
    <t>Шишмарев В.Ю.</t>
  </si>
  <si>
    <t>978-5-906923-15-8</t>
  </si>
  <si>
    <t>09.02.01, 09.02.02, 09.02.04</t>
  </si>
  <si>
    <t>446750.05.01</t>
  </si>
  <si>
    <t>Метрология, стандартизация, сертиф.: Уч. / В.И.Колчков, - 2изд.,-М.:Форум, НИЦ ИНФРА-М,2024-432с(ВО)</t>
  </si>
  <si>
    <t>МЕТРОЛОГИЯ, СТАНДАРТИЗАЦИЯ, СЕРТИФИКАЦИЯ, ИЗД.2</t>
  </si>
  <si>
    <t>Колчков В.И.</t>
  </si>
  <si>
    <t>978-5-00091-638-4</t>
  </si>
  <si>
    <t>15.03.01, 15.03.02, 15.03.03, 15.03.04, 15.03.05, 15.03.06, 27.03.01</t>
  </si>
  <si>
    <t>753740.01.01</t>
  </si>
  <si>
    <t>Метрология, стандартизация, сертификация: Уч. / А.А.Канке, - 2 изд.-М.:НИЦ ИНФРА-М,2023.-363 с.(ВО)(п)</t>
  </si>
  <si>
    <t>978-5-16-016835-7</t>
  </si>
  <si>
    <t>00.03.34, 27.03.01, 27.04.01</t>
  </si>
  <si>
    <t>079950.19.01</t>
  </si>
  <si>
    <t>Метрология, стандартизация, сертификация: Уч. / А.А.Канке, - 2 изд.-М.:НИЦ ИНФРА-М,2023.-363 с.(СПО)(п)</t>
  </si>
  <si>
    <t>978-5-16-016811-1</t>
  </si>
  <si>
    <t>00.02.32, 27.02.01, 27.02.06</t>
  </si>
  <si>
    <t>079950.23.01</t>
  </si>
  <si>
    <t>Метрология, стандартизация, сертификация: Уч. / И.П.Кошевая, - М.:Форум, НИЦ ИНФРА-М,2022.-415 с.(П)</t>
  </si>
  <si>
    <t>МЕТРОЛОГИЯ, СТАНДАРТИЗАЦИЯ, СЕРТИФИКАЦИЯ</t>
  </si>
  <si>
    <t>Кошевая И.П., Канке А.А.</t>
  </si>
  <si>
    <t>978-5-16-013572-4</t>
  </si>
  <si>
    <t>108800.04.01</t>
  </si>
  <si>
    <t>Метрология: Уч. / А.А.Брюховец и др. - 2-е изд., перераб. и доп.-М.:Форум,2015.-464 с.-(Высшее обр.)</t>
  </si>
  <si>
    <t>МЕТРОЛОГИЯ, ИЗД.2</t>
  </si>
  <si>
    <t>Брюховец А. А., Вячеславова О. Ф., Грибанов Д. Д., Куранов А. Д., Лось Л. А., Зайцев С. А.</t>
  </si>
  <si>
    <t>978-5-91134-461-0</t>
  </si>
  <si>
    <t>07.03.02, 07.03.03, 07.03.04, 08.03.01, 09.03.01, 09.03.02, 09.03.03, 09.03.04, 10.03.01, 11.03.01, 11.03.02, 11.03.03, 11.03.04, 12.03.01, 12.03.02, 12.03.03, 12.03.04, 12.03.05, 13.03.01, 13.03.02, 13.03.03, 14.03.01, 14.03.02, 15.03.01, 15.03.02, 15.03.03, 15.03.04, 15.03.05, 15.03.06, 16.03.01, 16.03.02, 16.03.03, 17.03.01, 18.03.01, 18.03.02, 19.03.01, 19.03.02, 19.03.03, 19.03.04, 20.03.01, 20.03.02, 21.03.01, 21.03.02, 21.03.03, 22.03.01, 22.03.02, 23.03.01, 23.03.02, 23.03.03, 24.03.01, 24.03.02, 24.03.03, 24.03.04, 24.03.05, 25.03.01, 25.03.02, 25.03.03, 25.03.04, 26.03.01, 26.03.02, 27.03.01, 27.03.02, 27.03.03, 27.03.04, 27.03.05, 28.03.01, 28.03.02, 28.03.03, 29.03.01, 29.03.02, 29.03.03, 29.03.04, 29.03.05</t>
  </si>
  <si>
    <t>Рекомендовано Учебно-методическим советом Московского государственного технического университета "МАМИ" в качестве учебника для студентов технических специальностей</t>
  </si>
  <si>
    <t>108800.09.01</t>
  </si>
  <si>
    <t>Метрология: Уч. / О.Б.Бавыкин и др. - 3 изд. - М.:Форум, НИЦ ИНФРА-М,2024 - 522 с.-(ВО)(П)</t>
  </si>
  <si>
    <t>МЕТРОЛОГИЯ, ИЗД.3</t>
  </si>
  <si>
    <t>Бавыкин О.Б., Вячеславова О.Ф., Грибанов Д.Д. и др.</t>
  </si>
  <si>
    <t>978-5-00091-790-9</t>
  </si>
  <si>
    <t>Рекомендовано Учебно-методическим советом ВО в качестве учебника для студентов высших учебных заведений, обучающихся по техническим направлениям подготовки (квалификация (степень) «бакалавр»)</t>
  </si>
  <si>
    <t>444450.08.01</t>
  </si>
  <si>
    <t>Механизация животноводства: дипломное и курсовое проект...: Уч.пос./Р.Ф.Филонов-ИНФРА-М,2019-427с(п)</t>
  </si>
  <si>
    <t>МЕХАНИЗАЦИЯ ЖИВОТНОВОДСТВА: ДИПЛОМНОЕ И КУРСОВОЕ ПРОЕКТИРОВАНИЕ ПО МЕХАНИЗАЦИИ ЖИВОТНОВОДСТВА</t>
  </si>
  <si>
    <t>Филонов Р. Ф., Мурусидзе Д. Н., Кирсанов В. В., Мирзоянц Ю. А.</t>
  </si>
  <si>
    <t>978-5-16-004340-1</t>
  </si>
  <si>
    <t>Допущено Учебно-методическим объединением вузов по агроинженерному образованию в качестве учебного пособия для студентов-бакалавров высших учебных заведений, обучающихся по направлению подготовки 35.03.06 (110800) «Агроинженерия»</t>
  </si>
  <si>
    <t>682982.03.01</t>
  </si>
  <si>
    <t>Механизация и технология животнов.: лаб. практ.: Уч.пос. / Ю.Г.Иванов - М:НИЦ ИНФРА-М,2023-208с(СПО)</t>
  </si>
  <si>
    <t>МЕХАНИЗАЦИЯ И ТЕХНОЛОГИЯ ЖИВОТНОВОДСТВА: ЛАБОРАТОРНЫЙ ПРАКТИКУМ</t>
  </si>
  <si>
    <t>Иванов Ю.Г., Филонов Р.Ф., Мурусидзе Д.Н.</t>
  </si>
  <si>
    <t>978-5-16-013972-2</t>
  </si>
  <si>
    <t>19.02.11, 19.02.12, 35.01.23, 35.01.27, 35.02.05, 35.02.07, 35.02.08, 35.02.16, 36.01.02, 36.02.01, 36.02.03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</si>
  <si>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35.02.07 «Механизация сельского хозяйства»</t>
  </si>
  <si>
    <t>381600.05.01</t>
  </si>
  <si>
    <t>Механизация и технология животноводства...: Уч.пос. / Ю.Г.Иванов.-М.:НИЦ ИНФРА-М,2023.-208 с.(ВО)(П)</t>
  </si>
  <si>
    <t>ИвановЮ.Г., ФилоновР.Ф., МурусидзеД.Н.</t>
  </si>
  <si>
    <t>978-5-16-011150-6</t>
  </si>
  <si>
    <t>35.03.06, 35.04.06</t>
  </si>
  <si>
    <t>Допущено Учебно-методическим объединением вузов по агроинженерному образованию в качестве учебного пособия для студентов-бакалавров высших учебных заведений, обучающихся по направлению подготовки 35.03.06 - Агроинженерия</t>
  </si>
  <si>
    <t>097268.17.01</t>
  </si>
  <si>
    <t>Механизация и технология животноводства: Уч. / В.В.Кирсанов и др.-М.:НИЦ ИНФРА-М,2024.-585 с.(ВО)(П)</t>
  </si>
  <si>
    <t>МЕХАНИЗАЦИЯ И ТЕХНОЛОГИЯ ЖИВОТНОВОДСТВА</t>
  </si>
  <si>
    <t>Кирсанов В.В., Мурусидзе Д.Н., Некрашевич В.Ф. и др.</t>
  </si>
  <si>
    <t>978-5-16-005704-0</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</si>
  <si>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«Механизация сельского хозяйства» (направление 35.03.06 «Агроинженерия»)</t>
  </si>
  <si>
    <t>Федеральный научный агроинженерный центр ВИМ</t>
  </si>
  <si>
    <t>388600.11.01</t>
  </si>
  <si>
    <t>Механизация растениеводства: Уч. / Под ред. Солнцева В.Н. - М.:НИЦ ИНФРА-М,2025 - 383 с.(ВО: Бак.)(П)</t>
  </si>
  <si>
    <t>МЕХАНИЗАЦИЯ РАСТЕНИЕВОДСТВА</t>
  </si>
  <si>
    <t>Солнцев В.Н., Тарасенко А.П., Оробинский В.И. и др.</t>
  </si>
  <si>
    <t>978-5-16-011186-5</t>
  </si>
  <si>
    <t>Рекомендовано учебно-методическим объединением вузов Российской Федерации в качестве учебника для студентов высших учебных заведений, обучающихся по направлению 35.03.04 «Агрономия»</t>
  </si>
  <si>
    <t>682983.09.01</t>
  </si>
  <si>
    <t>Механизация растениеводства: Уч. / Под ред. Солнцева В.Н. - М.:НИЦ ИНФРА-М,2025 - 383 с.-(СПО)(П)</t>
  </si>
  <si>
    <t>978-5-16-013973-9</t>
  </si>
  <si>
    <t>19.02.11, 19.02.12, 35.01.27, 35.01.30, 35.02.05, 35.02.07, 35.02.08, 35.02.16, 36.01.02, 36.02.03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</si>
  <si>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 35.02.07 «Механизация сельского хозяйства»</t>
  </si>
  <si>
    <t>400950.05.01</t>
  </si>
  <si>
    <t>Механизм образования и меры предотвр. деффектов..: Уч. пос./В.А.Коровин - Форум: Инфра-М, 2023-111 с. (о)</t>
  </si>
  <si>
    <t>МЕХАНИЗМ ОБРАЗОВАНИЯ И МЕРЫ ПРЕДОТВРАЩЕНИЯ ДЕФЕКТОВ ЧУГУННЫХ И СТАЛЬНЫХ ОТЛИВОК</t>
  </si>
  <si>
    <t>Коровин В. А., Леушин И. О.</t>
  </si>
  <si>
    <t>978-5-91134-686-7</t>
  </si>
  <si>
    <t>Нижегородский государственный технический университет им. Р.М. Алексеева, ф-л Арзамасский политехнический институт</t>
  </si>
  <si>
    <t>473500.07.01</t>
  </si>
  <si>
    <t>Механика грунтов: Уч.пос. / А.З.Абуханов - 2 изд.-М.: НИЦ ИНФРА-М, 2024- 336с.-(ВО) (п)</t>
  </si>
  <si>
    <t>МЕХАНИКА ГРУНТОВ, ИЗД.2</t>
  </si>
  <si>
    <t>Абуханов А.З.</t>
  </si>
  <si>
    <t>978-5-16-018833-1</t>
  </si>
  <si>
    <t>08.03.01, 08.04.01, 20.03.02, 20.04.02</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</si>
  <si>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подготовки 20.03.02 «Природообустройство и водопользование» (квалификация (степень) «бакалавр»)</t>
  </si>
  <si>
    <t>Грозненский государственный нефтяной технический университет им. академика М.Д. Миллионщикова</t>
  </si>
  <si>
    <t>257400.09.01</t>
  </si>
  <si>
    <t>Механика жидкости и газа (гидравлика): Уч. / А.Д.Гиргидов - 2 изд. - М.:НИЦ ИНФРА-М,2025 - 704 с.(ВО)(п)</t>
  </si>
  <si>
    <t>МЕХАНИКА ЖИДКОСТИ И ГАЗА (ГИДРАВЛИКА), ИЗД.2</t>
  </si>
  <si>
    <t>Гиргидов А.Д.</t>
  </si>
  <si>
    <t>978-5-16-020254-9</t>
  </si>
  <si>
    <t>01.03.03, 01.04.03, 03.03.01, 03.03.03, 03.04.02</t>
  </si>
  <si>
    <t>Рекомендовано Научно-методическим советом по механике Министерства образования и науки Российской Федерации в качестве учебника для студентов высших учебных заведений, обучающихся по техническим направлениям подготовки (бакалавриат и магистратура) и программам подготовки дипломированных технических специалистов</t>
  </si>
  <si>
    <t>Санкт-Петербургский государственный архитектурно-строительный университет</t>
  </si>
  <si>
    <t>257400.03.01</t>
  </si>
  <si>
    <t>Механика жидкости и газа (гидравлика): Уч. / А.Д.Гиргидов - М.:ИНФРА-М,2017.-704 с.-(ВО:Бак.)(П)</t>
  </si>
  <si>
    <t>МЕХАНИКА ЖИДКОСТИ И ГАЗА (ГИДРАВЛИКА)</t>
  </si>
  <si>
    <t>978-5-16-009473-1</t>
  </si>
  <si>
    <t>297000.07.01</t>
  </si>
  <si>
    <t>Механика разрушения для строителей: Уч.пос. / Ю.В.Зайцев. - 2 изд.-М.:НИЦ ИНФРА-М,2023.-216с(ВО)(п)</t>
  </si>
  <si>
    <t>МЕХАНИКА РАЗРУШЕНИЯ ДЛЯ СТРОИТЕЛЕЙ, ИЗД.2</t>
  </si>
  <si>
    <t>Зайцев Ю.В., Окольникова Г.Э., Доркин В.В.</t>
  </si>
  <si>
    <t>978-5-16-019222-2</t>
  </si>
  <si>
    <t>Рекомендовано УМО Московского государственного открытого университета в качестве учебного пособия для студентов вузов по направлению подготовки 07.03.01 «Архитектура» для дистанционных образовательных технологий открытого образования (квалификация (степень) «бакалавр»)</t>
  </si>
  <si>
    <t>Еврейский университет</t>
  </si>
  <si>
    <t>707896.03.01</t>
  </si>
  <si>
    <t>Механика управляемого движения объектов: Уч.пос. / А.И.Бохонский - М.:НИЦ ИНФРА-М,2022 - 170 с.(ВО)(О)</t>
  </si>
  <si>
    <t>МЕХАНИКА УПРАВЛЯЕМОГО ДВИЖЕНИЯ ОБЪЕКТОВ</t>
  </si>
  <si>
    <t>Бохонский А.И., Варминская Н.И., Мозолевская Т.В.</t>
  </si>
  <si>
    <t>978-5-16-015464-0</t>
  </si>
  <si>
    <t>26.05.04, 26.05.05</t>
  </si>
  <si>
    <t>451750.06.01</t>
  </si>
  <si>
    <t>Механика. Основы расчёта и проектирования деталей машин: Уч. пос./В.А.Жуков - ИНФРА-М,2023-349с.(ВО)</t>
  </si>
  <si>
    <t>МЕХАНИКА. ОСНОВЫ РАСЧЁТА И ПРОЕКТИРОВАНИЯ ДЕТАЛЕЙ МАШИН</t>
  </si>
  <si>
    <t>Жуков В. А., Михайлов Ю. К.</t>
  </si>
  <si>
    <t>978-5-16-009218-8</t>
  </si>
  <si>
    <t>13.03.03, 15.03.03, 15.03.05, 16.03.03</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</si>
  <si>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и специальностям в области техники и технологии</t>
  </si>
  <si>
    <t>668824.03.01</t>
  </si>
  <si>
    <t>Механика: Уч.пос. / И.В.Богомаз - М.:НИЦ ИНФРА-М, СФУ,2023 - 345 с.-(ВО: Бакалавриат (СФУ))(П)</t>
  </si>
  <si>
    <t>МЕХАНИКА</t>
  </si>
  <si>
    <t>Богомаз И.В.</t>
  </si>
  <si>
    <t>978-5-16-017429-7</t>
  </si>
  <si>
    <t>Допущено УМО вузов РФ по образованию в области архитектуры в качестве учебного пособия для студентов вузов, обучающихся по направлению «Архитектура»</t>
  </si>
  <si>
    <t>147300.06.01</t>
  </si>
  <si>
    <t>Механика: Уч.пос. для вузов/ В.Т.Батиенков.-М.:ИЦ РИОР, ИНФРА-М Изд/ Дом,2023.-512 с.(ВО)(п)</t>
  </si>
  <si>
    <t>Батиенков В.Т., Волосухин В.А., Евтушенко С.И. и др.</t>
  </si>
  <si>
    <t>978-5-369-00757-0</t>
  </si>
  <si>
    <t>01.03.03, 02.03.03, 03.03.02, 03.03.03, 04.03.02</t>
  </si>
  <si>
    <t>Допущено Департаментом научно-технической политики и образования в качестве учебного пособия для студентов высших учебных заведений, обучающихся по направлению подготовки дипломированного специалиста 280400 Природоустройство</t>
  </si>
  <si>
    <t>483523.11.01</t>
  </si>
  <si>
    <t>Механические испытания: металлы, сварные..: Уч. /В.В.Овчинников - М.:ИД ФОРУМ:НИЦ ИНФРА-М,2025-272с(п)</t>
  </si>
  <si>
    <t>МЕХАНИЧЕСКИЕ ИСПЫТАНИЯ: МЕТАЛЛЫ, СВАРНЫЕ СОЕДИНЕНИЯ, ПОКРЫТИЯ</t>
  </si>
  <si>
    <t>Овчинников В.В., Гуреева М.А.</t>
  </si>
  <si>
    <t>978-5-8199-0619-4</t>
  </si>
  <si>
    <t>15.02.19, 26.02.04</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</si>
  <si>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</si>
  <si>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364700.08.01</t>
  </si>
  <si>
    <t>Механические компоненты электроприв. машин..: Уч.пос. / А.В.Неменко - 2 изд. - М:Вуз.уч.,НИЦ ИНФРА-М,2025 - 376 с.(П)</t>
  </si>
  <si>
    <t>МЕХАНИЧЕСКИЕ КОМПОНЕНТЫ ЭЛЕКТРОПРИВОДА МАШИН: РАСЧЕТ И ПРОЕКТИРОВАНИЕ, ИЗД.2</t>
  </si>
  <si>
    <t>Неменко А.В.</t>
  </si>
  <si>
    <t>978-5-9558-0609-9</t>
  </si>
  <si>
    <t>Рекомендовано Учебно-методическим советом ВО в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</si>
  <si>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364700.03.01</t>
  </si>
  <si>
    <t>Механические компоненты электроприв. машин..: Уч.пос./А.В.Неменко-М:Вуз.уч.,НИЦ ИНФРА-М,2018-343с(П)</t>
  </si>
  <si>
    <t>МЕХАНИЧЕСКИЕ КОМПОНЕНТЫ ЭЛЕКТРОПРИВОДА МАШИН: РАСЧЕТ И ПРОЕКТИРОВАНИЕ</t>
  </si>
  <si>
    <t>978-5-9558-0441-5</t>
  </si>
  <si>
    <t>063720.09.01</t>
  </si>
  <si>
    <t>Механическое оборуд. производ. тугоплав. неметал..: Уч./ В.С.Севостьянов-М:НИЦ ИНФРА-М,2024-432с(СПО)(П)</t>
  </si>
  <si>
    <t>МЕХАНИЧЕСКОЕ ОБОРУДОВАНИЕ ПРОИЗВОДСТВА ТУГОПЛАВКИХ НЕМЕТАЛЛИЧЕСКИХ И СИЛИКАТНЫХ МАТЕРИАЛОВ И ИЗДЕЛИЙ</t>
  </si>
  <si>
    <t>Севостьянов В. С., Богданов В. С., Дубинин Н. Н., Уральский В. И.</t>
  </si>
  <si>
    <t>978-5-16-009102-0</t>
  </si>
  <si>
    <t>18.02.05, 18.02.13</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</si>
  <si>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«Производство тугоплавких неметаллических</t>
  </si>
  <si>
    <t>646242.06.01</t>
  </si>
  <si>
    <t>Миграционная политика: опыт России и заруб. стран: Уч. / В.М.Капицын - М.:НИЦ ИНФРА-М,2025 - 418 с.-(ВО)(П)</t>
  </si>
  <si>
    <t>МИГРАЦИОННАЯ ПОЛИТИКА: ОПЫТ РОССИИ И ЗАРУБЕЖНЫХ СТРАН</t>
  </si>
  <si>
    <t>978-5-16-020260-0</t>
  </si>
  <si>
    <t>38.03.04, 38.04.04, 39.03.01, 39.04.01, 41.03.04, 41.03.05, 41.03.06, 41.04.04</t>
  </si>
  <si>
    <t>Рекомендовано Учебно-методическим советом ВО в качестве учебника для студентов высших учебных заведений, обучающихся по направлениям подготовки 39.03.01 «Социология», 41.03.04 «Политология», 38.03.04 «Государственное и муниципальное управление» (квалификация (степень) «бакалавр»)</t>
  </si>
  <si>
    <t>650909.04.01</t>
  </si>
  <si>
    <t>Микробиологические основы природ. закваски..: Уч.мет.пос. / О.Д.Сидоренко -2изд,-М.:НИЦ ИНФРА-М,2025-230с(П)</t>
  </si>
  <si>
    <t>МИКРОБИОЛОГИЧЕСКИЕ ОСНОВЫ ПРИРОДНОЙ ЗАКВАСКИ МОЛОКА, ИЗД.2</t>
  </si>
  <si>
    <t>978-5-16-016451-9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</si>
  <si>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35.03.07 «Технология производства и переработки сельскохозяйственной продукции», 19.03.03 и 19.04.03 «Продукты питания животного происхождения» (протокол № 12 от 24.06.2019)</t>
  </si>
  <si>
    <t>650909.02.01</t>
  </si>
  <si>
    <t>Микробиологические основы природной закваски молока: Уч.мет.пос. / О.Д.Сидоренко-М.:НИЦ ИНФРА-М,2020-190с</t>
  </si>
  <si>
    <t>МИКРОБИОЛОГИЧЕСКИЕ ОСНОВЫ ПРИРОДНОЙ ЗАКВАСКИ МОЛОКА</t>
  </si>
  <si>
    <t>978-5-16-012751-4</t>
  </si>
  <si>
    <t>470950.06.01</t>
  </si>
  <si>
    <t>Микробиология продуктов животноводства (практ.рук.): Уч.пос./О.Д.Сидоренко-НИЦ ИНФРА-М,2024-172с(ВО)(о)</t>
  </si>
  <si>
    <t>МИКРОБИОЛОГИЯ ПРОДУКТОВ ЖИВОТНОВОДСТВА (ПРАКТИЧЕСКОЕ РУКОВОДСТВО)</t>
  </si>
  <si>
    <t>978-5-16-019239-0</t>
  </si>
  <si>
    <t>35.03.07, 36.03.01</t>
  </si>
  <si>
    <t>Рекомендовано в качестве учебного пособия для студентов высших учебных заведений, обучающихся по направлению подготовки 35.03.07 «Технология производства и переработки сельскохозяйственной продукции» (квалификация (степень) «бакалавр»)</t>
  </si>
  <si>
    <t>096550.19.01</t>
  </si>
  <si>
    <t>Микробиология, физиология питания, санитария: Уч./ Е.А.Рубина - 2 изд. - М.:Форум, НИЦ ИНФРА-М,2025-240с(О)</t>
  </si>
  <si>
    <t>МИКРОБИОЛОГИЯ, ФИЗИОЛОГИЯ ПИТАНИЯ, САНИТАРИЯ, ИЗД.2</t>
  </si>
  <si>
    <t>Рубина Е. А., Малыгина В. Ф.</t>
  </si>
  <si>
    <t>978-5-00091-480-9</t>
  </si>
  <si>
    <t>18.02.15, 19.01.17, 19.01.18, 19.01.19, 19.02.10, 19.02.11, 19.02.12, 19.02.13, 31.02.01, 31.02.02, 32.02.01, 33.02.01, 34.02.01, 35.01.16, 35.01.23, 35.01.24, 35.01.27, 35.02.05, 35.02.09, 35.02.10, 36.02.03, 38.01.02, 43.01.01, 43.01.04, 43.01.09, 43.02.15, 43.02.17, 35.01.34</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</si>
  <si>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среднего профессионального образования</t>
  </si>
  <si>
    <t>798328.01.01</t>
  </si>
  <si>
    <t>Микробиология. Практикум: Уч. пос./ Н.Н.Минина - М.:НИЦ ИНФРА-М,2025. - 381 с.(ВО)(п)</t>
  </si>
  <si>
    <t>МИКРОБИОЛОГИЯ. ПРАКТИКУМ</t>
  </si>
  <si>
    <t>Минина Н.Н.</t>
  </si>
  <si>
    <t>978-5-16-018245-2</t>
  </si>
  <si>
    <t>06.03.01</t>
  </si>
  <si>
    <t>Уфимский Университет Науки и Технологий, Бирский ф-л</t>
  </si>
  <si>
    <t>698699.05.01</t>
  </si>
  <si>
    <t>Микробиология. Практикум: Уч.пос. / В.Н.Кисленко - М.:НИЦ ИНФРА-М,2025 - 239 с.(ВО: Бакалавр.)(П)</t>
  </si>
  <si>
    <t>978-5-16-015071-0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</si>
  <si>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36.03.01 «Ветеринарно-санитарная экспертиза» (квалификация (степень) «бакалавр») (протокол № 17 от 11.11.2019)</t>
  </si>
  <si>
    <t>685787.07.01</t>
  </si>
  <si>
    <t>Микробиология: Уч. / М.В.Гернет и др. - М.:НИЦ ИНФРА-М,2024 - 263 с.-(ВО)(п)</t>
  </si>
  <si>
    <t>МИКРОБИОЛОГИЯ</t>
  </si>
  <si>
    <t>Гернет М.В., Ильяшенко Н.Г., Шабурова Л.Н.</t>
  </si>
  <si>
    <t>978-5-16-018959-8</t>
  </si>
  <si>
    <t>06.03.01, 18.04.01, 19.03.01, 19.03.02, 30.05.03, 31.05.02, 31.05.03, 32.05.01, 33.04.01, 33.05.01, 34.03.01, 35.03.03, 35.03.04, 35.03.05, 35.03.07, 35.03.08, 36.03.01, 38.03.07, 44.03.05, 54.03.04</t>
  </si>
  <si>
    <t>742686.03.01</t>
  </si>
  <si>
    <t>Микробиология: Уч. / М.В.Гернет и др. - М.:НИЦ ИНФРА-М,2025 - 263 с.-(СПО)(П)</t>
  </si>
  <si>
    <t>978-5-16-016454-0</t>
  </si>
  <si>
    <t>08.02.04, 19.02.10, 31.02.01, 31.02.02, 31.02.03, 32.02.01, 33.02.01, 34.02.01, 43.02.15, 43.02.17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</si>
  <si>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8 от 22.06.2020)</t>
  </si>
  <si>
    <t>774983.01.01</t>
  </si>
  <si>
    <t>Микробиология: Уч. / Н.Н.Минина-М.:НИЦ ИНФРА-М,2024.-251 с.(ВО)(п)</t>
  </si>
  <si>
    <t>978-5-16-017645-1</t>
  </si>
  <si>
    <t>064600.12.01</t>
  </si>
  <si>
    <t>Микробиология: Уч. / О.Д.Сидоренко - 2 изд. - М.:НИЦ ИНФРА-М,2024. - 368 с. - (ВО)(п)</t>
  </si>
  <si>
    <t>МИКРОБИОЛОГИЯ, ИЗД.2</t>
  </si>
  <si>
    <t>978-5-16-019471-4</t>
  </si>
  <si>
    <t>35.03.04, 44.03.05</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</si>
  <si>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35.03.07 «Технология производства и переработки сельскохозяйственной продукции»</t>
  </si>
  <si>
    <t>305500.07.01</t>
  </si>
  <si>
    <t>Микробиология: Уч. /В.Н.Кисленко-М.:НИЦ ИНФРА-М,2024.-272 с.(ВО: Бакалавриат)(П)</t>
  </si>
  <si>
    <t>В.Н.Кисленко, М.Ш.Азаев</t>
  </si>
  <si>
    <t>978-5-16-010250-4</t>
  </si>
  <si>
    <t>36.03.01, 44.03.05</t>
  </si>
  <si>
    <t>064600.11.01</t>
  </si>
  <si>
    <t>Микробиология: Уч. для агротехнологов/ О.Д.Сидоренко.-М.:НИЦ ИНФРА-М,2024.-286 с.(ВО)(о)</t>
  </si>
  <si>
    <t>Сидоренко О. Д., Борисенко Е. Г., Ванькова А. А., Войно Л. И.</t>
  </si>
  <si>
    <t>978-5-16-018764-8</t>
  </si>
  <si>
    <t>649797.07.01</t>
  </si>
  <si>
    <t>Микроорганизмы и окружающая среда: Уч.пос. / Н.Г.Ильяшенко, - 2 изд. - М.:НИЦ ИНФРА-М,2025 - 195 с.(ВО)</t>
  </si>
  <si>
    <t>МИКРООРГАНИЗМЫ И ОКРУЖАЮЩАЯ СРЕДА, ИЗД.2</t>
  </si>
  <si>
    <t>Ильяшенко Н.Г., Шабурова Л.Н.</t>
  </si>
  <si>
    <t>978-5-16-012636-4</t>
  </si>
  <si>
    <t>19.03.02, 19.03.04, 19.04.04, 38.03.07</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</si>
  <si>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направлениям 19.03.02 «Продукты питания из растительного сырья», 19.03.04 «Технология продукции и организация общественного питания», 38.03.07 «Товароведение» (квалификация (степень) «бакалавр»)</t>
  </si>
  <si>
    <t>286700.09.01</t>
  </si>
  <si>
    <t>Микропроцессорные системы: Уч. / В.В.Гуров - М.:НИЦ ИНФРА-М,2023.-336 с.-(ВО: Бакалавриат)(П)</t>
  </si>
  <si>
    <t>МИКРОПРОЦЕССОРНЫЕ СИСТЕМЫ</t>
  </si>
  <si>
    <t>Гуров В.В.</t>
  </si>
  <si>
    <t>978-5-16-009950-7</t>
  </si>
  <si>
    <t>09.03.01, 09.03.02, 09.03.03, 09.03.04, 09.04.01, 09.04.02, 09.04.03, 09.04.04</t>
  </si>
  <si>
    <t>Допущено Учебно-методическим объединением по образованию в области прикладной информатики в качестве учебника для студентов высших учебных заведений, обучающихся по направлению 09.03.03 «Прикладная информатика»</t>
  </si>
  <si>
    <t>711172.10.01</t>
  </si>
  <si>
    <t>Микропроцессорные системы: Уч. / В.В.Гуров - М.:НИЦ ИНФРА-М,2025 - 336 с.(СПО)(П)</t>
  </si>
  <si>
    <t>978-5-16-015323-0</t>
  </si>
  <si>
    <t>09.02.01, 09.02.02, 09.02.03, 09.02.04, 09.02.05, 09.02.06, 09.02.07, 09.02.08, 09.02.09, 09.02.10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</si>
  <si>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6 от 25.03.2019)</t>
  </si>
  <si>
    <t>060100.14.01</t>
  </si>
  <si>
    <t>Микросоциология семьи: Уч. / А.И.Антонов - 3 изд. - М.:НИЦ ИНФРА-М,2024 - 368 с.(ВО:Бакалавриат)(п)</t>
  </si>
  <si>
    <t>МИКРОСОЦИОЛОГИЯ СЕМЬИ, ИЗД.3</t>
  </si>
  <si>
    <t>Антонов А.И.</t>
  </si>
  <si>
    <t>978-5-16-013776-6</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</si>
  <si>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подготовки 39.03.01 «Социология» (квалификация (степень) «бакалавр»)</t>
  </si>
  <si>
    <t>060100.09.01</t>
  </si>
  <si>
    <t>Микросоциология семьи: Уч./ А.И.Антонов - 2 изд. - М.:ИНФРА-М,2018-368с(Классический универ. уч.)(п)</t>
  </si>
  <si>
    <t>МИКРОСОЦИОЛОГИЯ СЕМЬИ, ИЗД.2</t>
  </si>
  <si>
    <t>Антонов А. И.</t>
  </si>
  <si>
    <t>Классический университетский учебник</t>
  </si>
  <si>
    <t>5-16-002250-3</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</si>
  <si>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заведенений, обучающихся по специальности 020300 "Социология"</t>
  </si>
  <si>
    <t>639510.07.01</t>
  </si>
  <si>
    <t>Микросхемотехника: Уч. / А.К.Черепанов - М.:НИЦ ИНФРА-М, 2025 - 292 с.(ВО)(П)</t>
  </si>
  <si>
    <t>МИКРОСХЕМОТЕХНИКА</t>
  </si>
  <si>
    <t>Черепанов А.К.</t>
  </si>
  <si>
    <t>978-5-16-018847-8</t>
  </si>
  <si>
    <t>11.03.04, 28.03.01</t>
  </si>
  <si>
    <t>Рекомендовано в качестве учебника для студентов высших учебных заведений, обучающихся по направлениям подготовки 11.03.01 «Радиотехника», 11.03.02 «Инфокоммуникационные технологии и системы связи», 11.03.03 «Конструирование и технология электронных средств», 11.03.04 «Электроника и наноэлектроника» (квалификация (степень) «бакалавр»)</t>
  </si>
  <si>
    <t>719248.06.01</t>
  </si>
  <si>
    <t>Микросхемотехника: Уч. / А.К.Черепанов - М.:НИЦ ИНФРА-М,2023 - 292 с.-(СПО)(П)</t>
  </si>
  <si>
    <t>978-5-16-015613-2</t>
  </si>
  <si>
    <t>11.02.03, 11.02.06, 11.02.07, 11.02.09, 11.02.11, 11.02.14, 11.02.15, 11.02.17, 11.02.18, 12.02.01, 12.02.03, 12.02.05, 12.02.06, 13.02.12, 13.02.13, 15.02.07, 15.02.17, 27.02.04, 53.02.08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</si>
  <si>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12 от 24.06.2019)</t>
  </si>
  <si>
    <t>134200.13.01</t>
  </si>
  <si>
    <t>Микроэкономика для продвинутых: задачи и реш.: Уч.пос. / А.П.Киреев - М.:Вуз.уч., ИНФРА-М,2025 - 160 с.(П)</t>
  </si>
  <si>
    <t>МИКРОЭКОНОМИКА ДЛЯ ПРОДВИНУТЫХ: ЗАДАЧИ И РЕШЕНИЯ</t>
  </si>
  <si>
    <t>Киреев А. П., Киреев П. А.</t>
  </si>
  <si>
    <t>978-5-9558-0151-3</t>
  </si>
  <si>
    <t>38.03.01, 38.03.02, 38.04.01, 38.04.02, 38.04.08, 38.04.09, 38.06.01</t>
  </si>
  <si>
    <t>650834.07.01</t>
  </si>
  <si>
    <t>Микроэкономика. Пос. для семинар. занятий / Под ред. Нуреева Р.М.-М.:Юр. НОРМА, НИЦ ИНФРА-М,2023.-400 с.(П)</t>
  </si>
  <si>
    <t>МИКРОЭКОНОМИКА</t>
  </si>
  <si>
    <t>978-5-91768-813-8</t>
  </si>
  <si>
    <t>213900.09.01</t>
  </si>
  <si>
    <t>Микроэкономика. Практикум: Уч.пос. / М.Ю.Малкина - М.:НИЦ ИНФРА-М,2023-176 с.-(ВО: Бакалавриат)(о)</t>
  </si>
  <si>
    <t>МИКРОЭКОНОМИКА. ПРАКТИКУМ</t>
  </si>
  <si>
    <t>Малкина М.Ю.</t>
  </si>
  <si>
    <t>978-5-16-005721-7</t>
  </si>
  <si>
    <t>460500.08.01</t>
  </si>
  <si>
    <t>Микроэкономика: Практикум / Р.М. Нуреев - М.:Юр.Норма, НИЦ ИНФРА-М, 2025 - 352 с. (п)</t>
  </si>
  <si>
    <t>978-5-91768-689-9</t>
  </si>
  <si>
    <t>407500.11.01</t>
  </si>
  <si>
    <t>Микроэкономика: Уч. / И.Н. Никулина. - М.: НИЦ ИНФРА-М, 2025. - 553 с.(ВО: Бакалавр.) (п)</t>
  </si>
  <si>
    <t>Никулина И. Н.</t>
  </si>
  <si>
    <t>978-5-16-005083-6</t>
  </si>
  <si>
    <t>38.03.01, 38.03.02, 38.03.03, 38.03.04, 38.04.01, 38.04.02, 38.04.03, 38.04.04, 38.04.08, 41.03.06, 44.03.01, 44.03.05</t>
  </si>
  <si>
    <t>Рекомендовано федеральным государственным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t>
  </si>
  <si>
    <t>151900.10.01</t>
  </si>
  <si>
    <t>Микроэкономика: Уч. / Л.Е.Басовский - М.:НИЦ ИНФРА-М,2025. - 224 с.(ВО: Бакалавриат)(П)</t>
  </si>
  <si>
    <t>978-5-16-004927-4</t>
  </si>
  <si>
    <t>38.03.01, 38.04.01, 38.04.08, 44.03.01, 44.03.05</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</si>
  <si>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080100 «Экономика»</t>
  </si>
  <si>
    <t>206900.08.01</t>
  </si>
  <si>
    <t>Микроэкономика: Уч. / М.Ю. Малкина - М.: НИЦ ИНФРА-М, 2024 - 395 с.(ВО: Бакалавриат) (п)</t>
  </si>
  <si>
    <t>978-5-16-005466-7</t>
  </si>
  <si>
    <t>38.03.01, 38.03.02, 38.03.03, 38.03.04, 38.03.05, 38.04.03, 41.03.06, 44.03.01, 44.03.05</t>
  </si>
  <si>
    <t>Рекомендовано в качестве учебника для студентов высших учебных заведений, обучающихся по направлениям 080100 «Экономика» и 080200 «Менеджмент»</t>
  </si>
  <si>
    <t>280100.08.01</t>
  </si>
  <si>
    <t>Микроэкономика: Уч. / Под ред. Г.П.Журавлевой - М.:НИЦ ИНФРА-М,2024 - 415 с.-(ВО: Бакалавриат)(П)</t>
  </si>
  <si>
    <t>Журавлева Г.П., Журавлева Г.П., Чередниченко Л.Г.</t>
  </si>
  <si>
    <t>978-5-16-006111-5</t>
  </si>
  <si>
    <t>410400.06.01</t>
  </si>
  <si>
    <t>Микроэкономика: Уч. пос./ Н.С. Косов. - М.: НИЦ ИНФРА-М, 2023-247с.(ВО: Бакалавриат). (П)</t>
  </si>
  <si>
    <t>Косов Н. С., Саталкина Н. И., Терехова Г. И., Косов Н. С.</t>
  </si>
  <si>
    <t>978-5-16-006180-1</t>
  </si>
  <si>
    <t>38.03.01, 44.03.01, 44.03.05</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</si>
  <si>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080100 «Экономика» (квалификация (сте</t>
  </si>
  <si>
    <t>216800.08.01</t>
  </si>
  <si>
    <t>Микроэкономика: Уч.пос./ Под ред. Селищевой Т.А. - М.:НИЦ ИНФРА-М,2025 - 250 с(ВО)(П)</t>
  </si>
  <si>
    <t>Селищева Т.А., Боркова Е.А., Герман Л.А. и др.</t>
  </si>
  <si>
    <t>978-5-16-020681-3</t>
  </si>
  <si>
    <t>682984.09.01</t>
  </si>
  <si>
    <t>Мировая культура и искусство: Уч.пос. / И.И.Толстикова, - 2 изд. - М.:НИЦ ИНФРА-М,2025. - 418 с.(СПО)(п)</t>
  </si>
  <si>
    <t>МИРОВАЯ КУЛЬТУРА И ИСКУССТВО, ИЗД.2</t>
  </si>
  <si>
    <t>Толстикова И.И.</t>
  </si>
  <si>
    <t>978-5-16-013974-6</t>
  </si>
  <si>
    <t>29.01.04, 29.01.09, 42.02.01, 43.02.02, 43.02.17, 50.02.01, 51.02.01, 51.02.02, 51.02.03, 52.02.03, 52.02.04, 52.02.05, 54.01.02, 54.01.05, 54.01.06, 54.01.13, 54.01.20, 54.02.01, 54.02.04, 54.02.06, 54.02.08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</si>
  <si>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50.02.01 «Мировая художественная культура», 51.02.01 «Народное художественное творчество (по видам)», 51.02.01«Социально-культурная деятельность (по видам)»</t>
  </si>
  <si>
    <t>152100.12.01</t>
  </si>
  <si>
    <t>Мировая культура и искусство: Уч.пос. / Толстикова И.И. - 2 изд. - М.:НИЦ ИНФРА-М,2025 - 418 с.(ВО)(п)</t>
  </si>
  <si>
    <t>Толстикова И.И., Садохин А.П.</t>
  </si>
  <si>
    <t>978-5-16-019386-1</t>
  </si>
  <si>
    <t>00.03.05, 00.05.05, 44.03.01, 44.03.05, 51.03.01, 51.04.01</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</si>
  <si>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51.03.01 «Культурология»</t>
  </si>
  <si>
    <t>689674.03.01</t>
  </si>
  <si>
    <t>Мировая худ. культура: Уч.пос. / М.С.Колесов - М.:НИЦ ИНФРА-М,2024 - 281 с.-(СПО (СевГУ))(П)</t>
  </si>
  <si>
    <t>МИРОВАЯ ХУДОЖЕСТВЕННАЯ КУЛЬТУРА</t>
  </si>
  <si>
    <t>Колесов М.С.</t>
  </si>
  <si>
    <t>Среднее профессиональное образование (СевГУ)</t>
  </si>
  <si>
    <t>978-5-16-015231-8</t>
  </si>
  <si>
    <t>29.01.04, 29.01.09, 42.02.01, 43.02.02, 43.02.17, 51.02.03, 52.02.03, 52.02.04, 52.02.05, 54.01.01, 54.01.02, 54.01.05, 54.01.06, 54.01.08, 54.01.09, 54.01.12, 54.01.13, 54.01.14, 54.01.15, 54.01.16, 54.01.17, 54.01.18, 54.01.19, 54.01.20, 54.02.01, 54.02.02, 54.02.03, 54.02.04, 54.02.05, 54.02.06, 54.02.07, 54.02.08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</si>
  <si>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17 от 11.11.2019)</t>
  </si>
  <si>
    <t>203500.07.01</t>
  </si>
  <si>
    <t>Мировая экономика и межд. эконом. отнош.: Уч. / Под ред. Поспелова В.К. - М.:НИЦ ИНФРА-М,2024-370с(ВО)</t>
  </si>
  <si>
    <t>МИРОВАЯ ЭКОНОМИКА И МЕЖДУНАРОДНЫЕ ЭКОНОМИЧЕСКИЕ ОТНОШЕНИЯ</t>
  </si>
  <si>
    <t>Смитиенко Б.М., Лукьянович Н.В., Медведева М.Б. и др.</t>
  </si>
  <si>
    <t>978-5-16-018896-6</t>
  </si>
  <si>
    <t>Рекомендовано в качестве учебника для студентов, обучающихся по направлению подготовки 38.03.01 «Экономика» (квалификация (степень) «бакалавр»)</t>
  </si>
  <si>
    <t>050963.13.01</t>
  </si>
  <si>
    <t>Мировая экономика и межд. эконом. отнош.: Уч./ Е.Д.Халевинская - 3изд.- Магистр: ИНФРА-М, 2024-400с (п)</t>
  </si>
  <si>
    <t>МИРОВАЯ ЭКОНОМИКА И МЕЖДУНАРОДНЫЕ ЭКОНОМИЧЕСКИЕ ОТНОШЕНИЯ, ИЗД.3</t>
  </si>
  <si>
    <t>Халевинская Е. Д.</t>
  </si>
  <si>
    <t>978-5-9776-0266-2</t>
  </si>
  <si>
    <t>38.03.01, 38.03.04, 38.03.06, 38.04.01, 38.04.04, 38.04.06, 38.04.08, 38.05.01, 38.05.02, 41.03.04, 41.03.05, 41.03.06, 41.04.01, 41.04.04, 41.04.05, 44.03.05</t>
  </si>
  <si>
    <t>486400.06.01</t>
  </si>
  <si>
    <t>Мировая экономика и межд. эконом. отношения: Уч. / А.М.Могзоев - М.:ИЦ РИОР,НИЦ ИНФРА-М,2022-228с(ВО)(о)</t>
  </si>
  <si>
    <t>Могзоев А.М.</t>
  </si>
  <si>
    <t>978-5-369-01540-7</t>
  </si>
  <si>
    <t>38.03.01, 38.03.04, 38.05.02, 41.03.05, 44.03.05</t>
  </si>
  <si>
    <t>Московский университет им. С.Ю. Витте</t>
  </si>
  <si>
    <t>715482.04.01</t>
  </si>
  <si>
    <t>Мировая экономика и межд. эконом. отношения: Уч. / О.Н.Бабурина - М.:НИЦ ИНФРА-М,2023 - 275 с.(ВО)(П)</t>
  </si>
  <si>
    <t>Бабурина О.Н.</t>
  </si>
  <si>
    <t>Высшее образование: Бакалавриат (ГМУ им. адмирала Ф.Ф.Ушакова)</t>
  </si>
  <si>
    <t>978-5-16-015531-9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</si>
  <si>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38.03.00 «Экономика и управление» (квалификация (степень) «бакалавр») (протокол №9 от 28.09.2020)</t>
  </si>
  <si>
    <t>470200.07.01</t>
  </si>
  <si>
    <t>Мировая экономика и межд. эконом.отношения: Практ./ В.К.Поспелов - 2изд.-М.:НИЦ ИНФРА-М,2024-164с(ВО)(п)</t>
  </si>
  <si>
    <t>МИРОВАЯ ЭКОНОМИКА И МЕЖДУНАРОДНЫЕ ЭКОНОМИЧЕСКИЕ ОТНОШЕНИЯ, ИЗД.2</t>
  </si>
  <si>
    <t>Поспелов В.К., Миронова В.Н., Орлова Н.Л. и др.</t>
  </si>
  <si>
    <t>978-5-16-019419-6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</si>
  <si>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18 от 25.11.2019)</t>
  </si>
  <si>
    <t>470200.03.01</t>
  </si>
  <si>
    <t>Мировая экономика и междунар.эконом.отношения: Практ./ В.К.Поспелов-М.:Вуз.уч.,НИЦ ИНФРА-М,2018-136с</t>
  </si>
  <si>
    <t>978-5-9558-0481-1</t>
  </si>
  <si>
    <t>636130.06.01</t>
  </si>
  <si>
    <t>Мировая экономика и международные экон. отнош.: Уч.пос / В.И.Тихий-М.:ИЦ РИОР, НИЦ ИНФРА-М,2023.-259 с (П)</t>
  </si>
  <si>
    <t>Тихий В.И., Корева О.В.</t>
  </si>
  <si>
    <t>978-5-369-01620-6</t>
  </si>
  <si>
    <t>38.03.01, 38.03.02, 38.03.04, 38.04.02, 38.05.02, 41.03.05, 44.03.05</t>
  </si>
  <si>
    <t>Рекомендовано в качестве учебного пособия для студентов высших учебных заведений, обучающихся по направлениям "Экономика", "Менеджмент" (квалификация (степень) "бакалавр")</t>
  </si>
  <si>
    <t>106500.10.01</t>
  </si>
  <si>
    <t>Мировая экономика: соц.-экономич. модели развития: Уч. пос. / В.М. Кудров. - Магистр, 2024. - 399 с. (п)</t>
  </si>
  <si>
    <t>МИРОВАЯ ЭКОНОМИКА: СОЦИАЛЬНО-ЭКОНОМИЧЕСКИЕ МОДЕЛИ РАЗВИТИЯ</t>
  </si>
  <si>
    <t>Кудров В. М.</t>
  </si>
  <si>
    <t>978-5-9776-0095-8</t>
  </si>
  <si>
    <t>38.03.01, 38.03.02, 38.03.04, 38.04.01, 38.04.02, 38.04.04, 38.04.09, 38.05.01, 38.05.02, 41.03.01, 41.03.03, 41.03.05, 41.04.01, 41.04.03, 41.04.05, 44.03.05</t>
  </si>
  <si>
    <t>Институт Европы Российской академии наук</t>
  </si>
  <si>
    <t>833568.01.01</t>
  </si>
  <si>
    <t>Мировая экономика: Уч. / Е.В.Зенкина и др. - М.:НИЦ ИНФРА-М,2025. - 452 с.-(ВО)(п)</t>
  </si>
  <si>
    <t>МИРОВАЯ ЭКОНОМИКА</t>
  </si>
  <si>
    <t>Зенкина Е.В., Авдокушин Е.Ф., Акопян А.Р. и др.</t>
  </si>
  <si>
    <t>978-5-16-020071-2</t>
  </si>
  <si>
    <t>38.03.01, 41.04.05</t>
  </si>
  <si>
    <t>034060.18.01</t>
  </si>
  <si>
    <t>Мировая экономика: Уч. / З.К.Раджабова - 5 изд. - М.:НИЦ ИНФРА-М,2025 - 369 с.-(ВО)(п)</t>
  </si>
  <si>
    <t>МИРОВАЯ ЭКОНОМИКА, ИЗД.5</t>
  </si>
  <si>
    <t>Раджабова З.К.</t>
  </si>
  <si>
    <t>978-5-16-018541-5</t>
  </si>
  <si>
    <t>38.03.01, 38.03.02, 38.03.04, 38.03.06, 38.04.01, 38.04.02, 38.04.04, 38.04.06, 38.04.08, 38.04.09, 38.05.01, 38.05.02, 41.03.05, 44.03.01, 44.03.05</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</si>
  <si>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 (уровень бакалавриата)</t>
  </si>
  <si>
    <t>212300.05.01</t>
  </si>
  <si>
    <t>Мировая экономика: Уч. / И.С.Цыпин - 2 изд. - М.:НИЦ ИНФРА-М,2024 - 288 с.-(ВО: Бакалавриат)(П)</t>
  </si>
  <si>
    <t>МИРОВАЯ ЭКОНОМИКА, ИЗД.2</t>
  </si>
  <si>
    <t>978-5-16-019057-0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</si>
  <si>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16.06.2021)</t>
  </si>
  <si>
    <t>034060.12.01</t>
  </si>
  <si>
    <t>Мировая экономика: Уч. /З.К.Раджабова - М.:НИЦ ИНФРА-М,2017 - 344 с.-(ВО: Бакалавриат)(П)</t>
  </si>
  <si>
    <t>МИРОВАЯ ЭКОНОМИКА, ИЗД.4</t>
  </si>
  <si>
    <t>978-5-16-009874-6</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</si>
  <si>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(080100) -Экономика" (уровень бакалавриата)</t>
  </si>
  <si>
    <t>419550.06.01</t>
  </si>
  <si>
    <t>Мировая экономика: Уч. пос. / В.М.Кудров - М.:Магистр, НИЦ ИНФРА-М,2024.-416 с. (п)</t>
  </si>
  <si>
    <t>978-5-9776-0263-1</t>
  </si>
  <si>
    <t>38.03.01, 38.03.04, 38.04.01, 41.03.05, 44.03.05</t>
  </si>
  <si>
    <t>388400.05.01</t>
  </si>
  <si>
    <t>Мировая экономика: Уч.пос. / М.А.Гуреева - М.:ИД ФОРУМ, НИЦ ИНФРА-М,2023-368с(ВО)</t>
  </si>
  <si>
    <t>М.А.Гуреева</t>
  </si>
  <si>
    <t>978-5-8199-0634-7</t>
  </si>
  <si>
    <t>Рекомендовано Учебно-методическим объединением вузов России по образованию в области финансов, учета и мировой экономики в качестве учебного пособия для студентов бакалавриата, обучающихся по профилю подготовки "Мировая экономика" по направлению подг</t>
  </si>
  <si>
    <t>268600.10.01</t>
  </si>
  <si>
    <t>Мировое комплексное регионовед.: Уч. / Под ред.Воскресенского А.Д. - М.:Магистр,НИЦ ИНФРА-М,2025 - 416 с(П)</t>
  </si>
  <si>
    <t>МИРОВОЕ КОМПЛЕКСНОЕ РЕГИОНОВЕДЕНИЕ</t>
  </si>
  <si>
    <t>Воскресенский А. Д., Колдунова Е. В., Киреева А. А., Воскресенский А. Д.</t>
  </si>
  <si>
    <t>978-5-9776-0309-6</t>
  </si>
  <si>
    <t>41.04.01, 41.04.04, 41.04.05</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</si>
  <si>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направлениям подготовки (специальностям) «Международные отношения» и «Зарубе</t>
  </si>
  <si>
    <t>381700.09.01</t>
  </si>
  <si>
    <t>Мировое комплексное регионовед.:Введ.в спец.: Уч. / А.Д.Воскресенский - М.:Магистр,НИЦ ИНФРА-М,2025 - 448 с.(П)</t>
  </si>
  <si>
    <t>МИРОВОЕ КОМПЛЕКСНОЕ РЕГИОНОВЕДЕНИЕ: ВВЕДЕНИЕ В СПЕЦИАЛЬНОСТЬ</t>
  </si>
  <si>
    <t>Воскресенский А.Д.</t>
  </si>
  <si>
    <t>978-5-9776-0394-2</t>
  </si>
  <si>
    <t>41.03.01, 41.03.05, 41.03.06, 41.04.01, 41.04.05</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</si>
  <si>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направлениям подготовки (специальностям) "Международные отношения» и "Зарубе</t>
  </si>
  <si>
    <t>468450.03.01</t>
  </si>
  <si>
    <t>Мировые товарные рынки: Уч.пос. / А.В.Хохлов-М.:Магистр, НИЦ ИНФРА-М,2018.-304 с..-(Бакалавриат)(О)</t>
  </si>
  <si>
    <t>МИРОВЫЕ ТОВАРНЫЕ РЫНКИ</t>
  </si>
  <si>
    <t>Хохлов А. В.</t>
  </si>
  <si>
    <t>978-5-9776-0322-5</t>
  </si>
  <si>
    <t>38.03.01, 38.04.01, 38.04.06</t>
  </si>
  <si>
    <t>652126.02.01</t>
  </si>
  <si>
    <t>Многодиапазонные антенны на основе...: Моногр. / А.А.Савочкин-М.:Вуз.уч., НИЦ ИНФРА-М,2018-128с.(О)</t>
  </si>
  <si>
    <t>МНОГОДИАПАЗОННЫЕ АНТЕННЫ НА ОСНОВЕ ФРАКТАЛЬНЫХ СТРУКТУР</t>
  </si>
  <si>
    <t>Савочкин А.А., Нудьга А.А.</t>
  </si>
  <si>
    <t>978-5-9558-0550-4</t>
  </si>
  <si>
    <t>11.03.01, 11.04.01, 11.04.02</t>
  </si>
  <si>
    <t>415350.11.01</t>
  </si>
  <si>
    <t>Многоканальные телекоммуникац.системы: Уч.пос.: Ч.1 /А.Б.Тищенко - М.:ИЦ РИОР,НИЦ ИНФРА-М,2024-104с(о)</t>
  </si>
  <si>
    <t>МНОГОКАНАЛЬНЫЕ ТЕЛЕКОММУНИКАЦИОННЫЕ СИСТЕМЫ</t>
  </si>
  <si>
    <t>Тищенко А.Б., Сивоплясов Д.В., Сляднев А.А.</t>
  </si>
  <si>
    <t>978-5-369-01184-3</t>
  </si>
  <si>
    <t>11.03.02, 11.04.02</t>
  </si>
  <si>
    <t>Противопожарная и аварийно-спасательная служба Ставропольского края</t>
  </si>
  <si>
    <t>818512.01.01</t>
  </si>
  <si>
    <t>Многокритериальная оптимиз. в цепях поставок: Уч. / Г.Л.Бродецкий - М.:НИЦ ИНФРА-М,2024. - 340 с.(ВО)(п)</t>
  </si>
  <si>
    <t>МНОГОКРИТЕРИАЛЬНАЯ ОПТИМИЗАЦИЯ В ЦЕПЯХ ПОСТАВОК</t>
  </si>
  <si>
    <t>Бродецкий Г.Л., Герами В.Д., Гусев Д.А. и др.</t>
  </si>
  <si>
    <t>978-5-16-019550-6</t>
  </si>
  <si>
    <t>01.04.02, 09.04.03, 23.05.04, 38.04.02, 38.04.06, 38.05.02</t>
  </si>
  <si>
    <t>788754.02.01</t>
  </si>
  <si>
    <t>Многокритериальный выбор в исследованиях логистики: Уч. / Г.Л.Бродецкий. - М.:НИЦ ИНФРА-М,2024.-342с(ВО)(п)</t>
  </si>
  <si>
    <t>МНОГОКРИТЕРИАЛЬНЫЙ ВЫБОР В ИССЛЕДОВАНИЯХ ЛОГИСТИКИ</t>
  </si>
  <si>
    <t>Бродецкий Г.Л., Гусев Д.А., Шидловский И.Г.</t>
  </si>
  <si>
    <t>978-5-16-017994-0</t>
  </si>
  <si>
    <t>01.03.03, 01.04.03, 09.04.01, 38.03.02, 38.04.02, 38.05.02</t>
  </si>
  <si>
    <t>634885.03.01</t>
  </si>
  <si>
    <t>Многомерные статист. методы в экономике: Уч. / Л.И.Ниворожкина-М.:ИЦ РИОР, НИЦ ИНФРА-М,2023-203с.(О)</t>
  </si>
  <si>
    <t>МНОГОМЕРНЫЕ СТАТИСТИЧЕСКИЕ МЕТОДЫ В ЭКОНОМИКЕ</t>
  </si>
  <si>
    <t>Ниворожкина Л.И., Арженовский С.В.</t>
  </si>
  <si>
    <t>978-5-369-01621-3</t>
  </si>
  <si>
    <t>27.03.02, 27.04.05, 38.03.01, 38.03.02, 38.03.03, 38.03.04</t>
  </si>
  <si>
    <t>108350.12.01</t>
  </si>
  <si>
    <t>Многомерный стат. анализ в эконом. задачах: Уч. пос. / Под ред. И.В. Орловой - Вуз. уч.,2024 - 310с.(П)</t>
  </si>
  <si>
    <t>МНОГОМЕРНЫЙ СТАТИСТИЧЕСКИЙ АНАЛИЗ В ЭКОНОМИЧЕСКИХ ЗАДАЧАХ: КОМПЬЮТЕРНОЕ МОДЕЛИРОВАНИЕ В SPSS</t>
  </si>
  <si>
    <t>Концевая Н.В., Орлова И.В., Турундаевский В.Б. и др.</t>
  </si>
  <si>
    <t>978-5-9558-0108-7</t>
  </si>
  <si>
    <t>Рекомендовано Научно-методическим советом по заочному экономическому образованию в качестве учебного пособия для студентов высших учебных заведений, обучающихся по экономическим специальностям</t>
  </si>
  <si>
    <t>308400.05.01</t>
  </si>
  <si>
    <t>Многоцелевые гусен.и колес.машины..: Уч.пос. / Под общ. ред.В.П.Бойкова-М.:НИЦ ИНФРА-М,Нов.знание,2023 -350с(ВО)</t>
  </si>
  <si>
    <t>МНОГОЦЕЛЕВЫЕ ГУСЕНИЧНЫЕ И КОЛЕСНЫЕ МАШИНЫ. ЭРГОНОМИКА И ДИЗАЙН</t>
  </si>
  <si>
    <t>В.П.Бойков</t>
  </si>
  <si>
    <t>978-5-16-010299-3</t>
  </si>
  <si>
    <t>15.03.01, 15.03.02, 15.04.01, 15.04.02, 15.04.05, 15.05.01, 23.03.02</t>
  </si>
  <si>
    <t>Допущено Научно-методическим советом по электротехнике и электронике Министерства образования и науки Российской Федерации в качестве учебника для студентов высших учебных заведений, обучающихся по неэлектротехническим направлениям подготовки бакалав</t>
  </si>
  <si>
    <t>175700.05.01</t>
  </si>
  <si>
    <t>Многоцелевые гусеничные и колес.машины.:Уч.пос. / В.П.Бойков-М.:НИЦ ИНФРА-М,Нов.знание,2023-543с.(П)</t>
  </si>
  <si>
    <t>МНОГОЦЕЛЕВЫЕ ГУСЕНИЧНЫЕ И КОЛЕСНЫЕ МАШИНЫ. ТЕОРИЯ</t>
  </si>
  <si>
    <t>Бойков В.П., Гуськов В.В., Коробкин В.А. и др.</t>
  </si>
  <si>
    <t>978-5-16-005514-5</t>
  </si>
  <si>
    <t>23.03.02, 23.04.02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</si>
  <si>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«Тракторостроение», «Многоцелевые гусеничные и колесные машины»</t>
  </si>
  <si>
    <t>681419.03.01</t>
  </si>
  <si>
    <t>Многоцелевые гусеничные и колесные машины..:Уч.пос. / В.П.Бойков-М.:НИЦ ИНФРА-М,Нов.знание,2023-296с</t>
  </si>
  <si>
    <t>МНОГОЦЕЛЕВЫЕ ГУСЕНИЧНЫЕ И КОЛЕСНЫЕ МАШИНЫ. ПРОЕКТИРОВАНИЕ</t>
  </si>
  <si>
    <t>Бойков В.П., Гуськов В.В., Жданович Ч.И. и др.</t>
  </si>
  <si>
    <t>978-5-16-013772-8</t>
  </si>
  <si>
    <t>15.03.01, 15.03.05, 15.04.01, 15.05.01, 23.03.02, 23.04.02, 23.05.02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</si>
  <si>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«Тракторостроение», «Многоцелевые гусеничные и колесные машины», «Дизайн гусеничных и колесных машин»</t>
  </si>
  <si>
    <t>669492.04.01</t>
  </si>
  <si>
    <t>Мобильные средст.заправки воздуш. судов авиац....Уч.пос. / Ю.Ф.Кайзер- 2 изд.-М.:НИЦ ИНФРА-М, СФУ,2023-346с</t>
  </si>
  <si>
    <t>МОБИЛЬНЫЕ СРЕДСТВА ЗАПРАВКИ ВОЗДУШНЫХ СУДОВ АВИАЦИОННЫМИ ГОРЮЧЕ-СМАЗОЧНЫМИ МАТЕРИАЛАМИ, ИЗД.2</t>
  </si>
  <si>
    <t>Кайзер Ю.Ф., Подвезенный В.Н., Желукевич Р.Б. и др.</t>
  </si>
  <si>
    <t>978-5-16-013331-7</t>
  </si>
  <si>
    <t>25.03.04, 25.05.05</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</si>
  <si>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«Средства аэродромно-технического обеспечения полетов авиации» направления подготовки «Транспортные машины и транспортно-технологические комплексы» и специальности «Транспортные средства специального назначения» (специализация «Наземные транспортные средства и комплексы аэродромно-технического обеспечения полетов авиации»)</t>
  </si>
  <si>
    <t>403950.05.01</t>
  </si>
  <si>
    <t>Модели анализа рекламного текста: Уч. пос. / Н.В.Аниськина - М.: Форум:  НИЦ Инфра-М, 2023-304с.(ВО) (о)</t>
  </si>
  <si>
    <t>МОДЕЛИ АНАЛИЗА РЕКЛАМНОГО ТЕКСТА</t>
  </si>
  <si>
    <t>Аниськина Н. В.</t>
  </si>
  <si>
    <t>978-5-91134-675-1</t>
  </si>
  <si>
    <t>42.03.01, 42.03.02, 42.03.03, 45.03.01</t>
  </si>
  <si>
    <t>452150.07.01</t>
  </si>
  <si>
    <t>Модели и алгоритмы финанс. инвестирования: Уч. пос./М.И.Лисица - М:Вуз. уч.: ИНФРА-М,2024-192с.(п)</t>
  </si>
  <si>
    <t>МОДЕЛИ И АЛГОРИТМЫ ФИНАНСОВОГО ИНВЕСТИРОВАНИЯ</t>
  </si>
  <si>
    <t>Лисица М. И.</t>
  </si>
  <si>
    <t>978-5-9558-0341-8</t>
  </si>
  <si>
    <t>38.03.04, 38.04.01, 38.04.05, 38.04.08</t>
  </si>
  <si>
    <t>799216.01.01</t>
  </si>
  <si>
    <t>Модели и методы сис. анализа в исслед. операций: Уч. / И.Н.Булгакова - М.:НИЦ ИНФРА-М,2025. - 347 с.(п)</t>
  </si>
  <si>
    <t>МОДЕЛИ И МЕТОДЫ СИСТЕМНОГО АНАЛИЗА В ИССЛЕДОВАНИИ ОПЕРАЦИЙ</t>
  </si>
  <si>
    <t>Булгакова И.Н., Вертакова Ю.В., Медведева О.А. и др.</t>
  </si>
  <si>
    <t>978-5-16-018709-9</t>
  </si>
  <si>
    <t>01.03.02, 01.03.04, 01.04.04, 38.03.01, 38.03.02, 38.03.05, 38.04.01, 38.05.02</t>
  </si>
  <si>
    <t>174250.05.01</t>
  </si>
  <si>
    <t>Модели объектов бух. учета: Уч.пос. / Г.Ф. Чернецкая - М.: НИЦ ИНФРА-М, 2020 - 79 с. (ВО) (о)</t>
  </si>
  <si>
    <t>МОДЕЛИ ОБЪЕКТОВ БУХГАЛТЕРСКОГО УЧЕТА</t>
  </si>
  <si>
    <t>Чернецкая Г. Ф.</t>
  </si>
  <si>
    <t>978-5-16-005380-6</t>
  </si>
  <si>
    <t>38.03.01, 38.03.02, 38.03.06, 38.04.01, 38.04.02, 38.04.06, 38.04.08, 38.04.09</t>
  </si>
  <si>
    <t>174250.09.01</t>
  </si>
  <si>
    <t>Модели объектов бух. учета: Уч.пос. / Г.Ф.Чернецкая - 2 изд. - М.:НИЦ ИНФРА-М,2025 - 103 с.(ВО: Бакалавр.)(П)</t>
  </si>
  <si>
    <t>МОДЕЛИ ОБЪЕКТОВ БУХГАЛТЕРСКОГО УЧЕТА, ИЗД.2</t>
  </si>
  <si>
    <t>Чернецкая Г.Ф.</t>
  </si>
  <si>
    <t>978-5-16-016516-5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</si>
  <si>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12 от 14.12.2020)</t>
  </si>
  <si>
    <t>666864.03.01</t>
  </si>
  <si>
    <t>Модели телетрафика: Уч.пос. / М.Пагано и др.-М.:НИЦ ИНФРА-М,2024.-178 с..-(ВО)(п)</t>
  </si>
  <si>
    <t>МОДЕЛИ ТЕЛЕТРАФИКА</t>
  </si>
  <si>
    <t>Пагано М., Рыков В.В., Хохлов Ю.С. и др.</t>
  </si>
  <si>
    <t>978-5-16-019526-1</t>
  </si>
  <si>
    <t>01.03.02, 02.03.01, 02.03.02, 09.03.01, 11.03.01, 11.03.02, 38.04.05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</si>
  <si>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02.03.01 «Математика и компьютерные науки», 02.03.02 «Фундаментальная информатика и информационные технологии» (квалификация (степень) «бакалавр»)</t>
  </si>
  <si>
    <t>735064.01.01</t>
  </si>
  <si>
    <t>Моделирование в OpenSCAD на примерах: Уч.пос. / А.М.Башкатов-М.:НИЦ ИНФРА-М,2020.-333 с.(СПО)(П)</t>
  </si>
  <si>
    <t>МОДЕЛИРОВАНИЕ В OPENSCAD НА ПРИМЕРАХ</t>
  </si>
  <si>
    <t>Башкатов А.М.</t>
  </si>
  <si>
    <t>978-5-16-016162-4</t>
  </si>
  <si>
    <t>08.02.15, 09.02.03, 09.02.04, 09.02.05, 09.02.07, 10.02.02, 11.02.09, 11.02.11, 11.02.14, 11.02.15, 11.02.18, 15.02.07, 15.02.09, 15.02.16, 27.02.02, 27.02.03, 27.02.04, 27.02.05, 27.02.06, 27.02.07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</si>
  <si>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15.02.00 «Машиностроение» (протокол № 6 от 06.04.2020)</t>
  </si>
  <si>
    <t>674630.04.01</t>
  </si>
  <si>
    <t>Моделирование в OpenSCAD: на примерах: Уч.пос. / А.М.Башкатов - М.:НИЦ ИНФРА-М,2025. - 333 с.(ВО)(П)</t>
  </si>
  <si>
    <t>МОДЕЛИРОВАНИЕ В OPENSCAD: НА ПРИМЕРАХ</t>
  </si>
  <si>
    <t>978-5-16-013011-8</t>
  </si>
  <si>
    <t>09.03.01, 09.03.03, 15.03.01, 15.03.02, 15.03.04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</si>
  <si>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09.03.03 «Прикладная информатика», 15.03.02 «Технологические машины и оборудование» (квалификация (степень) «бакалавр») (протокол № 15 от 14.10.2019)</t>
  </si>
  <si>
    <t>476100.06.01</t>
  </si>
  <si>
    <t>Моделирование и оптимиз.процес.деревообработки: Уч. / А.А.Пижурин-2изд.-М.:НИЦ ИНФРА-М,2020-259с(П)</t>
  </si>
  <si>
    <t>МОДЕЛИРОВАНИЕ И ОПТИМИЗАЦИЯ ПРОЦЕССОВ ДЕРЕВООБРАБОТКИ, ИЗД.2</t>
  </si>
  <si>
    <t>Пижурин А.А.</t>
  </si>
  <si>
    <t>978-5-16-012734-7</t>
  </si>
  <si>
    <t>Рекомендовано в качестве учебника для студентов высших учебных заведений, обучающихся по направлению подготовки 35.03.02 «Технология лесозаготовительных  и деревообрабатывающих производств», (квалификация (степень) «бакалавр»)</t>
  </si>
  <si>
    <t>757593.01.01</t>
  </si>
  <si>
    <t>Моделирование и средства науч. исслед. в ЛПК на основе LabView: Уч.пос./С.Б.Якимович-М.:НИЦ ИНФРА-М,2024-111с)(о)</t>
  </si>
  <si>
    <t>МОДЕЛИРОВАНИЕ И СРЕДСТВА НАУЧНЫХ ИССЛЕДОВАНИЙ В ЛЕСОПРОМЫШЛЕННОМ КОМПЛЕКСЕ НА ОСНОВЕ LABVIEW</t>
  </si>
  <si>
    <t>Якимович С.Б., Ефимов Ю.В.</t>
  </si>
  <si>
    <t>978-5-16-017402-0</t>
  </si>
  <si>
    <t>35.03.02, 35.04.01</t>
  </si>
  <si>
    <t>428750.06.01</t>
  </si>
  <si>
    <t>Моделирование процессов и объектов в..: Уч./ И.О.Леушин-М:Форум:НИЦ ИНФРА-М,2024-208с.(ВО:Бакалавр.)(О)</t>
  </si>
  <si>
    <t>МОДЕЛИРОВАНИЕ ПРОЦЕССОВ И ОБЪЕКТОВ В МЕТАЛЛУРГИИ</t>
  </si>
  <si>
    <t>Леушин И. О.</t>
  </si>
  <si>
    <t>978-5-91134-732-1</t>
  </si>
  <si>
    <t>Допущено Учебно-методическим объединением по образованию в области металлургии при Министерстве образования и науки РФ в качестве учебника для студентов вузов, обучающихся по направлению 150400 «Металлургия»</t>
  </si>
  <si>
    <t>475750.12.01</t>
  </si>
  <si>
    <t>Моделирование сис. защиты информ.: Прак.: Уч.пос. / А.В.Бабаш - 4 изд.-М.:ИЦ РИОР, НИЦ ИНФРА-М,2025.-355 с.(ВО)(о)</t>
  </si>
  <si>
    <t>МОДЕЛИРОВАНИЕ СИСТЕМЫ ЗАЩИТЫ ИНФОРМАЦИИ: ПРАКТИКУМ, ИЗД.4</t>
  </si>
  <si>
    <t>Бабаш А.В., Баранова Е.К.</t>
  </si>
  <si>
    <t>978-5-369-01969-6</t>
  </si>
  <si>
    <t>09.03.03, 10.03.01, 10.04.01, 10.05.02, 10.05.04, 38.03.05, 38.04.05, 46.03.02</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</si>
  <si>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направлению «Прикладная информатика»</t>
  </si>
  <si>
    <t>0425</t>
  </si>
  <si>
    <t>475750.11.01</t>
  </si>
  <si>
    <t>Моделирование сис. защиты информ.: Практ.: Уч.пос. / А.В.Бабаш - 3 изд.-М.:ИЦ РИОР, НИЦ ИНФРА-М,2023-320 с.(ВО)(О)</t>
  </si>
  <si>
    <t>МОДЕЛИРОВАНИЕ СИСТЕМЫ ЗАЩИТЫ ИНФОРМАЦИИ: ПРАКТИКУМ, ИЗД.3</t>
  </si>
  <si>
    <t>978-5-369-01848-4</t>
  </si>
  <si>
    <t>475750.05.01</t>
  </si>
  <si>
    <t>Моделирование сист. защиты..:Практ.: Уч.пос./Е.К.Баранова - 2изд.-М.:ИЦ РИОР, НИЦ ИНФРА-М,2019-224с.(ВО)(О)</t>
  </si>
  <si>
    <t>МОДЕЛИРОВАНИЕ СИСТЕМЫ ЗАЩИТЫ ИНФОРМАЦИИ: ПРАКТИКУМ, ИЗД.2</t>
  </si>
  <si>
    <t>Баранова Е. К., Бабаш А. В.</t>
  </si>
  <si>
    <t>978-5-369-01559-9</t>
  </si>
  <si>
    <t>414450.07.01</t>
  </si>
  <si>
    <t>Моделирование систем и процессов: Уч.пос. / Н.Г.Чикуров - М.:ИЦ РИОР, НИЦ ИНФРА-М,2023 - 398 с.(ВО)(П)</t>
  </si>
  <si>
    <t>МОДЕЛИРОВАНИЕ СИСТЕМ И ПРОЦЕССОВ</t>
  </si>
  <si>
    <t>Чикуров Н. Г.</t>
  </si>
  <si>
    <t>978-5-369-01167-6</t>
  </si>
  <si>
    <t>15.03.01, 15.03.03, 15.03.04, 15.03.05, 15.03.06, 15.04.01, 15.04.04</t>
  </si>
  <si>
    <t>301600.10.01</t>
  </si>
  <si>
    <t>Моделирование систем упр.с прим.Matlab: Уч.пос. / А.Н.Тимохин - М.:НИЦ ИНФРА-М,2025 - 256 с.(ВО)(п)</t>
  </si>
  <si>
    <t>МОДЕЛИРОВАНИЕ СИСТЕМ УПРАВЛЕНИЯ С ПРИМЕНЕНИЕМ MATLAB</t>
  </si>
  <si>
    <t>Тимохин А.Н., Румянцев Ю.Д., Тимохин А.Н.</t>
  </si>
  <si>
    <t>978-5-16-019422-6</t>
  </si>
  <si>
    <t>Рекомендовано в качестве учебного пособия для студентов высших учебных заведений, обучающихся по направлению подготовки 15.03.04 «Автоматизация технологических процессов и производств» (квалификация (степень) «бакалавр»)</t>
  </si>
  <si>
    <t>764096.03.01</t>
  </si>
  <si>
    <t>Моделирование систем: Уч.пос. / И.А.Астраханцева-М.:НИЦ ИНФРА-М,2023.-216 с..-(ВО: Бакалавриат)(П)</t>
  </si>
  <si>
    <t>МОДЕЛИРОВАНИЕ СИСТЕМ</t>
  </si>
  <si>
    <t>Астраханцева И.А., Бобков С.П.</t>
  </si>
  <si>
    <t>978-5-16-017220-0</t>
  </si>
  <si>
    <t>09.03.02, 09.04.02, 09.04.04</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</si>
  <si>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высшего образования 09.00.00 «Информатика и вычислительная техника» в качестве учебного пособия для студентов высших учебных заведений, обучающихся по направлениям подготовки бакалавриата 09.03.02 «Информационные системы и технологии» и магистратуры 09.04.02 «Информационные системы и технологии»</t>
  </si>
  <si>
    <t>Ивановский государственный химико-технологический университет</t>
  </si>
  <si>
    <t>301300.06.01</t>
  </si>
  <si>
    <t>Моделирование соц. явлений и процессов с прим.матем.: Уч.пос./ Г.В.Осипов - Норма:НИЦ ИНФРА-М,2022 - 192с(п)</t>
  </si>
  <si>
    <t>МОДЕЛИРОВАНИЕ СОЦИАЛЬНЫХ ЯВЛЕНИЙ И ПРОЦЕССОВ С ПРИМЕНЕНИЕМ МАТЕМАТИЧЕСКИХ МЕТОДОВ</t>
  </si>
  <si>
    <t>978-5-91768-533-5</t>
  </si>
  <si>
    <t>37.04.02, 39.04.01, 39.04.03, 47.04.02</t>
  </si>
  <si>
    <t>684154.04.01</t>
  </si>
  <si>
    <t>Моделирование фин.-хоз. деят. компании в Project Expert: Уч.пос. / Я.Л.Гобарева-М.:НИЦ ИНФРА-М,2024-197с(П)</t>
  </si>
  <si>
    <t>МОДЕЛИРОВАНИЕ ФИНАНСОВО-ХОЗЯЙСТВЕННОЙ ДЕЯТЕЛЬНОСТИ КОМПАНИИ В PROJECT EXPERT</t>
  </si>
  <si>
    <t>978-5-16-019954-2</t>
  </si>
  <si>
    <t>432350.04.01</t>
  </si>
  <si>
    <t>Моделирование хим.-технологич. объект. упр.: Уч.пос. / В.Ф.Беккер, - 2 изд.-М.:ИЦ РИОР, НИЦ ИНФРА-М,2024.-142 с.(ВО)(о)</t>
  </si>
  <si>
    <t>МОДЕЛИРОВАНИЕ ХИМИКО-ТЕХНОЛОГИЧЕСКИХ ОБЪЕКТОВ УПРАВЛЕНИЯ, ИЗД.2</t>
  </si>
  <si>
    <t>Беккер В. Ф.</t>
  </si>
  <si>
    <t>978-5-369-01194-2</t>
  </si>
  <si>
    <t>Допущено УМО вузов по образованию в области автоматизированного машиностроения (УМО AM) в качестве учебного пособия для студентов вузов, обучающихся по направлению «Автоматизированные технологии и производства»</t>
  </si>
  <si>
    <t>371100.07.01</t>
  </si>
  <si>
    <t>Моделирование химико-технол. процессов: Уч. / Г.И.Ефремов, - 2 изд.-М.:НИЦ ИНФРА-М,2025.-260 с.(ВО)(П)</t>
  </si>
  <si>
    <t>МОДЕЛИРОВАНИЕ ХИМИКО-ТЕХНОЛОГИЧЕСКИХ ПРОЦЕССОВ, ИЗД.2</t>
  </si>
  <si>
    <t>Ефремов Г.И.</t>
  </si>
  <si>
    <t>978-5-16-016255-3</t>
  </si>
  <si>
    <t>18.03.01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</si>
  <si>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20.03.01 «Техносферная безопасность» (квалификация (степень) «бакалавр») (протокол №9 от 28.09.2020)</t>
  </si>
  <si>
    <t>371100.04.01</t>
  </si>
  <si>
    <t>Моделирование химико-технол.процессов: Уч. / Г.И.Ефремов - М.:НИЦ ИНФРА-М,2019-255с(ВО:Бакалавр.)(П)</t>
  </si>
  <si>
    <t>МОДЕЛИРОВАНИЕ ХИМИКО-ТЕХНОЛОГИЧЕСКИХ ПРОЦЕССОВ</t>
  </si>
  <si>
    <t>978-5-16-011030-1</t>
  </si>
  <si>
    <t>Рекомендовано в качестве учебника для студентов высших учебных заведений, обучающихся по направлению подготовки 18.03.02 «Энерго- и ресурсосберегающие процессы в химической технологии, нефтехимии и биотехнологии» (квалификация (степень) «бакалавр»)</t>
  </si>
  <si>
    <t>127350.08.01</t>
  </si>
  <si>
    <t>Моделирование эколого-экономич. сис: Уч.пос. / М.С.Красс, - 2-е изд.-М.:НИЦ ИНФРА-М,2024.-272 с.(ВО)(П)</t>
  </si>
  <si>
    <t>МОДЕЛИРОВАНИЕ ЭКОЛОГО-ЭКОНОМИЧЕСКИХ СИСТЕМ, ИЗД.2</t>
  </si>
  <si>
    <t>Красс М. С.</t>
  </si>
  <si>
    <t>978-5-16-006597-7</t>
  </si>
  <si>
    <t>05.03.06, 05.04.06, 35.03.03, 38.03.01, 38.03.05, 38.04.01, 38.04.05</t>
  </si>
  <si>
    <t>Рекомендовано  УМО по образованию в области математических методов в экономике в качестве учебного пособия для студентов высших учебных заведений, обуч. по спец.  080116 "Математические методы в экономике" и другим экономическим специальностям</t>
  </si>
  <si>
    <t>423850.08.01</t>
  </si>
  <si>
    <t>Моделирование экон. систем и процессов: Уч.пос./М.П.Власов-М.:НИЦ ИНФРА-М,2024-336с.(ВО:Бакалавриат)</t>
  </si>
  <si>
    <t>МОДЕЛИРОВАНИЕ ЭКОНОМИЧЕСКИХ СИСТЕМ И ПРОЦЕССОВ</t>
  </si>
  <si>
    <t>Власов М. П., Шимко П. Д.</t>
  </si>
  <si>
    <t>978-5-16-005560-2</t>
  </si>
  <si>
    <t>01.03.02, 01.04.02, 03.03.02, 38.03.01, 38.03.02, 38.04.01, 38.04.02, 44.03.01</t>
  </si>
  <si>
    <t>Рекомендовано УМО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предприятии (по отраслям)» (направление «Менеджмент»)</t>
  </si>
  <si>
    <t>736391.03.01</t>
  </si>
  <si>
    <t>Моделирование экономики: Уч.пос. / А.В.Сигал - М.:НИЦ ИНФРА-М,2024 - 283 с.(ВО: Магистр.(КрымФУ))(П)</t>
  </si>
  <si>
    <t>МОДЕЛИРОВАНИЕ ЭКОНОМИКИ</t>
  </si>
  <si>
    <t>Сигал А.В.</t>
  </si>
  <si>
    <t>Высшее образование: Магистратура  (КрымФУ)</t>
  </si>
  <si>
    <t>978-5-16-016314-7</t>
  </si>
  <si>
    <t>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</si>
  <si>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38.04.05 «Бизнес-информатика» (квалификация (степень) «магистр») (протокол № 12 от 14.12.2020)</t>
  </si>
  <si>
    <t>767509.01.01</t>
  </si>
  <si>
    <t>Моделирование экономич. процес. нефтегаз. региона: Уч.пос. / И.Л.Беилин-М.:НИЦ ИНФРА-М,2022.-171с(ВО)(П)</t>
  </si>
  <si>
    <t>МОДЕЛИРОВАНИЕ ЭКОНОМИЧЕСКИХ ПРОЦЕССОВ НЕФТЕГАЗОВОГО РЕГИОНА</t>
  </si>
  <si>
    <t>Беилин И.Л.</t>
  </si>
  <si>
    <t>978-5-16-017309-2</t>
  </si>
  <si>
    <t>38.00.00, 38.04.01, 38.04.02, 38.04.03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</si>
  <si>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38.04.04 «Государственное и муниципальное управление» (квалификация (степень) «магистр») (протокол № 2 от 09.02.2022)</t>
  </si>
  <si>
    <t>Российский государственный университет правосудия, Казанский ф-л</t>
  </si>
  <si>
    <t>270300.10.01</t>
  </si>
  <si>
    <t>Моделирование электропривода: Уч.пос. / М.И.Аксенов - М.:НИЦ ИНФРА-М,2024 - 135 с.(ВО: Бакалавр.)(О)</t>
  </si>
  <si>
    <t>МОДЕЛИРОВАНИЕ ЭЛЕКТРОПРИВОДА</t>
  </si>
  <si>
    <t>Аксенов М.И.</t>
  </si>
  <si>
    <t>978-5-16-009650-6</t>
  </si>
  <si>
    <t>13.03.02, 13.04.02</t>
  </si>
  <si>
    <t>Рекомендовано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t>
  </si>
  <si>
    <t>489150.06.01</t>
  </si>
  <si>
    <t>Моделирование, конструир. и контроль кач. ортопед.: Уч.пос. /Н.В.Бекк - НИЦ ИНФРА-М,2025-96с(ВО)(О)</t>
  </si>
  <si>
    <t>МОДЕЛИРОВАНИЕ, КОНСТРУИРОВАНИЕ И КОНТРОЛЬ КАЧЕСТВА ОРТОПЕДИЧЕСКОЙ ОБУВИ ДЛЯ ДЕТЕЙ И ВЗРОСЛЫХ</t>
  </si>
  <si>
    <t>Бекк Н.В., Клюева И.В., Захожая Т.С. и др.</t>
  </si>
  <si>
    <t>978-5-16-010738-7</t>
  </si>
  <si>
    <t>29.03.01, 29.03.05, 29.04.01, 29.04.05, 38.03.07</t>
  </si>
  <si>
    <t>Рекомендовано в качестве учебного пособия для студентов высших учебных заведений, обучающихся по напрвлениям 29.03.01 «Технология изделий легкой промышленности», 29.03.05 «Конструирование изделий легкой промышленности», 38.63.07 «Товароведение»</t>
  </si>
  <si>
    <t>Новосибирский государственный университет архитектуры, дизайна и искусств имени А.Д. Крячкова</t>
  </si>
  <si>
    <t>684701.02.01</t>
  </si>
  <si>
    <t>Модель системы расселения будущего: Уч.пос. / Ю.И.Пацкевич-М.:НИЦ ИНФРА-М,2023.-188 с.(ВО: Бакалавр.)(П)</t>
  </si>
  <si>
    <t>МОДЕЛЬ СИСТЕМЫ РАССЕЛЕНИЯ БУДУЩЕГО</t>
  </si>
  <si>
    <t>Пацкевич Ю.И., Пацкевич А.В.</t>
  </si>
  <si>
    <t>978-5-16-014679-9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</si>
  <si>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07.03.01 «Архитектура» (квалификация (степень) «бакалавр») (протокол № 6 от 16.06.2021)</t>
  </si>
  <si>
    <t>474550.07.01</t>
  </si>
  <si>
    <t>Модернизация промышленных предпр. на базе...: Уч.пос. / А.А.Иванов - Форум: ИНФРА-М, 2024-384с.(ВО)</t>
  </si>
  <si>
    <t>МОДЕРНИЗАЦИЯ ПРОМЫШЛЕННЫХ ПРЕДПРИЯТИЙ НА БАЗЕ СОВРЕМЕННЫХ СИСТЕМ АВТОМАТИЗАЦИИ И УПРАВЛЕНИЯ</t>
  </si>
  <si>
    <t>978-5-91134-950-9</t>
  </si>
  <si>
    <t>666738.07.01</t>
  </si>
  <si>
    <t>Молекулярная биология: Уч. / В.В.Иванищев - 2 изд. - М.:ИЦ РИОР, НИЦ ИНФРА-М,2024 - 233 с.-(ВО)(П)</t>
  </si>
  <si>
    <t>МОЛЕКУЛЯРНАЯ БИОЛОГИЯ, ИЗД.2</t>
  </si>
  <si>
    <t>Иванищев В.В.</t>
  </si>
  <si>
    <t>978-5-369-01857-6</t>
  </si>
  <si>
    <t>06.03.01, 19.03.01, 44.03.05</t>
  </si>
  <si>
    <t>666738.02.01</t>
  </si>
  <si>
    <t>Молекулярная биология: Уч. / В.В.Иванищев - М.:ИЦ РИОР, НИЦ ИНФРА-М,2019.-225 с.(П)</t>
  </si>
  <si>
    <t>МОЛЕКУЛЯРНАЯ БИОЛОГИЯ</t>
  </si>
  <si>
    <t>978-5-369-01731-9</t>
  </si>
  <si>
    <t>414200.08.01</t>
  </si>
  <si>
    <t>Молекулярная спектроскопия: основы..: Уч.пос. /Ф.Ф.Литвин - М:НИЦ Инфра-М,2024 - 263 с.(ВО) (о)</t>
  </si>
  <si>
    <t>МОЛЕКУЛЯРНАЯ СПЕКТРОСКОПИЯ: ОСНОВЫ ТЕОРИИ И ПРАКТИКА</t>
  </si>
  <si>
    <t>Литвин Ф. Ф., Дубровский В. Т., Хатыпов Р. А., Неверов К. В., Литвин Ф. Ф.</t>
  </si>
  <si>
    <t>978-5-16-005727-9</t>
  </si>
  <si>
    <t>06.03.01, 06.04.01, 19.03.01, 44.03.05</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</si>
  <si>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020400 «Биология» и смежным специальностям</t>
  </si>
  <si>
    <t>684669.06.01</t>
  </si>
  <si>
    <t>Молекулярно-генетич. основы онкогенеза: Уч.пос. / А.А.Майборода - М.:НИЦ ИНФРА-М,2025. - 125 с.(ВО)(П)</t>
  </si>
  <si>
    <t>МОЛЕКУЛЯРНО-ГЕНЕТИЧЕСКИЕ ОСНОВЫ ОНКОГЕНЕЗА</t>
  </si>
  <si>
    <t>Майборода А.А.</t>
  </si>
  <si>
    <t>978-5-16-014731-4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</si>
  <si>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31.05.01 «Лечебное дело», 31.05.02 «Педиатрия», 30.05.01 «Медицинская биохимия» (квалификация «врач (врач-педиатр) общей практики», «врач-биохимик») (протокол № 15 от 14.10.2019)</t>
  </si>
  <si>
    <t>Иркутский государственный медицинский университет</t>
  </si>
  <si>
    <t>246200.03.01</t>
  </si>
  <si>
    <t>Монголия: мир кочевой культуры: Уч.пос. / Н.Л.Жуковская - 2 изд.-М.: РИОР:ИНФРА-М,2024-239с(ВО)(о)</t>
  </si>
  <si>
    <t>МОНГОЛИЯ: МИР КОЧЕВОЙ КУЛЬТУРЫ, ИЗД.2</t>
  </si>
  <si>
    <t>Жуковская Н.Л.</t>
  </si>
  <si>
    <t>978-5-369-01300-7</t>
  </si>
  <si>
    <t>41.03.01, 41.03.06, 41.04.01, 46.03.03, 46.04.03, 47.03.03, 47.04.03, 51.03.01, 51.04.01</t>
  </si>
  <si>
    <t>Якутский научный центр Сибирского отделения Российской академии наук</t>
  </si>
  <si>
    <t>809273.01.01</t>
  </si>
  <si>
    <t>Мониторинг земель: Уч.пос. / Ю.П.Ковалева-М.:НИЦ ИНФРА-М,2024.-170 с.(ВО (КрГАУ))(п)</t>
  </si>
  <si>
    <t>МОНИТОРИНГ ЗЕМЕЛЬ</t>
  </si>
  <si>
    <t>Ковалева Ю.П.</t>
  </si>
  <si>
    <t>978-5-16-019398-4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</si>
  <si>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21.03.02 «Землеустройство и кадастры»</t>
  </si>
  <si>
    <t>481300.08.01</t>
  </si>
  <si>
    <t>Мониторинг коррекц.-логопед.работы: Уч.мет.пос. / Под ред.Елецкой О.В. - М.:НИЦ ИНФРА-М,2025 - 400 с.(О)</t>
  </si>
  <si>
    <t>МОНИТОРИНГ КОРРЕКЦИОННО-ЛОГОПЕДИЧЕСКОЙ РАБОТЫ</t>
  </si>
  <si>
    <t>Елецкая О.В., Тараканова А.А., Щукина Д.А. и др.</t>
  </si>
  <si>
    <t>978-5-16-018842-3</t>
  </si>
  <si>
    <t>44.03.02, 44.03.03, 44.04.03</t>
  </si>
  <si>
    <t>Рекомендовано кафедрой логопедии Пермского государственного гуманитарно-педагогического университета в качестве учебно-методического пособия для студентов высших учебных заведений, обучающихся по направлению подготовки 44.03.03 «Специальное (дефектологическое) образование»</t>
  </si>
  <si>
    <t>176800.16.01</t>
  </si>
  <si>
    <t>Монтаж газораспределительных систем: Уч.пос. / В.И.Краснов - М.:НИЦ ИНФРА-М,2025. - 309 с.(СПО)(п)</t>
  </si>
  <si>
    <t>МОНТАЖ ГАЗОРАСПРЕДЕЛИТЕЛЬНЫХ СИСТЕМ</t>
  </si>
  <si>
    <t>Краснов В.И.</t>
  </si>
  <si>
    <t>978-5-16-020761-2</t>
  </si>
  <si>
    <t>07.02.01, 08.02.03, 08.02.08, 08.02.13, 08.02.14</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</si>
  <si>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08.02.08 «Монтаж и эксплуатация оборудования и систем газоснабжения»</t>
  </si>
  <si>
    <t>670028.06.01</t>
  </si>
  <si>
    <t>Монтаж горных машин и оборудования: Уч.пос. / А.В.Гилев - М.:НИЦ ИНФРА-М, СФУ,2025 - 254 с.(ВО)(П)</t>
  </si>
  <si>
    <t>МОНТАЖ ГОРНЫХ МАШИН И ОБОРУДОВАНИЯ</t>
  </si>
  <si>
    <t>Гилев А.В., Чесноков В.Т., Шигин А.О.</t>
  </si>
  <si>
    <t>978-5-16-016086-3</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</si>
  <si>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«Горные машины и оборудование» направления подготовки дипломированных специалистов «Технологические машины и оборудование»</t>
  </si>
  <si>
    <t>795699.02.01</t>
  </si>
  <si>
    <t>Монтаж и эксплуатация электрооборуд. сис. электроснаб.: Уч.пос. / А.В.Суворин - М.:НИЦ ИНФРА-М,2025 - 400 с.(п)</t>
  </si>
  <si>
    <t>МОНТАЖ И ЭКСПЛУАТАЦИЯ ЭЛЕКТРООБОРУДОВАНИЯ СИСТЕМ ЭЛЕКТРОСНАБЖЕНИЯ</t>
  </si>
  <si>
    <t>Суворин А.В.</t>
  </si>
  <si>
    <t>978-5-16-020651-6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</si>
  <si>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6 от 08.06.2022)</t>
  </si>
  <si>
    <t>154450.18.01</t>
  </si>
  <si>
    <t>Монтаж систем вентиляции и кондиционир.воздуха: Уч.пос. / В.И.Краснов - М.:НИЦ ИНФРА-М,2025. - 224 с.(СПО)</t>
  </si>
  <si>
    <t>МОНТАЖ СИСТЕМ ВЕНТИЛЯЦИИ И КОНДИЦИОНИРОВАНИЯ ВОЗДУХА</t>
  </si>
  <si>
    <t>978-5-16-004299-2</t>
  </si>
  <si>
    <t>07.02.01, 08.02.03, 08.02.08, 08.02.13, 08.02.14, 13.02.02, 15.02.06</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</si>
  <si>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08.02.07 "Монтаж и эксплуатация внутренних сантехнических устройств и вентиляции"</t>
  </si>
  <si>
    <t>307900.05.01</t>
  </si>
  <si>
    <t>Монтаж строительных конструкций: Уч.-метод. пос./В.Н.Черноиван - ИНФРА-М;Нов. знание, 2024-200с.(ВО)</t>
  </si>
  <si>
    <t>МОНТАЖ СТРОИТЕЛЬНЫХ КОНСТРУКЦИЙ</t>
  </si>
  <si>
    <t>978-5-16-010294-8</t>
  </si>
  <si>
    <t>220200.10.01</t>
  </si>
  <si>
    <t>Монтаж, наладка и эксплуат.электрооборуд.: Уч.пос. / Н.В.Грунтович - М.:НИЦ ИНФРА-М,2025 - 271 с.(П)</t>
  </si>
  <si>
    <t>МОНТАЖ, НАЛАДКА И ЭКСПЛУАТАЦИЯ ЭЛЕКТРООБОРУДОВАНИЯ</t>
  </si>
  <si>
    <t>Грунтович Н.В.</t>
  </si>
  <si>
    <t>978-5-16-006952-4</t>
  </si>
  <si>
    <t>Допущено Министерством образования Республики Беларусь в качестве учебного пособия для студентов учреждений высшего образования по электротехническим и энергетическим специальностям</t>
  </si>
  <si>
    <t>Гомельский государственный технический университет имени П.О. Сухого</t>
  </si>
  <si>
    <t>719243.10.01</t>
  </si>
  <si>
    <t>Монтаж, наладка и эксплуатация электрооборуд.: Уч.пос. / Н.В.Грунтович - М.:НИЦ ИНФРА-М,2025 - 271 с.(СПО)(П)</t>
  </si>
  <si>
    <t>978-5-16-015611-8</t>
  </si>
  <si>
    <t>08.02.09, 11.01.02, 11.01.05, 11.01.11, 11.02.15, 11.02.16, 13.01.07, 13.01.10, 13.02.07, 13.02.08, 13.02.09, 13.02.12, 13.02.13, 15.01.36, 15.01.37, 18.01.28, 21.01.15, 21.02.12, 26.01.05, 26.02.04, 26.02.05, 26.02.06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</si>
  <si>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12 от 24.06.2019)</t>
  </si>
  <si>
    <t>758769.01.01</t>
  </si>
  <si>
    <t>Монтаж, техн. обслуж. и ремонт электроустановок предпр.../ Ю.Д.Сибикин - М.:НИЦ ИНФРА-М,2025. - 311 с.(ВО)(п)</t>
  </si>
  <si>
    <t>МОНТАЖ, ТЕХНИЧЕСКОЕ ОБСЛУЖИВАНИЕ И РЕМОНТ ЭЛЕКТРОУСТАНОВОК ПРЕДПРИЯТИЙ НЕФТЯНОЙ ПРОМЫШЛЕННОСТИ</t>
  </si>
  <si>
    <t>Сибикин Ю.Д., Яшков В.А.</t>
  </si>
  <si>
    <t>978-5-16-017289-7</t>
  </si>
  <si>
    <t>00.03.31</t>
  </si>
  <si>
    <t>766526.06.01</t>
  </si>
  <si>
    <t>Монтаж, эксплуатация и ремонт электрооборуд..: Уч.пос. / Ю.Д.Сибикин - 2 изд. - М.:НИЦ ИНФРА-М,2025 - 464 с.(П)</t>
  </si>
  <si>
    <t>МОНТАЖ, ЭКСПЛУАТАЦИЯ И РЕМОНТ ЭЛЕКТРООБОРУДОВАНИЯ ПРОМЫШЛЕННЫХ ПРЕДПРИЯТИЙ И УСТАНОВОК, ИЗД.2</t>
  </si>
  <si>
    <t>978-5-16-017754-0</t>
  </si>
  <si>
    <t>08.02.09, 11.01.02, 11.01.05, 11.02.15, 13.01.07, 13.01.10, 13.02.07, 13.02.08, 13.02.09, 13.02.12, 15.01.37, 18.01.28, 21.01.15, 26.01.05, 26.02.04, 26.02.05, 26.02.06, 35.01.15</t>
  </si>
  <si>
    <t>Рекомендовано экспертным советом по профессиональному образованию Министерства образования и науки Российской Федерации в качестве учебного пособия для учащихся  среднего профессионального образования</t>
  </si>
  <si>
    <t>641908.09.01</t>
  </si>
  <si>
    <t>Морально-психолог. обесп. деят. войск, воинских форм. и орган.: Уч. / М.Ю.Зеленков-М.:НИЦ ИНФРА-М,2025.-498 с.(ВО)(П)</t>
  </si>
  <si>
    <t>МОРАЛЬНО-ПСИХОЛОГИЧЕСКОЕ ОБЕСПЕЧЕНИЕ ДЕЯТЕЛЬНОСТИ ВОЙСК, ВОИНСКИХ ФОРМИРОВАНИЙ И ОРГАНОВ</t>
  </si>
  <si>
    <t>Зеленков М.Ю.</t>
  </si>
  <si>
    <t>978-5-16-018138-7</t>
  </si>
  <si>
    <t>37.03.01, 37.03.02, 37.04.01, 37.04.02, 40.02.02, 40.03.01, 40.05.01, 41.03.04, 41.04.04, 44.03.05, 56.04.02, 56.04.09</t>
  </si>
  <si>
    <t>Рекомендовано в качестве учебника для курсантов высших военно-учебных заведений Минобороны, МВД, МЧС, ФСБ и ФСВНГ России</t>
  </si>
  <si>
    <t>736717.03.01</t>
  </si>
  <si>
    <t>Морская навигация: сб. задач: Уч.пос. / А.В.Головко-М.:НИЦ ИНФРА-М,2024.-188 с.(ВО (ЧВВМУ им. Нахимова))(П)</t>
  </si>
  <si>
    <t>МОРСКАЯ НАВИГАЦИЯ: СБОРНИК ЗАДАЧ</t>
  </si>
  <si>
    <t>Головко А.В., Худяков Г.В.</t>
  </si>
  <si>
    <t>978-5-16-016319-2</t>
  </si>
  <si>
    <t>26.01.07, 26.01.09, 26.02.03, 26.05.04, 35.01.32, 43.01.04</t>
  </si>
  <si>
    <t>707961.06.01</t>
  </si>
  <si>
    <t>Морская практика: Курс лекций / М.В.Наумов - М.:НИЦ ИНФРА-М,2024 - 328 с.(Военное обр.)(п)</t>
  </si>
  <si>
    <t>МОРСКАЯ ПРАКТИКА</t>
  </si>
  <si>
    <t>Наумов М.В., Володин В.Н.</t>
  </si>
  <si>
    <t>978-5-16-015336-0</t>
  </si>
  <si>
    <t>26.02.03, 26.05.04, 26.05.05, 26.05.06, 26.05.07</t>
  </si>
  <si>
    <t>444250.07.01</t>
  </si>
  <si>
    <t>Морская экология и прибрежно-мор.природ.:Уч.пос./Я.Ю.Блиновская-2изд.-М.:НИЦ ИНФРА-М,2024-168с.-(ВО)(о)</t>
  </si>
  <si>
    <t>МОРСКАЯ ЭКОЛОГИЯ И ПРИБРЕЖНО-МОРСКОЕ ПРИРОДОПОЛЬЗОВАНИЕ, ИЗД.2</t>
  </si>
  <si>
    <t>Блиновская Я.Ю.</t>
  </si>
  <si>
    <t>978-5-16-019223-9</t>
  </si>
  <si>
    <t>05.03.06, 20.03.01, 20.04.01</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</si>
  <si>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бакалавров 280700.62 «Техносферная безопасность»</t>
  </si>
  <si>
    <t>654707.05.01</t>
  </si>
  <si>
    <t>Морские конвенции (Learn SOLAS 74 &amp; MARPOL 73/78): Уч.пос. / И.А.Закирьянова, - 3 изд.-М.:Вуз. уч., НИЦ ИНФРА-М,2025-266с(О)</t>
  </si>
  <si>
    <t>МОРСКИЕ КОНВЕНЦИИ (LEARN SOLAS 74 &amp; MARPOL 73/78), ИЗД.3</t>
  </si>
  <si>
    <t>Закирьянова И.А.</t>
  </si>
  <si>
    <t>978-5-9558-0566-5</t>
  </si>
  <si>
    <t>40.03.01, 44.03.01, 44.03.05</t>
  </si>
  <si>
    <t>229600.11.01</t>
  </si>
  <si>
    <t>Морфология и физиология сенсорных систем...: Уч.пос. / Ю.Н.Самко - М.:НИЦ ИНФРА-М,2025 - 158 с.(ВО)(О)</t>
  </si>
  <si>
    <t>МОРФОЛОГИЯ И ФИЗИОЛОГИЯ СЕНСОРНЫХ СИСТЕМ И ВЫСШЕЙ НЕРВНОЙ ДЕЯТЕЛЬНОСТИ</t>
  </si>
  <si>
    <t>978-5-16-009052-8</t>
  </si>
  <si>
    <t>06.03.01, 06.04.01, 31.05.01, 37.05.01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</si>
  <si>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 (протокол № 12 от 24.06.2019)</t>
  </si>
  <si>
    <t>640955.06.01</t>
  </si>
  <si>
    <t>Морфология мясопромыш. животных (анатомия и гистол.): Уч. / М.В.Сидорова - М.:НИЦ ИНФРА-М,2025-307с(ВО)</t>
  </si>
  <si>
    <t>МОРФОЛОГИЯ МЯСОПРОМЫШЛЕННЫХ ЖИВОТНЫХ (АНАТОМИЯ И ГИСТОЛОГИЯ)</t>
  </si>
  <si>
    <t>Сидорова М.В., Панов В.П., Семак А.Э. и др.</t>
  </si>
  <si>
    <t>978-5-16-012309-7</t>
  </si>
  <si>
    <t>19.03.03, 19.04.03, 36.03.01, 36.04.01, 36.05.01</t>
  </si>
  <si>
    <t>Рекомендовано в качестве учебника для студентов высших учебных заведений, обучающихся по направлению подготовки 19.03.03 «Процедуры питания животного происхождения» (квалификация (степень) «бакалавр»)</t>
  </si>
  <si>
    <t>766461.01.01</t>
  </si>
  <si>
    <t>Морфология мясопромышленных животных: Уч. / М.В.Сидорова - М.:НИЦ ИНФРА-М,2022 - 307 с.(П)</t>
  </si>
  <si>
    <t>978-5-16-017228-6</t>
  </si>
  <si>
    <t>19.02.12, 35.02.15, 36.01.02, 36.01.05, 36.02.01, 36.02.03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</si>
  <si>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19.02.08 «Технология мяса и мясных продуктов» (протокол № 5 от 19.05.2021)</t>
  </si>
  <si>
    <t>633652.11.01</t>
  </si>
  <si>
    <t>Мотивация и оплата труда...: Уч.пос. / А.В.Ребров - М.:НИЦ ИНФРА-М,2025 - 346 с(ВО)(п)</t>
  </si>
  <si>
    <t>МОТИВАЦИЯ И ОПЛАТА ТРУДА. СОВРЕМЕННЫЕ МОДЕЛИ И ТЕХНОЛОГИИ</t>
  </si>
  <si>
    <t>Ребров А.В.</t>
  </si>
  <si>
    <t>978-5-16-018635-1</t>
  </si>
  <si>
    <t>323200.05.01</t>
  </si>
  <si>
    <t>Мотивация и стимулир. трудовой деят.: Уч. / Минева О.К. - 2 изд. - М.:НИЦ ИНФРА-М,2024-275 с.(ВО)(п)</t>
  </si>
  <si>
    <t>МОТИВАЦИЯ И СТИМУЛИРОВАНИЕ ТРУДОВОЙ ДЕЯТЕЛЬНОСТИ, ИЗД.2</t>
  </si>
  <si>
    <t>Минева О.К., Арутюнян С.А., Гаджиева Е.А. и др.</t>
  </si>
  <si>
    <t>978-5-16-018886-7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</si>
  <si>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(регистрационный номер рецензии 405 от 29.09.2014 (ФГАУ ФИРО))</t>
  </si>
  <si>
    <t>077800.12.01</t>
  </si>
  <si>
    <t>Мотивация и стимулир. трудовой деят.: Уч.пос. / А.П.Егоршин, - 3 изд.-М.:НИЦ ИНФРА-М,2024.-378 с.(ВО)(п)</t>
  </si>
  <si>
    <t>МОТИВАЦИЯ И СТИМУЛИРОВАНИЕ ТРУДОВОЙ ДЕЯТЕЛЬНОСТИ, ИЗД.3</t>
  </si>
  <si>
    <t>Егоршин А. П.</t>
  </si>
  <si>
    <t>978-5-16-006048-4</t>
  </si>
  <si>
    <t>38.03.01, 38.03.03, 38.04.03, 41.03.06</t>
  </si>
  <si>
    <t>Допущено Министерством образовния РФ в качестве учебного пособия для студентов высших учебных заведений, обучающихся по направлению (специальности) "Управление персоналом"</t>
  </si>
  <si>
    <t>Нижегородский институт экономики и менеджмента</t>
  </si>
  <si>
    <t>323200.02.01</t>
  </si>
  <si>
    <t>Мотивация и стимулирование трудовой деят.: Уч. / О.К.Минева-М.:Альфа-М: ИНФРА-М,2017-272с(Бакалавр.)(п)</t>
  </si>
  <si>
    <t>МОТИВАЦИЯ И СТИМУЛИРОВАНИЕ ТРУДОВОЙ ДЕЯТЕЛЬНОСТИ</t>
  </si>
  <si>
    <t>Минева О. К., Арутюнян С. А., Белик Е. А., Крюкова Е. В.</t>
  </si>
  <si>
    <t>Высшая школа. Бакалавриат</t>
  </si>
  <si>
    <t>978-5-98281-419-7</t>
  </si>
  <si>
    <t>105000.16.01</t>
  </si>
  <si>
    <t>Мотивация и стимулирование трудовой деят.: Уч./ А.Я.Кибанов - М.: ИНФРА-М, 2022 - 524 с. (ВО)(П)</t>
  </si>
  <si>
    <t>Кибанов А. Я., Баткаева И. А., Митрофанова Е. А., Ловчева М. В., Кибанов А. Я.</t>
  </si>
  <si>
    <t>978-5-16-003544-4</t>
  </si>
  <si>
    <t>04.03.02, 23.03.01, 38.03.01, 38.03.03, 38.04.03, 41.03.06, 43.04.03, 44.03.01, 51.03.02</t>
  </si>
  <si>
    <t>Рекомендовано Учебно-методическим объединением вузов России по образованию в области менеджмента в качестве учебника для студентов высших учебных заведений, обучающихся по направлениям «Менеджмент», «Управление персоналом»</t>
  </si>
  <si>
    <t>740844.03.01</t>
  </si>
  <si>
    <t>Мотивация и стимулирование трудовой деятельности: Уч. / Д.А.Севостьянов-М.:НИЦ ИНФРА-М,2023.-278 с.(ВО: Бакалавр.)(П)</t>
  </si>
  <si>
    <t>Севостьянов Д.А.</t>
  </si>
  <si>
    <t>978-5-16-016508-0</t>
  </si>
  <si>
    <t>38.03.01, 38.03.02, 38.03.03, 41.03.06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</si>
  <si>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(протокол № 5 от 19.05.2021)</t>
  </si>
  <si>
    <t>Новосибирский государственный медицинский университет</t>
  </si>
  <si>
    <t>149450.10.01</t>
  </si>
  <si>
    <t>Мотивация трудовой деятельности: Уч. пос. / Под ред. В.П.Пугачева - М.: ИНФРА-М, 2025 - 394 с.(ВО) (п)</t>
  </si>
  <si>
    <t>МОТИВАЦИЯ ТРУДОВОЙ ДЕЯТЕЛЬНОСТИ</t>
  </si>
  <si>
    <t>Пугачев В.П., Зайцева Т.В., Черняева Г.В. и др.</t>
  </si>
  <si>
    <t>978-5-16-020705-6</t>
  </si>
  <si>
    <t>38.03.01, 38.03.02, 38.03.03, 38.03.04, 38.04.02, 38.04.03, 38.04.04, 41.03.06</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</si>
  <si>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080505 "Управление персоналом"</t>
  </si>
  <si>
    <t>681272.03.01</t>
  </si>
  <si>
    <t>МСФО для предпр. малого и среднего бизнеса: Уч. / Под ред. Гетьман В.Г.-М.:НИЦ ИНФРА-М,2023-451 с.(ВО) (П)</t>
  </si>
  <si>
    <t>МСФО ДЛЯ ПРЕДПРИЯТИЙ МАЛОГО И СРЕДНЕГО БИЗНЕСА</t>
  </si>
  <si>
    <t>978-5-16-012306-6</t>
  </si>
  <si>
    <t>149190.08.01</t>
  </si>
  <si>
    <t>Мужское сексуальное здоровье...: Уч.пос. / Л.Г.Агасаров-М.:Вуз. уч., ИНФРА-М,2024.-64 с.(О)</t>
  </si>
  <si>
    <t>МУЖСКОЕ СЕКСУАЛЬНОЕ ЗДОРОВЬЕ И СПОСОБЫ ЕГО ВОССТАНОВЛЕНИЯ</t>
  </si>
  <si>
    <t>Агасаров Л. Г., Гурцкой Р. А.</t>
  </si>
  <si>
    <t>978-5-9558-0196-4</t>
  </si>
  <si>
    <t>31.05.01, 31.08.23</t>
  </si>
  <si>
    <t>Рекомендовано УМО по медицинскому и фармацевтическому образованию вузов России в качестве учебного пособия для системы послевузовского и дополнительного профессионального образования врачей</t>
  </si>
  <si>
    <t>726279.06.01</t>
  </si>
  <si>
    <t>Музыкально-поэтич. представление: Уч.мет.пос. / М.В.Литвинова - М.:НИЦ ИНФРА-М,2024 - 166 с.(ВО)(П)</t>
  </si>
  <si>
    <t>МУЗЫКАЛЬНО-ПОЭТИЧЕСКОЕ ПРЕДСТАВЛЕНИЕ</t>
  </si>
  <si>
    <t>Литвинова М.В., Кожаева И.В.</t>
  </si>
  <si>
    <t>978-5-16-019369-4</t>
  </si>
  <si>
    <t>51.03.05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</si>
  <si>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51.03.05 «Режиссура театрализованных представлений и праздников» (квалификация (степень) «бакалавр») (протокол № 5 от 26.03.2020)</t>
  </si>
  <si>
    <t>747805.01.01</t>
  </si>
  <si>
    <t>Музыкально-поэтическое представление: Уч.мет.пос. / М.В.Литвинова-М.:НИЦ ИНФРА-М,2021.-166 с..-(СПО)(П)</t>
  </si>
  <si>
    <t>978-5-16-016639-1</t>
  </si>
  <si>
    <t>51.02.01, 51.02.02, 51.02.03, 53.02.01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</si>
  <si>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51.00.00 «Культуроведение и социокультурные проекты» (протокол № 9 от 28.09.2020)</t>
  </si>
  <si>
    <t>842821.01.01</t>
  </si>
  <si>
    <t>Муниципальное право в схемах и таблицах: Уч.пос. / С.В.Радаева - М.:НИЦ ИНФРА-М,2025. - 137 с.(ВО)(п)</t>
  </si>
  <si>
    <t>МУНИЦИПАЛЬНОЕ ПРАВО В СХЕМАХ И ТАБЛИЦАХ</t>
  </si>
  <si>
    <t>Радаева С.В., Карданова И.В.</t>
  </si>
  <si>
    <t>978-5-16-020385-0</t>
  </si>
  <si>
    <t>21.03.02, 40.03.01, 40.05.01, 40.05.02, 40.05.04, 44.04.04</t>
  </si>
  <si>
    <t>Российский государственный университет правосудия, Северо-Кавказский ф-л</t>
  </si>
  <si>
    <t>631720.05.01</t>
  </si>
  <si>
    <t>Муниципальное право России: практ.: Уч.пос. / С.Г.Соловьев-М.:НИЦ ИНФРА-М,2023-158с(ВО:Бакалавр.)(О)</t>
  </si>
  <si>
    <t>МУНИЦИПАЛЬНОЕ ПРАВО РОССИИ: ПРАКТИКУМ</t>
  </si>
  <si>
    <t>Соловьев С.Г.</t>
  </si>
  <si>
    <t>978-5-16-011932-8</t>
  </si>
  <si>
    <t>Рекомендовано Учебно-методическим объединением по юридическому образованию вузов Российской Федерации в качестве практикума для студентов образовательных организаций, обучающихся по направлению подготовки 40.03.01 «Юриспруденция", (квалификация (степень) «бакалавр")</t>
  </si>
  <si>
    <t>Южно-Уральский государственный университет, ф-л в. г.Миассе</t>
  </si>
  <si>
    <t>021000.11.01</t>
  </si>
  <si>
    <t>Муниципальное право России: Уч. / И.В.Выдрин - 4изд. - М.:Юр.Норма,НИЦ ИНФРА-М,2015 - 256с.(п)</t>
  </si>
  <si>
    <t>МУНИЦИПАЛЬНОЕ ПРАВО РОССИИ, ИЗД.4</t>
  </si>
  <si>
    <t>Выдрин И. В.</t>
  </si>
  <si>
    <t>978-5-91768-321-8</t>
  </si>
  <si>
    <t>Уральский институт экономики, управления и права</t>
  </si>
  <si>
    <t>021000.14.01</t>
  </si>
  <si>
    <t>Муниципальное право России: Уч. / И.В.Выдрин - 5 изд.. - М.:Юр.Норма, НИЦ ИНФРА-М,2024. - 264 с.(П)</t>
  </si>
  <si>
    <t>МУНИЦИПАЛЬНОЕ ПРАВО РОССИИ, ИЗД.5</t>
  </si>
  <si>
    <t>978-5-00156-266-5</t>
  </si>
  <si>
    <t>060650.08.01</t>
  </si>
  <si>
    <t>Муниципальное право России: Уч.пос. / П.А.Астафичев - 2 изд. - М.:ИЦ РИОР, НИЦ ИНФРА-М,2023 - 480 с.-(ВО)(П)</t>
  </si>
  <si>
    <t>МУНИЦИПАЛЬНОЕ ПРАВО РОССИИ, ИЗД.2</t>
  </si>
  <si>
    <t>978-5-369-01752-4</t>
  </si>
  <si>
    <t>Рекомендовано ГОУ Московская государственная юридическая академия для использов. в качестве учеб. пос. в обр. учреждениях, реализующих образовательные прогр. в области высшего и доп. проф. образования по напр. и спец "Юриспруденция"</t>
  </si>
  <si>
    <t>074050.10.01</t>
  </si>
  <si>
    <t>Муниципальное право РФ: Уч.пос. / А.Н.Миронов, - 3-е изд.-М.:ИД Форум, НИЦ ИНФРА-М,2020-223с(СПО)(П)</t>
  </si>
  <si>
    <t>МУНИЦИПАЛЬНОЕ ПРАВО РОССИЙСКОЙ ФЕДЕРАЦИИ, ИЗД.3</t>
  </si>
  <si>
    <t>Миронов А. Н.</t>
  </si>
  <si>
    <t>978-5-8199-0586-9</t>
  </si>
  <si>
    <t>Допущено Министерством образования РФв качестве учебного пособия для студентов учреждений среднего профессионального образования, обучающихся по специальностям правоведческого профиля</t>
  </si>
  <si>
    <t>074050.11.01</t>
  </si>
  <si>
    <t>Муниципальное право РФ: Уч.пос. / А.Н.Миронов, - 4-е изд.-М.:НИЦ ИНФРА-М,2024.-222 с..-(П)</t>
  </si>
  <si>
    <t>МУНИЦИПАЛЬНОЕ ПРАВО РОССИЙСКОЙ ФЕДЕРАЦИИ, ИЗД.4</t>
  </si>
  <si>
    <t>978-5-16-016289-8</t>
  </si>
  <si>
    <t>682987.07.01</t>
  </si>
  <si>
    <t>Муниципальное право РФ: Уч.пос. / И.А.Алексеев - 3 изд.-М.:НИЦ ИНФРА-М,2023.-254 с.(СПО)(П)</t>
  </si>
  <si>
    <t>Алексеев И.А., Адамоков Б.Б., Белявский Д.С. и др.</t>
  </si>
  <si>
    <t>978-5-16-013975-3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</si>
  <si>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40.02.00 «Юриспруденция»</t>
  </si>
  <si>
    <t>Пятигорский государственный университет</t>
  </si>
  <si>
    <t>226700.12.01</t>
  </si>
  <si>
    <t>Муниципальное право РФ: Уч.пос. / И.А.Алексеев и др. - 3 изд. - М.:НИЦ ИНФРА-М,2024 - 254 с.(ВО)(п)</t>
  </si>
  <si>
    <t>978-5-16-019870-5</t>
  </si>
  <si>
    <t>Рекомендуется федеральным государственным бюджетным образовательным учреждением высшего образования «Московская государственная юридическая академия имени О.Е. Кутафина» в качестве учебного пособия к использованию в образовательных учреждениях, реализующих образовательные программы высшего образования (дополнительного профессионального образования), по дисциплине «Муниципальное право» в рамках направления подготовки 40.03.01 «Юриспруденция» (квалификация (степень) «бакалавр»)</t>
  </si>
  <si>
    <t>818590.01.01</t>
  </si>
  <si>
    <t>Муниципальное право: Практикум / В.В. Комарова-М.:Юр. НОРМА, НИЦ ИНФРА-М,2024.-272 с.(п)</t>
  </si>
  <si>
    <t>МУНИЦИПАЛЬНОЕ ПРАВО</t>
  </si>
  <si>
    <t>Комарова В.В., Бровченко Н.В., Соколова А.И. и др.</t>
  </si>
  <si>
    <t>978-5-00156-350-1</t>
  </si>
  <si>
    <t>21.03.02, 40.03.01, 40.05.01, 40.05.02, 40.05.04</t>
  </si>
  <si>
    <t>056702.13.01</t>
  </si>
  <si>
    <t>Муниципальное право: Уч. / Е.С.Шугрина - 6 изд. - М.:Юр.Норма,НИЦ ИНФРА-М,2025. - 408 с.(П)</t>
  </si>
  <si>
    <t>МУНИЦИПАЛЬНОЕ ПРАВО, ИЗД.6</t>
  </si>
  <si>
    <t>Шугрина Е. С.</t>
  </si>
  <si>
    <t>978-5-00156-371-6</t>
  </si>
  <si>
    <t>Рекомендовано Мин. обр. и науки РФ в качестве учебника для студентов высших учебных заведений, обучающихся по направлению 521400 "Юриспруденция" и по специальности 021100 "Юриспруденция"</t>
  </si>
  <si>
    <t>0624</t>
  </si>
  <si>
    <t>056702.10.01</t>
  </si>
  <si>
    <t>Муниципальное право: Уч. / Е.С.Шугрина, - 5-е изд.-М.:Юр.Норма, НИЦ ИНФРА-М,2015.-576 с.(П)</t>
  </si>
  <si>
    <t>МУНИЦИПАЛЬНОЕ ПРАВО, ИЗД.5</t>
  </si>
  <si>
    <t>978-5-91768-460-4</t>
  </si>
  <si>
    <t>765821.05.01</t>
  </si>
  <si>
    <t>Муниципальное право: Уч.пос. / А.Н.Чашин-М.:НИЦ ИНФРА-М,2023.-209 с.(ВО: Бакалавриат)(П)</t>
  </si>
  <si>
    <t>Чашин А.Н.</t>
  </si>
  <si>
    <t>978-5-16-017293-4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</si>
  <si>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2 от 09.02.2022)</t>
  </si>
  <si>
    <t>Северо-Восточный государственный университет</t>
  </si>
  <si>
    <t>792151.01.01</t>
  </si>
  <si>
    <t>Муниципальное право: Уч.пос./ А.Н.Чашин-М.:НИЦ ИНФРА-М,2023.-209 с.(СПО)(П)</t>
  </si>
  <si>
    <t>978-5-16-018016-8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</si>
  <si>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 (протокол № 6 от 08.06.2022)</t>
  </si>
  <si>
    <t>654243.08.01</t>
  </si>
  <si>
    <t>Муниципальное управ.и местное самоуправ.: Уч. / Алексеев И.А. - М.:НИЦ ИНФРА-М,2025 - 353 с.(ВО)(П)</t>
  </si>
  <si>
    <t>МУНИЦИПАЛЬНОЕ УПРАВЛЕНИЕ И МЕСТНОЕ САМОУПРАВЛЕНИЕ</t>
  </si>
  <si>
    <t>978-5-16-013173-3</t>
  </si>
  <si>
    <t>Рекомендовано в качестве учебника для студентов высших учебных заведений, обучающихся по направлениям подготовки 38.04.04 «Государственное и муниципальное управление», 40.04.01 «Юриспруденция» (квалификация (степень) «магистр»)</t>
  </si>
  <si>
    <t>702838.06.01</t>
  </si>
  <si>
    <t>Навигационное планирование перехода судна...: Уч.метод. пос. / Г.В.Белокур -М.:ИНФРА-М, 2024-49с.(О)</t>
  </si>
  <si>
    <t>НАВИГАЦИОННОЕ ПЛАНИРОВАНИЕ ПЕРЕХОДА СУДНА. МЕТОДИКА ВЫПОЛНЕНИЯ КУРСОВОЙ РАБОТЫ: МЕТОДИЧЕСКИЕ РЕКОМЕНДАЦИИ</t>
  </si>
  <si>
    <t>Белокур Г.В.</t>
  </si>
  <si>
    <t>978-5-16-015420-6</t>
  </si>
  <si>
    <t>11.02.06, 11.03.01, 11.04.01, 11.05.01, 11.05.02, 11.05.04, 26.02.03, 26.03.01, 26.03.02, 26.05.02, 26.05.03, 26.05.04, 26.05.05, 26.05.07</t>
  </si>
  <si>
    <t>757826.04.01</t>
  </si>
  <si>
    <t>Навигация и лоция: Сб. заданий на практ. раб.: Прак. / Г.В.Белокур - М.:НИЦ ИНФРА-М,2024 - 167 с.(П)</t>
  </si>
  <si>
    <t>НАВИГАЦИЯ И ЛОЦИЯ: СБОРНИК ЗАДАНИЙ НА ПРАКТИЧЕСКИЕ РАБОТЫ</t>
  </si>
  <si>
    <t>Белокур Г.В., Сухина М.И., Скворцов С.Н. и др.</t>
  </si>
  <si>
    <t>978-5-16-016919-4</t>
  </si>
  <si>
    <t>26.01.07, 26.01.09, 26.02.01, 26.02.03, 35.01.32, 43.01.04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</si>
  <si>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«Судовождение» (протокол № 11 от 09.11.2020)</t>
  </si>
  <si>
    <t>702845.06.01</t>
  </si>
  <si>
    <t>Навигация и лоция: Сб. заданий...: Практ. / Г.В.Белокур - М.:НИЦ ИНФРА-М,2024 - 167с.(ВО)(П)</t>
  </si>
  <si>
    <t>Белокур Г.В., Сухина М.И., Скворцов С.Н.</t>
  </si>
  <si>
    <t>978-5-16-014945-5</t>
  </si>
  <si>
    <t>632266.05.01</t>
  </si>
  <si>
    <t>Нагнетатели, тепловые двигатели и термотрансфор.: Уч.пос./В.И.Ляшков-М.:НИЦ ИНФРА-М,2023-218с(ВО)(п)</t>
  </si>
  <si>
    <t>НАГНЕТАТЕЛИ, ТЕПЛОВЫЕ ДВИГАТЕЛИ И ТЕРМОТРАНСФОРМАТОРЫ В СИСТЕМАХ ЭНЕРГООБЕСПЕЧЕНИЯ ПРЕДПРИЯТИЙ</t>
  </si>
  <si>
    <t>Ляшков В.И.</t>
  </si>
  <si>
    <t>978-5-16-012314-1</t>
  </si>
  <si>
    <t>Рекомендовано в качестве учебного пособия для студентов высших учебных заведений, обучающихся по направлению подготовки 13.03.01 «Теплоэнергетика и теплотехника» (квалификация (степень) «бакалавр»)</t>
  </si>
  <si>
    <t>668059.05.01</t>
  </si>
  <si>
    <t>Надежность горных машин и оборудования: Уч.пос. / В.А.Карепов - М.:НИЦ ИНФРА-М, СФУ,2023 - 133 с.(О)</t>
  </si>
  <si>
    <t>НАДЕЖНОСТЬ ГОРНЫХ МАШИН И ОБОРУДОВАНИЯ</t>
  </si>
  <si>
    <t>Карепов В.А., Безверхая Е.В., Чесноков В.Т.</t>
  </si>
  <si>
    <t>978-5-16-016762-6</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</si>
  <si>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«Горное дело»</t>
  </si>
  <si>
    <t>228400.07.01</t>
  </si>
  <si>
    <t>Надежность и техническая диагност. а/т средств: Уч. пос. / В.А.Стуканов - Форум:НИЦ ИНФРА-М, 2022-240с. (П)</t>
  </si>
  <si>
    <t>НАДЕЖНОСТЬ И ТЕХНИЧЕСКАЯ ДИАГНОСТИКА АВТОТРАНСПОРТНЫХ СРЕДСТВ</t>
  </si>
  <si>
    <t>Стуканов В. А., Бояршинов А. Л.</t>
  </si>
  <si>
    <t>978-5-91134-789-5</t>
  </si>
  <si>
    <t>23.03.02, 23.03.03</t>
  </si>
  <si>
    <t>Рекомендовано в качестве учебного пособия для студентов высших учебных заведений, обучающихся по специальностям: «Сервис транспортных и технологических машин и оборудования», «Автомобильный транспорт», «Подъемно-транспортные, строительные, дорожные м</t>
  </si>
  <si>
    <t>305800.09.01</t>
  </si>
  <si>
    <t>Надежность механических систем: Уч. / В.А.Зорин - М.:НИЦ ИНФРА-М,2024 - 380 с.-(ВО)(П)</t>
  </si>
  <si>
    <t>НАДЕЖНОСТЬ МЕХАНИЧЕСКИХ СИСТЕМ</t>
  </si>
  <si>
    <t>Зорин В.А.</t>
  </si>
  <si>
    <t>978-5-16-010252-8</t>
  </si>
  <si>
    <t>15.03.01, 15.03.02, 15.03.03, 15.03.04, 15.03.05, 23.03.01, 23.03.02, 23.03.03</t>
  </si>
  <si>
    <t>Рекомендуется УМО вузов России по образованию в области транспортных машин и транспортно-технологических комплексов для студентов, обучающихся по специальностям «Подъемно-транспортные, строительные, дорожные машины и оборудование», «Средства аэродромно-технического обеспечения полетов авиации», «Автомобили и автомобильное хозяйство», «Сервис и техническая эксплуатация транспортных и технологических машин и оборудования»</t>
  </si>
  <si>
    <t>302000.07.01</t>
  </si>
  <si>
    <t>Надежность систем теплоснабж.городов..: Уч. / Ф.А.Поливода -М.:НИЦ ИНФРА-М,2024-170(ВО:Бакалавр.)(О)</t>
  </si>
  <si>
    <t>НАДЕЖНОСТЬ СИСТЕМ ТЕПЛОСНАБЖЕНИЯ ГОРОДОВ И ПРЕДПРИЯТИЙ ЛЕГКОЙ ПРОМЫШЛЕННОСТИ</t>
  </si>
  <si>
    <t>Поливода Ф.А.</t>
  </si>
  <si>
    <t>978-5-16-011830-7</t>
  </si>
  <si>
    <t>13.03.01, 13.04.01, 15.03.04, 15.04.04, 29.03.02</t>
  </si>
  <si>
    <t>Рекомендовано в качестве учебника для студентов высших учебных заведений, обучающихся по направлениям подготовки 29.03.02 «Технология и проектирование текстильных изделий», 13.03.01 «Теплоэнергетика и теплотехника», 15.03.04 «Автоматизация технологических процессов и производств» (квалификация (степень) «бакалавр»)</t>
  </si>
  <si>
    <t>360500.09.01</t>
  </si>
  <si>
    <t>Надежность техн. систем и техноген. риск: Уч. пос. /В.В.Рыков -М: НИЦ ИНФРА-М, 2024.-192 с..(ВО) (п)</t>
  </si>
  <si>
    <t>НАДЕЖНОСТЬ ТЕХНИЧЕСКИХ СИСТЕМ И ТЕХНОГЕННЫЙ РИСК</t>
  </si>
  <si>
    <t>Рыков В.В., Иткин В.Ю.</t>
  </si>
  <si>
    <t>978-5-16-010958-9</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</si>
  <si>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15.03.02 «Технологические машины и оборудование» (квалификация (степень) «бакалавр»)</t>
  </si>
  <si>
    <t>348600.07.01</t>
  </si>
  <si>
    <t>Надежность технических систем: Уч.пос. / В.П.Долгин - М.:Вуз.уч., НИЦ ИНФРА-М,2023 - 167 с.(П)</t>
  </si>
  <si>
    <t>НАДЕЖНОСТЬ ТЕХНИЧЕСКИХ СИСТЕМ</t>
  </si>
  <si>
    <t>Долгин В.П., Харченко А.О.</t>
  </si>
  <si>
    <t>978-5-9558-0430-9</t>
  </si>
  <si>
    <t>780692.01.01</t>
  </si>
  <si>
    <t>Надежность электрич. и электронного оборуд. совр...: Уч.пос. / С.М.Зуев. - М.:НИЦ ИНФРА-М,2025. - 220 с.(ВО)(п)</t>
  </si>
  <si>
    <t>НАДЕЖНОСТЬ ЭЛЕКТРИЧЕСКОГО И ЭЛЕКТРОННОГО ОБОРУДОВАНИЯ СОВРЕМЕННЫХ ТРАНСПОРТНЫХ СРЕДСТВ</t>
  </si>
  <si>
    <t>Зуев С.М., Малеев Р.А., Веневцев В.И.</t>
  </si>
  <si>
    <t>978-5-16-019576-6</t>
  </si>
  <si>
    <t>12.04.01, 13.03.02, 23.05.01, 23.05.02</t>
  </si>
  <si>
    <t>232300.12.01</t>
  </si>
  <si>
    <t>Надежность электроснабжения: Уч.пос. / В.Я.Хорольский - М.:Форум, НИЦ ИНФРА-М,2025 - 127 с.(ВО)(О)</t>
  </si>
  <si>
    <t>НАДЕЖНОСТЬ ЭЛЕКТРОСНАБЖЕНИЯ</t>
  </si>
  <si>
    <t>Хорольский В.Я., Таранов М.А.</t>
  </si>
  <si>
    <t>978-5-00091-486-1</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</si>
  <si>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13.03.02 «Электроэнергетика»</t>
  </si>
  <si>
    <t>682989.05.01</t>
  </si>
  <si>
    <t>Надежность электроснабжения: Уч.пос. / В.Я.Хорольский -М.:Форум, НИЦ ИНФРА-М,2023.-127 с..-(СПО)(О)</t>
  </si>
  <si>
    <t>978-5-00091-599-8</t>
  </si>
  <si>
    <t>13.01.10, 13.02.01, 13.02.02, 13.02.04, 13.02.07, 13.02.09, 13.02.12, 21.01.08, 23.02.06, 35.01.15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</si>
  <si>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13.02.00 «Электро- и теплоэнергетика»</t>
  </si>
  <si>
    <t>768794.04.01</t>
  </si>
  <si>
    <t>Назначение судебных экспертиз: Уч.пос. / В.Н.Карагодин. - М.:НИЦ ИНФРА-М,2025. - 227 с.(ВО.)(П)</t>
  </si>
  <si>
    <t>НАЗНАЧЕНИЕ СУДЕБНЫХ ЭКСПЕРТИЗ</t>
  </si>
  <si>
    <t>Карагодин В.Н., Надоненко О.Н., Николаенкова А.В. и др.</t>
  </si>
  <si>
    <t>978-5-16-020670-7</t>
  </si>
  <si>
    <t>40.05.03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</si>
  <si>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(квалификация (степень) «магистр») (протокол № 3 от 09.03.2022)</t>
  </si>
  <si>
    <t>Московская академия Следственного комитета Российской Федерации</t>
  </si>
  <si>
    <t>670006.05.01</t>
  </si>
  <si>
    <t>Налоги и налогообложение. Налог.система РФ: Уч.пос./О.Ю.Ворожбит-М.:ИЦ РИОР,НИЦ ИНФРА-М,2023-174с(П)</t>
  </si>
  <si>
    <t>НАЛОГИ И НАЛОГООБЛОЖЕНИЕ. НАЛОГОВАЯ СИСТЕМА РОССИЙСКОЙ ФЕДЕРАЦИИ</t>
  </si>
  <si>
    <t>Ворожбит О.Ю., Водопьянова В.А.</t>
  </si>
  <si>
    <t>978-5-369-01730-2</t>
  </si>
  <si>
    <t>366000.08.01</t>
  </si>
  <si>
    <t>Налоги и налогообложение. Прак.: Уч.пос. / Н.И.Яшина - 3 изд.-М.:ИЦ РИОР, НИЦ ИНФРА-М,2023.-76 с.(ВО)(О)</t>
  </si>
  <si>
    <t>НАЛОГИ И НАЛОГООБЛОЖЕНИЕ. ПРАКТИКУМ, ИЗД.3</t>
  </si>
  <si>
    <t>Яшина Н.И., Гинзбург М.Ю., Чеснокова Л.А.</t>
  </si>
  <si>
    <t>978-5-369-01918-4</t>
  </si>
  <si>
    <t>38.03.01, 38.03.02, 38.03.04, 38.04.01, 38.04.02, 38.04.04, 44.03.01, 44.03.05</t>
  </si>
  <si>
    <t>Рекомендовано в качестве учебного пособия для студентов высших учебных заведений, обучающихся по направлениям подготовки «Экономика», «Менеджмент», «Государственное и муниципальное управление» (квалификация (степень) «бакалавр»)</t>
  </si>
  <si>
    <t>366000.05.01</t>
  </si>
  <si>
    <t>Налоги и налогообложение. Практ.: Уч.пос. / Н.И.Яшина-2изд.-М:ИЦ РИОР,НИЦ ИНФРА-М,2019-87с(ВО:Бак.)</t>
  </si>
  <si>
    <t>НАЛОГИ И НАЛОГООБЛОЖЕНИЕ. ПРАКТИКУМ, ИЗД.2</t>
  </si>
  <si>
    <t>978-5-369-01652-7</t>
  </si>
  <si>
    <t>690066.05.01</t>
  </si>
  <si>
    <t>Налоги и налогообложение: Прак. для СПО: Уч.пос. / Н.И.Яшина - 2 изд.-М.:ИЦ РИОР, НИЦ ИНФРА-М,2024.-128 с.(о)</t>
  </si>
  <si>
    <t>НАЛОГИ И НАЛОГООБЛОЖЕНИЕ: ПРАКТИКУМ ДЛЯ СПО, ИЗД.2</t>
  </si>
  <si>
    <t>Яшина Н.И., Гинзбург М.Ю., Чеснокова Л.А. и др.</t>
  </si>
  <si>
    <t>978-5-369-01933-7</t>
  </si>
  <si>
    <t>38.02.02, 38.02.03, 38.02.06, 38.02.07, 42.02.02</t>
  </si>
  <si>
    <t>744473.03.01</t>
  </si>
  <si>
    <t>Налоги и налогообложение: практ.: Уч. пос. / Е.Ю.Сидорова - 3 изд. - М.:НИЦ ИНФРА-М,2025. - 272 с.(СПО)(п)</t>
  </si>
  <si>
    <t>НАЛОГИ И НАЛОГООБЛОЖЕНИЕ: ПРАКТИКУМ, ИЗД.3</t>
  </si>
  <si>
    <t>Сидорова Е.Ю., Бобошко Д.Ю.</t>
  </si>
  <si>
    <t>978-5-16-019433-2</t>
  </si>
  <si>
    <t>38.02.01, 38.02.02, 38.02.03, 38.02.06, 38.02.07</t>
  </si>
  <si>
    <t>690066.03.01</t>
  </si>
  <si>
    <t>Налоги и налогообложение: Практ.: Уч.пос. / Н.И.Яшина - М.:ИЦ РИОР,НИЦ ИНФРА-М,2020-118с(СПО)(О)</t>
  </si>
  <si>
    <t>НАЛОГИ И НАЛОГООБЛОЖЕНИЕ: ПРАКТИКУМ ДЛЯ СПО</t>
  </si>
  <si>
    <t>978-5-369-01787-6</t>
  </si>
  <si>
    <t>744473.01.01</t>
  </si>
  <si>
    <t>Налоги и налогообложение: практикум: Уч.пос. / Е.Ю.Сидорова - М.:НИЦ ИНФРА-М,2021 - 309 с.(СПО)(П)</t>
  </si>
  <si>
    <t>НАЛОГИ И НАЛОГООБЛОЖЕНИЕ. ПРАКТИКУМ</t>
  </si>
  <si>
    <t>978-5-16-016631-5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</si>
  <si>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ррограмму среднего профессионального образования по экономическим  специальностям (протокол № 8 от 22.06.2020)</t>
  </si>
  <si>
    <t>754531.01.01</t>
  </si>
  <si>
    <t>Налоги и налогообложение: практикум: Уч.пос. / Е.Ю.Сидорова - М.:НИЦ ИНФРА-М,2022 - 262 с.(ВО: Магистр.)(П)</t>
  </si>
  <si>
    <t>НАЛОГИ И НАЛОГООБЛОЖЕНИЕ: ПРАКТИКУМ</t>
  </si>
  <si>
    <t>978-5-16-016951-4</t>
  </si>
  <si>
    <t>38.03.01, 38.04.01, 38.04.02, 38.05.01, 38.05.02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</si>
  <si>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38.00.00 «Экономика и управление» (квалификация (степень) «магистр») (протокол № 10 от 15.12.2021)</t>
  </si>
  <si>
    <t>652588.03.01</t>
  </si>
  <si>
    <t>Налоги и налогообложение: практикум: Уч.пос. / Е.Ю.Сидорова - М.:НИЦ ИНФРА-М,2023 - 309 с.(ВО)(П)</t>
  </si>
  <si>
    <t>978-5-16-013780-3</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</si>
  <si>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и направлений подготовки 38.03.00 «Экономика и управление» (квалификация (степень) «бакалавр»)</t>
  </si>
  <si>
    <t>652588.04.01</t>
  </si>
  <si>
    <t>Налоги и налогообложение: практикум: Уч.пос. / Е.Ю.Сидорова, - 3 изд. - М.:НИЦ ИНФРА-М,2025. - 272 с.(ВО)(п)</t>
  </si>
  <si>
    <t>978-5-16-019423-3</t>
  </si>
  <si>
    <t>430700.10.01</t>
  </si>
  <si>
    <t>Налоги и налогообложение: Теор. и прак.: Уч.пос./М.Я.Погорелова -4изд.-М.:ИЦ РИОР, НИЦ ИНФРА-М,2023-210с(п)</t>
  </si>
  <si>
    <t>НАЛОГИ И НАЛОГООБЛОЖЕНИЕ: ТЕОРИЯ И ПРАКТИКА, ИЗД.4</t>
  </si>
  <si>
    <t>978-5-369-01903-0</t>
  </si>
  <si>
    <t>430700.04.01</t>
  </si>
  <si>
    <t>Налоги и налогообложение: Теория и практика:Уч.пос. / М.Я.Погорелова, - 3-е изд.-М.:ИЦ РИОР, НИЦ ИНФРА-М,2016.-205 с..-(ВО: Ба</t>
  </si>
  <si>
    <t>НАЛОГИ И НАЛОГООБЛОЖЕНИЕ: ТЕОРИЯ И ПРАКТИКА, ИЗД.3</t>
  </si>
  <si>
    <t>Погорелова М. Я.</t>
  </si>
  <si>
    <t>978-5-369-01425-7</t>
  </si>
  <si>
    <t>652884.02.01</t>
  </si>
  <si>
    <t>Налоги и налогообложение: Уч. / Е.Ю.Сидорова - М.:НИЦ ИНФРА-М,2023 - 235 с.-(ВО: Бакалавриат)(П)</t>
  </si>
  <si>
    <t>НАЛОГИ И НАЛОГООБЛОЖЕНИЕ</t>
  </si>
  <si>
    <t>978-5-16-013779-7</t>
  </si>
  <si>
    <t>38.03.01, 38.05.01, 38.05.02, 44.03.05</t>
  </si>
  <si>
    <t>Рекомендовано Учебно-методическим советом ВО в качестве учебного пособия для студентов высших учебных заведений, обучающихся по укрупненнной группе специальностей и направлений подготовки 38.03.00 «Экономика и управление» (квалификация (степень) «бакалавр»)</t>
  </si>
  <si>
    <t>652884.03.01</t>
  </si>
  <si>
    <t>Налоги и налогообложение: Уч. / Е.Ю.Сидорова, - 2 изд. - М.:НИЦ ИНФРА-М,2025. - 228 с.(ВО)(п)</t>
  </si>
  <si>
    <t>НАЛОГИ И НАЛОГООБЛОЖЕНИЕ, ИЗД.2</t>
  </si>
  <si>
    <t>978-5-16-019464-6</t>
  </si>
  <si>
    <t>750788.04.01</t>
  </si>
  <si>
    <t>Налоги и налогообложение: Уч. / Е.Ю.Сидорова, - 2 изд. - М.:НИЦ ИНФРА-М,2025. - 228 с.(СПО)(п)</t>
  </si>
  <si>
    <t>978-5-16-020571-7</t>
  </si>
  <si>
    <t>35.01.23, 35.01.24, 38.02.02, 38.02.03, 38.02.06, 38.02.07, 42.02.02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</si>
  <si>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9 от 28.09.2020)</t>
  </si>
  <si>
    <t>750788.03.01</t>
  </si>
  <si>
    <t>Налоги и налогообложение: Уч. / Е.Ю.Сидорова-М.:НИЦ ИНФРА-М,2024.-235 с.(СПО)(п)</t>
  </si>
  <si>
    <t>978-5-16-016714-5</t>
  </si>
  <si>
    <t>651705.05.01</t>
  </si>
  <si>
    <t>Налоги и налогообложение: Уч. / Под ред. Сильвестровой Т.Я.-М.:НИЦ ИНФРА-М,2024.-531 с.(ВО)(П)</t>
  </si>
  <si>
    <t>Сильвестрова Т.Я., Гурова С.Ю., Шипеев Я.Г. и др.</t>
  </si>
  <si>
    <t>978-5-16-013334-8</t>
  </si>
  <si>
    <t>38.03.01, 38.03.02, 38.03.04, 38.03.06, 44.03.01, 44.03.05</t>
  </si>
  <si>
    <t>Рекомендовано в качестве учебника для студентов высших учебных заведений, обучающихся по направлениям подготовки 38.03.01 «Экономика», 38.03.06 «Торговое дело», 38.03.04 «Государственное и муниципальное управление» (квалификация (степень) «бакалавр»)</t>
  </si>
  <si>
    <t>712998.02.01</t>
  </si>
  <si>
    <t>Налоги и налогообложение: Уч.пос. / А.Н.Романов - М.:Вуз.уч.,НИЦ ИНФРА-М,2024 - 391 с.-(СПО)(П)</t>
  </si>
  <si>
    <t>Романов А.Н., Колчин С.П.</t>
  </si>
  <si>
    <t>978-5-9558-0643-3</t>
  </si>
  <si>
    <t>35.01.23, 35.01.24, 38.02.01, 38.02.02, 38.02.03, 38.02.06, 38.02.07, 38.02.08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</si>
  <si>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29.04.2019)</t>
  </si>
  <si>
    <t>660117.04.01</t>
  </si>
  <si>
    <t>Налоги и налогообложение: Уч.пос. / А.Н.Романов-М.:Вуз.уч., НИЦ ИНФРА-М,2023.-391с(ВО: Бакалавр.)(П)</t>
  </si>
  <si>
    <t>Высшее образование: Бакалавриат (ФинУн)</t>
  </si>
  <si>
    <t>978-5-9558-0578-8</t>
  </si>
  <si>
    <t>Рекомендовано Учебно-методическим объединением вузов РФ по образованию в области экономики в качестве учебного пособия для студентов высших учебных заведений, обучающихся по программе бакалавриата по направлению подготовки 38.03.01 «Экономика», профиль «Налоги и налогообложение»</t>
  </si>
  <si>
    <t>712991.03.01</t>
  </si>
  <si>
    <t>Налоги и налогообложение: Уч.пос. / Н.Ф.Зарук.-М.:НИЦ ИНФРА-М,2024.-249 с..-(СПО)(П)</t>
  </si>
  <si>
    <t>Зарук Н.Ф., Носов А.В., Федотова М.Ю. и др.</t>
  </si>
  <si>
    <t>978-5-16-015688-0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</si>
  <si>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12 от 24.06.2019)</t>
  </si>
  <si>
    <t>814545.01.01</t>
  </si>
  <si>
    <t>Налоги и налогообложение: Уч.пос. / О.К.Котар - М.:НИЦ ИНФРА-М,2025 - 244 с.(ВО)(п)</t>
  </si>
  <si>
    <t>Котар О.К., Шаронова Е.В.</t>
  </si>
  <si>
    <t>978-5-16-019400-4</t>
  </si>
  <si>
    <t>38.03.01, 38.03.02, 38.03.04, 38.03.06, 38.03.07, 38.03.10, 38.05.01, 38.05.02</t>
  </si>
  <si>
    <t>677329.02.01</t>
  </si>
  <si>
    <t>Налоги и предпринимательство: Уч. / Л.И.Гончаренко и др.-М.:Магистр, НИЦ ИНФРА-М,2020.-432 с.(П)</t>
  </si>
  <si>
    <t>НАЛОГИ И ПРЕДПРИНИМАТЕЛЬСТВО</t>
  </si>
  <si>
    <t>Гончаренко Л.И., Гурнак А.В., Архипцева Л.М. и др.</t>
  </si>
  <si>
    <t>978-5-9776-0473-4</t>
  </si>
  <si>
    <t>38.04.01, 40.03.01</t>
  </si>
  <si>
    <t>702821.01.01</t>
  </si>
  <si>
    <t>Налогобложение в области спорта: Уч.пос. / И.В.Петрова и др.-М.:Юр.Норма, НИЦ ИНФРА-М,2019-112с(О)</t>
  </si>
  <si>
    <t>НАЛОГОБЛОЖЕНИЕ В ОБЛАСТИ СПОРТА</t>
  </si>
  <si>
    <t>Петрова И.В., Мачехин В.А., Ткаченко Р.В. и др.</t>
  </si>
  <si>
    <t>978-5-91768-999-9</t>
  </si>
  <si>
    <t>38.03.01, 38.04.01, 38.04.08, 40.03.01, 40.04.01</t>
  </si>
  <si>
    <t>651468.05.01</t>
  </si>
  <si>
    <t>Налоговая система РФ: пробл..: Моногр. / В.Г.Пансков - М.:Вуз.уч., НИЦ ИНФРА-М,2023-246с(Науч.книга)(О)</t>
  </si>
  <si>
    <t>НАЛОГОВАЯ СИСТЕМА РФ: ПРОБЛЕМЫ СТАНОВЛЕНИЯ И РАЗВИТИЯ</t>
  </si>
  <si>
    <t>Пансков В.Г.</t>
  </si>
  <si>
    <t>978-5-9558-0549-8</t>
  </si>
  <si>
    <t>38.03.01, 38.04.08, 44.03.01, 44.03.05</t>
  </si>
  <si>
    <t>473550.04.01</t>
  </si>
  <si>
    <t>Налоговая система РФ: Хрестоматия: Уч.пос. / Под ред.Малис Н.И.-М.:Магистр, НИЦ ИНФРА-М,2019-152с(О)</t>
  </si>
  <si>
    <t>НАЛОГОВАЯ СИСТЕМА РОССИЙСКОЙ ФЕДЕРАЦИИ: ХРЕСТОМАТИЯ</t>
  </si>
  <si>
    <t>Малис Н. И., Малис Н. И., Анисимов С. А., Горский И. В.</t>
  </si>
  <si>
    <t>978-5-9776-0332-4</t>
  </si>
  <si>
    <t>632119.03.01</t>
  </si>
  <si>
    <t>Налоговая система: Уч. / Под ред. Кузнецова Н.Г. - М.:ИЦ РИОР, НИЦ ИНФРА-М,2018 - 583 с.(П)</t>
  </si>
  <si>
    <t>НАЛОГОВАЯ СИСТЕМА</t>
  </si>
  <si>
    <t>Альбеков А.У., Вазарханов И.С., Кузнецов Н.Г. и др.</t>
  </si>
  <si>
    <t>978-5-369-01577-3</t>
  </si>
  <si>
    <t>151050.11.01</t>
  </si>
  <si>
    <t>Налогово-бюдж.планирование в РФ: Уч.пос. / Е.В.Боровикова-2изд-М:НИЦ ИНФРА-М,2024-164с(ВО: Бакалавр.)(о)</t>
  </si>
  <si>
    <t>НАЛОГОВО-БЮДЖЕТНОЕ ПЛАНИРОВАНИЕ В РОССИЙСКОЙ ФЕДЕРАЦИИ, ИЗД.2</t>
  </si>
  <si>
    <t>Боровикова Е. В.</t>
  </si>
  <si>
    <t>978-5-16-010329-7</t>
  </si>
  <si>
    <t>700661.06.01</t>
  </si>
  <si>
    <t>Налоговое администрирование и контроль: Уч. / Л.И.Гончаренко - М.:Магистр, НИЦ ИНФРА-М,2025 - 448 с.(П)</t>
  </si>
  <si>
    <t>НАЛОГОВОЕ АДМИНИСТРИРОВАНИЕ И КОНТРОЛЬ</t>
  </si>
  <si>
    <t>Гончаренко Л.И., Борисов О.И., Адвокатова А.С. и др.</t>
  </si>
  <si>
    <t>978-5-9776-0494-9</t>
  </si>
  <si>
    <t>38.04.01, 38.04.04, 38.04.08</t>
  </si>
  <si>
    <t>765420.01.01</t>
  </si>
  <si>
    <t>Налоговое администрирование: Уч. / А.С.Адвокатова.-М.:НИЦ ИНФРА-М,2023.- 254 с.(ВО)(п)</t>
  </si>
  <si>
    <t>НАЛОГОВОЕ АДМИНИСТРИРОВАНИЕ</t>
  </si>
  <si>
    <t>Адвокатова А.С., Артеменко Д.А., Гончаренко А.Е. и др.</t>
  </si>
  <si>
    <t>978-5-16-017557-7</t>
  </si>
  <si>
    <t>38.03.01, 38.03.02, 38.04.01, 38.04.02, 38.04.04, 38.04.09, 38.05.01, 38.05.02</t>
  </si>
  <si>
    <t>650400.05.01</t>
  </si>
  <si>
    <t>Налоговое консультирование: теория и практика: Уч. / Под ред. Малиса Н.И.-М.:Магистр, НИЦ ИНФРА-М,2020-416 с.(П)</t>
  </si>
  <si>
    <t>НАЛОГОВОЕ КОНСУЛЬТИРОВАНИЕ: ТЕОРИЯ И ПРАКТИКА</t>
  </si>
  <si>
    <t>Малис Н.И., Ряховский Д.И., Назарова Н.А. и др.</t>
  </si>
  <si>
    <t>978-5-9776-0452-9</t>
  </si>
  <si>
    <t>702817.06.01</t>
  </si>
  <si>
    <t>Налоговое право (общая часть) в схемах...: Уч.пос. / Л.Л.Арзуманова-М.:Юр. НОРМА, НИЦ ИНФРА-М,2024.-36 с.(о)</t>
  </si>
  <si>
    <t>НАЛОГОВОЕ ПРАВО (ОБЩАЯ ЧАСТЬ) В СХЕМАХ И ТАБЛИЦАХ</t>
  </si>
  <si>
    <t>Арзуманова Л.Л., Грачева Е.Ю., Болтинова О.В. и др.</t>
  </si>
  <si>
    <t>Обложка. Внакидку</t>
  </si>
  <si>
    <t>978-5-91768-559-5</t>
  </si>
  <si>
    <t>38.03.01, 40.03.01, 40.05.01, 40.05.02, 40.05.03, 40.05.04, 44.03.01, 44.03.05</t>
  </si>
  <si>
    <t>768617.01.01</t>
  </si>
  <si>
    <t>Налоговое право государств ЕАЭС: Уч. / А.Н.Козырин - М.:Юр.Норма, НИЦ ИНФРА-М,2022 - 388 с.(П)</t>
  </si>
  <si>
    <t>НАЛОГОВОЕ ПРАВО ГОСУДАРСТВ ЕАЭС</t>
  </si>
  <si>
    <t>Козырин А.Н.</t>
  </si>
  <si>
    <t>978-5-00156-212-2</t>
  </si>
  <si>
    <t>701649.03.01</t>
  </si>
  <si>
    <t>Налоговое право: общая часть: Практикум / Л.Л.Арзуманова-М.:Юр.Норма, НИЦ ИНФРА-М,2023.-52 с.(О)</t>
  </si>
  <si>
    <t>НАЛОГОВОЕ ПРАВО: ОБЩАЯ ЧАСТЬ</t>
  </si>
  <si>
    <t>Арзуманова Л.Л.</t>
  </si>
  <si>
    <t>978-5-91768-996-8</t>
  </si>
  <si>
    <t>814141.01.01</t>
  </si>
  <si>
    <t>Налоговое право: Уч. / А.С.Жутаев-М.:Юр. НОРМА, НИЦ ИНФРА-М,2024.-240 с.(п)</t>
  </si>
  <si>
    <t>НАЛОГОВОЕ ПРАВО</t>
  </si>
  <si>
    <t>Жутаев А.С., Покачалова Е.В., Садчиков М.Н.</t>
  </si>
  <si>
    <t>978-5-00156-332-7</t>
  </si>
  <si>
    <t>717331.08.01</t>
  </si>
  <si>
    <t>Налоговое право: Уч. / Л.Л.Арзуманова - 2 изд.-М.:Юр. НОРМА, НИЦ ИНФРА-М,2024.-152 с.(СПО)(п)</t>
  </si>
  <si>
    <t>НАЛОГОВОЕ ПРАВО, ИЗД.2</t>
  </si>
  <si>
    <t>978-5-00156-323-5</t>
  </si>
  <si>
    <t>717331.07.01</t>
  </si>
  <si>
    <t>Налоговое право: Уч. / Л.Л.Арзуманова - М.:Юр.Норма,НИЦ ИНФРА-М,2023 - 152 с.(СПО) (П)</t>
  </si>
  <si>
    <t>978-5-00156-017-3</t>
  </si>
  <si>
    <t>729568.06.01</t>
  </si>
  <si>
    <t>Налоговое право: Уч.пос. / О.В.Колесниченко - М.:ИЦ РИОР, НИЦ ИНФРА-М,2025 - 206 с.(ВО)(П)</t>
  </si>
  <si>
    <t>Колесниченко О.В.</t>
  </si>
  <si>
    <t>978-5-369-01840-8</t>
  </si>
  <si>
    <t>447600.06.01</t>
  </si>
  <si>
    <t>Налоговое регулир. трансфертного ценообраз. в России: Уч. /Л.П.Грундел -М.:Магистр, НИЦ ИНФРА-М,2024.-256 с.(О)</t>
  </si>
  <si>
    <t>НАЛОГОВОЕ РЕГУЛИРОВАНИЕ ТРАНСФЕРТНОГО ЦЕНООБРАЗОВАНИЯ В РОССИИ</t>
  </si>
  <si>
    <t>Л.П.Грундел, Н.И.Малис</t>
  </si>
  <si>
    <t>978-5-9776-0372-0</t>
  </si>
  <si>
    <t>691867.07.01</t>
  </si>
  <si>
    <t>Налоговые риски в сис. экономич. безоп.: Уч.пос. / В.И.Авдийский - М.:НИЦ ИНФРА-М,2024 - 236 с.(ВО)(П)</t>
  </si>
  <si>
    <t>НАЛОГОВЫЕ РИСКИ В СИСТЕМЕ ЭКОНОМИЧЕСКОЙ БЕЗОПАСНОСТИ</t>
  </si>
  <si>
    <t>Авдийский В.И., Земсков В.В., Соловьев А.И.</t>
  </si>
  <si>
    <t>978-5-16-017125-8</t>
  </si>
  <si>
    <t>Рекомендовано УМО по образованию в области финансов, учета и мировой экономики в качестве учебного пособия для студентов магистратуры, обучающихся по направлению «Экономика»</t>
  </si>
  <si>
    <t>764457.06.01</t>
  </si>
  <si>
    <t>Налоговый аудит: Уч. / Г.В.Глазкова. - М.:НИЦ ИНФРА-М,2025. - 239 с.(ВО: Бакалавр. (Финунивер.))(П)</t>
  </si>
  <si>
    <t>НАЛОГОВЫЙ АУДИТ</t>
  </si>
  <si>
    <t>Мельник М.В., Глазкова Г.В., Дворецкая В.В. и др.</t>
  </si>
  <si>
    <t>978-5-16-017401-3</t>
  </si>
  <si>
    <t>672422.05.01</t>
  </si>
  <si>
    <t>Налоговый контроль. Налог. проверки: Уч.пос. / О.В.Болтинова - 2 изд.-М.:Юр.Норма, НИЦ ИНФРА-М,2022.-160 с.(П)</t>
  </si>
  <si>
    <t>НАЛОГОВЫЙ КОНТРОЛЬ. НАЛОГОВЫЕ ПРОВЕРКИ, ИЗД.2</t>
  </si>
  <si>
    <t>Болтинова О.В., Арзуманова Л.Л., Лагкуева И.В. и др.</t>
  </si>
  <si>
    <t>978-5-00156-199-6</t>
  </si>
  <si>
    <t>38.03.01, 40.03.01, 40.04.01, 40.05.01, 40.05.02, 40.05.03, 40.05.04, 44.03.01, 44.03.05</t>
  </si>
  <si>
    <t>712996.01.01</t>
  </si>
  <si>
    <t>Налоговый контроль. Налоговые проверки: уч.пос. / О.В.Болтинова и др.-М.:Юр. НОРМА, НИЦ ИНФРА-М,2019.-160 с..-(СПО)(П</t>
  </si>
  <si>
    <t>НАЛОГОВЫЙ КОНТРОЛЬ. НАЛОГОВЫЕ ПРОВЕРКИ</t>
  </si>
  <si>
    <t>978-5-00156-012-8</t>
  </si>
  <si>
    <t>35.01.23, 35.01.24, 38.02.01, 38.02.06, 40.02.02, 40.02.04</t>
  </si>
  <si>
    <t>672422.04.01</t>
  </si>
  <si>
    <t>Налоговый контроль. Налоговые проверки: Уч.пос. /О.В.Болтинова-М.:Юр.Норма, НИЦ ИНФРА-М,2021-160с(П)</t>
  </si>
  <si>
    <t>978-5-91768-881-7</t>
  </si>
  <si>
    <t>799214.01.01</t>
  </si>
  <si>
    <t>Налоговый учет и отчетность: Уч. / З.И.Кругляк - М.:НИЦ ИНФРА-М,2024. - 417 с.(ВО.Сп)(п)</t>
  </si>
  <si>
    <t>НАЛОГОВЫЙ УЧЕТ И ОТЧЕТНОСТЬ</t>
  </si>
  <si>
    <t>Кругляк З.И., Калинская М.В.</t>
  </si>
  <si>
    <t>978-5-16-018331-2</t>
  </si>
  <si>
    <t>702821.03.01</t>
  </si>
  <si>
    <t>Налогообложение в области спорта: Уч.пос./ И.В.Петрова-2 изд--М.:Юр.Норма, НИЦ ИНФРА-М,2024-128с(О)</t>
  </si>
  <si>
    <t>НАЛОГООБЛОЖЕНИЕ В ОБЛАСТИ СПОРТА, ИЗД.2</t>
  </si>
  <si>
    <t>978-5-00156-324-2</t>
  </si>
  <si>
    <t>713674.02.01</t>
  </si>
  <si>
    <t>Налогообложение туристской деятельности: Уч.пос. / Н.И.Малис -М.:Магистр, НИЦ ИНФРА-М,2023-148с(О)</t>
  </si>
  <si>
    <t>НАЛОГООБЛОЖЕНИЕ ТУРИСТСКОЙ ДЕЯТЕЛЬНОСТИ</t>
  </si>
  <si>
    <t>Малис Н.И., Назарова Н.А., Тихонова А.В.</t>
  </si>
  <si>
    <t>978-5-9776-0501-4</t>
  </si>
  <si>
    <t>38.03.01, 38.04.01, 43.03.02, 43.04.02</t>
  </si>
  <si>
    <t>457050.04.01</t>
  </si>
  <si>
    <t>Налогообложение участников внешнеэконом. деят..: Практ./Л.В.Полежарова - Магистр:ИНФРА-М,2019-160(о)</t>
  </si>
  <si>
    <t>НАЛОГООБЛОЖЕНИЕ УЧАСТНИКОВ ВНЕШНЕЭКОНОМИЧЕСКОЙ ДЕЯТЕЛЬНОСТИ В РОССИИ: ПРАКТИКУМ</t>
  </si>
  <si>
    <t>Полежарова Л. В., Артемьев А. А., Гончаренко Л. И.</t>
  </si>
  <si>
    <t>978-5-9776-0300-3</t>
  </si>
  <si>
    <t>38.03.01, 38.04.01, 38.04.08, 38.04.09, 44.03.01, 44.03.05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</si>
  <si>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(уровень магистратуры)</t>
  </si>
  <si>
    <t>719422.01.01</t>
  </si>
  <si>
    <t>Налогообложение физических лиц: Уч.пос. / Л.Н.Хардикова и др.-М.:НИЦ ИНФРА-М,2020.-221 с.(ВО: Специалитет)(П)</t>
  </si>
  <si>
    <t>НАЛОГООБЛОЖЕНИЕ ФИЗИЧЕСКИХ ЛИЦ</t>
  </si>
  <si>
    <t>Хардикова Л.Н., Белоусова С.Н., Афанасьева Л.В. и др.</t>
  </si>
  <si>
    <t>978-5-16-015725-2</t>
  </si>
  <si>
    <t>38.03.01, 38.03.02, 38.03.04, 38.05.01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</si>
  <si>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38.05.01 «Экономическая безопасность» (квалификация «экономист») (протокол № 17 от 11.11.2019)</t>
  </si>
  <si>
    <t>647235.04.01</t>
  </si>
  <si>
    <t>Нанотехнология в машиностроении: Уч. / Г.М.Волков - М.:НИЦ ИНФРА-М,2024 - 307 с.-(ВО)(П)</t>
  </si>
  <si>
    <t>НАНОТЕХНОЛОГИЯ В МАШИНОСТРОЕНИИ</t>
  </si>
  <si>
    <t>978-5-16-014405-4</t>
  </si>
  <si>
    <t>15.03.01, 15.03.06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</si>
  <si>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15.04.00 «Машиностроение» (протокол № 10 от 27.05.2019)</t>
  </si>
  <si>
    <t>287600.05.01</t>
  </si>
  <si>
    <t>Направленное бурение и основы кернометрии: Уч. / В.В.Нескоромных -2изд.-М.:НИЦ ИНФРА-М,2023-336с.(П)</t>
  </si>
  <si>
    <t>НАПРАВЛЕННОЕ БУРЕНИЕ И ОСНОВЫ КЕРНОМЕТРИИ, ИЗД.2</t>
  </si>
  <si>
    <t>978-5-16-009987-3</t>
  </si>
  <si>
    <t>21.05.03, 21.05.04</t>
  </si>
  <si>
    <t>642998.08.01</t>
  </si>
  <si>
    <t>Направленное бурение нефтяных и газовых скважин: Уч. / В.В.Нескоромных-М.:НИЦ ИНФРА-М,2024-347с(ВО)(П)</t>
  </si>
  <si>
    <t>НАПРАВЛЕННОЕ БУРЕНИЕ НЕФТЯНЫХ И ГАЗОВЫХ СКВАЖИН</t>
  </si>
  <si>
    <t>978-5-16-016758-9</t>
  </si>
  <si>
    <t>21.03.01, 21.05.06</t>
  </si>
  <si>
    <t>Рекомендовано в качестве учебника для студентов высших учебных заведений, обучающихся по направлению подготовки 21.03.01 «Нефтегазовое дело» (квалификация (степень) «бакалавр»)</t>
  </si>
  <si>
    <t>769773.02.01</t>
  </si>
  <si>
    <t>Направленное бурение. Бурение горизонтал...: Уч. / В.В.Нескоромных-М.:НИЦ ИНФРА-М, СФУ,2024.-409 с.(ВО)(П)</t>
  </si>
  <si>
    <t>НАПРАВЛЕННОЕ БУРЕНИЕ. БУРЕНИЕ ГОРИЗОНТАЛЬНЫХ И МНОГОЗАБОЙНЫХ СКВАЖИН</t>
  </si>
  <si>
    <t>978-5-16-017386-3</t>
  </si>
  <si>
    <t>21.03.01, 21.05.02, 21.05.03, 21.05.04, 23.04.03</t>
  </si>
  <si>
    <t>Допущено Учебно-методическим советом Сибирского федерального университета в качестве учебника для бакалавров направления подготовки 21.03.01 «Нефтегазовое дело» (профиль 21.03.01.01 «Бурение нефтяных и газовых скважин»), специалистов направления подготовки 21.05.03 «Технология геологической разведки», магистрантов направления подготовки 23.04.03 «Эксплуатация транспортно-технологических машин и комплексов» (программа 23.04.03.04 «Строительство глубоких нефтяных и газовых скважин в сложных горно-геологических условиях»)</t>
  </si>
  <si>
    <t>209900.11.01</t>
  </si>
  <si>
    <t>Нарушения движений глаз  в невролог.практ.: Уч.пос. / В.Н.Григорьева-2 изд.-М.:НИЦ ИНФРА-М,2025-163с.(ВО:)(П)</t>
  </si>
  <si>
    <t>НАРУШЕНИЯ ДВИЖЕНИЙ ГЛАЗ  В НЕВРОЛОГИЧЕСКОЙ ПРАКТИКЕ, ИЗД.2</t>
  </si>
  <si>
    <t>Григорьева В. Н.</t>
  </si>
  <si>
    <t>978-5-16-020415-4</t>
  </si>
  <si>
    <t>31.05.01, 31.05.02, 31.08.42, 34.03.01</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</si>
  <si>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31.08.42 «Неврология» (квалификация «врач-невролог»)</t>
  </si>
  <si>
    <t>Приволжский исследовательский медицинский университет</t>
  </si>
  <si>
    <t>367500.09.01</t>
  </si>
  <si>
    <t>Нарушения письменной речи у младших шк.: Уч.мет.пос./Е.А.Логинова-М.:Форум,НИЦ ИНФРА-М,2025-192с.(П)</t>
  </si>
  <si>
    <t>НАРУШЕНИЯ ПИСЬМЕННОЙ РЕЧИ У МЛАДШИХ ШКОЛЬНИКОВ</t>
  </si>
  <si>
    <t>Логинова Е.А., Елецкая О.В.</t>
  </si>
  <si>
    <t>978-5-00091-674-2</t>
  </si>
  <si>
    <t>37.03.01, 44.03.03, 44.04.02, 44.04.03</t>
  </si>
  <si>
    <t>Рекомендовано кафедрой логопедии Ленинградского государственного университета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</si>
  <si>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827781.01.01</t>
  </si>
  <si>
    <t>Наследие святителя Тихона Задонского и рус. лит.: Уч.пос. / Л.Г.Сатарова - М.:НИЦ ИНФРА-М,2025. - 175 с.(ВО)(п)</t>
  </si>
  <si>
    <t>НАСЛЕДИЕ СВЯТИТЕЛЯ ТИХОНА ЗАДОНСКОГО И РУССКАЯ ЛИТЕРАТУРА</t>
  </si>
  <si>
    <t>Сатарова Л.Г., Стюфляева Н.В.</t>
  </si>
  <si>
    <t>978-5-16-020170-2</t>
  </si>
  <si>
    <t>45.03.01, 45.04.01, 48.03.01</t>
  </si>
  <si>
    <t>Липецкий государственный педагогический университет им. П.П. Семенова-Тян-Шанского</t>
  </si>
  <si>
    <t>120900.08.01</t>
  </si>
  <si>
    <t>Наследственное право: Уч.пос. / А.Е.Казанцева, - 2 изд.-М.:Юр.Норма, НИЦ ИНФРА-М,2024.-224 с.(П)</t>
  </si>
  <si>
    <t>НАСЛЕДСТВЕННОЕ ПРАВО, ИЗД.2</t>
  </si>
  <si>
    <t>Казанцева А. Е.</t>
  </si>
  <si>
    <t>978-5-91768-981-4</t>
  </si>
  <si>
    <t>Алтайский государственный университет</t>
  </si>
  <si>
    <t>095910.14.01</t>
  </si>
  <si>
    <t>Насосные и воздуходувные станции: Уч. / В.А.Комков - М.:НИЦ ИНФРА-М,2025 - 254 с.(СПО)(П)</t>
  </si>
  <si>
    <t>НАСОСНЫЕ И ВОЗДУХОДУВНЫЕ СТАНЦИИ</t>
  </si>
  <si>
    <t>Комков В. А., Тимахова Н. С.</t>
  </si>
  <si>
    <t>978-5-16-010046-3</t>
  </si>
  <si>
    <t>08.02.01, 08.02.13</t>
  </si>
  <si>
    <t>Допущено Федеральным агентством по строительству и жилищно-коммунальному хозяйству в кач-ве учебного пособия для студентов средних специальных учебных заведений, обучающихся по специальности "Строительство и экспл. зданий и сооружений"</t>
  </si>
  <si>
    <t>795901.08.01</t>
  </si>
  <si>
    <t>Наставление по физической подготовке в Вооруженных силах РФ (НФП 2023) - М.:НИЦ ИНФРА-М,2025. - 232 с.(о)</t>
  </si>
  <si>
    <t>НАСТАВЛЕНИЕ ПО ФИЗИЧЕСКОЙ ПОДГОТОВКЕ В ВООРУЖЕННЫХ СИЛАХ РОССИЙСКОЙ ФЕДЕРАЦИИ</t>
  </si>
  <si>
    <t>978-5-16-019453-0</t>
  </si>
  <si>
    <t>Правила</t>
  </si>
  <si>
    <t>00.01.05, 00.02.14, 00.03.14, 00.05.14</t>
  </si>
  <si>
    <t>689694.06.01</t>
  </si>
  <si>
    <t>Настольная книга автора медицинской диссертации: Пос. / А.Н.Наркевич - М.:НИЦ ИНФРА-М,2025 - 454 с(ВО)(П)</t>
  </si>
  <si>
    <t>НАСТОЛЬНАЯ КНИГА АВТОРА МЕДИЦИНСКОЙ ДИССЕРТАЦИИ</t>
  </si>
  <si>
    <t>Наркевич А.Н., Виноградов К.А.</t>
  </si>
  <si>
    <t>978-5-16-020729-2</t>
  </si>
  <si>
    <t>31.05.01, 31.05.02, 31.05.03, 31.06.01, 31.07.01</t>
  </si>
  <si>
    <t>Красноярский государственный медицинский университет им. профессора В.Ф. Войно-Ясенецкого</t>
  </si>
  <si>
    <t>781984.04.01</t>
  </si>
  <si>
    <t>Настольная книга командира взвода (подразделения)..: Уч.пос. / С.А.Минтягов - М.:НИЦ ИНФРА-М,2025. - 255 с.(П)</t>
  </si>
  <si>
    <t>НАСТОЛЬНАЯ КНИГА КОМАНДИРА ПОДРАЗДЕЛЕНИЯ ВОЕННОЙ ПОЛИЦИИ ВООРУЖЕННЫХ СИЛ РОССИЙСКОЙ ФЕДЕРАЦИИ</t>
  </si>
  <si>
    <t>978-5-16-017811-0</t>
  </si>
  <si>
    <t>655223.05.01</t>
  </si>
  <si>
    <t>Науки о земле: Уч. / Под ред. Девисилова В.А. - М.:НИЦ ИНФРА-М,2023 - 345 с.-(ВО: Бакалавриат)(П)</t>
  </si>
  <si>
    <t>НАУКИ О ЗЕМЛЕ</t>
  </si>
  <si>
    <t>Дьяченко В.В., Дьяченко Л.Г., Девисилов В.А. и др.</t>
  </si>
  <si>
    <t>978-5-16-014153-4</t>
  </si>
  <si>
    <t>05.03.06, 20.03.01, 20.03.02</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</si>
  <si>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учебника для студентов, обучающихся по основным образовательным программам высшего образования по направлениям 20.03.01 «Техносферная безопасность», 20.03.02 «Природообустройство и водопользование»</t>
  </si>
  <si>
    <t>135850.07.01</t>
  </si>
  <si>
    <t>Науки о Земле: Уч. пос. / Ф.Ф. Брюхань. - М.: Форум, 2023. - 192 с. (п)</t>
  </si>
  <si>
    <t>Брюхань Ф. Ф.</t>
  </si>
  <si>
    <t>978-5-91134-462-7</t>
  </si>
  <si>
    <t>08.03.01, 08.05.01, 08.05.02, 08.05.03</t>
  </si>
  <si>
    <t>Рекомендовано УМО по образованию в области строительства в качестве учебного пособия для студентов вузов, обучающихся по направлению подготовки 270100 Строительство</t>
  </si>
  <si>
    <t>160100.08.01</t>
  </si>
  <si>
    <t>Науки о Земле: Уч.пос. / Г.К.Климов - М.:НИЦ ИНФРА-М,2024 - 390 с.-(ВО: Бакалавриат)(П)</t>
  </si>
  <si>
    <t>Климов Г. К., Климова А. И.</t>
  </si>
  <si>
    <t>978-5-16-005148-2</t>
  </si>
  <si>
    <t>05.03.01, 05.03.06, 05.04.06, 06.03.01, 20.03.01, 20.03.02, 20.04.01, 20.04.02</t>
  </si>
  <si>
    <t>Рекомендовано ГОУ ВПО "Мос. гос. технический университет им. Н.Э Баумана" в качестве учебного пособия для студентов высших учебных заведений по направлениям подготовки «Безопасность в техносфере»</t>
  </si>
  <si>
    <t>180500.10.01</t>
  </si>
  <si>
    <t>Научное руководство аспирантами: Практ. пос. / С.Д.Резник - 3 изд. - М.:НИЦ ИНФРА-М,2025 - 510 с.(п)</t>
  </si>
  <si>
    <t>НАУЧНОЕ РУКОВОДСТВО АСПИРАНТАМИ, ИЗД.3</t>
  </si>
  <si>
    <t>978-5-16-017908-7</t>
  </si>
  <si>
    <t>38.06.01, 38.07.02, 39.06.01, 39.07.01, 40.06.01, 41.06.01, 41.07.01</t>
  </si>
  <si>
    <t>Допущено Советом Учебно-методического объединения по образованию в области менеджмента в качестве практического пособия для системы дополнительного образования — повышения квалификации руководящих и научных кадров высших учебных заведений</t>
  </si>
  <si>
    <t>180500.08.01</t>
  </si>
  <si>
    <t>Научное руководство аспирантами: Практ. пос. / С.Д.Резник. - 2 изд. - М.:НИЦ Инфра-М, 2022 - 477 с. (П)</t>
  </si>
  <si>
    <t>НАУЧНОЕ РУКОВОДСТВО АСПИРАНТАМИ, ИЗД.2</t>
  </si>
  <si>
    <t>978-5-16-005085-0</t>
  </si>
  <si>
    <t>Допущено Советом Учебно-методического объединения по образованию в области менеджмента в качестве практического пособия для системы дополнительного образования - повышения квалификации руководящих и научных кадров высших учебных заведений</t>
  </si>
  <si>
    <t>820920.01.01</t>
  </si>
  <si>
    <t>Научно-методич. деят. в физич. культуре...: Уч.пос. / В.М.Гелецкий-М.:НИЦ ИНФРА-М, СФУ,2024.-215с(ВО)(п)</t>
  </si>
  <si>
    <t>НАУЧНО-МЕТОДИЧЕСКАЯ ДЕЯТЕЛЬНОСТЬ В ФИЗИЧЕСКОЙ КУЛЬТУРЕ, СПОРТЕ И ТУРИЗМЕ</t>
  </si>
  <si>
    <t>Гелецкий В.М., Сурикова Н.В., Чернякова С.Н. и др.</t>
  </si>
  <si>
    <t>978-5-16-019589-6</t>
  </si>
  <si>
    <t>43.03.02, 49.03.01, 49.03.02, 49.03.03</t>
  </si>
  <si>
    <t>776760.04.01</t>
  </si>
  <si>
    <t>Научно-прикладные задачи техносферной безопасности: Моногр. / Ю.В.Есипов.-М.:НИЦ ИНФРА-М,2025.-123 с.(П)</t>
  </si>
  <si>
    <t>НАУЧНО-ПРИКЛАДНЫЕ ЗАДАЧИ ТЕХНОСФЕРНОЙ БЕЗОПАСНОСТИ</t>
  </si>
  <si>
    <t>Есипов Ю.В., Месхи Б.Ч., Джиляджи М.С.</t>
  </si>
  <si>
    <t>978-5-16-017823-3</t>
  </si>
  <si>
    <t>20.04.01, 20.05.01, 20.06.01</t>
  </si>
  <si>
    <t>148650.10.01</t>
  </si>
  <si>
    <t>Научные иссл. и решение инж.задач: Уч.пос. / Н.А.Коваленко - НИЦ ИНФРА-М,Нов.знание,2025 - 271 с.(ВО:Бакалавр.)</t>
  </si>
  <si>
    <t>НАУЧНЫЕ ИССЛЕДОВАНИЯ И РЕШЕНИЕ ИНЖЕНЕРНЫХ ЗАДАЧ В СФЕРЕ АВТОМОБИЛЬНОГО ТРАСПОРТА</t>
  </si>
  <si>
    <t>Коваленко Н.А.</t>
  </si>
  <si>
    <t>978-5-16-004757-7</t>
  </si>
  <si>
    <t>23.03.01, 23.03.02, 23.03.03, 23.04.01, 23.04.02, 23.04.03, 23.05.01</t>
  </si>
  <si>
    <t>Допущено Министерством образования Республики Беларусь в качестве учебного пособия для студентов высших учебных заведений по специальностям «Техническая эксплуатация автомобилей», «Автосервис»</t>
  </si>
  <si>
    <t>Московский государственный технический университет гражданской авиации</t>
  </si>
  <si>
    <t>032780.07.01</t>
  </si>
  <si>
    <t>Научные основы эконом. политики государства: Уч. пос. / М.А.Сажина - М.: ИД ФОРУМ, 2022-352с.(ВО) (п)</t>
  </si>
  <si>
    <t>НАУЧНЫЕ ОСНОВЫ ЭКОНОМИЧЕСКОЙ ПОЛИТИКИ ГОСУДАРСТВА (ЭКОНОМИЧЕСКАЯ МЫСЛЬ)</t>
  </si>
  <si>
    <t>Сажина М. А.</t>
  </si>
  <si>
    <t>978-5-8199-0444-2</t>
  </si>
  <si>
    <t>38.03.01, 38.03.02, 38.03.04, 38.04.01, 38.04.02, 38.04.04, 38.04.09, 38.05.01, 44.03.01, 44.03.05</t>
  </si>
  <si>
    <t>Рекомендовано Ученым советом факультета государственного управления Московского государственного университета имени М.В. Ломоносова  для студентов высших учебных заведений, обучающихся по экономическим и управленческим специальностям</t>
  </si>
  <si>
    <t>0101</t>
  </si>
  <si>
    <t>653101.06.01</t>
  </si>
  <si>
    <t>Научный стиль речи: теория, практика...: Уч.пос. / Н.С.Найденова-М.:НИЦ ИНФРА-М,2024.-232 с.(ВО)(п)</t>
  </si>
  <si>
    <t>НАУЧНЫЙ СТИЛЬ РЕЧИ: ТЕОРИЯ, ПРАКТИКА, КОМПЕТЕНЦИИ</t>
  </si>
  <si>
    <t>Найденова Н.С., Сапрыкина О.А.</t>
  </si>
  <si>
    <t>978-5-16-014517-4</t>
  </si>
  <si>
    <t>00.04.16, 00.05.16, 45.04.01, 45.04.02, 45.05.01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</si>
  <si>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45.04.01 «Филология», 45.04.02 «Лингвистика», 45.05.01 «Перевод и переводоведение» (квалификация (степень) «магистр») (протокол № 12 от 24.06.2019)</t>
  </si>
  <si>
    <t>633716.09.01</t>
  </si>
  <si>
    <t>Национальная и регионал.экономич.безоп.России: Уч.пос. / В.И.Авдийский -М.:НИЦ ИНФРА-М,2024-363с.(П)</t>
  </si>
  <si>
    <t>НАЦИОНАЛЬНАЯ И РЕГИОНАЛЬНАЯ ЭКОНОМИЧЕСКАЯ БЕЗОПАСНОСТЬ РОССИИ</t>
  </si>
  <si>
    <t>Авдийский В.И., Дадалко В.А., Синявский Н.Г.</t>
  </si>
  <si>
    <t>978-5-16-019224-6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</si>
  <si>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 профиль: «Анализ рисков и экономическая безопасность»</t>
  </si>
  <si>
    <t>414900.09.01</t>
  </si>
  <si>
    <t>Национальная политика в России: XVI- нач. XXI в.: Уч.пос. / Л.С.Перепелкин - М.:Форум,2024 - 304 с(ВО)(П)</t>
  </si>
  <si>
    <t>НАЦИОНАЛЬНАЯ ПОЛИТИКА В РОССИИ: XVI- НАЧАЛО XXI ВЕКА</t>
  </si>
  <si>
    <t>Мастюгина Т.М., Перепелкин Л.С., Стельмах В.Г.</t>
  </si>
  <si>
    <t>978-5-91134-701-7</t>
  </si>
  <si>
    <t>41.03.04, 41.03.06, 41.04.04, 46.03.01, 46.04.01</t>
  </si>
  <si>
    <t>Рекомендовано Российским институтом культурологии в качестве учебного пособия для студентов, обучающихся по специальностям 020700 «История», 020600 «Культурология» и 030623 «Этнология»</t>
  </si>
  <si>
    <t>Институт Востоковедения Российской Академии Наук</t>
  </si>
  <si>
    <t>069887.12.01</t>
  </si>
  <si>
    <t>Национальная экономика: Уч. / Под ред. Савченко П.В. - 4 изд. - М.:НИЦ ИНФРА-М,2017 - 839 с.-(ВО)(П)</t>
  </si>
  <si>
    <t>НАЦИОНАЛЬНАЯ ЭКОНОМИКА, ИЗД.4</t>
  </si>
  <si>
    <t>Савченко П. В.</t>
  </si>
  <si>
    <t>978-5-16-011115-5</t>
  </si>
  <si>
    <t>38.03.01, 38.03.02, 38.04.01, 38.04.02, 40.03.01, 44.03.05</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</si>
  <si>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38.03.01 «Экономика» и экономическим специальностям</t>
  </si>
  <si>
    <t>Институт экономики Российской академии наук</t>
  </si>
  <si>
    <t>069887.17.01</t>
  </si>
  <si>
    <t>Национальная экономика: Уч. / Под ред. Савченко П.В. - 5 изд. - М.:НИЦ ИНФРА-М,2024 - 806 с.-(ВО)(п)</t>
  </si>
  <si>
    <t>НАЦИОНАЛЬНАЯ ЭКОНОМИКА, ИЗД.5</t>
  </si>
  <si>
    <t>Савченко П.В., Абрамова М.А., Ахапкин Н.Ю. и др.</t>
  </si>
  <si>
    <t>978-5-16-019907-8</t>
  </si>
  <si>
    <t>069887.07.01</t>
  </si>
  <si>
    <t>Национальная экономика: Уч./ П.В. Савченко - 3 изд. - М.: ИНФРА-М, 2015. - 832 с. (ВО)</t>
  </si>
  <si>
    <t>НАЦИОНАЛЬНАЯ ЭКОНОМИКА, ИЗД.3</t>
  </si>
  <si>
    <t>Савченко П. В., Савченко П. В.</t>
  </si>
  <si>
    <t>978-5-16-004396-8</t>
  </si>
  <si>
    <t>Допущено Мин. обр. и науки РФ в качестве учебника для студентов высших учебных заведений, обучающихся по направлению подготовки "Экономика" и экономическим специальностям</t>
  </si>
  <si>
    <t>223700.06.01</t>
  </si>
  <si>
    <t>Национальная экономика: Уч.пос./ Под ред.М.И.Абрамовой-М:Магистр:НИЦ ИНФРА-М,2023-296с.(Бакалавриат) (о)</t>
  </si>
  <si>
    <t>НАЦИОНАЛЬНАЯ ЭКОНОМИКА</t>
  </si>
  <si>
    <t>Жданов С. А., Козельская И. Н., Козлова Е. В., Абрамова М. И.</t>
  </si>
  <si>
    <t>978-5-9776-0280-8</t>
  </si>
  <si>
    <t>849244.01.01</t>
  </si>
  <si>
    <t>Национальные модели политич. процесса как..: Моногр. / В.В.Комарова - М.:Юр. НОРМА, НИЦ ИНФРА-М,2025 - 424 с.(п)</t>
  </si>
  <si>
    <t>НАЦИОНАЛЬНЫЕ МОДЕЛИ ПОЛИТИЧЕСКОГО ПРОЦЕССА КАК ОСНОВА МНОГОПОЛЯРНОГО МИРА: КОНСТИТУЦИОННЫЕ И ПОЛИТОЛОГИЧЕСКИЕ АСПЕКТЫ</t>
  </si>
  <si>
    <t>Комарова В.В., Шапошников А.В., Бабурин С.Н. и др.</t>
  </si>
  <si>
    <t>978-5-00156-410-2</t>
  </si>
  <si>
    <t>40.02.02, 40.04.01, 40.06.01, 41.06.01</t>
  </si>
  <si>
    <t>229900.07.01</t>
  </si>
  <si>
    <t>Начала физической химии: Уч. пос. / Н.М. Бажин - М.: НИЦ ИНФРА-М, 2025 - 332 с. (ВО: Бакалавр.) (п)</t>
  </si>
  <si>
    <t>НАЧАЛА ФИЗИЧЕСКОЙ ХИМИИ</t>
  </si>
  <si>
    <t>Бажин Н.М., Пармон В.Н.</t>
  </si>
  <si>
    <t>978-5-16-009055-9</t>
  </si>
  <si>
    <t>04.03.01, 04.03.02, 04.05.01, 18.03.01, 18.03.02, 18.04.01, 18.05.01, 18.05.02, 30.05.01, 31.05.01, 31.05.02, 31.05.03, 33.05.01, 35.03.03</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</si>
  <si>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специальности ВПО 04.03.01 (020101.65) - химия и по направлению 04.00.00 (020100) — химия</t>
  </si>
  <si>
    <t>845364.01.01</t>
  </si>
  <si>
    <t>Начала физической химии: Уч. пос. / Н.М. Бажин - М.:НИЦ ИНФРА-М, 2025 - 332 с.(СПО)(п)</t>
  </si>
  <si>
    <t>978-5-16-020465-9</t>
  </si>
  <si>
    <t>18.02.01, 18.02.02, 18.02.04, 18.02.09, 18.02.10, 18.02.12, 18.02.14, 18.02.15, 21.02.01, 21.02.02, 21.02.03, 21.02.10, 22.02.08, 40.02.02</t>
  </si>
  <si>
    <t>755912.02.01</t>
  </si>
  <si>
    <t>Начальная военно-морская подготовка: Уч.пос. / Н.Н.Михайленко. - М.:НИЦ ИНФРА-М,2025. - 488 с.(п)</t>
  </si>
  <si>
    <t>НАЧАЛЬНАЯ ВОЕННО-МОРСКАЯ ПОДГОТОВКА</t>
  </si>
  <si>
    <t>Михайленко Н.Н., Крапивин М.И., Краснобокий И.В. и др.</t>
  </si>
  <si>
    <t>978-5-16-018600-9</t>
  </si>
  <si>
    <t>00.03.41, 00.05.17, 56.05.01</t>
  </si>
  <si>
    <t>Рекомендовано экспертным советом ЧВВМУ имени П.С. Нахимова в качестве учебного пособия по дисциплине «Начальная военно-морская подготовка» для командиров взводов и курсантов первого курса, впервые поступивших на военную службу</t>
  </si>
  <si>
    <t>779414.02.01</t>
  </si>
  <si>
    <t>Начертательная геометрия и инженерная графика: Уч.пос. / Е.Л.Чепурина.-М.:НИЦ ИНФРА-М,2024.-250 с.(ВО)(п)</t>
  </si>
  <si>
    <t>НАЧЕРТАТЕЛЬНАЯ ГЕОМЕТРИЯ И ИНЖЕНЕРНАЯ ГРАФИКА</t>
  </si>
  <si>
    <t>Чепурина Е.Л., Краснящих К.А., Рыбалкин Д.А. и др.</t>
  </si>
  <si>
    <t>978-5-16-017755-7</t>
  </si>
  <si>
    <t>13.03.01, 13.03.02, 23.03.01, 23.03.03, 23.05.01, 35.03.06</t>
  </si>
  <si>
    <t>439450.07.01</t>
  </si>
  <si>
    <t>Начертательная геометрия. Основной курс: Уч. пос. / Н.А. Сальков - М.: НИЦ ИНФРА-М, 2025-235с(ВО)(п)</t>
  </si>
  <si>
    <t>НАЧЕРТАТЕЛЬНАЯ ГЕОМЕТРИЯ. ОСНОВНОЙ КУРС</t>
  </si>
  <si>
    <t>Сальков Н. А.</t>
  </si>
  <si>
    <t>978-5-16-006755-1</t>
  </si>
  <si>
    <t>07.03.01, 07.03.03, 35.03.10</t>
  </si>
  <si>
    <t>Допущено УМО по образованию в области архитектуры в качестве учебного пособия для студентов вузов, обучающихся по направлению «Архитектура»</t>
  </si>
  <si>
    <t>Московский государственный академический художественный институт им. В.И. Сурикова при Российской академии художеств</t>
  </si>
  <si>
    <t>810061.01.01</t>
  </si>
  <si>
    <t>Начертательная геометрия. Практикум: уч.пос. / Н.А.Сальков-М.:НИЦ ИНФРА-М,2024.-142 с..-(СПО)(п)</t>
  </si>
  <si>
    <t>НАЧЕРТАТЕЛЬНАЯ ГЕОМЕТРИЯ. ПРАКТИКУМ</t>
  </si>
  <si>
    <t>Сальков Н.А.</t>
  </si>
  <si>
    <t>978-5-16-018976-5</t>
  </si>
  <si>
    <t>00.02.31, 07.02.01, 08.02.01, 54.02.01</t>
  </si>
  <si>
    <t>400050.09.01</t>
  </si>
  <si>
    <t>Начертательная геометрия: базовый курс: Уч.пос. / Н.А.Сальков. - М.: НИЦ Инфра-М, 2024. - 184 с.(ВО) (п)</t>
  </si>
  <si>
    <t>НАЧЕРТАТЕЛЬНАЯ ГЕОМЕТРИЯ: БАЗОВЫЙ КУРС</t>
  </si>
  <si>
    <t>978-5-16-005774-3</t>
  </si>
  <si>
    <t>744669.03.01</t>
  </si>
  <si>
    <t>Начертательная геометрия: Задания для курс. раб.: Уч.пос. / Н.А.Сальков - М.:НИЦ ИНФРА-М,2025 - 117 с.(ВО)(П)</t>
  </si>
  <si>
    <t>НАЧЕРТАТЕЛЬНАЯ ГЕОМЕТРИЯ: ЗАДАНИЯ ДЛЯ КУРСОВЫХ РАБОТ</t>
  </si>
  <si>
    <t>978-5-16-020253-2</t>
  </si>
  <si>
    <t>07.03.01, 07.03.03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</si>
  <si>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(квалификация (степень) «бакалавр») (протокол №9 от 28.09.2020)</t>
  </si>
  <si>
    <t>742897.03.01</t>
  </si>
  <si>
    <t>Начертательная геометрия: Конструирование поверхностей: Уч.пос. / Н.А.Сальков-М.:НИЦ ИНФРА-М,2022.-220 с.(ВО: Бак)(П)</t>
  </si>
  <si>
    <t>НАЧЕРТАТЕЛЬНАЯ ГЕОМЕТРИЯ: КОНСТРУИРОВАНИЕ ПОВЕРХНОСТЕЙ</t>
  </si>
  <si>
    <t>978-5-16-016612-4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</si>
  <si>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(квалификация (степень) «бакалавр») (протокол № 6 от 16.06.2021)</t>
  </si>
  <si>
    <t>801043.03.01</t>
  </si>
  <si>
    <t>Начертательная геометрия: практикум: Уч.пос. / Н.А.Сальков-М.:НИЦ ИНФРА-М,2025.-131 с.(ВО: Магистр.)(п)</t>
  </si>
  <si>
    <t>НАЧЕРТАТЕЛЬНАЯ ГЕОМЕТРИЯ: ПРАКТИКУМ</t>
  </si>
  <si>
    <t>978-5-16-018375-6</t>
  </si>
  <si>
    <t>07.03.01, 07.03.03, 07.04.01, 54.03.01</t>
  </si>
  <si>
    <t>778270.02.01</t>
  </si>
  <si>
    <t>Начертательная геометрия: Сб. задач и заданий: Уч.пос. / Н.А.Сальков-М.:НИЦ ИНФРА-М,2022.-148 с.(СПО)</t>
  </si>
  <si>
    <t>НАЧЕРТАТЕЛЬНАЯ ГЕОМЕТРИЯ: СБОРНИК ЗАДАЧ И ЗАДАНИЙ</t>
  </si>
  <si>
    <t>978-5-16-017770-0</t>
  </si>
  <si>
    <t>00.02.31, 08.02.01, 08.02.12, 15.01.22, 15.02.10, 15.02.16, 24.02.01, 24.02.02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</si>
  <si>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07.02.01 «Архитектура» (протокол № 3 от 09.03.2022)</t>
  </si>
  <si>
    <t>090450.17.01</t>
  </si>
  <si>
    <t>Начертательная геометрия: сб. задач: Уч. пос. / С.А. Фролов - 3 изд.- М.: ИНФРА-М, 2024-172с.(ВО) (П)</t>
  </si>
  <si>
    <t>НАЧЕРТАТЕЛЬНАЯ ГЕОМЕТРИЯ: СБОРНИК ЗАДАЧ, ИЗД.3</t>
  </si>
  <si>
    <t>Фролов С. А.</t>
  </si>
  <si>
    <t>978-5-16-003273-3</t>
  </si>
  <si>
    <t>13.03.03, 15.03.01, 15.03.02, 15.03.03, 15.03.04, 15.03.05, 15.03.06, 15.05.01, 24.03.01, 24.03.02, 24.03.03, 24.03.04, 24.03.05</t>
  </si>
  <si>
    <t>Допущено Мин. обр. и науки РФ в качестве учебного пособия для студентов высших учебных заведений, обучающихся по машиностроительным специальностям</t>
  </si>
  <si>
    <t>684899.05.01</t>
  </si>
  <si>
    <t>Начертательная геометрия: сборник задач: Уч.пос. /С.А.Фролов, - 3 изд.-М.:НИЦ ИНФРА-М,2019-172с(СПО)</t>
  </si>
  <si>
    <t>Фролов С.А.</t>
  </si>
  <si>
    <t>978-5-16-014147-3</t>
  </si>
  <si>
    <t>00.02.31, 08.02.01, 15.01.22, 15.02.10, 15.02.16, 23.02.02, 24.02.01, 24.02.02, 24.02.04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</si>
  <si>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техническим специальностям</t>
  </si>
  <si>
    <t>826044.01.01</t>
  </si>
  <si>
    <t>Начертательная геометрия: Сл. / Н.А.Сальков - М.:НИЦ ИНФРА-М,2025. - 178 с.(Б-ка сл. ИНФРА-М)(п)</t>
  </si>
  <si>
    <t>НАЧЕРТАТЕЛЬНАЯ ГЕОМЕТРИЯ</t>
  </si>
  <si>
    <t>978-5-16-020000-2</t>
  </si>
  <si>
    <t>08.05.02, 11.05.01, 12.03.02, 12.03.05, 12.05.01, 13.03.03, 14.05.01, 15.03.03, 15.05.01, 16.03.02, 16.05.01, 17.05.01, 17.05.02, 18.05.01, 18.05.02, 19.03.03, 20.03.01, 20.03.02, 21.03.02, 21.05.04, 21.05.05, 21.05.06, 23.03.02, 23.05.01, 23.05.02, 23.05.03, 23.05.06, 24.03.01, 24.03.02, 24.03.03, 24.03.04, 24.03.05, 24.05.01, 24.05.03, 24.05.04, 24.05.06, 24.05.07, 26.03.02, 28.03.02, 28.03.03, 35.03.06, 35.03.10, 54.03.01, 54.03.04</t>
  </si>
  <si>
    <t>667546.03.01</t>
  </si>
  <si>
    <t>Начертательная геометрия: Уч. / В.В.Дергач и др. - 7 изд. - М.:НИЦ ИНФРА-М, СФУ,2024 - 259 с.(ВО)(П)</t>
  </si>
  <si>
    <t>НАЧЕРТАТЕЛЬНАЯ ГЕОМЕТРИЯ, ИЗД.7</t>
  </si>
  <si>
    <t>Дергач В.В., Борисенко И.Г., Толстихин А.К.</t>
  </si>
  <si>
    <t>978-5-16-019225-3</t>
  </si>
  <si>
    <t>00.03.36</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</si>
  <si>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учебника для студентов высших учебных заведений, обучающихся по направлениям подготовки в области техники и технологии</t>
  </si>
  <si>
    <t>777691.03.01</t>
  </si>
  <si>
    <t>Начертательная геометрия: Уч. / Н.А.Сальков - М.:НИЦ ИНФРА-М,2025. - 332 с.(СПО)(П)</t>
  </si>
  <si>
    <t>978-5-16-017771-7</t>
  </si>
  <si>
    <t>07.02.01, 54.02.06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</si>
  <si>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07.02.01 «Архитектура» (протокол № 3 от 09.03.2022)</t>
  </si>
  <si>
    <t>077700.20.01</t>
  </si>
  <si>
    <t>Начертательная геометрия: Уч. / С.А.Фролов - 3 изд. - М.:НИЦ ИНФРА-М,2024 - 285 с.(ВО.)(П)</t>
  </si>
  <si>
    <t>НАЧЕРТАТЕЛЬНАЯ ГЕОМЕТРИЯ, ИЗД.3</t>
  </si>
  <si>
    <t>978-5-16-020007-1</t>
  </si>
  <si>
    <t>07.03.01, 07.03.03, 12.03.01, 13.03.03, 14.03.01, 15.03.05, 20.03.01, 21.03.01, 23.03.01, 23.03.02, 23.03.03, 24.03.03, 24.03.05, 26.03.02, 29.03.02, 35.03.02, 35.03.06, 35.03.10</t>
  </si>
  <si>
    <t>Допущено Министерством образования Российской Федерации для студентов высших учебных заведений, обучающихся по направлению подготовки дипломированных специалистов в области техники и технологии</t>
  </si>
  <si>
    <t>832809.01.01</t>
  </si>
  <si>
    <t>Начертательная геометрия: Уч. пос. / Под ред. Зайцев Ю.А.-М.:НИЦ ИНФРА-М,2024.-248 с.(СПО)(п)</t>
  </si>
  <si>
    <t>Зайцев Ю. А., Одиноков И. П., Решетников М. К., Зайцев Ю. А.</t>
  </si>
  <si>
    <t>978-5-16-019996-2</t>
  </si>
  <si>
    <t>07.02.01</t>
  </si>
  <si>
    <t>822489.01.01</t>
  </si>
  <si>
    <t>Начертательная геометрия: Уч./ Л.И.Супрун - М.:НИЦ ИНФРА-М, СФУ,2024-291с.-(ВО (СФУ))(п)</t>
  </si>
  <si>
    <t>978-5-16-019696-1</t>
  </si>
  <si>
    <t>07.03.01, 07.03.03, 07.03.04</t>
  </si>
  <si>
    <t>660985.04.01</t>
  </si>
  <si>
    <t>Начертательная геометрия: Уч.пос. / В.В.Дергач и др., - 3 изд.-М.:НИЦ ИНФРА-М, СФУ,2022-144с(ВО)(О)</t>
  </si>
  <si>
    <t>Дергач В.В., Толстихин А.К., Борисенко И.Г.</t>
  </si>
  <si>
    <t>978-5-16-012964-8</t>
  </si>
  <si>
    <t>07.03.01, 07.03.03, 12.03.02, 12.03.05, 13.03.03, 15.03.03, 20.03.01, 20.03.02, 21.05.04, 21.05.05, 21.05.06</t>
  </si>
  <si>
    <t>Допущено Учебно-методическим объединением по профессионально-педагогическому образованию в качестве учебного пособия для студентов высших учебных заведений, обучающихся по специальности 44.03.04 «Профессиональное обучение (материаловедение и обработка материалов)»</t>
  </si>
  <si>
    <t>408950.08.01</t>
  </si>
  <si>
    <t>Начертательная геометрия: Уч.пос. / Под ред. Зайцева Ю.А. - М.:НИЦ ИНФРА-М,2024 - 248 с.(ВО)(п)</t>
  </si>
  <si>
    <t>978-5-16-018438-8</t>
  </si>
  <si>
    <t>Допущено Научно-методическим советом по начертательной геометрии, инженерной и компьютерной графике Министерства образования и науки РФ в качестве учебного пособия для бакалавров направления 15.03.05 «Конструкторско-технологическое обеспечение машиностроительных производств»</t>
  </si>
  <si>
    <t>348700.06.01</t>
  </si>
  <si>
    <t>Небольшое здание с простейшей простран.структ.: Уч.пос./Л.А.Красилова-КУРС,НИЦ ИНФРА-М,2019-170с.(о)</t>
  </si>
  <si>
    <t>НЕБОЛЬШОЕ ЗДАНИЕ С ПРОСТЕЙШЕЙ ПРОСТРАНСТВЕННОЙ СТРУКТУРОЙ (ГОСТЕВОЙ ДОМИК ЕГЕРЯ, ПОГРАНИЧНЫЙ ФОРПОСТ, СПАСАТЕЛЬНАЯ СТАНЦИЯ, КРЕСТИЛЬНЫЙ ХРАМ)</t>
  </si>
  <si>
    <t>Л.А.Красилова</t>
  </si>
  <si>
    <t>978-5-905554-89-6</t>
  </si>
  <si>
    <t>07.03.01, 07.03.02, 07.03.03, 07.03.04, 07.04.01, 07.04.02, 07.04.03, 07.04.04, 07.06.01, 07.07.01, 07.09.01, 07.09.03, 08.03.01, 08.04.01, 08.05.01, 08.06.01</t>
  </si>
  <si>
    <t>823866.02.01</t>
  </si>
  <si>
    <t>Неврологические основы тяжелых нарушений речи: Уч. / Е.Г.Гравицкая - М.:НИЦ ИНФРА-М,2024 - 357 с.(ВО:Магистр)(п)</t>
  </si>
  <si>
    <t>НЕВРОЛОГИЧЕСКИЕ ОСНОВЫ ТЯЖЕЛЫХ НАРУШЕНИЙ РЕЧИ</t>
  </si>
  <si>
    <t>Гравицкая Е.Г., Уклонская Д.В., Филатова И.А. и др.</t>
  </si>
  <si>
    <t>978-5-16-019797-5</t>
  </si>
  <si>
    <t>815315.01.01</t>
  </si>
  <si>
    <t>Неврологические основы тяжелых нарушений речи: Уч. / Е.Г.Гравицкая - М.:НИЦ ИНФРА-М,2025. - 301 с.(ВО)(п)</t>
  </si>
  <si>
    <t>978-5-16-019796-8</t>
  </si>
  <si>
    <t>318600.07.01</t>
  </si>
  <si>
    <t>Недревесная продукция леса:Уч. / Н.А.Харченко, - 2 изд.-М.:НИЦ ИНФРА-М,2024.-383 с.(ВО: Бакалавриат)(П)</t>
  </si>
  <si>
    <t>НЕДРЕВЕСНАЯ ПРОДУКЦИЯ ЛЕСА, ИЗД.2</t>
  </si>
  <si>
    <t>Харченко Н.А., Харченко Н.Н.</t>
  </si>
  <si>
    <t>978-5-16-010413-3</t>
  </si>
  <si>
    <t>Воронежский государственный лесотехнический университет имени Г.Ф. Морозова</t>
  </si>
  <si>
    <t>657346.08.01</t>
  </si>
  <si>
    <t>Нейропсихология: уч.пос. / А.П.Бизюк - М.:НИЦ ИНФРА-М,2025. - 539 с.-(ВО)(п)</t>
  </si>
  <si>
    <t>НЕЙРОПСИХОЛОГИЯ</t>
  </si>
  <si>
    <t>Бизюк А.П.</t>
  </si>
  <si>
    <t>978-5-16-020816-9</t>
  </si>
  <si>
    <t>31.08.22, 37.03.01, 37.05.01, 44.03.02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</si>
  <si>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психологическим и медицинским специальностям (протокол № 1 от 20.01.2021)</t>
  </si>
  <si>
    <t>744340.01.01</t>
  </si>
  <si>
    <t>Нелинейные задачи строительной механики...: Уч.пос. / Б.А.Тухфатуллин-М.:НИЦ ИНФРА-М,2021.-106 с.(П)</t>
  </si>
  <si>
    <t>НЕЛИНЕЙНЫЕ ЗАДАЧИ СТРОИТЕЛЬНОЙ МЕХАНИКИ. МЕТОДЫ ОПТИМАЛЬНОГО ПРОЕКТИРОВАНИЯ КОНСТРУКЦИЙ</t>
  </si>
  <si>
    <t>Тухфатуллин Б.А.</t>
  </si>
  <si>
    <t>978-5-16-016633-9</t>
  </si>
  <si>
    <t>08.03.01, 08.04.01, 08.05.01</t>
  </si>
  <si>
    <t>792275.01.01</t>
  </si>
  <si>
    <t>Немецкая классич. философия: пробл. религии...: Уч.пос. / В.Ю.Васечко-М.:НИЦ ИНФРА-М,2024.-275 с.(ВО)(п)</t>
  </si>
  <si>
    <t>НЕМЕЦКАЯ КЛАССИЧЕСКАЯ ФИЛОСОФИЯ: ПРОБЛЕМЫ РЕЛИГИИ, ЦЕРКВИ, ХРИСТИАНСТВА</t>
  </si>
  <si>
    <t>Васечко В.Ю.</t>
  </si>
  <si>
    <t>978-5-16-018579-8</t>
  </si>
  <si>
    <t>47.03.01, 47.03.03</t>
  </si>
  <si>
    <t>Институт философии и права Уральского отделения Российской академии наук</t>
  </si>
  <si>
    <t>374400.03.01</t>
  </si>
  <si>
    <t>Немецкая социология: Уч. пос. / В.В.Афанасьев - М.:НИЦ ИНФРА-М,2023.-101 с.-(ВО: Бакалавриат)(О)</t>
  </si>
  <si>
    <t>НЕМЕЦКАЯ СОЦИОЛОГИЯ</t>
  </si>
  <si>
    <t>978-5-16-011063-9</t>
  </si>
  <si>
    <t>673975.04.01</t>
  </si>
  <si>
    <t>Немецкий яз. для спортсменов. Deutsch für Sportler: Уч.пос. / И.Б.Акиншина-М.:НИЦ ИНФРА-М,2024-228 с.(ВО)(П)</t>
  </si>
  <si>
    <t>НЕМЕЦКИЙ ЯЗЫК ДЛЯ СПОРТСМЕНОВ. DEUTSCH FÜR SPORTLER</t>
  </si>
  <si>
    <t>Акиншина И.Б., Мирошниченко Л.Н.</t>
  </si>
  <si>
    <t>978-5-16-014696-6</t>
  </si>
  <si>
    <t>00.03.02, 49.03.01, 49.03.02, 49.03.03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</si>
  <si>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49.03.00 «Физическая культура и спорт» (квалификация (степень) «бакалавр»)  (протокол № 17 от 11.11.2019)</t>
  </si>
  <si>
    <t>735529.02.01</t>
  </si>
  <si>
    <t>Немецкий яз. для студентов транспортных колледжей: Уч. / М.А.Васильева - М.:НИЦ ИНФРА-М,2024-219 с.(СПО)(П)</t>
  </si>
  <si>
    <t>НЕМЕЦКИЙ ЯЗЫК ДЛЯ СТУДЕНТОВ ТРАНСПОРТНЫХ КОЛЛЕДЖЕЙ</t>
  </si>
  <si>
    <t>Васильева М.А.</t>
  </si>
  <si>
    <t>978-5-16-017322-1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</si>
  <si>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транспортным специальностям (протокол № 4 от 13.04.2022)</t>
  </si>
  <si>
    <t>711675.02.01</t>
  </si>
  <si>
    <t>Немецкий язык (для экономистов): Уч.пос. / Е.С.Коплякова - М.:НИЦ ИНФРА-М,2025 - 471 с.(СПО)(П)</t>
  </si>
  <si>
    <t>НЕМЕЦКИЙ ЯЗЫК (ДЛЯ ЭКОНОМИСТОВ)</t>
  </si>
  <si>
    <t>Коплякова Е.С., Веселова Т.В.</t>
  </si>
  <si>
    <t>978-5-16-015342-1</t>
  </si>
  <si>
    <t>38.01.01, 38.01.03, 38.02.01, 38.02.02, 38.02.03, 38.02.06, 38.02.07, 38.02.08</t>
  </si>
  <si>
    <t>656183.02.01</t>
  </si>
  <si>
    <t>Немецкий язык (для экономистов): Уч.пос. / Е.С.Коплякова-М.:НИЦ ИНФРА-М,2024.-471 с.(ВО)(п)</t>
  </si>
  <si>
    <t>978-5-16-019501-8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</si>
  <si>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3 от 11.02.2019)</t>
  </si>
  <si>
    <t>451450.07.01</t>
  </si>
  <si>
    <t>Немецкий язык в соц. раб. Профессионально: Уч.пос. / М.С.Абрамова-М.:КУРС, НИЦ ИНФРА-М,2023.-176 с.(о)</t>
  </si>
  <si>
    <t>НЕМЕЦКИЙ ЯЗЫК В СОЦИАЛЬНОЙ РАБОТЕ. ПРОФЕССИОНАЛЬНО</t>
  </si>
  <si>
    <t>Абрамова М. С.</t>
  </si>
  <si>
    <t>978-5-905554-41-4</t>
  </si>
  <si>
    <t>00.03.02, 00.05.02, 39.03.01, 39.03.02, 39.03.03, 39.04.01, 39.04.02, 39.04.03</t>
  </si>
  <si>
    <t>422050.07.01</t>
  </si>
  <si>
    <t>Немецкий язык для студентов технич. спец.: Уч. пос./Е.С.Коплякова - М.:Форум:ИНФРА-М, 2024-272с.(ВО) (П)</t>
  </si>
  <si>
    <t>НЕМЕЦКИЙ ЯЗЫК ДЛЯ СТУДЕНТОВ ТЕХНИЧЕСКИХ СПЕЦИАЛЬНОСТЕЙ</t>
  </si>
  <si>
    <t>Коплякова Е. С., Максимов Ю. В., Веселова Т. В.</t>
  </si>
  <si>
    <t>978-5-91134-728-4</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</si>
  <si>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для студентов технических специальностей</t>
  </si>
  <si>
    <t>036938.16.01</t>
  </si>
  <si>
    <t>Немецкий язык для студентов-экономистов: Уч. / М.М.Васильева - 5 изд. - М.:НИЦ ИНФРА-М,2025. - 343 с.(ВО(П)</t>
  </si>
  <si>
    <t>НЕМЕЦКИЙ ЯЗЫК ДЛЯ СТУДЕНТОВ-ЭКОНОМИСТОВ, ИЗД.5</t>
  </si>
  <si>
    <t>Васильева М.М., Мирзабекова Н.М., Сидельникова Е.М.</t>
  </si>
  <si>
    <t>978-5-16-015119-9</t>
  </si>
  <si>
    <t>Допущено Министерством образования и науки Российской Федерации в качестве учебника для студентов высших учебных заведений, обучающихся по экономическим направлениям и специальностям</t>
  </si>
  <si>
    <t>036938.13.01</t>
  </si>
  <si>
    <t>Немецкий язык для студентов-экономистов: уч. / М.М.Васильева и др., - 4-е изд., перераб.-М.:Альфа-М, НИЦ ИНФРА-М,2019.-350 с..-(Бакалавриат)(П</t>
  </si>
  <si>
    <t>НЕМЕЦКИЙ ЯЗЫК ДЛЯ СТУДЕНТОВ-ЭКОНОМИСТОВ, ИЗД.4</t>
  </si>
  <si>
    <t>Васильева М. М., Мирзабекова Н. М., Сидельникова Е. М.</t>
  </si>
  <si>
    <t>978-5-98281-354-1</t>
  </si>
  <si>
    <t>Допущено Министерством образования РФ в качестве учебника для студентов высших учебных заведений, обучающихся по экономическим специальностям и направлениям</t>
  </si>
  <si>
    <t>459450.11.01</t>
  </si>
  <si>
    <t>Немецкий язык: деловое общение: Уч.пос. / М.М.Васильева-М.:НИЦ ИНФРА-М,2023.-304 с.(ВО)(п)</t>
  </si>
  <si>
    <t>НЕМЕЦКИЙ ЯЗЫК: ДЕЛОВОЕ ОБЩЕНИЕ</t>
  </si>
  <si>
    <t>Васильева М. М., Васильева М. А.</t>
  </si>
  <si>
    <t>978-5-16-018395-4</t>
  </si>
  <si>
    <t>00.03.02, 00.05.02, 38.03.01, 38.03.02, 38.03.03, 38.03.04, 38.03.05, 38.03.06, 38.03.07</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</si>
  <si>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немецкому языку для студентов, обучающихся по лингвистическим специальностям и направлениям</t>
  </si>
  <si>
    <t>656573.02.01</t>
  </si>
  <si>
    <t>Немецкий язык: менеджмент в туризме: Уч.пос. / Е.С.Коплякова - М.:НИЦ ИНФРА-М,2023 - 421 с.(ВО)(П)</t>
  </si>
  <si>
    <t>НЕМЕЦКИЙ ЯЗЫК: МЕНЕДЖМЕНТ В ТУРИЗМЕ</t>
  </si>
  <si>
    <t>Коплякова Е.С., Максимов Ю.В.</t>
  </si>
  <si>
    <t>978-5-16-014177-0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</si>
  <si>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43.03.02 «Туризм» (квалификация (степень) «бакалавр») (протокол № 3 от 17.03.2021)</t>
  </si>
  <si>
    <t>709417.08.01</t>
  </si>
  <si>
    <t>Немецкий язык: туризм и гостиничное дело: Уч. / М.М.Васильева - М.:НИЦ ИНФРА-М,2025. - 302 с.(СПО)(П)</t>
  </si>
  <si>
    <t>НЕМЕЦКИЙ ЯЗЫК: ТУРИЗМ И ГОСТИНИЧНОЕ ДЕЛО</t>
  </si>
  <si>
    <t>Васильева М.М., Васильева М.А.</t>
  </si>
  <si>
    <t>978-5-16-015238-7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</si>
  <si>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43.02.10 «Туризм», 43.02.11 «Гостиничный сервис» (протокол № 9 от 28.09.2020)</t>
  </si>
  <si>
    <t>103050.11.01</t>
  </si>
  <si>
    <t>Немецкий язык: туризм и гостиничное дело: Уч. / М.М.Васильева, - М.:НИЦ ИНФРА-М,2024.-302 с.(ВО: Бакалавр.)(П)</t>
  </si>
  <si>
    <t>978-5-16-013831-2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</si>
  <si>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2 от 28.01.2019)</t>
  </si>
  <si>
    <t>673145.04.01</t>
  </si>
  <si>
    <t>Немецкий язык: Уч. / И.Б.Акиншина - М.:НИЦ ИНФРА-М,2023 - 247 с.-(ВО: Бакалавриат)(П)</t>
  </si>
  <si>
    <t>НЕМЕЦКИЙ ЯЗЫК</t>
  </si>
  <si>
    <t>978-5-16-013841-1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</si>
  <si>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на неязыковых факультетах (протокол № 12 от 26.06.2019)</t>
  </si>
  <si>
    <t>745693.03.01</t>
  </si>
  <si>
    <t>Немецкий язык: Уч. / И.Б.Акиншина - М.:НИЦ ИНФРА-М,2023 - 247 с.-(ВО: Специалитет)(П)</t>
  </si>
  <si>
    <t>978-5-16-016544-8</t>
  </si>
  <si>
    <t>00.05.02, 40.05.01, 40.05.02, 40.05.03, 40.05.04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</si>
  <si>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специалитета (протокол № 8 от 22.06.2020)</t>
  </si>
  <si>
    <t>732047.04.01</t>
  </si>
  <si>
    <t>Немецкий язык: Уч. / И.Б.Акиншина - М.:НИЦ ИНФРА-М,2024 - 247 с.-(СПО)(П)</t>
  </si>
  <si>
    <t>978-5-16-015998-0</t>
  </si>
  <si>
    <t>00.01.02, 00.02.02, 43.02.16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</si>
  <si>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15 от 14.10.2019)</t>
  </si>
  <si>
    <t>402950.06.01</t>
  </si>
  <si>
    <t>Неопределенный интеграл: Уч. пос. / И.Г. Лурье - М.: Вуз. уч.:  НИЦ ИНФРА-М, 2023. - 112 с. (о)</t>
  </si>
  <si>
    <t>НЕОПРЕДЕЛЕННЫЙ ИНТЕГРАЛ</t>
  </si>
  <si>
    <t>Лурье И.Г.</t>
  </si>
  <si>
    <t>978-5-9558-0280-0</t>
  </si>
  <si>
    <t>01.03.01, 01.03.02, 01.04.01, 01.04.04</t>
  </si>
  <si>
    <t>279200.11.01</t>
  </si>
  <si>
    <t>Неорганическая химия: краткий курс: Уч.пос. / В.Г.Иванов - М.:КУРС, НИЦ ИНФРА-М,2025. - 256 с.(о)</t>
  </si>
  <si>
    <t>НЕОРГАНИЧЕСКАЯ ХИМИЯ : КРАТКИЙ КУРС</t>
  </si>
  <si>
    <t>Иванов В. Г., Гева О. Н.</t>
  </si>
  <si>
    <t>978-5-905554-60-5</t>
  </si>
  <si>
    <t>04.03.01, 04.03.02, 04.05.01, 06.03.01, 06.03.02, 06.05.01, 18.01.01, 18.01.34, 18.01.35, 18.02.01, 18.02.04, 18.02.05, 18.02.07, 18.02.09, 18.02.10, 18.02.11, 18.02.12, 18.02.14, 18.02.15, 18.03.01, 18.03.02, 18.05.01, 18.05.02, 19.02.13, 19.03.01, 19.03.02, 19.03.03, 19.03.04, 30.05.01, 30.05.02, 30.05.03, 31.05.01, 31.05.02, 31.05.03, 32.02.01, 32.05.01, 33.02.01, 33.05.01, 34.03.01</t>
  </si>
  <si>
    <t>635946.08.01</t>
  </si>
  <si>
    <t>Неорганическая химия: Уч. / Т.В.Мартынова - 2-е изд.-М.:НИЦ ИНФРА-М,2023.-348 с.(ВО: Бакалавр.)(П)</t>
  </si>
  <si>
    <t>НЕОРГАНИЧЕСКАЯ ХИМИЯ, ИЗД.2</t>
  </si>
  <si>
    <t>Мартынова Т.В., Супотницкая Н.С., Агеева Ю.С.</t>
  </si>
  <si>
    <t>978-5-16-017553-9</t>
  </si>
  <si>
    <t>04.03.01, 04.03.02, 18.03.02, 19.03.01, 19.03.04, 20.03.01, 29.03.04, 31.05.01, 31.05.02, 31.05.03, 33.05.01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</si>
  <si>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техническим направлениям подготовки (квалификация (степень) «бакалавр») (протокол № 9 от 17.11.2022)</t>
  </si>
  <si>
    <t>635946.06.01</t>
  </si>
  <si>
    <t>Неорганическая химия: Уч. / Т.В.Мартынова - М.:НИЦ ИНФРА-М,2022 - 336 с.(ВО: Бакалавриат)(П)</t>
  </si>
  <si>
    <t>НЕОРГАНИЧЕСКАЯ ХИМИЯ</t>
  </si>
  <si>
    <t>Мартынова Т.В., Супоницкая И.И., Агеева Ю.С.</t>
  </si>
  <si>
    <t>978-5-16-012323-3</t>
  </si>
  <si>
    <t>Рекомендовано в качестве учебника для студентов высших учебных заведений, обучающихся по техническим специальностям и направлениям подготовки (квалификация (степень) «бакалавр»)</t>
  </si>
  <si>
    <t>117300.13.01</t>
  </si>
  <si>
    <t>Неорганическая химия: Уч. пос. / И.В. Богомолова. - М.: Альфа-М:  ИНФРА-М, 2025. - 336 с. (п)</t>
  </si>
  <si>
    <t>Богомолова И. В.</t>
  </si>
  <si>
    <t>978-5-98281-187-5</t>
  </si>
  <si>
    <t>18.01.01, 18.01.34, 18.01.35, 18.02.11, 19.02.13, 31.02.01</t>
  </si>
  <si>
    <t>708997.06.01</t>
  </si>
  <si>
    <t>Неотложная помощь детям на догоспит.этапе: Уч.пос. / Л.А.Строзенко - 2 изд.-М.:НИЦ ИНФРА-М,2024-172с(П)</t>
  </si>
  <si>
    <t>НЕОТЛОЖНАЯ ПОМОЩЬ ДЕТЯМ НА ДОГОСПИТАЛЬНОМ ЭТАПЕ, ИЗД.2</t>
  </si>
  <si>
    <t>Строзенко Л.А., Лобанов Ю.Ф., Иванов И.В. и др.</t>
  </si>
  <si>
    <t>978-5-16-015511-1</t>
  </si>
  <si>
    <t>31.05.02</t>
  </si>
  <si>
    <t>Рекомендовано Межрегиональным учебно-методическим советом профессионального образования для использования в учебном процессе студентами высших учебных заведений, обучающихся по направлению подготовки 31.05.02 «Педиатрия» (квалификация «Врач-педиатр общей практики») (протокол № 12 от 24.06.2019)</t>
  </si>
  <si>
    <t>694869.07.01</t>
  </si>
  <si>
    <t>Неотложная помощь на догоспитальном этапе: Уч.пос. / Под ред. Лычева В.Г. - М.:НИЦ ИНФРА-М,2025. - 160 с.(ВО)(п)</t>
  </si>
  <si>
    <t>НЕОТЛОЖНАЯ ПОМОЩЬ НА ДОГОСПИТАЛЬНОМ ЭТАПЕ</t>
  </si>
  <si>
    <t>Лычев В.Г., Бабушкин И.Е., Андриенко А.В. и др.</t>
  </si>
  <si>
    <t>978-5-16-020849-7</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</si>
  <si>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t>
  </si>
  <si>
    <t>288400.07.01</t>
  </si>
  <si>
    <t>Неотложная помощь при заболев. внутрен.орг.: Уч.пос. / Под ред. Ахмедова В.А. - М.:НИЦ ИНФРА-М,2023-137с(О)</t>
  </si>
  <si>
    <t>НЕОТЛОЖНАЯ ПОМОЩЬ ПРИ ЗАБОЛЕВАНИЯХ ВНУТРЕННИХ ОРГАНОВ</t>
  </si>
  <si>
    <t>Ахмедов В.А., Совалкин В.И., Викторова И.А. и др.</t>
  </si>
  <si>
    <t>978-5-16-013521-2</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</si>
  <si>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специальности 31.05.01 «Лечебное дело»</t>
  </si>
  <si>
    <t>Омский государственный медицинский университет</t>
  </si>
  <si>
    <t>745372.05.01</t>
  </si>
  <si>
    <t>Непотопляемость корабля: Уч.пос. / Е.В.Никитин - М.:НИЦ ИНФРА-М,2024 - 74 с.(О)</t>
  </si>
  <si>
    <t>НЕПОТОПЛЯЕМОСТЬ КОРАБЛЯ</t>
  </si>
  <si>
    <t>Никитин Е.В., Сошкин П.А.</t>
  </si>
  <si>
    <t>978-5-16-016739-8</t>
  </si>
  <si>
    <t>26.02.03, 26.02.05, 26.02.06, 26.03.02, 26.04.02, 26.05.01, 26.05.03, 26.05.05</t>
  </si>
  <si>
    <t>Рекомендовано экспертным советом ЧВВМУ имени П.С. Нахимова в качестве учебного пособия по дисциплинам «Теория корабля», «Теория, устройство и живучесть корабля», «Теория и устройство судна» для курсантов и студентов ЧВВМУ имени П.С. Нахимова</t>
  </si>
  <si>
    <t>647981.08.01</t>
  </si>
  <si>
    <t>Неразрушающий контроль авиац. техники: Уч.пос. / Е.В.Мартыненко - 2 изд.-М.:НИЦ ИНФРА-М,2024.-148 с.(СПО)</t>
  </si>
  <si>
    <t>НЕРАЗРУШАЮЩИЙ КОНТРОЛЬ АВИАЦИОННОЙ ТЕХНИКИ, ИЗД.2</t>
  </si>
  <si>
    <t>Мартыненко Е.В.</t>
  </si>
  <si>
    <t>978-5-16-012759-0</t>
  </si>
  <si>
    <t>12.02.01, 21.01.17, 25.02.01, 25.02.02, 25.02.03, 25.02.04, 25.02.05, 25.02.06, 25.02.07, 25.02.08</t>
  </si>
  <si>
    <t>Рекомендовано в качестве учебного пособия для учебных заведений, реализующих программу среднего профессионального образования по специальности 25.02.01 «Техническая эксплуатация летательных аппаратов и двигателей»</t>
  </si>
  <si>
    <t>Московский государственный технический университет гражданской авиации, Иркутский ф-л</t>
  </si>
  <si>
    <t>433450.13.01</t>
  </si>
  <si>
    <t>Нестероидные противовоспалительные препар.: Практ. реком./Л.И. Дятчина - НИЦ ИНФРА-М, 2022-77с.+вкл. (О к/ф)</t>
  </si>
  <si>
    <t>НЕСТЕРОИДНЫЕ ПРОТИВОВОСПАЛИТЕЛЬНЫЕ ПРЕПАРАТЫ</t>
  </si>
  <si>
    <t>Дятчина Л. И., Ханов А. Г.</t>
  </si>
  <si>
    <t>978-5-16-006680-6</t>
  </si>
  <si>
    <t>31.05.01, 33.05.01</t>
  </si>
  <si>
    <t>Ростовский государственный медицинский университет</t>
  </si>
  <si>
    <t>434900.09.01</t>
  </si>
  <si>
    <t>Нетрадиционные источники энергии: биоэнергетика: Уч.пос. / С.Н.Кузьмин -М.:НИЦ ИНФРА-М,2024-129 с.(ВО)(О)</t>
  </si>
  <si>
    <t>НЕТРАДИЦИОННЫЕ ИСТОЧНИКИ ЭНЕРГИИ: БИОЭНЕРГЕТИКА</t>
  </si>
  <si>
    <t>Кузьмин С.Н., Ляшков В.И., Кузьмина Ю.С.</t>
  </si>
  <si>
    <t>978-5-16-018790-7</t>
  </si>
  <si>
    <t>13.03.01, 13.03.02, 13.03.03, 13.05.01, 13.05.02</t>
  </si>
  <si>
    <t>Допущено УМО по образованию в области электро- и теплоэнергетики в качестве учебного пособия для студентов высших учебных заведений, обучающихся по направлению подготовки 13.03.01 «Теплоэнергетика и теплотехника»</t>
  </si>
  <si>
    <t>058000.20.01</t>
  </si>
  <si>
    <t>Новая экономическая энц. / Е.Е. Румянцева. - 4 изд. - М.: ИНФРА-М, 2025. - 882 с.(п, dvd)</t>
  </si>
  <si>
    <t>НОВАЯ ЭКОНОМИЧЕСКАЯ ЭНЦИКЛОПЕДИЯ, ИЗД.4</t>
  </si>
  <si>
    <t>Румянцева Е.Е.</t>
  </si>
  <si>
    <t>978-5-16-004189-6</t>
  </si>
  <si>
    <t>Энциклопедия</t>
  </si>
  <si>
    <t>400700.07.01</t>
  </si>
  <si>
    <t>Новейшая ист. Великобритании: XX - нач. XXI в.: Уч.пос./ Г.С.Остапенко-М.:Вуз. уч., НИЦ ИНФРА-М,2023-472 с.(П)</t>
  </si>
  <si>
    <t>НОВЕЙШАЯ ИСТОРИЯ ВЕЛИКОБРИТАНИИ: XX - НАЧАЛО XXI ВЕКА</t>
  </si>
  <si>
    <t>Остапенко Г. С., Прокопов А. Ю.</t>
  </si>
  <si>
    <t>978-5-9558-0244-2</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</si>
  <si>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«История»</t>
  </si>
  <si>
    <t>Российская академия наук</t>
  </si>
  <si>
    <t>680927.04.01</t>
  </si>
  <si>
    <t>Новейшая полит. история: «Кавказский геополит.узел»:Уч.пос./Карабущенко П.Л-М.:НИЦ ИНФРА-М,2023-489с</t>
  </si>
  <si>
    <t>НОВЕЙШАЯ ПОЛИТИЧЕСКАЯ ИСТОРИЯ: «КАВКАЗСКИЙ ГЕОПОЛИТИЧЕСКИЙ УЗЕЛ» (1991-2011 ГОДЫ)</t>
  </si>
  <si>
    <t>Вартумян А.А., Карабущенко П.Л., Косов Г.В. и др.</t>
  </si>
  <si>
    <t>978-5-16-014166-4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</si>
  <si>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46.03.01 «История», 41.03.04 «Политология», 41.03.05 «Международные отношения» (квалификация (степень) «бакалавр»)</t>
  </si>
  <si>
    <t>Северо-Кавказский федеральный университет, ф-л в г. Пятигорске</t>
  </si>
  <si>
    <t>680928.04.01</t>
  </si>
  <si>
    <t>Новейшая политическая история...: Уч.пос. / Под ред. Карабущенко П.Л. - М.:НИЦ ИНФРА-М,2024 - 358с(П)</t>
  </si>
  <si>
    <t>НОВЕЙШАЯ ПОЛИТИЧЕСКАЯ ИСТОРИЯ: ПРИКАСПИЙСКАЯ «ГЕОПОЛИТИЧЕСКАЯ ОСЬ» (1991-2011 ГОДЫ)</t>
  </si>
  <si>
    <t>Вартумян А.А., Джанталеева М.Ш., Дмитриев А.В. и др.</t>
  </si>
  <si>
    <t>978-5-16-014263-0</t>
  </si>
  <si>
    <t>41.03.02, 41.03.04, 41.03.05, 41.03.06, 46.03.01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</si>
  <si>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41.03.04 «Политология», 41.03.05 «Международные отношения», 46.03.01 «История» (квалификация (степень) «бакалавр»)</t>
  </si>
  <si>
    <t>680428.01.01</t>
  </si>
  <si>
    <t>Новейшая политическая история: Великая азиатская...: Уч.пос. / А.В.Баранов-М.:НИЦ ИНФРА-М,2024.-502 с.(ВО)(п)</t>
  </si>
  <si>
    <t>НОВЕЙШАЯ ПОЛИТИЧЕСКАЯ ИСТОРИЯ: ВЕЛИКАЯ АЗИАТСКАЯ «ДУГА НАПРЯЖЕННОСТИ» (1991-2011)</t>
  </si>
  <si>
    <t>Баранов А.В., Будовская О.В., Вартумян А.А. и др.</t>
  </si>
  <si>
    <t>978-5-16-014674-4</t>
  </si>
  <si>
    <t>41.04.01, 41.04.04, 41.04.05, 41.06.01</t>
  </si>
  <si>
    <t>824426.01.01</t>
  </si>
  <si>
    <t>Новейшая российская журналистика: Уч.пос. / А.А.Малькевич - М.:НИЦ ИНФРА-М,2025. - 316 с.(ВО)(п)</t>
  </si>
  <si>
    <t>НОВЕЙШАЯ РОССИЙСКАЯ ЖУРНАЛИСТИКА</t>
  </si>
  <si>
    <t>Малькевич А.А.</t>
  </si>
  <si>
    <t>978-5-16-019860-6</t>
  </si>
  <si>
    <t>41.04.05, 42.03.02, 42.04.02, 53.04.06, 56.05.05</t>
  </si>
  <si>
    <t>Азовский государственный педагогический университет</t>
  </si>
  <si>
    <t>393300.04.01</t>
  </si>
  <si>
    <t>Новейшие тенденции и напр. совр.политол.: Уч.пос. / Р.Ф.Матвеев - М.:Форум,НИЦ ИНФРА-М,2022-336с(ВО:Магистр.)(О)</t>
  </si>
  <si>
    <t>НОВЕЙШИЕ ТЕНДЕНЦИИ И НАПРАВЛЕНИЯ СОВРЕМЕННОЙ ПОЛИТОЛОГИИ</t>
  </si>
  <si>
    <t>Р.Ф.Матвеев</t>
  </si>
  <si>
    <t>978-5-00091-113-6</t>
  </si>
  <si>
    <t>41.03.04, 41.03.05, 41.03.06, 41.04.04, 41.04.05</t>
  </si>
  <si>
    <t>Учебное пособие для магистрантов и аспирантов высших учебных заведений, обучающихся по специальности 23.00.02 «Политические институты, процессы и технологии»</t>
  </si>
  <si>
    <t>500150.08.01</t>
  </si>
  <si>
    <t>Новые технологии в произв. спец. и спорт.: Уч.пос. / Н.М.Конопальцева - М:Форум: ИНФРА-М,2025 - 239 с.(ВО)</t>
  </si>
  <si>
    <t>НОВЫЕ ТЕХНОЛОГИИ В ПРОИЗВОДСТВЕ СПЕЦИАЛЬНОЙ И СПОРТИВНОЙ ОДЕЖДЫ</t>
  </si>
  <si>
    <t>Конопальцева Н.М., Крюкова Н.А., Морозова Л.В.</t>
  </si>
  <si>
    <t>978-5-00091-757-2</t>
  </si>
  <si>
    <t>29.03.02, 29.03.05, 29.04.02, 29.04.04, 29.04.05</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</si>
  <si>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студентов высших учебных заведений, обучающихся по направлению подготовки 29.03.01 «Технология изделий легкой промышленности» (профиль «Технология швейных изделий»), направлению подготовки 43.03.01 «Сервис» (профиль «Сервис в индустрии моды и красоты») и направлению подготовки 29.03.02 «Технология и проектирование текстильных изделий» (профиль «Технология текстильных изделий») при изучении дисциплин «Технология швейных изделий», «Технология швейных изделий из различных материалов», «Технологическая подготовка производства», «Технологические процессы в сервисе»</t>
  </si>
  <si>
    <t>263400.09.01</t>
  </si>
  <si>
    <t>Ноксология: Практикум: Уч. пос. / С.С.Тимофеева - М.:Форум,НИЦ ИНФРА-М,2025 - 159 с.(ВО)(о)</t>
  </si>
  <si>
    <t>НОКСОЛОГИЯ. ПРАКТИКУМ</t>
  </si>
  <si>
    <t>Тимофеева С.С.</t>
  </si>
  <si>
    <t>978-5-91134-849-6</t>
  </si>
  <si>
    <t>Рекомендовано редакционно-издательским советом Иркутского государственного технического университета в качестве практикума для студентов направления подготовки «Техносферная безопасность» квалификации «Бакалавр»</t>
  </si>
  <si>
    <t>798118.01.01</t>
  </si>
  <si>
    <t>Ноксология: Уч.пос. / Л.Н.Бердникова-М.:НИЦ ИНФРА-М,2023.-321 с.(ВО (КрГАУ))(п)</t>
  </si>
  <si>
    <t>НОКСОЛОГИЯ</t>
  </si>
  <si>
    <t>Бердникова Л.Н.</t>
  </si>
  <si>
    <t>978-5-16-018825-6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</si>
  <si>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направлению подготовки 20.03.01 «Техносферная безопасность»</t>
  </si>
  <si>
    <t>796845.01.01</t>
  </si>
  <si>
    <t>Нормальная физиология человека: Уч.пос. / Ю.А.Успенская-М.:НИЦ ИНФРА-М,2023.-414 с.(ВО (КрГАУ))(п)</t>
  </si>
  <si>
    <t>НОРМАЛЬНАЯ ФИЗИОЛОГИЯ ЧЕЛОВЕКА</t>
  </si>
  <si>
    <t>Успенская Ю.А.</t>
  </si>
  <si>
    <t>978-5-16-018416-6</t>
  </si>
  <si>
    <t>06.03.01, 20.03.01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</si>
  <si>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направлениям подготовки 20.03.01 «Техносферная безопасность» и 06.03.01 «Биология»</t>
  </si>
  <si>
    <t>764326.03.01</t>
  </si>
  <si>
    <t>Нормативное регулирование бух. учета: Уч.пос. / Р.Б.Шахбанов - М.:Магистр, НИЦ ИНФРА-М,2025 - 160 с.(П)</t>
  </si>
  <si>
    <t>НОРМАТИВНОЕ РЕГУЛИРОВАНИЕ БУХГАЛТЕРСКОГО УЧЕТА</t>
  </si>
  <si>
    <t>Шахбанов Р.Б.</t>
  </si>
  <si>
    <t>978-5-9776-0535-9</t>
  </si>
  <si>
    <t>656378.01.01</t>
  </si>
  <si>
    <t>Нормирование геометрических характ.изделий: Уч.пос. / И.Е.Парфеньева - М.:НИЦ ИНФРА-М,2018-270с(П)</t>
  </si>
  <si>
    <t>НОРМИРОВАНИЕ ГЕОМЕТРИЧЕСКИХ ХАРАКТЕРИСТИК ИЗДЕЛИЙ: СОВРЕМЕННЫЙ ПОДХОД</t>
  </si>
  <si>
    <t>Парфеньева И.Е., Зайцев С.А., Вячеславова О.Ф.</t>
  </si>
  <si>
    <t>978-5-16-013065-1</t>
  </si>
  <si>
    <t>15.03.01, 15.03.02, 15.03.03, 15.03.04, 15.03.05, 15.03.06, 22.03.01, 22.03.02, 23.03.01, 23.03.02, 23.03.03, 23.05.01, 23.05.02, 27.03.01, 27.03.02</t>
  </si>
  <si>
    <t>Рекомендовано в качестве учебного пособия для студентов высших учебных заведений, обучающихся по направлениям подготовки 27.03.01 «Стандартизация и метрология», 27.03.02 «Управление качеством» (квалификация (степень) «бакалавр»)</t>
  </si>
  <si>
    <t>474100.04.01</t>
  </si>
  <si>
    <t>Нормирование и экономия матер.затрат: Уч.пос. / К.А.Смирнов-М.:НИЦ ИНФРА-М,2024-153с(ВО:Магистр.)(О)</t>
  </si>
  <si>
    <t>НОРМИРОВАНИЕ И ЭКОНОМИЯ МАТЕРИАЛЬНЫХ ЗАТРАТ</t>
  </si>
  <si>
    <t>Смирнов К.А.</t>
  </si>
  <si>
    <t>978-5-16-011626-6</t>
  </si>
  <si>
    <t>Рекомендовано в ка 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t>
  </si>
  <si>
    <t>361900.09.01</t>
  </si>
  <si>
    <t>Нормирование труда: Уч. / В.Б.Бычин - М.:НИЦ ИНФРА-М,2024 - 348 с.-(ВО)(п)</t>
  </si>
  <si>
    <t>НОРМИРОВАНИЕ ТРУДА</t>
  </si>
  <si>
    <t>Бычин В.Б., Малинин С.В., Новикова Е.В.</t>
  </si>
  <si>
    <t>978-5-16-019571-1</t>
  </si>
  <si>
    <t>Рекомендовано в качестве учебника для студентов высших учебных заведений, обучающихся по направлениям подготовки38.03.01 «Экономика», 38.03.02«Менеджмент», 38.03.03 «Управление персоналом» (квалификация (степень) «бакалавр»)</t>
  </si>
  <si>
    <t>661046.03.01</t>
  </si>
  <si>
    <t>Нормотворчество органов госу.и муниц. управ.: Уч.пос. / А.Н.Миронов-М.:НИЦ ИНФРА-М,2020.-201 с.(П)</t>
  </si>
  <si>
    <t>НОРМОТВОРЧЕСТВО ОРГАНОВ ГОСУДАРСТВЕННОГО И МУНИЦИПАЛЬНОГО УПРАВЛЕНИЯ</t>
  </si>
  <si>
    <t>Миронов А.Н., Ушаков С.Н.</t>
  </si>
  <si>
    <t>978-5-16-014055-1</t>
  </si>
  <si>
    <t>38.03.04, 38.04.04, 40.04.01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</si>
  <si>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40.04.01 «Юриспруденция», 38.04.04 «Государственное и муниципальное управление» (квалификация (степень) «магистр»)</t>
  </si>
  <si>
    <t>130000.06.01</t>
  </si>
  <si>
    <t>НРЭ: Т.10(1): Лонгчен Рабджам - Марокко / Ред.кол. А.Д.Некипелов-М.:Энц.,НИЦ ИНФРА-М,2019-480с.(п)</t>
  </si>
  <si>
    <t>НОВАЯ РОССИЙСКАЯ ЭНЦИКЛОПЕДИЯ: ТОМ 10(1): ЛОНГЧЕН РАБДЖАМ - МАРОККО</t>
  </si>
  <si>
    <t>Некипелов А.Д., Данилов-Данильян В.И.</t>
  </si>
  <si>
    <t>978-5-94802-045-7</t>
  </si>
  <si>
    <t>Универсальная справочная литература</t>
  </si>
  <si>
    <t>00.03.16, 00.05.16</t>
  </si>
  <si>
    <t>134000.07.01</t>
  </si>
  <si>
    <t>НРЭ: Т.12(1): Нитра - Орлеан / Ред. кол. Некипелов А.Д. и др. -М.:Энц., НИЦ ИНФРА-М,2019-480 с.(П</t>
  </si>
  <si>
    <t>НОВАЯ РОССИЙСКАЯ ЭНЦИКЛОПЕДИЯ: ТОМ 12(1): НИТРА-ОРЛЕАН, Т.12</t>
  </si>
  <si>
    <t>978-5-94802-053-2</t>
  </si>
  <si>
    <t>183000.06.01</t>
  </si>
  <si>
    <t>НРЭ: Т.13(1): Пермяк - Португальские / Ред.кол. А.Д.Некипелов и др.-М.:Энц.,НИЦ ИНФРА-М,2019-480с(п)</t>
  </si>
  <si>
    <t>НОВАЯ РОССИЙСКАЯ ЭНЦИКЛОПЕДИЯ: ТОМ 13(1): ПЕРМЯК - ПОРТУГАЛЬСКИЕ, Т.13</t>
  </si>
  <si>
    <t>978-5-94802-055-6</t>
  </si>
  <si>
    <t>186000.05.01</t>
  </si>
  <si>
    <t>НРЭ: Т.14(1): Ре - Рыкованов / Ред.кол. А.Д.Некипелов и др. - М.:НИЦ ИНФРА-М,Энц.,2019-480с.(п)</t>
  </si>
  <si>
    <t>НОВАЯ РОССИЙСКАЯ ЭНЦИКЛОПЕДИЯ: ТОМ 14(1): РЕ - РЫКОВАНОВ, Т.14</t>
  </si>
  <si>
    <t>978-5-94802-059-4</t>
  </si>
  <si>
    <t>187000.07.01</t>
  </si>
  <si>
    <t>НРЭ: Т.14(2): Рылеев-Сентиментализм / Ред.кол. Некипелов А.Д.-М.:Энц.,НИЦ ИНФРА-М,2021-480 с.(П)</t>
  </si>
  <si>
    <t>НОВАЯ РОССИЙСКАЯ ЭНЦИКЛОПЕДИЯ: ТОМ 14 (2): РЫЛЕЕВ-СЕНТИМЕНТАЛИЗМ, Т.14</t>
  </si>
  <si>
    <t>978-5-94802-060-0</t>
  </si>
  <si>
    <t>209000.07.01</t>
  </si>
  <si>
    <t>НРЭ: Т.15(1): Сент-Китс и Невис - Соединенные/Ред.кол. А.Д.Некипелов-М:Энц.,НИЦ ИНФРА-М,2019-496с(п)</t>
  </si>
  <si>
    <t>НОВАЯ РОССИЙСКАЯ ЭНЦИКЛОПЕДИЯ: ТОМ 15(1): СЕНТ-КИТС И НЕВИС - СОЕДИНЕННЫЕ, Т.15</t>
  </si>
  <si>
    <t>978-5-94802-061-7</t>
  </si>
  <si>
    <t>236000.05.01</t>
  </si>
  <si>
    <t>НРЭ: Т.15(2): Соединительная - Сухой / Ред.кол.Некипелов А.Д. и др.-М.:НИЦ ИНФРА-М,Энц.,2019-496с(П)</t>
  </si>
  <si>
    <t>НОВАЯ РОССИЙСКАЯ ЭНЦИКЛОПЕДИЯ: ТОМ15(2): СОЕДИНИТЕЛЬНАЯ - СУХОЙ, Т.15</t>
  </si>
  <si>
    <t>978-5-94802-062-4</t>
  </si>
  <si>
    <t>237000.04.01</t>
  </si>
  <si>
    <t>НРЭ: Т.16(1): Сухо-Токо / Ред.кол. А.Д.Некипелов и др. - М.:Энц.,НИЦ ИНФРА-М,2019-495с.(П) [12+]</t>
  </si>
  <si>
    <t>НОВАЯ РОССИЙСКАЯ ЭНЦИКЛОПЕДИЯ: ТОМ 16(1): СУХО-ТОКО, Т.16</t>
  </si>
  <si>
    <t>978-5-94802-063-1</t>
  </si>
  <si>
    <t>238000.04.01</t>
  </si>
  <si>
    <t>НРЭ: Т.16(2): Токоферолы-Ульские / Ред.кол.А.Д. Некипелов и др. - М.:Энц.,НИЦ ИНФРА-М, 2019-496с.(п)</t>
  </si>
  <si>
    <t>НОВАЯ РОССИЙСКАЯ ЭНЦИКЛОПЕДИЯ: ТОМ 16(2): ТОКОФЕРОЛЫ-УЛЬСКИЕ</t>
  </si>
  <si>
    <t>238600.11.01</t>
  </si>
  <si>
    <t>Оcновы химии: Уч. / В.Г.Иванов - М.:КУРС, НИЦ ИНФРА-М,2025 - 556 с.(П)</t>
  </si>
  <si>
    <t>ОCНОВЫ ХИМИИ</t>
  </si>
  <si>
    <t>Иванов В.Г., Гева О.Н.</t>
  </si>
  <si>
    <t>978-5-905554-40-7</t>
  </si>
  <si>
    <t>03.03.02, 04.03.01, 04.03.02, 05.03.01, 05.03.02, 05.03.04, 05.03.06, 06.03.01, 06.03.02, 06.05.01, 07.02.01, 08.02.02, 08.02.03, 08.02.08, 08.02.09, 08.02.12, 08.02.13, 08.02.14, 08.03.01, 08.05.01, 08.05.02, 09.02.01, 09.02.03, 09.02.04, 09.02.05, 09.02.06, 09.03.02, 10.02.01, 10.02.03, 10.05.04, 11.02.06, 11.02.07, 11.02.12, 11.02.13, 11.02.14, 11.02.15, 11.02.16, 11.02.17, 11.02.18, 11.03.01, 11.03.03, 11.03.04, 11.05.01, 12.02.01, 12.02.03, 12.02.05, 12.03.01, 12.03.02, 12.03.03, 12.03.04, 12.03.05, 12.05.01, 13.02.01, 13.02.04, 13.02.05, 13.02.07, 13.02.09, 13.02.12, 13.02.13, 13.03.02, 13.03.03, 14.02.01, 14.02.02, 14.03.01, 14.05.01, 14.05.02, 14.05.04, 15.02.01, 15.02.04, 15.02.06, 15.02.07, 15.02.09, 15.02.10, 15.02.16, 15.02.17, 15.02.18, 15.02.19, 15.03.01, 15.03.03, 15.03.05, 15.03.06, 15.05.01, 16.03.01, 16.03.02, 16.03.03, 16.05.01, 17.03.01, 17.05.01, 17.05.02, 18.01.01, 18.01.34, 18.01.35, 18.02.01, 18.02.04, 18.02.05, 18.02.07, 18.02.09, 18.02.10, 18.02.11, 18.02.12, 18.02.13, 18.02.14, 18.02.15, 18.03.01, 18.03.02, 18.05.01, 18.05.02, 19.02.10, 19.02.11, 19.02.12, 19.02.13, 20.02.01, 20.02.02, 20.02.03, 20.02.04, 20.03.01, 20.03.02, 20.05.01, 21.02.02, 21.02.09, 21.02.10, 21.02.11, 21.02.12, 21.02.15, 21.02.18, 21.02.19, 21.02.20, 21.03.01, 21.03.02, 21.05.02, 21.05.03, 21.05.04, 21.05.06, 22.02.08, 22.03.01, 23.01.03, 23.02.01, 23.02.02, 23.02.03, 23.02.05, 23.02.06, 23.02.08, 23.03.01, 23.03.02, 23.05.01, 23.05.02, 23.05.03, 23.05.04, 23.05.05, 23.05.06, 24.02.01, 24.02.02, 24.02.04, 24.03.01, 24.03.02, 24.03.03, 24.03.04, 24.03.05, 24.05.01, 24.05.03, 24.05.04, 24.05.05, 24.05.06, 24.05.07, 25.02.02, 25.02.03, 25.03.01, 25.03.04, 25.05.03, 26.02.02, 26.02.03, 26.02.05, 26.02.06, 26.03.01, 26.03.02, 26.05.01, 26.05.02, 26.05.03, 26.05.05, 27.02.01, 27.02.02, 27.02.03, 27.02.04, 27.02.07, 27.03.01, 27.03.04, 27.05.01, 27.05.02, 28.03.01, 28.03.02, 28.03.03, 29.02.02, 29.02.08, 29.02.10, 29.02.11, 29.03.01, 29.03.02, 29.03.03, 29.03.04, 29.03.05, 30.05.01, 30.05.02, 31.02.03, 31.05.01, 31.05.02, 31.05.03, 32.02.01, 33.02.01, 33.05.01, 34.02.01, 35.01.27, 35.02.07, 35.02.08, 35.02.12, 35.02.15, 35.02.18, 35.03.01, 35.03.02, 35.03.03, 35.03.04, 35.03.05, 35.03.06, 35.03.07, 35.03.08, 35.03.10, 36.02.01, 36.03.02, 36.05.01, 38.02.08, 38.03.07, 40.05.03, 43.01.09, 43.02.07, 43.02.15, 44.03.04, 44.03.05, 49.02.01, 49.02.02, 54.02.01, 54.03.04</t>
  </si>
  <si>
    <t>166400.14.01</t>
  </si>
  <si>
    <t>Обеспечение автоматиз. библ. информ. систем (АБИС): Уч. пос. / Л.И.Алешин - М.: Форум, 2025 - 432 с.(ВО) (п)</t>
  </si>
  <si>
    <t>ОБЕСПЕЧЕНИЕ АВТОМАТИЗИРОВАННЫХ БИБЛИОТЕЧНЫХ ИНФОРМАЦИОННЫХ СИСТЕМ (АБИС)</t>
  </si>
  <si>
    <t>978-5-91134-568-6</t>
  </si>
  <si>
    <t>221300.13.01</t>
  </si>
  <si>
    <t>Обеспечение безоп. при чрезв. ситуациях: Уч./В.А.Бондаренко-2изд.-М.:ИЦ РИОР,НИЦ ИНФРА-М,2023-224с(П)</t>
  </si>
  <si>
    <t>ОБЕСПЕЧЕНИЕ БЕЗОПАСНОСТИ ПРИ ЧРЕЗВЫЧАЙНЫХ СИТУАЦИЯХ, ИЗД.2</t>
  </si>
  <si>
    <t>978-5-369-01784-5</t>
  </si>
  <si>
    <t>00.01.01, 00.02.01, 06.01.06, 20.02.02</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</si>
  <si>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СПО</t>
  </si>
  <si>
    <t>221300.03.01</t>
  </si>
  <si>
    <t>Обеспечение безопасности при чрезвычайных ситуац.: Уч./ В.А.Бондаренко-М:РИОР:ИНФРА-М,2018-325с(ПО)</t>
  </si>
  <si>
    <t>ОБЕСПЕЧЕНИЕ БЕЗОПАСНОСТИ ПРИ ЧРЕЗВЫЧАЙНЫХ СИТУАЦИЯХ</t>
  </si>
  <si>
    <t>978-5-369-01233-8</t>
  </si>
  <si>
    <t>741914.05.01</t>
  </si>
  <si>
    <t>Обеспечение защиты прав человека в РФ: Уч. / Под ред. Комкова Г.Н. - М.:НИЦ ИНФРА-М,2023 - 339 с(ВО)(П)</t>
  </si>
  <si>
    <t>ОБЕСПЕЧЕНИЕ ЗАЩИТЫ ПРАВ ЧЕЛОВЕКА В РОССИЙСКОЙ ФЕДЕРАЦИИ</t>
  </si>
  <si>
    <t>Абаева Е.А., Аверьянова Н.Н., Басова А.В. и др.</t>
  </si>
  <si>
    <t>978-5-16-016624-7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</si>
  <si>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направлениям подготовки (квалификация (степень) «бакалавр») (протокол № 7 от 22.09.2021)</t>
  </si>
  <si>
    <t>150200.09.01</t>
  </si>
  <si>
    <t>Обеспечение конкурентоспособности предпр. туризма: Уч. / Ю.Н.Абабков - М.: ИНФРА-М, 2025 - 144 с.(ВО) (п)</t>
  </si>
  <si>
    <t>ОБЕСПЕЧЕНИЕ КОНКУРЕНТОСПОСОБНОСТИ ПРЕДПРИЯТИЯ ТУРИЗМА</t>
  </si>
  <si>
    <t>Абабков Ю. Н., Филиппова И. Г., Богданов Е. И.</t>
  </si>
  <si>
    <t>978-5-16-004386-9</t>
  </si>
  <si>
    <t>38.03.02, 43.03.02, 43.03.03, 43.04.03, 49.03.03</t>
  </si>
  <si>
    <t>826070.01.01</t>
  </si>
  <si>
    <t>Обеспечение лич. безопас. сотруд. орг. внутр. дел...: Уч.пос. / В.А.Мельничук-М.:НИЦ ИНФРА-М,2025-198с(п)</t>
  </si>
  <si>
    <t>ОБЕСПЕЧЕНИЕ ЛИЧНОЙ БЕЗОПАСНОСТИ СОТРУДНИКОВ ОРГАНОВ ВНУТРЕННИХ ДЕЛ ПРИ ВЫПОЛНЕНИИ СЛУЖЕБНЫХ ОБЯЗАННОСТЕЙ</t>
  </si>
  <si>
    <t>978-5-16-019896-5</t>
  </si>
  <si>
    <t>40.02.02, 40.03.01, 40.05.02</t>
  </si>
  <si>
    <t>656395.07.01</t>
  </si>
  <si>
    <t>Обеспечение прав авторов лит. произв.: Моногр./ Т.Г.Макаров-М.:НИЦ ИНФРА-М,2023.-85с.(Науч.мысль)(О)</t>
  </si>
  <si>
    <t>ОБЕСПЕЧЕНИЕ ПРАВ АВТОРОВ ЛИТЕРАТУРНЫХ ПРОИЗВЕДЕНИЙ</t>
  </si>
  <si>
    <t>Макаров Т.Г.</t>
  </si>
  <si>
    <t>978-5-16-012764-4</t>
  </si>
  <si>
    <t>646042.08.01</t>
  </si>
  <si>
    <t>Обеспечение прав человека в деят. правоохран.органов: Уч. / А.А.Акмалова-М.:НИЦ ИНФРА-М,2024-395с(ВО)(П)</t>
  </si>
  <si>
    <t>ОБЕСПЕЧЕНИЕ ПРАВ ЧЕЛОВЕКА В ДЕЯТЕЛЬНОСТИ ПРАВООХРАНИТЕЛЬНЫХ ОРГАНОВ</t>
  </si>
  <si>
    <t>978-5-16-013051-4</t>
  </si>
  <si>
    <t>Рекомендовано в качестве учебника для студентов высших учебных заведений, обучающихся по направлению подготовки 40.05.02 «Правоохранительная деятельность» (квалификация «юрист»)</t>
  </si>
  <si>
    <t>667971.02.01</t>
  </si>
  <si>
    <t>Обеспечение эксплуатационной надежности механич. систем: Уч.пос./ А.В.Титенок-М.:НИЦ ИНФРА-М,2023-302с.(П)</t>
  </si>
  <si>
    <t>ОБЕСПЕЧЕНИЕ ЭКСПЛУАТАЦИОННОЙ НАДЕЖНОСТИ МЕХАНИЧЕСКИХ СИСТЕМ</t>
  </si>
  <si>
    <t>Титенок А.В.</t>
  </si>
  <si>
    <t>978-5-16-016324-6</t>
  </si>
  <si>
    <t>13.04.03, 15.03.01, 15.03.02, 20.03.01, 23.03.02, 23.04.02, 23.05.01, 26.03.02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</si>
  <si>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инженерным направлениям подготовки (квалификация (степень) «бакалавр») (протокол № 6 от 08.06.2022)</t>
  </si>
  <si>
    <t>Брянский государственный аграрный университет</t>
  </si>
  <si>
    <t>648397.02.01</t>
  </si>
  <si>
    <t>Обжалование в уголовном судопроизвод.: Уч.пос. / Паничева А.И. М.:Юр.Норма, НИЦ ИНФРА-М,2019-208с(П)</t>
  </si>
  <si>
    <t>ОБЖАЛОВАНИЕ В УГОЛОВНОМ СУДОПРОИЗВОДСТВЕ</t>
  </si>
  <si>
    <t>Паничева А.И., Панокин А.М., Рубинштейн Е.А.</t>
  </si>
  <si>
    <t>978-5-91768-803-9</t>
  </si>
  <si>
    <t>485850.06.01</t>
  </si>
  <si>
    <t>Обитаемость рабочих мест: Уч.пос. - М.:НИЦ ИНФРА-М,2023-135 с.(ВО: Бакалавриат)</t>
  </si>
  <si>
    <t>ОБИТАЕМОСТЬ РАБОЧИХ МЕСТ</t>
  </si>
  <si>
    <t>Невровский В.А.</t>
  </si>
  <si>
    <t>978-5-16-010367-9</t>
  </si>
  <si>
    <t>27.03.03, 37.03.01</t>
  </si>
  <si>
    <t>Допущено Учебно-методическим советом МАТИ в качестве учебного пособия для студентов высших учебных заведений, обучающихся по направлению подготовки 2703.03 "Системный анализ и управление»</t>
  </si>
  <si>
    <t>700689.03.01</t>
  </si>
  <si>
    <t>Обобщенные графы и грамматики: Уч.пос. / А.И.Миков - М.:НИЦ ИНФРА-М,2024 - 192 с.(ВО: Магистр/)(П)</t>
  </si>
  <si>
    <t>ОБОБЩЕННЫЕ ГРАФЫ И ГРАММАТИКИ</t>
  </si>
  <si>
    <t>Миков А.И.</t>
  </si>
  <si>
    <t>978-5-16-014970-7</t>
  </si>
  <si>
    <t>02.04.01, 02.04.02, 02.04.03, 09.04.01, 09.04.02, 09.04.03, 09.04.04, 09.05.01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</si>
  <si>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02.00.00 «Компьютерные и информационные науки», 09.00.00 «Информатика и вычислительная техника» (квалификация (степень) «магистр») (протокол № 12 от 14.12.2020)</t>
  </si>
  <si>
    <t>340900.12.01</t>
  </si>
  <si>
    <t>Обогащение полезных ископаемых: Уч.пос. / К.И.Лукина и др. - М.:НИЦ ИНФРА-М,2025. - 224 с.(ВО)(п)</t>
  </si>
  <si>
    <t>ОБОГАЩЕНИЕ ПОЛЕЗНЫХ ИСКОПАЕМЫХ</t>
  </si>
  <si>
    <t>Лукина К.И., Якушкин В.П., Муклакова А.Н.</t>
  </si>
  <si>
    <t>978-5-16-020659-2</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</si>
  <si>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специальностям 21.05.04 «Горное дело» и 21.05.05 «Физические процессы горного или нефтегазового производства» (квалификация «горный инженер»)</t>
  </si>
  <si>
    <t>168600.04.01</t>
  </si>
  <si>
    <t>Оборудование для произв. тары и упаковки: Уч.пос. / В.Г.Шипинский - М.: ИНФРА-М, 2019.-624с.(ВО)</t>
  </si>
  <si>
    <t>ОБОРУДОВАНИЕ ДЛЯ ПРОИЗВОДСТВА ТАРЫ И УПАКОВКИ</t>
  </si>
  <si>
    <t>Шипинский В. Г.</t>
  </si>
  <si>
    <t>978-5-16-005290-8</t>
  </si>
  <si>
    <t>15.03.02, 15.04.01, 15.04.02, 29.03.03, 29.04.03</t>
  </si>
  <si>
    <t>Допущено Министерством образования Республики Беларусь в качестве учебного пособия для студентов специальностей "Упаковочное производство" учреждений, обеспечивающих получение высшего образования</t>
  </si>
  <si>
    <t>343600.09.01</t>
  </si>
  <si>
    <t>Оборудование перерабатывающих произв.: Уч. / А.А.Курочкин и др. - М.:НИЦ ИНФРА-М,2025 - 363 с.-(ВО:Бак.)(П)</t>
  </si>
  <si>
    <t>ОБОРУДОВАНИЕ ПЕРЕРАБАТЫВАЮЩИХ ПРОИЗВОДСТВ</t>
  </si>
  <si>
    <t>Курочкин А.А., Шабурова Г.В., Зимняков В.М. и др.</t>
  </si>
  <si>
    <t>978-5-16-010779-0</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</si>
  <si>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35.03.07 «Технология производства и переработки сельскохозяйственной продукции»</t>
  </si>
  <si>
    <t>Пензенский государственный технологический университет</t>
  </si>
  <si>
    <t>084920.18.01</t>
  </si>
  <si>
    <t>Оборудование предприятий общ. пит.: Уч.пос. / В.Ф.Кащенко - 2 изд. - М.:НИЦ ИНФРА-М,2025 - 373 с.(П)</t>
  </si>
  <si>
    <t>ОБОРУДОВАНИЕ ПРЕДПРИЯТИЙ ОБЩЕСТВЕННОГО ПИТАНИЯ, ИЗД.2</t>
  </si>
  <si>
    <t>Кащенко В.Ф., Кащенко Р.В.</t>
  </si>
  <si>
    <t>978-5-16-014118-3</t>
  </si>
  <si>
    <t>15.01.18, 15.02.01, 15.02.06, 18.01.03, 18.01.26, 18.01.35, 18.02.04, 18.02.07, 18.02.09, 18.02.11, 18.02.14, 18.02.15, 19.01.09, 19.01.18, 19.01.19, 19.02.10, 19.02.11, 19.02.12, 19.02.13, 19.02.14, 35.02.18, 43.01.09, 43.02.15, 43.02.16</t>
  </si>
  <si>
    <t>Допущено Минобрнауки России в качестве учебного пособия для студентов образовательных учреждений среднего профессионального образования</t>
  </si>
  <si>
    <t>084920.11.01</t>
  </si>
  <si>
    <t>Оборудование предприятий общ. питания:Уч.пос. / В.Ф.Кащенко-М.:НИЦ ИНФРА-М,2018-412с(СПО)(П)</t>
  </si>
  <si>
    <t>ОБОРУДОВАНИЕ ПРЕДПРИЯТИЙ ОБЩЕСТВЕННОГО ПИТАНИЯ</t>
  </si>
  <si>
    <t>Кащенко В. Ф., Кащенко Р. В.</t>
  </si>
  <si>
    <t>978-5-16-013858-9</t>
  </si>
  <si>
    <t>Допущено Минобрнауки Российской Федерации в качестве учебного пособия для студентов образовательных учреждений среднего профессионального образования</t>
  </si>
  <si>
    <t>223200.10.01</t>
  </si>
  <si>
    <t>Оборудование термических цехов: Уч. / В.В.Овчинников - М.:ИД Форум, НИЦ ИНФРА-М,2024 - 368 с.(СПО)(П)</t>
  </si>
  <si>
    <t>ОБОРУДОВАНИЕ ТЕРМИЧЕСКИХ ЦЕХОВ</t>
  </si>
  <si>
    <t>978-5-8199-0561-6</t>
  </si>
  <si>
    <t>15.01.05, 15.02.19, 22.02.08</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</si>
  <si>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</si>
  <si>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700698.04.01</t>
  </si>
  <si>
    <t>Оборудование хлебопекар. производства: Прак.: Уч.пос. / А.А.Курочкин - М.:НИЦ ИНФРА-М,2024 - 231 с.(ВО)(п)</t>
  </si>
  <si>
    <t>ОБОРУДОВАНИЕ ХЛЕБОПЕКАРНОГО ПРОИЗВОДСТВА. ПРАКТИКУМ</t>
  </si>
  <si>
    <t>Курочкин А.А., Шабурова Г.В.</t>
  </si>
  <si>
    <t>978-5-16-019960-3</t>
  </si>
  <si>
    <t>19.03.02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</si>
  <si>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11 от 09.11.2020)</t>
  </si>
  <si>
    <t>831314.01.01</t>
  </si>
  <si>
    <t>Оборудование хлебопекар. производства: Прак.: Уч.пос. / А.А.Курочкин-М.:НИЦ ИНФРА-М,2024.-231 с.(СПО)(п)</t>
  </si>
  <si>
    <t>978-5-16-019955-9</t>
  </si>
  <si>
    <t>19.02.11</t>
  </si>
  <si>
    <t>251500.08.01</t>
  </si>
  <si>
    <t>Обрабатывающий инструмент в машиностр.: Уч./С.С.Клименков - ИНФРА-М; Мн.: Нов. знан., 2024-459с.(ВО) (п)</t>
  </si>
  <si>
    <t>ОБРАБАТЫВАЮЩИЙ ИНСТРУМЕНТ В МАШИНОСТРОЕНИИ</t>
  </si>
  <si>
    <t>Клименков С. С.</t>
  </si>
  <si>
    <t>978-5-16-009371-0</t>
  </si>
  <si>
    <t>Утверждено Министерством образования Республики Беларусь г качестве учебника для студентов учреждений высшего образования по машиностроительным специальностям</t>
  </si>
  <si>
    <t>Витебский государственный технологический университет</t>
  </si>
  <si>
    <t>707077.04.01</t>
  </si>
  <si>
    <t>Обработка материалов резанием: Уч.пос. / С.Э.Завистовский - М.:НИЦ ИНФРА-М,2025 - 448 с.-(СПО)(П)</t>
  </si>
  <si>
    <t>ОБРАБОТКА МАТЕРИАЛОВ РЕЗАНИЕМ</t>
  </si>
  <si>
    <t>Завистовский С.Э.</t>
  </si>
  <si>
    <t>978-5-16-015219-6</t>
  </si>
  <si>
    <t>15.02.01, 15.02.03, 15.02.04, 15.02.16, 15.02.17, 15.02.18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</si>
  <si>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5 от 11.03.2019)</t>
  </si>
  <si>
    <t>675202.07.01</t>
  </si>
  <si>
    <t>Обработка осадков сточных вод: Уч.пос. / Б.С.Ксенофонтов - М.:НИЦ ИНФРА-М,2025 - 262 с(ВО)(П)</t>
  </si>
  <si>
    <t>ОБРАБОТКА ОСАДКОВ СТОЧНЫХ ВОД</t>
  </si>
  <si>
    <t>978-5-16-014577-8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</si>
  <si>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20.04.00 «Техносферная безопасность и природообустройство» (квалификация (степень) «магистр») (протокол № 10 от 27.05.2019)</t>
  </si>
  <si>
    <t>764638.01.01</t>
  </si>
  <si>
    <t>Обработка отраслевой информации: Уч.пос. / В.Н.Шитов-М.:НИЦ ИНФРА-М,2022.-184 с.(СПО)(П)</t>
  </si>
  <si>
    <t>ОБРАБОТКА ОТРАСЛЕВОЙ ИНФОРМАЦИИ</t>
  </si>
  <si>
    <t>978-5-16-017373-3</t>
  </si>
  <si>
    <t>09.02.05, 51.02.03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</si>
  <si>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 от 12.01.2022)</t>
  </si>
  <si>
    <t>666958.04.01</t>
  </si>
  <si>
    <t>Обработка эксперимент. данных на ЭВМ: Уч. / О.С.Логунова - 2 изд.-М.:НИЦ ИНФРА-М,2023.-377 с.(ВО)(П)</t>
  </si>
  <si>
    <t>ОБРАБОТКА ЭКСПЕРИМЕНТАЛЬНЫХ ДАННЫХ НА ЭВМ, ИЗД.2</t>
  </si>
  <si>
    <t>Логунова О.С., Романов П.Ю., Ильина Е.А.</t>
  </si>
  <si>
    <t>978-5-16-015870-9</t>
  </si>
  <si>
    <t>09.03.01, 09.03.02, 09.03.03, 09.03.04, 09.04.01, 09.04.02, 09.04.03, 09.04.04, 09.05.01, 11.03.02</t>
  </si>
  <si>
    <t>Рекомендовано Межрегиональным учебно-методическим советом профессионального образования в качестве учебника при подготовке кадров высшей квалификации по программам подготовки научно-педагогических кадров в аспирантуре (протокол № 8 от 22.06.2020)</t>
  </si>
  <si>
    <t>666958.02.01</t>
  </si>
  <si>
    <t>Обработка экспериментальных данных на ЭВМ: Уч. / О.С.Логунова и др.-М.:НИЦ ИНФРА-М,2019.-326с(ВО)(П)</t>
  </si>
  <si>
    <t>ОБРАБОТКА ЭКСПЕРИМЕНТАЛЬНЫХ ДАННЫХ НА ЭВМ</t>
  </si>
  <si>
    <t>Логунова О.С., Романов П.Ю., Ильина Е.А. и др.</t>
  </si>
  <si>
    <t>978-5-16-013461-1</t>
  </si>
  <si>
    <t>Рекомендовано в качестве учебника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09.03.03 «Прикладная информатика» 09.03.04 «Программная инженерия» (квалификация (степень) «бакалавр»)</t>
  </si>
  <si>
    <t>645329.08.01</t>
  </si>
  <si>
    <t>Образовательное право: Уч. / Д.А.Пашенцев - М.:НИЦ ИНФРА-М,2025 - 180 с.(ВО: Бакалавр.)(П)</t>
  </si>
  <si>
    <t>ОБРАЗОВАТЕЛЬНОЕ ПРАВО</t>
  </si>
  <si>
    <t>978-5-16-016096-2</t>
  </si>
  <si>
    <t>40.03.01, 40.04.01, 40.05.01, 40.05.02, 40.05.03, 40.05.04, 44.03.01, 44.03.02, 44.03.03, 44.03.05, 44.04.01, 44.04.02, 44.04.03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</si>
  <si>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40.03.01 «Юриспруденция» (квалификация (степень) «бакалавр»)</t>
  </si>
  <si>
    <t>670465.03.01</t>
  </si>
  <si>
    <t>Образовательные проц. и ресурсы высшей школы в области..: Уч. / А.Ю.Коловская-М:НИЦ ИНФРА-М,СФУ,2023-531с</t>
  </si>
  <si>
    <t>ОБРАЗОВАТЕЛЬНЫЕ ПРОЦЕССЫ И РЕСУРСЫ ВЫСШЕЙ ШКОЛЫ В ОБЛАСТИ РАДИОЭЛЕКТРОНИКИ</t>
  </si>
  <si>
    <t>Коловская А.Ю., Коловская Л.В.</t>
  </si>
  <si>
    <t>978-5-16-013371-3</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</si>
  <si>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учебника для студентов вузов по направлению 11.04.01 «Конструирование и технология электронных средств»</t>
  </si>
  <si>
    <t>749700.04.01</t>
  </si>
  <si>
    <t>Обращение граждан в органы публичной власти: Уч. / С.В.Нарутто - М.:Юр.Норма, НИЦ ИНФРА-М,2025. - 496 с.(П)</t>
  </si>
  <si>
    <t>ОБРАЩЕНИЕ ГРАЖДАН В ОРГАНЫ ПУБЛИЧНОЙ ВЛАСТИ</t>
  </si>
  <si>
    <t>Нарутто С.В.</t>
  </si>
  <si>
    <t>978-5-00156-140-8</t>
  </si>
  <si>
    <t>40.03.01, 40.04.01, 40.05.02, 44.03.05</t>
  </si>
  <si>
    <t>673673.12.01</t>
  </si>
  <si>
    <t>Обращение с отходами производства и потребления: Уч.пос. / Б.Б.Бобович-М.:НИЦ ИНФРА-М,2025-436 с.(ВО)(П)</t>
  </si>
  <si>
    <t>ОБРАЩЕНИЕ С ОТХОДАМИ ПРОИЗВОДСТВА И ПОТРЕБЛЕНИЯ</t>
  </si>
  <si>
    <t>Бобович Б.Б.</t>
  </si>
  <si>
    <t>978-5-16-013696-7</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</si>
  <si>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</si>
  <si>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061800.20.01</t>
  </si>
  <si>
    <t>Обследование и испытание констр. зданий и сооруж.: Уч. / В.М.Калинин - М.:НИЦ ИНФРА-М,2025 - 336 с.(СПО)(п)</t>
  </si>
  <si>
    <t>ОБСЛЕДОВАНИЕ И ИСПЫТАНИЕ КОНСТРУКЦИЙ ЗДАНИЙ И СООРУЖЕНИЙ</t>
  </si>
  <si>
    <t>Калинин В.М., Сокова С.Д., Топилин А.Н.</t>
  </si>
  <si>
    <t>978-5-16-004786-7</t>
  </si>
  <si>
    <t>08.02.01, 08.02.02, 08.02.14, 20.01.01, 20.02.04</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</si>
  <si>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08.02.01 «Строительство и эксплуатация зданий и сооружений»</t>
  </si>
  <si>
    <t>713679.05.01</t>
  </si>
  <si>
    <t>Обследование техн. сост. зданий и сооружений: Уч.пос./М.В.Яковлева-Форум: НИЦ ИНФРА-М,2025-159с(СПО)</t>
  </si>
  <si>
    <t>ОБСЛЕДОВАНИЕ ТЕХНИЧЕСКОГО СОСТОЯНИЯ ЗДАНИЙ И СООРУЖЕНИЙ</t>
  </si>
  <si>
    <t>Яковлева М.В., Фролов Е.А., Фролов А.Е. и др.</t>
  </si>
  <si>
    <t>978-5-00091-711-4</t>
  </si>
  <si>
    <t>08.02.01, 08.02.02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</si>
  <si>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08.02.01 «Строительство и эксплуатация зданий и сооружений» (протокол № 6 от 06.04.2020)</t>
  </si>
  <si>
    <t>328100.10.01</t>
  </si>
  <si>
    <t>Обследование техн. сост. зданий и сооружений: Уч.пос./М.В.Яковлева-Форум: НИЦ ИНФРА-М,2025-159с.(ВО)</t>
  </si>
  <si>
    <t>978-5-00091-468-7</t>
  </si>
  <si>
    <t>08.03.01, 08.04.01, 08.05.01, 08.05.02</t>
  </si>
  <si>
    <t>Рекомендовано государственным образовательным учреждением высшего образования «Московский государственный строительный университет» (МГСУ) в качестве учебного пособия для студентов высших учебных заведений, обучающихся по направлению подготовки 08.03.01 «Строительство» по профилю подготовки «Городское строительство»</t>
  </si>
  <si>
    <t>711978.04.01</t>
  </si>
  <si>
    <t>Обслуживание и рем. судовых теплообмен. аппаратов: Уч.пос. / Н.В.Шерстнев - М.:НИЦ ИНФРА-М,2025 - 232 с(П)</t>
  </si>
  <si>
    <t>ОБСЛУЖИВАНИЕ И РЕМОНТ СУДОВЫХ ТЕПЛООБМЕННЫХ АППАРАТОВ</t>
  </si>
  <si>
    <t>Шерстнев Н.В.</t>
  </si>
  <si>
    <t>978-5-16-015351-3</t>
  </si>
  <si>
    <t>18.01.27, 18.01.28, 19.01.01, 26.01.01, 26.01.03, 26.01.05, 26.01.07, 26.01.09, 26.02.01, 26.02.02, 26.02.03, 26.02.04, 26.02.05, 26.02.06, 35.01.32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</si>
  <si>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26.02.02 «Судостроение», 26.02.04 «Монтаж и техническое обслуживание судовых машин и механизмов», 26.02.05 «Эксплуатация судовых энергетических установок» (протокол № 11 от 10.06.2019)</t>
  </si>
  <si>
    <t>768746.03.01</t>
  </si>
  <si>
    <t>Обслуживание и ремонт судовых дизелей: Уч.: В 4 т.Т.3 / Н.В.Шерстнев - М.:НИЦ ИНФРА-М,2024. - 300 с.(П)</t>
  </si>
  <si>
    <t>ОБСЛУЖИВАНИЕ И РЕМОНТ СУДОВЫХ ДИЗЕЛЕЙ. В 4 ТОМАХ, Т.3</t>
  </si>
  <si>
    <t>Высшее образование: Специалитет (СевГУ)</t>
  </si>
  <si>
    <t>978-5-16-017435-8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</si>
  <si>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7 от 22.09.2021)</t>
  </si>
  <si>
    <t>732797.05.01</t>
  </si>
  <si>
    <t>Обслуживание и ремонт судовых дизелей: Уч.пос.: В 4 т.Т.1 / Н.В.Шерстнев - М.:НИЦ ИНФРА-М,2024 - 350 с.(ВО)(П)</t>
  </si>
  <si>
    <t>ОБСЛУЖИВАНИЕ И РЕМОНТ СУДОВЫХ ДИЗЕЛЕЙ, Т.1</t>
  </si>
  <si>
    <t>978-5-16-017379-5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</si>
  <si>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(степень) «инженер-механик») (протокол №7 от 22.09.2021г.)</t>
  </si>
  <si>
    <t>768745.05.01</t>
  </si>
  <si>
    <t>Обслуживание и ремонт судовых дизелей: Уч.пос.: В 4 т.Т.2 / Н.В.Шерстнев - М.:НИЦ ИНФРА-М,2024 - 299 с(П)</t>
  </si>
  <si>
    <t>ОБСЛУЖИВАНИЕ И РЕМОНТ СУДОВЫХ ДИЗЕЛЕЙ, Т.2</t>
  </si>
  <si>
    <t>978-5-16-017403-7</t>
  </si>
  <si>
    <t>768748.03.01</t>
  </si>
  <si>
    <t>Обслуживание и ремонт судовых дизелей: Уч.пос.: В 4 т.Т.4 / Н.В.Шерстнев - М.:НИЦ ИНФРА-М,2024. - 222 с.(П)</t>
  </si>
  <si>
    <t>ОБСЛУЖИВАНИЕ И РЕМОНТ СУДОВЫХ ДИЗЕЛЕЙ: В 4 Т., Т.4</t>
  </si>
  <si>
    <t>978-5-16-017460-0</t>
  </si>
  <si>
    <t>732796.04.01</t>
  </si>
  <si>
    <t>Обслуживание и ремонт судовых котлов: Уч.пос. / Н.В.Шерстнев - М.:НИЦ ИНФРА-М,2024. - 497 с.(ВО)(П)</t>
  </si>
  <si>
    <t>ОБСЛУЖИВАНИЕ И РЕМОНТ СУДОВЫХ КОТЛОВ</t>
  </si>
  <si>
    <t>978-5-16-016740-4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</si>
  <si>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6 от 16.06.2021)</t>
  </si>
  <si>
    <t>726976.03.01</t>
  </si>
  <si>
    <t>Обслуживание и ремонт судовых насосов: Уч.пос. / Н.В.Шерстнев - М.:НИЦ ИНФРА-М,2024. - 399 с.(ВО)(П)</t>
  </si>
  <si>
    <t>ОБСЛУЖИВАНИЕ И РЕМОНТ СУДОВЫХ НАСОСОВ</t>
  </si>
  <si>
    <t>978-5-16-020281-5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</si>
  <si>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26.05.06 «Эксплуатация судовых энергетических установок» (квалификация «инженер-механик») (протокол №10 от 12.10.2020)</t>
  </si>
  <si>
    <t>753621.04.01</t>
  </si>
  <si>
    <t>Обслуживание и ремонт судовых насосов: Уч.пос. / Н.В.Шерстнев - М.:НИЦ ИНФРА-М,2025 - 399 с.(СПО)(п)</t>
  </si>
  <si>
    <t>978-5-16-016816-6</t>
  </si>
  <si>
    <t>18.01.27, 18.01.28, 19.01.01, 26.01.01, 26.01.03, 26.01.05, 26.01.07, 26.01.09, 26.02.01, 26.02.03, 26.02.04, 26.02.05, 26.02.06, 35.01.32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</si>
  <si>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10 от 12.10.2020)</t>
  </si>
  <si>
    <t>700980.04.01</t>
  </si>
  <si>
    <t>Обслуживание и ремонт судовых теплообмен. аппаратов:Уч.пос. / Н.В.Шерстнев-М.:НИЦ ИНФРА-М,2023.-232 с.(ВО)</t>
  </si>
  <si>
    <t>978-5-16-014895-3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</si>
  <si>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26.05.00 «Техника и технологии кораблестроения и водного транспорта» (квалификация «инженер») (протокол № 3 от 11.02.2019)</t>
  </si>
  <si>
    <t>734790.01.01</t>
  </si>
  <si>
    <t>Обслуживание и ремонт судовых трубопроводов, арматуры..: Уч.пос. / Н.В.Шерстнев-М.:НИЦ ИНФРА-М,2020.-372 с.(СПО)(П)</t>
  </si>
  <si>
    <t>ОБСЛУЖИВАНИЕ И РЕМОНТ СУДОВЫХ ТРУБОПРОВОДОВ, АРМАТУРЫ И ФИЛЬТРОВ</t>
  </si>
  <si>
    <t>978-5-16-016152-5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</si>
  <si>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17 от 11.11.2019)</t>
  </si>
  <si>
    <t>719197.05.01</t>
  </si>
  <si>
    <t>Обслуживание и ремонт судовых трубопроводов...: Уч.пос. / Н.В.Шерстнев - М.:НИЦ ИНФРА-М,2024. - 372 с.(П)</t>
  </si>
  <si>
    <t>978-5-16-015739-9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</si>
  <si>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17 от 11.11.2019)</t>
  </si>
  <si>
    <t>669255.05.01</t>
  </si>
  <si>
    <t>Обучение карате-до детей дош. возраста: Уч.практ.пос. / З.Б.Губжоков-М.:НИЦ ИНФРА-М,2023.-167 с.(П)</t>
  </si>
  <si>
    <t>ОБУЧЕНИЕ КАРАТЕ-ДО ДЕТЕЙ ДОШКОЛЬНОГО ВОЗРАСТА</t>
  </si>
  <si>
    <t>Губжоков З.Б., Борисова М.М.</t>
  </si>
  <si>
    <t>978-5-16-014303-3</t>
  </si>
  <si>
    <t>44.03.01, 49.03.01, 49.04.03</t>
  </si>
  <si>
    <t>693010.07.01</t>
  </si>
  <si>
    <t>Обучение матем. в дошк. обр. орг.: Уч.мет.пос. / А.В.Белошистая - 2 изд.-М.:НИЦ ИНФРА-М,2025-320с.(СПО)(П)</t>
  </si>
  <si>
    <t>ОБУЧЕНИЕ МАТЕМАТИКЕ В ДОШКОЛЬНЫХ ОБРАЗОВАТЕЛЬНЫХ ОРГАНИЗАЦИЯХ, ИЗД.2</t>
  </si>
  <si>
    <t>978-5-16-014433-7</t>
  </si>
  <si>
    <t>44.02.01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</si>
  <si>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44.02.01 «Дошкольное образование»</t>
  </si>
  <si>
    <t>682996.08.01</t>
  </si>
  <si>
    <t>Обучение решению задач в нач.школе: Уч.пос. / А.В.Белошистая - 2 изд.,испр.-М.:НИЦ ИНФРА-М,2025-281(СПО)</t>
  </si>
  <si>
    <t>ОБУЧЕНИЕ РЕШЕНИЮ ЗАДАЧ В НАЧАЛЬНОЙ ШКОЛЕ, ИЗД.2</t>
  </si>
  <si>
    <t>978-5-16-013977-7</t>
  </si>
  <si>
    <t>44.02.02, 44.02.04, 44.02.05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</si>
  <si>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t>
  </si>
  <si>
    <t>756090.02.01</t>
  </si>
  <si>
    <t>Обучение решению задач по матем. в 4 кл.: Уч.пос. / А.В.Белошистая - М.:НИЦ ИНФРА-М,2025 - 285 с.(ВО)(п)</t>
  </si>
  <si>
    <t>ОБУЧЕНИЕ РЕШЕНИЮ ЗАДАЧ ПО МАТЕМАТИКЕ В 4 КЛАССЕ</t>
  </si>
  <si>
    <t>978-5-16-020552-6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</si>
  <si>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«бакалавр») (протокол № 1 от 20.01.2021)</t>
  </si>
  <si>
    <t>847558.01.01</t>
  </si>
  <si>
    <t>Обучение решению задач по матем. в 4 кл.: Уч.пос. / А.В.Белошистая - М.:НИЦ ИНФРА-М,2025 - 285 с.(СПО)(п)</t>
  </si>
  <si>
    <t>978-5-16-020551-9</t>
  </si>
  <si>
    <t>44.02.02, 44.02.05</t>
  </si>
  <si>
    <t>676294.06.01</t>
  </si>
  <si>
    <t>Обучение студ. с огранич. возмож. здоровья...: Метод. пос. / Е.В.Михальчи - М.:НИЦ ИНФРА-М,2025 - 152 с.(П)</t>
  </si>
  <si>
    <t>ОБУЧЕНИЕ СТУДЕНТОВ С ОГРАНИЧЕННЫМИ ВОЗМОЖНОСТЯМИ ЗДОРОВЬЯ И ИНВАЛИДНОСТЬЮ В СИСТЕМЕ ВЫСШЕГО ОБРАЗОВАНИЯ</t>
  </si>
  <si>
    <t>Михальчи Е.В.</t>
  </si>
  <si>
    <t>978-5-16-014746-8</t>
  </si>
  <si>
    <t>00.00.00, 44.03.03, 44.03.05, 44.04.03</t>
  </si>
  <si>
    <t>640301.06.01</t>
  </si>
  <si>
    <t>Общая  социальная педагогика. Основы теории: Уч.пос. / В.Л.Чекулаенко-М.:НИЦ ИНФРА-М,2024.-191 с.(ВО)(п)</t>
  </si>
  <si>
    <t>ОБЩАЯ  СОЦИАЛЬНАЯ ПЕДАГОГИКА. ОСНОВЫ ТЕОРИИ</t>
  </si>
  <si>
    <t>Чекулаенко В.Л.</t>
  </si>
  <si>
    <t>978-5-16-019266-6</t>
  </si>
  <si>
    <t>39.03.02, 44.03.01, 44.03.02, 44.03.03</t>
  </si>
  <si>
    <t>798336.01.01</t>
  </si>
  <si>
    <t>Общая  социальная педагогика. Основы теории: Уч.пос. / В.Л.Чекулаенко-М:НИЦ ИНФРА-М,2023-191с(СПО)(П)</t>
  </si>
  <si>
    <t>978-5-16-018315-2</t>
  </si>
  <si>
    <t>00.01.04, 00.02.15, 39.02.01, 44.02.01, 44.02.02, 44.02.03, 44.02.04, 44.02.05, 44.02.06, 49.02.01, 49.02.02, 51.02.01, 51.02.03, 53.02.01, 54.02.06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</si>
  <si>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9 от 17.11.2022)</t>
  </si>
  <si>
    <t>751195.02.01</t>
  </si>
  <si>
    <t>Общая геология. Новое о Земле: Уч.пос. / Н.В.Короновский-М.:НИЦ ИНФРА-М,2023.-182 с.(ВО)(п)</t>
  </si>
  <si>
    <t>ОБЩАЯ ГЕОЛОГИЯ. НОВОЕ О ЗЕМЛЕ</t>
  </si>
  <si>
    <t>Короновский Н.В., Брянцева Г.В.</t>
  </si>
  <si>
    <t>978-5-16-017164-7</t>
  </si>
  <si>
    <t>05.03.01, 21.05.02, 21.05.03, 21.05.04</t>
  </si>
  <si>
    <t>634605.09.01</t>
  </si>
  <si>
    <t>Общая геология: практ. занятия: Уч.пос. / А.И.Гущин - М.:НИЦ ИНФРА-М,2023 - 236 с.(ВО)(п)</t>
  </si>
  <si>
    <t>ОБЩАЯ ГЕОЛОГИЯ: ПРАКТИЧЕСКИЕ ЗАНЯТИЯ</t>
  </si>
  <si>
    <t>Гущин А.И., Романовская М.А., Брянцева Г.В. и др.</t>
  </si>
  <si>
    <t>978-5-16-019205-5</t>
  </si>
  <si>
    <t>05.03.01, 05.03.02, 06.03.02</t>
  </si>
  <si>
    <t>Рекомендовано в качестве учебного пособия для студентов высших учебных заведений, обучающихся по направлениям подготовки 05.03.01 «Геология», 05.03.02 «География», 06.03.02 «Почвоведение» (квалификация (степень) «бакалавр»)</t>
  </si>
  <si>
    <t>296000.05.01</t>
  </si>
  <si>
    <t>Общая геология: твиты о Земле / Н.В.Короновский - М.:НИЦ ИНФРА-М,2020 - 154 с.(О)</t>
  </si>
  <si>
    <t>ОБЩАЯ ГЕОЛОГИЯ: ТВИТЫ О ЗЕМЛЕ</t>
  </si>
  <si>
    <t>978-5-16-011823-9</t>
  </si>
  <si>
    <t>Твитбук</t>
  </si>
  <si>
    <t>403000.06.01</t>
  </si>
  <si>
    <t>Общая геология: Уч. / Н.В.Короновский - 2 изд. - М.:НИЦ ИНФРА-М,2024 - 474 с.(ВО)(п)</t>
  </si>
  <si>
    <t>ОБЩАЯ ГЕОЛОГИЯ, ИЗД.2</t>
  </si>
  <si>
    <t>978-5-16-018945-1</t>
  </si>
  <si>
    <t>05.03.01, 05.03.06, 05.04.01, 20.03.02, 21.05.02</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</si>
  <si>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подготовки 05.03.01 «Геология» (квалификация (степень) «бакалавр»)</t>
  </si>
  <si>
    <t>350800.09.01</t>
  </si>
  <si>
    <t>Общая и ветеринарная экология: Уч. / В.Н.Кисленко - М.:НИЦ ИНФРА-М,2025 - 344 с.-(ВО: Бакалавриат)(П)</t>
  </si>
  <si>
    <t>ОБЩАЯ И ВЕТЕРИНАРНАЯ ЭКОЛОГИЯ</t>
  </si>
  <si>
    <t>Кисленко В.Н., Калиненко Н.А.</t>
  </si>
  <si>
    <t>978-5-16-010860-5</t>
  </si>
  <si>
    <t>Допущен Министерством сельского хозяйства Российской Федерации в качестве учебника для студентов высших учебных заведений, обучающихся по направлениям подготовки 36.00.00 «Ветеринария и зоотехния»</t>
  </si>
  <si>
    <t>842442.01.01</t>
  </si>
  <si>
    <t>Общая и неорганич. химия в схемах...: Уч.пос. / А.П.Гаршин - 2 изд. - М.:НИЦ ИНФРА-М,2025 - 304 с(СПО)(п)</t>
  </si>
  <si>
    <t>ОБЩАЯ И НЕОРГАНИЧЕСКАЯ ХИМИЯ В СХЕМАХ, РИСУНКАХ, ТАБЛИЦАХ, ХИМИЧЕСКИХ РЕАКЦИЯХ, ИЗД.2</t>
  </si>
  <si>
    <t>Гаршин А.П.</t>
  </si>
  <si>
    <t>978-5-16-020345-4</t>
  </si>
  <si>
    <t>18.01.01, 18.01.35, 18.02.01, 18.02.04, 18.02.05, 18.02.07, 18.02.09, 18.02.10, 18.02.11, 18.02.12, 18.02.14, 18.02.15, 32.02.01, 33.02.01</t>
  </si>
  <si>
    <t>728407.04.01</t>
  </si>
  <si>
    <t>Общая и неорганическая химия в схемах...: Уч.пос. / А.П.Гаршин - 2 изд. - М.:НИЦ ИНФРА-М,2024 - 304 с(ВО)(п)</t>
  </si>
  <si>
    <t>978-5-16-018765-5</t>
  </si>
  <si>
    <t>04.03.01, 04.03.02, 33.05.01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</si>
  <si>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нехимическим направлениям подготовки (квалификация (степень) «бакалавр») (протокол № 8 от 22.06.2020)</t>
  </si>
  <si>
    <t>204600.07.01</t>
  </si>
  <si>
    <t>Общая и прикладная статистика: Уч. / Р.Н. Пахунова - М.: НИЦ ИНФРА-М, 2025 - 272 с. (ВО: Бакалавр.) (п)</t>
  </si>
  <si>
    <t>ОБЩАЯ И ПРИКЛАДНАЯ СТАТИСТИКА</t>
  </si>
  <si>
    <t>Пахунова Р. Н., Аскеров П. Ф., Пахунов А. В., Пахунова Р. Н.</t>
  </si>
  <si>
    <t>978-5-16-006669-1</t>
  </si>
  <si>
    <t>Рекомендовано Учебно-методическим объединением по образованию в области статистики в качестве учебника для студентов высших учебных заведений, обучающихся по направлению «Статистика» и другим экономическим специальностям</t>
  </si>
  <si>
    <t>431860.11.01</t>
  </si>
  <si>
    <t>Общая и профессиональная педагогика: Уч. / Г.Н.Жуков - 2 изд. - М.:НИЦ ИНФРА-М,2024-425 с.-(СПО)(П)</t>
  </si>
  <si>
    <t>ОБЩАЯ И ПРОФЕССИОНАЛЬНАЯ ПЕДАГОГИКА, ИЗД.2</t>
  </si>
  <si>
    <t>Жуков Г. Н., Матросов П. Г.</t>
  </si>
  <si>
    <t>978-5-16-012546-6</t>
  </si>
  <si>
    <t>Рекомендовано в качестве учебника для учебных заведений, реализующих программу среднего профессионального образования по специальности 44.02.06 «Профессиональное обучение (по отраслям)»</t>
  </si>
  <si>
    <t>021521.16.01</t>
  </si>
  <si>
    <t>Общая и социальная психология: Уч. / М.И. Еникеев. - 2 изд. - М.: Норма: НИЦ ИНФРА-М, 2025 - 640 с. (п)</t>
  </si>
  <si>
    <t>ОБЩАЯ И СОЦИАЛЬНАЯ ПСИХОЛОГИЯ, ИЗД.2</t>
  </si>
  <si>
    <t>Еникеев М. И.</t>
  </si>
  <si>
    <t>978-5-91768-086-6</t>
  </si>
  <si>
    <t>39.03.01, 39.03.02, 39.03.03, 40.03.01, 40.05.01, 40.05.02, 40.05.03</t>
  </si>
  <si>
    <t>429500.15.01</t>
  </si>
  <si>
    <t>Общая психокоррекция: Уч.пос. / Б.Р.Мандель - М.:Вуз.уч.,НИЦ ИНФРА-М,2025 - 349 с.(П)</t>
  </si>
  <si>
    <t>ОБЩАЯ ПСИХОКОРРЕКЦИЯ</t>
  </si>
  <si>
    <t>978-5-9558-0290-9</t>
  </si>
  <si>
    <t>31.05.01, 31.05.02, 31.08.20, 31.08.22, 32.04.01, 34.03.01, 37.03.01, 37.03.02, 37.05.01, 44.03.01, 44.03.02</t>
  </si>
  <si>
    <t>374700.03.01</t>
  </si>
  <si>
    <t>Общая психология в схемах и коммент.: Уч.пос. / В.Г.Крысько - 7 изд.-М.:Вуз.уч,НИЦ ИНФРА-М,2019-196с</t>
  </si>
  <si>
    <t>ОБЩАЯ ПСИХОЛОГИЯ В СХЕМАХ И КОММЕНТАРИЯХ, ИЗД.7</t>
  </si>
  <si>
    <t>Крысько В.Г.</t>
  </si>
  <si>
    <t>978-5-9558-0446-0</t>
  </si>
  <si>
    <t>00.03.15, 00.05.15, 37.03.01, 37.03.02, 37.05.01, 37.05.02</t>
  </si>
  <si>
    <t>374700.10.01</t>
  </si>
  <si>
    <t>Общая психология в схемах и коммент.: Уч.пос. / В.Г.Крысько - 8 изд. - М.:НИЦ ИНФРА-М,2025 - 196 с.(ВО)(п)</t>
  </si>
  <si>
    <t>ОБЩАЯ ПСИХОЛОГИЯ В СХЕМАХ И КОММЕНТАРИЯХ, ИЗД.8</t>
  </si>
  <si>
    <t>978-5-16-019559-9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</si>
  <si>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высшего образования (протокол № 2 от 28.01.2019)</t>
  </si>
  <si>
    <t>0819</t>
  </si>
  <si>
    <t>711274.07.01</t>
  </si>
  <si>
    <t>Общая психология в схемах и комментариях: Уч.пос. / В.Г.Крысько - 8 изд.,-М.:НИЦ ИНФРА-М,2025-196с(СПО)(П)</t>
  </si>
  <si>
    <t>978-5-16-015329-2</t>
  </si>
  <si>
    <t>00.01.04, 00.02.15, 11.02.15, 26.02.03, 38.02.01, 38.02.02, 38.02.03, 38.02.06, 38.02.07, 38.02.08, 39.02.01, 39.02.03, 40.02.02, 40.02.04, 42.02.01, 42.02.08, 43.02.01, 43.02.02, 43.02.06, 43.02.15, 43.02.16, 43.02.17, 44.02.06, 50.02.01, 51.02.02, 49.02.03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</si>
  <si>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5 от 11.03.2019)</t>
  </si>
  <si>
    <t>657342.03.01</t>
  </si>
  <si>
    <t>Общая психология. Практикум:Уч.пос. / Е.Е.Сапогова, - 2 изд.-М.:НИЦ ИНФРА-М,2023.-625 с..-(ВО)(П)</t>
  </si>
  <si>
    <t>ОБЩАЯ ПСИХОЛОГИЯ. ПРАКТИКУМ, ИЗД.2</t>
  </si>
  <si>
    <t>978-5-16-018642-9</t>
  </si>
  <si>
    <t>37.03.01, 37.05.01, 37.05.02, 44.03.01, 44.03.02, 44.03.03, 44.03.04, 44.03.05, 44.05.01</t>
  </si>
  <si>
    <t>Допущено Министерством образования Российской Федерации в качестве учебного пособия для студентов высших учебных заведений, обучающихся по направлению и специальностям «Психология»</t>
  </si>
  <si>
    <t>665055.07.01</t>
  </si>
  <si>
    <t>Общая психология: Уч.пос. / Г.С.Абрамова - 2 изд.- М.:НИЦ ИНФРА-М,2025 - 496 с.-(ВО)(п)</t>
  </si>
  <si>
    <t>ОБЩАЯ ПСИХОЛОГИЯ, ИЗД.2</t>
  </si>
  <si>
    <t>Абрамова Г.С.</t>
  </si>
  <si>
    <t>978-5-16-018685-6</t>
  </si>
  <si>
    <t>37.03.01, 37.04.01, 37.05.01, 44.03.04, 44.03.05</t>
  </si>
  <si>
    <t>Рекомендовано в качестве учебного пособия для студентов высших учебных заведений, обучающихся по направлениям подготовки 37.03.01 «Психология», 37.03.02 «Конфликтология», 44.03.02 «Психолого-педагогическое образование» (квалификация (степень) «бакалавр»)</t>
  </si>
  <si>
    <t>424750.07.01</t>
  </si>
  <si>
    <t>Общая социология: Уч. пос. / К.М. Оганян. - 4 изд. - М.: НИЦ ИНФРА-М, 2024. - 236 с.(ВО)(п)</t>
  </si>
  <si>
    <t>ОБЩАЯ СОЦИОЛОГИЯ, ИЗД.4</t>
  </si>
  <si>
    <t>Оганян К. М.</t>
  </si>
  <si>
    <t>978-5-16-019666-4</t>
  </si>
  <si>
    <t>00.03.10, 00.05.10, 39.03.01, 39.03.02, 39.03.03</t>
  </si>
  <si>
    <t>Рекомендовано Учебно-методическим объединением вузов по классическому университетскому образованию в качестве учебного пособия для студентов высших учебных заведений, обучающихся по направлению «Социология»</t>
  </si>
  <si>
    <t>026220.18.01</t>
  </si>
  <si>
    <t>Общая социология: Уч.пос. / Под общ. ред. А.Г.Эфендиева и др.-М.:НИЦ ИНФРА-М,2023-654с(ВО)(П)</t>
  </si>
  <si>
    <t>ОБЩАЯ СОЦИОЛОГИЯ</t>
  </si>
  <si>
    <t>Эфендиев А.Г., Эфендиев А.Г., Кравченко Е.И. и др.</t>
  </si>
  <si>
    <t>978-5-16-018365-7</t>
  </si>
  <si>
    <t>00.03.10, 00.05.10</t>
  </si>
  <si>
    <t>Рекомендовано Министерством образовании и науки Российской Федерации в качестве учебного пособия для студентов высших учебных заведений</t>
  </si>
  <si>
    <t>658923.12.01</t>
  </si>
  <si>
    <t>Общая тактика. Упр. подразделениями в бою: Уч.пос. / Е.А.Драбатулин - М.:НИЦ ИНФРА-М, СФУ,2025 - 116 с.(О)</t>
  </si>
  <si>
    <t>ОБЩАЯ ТАКТИКА. УПРАВЛЕНИЕ ПОДРАЗДЕЛЕНИЯМИ В БОЮ</t>
  </si>
  <si>
    <t>Драбатулин Е.А., Байрамуков Ю.Б.</t>
  </si>
  <si>
    <t>978-5-16-016589-9</t>
  </si>
  <si>
    <t>56.05.01, 56.05.02, 56.05.03</t>
  </si>
  <si>
    <t>731570.09.01</t>
  </si>
  <si>
    <t>Общая тактика: Уч. / Ю.Б.Байрамуков - 2 изд. - М.:НИЦ ИНФРА-М,СФУ,2025 - 346 с.(Воен. обр. (СФУ))(п)</t>
  </si>
  <si>
    <t>ОБЩАЯ ТАКТИКА, ИЗД.2</t>
  </si>
  <si>
    <t>Байрамуков Ю.Б., Янович В.С., Гончарик С.В. и др.</t>
  </si>
  <si>
    <t>978-5-16-015987-4</t>
  </si>
  <si>
    <t>11.03.01, 11.05.01, 56.05.01, 56.05.02, 56.05.03, 56.05.04, 57.05.01, 57.05.02, 57.05.03</t>
  </si>
  <si>
    <t>Рекомендовано государственным учреждением высшего профессионального образования Военным учебно-научным центром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специальностям «Автоматизированные системы обработки информации и управления» и «Радиотехника»</t>
  </si>
  <si>
    <t>667642.04.01</t>
  </si>
  <si>
    <t>Общая теория воспитания: Уч.пос. / С.Ю.Темина - М.:НИЦ ИНФРА-М,2023 - 210 с.(ВО)(П)</t>
  </si>
  <si>
    <t>ОБЩАЯ ТЕОРИЯ ВОСПИТАНИЯ</t>
  </si>
  <si>
    <t>Темина С.Ю.</t>
  </si>
  <si>
    <t>978-5-16-013457-4</t>
  </si>
  <si>
    <t>44.03.01, 44.03.02, 44.03.03, 44.03.05, 44.04.01, 44.04.02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</si>
  <si>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t>
  </si>
  <si>
    <t>842121.01.01</t>
  </si>
  <si>
    <t>Общая теория воспитания: Уч.пос. / С.Ю.Темина - М.:НИЦ ИНФРА-М,2025 - 210 с.(СПО)(п)</t>
  </si>
  <si>
    <t>978-5-16-020313-3</t>
  </si>
  <si>
    <t>022360.21.01</t>
  </si>
  <si>
    <t>Общая теория права и государства: Уч. / В.С.Нерсесянц - М.:Юр.Норма, НИЦ ИНФРА-М,2024 - 560 с.(п)</t>
  </si>
  <si>
    <t>ОБЩАЯ ТЕОРИЯ ПРАВА И ГОСУДАРСТВА</t>
  </si>
  <si>
    <t>978-5-91768-238-9</t>
  </si>
  <si>
    <t>669684.03.01</t>
  </si>
  <si>
    <t>Общая теория рыночной экономики: Уч. / А.Д.Некипелов-М.:Магистр, НИЦ ИНФРА-М,2023.-784 с.(П)</t>
  </si>
  <si>
    <t>ОБЩАЯ ТЕОРИЯ РЫНОЧНОЙ ЭКОНОМИКИ</t>
  </si>
  <si>
    <t>Некипелов А.Д.</t>
  </si>
  <si>
    <t>978-5-9776-0469-7</t>
  </si>
  <si>
    <t>074540.12.01</t>
  </si>
  <si>
    <t>Общая теория статистики: Уч. пос. / С.Н.Лысенко - М.:ИД Форум, ИНФРА-М Изд. Дом,2025. - 208 с.-(СПО)(п)</t>
  </si>
  <si>
    <t>ОБЩАЯ ТЕОРИЯ СТАТИСТИКИ</t>
  </si>
  <si>
    <t>Лысенко С. Н., Дмитриева И. А.</t>
  </si>
  <si>
    <t>978-5-8199-0270-7</t>
  </si>
  <si>
    <t>083280.11.01</t>
  </si>
  <si>
    <t>Общая теория статистики: Уч./ В.Н. Едронова, М.В. Малафеева - 2 изд. - М.: Магистр, 2024 - 608 с. (п)</t>
  </si>
  <si>
    <t>ОБЩАЯ ТЕОРИЯ СТАТИСТИКИ, ИЗД.2</t>
  </si>
  <si>
    <t>Едронова В.Н., Малафеева М.В.</t>
  </si>
  <si>
    <t>978-5-9776-0011-8</t>
  </si>
  <si>
    <t>38.03.01, 38.03.02, 38.03.03, 38.03.04, 38.03.05, 38.03.06, 38.03.07, 38.04.01, 38.04.02, 38.04.03, 38.04.04, 38.04.05, 38.04.06, 38.04.07, 38.04.08, 38.04.09, 38.05.01, 38.05.02, 41.03.06</t>
  </si>
  <si>
    <t>Допущено Мин. обр. и науки РФ в качестве учебника для студентов высших учебных заведений, обучающихся по  экономическим специальностям и направлениям</t>
  </si>
  <si>
    <t>110400.10.01</t>
  </si>
  <si>
    <t>Общая теория статистики: Уч.пос. / С.Н.Лысенко - Изд. испр. и доп. - М:Вуз. уч.:НИЦ ИНФРА-М, 2025 - 219 с.(п)</t>
  </si>
  <si>
    <t>978-5-9558-0115-5</t>
  </si>
  <si>
    <t>Рекомендовано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специальности 061700 Статистика и другим экономическим специальностям</t>
  </si>
  <si>
    <t>056560.14.01</t>
  </si>
  <si>
    <t>Общая технология силикатов: Уч. / Л.М.Сулименко - М.:НИЦ ИНФРА-М,2025 - 336 с.(СПО)(о)</t>
  </si>
  <si>
    <t>ОБЩАЯ ТЕХНОЛОГИЯ СИЛИКАТОВ</t>
  </si>
  <si>
    <t>Сулименко Л. М.</t>
  </si>
  <si>
    <t>978-5-16-009741-1</t>
  </si>
  <si>
    <t>18.01.04, 18.01.06, 18.01.07, 18.01.08, 18.01.09, 18.01.10, 18.01.11, 18.01.12, 18.01.13, 18.01.14, 18.01.35, 18.02.05, 18.02.13, 18.02.14, 19.01.18</t>
  </si>
  <si>
    <t>Допущено Гос. комитетом РФ по строительству и жилищно-коммунальному комплексу в кач. учеб. для студ. сред. спец. учеб. зав., обуч. по спец. 2508 "Производство тугоплавких и силикатных материалов и изделий"</t>
  </si>
  <si>
    <t>660063.05.01</t>
  </si>
  <si>
    <t>Общая физика: сб. задач: Уч.пос. / Под ред. Павлова С.В. - М.:НИЦ ИНФРА-М,2023 - 319 с.(ВО: Бакалавр.)(П)</t>
  </si>
  <si>
    <t>ОБЩАЯ ФИЗИКА: СБОРНИК ЗАДАЧ</t>
  </si>
  <si>
    <t>Павлов С.В., Скипетрова Л.А., Павлов С.В.</t>
  </si>
  <si>
    <t>978-5-16-013262-4</t>
  </si>
  <si>
    <t>05.03.01, 05.03.02, 05.03.03, 05.03.04, 05.03.05, 05.03.06, 06.03.02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</si>
  <si>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05.03.01 «Геология», 05.03.02 «География», 05.03.06 «Экология и природопользование», 06.03.02 «Почвоведение» (квалификация (степень) «бакалавр»)</t>
  </si>
  <si>
    <t>708977.08.01</t>
  </si>
  <si>
    <t>Общая физиотерапия: Уч.мет.пос. / Т.В.Кулишова - 2 изд. - М.:НИЦ ИНФРА-М,2025 - 131 с.(ВО)(п)</t>
  </si>
  <si>
    <t>ОБЩАЯ ФИЗИОТЕРАПИЯ, ИЗД.2</t>
  </si>
  <si>
    <t>Кулишова Т.В., Табашникова Н.А., Каркавина А.Н.</t>
  </si>
  <si>
    <t>978-5-16-015324-7</t>
  </si>
  <si>
    <t>31.05.01, 31.05.02, 31.05.03, 31.06.01, 31.08.50</t>
  </si>
  <si>
    <t>Рекомендовано Межрегиональным учебно-методическим советом профессионального образования для использования в учебном процессе в образовательных учреждениях, реализующих основные профессиональные образовательные программы высшего образования по направлениям подготовки специалитета 31.05.01 «Лечебное дело», 31.05.02 «Педиатрия», 32.05.01 «Медико-профилактическое дело», 31.05.03 «Стоматология» (протокол № 12 от 24.06.2019)</t>
  </si>
  <si>
    <t>704994.06.01</t>
  </si>
  <si>
    <t>Общая характерис. и методы анализа эксперимент...: Уч.пос./ В.А.Кузьмин-М.:НИЦ ИНФРА-М,2025-80с(О)</t>
  </si>
  <si>
    <t>ОБЩАЯ ХАРАКТЕРИСТИКА И МЕТОДЫ АНАЛИЗА ЭКСПЕРИМЕНТАЛЬНЫХ ИССЛЕДОВАНИЙ РАДИОЭЛЕКТРОННЫХ СИСТЕМ</t>
  </si>
  <si>
    <t>Кузьмин В.А.</t>
  </si>
  <si>
    <t>978-5-16-015421-3</t>
  </si>
  <si>
    <t>11.03.01, 11.03.02, 11.03.03, 11.05.01</t>
  </si>
  <si>
    <t>301700.08.01</t>
  </si>
  <si>
    <t>Общая хим. технология в примерах, лаб. раб...: Уч.пос. / М.К.Кошелева, - 2 изд.-М.:НИЦ ИНФРА-М,2025.-210с(П)</t>
  </si>
  <si>
    <t>ОБЩАЯ ХИМИЧЕСКАЯ ТЕХНОЛОГИЯ В ПРИМЕРАХ, ЛАБОРАТОРНЫХ РАБОТАХ, ЗАДАЧАХ И ТЕСТАХ, ИЗД.2</t>
  </si>
  <si>
    <t>Кошелева М.К.</t>
  </si>
  <si>
    <t>978-5-16-020423-9</t>
  </si>
  <si>
    <t>18.03.01, 18.04.01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</si>
  <si>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18.03.01, 18.04.01 «Химическая технология»,18.03.02, 18.04.02 «Энерго- и ресурсосберегающие процессы в химической технологии, нефтехимии и биотехнологии», 20.03.01, 20.04.01 «Техносферная безопасность»</t>
  </si>
  <si>
    <t>301700.02.01</t>
  </si>
  <si>
    <t>Общая химическая технология в пример., зад., лаб..: Уч. пос./Л.Л.Товажнянский-ИНФРА-М,2017-447с.(ВО)</t>
  </si>
  <si>
    <t>ОБЩАЯ ХИМИЧЕСКАЯ ТЕХНОЛОГИЯ В ПРИМЕРАХ, ЗАДАЧАХ, ЛАБОРАТОРНЫХ РАБОТАХ И ТЕСТАХ</t>
  </si>
  <si>
    <t>Товажнянский Л.Л., Кошелева М.К., Бухкало С.И.</t>
  </si>
  <si>
    <t>978-5-16-010186-6</t>
  </si>
  <si>
    <t>Допущено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направлению 18.04.01 «Химическая технология"</t>
  </si>
  <si>
    <t>Харьковский политехнический институт</t>
  </si>
  <si>
    <t>799686.01.01</t>
  </si>
  <si>
    <t>Общая химия: Уч.пос. / Л.П.Поддубных-М.:НИЦ ИНФРА-М,2024.-178 с.(ВО (КрГАУ))(п)</t>
  </si>
  <si>
    <t>ОБЩАЯ ХИМИЯ</t>
  </si>
  <si>
    <t>Поддубных Л.П.</t>
  </si>
  <si>
    <t>978-5-16-019036-5</t>
  </si>
  <si>
    <t>35.03.03, 35.03.04, 35.03.05, 35.03.06, 35.03.07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</si>
  <si>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обучающихся по направлениям подготовки 35.03.03 «Агрохимия и агропочвоведение» и 35.03.04 «Агрономия»</t>
  </si>
  <si>
    <t>785315.02.01</t>
  </si>
  <si>
    <t>Общая хирургия. Учебные игры: Уч.пос. / Под ред. Оскреткова В.И.-М.:НИЦ ИНФРА-М,2024.-196 с.(ВО)(п)</t>
  </si>
  <si>
    <t>ОБЩАЯ ХИРУРГИЯ. УЧЕБНЫЕ ИГРЫ</t>
  </si>
  <si>
    <t>Оскретков В.И., Цеймах Е.А., Масликова С.А. и др.</t>
  </si>
  <si>
    <t>978-5-16-017939-1</t>
  </si>
  <si>
    <t>АКАДЕМУС-2022, Победитель, I место</t>
  </si>
  <si>
    <t>078120.09.01</t>
  </si>
  <si>
    <t>Общая хирургия: уч.пос. / Т.Д.Селезнева-М.:ИЦ РИОР,2023.-155 с..-(Карманное учебное пособие)(о)</t>
  </si>
  <si>
    <t>ОБЩАЯ ХИРУРГИЯ</t>
  </si>
  <si>
    <t>Селезнева Т. Д.</t>
  </si>
  <si>
    <t>5-369-00066-2</t>
  </si>
  <si>
    <t>299400.07.01</t>
  </si>
  <si>
    <t>Общая экология человека: Уч. /Б.Б.Прохоров - М.:НИЦ ИНФРА-М,2023 - 424с. (ВО:Бакалавриат)(П)</t>
  </si>
  <si>
    <t>ОБЩАЯ ЭКОЛОГИЯ ЧЕЛОВЕКА</t>
  </si>
  <si>
    <t>Б.Б.Прохоров, М.В.Черковец</t>
  </si>
  <si>
    <t>978-5-16-010142-2</t>
  </si>
  <si>
    <t>05.03.06, 05.04.06, 39.03.02, 39.04.02, 44.03.05</t>
  </si>
  <si>
    <t>Рекомендовано в качестве учебника для студентов высших учебных заведений,обучающихся по направлению подготовки 05.03.06. «Экология и природопользование» (квалификация (степень) «бакалавр»)</t>
  </si>
  <si>
    <t>063346.11.01</t>
  </si>
  <si>
    <t>Общая экология: Курс лекций / В.В.Маврищев - 3 изд. - М.:НИЦ ИНФРА-М,2025 - 299 с.(ВО)(п)</t>
  </si>
  <si>
    <t>ОБЩАЯ ЭКОЛОГИЯ, ИЗД.3</t>
  </si>
  <si>
    <t>Маврищев В. В.</t>
  </si>
  <si>
    <t>978-5-16-004684-6</t>
  </si>
  <si>
    <t>00.03.12, 00.05.12</t>
  </si>
  <si>
    <t>070700.18.01</t>
  </si>
  <si>
    <t>Общая экология: Уч. / М.В.Гальперин - 2 изд. - М.:Форум, НИЦ ИНФРА-М,2025 - 336 с.(СПО)(П)</t>
  </si>
  <si>
    <t>ОБЩАЯ ЭКОЛОГИЯ, ИЗД.2</t>
  </si>
  <si>
    <t>978-5-00091-469-4</t>
  </si>
  <si>
    <t>00.02.36, 00.02.37</t>
  </si>
  <si>
    <t>245600.05.01</t>
  </si>
  <si>
    <t>Общая экономическая теория: Уч. / А.Ю. Воронин - М.: НИЦ ИНФРА-М, 2022. - 518 с. (ВО: Бакалавриат). (п)</t>
  </si>
  <si>
    <t>ОБЩАЯ ЭКОНОМИЧЕСКАЯ ТЕОРИЯ</t>
  </si>
  <si>
    <t>Воронин А. Ю., Воронин А. Ю.</t>
  </si>
  <si>
    <t>978-5-16-009294-2</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</si>
  <si>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(квалификация (степень) «б</t>
  </si>
  <si>
    <t>336500.09.01</t>
  </si>
  <si>
    <t>Общая экономическая теория: Уч. / В.З.Баликоев - 16 изд. - М.:НИЦ ИНФРА-М,2024 - 528 с.(ВО)(п)</t>
  </si>
  <si>
    <t>ОБЩАЯ ЭКОНОМИЧЕСКАЯ ТЕОРИЯ, ИЗД.16</t>
  </si>
  <si>
    <t>Баликоев В.З.</t>
  </si>
  <si>
    <t>978-5-16-018864-5</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</si>
  <si>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38.03.01 «Экономика» (квалификация (степень) «бакалавр»)</t>
  </si>
  <si>
    <t>1615</t>
  </si>
  <si>
    <t>318900.10.01</t>
  </si>
  <si>
    <t>Общая электротехника и электроника: Уч. / Ю.А.Комиссаров - 2 изд. - М: НИЦ ИНФРА-М,2025 - 480 с.(ВО:Бакал.)</t>
  </si>
  <si>
    <t>ОБЩАЯ ЭЛЕКТРОТЕХНИКА И ЭЛЕКТРОНИКА, ИЗД.2</t>
  </si>
  <si>
    <t>Комиссаров Ю.А., Бабокин Г.И., Саркисова П.Д.</t>
  </si>
  <si>
    <t>978-5-16-010416-4</t>
  </si>
  <si>
    <t>Рекомендовано Учебно-методическим объединением в области химической технологии и биотехнологии Министерства образования и науки РФ в качестве учебника для студентов вузов, обучающихся по химико-технологическим направлениям подготовки бакалавров и дипломированных специалистов</t>
  </si>
  <si>
    <t>712554.06.01</t>
  </si>
  <si>
    <t>Общая энергетика: Уч.пос. / В.И.Полищук - М.:НИЦ ИНФРА-М,2024 - 208 с.(ВО)(п)</t>
  </si>
  <si>
    <t>ОБЩАЯ ЭНЕРГЕТИКА</t>
  </si>
  <si>
    <t>Полищук В.И.</t>
  </si>
  <si>
    <t>978-5-16-018523-1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</si>
  <si>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13.03.00 «Электро- и теплоэнергетика» (квалификация (степень) «бакалавр») (протокол № 8 от 22.06.2020)</t>
  </si>
  <si>
    <t>654694.02.01</t>
  </si>
  <si>
    <t>Общевоинские уставы Вооруженных сил РФ: Сборник документов - М.:НИЦ ИНФРА-М,2017 - 696 с.(П)</t>
  </si>
  <si>
    <t>ОБЩЕВОИНСКИЕ УСТАВЫ ВООРУЖЕННЫХ СИЛ РФ</t>
  </si>
  <si>
    <t>978-5-16-012687-6</t>
  </si>
  <si>
    <t>56.04.01, 56.04.02, 56.04.03, 56.04.04, 56.04.05, 56.04.06, 56.04.07, 56.04.08, 56.04.09, 56.04.10, 56.04.11, 56.04.12, 56.05.01, 56.05.02, 56.05.03, 56.05.04</t>
  </si>
  <si>
    <t>838293.01.01</t>
  </si>
  <si>
    <t>Общее введение в теорию функций: Уч. / А.Б.Шишкин - М.:НИЦ ИНФРА-М,2025. - 425 с.(ВО)(п)</t>
  </si>
  <si>
    <t>ОБЩЕЕ ВВЕДЕНИЕ В ТЕОРИЮ ФУНКЦИЙ</t>
  </si>
  <si>
    <t>978-5-16-020376-8</t>
  </si>
  <si>
    <t>01.03.01, 03.03.01</t>
  </si>
  <si>
    <t>356500.12.01</t>
  </si>
  <si>
    <t>Общее недоразвитие речи. Алалия: Уч.мет.пос. / Е.А.Логинова - М.:Форум, НИЦ ИНФРА-М,2025 - 64 с.(ВО)(О)</t>
  </si>
  <si>
    <t>ОБЩЕЕ НЕДОРАЗВИТИЕ РЕЧИ. АЛАЛИЯ</t>
  </si>
  <si>
    <t>978-5-00091-777-0</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</si>
  <si>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</si>
  <si>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704211.04.01</t>
  </si>
  <si>
    <t>Общее недоразвитие речи. Алалия: Уч.мет.пос. / Е.А.Логинова - М.:Форум, НИЦ ИНФРА-М,2025. - 64 с.(СПО)(О)</t>
  </si>
  <si>
    <t>978-5-00091-667-4</t>
  </si>
  <si>
    <t>44.02.01, 44.02.02, 44.02.03, 44.02.04, 44.02.05</t>
  </si>
  <si>
    <t>033180.20.01</t>
  </si>
  <si>
    <t>Общее управление организацией. Теория и практика: Уч. /З.П.Румянцева - М.:ИНФРА-М, 2024 -304с.(ВО) (п)</t>
  </si>
  <si>
    <t>ОБЩЕЕ УПРАВЛЕНИЕ ОРГАНИЗАЦИЕЙ. ТЕОРИЯ И ПРАКТИКА</t>
  </si>
  <si>
    <t>Румянцева З. П.</t>
  </si>
  <si>
    <t>978-5-16-010536-9</t>
  </si>
  <si>
    <t>Рекомендовано Учебно-методическим объединением вузов РФ по образованию в области менеджмента в качестве учебника для студентов высших учебных заведений, обучающихся по специальности "Менеджмент организации"</t>
  </si>
  <si>
    <t>701973.07.01</t>
  </si>
  <si>
    <t>Общее устройство боевой машины пехоты БМП-2: Уч.пос. / И.Ю.Лепешинский. - М.:НИЦ ИНФРА-М,2025. - 267 с.(ВО)(П)</t>
  </si>
  <si>
    <t>ОБЩЕЕ УСТРОЙСТВО БОЕВОЙ МАШИНЫ ПЕХОТЫ БМП-2</t>
  </si>
  <si>
    <t>Лепешинский И.Ю., Погодаев В.П., Крюков К.С. и др.</t>
  </si>
  <si>
    <t>978-5-16-015029-1</t>
  </si>
  <si>
    <t>23.03.02, 23.03.03, 23.05.01, 23.05.02</t>
  </si>
  <si>
    <t>734781.01.01</t>
  </si>
  <si>
    <t>Общеметодические аспекты обуч. в спец. обр. учр.: Уч.мет.пос. / М.В.Матвеева-М.:Форум, НИЦ ИНФРА-М,2020-176 с.(СПО)(П)</t>
  </si>
  <si>
    <t>ОБЩЕМЕТОДИЧЕСКИЕ АСПЕКТЫ ОБУЧЕНИЯ В СПЕЦИАЛЬНЫХ ОБРАЗОВАТЕЛЬНЫХ УЧРЕЖДЕНИЯХ</t>
  </si>
  <si>
    <t>Матвеева М.В., Коршунова Т.В.</t>
  </si>
  <si>
    <t>978-5-00091-730-5</t>
  </si>
  <si>
    <t>44.02.01, 44.02.02, 44.02.03, 44.02.04, 44.02.05, 44.02.06, 49.02.01, 49.02.02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</si>
  <si>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44.02.05 «Коррекционная педагогика в начальном образовании» (протокол № 17 от 11.11.2019)</t>
  </si>
  <si>
    <t>438400.05.01</t>
  </si>
  <si>
    <t>Общеметодические аспекты обуч.в спец. обр.учр.: Уч.-мет. пос./М.В.Матвеева-М.:НИЦ ИНФРА-М,2024.-176с</t>
  </si>
  <si>
    <t>978-5-16-017948-3</t>
  </si>
  <si>
    <t>44.03.01, 44.03.03, 44.04.03</t>
  </si>
  <si>
    <t>Рекомендовано кафедрой логопедии ЛГУ имени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(бакалавриат), по профилю подготовки «Логопедия» и 44.04.03 «Специальное (дефектологическое) образование» (магистратура)</t>
  </si>
  <si>
    <t>730639.04.01</t>
  </si>
  <si>
    <t>Общественное здоровье и здравоохранение: Уч. / Н.М.Агарков - М.:НИЦ ИНФРА-М,2024 - 560 с(СПО)(П)</t>
  </si>
  <si>
    <t>ОБЩЕСТВЕННОЕ ЗДОРОВЬЕ И ЗДРАВООХРАНЕНИЕ</t>
  </si>
  <si>
    <t>Агарков Н.М., Гонтарев С.Н., Зубарева Н.Н. и др.</t>
  </si>
  <si>
    <t>978-5-16-015947-8</t>
  </si>
  <si>
    <t>31.02.01, 31.02.02, 31.02.06, 34.02.01, 34.02.02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</si>
  <si>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специальностей 31.02.00 «Клиническая  медицина», 32.02.00 «Науки о здоровье и профилактическая медицина» (протокол № 8 от 22.06.2020)</t>
  </si>
  <si>
    <t>708234.07.01</t>
  </si>
  <si>
    <t>Общественное здоровье и здравоохранение: Уч. / Н.М.Агарков. - М.:НИЦ ИНФРА-М,2025. - 560 с.(ВО)(П)</t>
  </si>
  <si>
    <t>978-5-16-015317-9</t>
  </si>
  <si>
    <t>31.05.01, 31.05.02, 31.08.71, 32.04.01, 32.05.01, 34.03.01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</si>
  <si>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31.05.00 «Клиническая медицина» (протокол № 8 от 29.04.2019)</t>
  </si>
  <si>
    <t>345300.12.01</t>
  </si>
  <si>
    <t>Общественное питание: учет и калькулиров..: Уч.пос. /А.М.Петров - 4 изд  - М.:КУРС,НИЦ ИНФРА-М,2024-270с(О)</t>
  </si>
  <si>
    <t>ОБЩЕСТВЕННОЕ ПИТАНИЕ: УЧЕТ И КАЛЬКУЛИРОВАНИЕ СЕБЕСТОИМОСТИ. 4-Е ИЗД., ПЕРЕРАБ. И ДОП., ИЗД.4</t>
  </si>
  <si>
    <t>А.М.Петров</t>
  </si>
  <si>
    <t>978-5-906923-72-1</t>
  </si>
  <si>
    <t>19.02.10, 19.02.13, 19.03.04, 19.04.04, 38.02.01, 38.02.08, 38.03.01, 38.03.02, 38.03.05, 38.03.06, 38.03.07, 38.04.01, 38.04.02, 38.04.05, 38.04.06, 38.04.07, 38.04.08</t>
  </si>
  <si>
    <t>345300.04.01</t>
  </si>
  <si>
    <t>Общественное питание: учет и калькулирование..: Уч.пос. /А.М.Петров -3изд -М.:КУРС,НИЦ ИНФРА-М,2018-270с</t>
  </si>
  <si>
    <t>ОБЩЕСТВЕННОЕ ПИТАНИЕ: УЧЕТ И КАЛЬКУЛИРОВАНИЕ СЕБЕСТОИМОСТИ, ИЗД.3</t>
  </si>
  <si>
    <t>978-5-905554-87-2</t>
  </si>
  <si>
    <t>642886.09.01</t>
  </si>
  <si>
    <t>Обществознание: Уч. / В.В.Ковригин - М.:НИЦ ИНФРА-М,2025. - 303 с.-(СПО)(п)</t>
  </si>
  <si>
    <t>ОБЩЕСТВОЗНАНИЕ</t>
  </si>
  <si>
    <t>Ковригин В.В.</t>
  </si>
  <si>
    <t>978-5-16-012362-2</t>
  </si>
  <si>
    <t>00.02.21, 31.02.01, 31.02.02, 31.02.06, 33.02.01, 34.02.01</t>
  </si>
  <si>
    <t>113500.15.01</t>
  </si>
  <si>
    <t>Обществознание: Уч. / В.О.Мушинский - М.:Форум, НИЦ ИНФРА-М,2018 - 320 с.-(СПО)(П)</t>
  </si>
  <si>
    <t>Мушинский В.О.</t>
  </si>
  <si>
    <t>978-5-00091-459-5</t>
  </si>
  <si>
    <t>00.02.21</t>
  </si>
  <si>
    <t>141100.22.01</t>
  </si>
  <si>
    <t>Общий курс слесарного дела: Уч.пос. / В.Р.Карпицкий - 2 изд. - М.:НИЦ ИНФРА-М,,2025 - 400с.(СПО)(П)</t>
  </si>
  <si>
    <t>ОБЩИЙ КУРС СЛЕСАРНОГО ДЕЛА, ИЗД.2</t>
  </si>
  <si>
    <t>Карпицкий В.Р.</t>
  </si>
  <si>
    <t>978-5-16-004755-3</t>
  </si>
  <si>
    <t>15.01.35, 15.02.17, 23.01.03, 23.01.06, 23.01.07, 23.01.09, 23.02.07, 35.01.29</t>
  </si>
  <si>
    <t>Допущено Министерством образования Республики Беларусь в качестве учебного пособия для учащихся учреждений, обеспечивающих получение профессионально-технического образования по учебной специальности «Техническая эксплуатация оборудования»</t>
  </si>
  <si>
    <t>340200.05.01</t>
  </si>
  <si>
    <t>Объектно-ориент. прогр. на Visual Basic в ср.Visual Studio.Net/В.Н.Шакин-М.:Форум, НИЦ ИНФРА-М,2023-400с.(П)</t>
  </si>
  <si>
    <t>ОБЪЕКТНО-ОРИЕНТИРОВАННОЕ ПРОГРАММИРОВАНИЕ НА VISUAL BASIC В СРЕДЕ VISUAL STUDIO .NET</t>
  </si>
  <si>
    <t>В.Н.Шакин, А.В.Загвоздкина, Г.К.Сосновиков</t>
  </si>
  <si>
    <t>978-5-00091-048-1</t>
  </si>
  <si>
    <t>01.03.04, 02.03.01, 02.03.02, 02.04.01, 02.04.02, 03.03.02, 09.03.01, 09.03.02, 09.03.03, 09.03.04, 09.04.01, 09.04.02, 09.04.03, 09.04.04</t>
  </si>
  <si>
    <t>462400.06.01</t>
  </si>
  <si>
    <t>Объектно-ориентир. программир. с пример. на C#: Уч.пос. / П.Б.Хорев - М.:Форум, НИЦ ИНФРА-М,2025. - 200 с.(ВО)(О)</t>
  </si>
  <si>
    <t>ОБЪЕКТНО-ОРИЕНТИРОВАННОЕ ПРОГРАММИРОВАНИЕ С ПРИМЕРАМИ НА C#</t>
  </si>
  <si>
    <t>Хорев П.Б.</t>
  </si>
  <si>
    <t>978-5-00091-680-3</t>
  </si>
  <si>
    <t>01.03.02, 02.03.02, 03.03.02, 04.03.02, 09.03.01, 09.03.03</t>
  </si>
  <si>
    <t>Рекомендовано в качестве учебного пособия для студентов высших учебных заведений, обучающихся по направлениям 01.03.02 «Прикладная математика и информатика» и 09.00.00 «Информатика и вычислительная техника»</t>
  </si>
  <si>
    <t>717829.07.01</t>
  </si>
  <si>
    <t>Объектно-ориентир. программир. с примерами на C#: Уч.пос. / П.Б.Хорев - М.:Форум, НИЦ ИНФРА-М,2025. - 200 с.(О)</t>
  </si>
  <si>
    <t>978-5-00091-713-8</t>
  </si>
  <si>
    <t>09.02.01, 09.02.02, 09.02.03, 09.02.04, 09.02.05, 09.02.06, 09.02.07, 10.02.01, 10.02.02, 10.02.03, 10.02.04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</si>
  <si>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10 от 27.05.2019)</t>
  </si>
  <si>
    <t>682998.03.01</t>
  </si>
  <si>
    <t>Объектно-ориентир.програм.на Visual Basic...: Уч.пос./В.Н.Шакин-М.:Форум,НИЦ ИНФРА-М,2024-398с.(СПО)(П)</t>
  </si>
  <si>
    <t>Шакин В.Н., Загвоздкина А.В., Сосновиков Г.К.</t>
  </si>
  <si>
    <t>978-5-00091-551-6</t>
  </si>
  <si>
    <t>09.02.01, 09.02.02, 09.02.03, 09.02.04, 09.02.05, 10.02.01, 10.02.02, 10.02.03, 11.02.07, 11.02.09, 11.02.11, 11.02.14, 11.02.18</t>
  </si>
  <si>
    <t>719285.02.01</t>
  </si>
  <si>
    <t>Обыкновенные дифференц. урав. и вариац. исчисл.: Уч.пос. / Е.А.Коган-М.:НИЦ ИНФРА-М,2020.-293 с.(ВО)(П)</t>
  </si>
  <si>
    <t>ОБЫКНОВЕННЫЕ ДИФФЕРЕНЦИАЛЬНЫЕ УРАВНЕНИЯ И ВАРИАЦИОННОЕ ИСЧИСЛЕНИЕ</t>
  </si>
  <si>
    <t>Коган Е.А.</t>
  </si>
  <si>
    <t>978-5-16-015817-4</t>
  </si>
  <si>
    <t>01.03.02, 15.03.03, 23.05.01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</si>
  <si>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15.03.03 «Прикладная механика» (квалификация (степень) «бакалавр») (протокол № 18 от 25.11.2019)</t>
  </si>
  <si>
    <t>632328.06.01</t>
  </si>
  <si>
    <t>Обыкновенные дифференциальные урав. Практ.: Уч.пос. / А.В.Пантелеев - М.:НИЦ ИНФРА-М,2025 - 432 с.(П)</t>
  </si>
  <si>
    <t>ОБЫКНОВЕННЫЕ ДИФФЕРЕНЦИАЛЬНЫЕ УРАВНЕНИЯ. ПРАКТИКУМ</t>
  </si>
  <si>
    <t>Пантелеев А.В., Якимова А.С., Рыбаков К.А.</t>
  </si>
  <si>
    <t>978-5-16-011973-1</t>
  </si>
  <si>
    <t>00.03.06, 01.03.01, 01.03.02, 01.03.03, 01.03.04, 02.03.01, 02.03.02, 02.03.03, 03.03.02, 03.03.03, 04.03.02, 24.03.01</t>
  </si>
  <si>
    <t>Рекомендовано в качестве учебного пособия для студентов высших учебных заведений, обучающихся по направлениям подготовки естественных наук, техники, информатики и экономики (квалификация (степень) «бакалавр»)</t>
  </si>
  <si>
    <t>798206.03.01</t>
  </si>
  <si>
    <t>Обязательственное право: Уч.пос. / Д.А.Формакидов - М.:НИЦ ИНФРА-М,2025. - 300 с.(ВО)(п)</t>
  </si>
  <si>
    <t>ОБЯЗАТЕЛЬСТВЕННОЕ ПРАВО</t>
  </si>
  <si>
    <t>978-5-16-020873-2</t>
  </si>
  <si>
    <t>189050.11.01</t>
  </si>
  <si>
    <t>Овощеводство. Агротехника капусты: Уч. / В.И.Старцев - М.:НИЦ ИНФРА-М,2025 - 138 с.(ВО: Бакалавр.)(п)</t>
  </si>
  <si>
    <t>ОВОЩЕВОДСТВО. АГРОТЕХНИКА КАПУСТЫ</t>
  </si>
  <si>
    <t>Старцев В. И.</t>
  </si>
  <si>
    <t>978-5-16-005495-7</t>
  </si>
  <si>
    <t>35.03.04, 35.04.04</t>
  </si>
  <si>
    <t>Допущено Учебно-методическим объединением вузов РФ по агрономическому образованию в качестве учебника для студентов, обучающихся по напровлению 110400 "Агрономия"</t>
  </si>
  <si>
    <t>Всероссийский научно-исследовательский институт фитопатологии</t>
  </si>
  <si>
    <t>633339.09.01</t>
  </si>
  <si>
    <t>Овцеводство и козоводство: Уч. / А.И.Чикалев - М.:КУРС, НИЦ ИНФРА-М,2025. - 228 с.(ВО)(п)</t>
  </si>
  <si>
    <t>ОВЦЕВОДСТВО И КОЗОВОДСТВО</t>
  </si>
  <si>
    <t>978-5-906818-67-6</t>
  </si>
  <si>
    <t>35.03.07, 36.03.02, 44.03.05</t>
  </si>
  <si>
    <t>Рекомендовано в качестве учебника для студентов высших учебных заведений, обучающихся по направлению 36.03.02 «Зоотехния» и 35.03.07 «Технология производства и переработки сельскохозяйственной продукции»</t>
  </si>
  <si>
    <t>302100.08.01</t>
  </si>
  <si>
    <t>Овцеводство: Уч. / А.И.Чикалев - М.:КУРС, НИЦ ИНФРА-М,2025 - 200 с.(О)</t>
  </si>
  <si>
    <t>ОВЦЕВОДСТВО</t>
  </si>
  <si>
    <t>978-5-905554-72-8</t>
  </si>
  <si>
    <t>783409.02.01</t>
  </si>
  <si>
    <t>Огневая подготовка. Ч. 1. Нормативно-правовая база.. : Уч.пос. / А.Н.Ковальчук-М.:НИЦ ИНФРА-М,2024-307с.(п)</t>
  </si>
  <si>
    <t>ОГНЕВАЯ ПОДГОТОВКА. Ч. 1. НОРМАТИВНО-ПРАВОВАЯ БАЗА ОГНЕВОЙ ПОДГОТОВКИ. МАТЕРИАЛЬНАЯ ЧАСТЬ СТРЕЛКОВОГО ОРУЖИЯ. ОСНОВЫ БАЛЛИСТИКИ И СТРЕЛЬБЫ, Т.1</t>
  </si>
  <si>
    <t>Ковальчук А.Н.</t>
  </si>
  <si>
    <t>Высшее образование: Специалитет (КрГАУ)</t>
  </si>
  <si>
    <t>978-5-16-018062-5</t>
  </si>
  <si>
    <t>37.05.02, 38.05.01, 40.05.01, 40.05.02, 56.05.01, 56.05.02, 56.05.03, 56.05.04, 56.05.05, 57.04.01, 57.05.01, 57.05.02, 57.05.03</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</si>
  <si>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38.05.01 «Экономическая безопасность»</t>
  </si>
  <si>
    <t>826107.01.01</t>
  </si>
  <si>
    <t>Огневая подготовка: информ. системы и технологии: Уч.пос. / В.А.Мельничук - М.:НИЦ ИНФРА-М,2024. - 229 с.(п)</t>
  </si>
  <si>
    <t>ОГНЕВАЯ ПОДГОТОВКА: ИНФОРМАЦИОННЫЕ СИСТЕМЫ И ТЕХНОЛОГИИ</t>
  </si>
  <si>
    <t>978-5-16-019895-8</t>
  </si>
  <si>
    <t>805489.05.01</t>
  </si>
  <si>
    <t>Огневая подготовка: Уч. / К.Ю.Поспеев - М.:НИЦ ИНФРА-М,2025. - 326 с.(ВО)(п)</t>
  </si>
  <si>
    <t>ОГНЕВАЯ ПОДГОТОВКА</t>
  </si>
  <si>
    <t>Поспеев К.Ю., Черных В.В.</t>
  </si>
  <si>
    <t>978-5-16-018601-6</t>
  </si>
  <si>
    <t>769211.03.01</t>
  </si>
  <si>
    <t>Огневая подготовка: Уч. / К.Ю.Поспеев-М.:НИЦ ИНФРА-М,2024.-326 с.(СПО)(П)</t>
  </si>
  <si>
    <t>978-5-16-017356-6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</si>
  <si>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6 от 08.06.2022)</t>
  </si>
  <si>
    <t>774848.01.01</t>
  </si>
  <si>
    <t>Огневая подготовка: Уч. / Т.С.Купавцев и др. - М.:НИЦ ИНФРА-М,2025. - 238 с.-(СПО)(п)</t>
  </si>
  <si>
    <t>Купавцев Т.С., Ульрих С.А., Моисеенко А.А. и др.</t>
  </si>
  <si>
    <t>978-5-16-019146-1</t>
  </si>
  <si>
    <t>Академия управления Министерства внутренних дел Российской Федерации</t>
  </si>
  <si>
    <t>783422.02.01</t>
  </si>
  <si>
    <t>Огневая подготовка: Уч.пос.: Ч. 2. Обуч. обращению... / А.Н.Ковальчук-М.:НИЦ ИНФРА-М,2024.-276 с.(ВО)(п)</t>
  </si>
  <si>
    <t>ОГНЕВАЯ ПОДГОТОВКА. Ч. 2. ОБУЧЕНИЕ ОБРАЩЕНИЮ С ОГНЕСТРЕЛЬНЫМ ОРУЖИЕМ В УСЛОВИЯХ ОПЕРАТИВНО-СЛУЖЕБНОЙ ДЕЯТЕЛЬНОСТИ, Т.2</t>
  </si>
  <si>
    <t>978-5-16-018063-2</t>
  </si>
  <si>
    <t>327000.07.01</t>
  </si>
  <si>
    <t>Оздоровительные тех. физ. воспит. и развития ребенка: Уч. / Т.А.Семенова-М.:НИЦ ИНФРА-М,2023-448с(П)</t>
  </si>
  <si>
    <t>ОЗДОРОВИТЕЛЬНЫЕ ТЕХНОЛОГИИ ФИЗИЧЕСКОГО ВОСПИТАНИЯ И РАЗВИТИЯ РЕБЕНКА ДОШКОЛЬНОГО ВОЗРАСТА В ОБРАЗОВАТЕЛЬНЫХ ОРГАНИЗАЦИЯХ</t>
  </si>
  <si>
    <t>Семенова Т.А.</t>
  </si>
  <si>
    <t>978-5-16-011849-9</t>
  </si>
  <si>
    <t>44.03.01, 44.03.02, 44.03.05, 44.04.01, 44.04.02</t>
  </si>
  <si>
    <t>682999.10.01</t>
  </si>
  <si>
    <t>Оздоровительные технологии физ.восп.и разв.ребенка дошк...: Уч. / Т.А.Семенова - М.:ИНФРА-М,2025 - 448 с.(СПО)(П)</t>
  </si>
  <si>
    <t>978-5-16-013979-1</t>
  </si>
  <si>
    <t>44.02.01, 44.02.03, 44.02.04, 44.02.05, 49.02.01, 49.02.02, 49.02.03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</si>
  <si>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t>
  </si>
  <si>
    <t>797834.02.01</t>
  </si>
  <si>
    <t>Оказание мед. помощи женщинам в период..,: Уч.пос. / Е.А.Нижегородцева-М.:НИЦ ИНФРА-М,2024.-336 с.(п)</t>
  </si>
  <si>
    <t>ОКАЗАНИЕ МЕДИЦИНСКОЙ ПОМОЩИ ЖЕНЩИНАМ В ПЕРИОД БЕРЕМЕННОСТИ, В РОДАХ, ПОСЛЕРОДОВОМ ПЕРИОДЕ И У ЖЕНЩИН С РАСПРОСТРАНЕННЫМИ ГИНЕКОЛОГИЧЕСКИМИ ЗАБОЛЕВАНИЯ</t>
  </si>
  <si>
    <t>Нижегородцева Е.А.</t>
  </si>
  <si>
    <t>978-5-16-018223-0</t>
  </si>
  <si>
    <t>31.02.01, 31.02.02, 34.02.01, 34.02.02</t>
  </si>
  <si>
    <t>Иркутский базовый  медицинский колледж</t>
  </si>
  <si>
    <t>304500.06.01</t>
  </si>
  <si>
    <t>Оказание неотложной помощи в терапии: Уч.пос. / Г.Д.Тобулток-М.:НИЦ ИНФРА-М,2024.-400 с.(СПО)(п)</t>
  </si>
  <si>
    <t>ОКАЗАНИЕ НЕОТЛОЖНОЙ ПОМОЩИ В ТЕРАПИИ</t>
  </si>
  <si>
    <t>Тобулток Г.Д., Иванова Н.А.</t>
  </si>
  <si>
    <t>978-5-16-016860-9</t>
  </si>
  <si>
    <t>31.02.01, 31.02.02, 32.02.01, 34.02.01, 34.02.02</t>
  </si>
  <si>
    <t>Рязанский медицинский колледж</t>
  </si>
  <si>
    <t>359500.09.01</t>
  </si>
  <si>
    <t>Оленеводство: Уч./ А.И.Чикалев и др. - М.:КУРС, НИЦ ИНФРА-М,2024 - 110с.(ВО)(о)</t>
  </si>
  <si>
    <t>ОЛЕНЕВОДСТВО</t>
  </si>
  <si>
    <t>А.И.Чикалев, Ю.А.Юлдашбаев, Г.В.Родионов</t>
  </si>
  <si>
    <t>978-5-905554-93-3</t>
  </si>
  <si>
    <t>35.01.21, 36.03.02, 36.04.02, 36.05.01</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</si>
  <si>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36.03.02 «Зоотехния» (квалификация (степень) «бакалавр»)</t>
  </si>
  <si>
    <t>416500.06.01</t>
  </si>
  <si>
    <t>Опалубки из лесоматериалов: Уч.-мет. пос./В.А.Волосухин - 2 изд. - РИОР: ИНФРА-М, 2023-172с.(ВО) (п)</t>
  </si>
  <si>
    <t>ОПАЛУБКИ ИЗ ЛЕСОМАТЕРИАЛОВ, ИЗД.2</t>
  </si>
  <si>
    <t>Волосухин В.А., Евтушенко С.И., Садэтов Т.С.</t>
  </si>
  <si>
    <t>978-5-369-01110-2</t>
  </si>
  <si>
    <t>632276.06.01</t>
  </si>
  <si>
    <t>Опасные природные процессы: Уч. / Н.В.Короновский - М.:НИЦ ИНФРА-М,2024-233 с.-(ВО)(п)</t>
  </si>
  <si>
    <t>ОПАСНЫЕ ПРИРОДНЫЕ ПРОЦЕССЫ</t>
  </si>
  <si>
    <t>978-5-16-018958-1</t>
  </si>
  <si>
    <t>05.03.01, 05.03.02, 05.03.06</t>
  </si>
  <si>
    <t>Рекомендовано в качестве учебника для студентов высших учебных заведений, обучающихся по направлениям подготовки 05.03.02 «География», 05.03.01 «Геология», 05.03.06 «Экология и природопользование» (квалификация (степень) «бакалавр»)</t>
  </si>
  <si>
    <t>634153.05.01</t>
  </si>
  <si>
    <t>Оперативно-производственное планирование: Уч.пос./Т.Н.Бабич-М.:ИЦ РИОР,НИЦ ИНФРА-М,2023-257с.(ВО)(П)</t>
  </si>
  <si>
    <t>ОПЕРАТИВНО-ПРОИЗВОДСТВЕННОЕ ПЛАНИРОВАНИЕ</t>
  </si>
  <si>
    <t>Бабич Т.Н., Вертакова Ю.В.</t>
  </si>
  <si>
    <t>978-5-369-01616-9</t>
  </si>
  <si>
    <t>01.03.02, 01.04.02, 03.03.02, 15.03.04, 15.03.05, 15.04.04, 15.04.05, 17.05.03, 19.04.05, 21.05.05, 24.05.01, 27.04.06, 29.03.03, 29.04.03, 35.03.02, 35.03.07, 35.04.02, 38.03.01, 38.03.02, 38.03.04, 43.03.01, 44.03.01</t>
  </si>
  <si>
    <t>818587.01.01</t>
  </si>
  <si>
    <t>Оперативно-розыскная деят. в схемах и табл. с коммент.: Уч.пос./ О.В.Фирсов-М.:Юр. НОРМА, ИНФРА-М,2024-180с.(п)</t>
  </si>
  <si>
    <t>ОПЕРАТИВНО-РОЗЫСКНАЯ ДЕЯТЕЛЬНОСТЬ В СХЕМАХ И ТАБЛИЦАХ С КОММЕНТАРИЯМИ</t>
  </si>
  <si>
    <t>Фирсов О.В.</t>
  </si>
  <si>
    <t>978-5-00156-351-8</t>
  </si>
  <si>
    <t>Забайкальский государственный университет</t>
  </si>
  <si>
    <t>766458.07.01</t>
  </si>
  <si>
    <t>Оперативно-розыскная деят. в цифр. мире: Сб. / Под ред. Овчинского В.С.-М.:НИЦ ИНФРА-М,2023.-630 с.(П)</t>
  </si>
  <si>
    <t>ОПЕРАТИВНО-РОЗЫСКНАЯ ДЕЯТЕЛЬНОСТЬ В ЦИФРОВОМ МИРЕ</t>
  </si>
  <si>
    <t>978-5-16-017227-9</t>
  </si>
  <si>
    <t>Сборник научных трудов</t>
  </si>
  <si>
    <t>40.03.01, 40.04.01, 40.05.01, 40.05.02, 40.05.03, 40.06.01</t>
  </si>
  <si>
    <t>641410.09.01</t>
  </si>
  <si>
    <t>Оперативно-розыскная деят.: Уч. / А.Н.Халиков - 3 изд. - М.:ИЦ РИОР, НИЦ ИНФРА-М,2023 - 332 с.(ВО)(П)</t>
  </si>
  <si>
    <t>ОПЕРАТИВНО-РОЗЫСКНАЯ ДЕЯТЕЛЬНОСТЬ, ИЗД.3</t>
  </si>
  <si>
    <t>Халиков А.Н.</t>
  </si>
  <si>
    <t>978-5-369-00773-0</t>
  </si>
  <si>
    <t>Рекомендовано в качестве учебника для студентов высших учебных заведений, обучающихся по направлению подготовки "Юриспруденция"</t>
  </si>
  <si>
    <t>768888.04.01</t>
  </si>
  <si>
    <t>Оперативно-розыскная деят.: Уч. / А.Н.Халиков, - 2 изд. - М.:ИЦ РИОР, НИЦ ИНФРА-М,2025. - 346 с.(СПО)(п)</t>
  </si>
  <si>
    <t>ОПЕРАТИВНО-РОЗЫСКНАЯ ДЕЯТЕЛЬНОСТЬ, ИЗД.2</t>
  </si>
  <si>
    <t>978-5-369-01954-2</t>
  </si>
  <si>
    <t>641410.11.01</t>
  </si>
  <si>
    <t>Оперативно-розыскная деят.: Уч. / А.Н.Халиков, - 4 изд.-М.:ИЦ РИОР, НИЦ ИНФРА-М,2024.-331 с.(ВО)(п)</t>
  </si>
  <si>
    <t>ОПЕРАТИВНО-РОЗЫСКНАЯ ДЕЯТЕЛЬНОСТЬ, ИЗД.4</t>
  </si>
  <si>
    <t>978-5-369-01932-0</t>
  </si>
  <si>
    <t>641410.13.01</t>
  </si>
  <si>
    <t>Оперативно-розыскная деят.: Уч. / А.Н.Халиков, - 5 изд. - М.:ИЦ РИОР, НИЦ ИНФРА-М,2024. - 355 с.(ВО)(п)</t>
  </si>
  <si>
    <t>ОПЕРАТИВНО-РОЗЫСКНАЯ ДЕЯТЕЛЬНОСТЬ, ИЗД.5</t>
  </si>
  <si>
    <t>978-5-369-01961-0</t>
  </si>
  <si>
    <t>187750.08.01</t>
  </si>
  <si>
    <t>Оперативно-розыскная деят.: Уч.пос. / А.Н.Халиков, - 2 изд.-М.:ИЦ РИОР, НИЦ ИНФРА-М,2019.-281с.(О)</t>
  </si>
  <si>
    <t>Халиков А. Н.</t>
  </si>
  <si>
    <t>978-5-369-01655-8</t>
  </si>
  <si>
    <t>187750.11.01</t>
  </si>
  <si>
    <t>Оперативно-розыскная деят.: Уч.пос. / А.Н.Халиков, - 4 изд.-М.:ИЦ РИОР, НИЦ ИНФРА-М,2024.-282 с.(ВО)(о)</t>
  </si>
  <si>
    <t>978-5-369-01935-1</t>
  </si>
  <si>
    <t>187750.09.01</t>
  </si>
  <si>
    <t>Оперативно-розыскная деят.: Уч.пос. / А.Н.Халиков-3 изд.-М.:ИЦ РИОР,НИЦ ИНФРА-М,2019-281с-(ВО:Бак.)(О)</t>
  </si>
  <si>
    <t>978-5-369-01810-1</t>
  </si>
  <si>
    <t>845007.01.01</t>
  </si>
  <si>
    <t>Оперативно-розыскная деятельность: Практикум / О.В.Фирсов - М.:Юр. НОРМА, НИЦ ИНФРА-М,2025. - 216 с.(п)</t>
  </si>
  <si>
    <t>ОПЕРАТИВНО-РОЗЫСКНАЯ ДЕЯТЕЛЬНОСТЬ</t>
  </si>
  <si>
    <t>978-5-00156-398-3</t>
  </si>
  <si>
    <t>38.05.01, 40.03.01, 40.04.01, 40.05.01, 40.05.02, 40.05.03, 40.05.04</t>
  </si>
  <si>
    <t>768888.01.01</t>
  </si>
  <si>
    <t>Оперативно-розыскная деятельность: Уч. / А.Н.Халиков - М.:ИЦ РИОР, НИЦ ИНФРА-М,2022 - 326 с.(СПО)(П)</t>
  </si>
  <si>
    <t>978-5-369-01885-9</t>
  </si>
  <si>
    <t>641410.04.01</t>
  </si>
  <si>
    <t>Оперативно-розыскная деятельность: Уч. /А.Н.Халиков- 2-изд.-М.:ИЦ РИОР, НИЦ ИНФРА-М,2018-324с(ВО)(П)</t>
  </si>
  <si>
    <t>978-5-369-01678-7</t>
  </si>
  <si>
    <t>104700.11.01</t>
  </si>
  <si>
    <t>Операции сбер. банков: Уч. пос. / О.М. Маркова - 2 изд. - ИД ФОРУМ: НИЦ ИНФРА-М, 2025 - 288 с.(ПО) (п)</t>
  </si>
  <si>
    <t>ОПЕРАЦИИ СБЕРЕГАТЕЛЬНЫХ БАНКОВ, ИЗД.2</t>
  </si>
  <si>
    <t>Маркова О.М.</t>
  </si>
  <si>
    <t>978-5-8199-0616-3</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</si>
  <si>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«Банковское дело»</t>
  </si>
  <si>
    <t>041930.27.01</t>
  </si>
  <si>
    <t>Операционные сис., среды и оболочки: Уч.пос. / Т.Л.Партыка - 5 изд.- М.:Форум, НИЦ ИНФРА-М,2025-560 с.(СПО)</t>
  </si>
  <si>
    <t>ОПЕРАЦИОННЫЕ СИСТЕМЫ, СРЕДЫ И ОБОЛОЧКИ, ИЗД.5</t>
  </si>
  <si>
    <t>978-5-00091-501-1</t>
  </si>
  <si>
    <t>09.01.03, 09.02.01, 09.02.02, 09.02.03, 09.02.04, 09.02.05, 09.02.06, 09.02.07, 09.02.08, 10.02.01, 10.02.02, 10.02.03, 10.02.04, 10.02.05</t>
  </si>
  <si>
    <t>678060.11.01</t>
  </si>
  <si>
    <t>Операционные системы и среды: Уч. для СПО / А.В.Рудаков - М.:КУРС, НИЦ ИНФРА-М,2025 - 304 с.(П)</t>
  </si>
  <si>
    <t>ОПЕРАЦИОННЫЕ СИСТЕМЫ И СРЕДЫ</t>
  </si>
  <si>
    <t>Рудаков А.В.</t>
  </si>
  <si>
    <t>978-5-906923-85-1</t>
  </si>
  <si>
    <t>09.01.03, 09.01.05, 09.02.01, 09.02.02, 09.02.03, 09.02.04, 09.02.05, 09.02.06, 09.02.07, 09.02.08, 10.02.01, 10.02.02, 10.02.03</t>
  </si>
  <si>
    <t>Петровский колледж</t>
  </si>
  <si>
    <t>683001.06.01</t>
  </si>
  <si>
    <t>Операционные системы. Основы UNIX: Уч.пос. / А.Б.Вавренюк - М.:НИЦ ИНФРА-М,2025 - 160 с. - (СПО)(П)</t>
  </si>
  <si>
    <t>ОПЕРАЦИОННЫЕ СИСТЕМЫ. ОСНОВЫ UNIX</t>
  </si>
  <si>
    <t>Вавренюк А.Б., Курышева О.К., Кутепов С.В. и др.</t>
  </si>
  <si>
    <t>978-5-16-013981-4</t>
  </si>
  <si>
    <t>09.02.01, 09.02.02, 09.02.03, 09.02.04, 09.02.05, 09.02.06, 09.02.07, 09.02.08, 10.02.01, 10.02.02, 10.02.03</t>
  </si>
  <si>
    <t>353700.08.01</t>
  </si>
  <si>
    <t>Операционные системы. Основы UNIX: Уч.пос. / А.Б.Вавренюк - М.:НИЦ ИНФРА-М,2025 - 160 с.(ВО:Бакалавр.)(О)</t>
  </si>
  <si>
    <t>978-5-16-010893-3</t>
  </si>
  <si>
    <t>02.03.02, 09.03.03</t>
  </si>
  <si>
    <t>Допущено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09.03.03 «Прикладная информатика»</t>
  </si>
  <si>
    <t>104400.19.01</t>
  </si>
  <si>
    <t>Операционный (производственный) менеджмент: Уч. пос./А.Н.Стерлигова - М.: ИНФРА-М, 2024-187с.(ВО) (п)</t>
  </si>
  <si>
    <t>ОПЕРАЦИОННЫЙ (ПРОИЗВОДСТВЕННЫЙ) МЕНЕДЖМЕНТ</t>
  </si>
  <si>
    <t>Стерлигова А. Н., Фель А. В.</t>
  </si>
  <si>
    <t>978-5-16-003469-0</t>
  </si>
  <si>
    <t>Рекомендовано Учебно-методическим объединением вузов России по образованию в области менеджмента в качестве учебного пособия по дисциплинам спец. для студентов вузов, обучающихся по спец. "Менеджмент организации" и напр. "Менеджмент"</t>
  </si>
  <si>
    <t>781505.02.01</t>
  </si>
  <si>
    <t>Операционный менеджмент в сфере туризма и гостеприим.: Уч. / А.И.Кошелева-М.:НИЦ ИНФРА-М,2024-413с.(ВО)(п)</t>
  </si>
  <si>
    <t>ОПЕРАЦИОННЫЙ МЕНЕДЖМЕНТ В СФЕРЕ ТУРИЗМА И ГОСТЕПРИИМСТВА</t>
  </si>
  <si>
    <t>Кошелева А.И., Лебедева О.Е., Пониматкина Л.А. и др.</t>
  </si>
  <si>
    <t>978-5-16-018510-1</t>
  </si>
  <si>
    <t>43.03.02, 43.03.03</t>
  </si>
  <si>
    <t>269200.09.01</t>
  </si>
  <si>
    <t>Опоры мостов сборно-монолитной констр.: Уч. пос./Б.А.Дробышевский-М.:ИЦ РИОР, НИЦ ИНФРА-М,2025.-109 с.(П)</t>
  </si>
  <si>
    <t>ОПОРЫ МОСТОВ СБОРНО-МОНОЛИТНОЙ КОНСТРУКЦИИ</t>
  </si>
  <si>
    <t>978-5-369-01334-2</t>
  </si>
  <si>
    <t>08.05.03, 23.05.06</t>
  </si>
  <si>
    <t>747958.02.01</t>
  </si>
  <si>
    <t>Определение происхождения товаров: Уч.пос. / О.С.Елфимова - М.:НИЦ ИНФРА-М,2025. - 178 с.(ВО.)(П)</t>
  </si>
  <si>
    <t>ОПРЕДЕЛЕНИЕ ПРОИСХОЖДЕНИЯ ТОВАРОВ</t>
  </si>
  <si>
    <t>Елфимова О.С.</t>
  </si>
  <si>
    <t>978-5-16-020589-2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</si>
  <si>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7 от 21.09.2022)</t>
  </si>
  <si>
    <t>108000.12.01</t>
  </si>
  <si>
    <t>Оптимизационные модели упр. инвестиц. в логистике: Уч.пос. / А.В.Мищенко - 3 изд.- М.:НИЦ ИНФРА-М,2024-388 с.(П)</t>
  </si>
  <si>
    <t>ОПТИМИЗАЦИОННЫЕ МОДЕЛИ УПРАВЛЕНИЯ ИНВЕСТИЦИЯМИ В ЛОГИСТИКЕ, ИЗД.3</t>
  </si>
  <si>
    <t>978-5-16-017277-4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</si>
  <si>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8 от 20.10.2021)</t>
  </si>
  <si>
    <t>296100.05.01</t>
  </si>
  <si>
    <t>Оптимизация в геологоразведочном производстве: Уч. пос. / В.В.Нескоромных - М.:НИЦ ИНФРА-М,2025. - 200 с.(О)</t>
  </si>
  <si>
    <t>ОПТИМИЗАЦИЯ В ГЕОЛОГОРАЗВЕДОЧНОМ ПРОИЗВОДСТВЕ</t>
  </si>
  <si>
    <t>Нескоромных В. В.</t>
  </si>
  <si>
    <t>978-5-16-010097-5</t>
  </si>
  <si>
    <t>21.05.02, 21.05.03, 21.05.04</t>
  </si>
  <si>
    <t>236200.09.01</t>
  </si>
  <si>
    <t>Оптимизация личностных преимуществ: психолог. возмож.: Практ./В.В.Авдеев - КУРС:ИНФРА-М, 2025-208с. (о)</t>
  </si>
  <si>
    <t>ОПТИМИЗАЦИЯ ЛИЧНОСТНЫХ ПРЕИМУЩЕСТВ: ПСИХОЛОГИЧЕСКИЕ ВОЗМОЖНОСТИ</t>
  </si>
  <si>
    <t>Авдеев В. В.</t>
  </si>
  <si>
    <t>978-5-905554-39-1</t>
  </si>
  <si>
    <t>37.03.01, 38.03.01, 38.03.02, 38.03.03, 38.03.04, 39.03.01, 39.03.02</t>
  </si>
  <si>
    <t>400100.07.01</t>
  </si>
  <si>
    <t>Оптовая торговля. Орг. и упр.комм. деят: Уч. пос. / С.Н. Диянова - М:Магистр: НИЦ Инфра-М, 2025 - 384 с.(п)</t>
  </si>
  <si>
    <t>ОПТОВАЯ ТОРГОВЛЯ. ОРГАНИЗАЦИЯ И УПРАВЛЕНИЕ КОММЕРЧЕСКОЙ ДЕЯТЕЛЬНОСТЬЮ</t>
  </si>
  <si>
    <t>Диянова С. Н., Денисова Н. И.</t>
  </si>
  <si>
    <t>978-5-9776-0241-9</t>
  </si>
  <si>
    <t>38.02.03, 38.02.08, 38.03.01, 38.03.02, 38.03.03, 38.03.05, 38.03.06, 38.03.07, 38.04.01, 38.04.02, 38.04.03, 38.04.05, 38.04.06, 38.04.07</t>
  </si>
  <si>
    <t>210500.09.01</t>
  </si>
  <si>
    <t>Оптовая торговля: Уч. пос. / Г.Г. Иванов, А.Ф. Никишин - М.: ИД ФОРУМ:  НИЦ ИНФРА-М, 2024-96с. (о)</t>
  </si>
  <si>
    <t>ОПТОВАЯ ТОРГОВЛЯ</t>
  </si>
  <si>
    <t>Иванов Г. Г., Никишин А. Ф., Шипилова С. С.</t>
  </si>
  <si>
    <t>978-5-8199-0554-8</t>
  </si>
  <si>
    <t>38.03.01, 38.03.02, 38.03.06, 38.04.07</t>
  </si>
  <si>
    <t>Рекомендовано кафедрой торговой политики РЭУ им. Г.В. Плеханова в качестве учебного пособия для студентов высших учебных заведений, обучающихся по направлениям «Торговое дело» (бакалавриат), «Экономика» (бакалавриат), «Менеджмент» (бакалавриат)</t>
  </si>
  <si>
    <t>079500.12.01</t>
  </si>
  <si>
    <t>Организац. культура в табл., тестах, кейсах и схемах / Т.О. Соломанидина. -ИНФРА-М, 2024. - 395 с. (п</t>
  </si>
  <si>
    <t>ОРГАНИЗАЦИОННАЯ КУЛЬТУРА В ТАБЛИЦАХ, ТЕСТАХ, КЕЙСАХ И СХЕМАХ</t>
  </si>
  <si>
    <t>Соломанидина Т. О.</t>
  </si>
  <si>
    <t>5-16-002708-4</t>
  </si>
  <si>
    <t>104550.12.01</t>
  </si>
  <si>
    <t>Организационная конфликтология: Уч. пос. / К.В. Решетникова. - М.: ИНФРА-М, 2024. - 175 с. (ВО) (п)</t>
  </si>
  <si>
    <t>ОРГАНИЗАЦИОННАЯ КОНФЛИКТОЛОГИЯ</t>
  </si>
  <si>
    <t>Решетникова К. В.</t>
  </si>
  <si>
    <t>978-5-16-003512-3</t>
  </si>
  <si>
    <t>37.03.02, 38.03.02, 38.03.03, 38.03.04, 39.03.01</t>
  </si>
  <si>
    <t>Рекомендовано Учебно-методическим объединением вузов России по образованию в области экономики, менеджмента, логистики и бизнес-информатики в качестве учебного пособия для студ. вузов, обуч. по напр. подготовки 080500  "Менеджмент"</t>
  </si>
  <si>
    <t>454500.05.01</t>
  </si>
  <si>
    <t>Организационная культура: Уч. пос. / А.П.Балашов-М.: Вуз. уч., НИЦ ИНФРА-М,2021.-278 с.(П)</t>
  </si>
  <si>
    <t>ОРГАНИЗАЦИОННАЯ КУЛЬТУРА</t>
  </si>
  <si>
    <t>978-5-9558-0475-0</t>
  </si>
  <si>
    <t>231700.13.01</t>
  </si>
  <si>
    <t>Организационная психология: Уч. / А.Б.Леонова - М.:НИЦ ИНФРА-М,2024 - 429 с.(ВО: Бакалавр.)(П)</t>
  </si>
  <si>
    <t>ОРГАНИЗАЦИОННАЯ ПСИХОЛОГИЯ</t>
  </si>
  <si>
    <t>Леонова А.Б., Базаров Т.Ю., Абдуллаева М.М. и др.</t>
  </si>
  <si>
    <t>978-5-16-006052-1</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</si>
  <si>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37.03.01 «Психология» (квалификация (степень) «бакалавр»)</t>
  </si>
  <si>
    <t>745643.06.01</t>
  </si>
  <si>
    <t>Организационное и тех. обеспеч. информац. безоп...: Уч.пос. / В.Я.Ищейнов - М.:НИЦ ИНФРА-М,2024 - 256 с(П)</t>
  </si>
  <si>
    <t>ОРГАНИЗАЦИОННОЕ И ТЕХНИЧЕСКОЕ ОБЕСПЕЧЕНИЕ ИНФОРМАЦИОННОЙ БЕЗОПАСНОСТИ. ЗАЩИТА КОНФИДЕНЦИАЛЬНОЙ ИНФОРМАЦИИ</t>
  </si>
  <si>
    <t>Ищейнов В.Я., Мецатунян М.В.</t>
  </si>
  <si>
    <t>978-5-16-016535-6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</si>
  <si>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</si>
  <si>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Политехнический колледж № 8 имени дважды Героя Советского Союза И.Ф. Павлова</t>
  </si>
  <si>
    <t>265600.07.01</t>
  </si>
  <si>
    <t>Организационное и техническое обеспеч. информ..:Уч.пос./В.Я.Ищейнов -2 изд.-Форум:ИНФРА-М,2024-256с.(п)</t>
  </si>
  <si>
    <t>ОРГАНИЗАЦИОННОЕ И ТЕХНИЧЕСКОЕ ОБЕСПЕЧЕНИЕ ИНФОРМАЦИОННОЙ БЕЗОПАСНОСТИ. ЗАЩИТА КОНФИДЕНЦИАЛЬНОЙ ИНФОРМАЦИИ, ИЗД.2</t>
  </si>
  <si>
    <t>978-5-00091-506-6</t>
  </si>
  <si>
    <t>10.03.01</t>
  </si>
  <si>
    <t>Рекомендовано Учебно-методическим объединением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10.03.01 «Информационная безопасность»</t>
  </si>
  <si>
    <t>071970.14.01</t>
  </si>
  <si>
    <t>Организационное поведение (практик....): Уч.пос. / С.Д.Резник - 2 изд.- М.:ИНФРА-М Изд.Дом,2023-320 с(ВО)(П)</t>
  </si>
  <si>
    <t>ОРГАНИЗАЦИОННОЕ ПОВЕДЕНИЕ (ПРАКТИКУМ: ДЕЛОВЫЕ ИГРЫ, ТЕСТЫ, КОНКРЕТНЫЕ СИТУАЦИИ), ИЗД.2</t>
  </si>
  <si>
    <t>Резник С. Д., Игошина И. А., Шестернина О. И., Резник С. Д.</t>
  </si>
  <si>
    <t>978-5-16-005000-3</t>
  </si>
  <si>
    <t>37.03.01, 38.03.01, 38.03.02, 38.03.03, 38.03.04, 38.03.07, 38.04.01, 38.04.02, 38.04.03, 38.04.04, 41.03.06, 44.03.05</t>
  </si>
  <si>
    <t>Рекомендовано Учебно-методическим объединением вузов России по образованию  области менеджмента в качестве учебного пособия для студентов высших учебных заведений, обучающихся по направлениям "Менеджмент" и "Управление персоналом"</t>
  </si>
  <si>
    <t>071970.13.01</t>
  </si>
  <si>
    <t>Организационное поведение (практикум....): Уч.пос. / С.Д.Резник - 3 изд. - М.:ИНФРА-М Изд.Дом,2022-320 с(ВО)(П)</t>
  </si>
  <si>
    <t>ОРГАНИЗАЦИОННОЕ ПОВЕДЕНИЕ (ПРАКТИКУМ: ДЕЛОВЫЕ ИГРЫ, ТЕСТЫ, КОНКРЕТНЫЕ СИТУАЦИИ), ИЗД.3</t>
  </si>
  <si>
    <t>071970.11.01</t>
  </si>
  <si>
    <t>Организационное поведение (практикум....):Уч.пос. / С.Д.Резник-М.:ИНФРА-М Изд.Дом,2017.-256 с(ВО)(П)</t>
  </si>
  <si>
    <t>ОРГАНИЗАЦИОННОЕ ПОВЕДЕНИЕ (ПРАКТИКУМ: ДЕЛОВЫЕ ИГРЫ, ТЕСТЫ, КОНКРЕТНЫЕ СИТУАЦИИ)</t>
  </si>
  <si>
    <t>Рекомендовано УМО вузов России по образованию в области менеджмента в качестве учебного пособия по специальностям Менеджмент организации , Муниципальное и государственное управление, Управление персоналом</t>
  </si>
  <si>
    <t>097950.12.01</t>
  </si>
  <si>
    <t>Организационное поведение гос. служащих: Уч.пос. / Н.Л.Захаров-М.:НИЦ ИНФРА-М,2024-237с. (ВО)(О)</t>
  </si>
  <si>
    <t>ОРГАНИЗАЦИОННОЕ ПОВЕДЕНИЕ ГОСУДАРСТВЕННЫХ СЛУЖАЩИХ</t>
  </si>
  <si>
    <t>Захаров Н.Л.</t>
  </si>
  <si>
    <t>978-5-16-009613-1</t>
  </si>
  <si>
    <t>38.03.02, 38.03.03, 38.03.04, 38.04.02, 38.04.04, 41.03.06, 44.03.05</t>
  </si>
  <si>
    <t>Допущено Учебно-методическим объединением в области менеджмента в качестве учебного пособия для студентов вузов, обучающихся по направлению "Менеджмент" (080500.62)</t>
  </si>
  <si>
    <t>147500.09.01</t>
  </si>
  <si>
    <t>Организационное поведение. Новые направ. теории: Уч. пос. / Д.С. Петросян -М.:ИНФРА-М,2024-272с.(ВО) (п)</t>
  </si>
  <si>
    <t>ОРГАНИЗАЦИОННОЕ ПОВЕДЕНИЕ. НОВЫЕ НАПРАВЛЕНИЯ ТЕОРИИ</t>
  </si>
  <si>
    <t>Петросян Д. С., Фаткина Н. Л., Райзберг Б. А.</t>
  </si>
  <si>
    <t>978-5-16-004663-1</t>
  </si>
  <si>
    <t>071970.15.01</t>
  </si>
  <si>
    <t>Организационное поведение. Прак.: Уч.пос. / С.Д.Резник - 4 изд.-М.:НИЦ ИНФРА-М,2024.-333 с.(ВО)(п)</t>
  </si>
  <si>
    <t>ОРГАНИЗАЦИОННОЕ ПОВЕДЕНИЕ, ИЗД.4</t>
  </si>
  <si>
    <t>Резник С.Д., Игошина И.А., Черниковская М.В. и др.</t>
  </si>
  <si>
    <t>978-5-16-018507-1</t>
  </si>
  <si>
    <t>369500.05.01</t>
  </si>
  <si>
    <t>Организационное поведение. Практикум: Уч.пос. / Т.П. Хохлова - М.:Магистр, НИЦ ИНФРА-М,2023.-256 с.</t>
  </si>
  <si>
    <t>ОРГАНИЗАЦИОННОЕ ПОВЕДЕНИЕ. ПРАКТИКУМ</t>
  </si>
  <si>
    <t>Хохлова Т.П.</t>
  </si>
  <si>
    <t>978-5-9776-0367-6</t>
  </si>
  <si>
    <t>37.03.01, 38.03.01, 38.03.02, 38.03.03, 38.03.04, 38.04.02, 38.04.03, 38.04.04, 41.03.06, 44.03.05</t>
  </si>
  <si>
    <t>720816.04.01</t>
  </si>
  <si>
    <t>Организационное поведение: Уч. / Е.С.Балабанова - М.:НИЦ ИНФРА-М,2023 - 592 с.-(ВО)(п)</t>
  </si>
  <si>
    <t>ОРГАНИЗАЦИОННОЕ ПОВЕДЕНИЕ</t>
  </si>
  <si>
    <t>Балабанова Е.С.</t>
  </si>
  <si>
    <t>978-5-16-018939-0</t>
  </si>
  <si>
    <t>08.03.01, 27.03.02, 27.04.03, 38.03.01, 38.03.02, 38.03.03, 38.04.02, 41.03.06, 43.04.02, 44.03.05, 56.05.01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</si>
  <si>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10 от 15.12.2021)</t>
  </si>
  <si>
    <t>023589.22.01</t>
  </si>
  <si>
    <t>Организационное поведение: Уч. / Л.В. Карташова. - 2 изд. - М.: ИНФРА-М, 2025. - 383 с. (п)</t>
  </si>
  <si>
    <t>ОРГАНИЗАЦИОННОЕ ПОВЕДЕНИЕ, ИЗД.2</t>
  </si>
  <si>
    <t>Карташова Л. В., Никонова Т. В., Соломанидина Т. О.</t>
  </si>
  <si>
    <t>978-5-16-003293-1</t>
  </si>
  <si>
    <t>06.04.01, 17.03.01, 23.03.01, 26.03.02, 35.03.02, 38.03.01, 38.03.02, 38.03.03, 38.04.01, 38.04.02, 38.04.03, 41.03.06, 44.03.01, 46.04.02, 51.03.02</t>
  </si>
  <si>
    <t>Рекомендовано Министерством образования РФ в качестве учебника для студентов высших заведений, обучающихся по специальности и направлению "Менеджмент"</t>
  </si>
  <si>
    <t>284700.07.01</t>
  </si>
  <si>
    <t>Организационное поведение: Уч. / О.К. Минева - М.: Альфа-М:  ИНФРА-М, 2024. - 256 с. (Бакалавриат)(п)</t>
  </si>
  <si>
    <t>978-5-98281-399-2</t>
  </si>
  <si>
    <t>38.03.01, 38.03.02, 38.03.03, 38.03.04, 38.04.01, 38.04.02, 38.04.03, 38.04.04, 41.03.06, 44.03.05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</si>
  <si>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t>
  </si>
  <si>
    <t>072700.11.01</t>
  </si>
  <si>
    <t>Организационное поведение: Уч. / С.Д.Резник - 4 изд. - М.:НИЦ ИНФРА-М,2020-460 с.(ВО:Бакалавр.)(п)</t>
  </si>
  <si>
    <t>978-5-16-010032-6</t>
  </si>
  <si>
    <t>38.03.01, 38.03.02, 38.03.03, 38.03.04, 41.03.06, 44.03.05</t>
  </si>
  <si>
    <t>Допущено Советом Учебно-методического объединеня вузов России по образованию в области менеджмента в качестве учебника для студентов вузов, обучающихся по направлениям "Менеджмент" и "Управление персоналом"</t>
  </si>
  <si>
    <t>072700.10.01</t>
  </si>
  <si>
    <t>Организационное поведение: Уч. / С.Д.Резник - 5 изд.- М.:НИЦ ИНФРА-М,2018 - 463 с.(ВО:Бакалавр.)(п)</t>
  </si>
  <si>
    <t>ОРГАНИЗАЦИОННОЕ ПОВЕДЕНИЕ, ИЗД.5</t>
  </si>
  <si>
    <t>072700.15.01</t>
  </si>
  <si>
    <t>Организационное поведение: Уч. / С.Д.Резник, - 6 изд.-М.:НИЦ ИНФРА-М,2024.- 433 с.(ВО)(п)</t>
  </si>
  <si>
    <t>ОРГАНИЗАЦИОННОЕ ПОВЕДЕНИЕ, ИЗД.6</t>
  </si>
  <si>
    <t>978-5-16-018924-6</t>
  </si>
  <si>
    <t>0621</t>
  </si>
  <si>
    <t>368000.08.01</t>
  </si>
  <si>
    <t>Организационное проектирование: Уч.пос. / Под ред. Петросяна Д.С.-М.:НИЦ ИНФРА-М,2023.-196 с.(П)(ВО)</t>
  </si>
  <si>
    <t>ОРГАНИЗАЦИОННОЕ ПРОЕКТИРОВАНИЕ: РЕОРГАНИЗАЦИЯ,  РЕИНЖИНИРИНГ, ГАРМОНИЗАЦИЯ</t>
  </si>
  <si>
    <t>Лочан С.А., Альбитер Л.М., Семенова Ф.З. и др.</t>
  </si>
  <si>
    <t>978-5-16-011880-2</t>
  </si>
  <si>
    <t>27.04.07, 38.03.01, 38.03.02, 38.04.01, 38.04.02, 38.04.03, 44.03.05</t>
  </si>
  <si>
    <t>Рекомендовано в качестве учебного пособия для студентов высших учебных заведений, обучающихся по УГС 38.00.00 «Экономика и управление» (квалификация (степень) «магистр»)</t>
  </si>
  <si>
    <t>822171.01.01</t>
  </si>
  <si>
    <t>Организационно-методич. основы технич. обслуж. и...: Уч.пос. / Н.В.Шерстнев - М.:НИЦ ИНФРА-М,2025 - 162 с.(п)</t>
  </si>
  <si>
    <t>ОРГАНИЗАЦИОННО-МЕТОДИЧЕСКИЕ ОСНОВЫ ТЕХНИЧЕСКОГО ОБСЛУЖИВАНИЯ И РЕМОНТА СУДОВЫХ ТЕХНИЧЕСКИХ СРЕДСТВ</t>
  </si>
  <si>
    <t>978-5-16-019806-4</t>
  </si>
  <si>
    <t>26.05.04, 26.05.07</t>
  </si>
  <si>
    <t>795907.03.01</t>
  </si>
  <si>
    <t>Организационно-методологич. основы подготовки...: Уч.мет.пос. / С.В.Иванова-М.:НИЦ ИНФРА-М,2023.-92 с.(ВО)(о)</t>
  </si>
  <si>
    <t>ОРГАНИЗАЦИОННО-МЕТОДОЛОГИЧЕСКИЕ ОСНОВЫ ПОДГОТОВКИ ДИССЕРТАЦИИ</t>
  </si>
  <si>
    <t>Иванова С.В.</t>
  </si>
  <si>
    <t>978-5-16-018163-9</t>
  </si>
  <si>
    <t>00.06.01</t>
  </si>
  <si>
    <t>Институт содержания и методов обучения Российской Академии Образования</t>
  </si>
  <si>
    <t>217500.05.01</t>
  </si>
  <si>
    <t>Организационно-технологические осн. сухопут. трансп. леса: Уч. пос. / В.П.Бычков - ИНФРА-М, 2022-187с. (п)</t>
  </si>
  <si>
    <t>ОРГАНИЗАЦИОННО-ТЕХНОЛОГИЧЕСКИЕ ОСНОВЫ СУХОПУТНОГО ТРАНСПОРТА ЛЕСА</t>
  </si>
  <si>
    <t>Бычков В. П., Бугаков В. М., Заложных В. М., Бычков В. П.</t>
  </si>
  <si>
    <t>978-5-16-006922-7</t>
  </si>
  <si>
    <t>35.03.01, 35.03.02, 35.04.02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</si>
  <si>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«Лесное хозяйство» и «Лесоинженерное дело»</t>
  </si>
  <si>
    <t>699606.04.01</t>
  </si>
  <si>
    <t>Организация автотех. обеспеч. войск и...: Уч.пос. / Под ред. Михневича М.А. - М.:НИЦ ИНФРА-М,2024-438 с.(П)</t>
  </si>
  <si>
    <t>ОРГАНИЗАЦИЯ АВТОТЕХНИЧЕСКОГО ОБЕСПЕЧЕНИЯ ВОЙСК И ВОИНСКИЕ АВТОМОБИЛЬНЫЕ ПЕРЕВОЗКИ</t>
  </si>
  <si>
    <t>РВВДКУ , Михневич М.А., Ефремов В.В. и др.</t>
  </si>
  <si>
    <t>978-5-16-014783-3</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</si>
  <si>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командное ордена Суворова дважды Краснознаменное училище имени генерала армии В.Ф. Маргелова» Министерства обороны Российской Федерации в качестве учебного пособия для курсантов военно-учебных заведений Сухопутных войск, обучающихся по специальности высшего профессионального образования «Наземные транспортно-технологические средства» (регистрационный номер рецензии 155 от 12 апреля 2016 г.)</t>
  </si>
  <si>
    <t>699597.03.01</t>
  </si>
  <si>
    <t>Организация автотехнич. обеспеч. войск..: Уч.пос. / М.А.Михневич.-М.:НИЦ ИНФРА-М,2024.-315 с.(ВО.Сп)(п)</t>
  </si>
  <si>
    <t>ОРГАНИЗАЦИЯ АВТОТЕХНИЧЕСКОГО ОБЕСПЕЧЕНИЯ ВОЙСК. ВОИНСКИЕ АВТОМОБИЛЬНЫЕ ПЕРЕВОЗКИ</t>
  </si>
  <si>
    <t>Михневич М.А., Ефремов В.В., Горохов Н.М. и др.</t>
  </si>
  <si>
    <t>978-5-16-014775-8</t>
  </si>
  <si>
    <t>23.04.01, 23.05.01</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</si>
  <si>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командное ордена Суворова дважды Краснознаменное училище имени генерала армии В.Ф. Маргелова» Министерства обороны Российской Федерации в качестве учебника для курсантов военно-учебных заведений Сухопутных войск, обучающихся по специальности высшего образования «Наземные транспортно-технологические средства»</t>
  </si>
  <si>
    <t>705270.06.01</t>
  </si>
  <si>
    <t>Организация безналичных расчетов: Уч. / А.А.Казимагомедов - М.:НИЦ ИНФРА-М,2024 - 212 с.(СПО)(П)</t>
  </si>
  <si>
    <t>ОРГАНИЗАЦИЯ БЕЗНАЛИЧНЫХ РАСЧЕТОВ</t>
  </si>
  <si>
    <t>978-5-16-015118-2</t>
  </si>
  <si>
    <t>11.02.12, 38.02.07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</si>
  <si>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17 от 11.11.2019)</t>
  </si>
  <si>
    <t>818353.01.01</t>
  </si>
  <si>
    <t>Организация безналичных расчетов: Уч.пос. / А.П.Гарнов - М.:НИЦ ИНФРА-М,2025. - 183 с.(ВО (РЭУ))(п)</t>
  </si>
  <si>
    <t>Гарнов А.П.</t>
  </si>
  <si>
    <t>978-5-16-019607-7</t>
  </si>
  <si>
    <t>822128.01.01</t>
  </si>
  <si>
    <t>Организация ветеринарного дела: Уч.пос. / И.В.Гавриленко - М.:НИЦ ИНФРА-М,2025. - 216 с.(ВО (КрГАУ))(п)</t>
  </si>
  <si>
    <t>ОРГАНИЗАЦИЯ ВЕТЕРИНАРНОГО ДЕЛА</t>
  </si>
  <si>
    <t>978-5-16-020338-6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</si>
  <si>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36.03.01 «Ветеринарно-санитарная экспертиза», по специальности 36.05.01 «Ветеринария», а также для подготовки слушателей центра дополнительного профессионального образования</t>
  </si>
  <si>
    <t>693894.05.01</t>
  </si>
  <si>
    <t>Организация гостиничного дела: обеспеч. безоп.: Уч.пос. / Р.Н.Ушаков-М.:НИЦ ИНФРА-М,2025-136 с.(СПО)(о)</t>
  </si>
  <si>
    <t>ОРГАНИЗАЦИЯ ГОСТИНИЧНОГО ДЕЛА: ОБЕСПЕЧЕНИЕ БЕЗОПАСНОСТИ</t>
  </si>
  <si>
    <t>Ушаков Р.Н., Авилова Н.Л.</t>
  </si>
  <si>
    <t>978-5-16-014473-3</t>
  </si>
  <si>
    <t>646488.07.01</t>
  </si>
  <si>
    <t>Организация гостиничного дела: обеспечение безоп.: Уч.пос. / Р.Н.Ушаков-М.:НИЦ ИНФРА-М,2024-136 с.(ВО)(О)</t>
  </si>
  <si>
    <t>978-5-16-012496-4</t>
  </si>
  <si>
    <t>43.00.00, 43.03.01, 43.03.02, 43.03.03</t>
  </si>
  <si>
    <t>Рекомендовано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t>
  </si>
  <si>
    <t>683002.07.01</t>
  </si>
  <si>
    <t>Организация гостиничного дела: Уч.пос. / С.А.Быстров - М.:Форум, НИЦ ИНФРА-М,2025 - 432 с.-(СПО)(П)</t>
  </si>
  <si>
    <t>ОРГАНИЗАЦИЯ ГОСТИНИЧНОГО ДЕЛА</t>
  </si>
  <si>
    <t>Быстров С.А.</t>
  </si>
  <si>
    <t>978-5-00091-552-3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</si>
  <si>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5 от 11.03.2019)</t>
  </si>
  <si>
    <t>462500.08.01</t>
  </si>
  <si>
    <t>Организация гостиничного дела: Уч.пос. / С.А.Быстров-М.:Форум, НИЦ ИНФРА-М,2023.-432 с..-(ВО)(п)</t>
  </si>
  <si>
    <t>978-5-00091-514-1</t>
  </si>
  <si>
    <t>Рекомендовано для студентов высших учебных заведений, обучающихся по направлению подготовки 43.03.03 «Гостиничное дело»</t>
  </si>
  <si>
    <t>149650.11.01</t>
  </si>
  <si>
    <t>Организация гостиничного хозяйства: Уч. пос. / Т.А. Джум - М.: Магистр:  НИЦ Инфра-М, 2024-400 с.(п)</t>
  </si>
  <si>
    <t>ОРГАНИЗАЦИЯ ГОСТИНИЧНОГО ХОЗЯЙСТВА</t>
  </si>
  <si>
    <t>Джум Т. А., Денисова Н. И.</t>
  </si>
  <si>
    <t>978-5-9776-0176-4</t>
  </si>
  <si>
    <t>38.03.02, 38.04.02, 43.03.03, 43.04.03</t>
  </si>
  <si>
    <t>Допущено УМО по образованию в области производственного менеджмента для студентов вузов, обучающихся по специальности 080502 "Экономика и управление на предприятии общественного питания"</t>
  </si>
  <si>
    <t>667633.07.01</t>
  </si>
  <si>
    <t>Организация груз. автомоб. перевозок.: Уч.пос. / В.А.Ковалев - 2 изд.-М.:НИЦ ИНФРА-М, СФУ,2024-187с.(о)</t>
  </si>
  <si>
    <t>ОРГАНИЗАЦИЯ ГРУЗОВЫХ АВТОМОБИЛЬНЫХ ПЕРЕВОЗОК. КУРСОВОЕ ПРОЕКТИРОВАНИЕ, ИЗД.2</t>
  </si>
  <si>
    <t>Ковалев В.А., Фадеев А.Н.</t>
  </si>
  <si>
    <t>978-5-16-019180-5</t>
  </si>
  <si>
    <t>Рекомендовано ФГБОУ ВО «Московский автомобильно-дорожный государственный технический университет (МАДИ)» к использованию в образовательных учреждениях, реализующих образовательные программы высшего образования подготовки бакалавров по направлению «Технология транспортных процессов»  (профиль подготовки «Организация перевозок и управление  на автомобильном транспорте»)</t>
  </si>
  <si>
    <t>443500.04.01</t>
  </si>
  <si>
    <t>Организация деят. коммерческого банка: Уч./О.М.Маркова-М.:ИД ФОРУМ, НИЦ ИНФРА-М,2023.-496 с.(П)</t>
  </si>
  <si>
    <t>ОРГАНИЗАЦИЯ ДЕЯТЕЛЬНОСТИ КОММЕРЧЕСКОГО БАНКА</t>
  </si>
  <si>
    <t>МарковаО.М.</t>
  </si>
  <si>
    <t>978-5-8199-0638-5</t>
  </si>
  <si>
    <t>Рекомендовано в качестве учебника для студентов учреждений среднего профессионального образования, обучающихся по специальностям экономического профиля</t>
  </si>
  <si>
    <t>837252.01.01</t>
  </si>
  <si>
    <t>Организация деятельности коммерч. банка: Практ. / И.А.Янкина - М.:НИЦ ИНФРА-М, СФУ,2025. - 237 с.(ВО (СФУ))(п)</t>
  </si>
  <si>
    <t>Янкина И.А., Черкасова Ю.И., Осколкова Н.С.</t>
  </si>
  <si>
    <t>978-5-16-020276-1</t>
  </si>
  <si>
    <t>181500.09.01</t>
  </si>
  <si>
    <t>Организация деятельности коммерч. банка: Уч / Под ред. Е.А.Звоновой -М:НИЦ Инфра-М,2024 - 632с.(ВО) (п)</t>
  </si>
  <si>
    <t>Звонова Е. А., Белецкий М. А., Богачева М. Ю., Дадашева О. Ю., Звонова Е. А.</t>
  </si>
  <si>
    <t>978-5-16-005404-9</t>
  </si>
  <si>
    <t>Рекомендовано УМО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(квалификация (степень) "бакалавр")</t>
  </si>
  <si>
    <t>410250.09.01</t>
  </si>
  <si>
    <t>Организация деятельности центрального банка: Уч. /Е.А.Звонова - М.: НИЦ Инфра-М, 2023-400с.(ВО) (п)</t>
  </si>
  <si>
    <t>ОРГАНИЗАЦИЯ ДЕЯТЕЛЬНОСТИ ЦЕНТРАЛЬНОГО БАНКА</t>
  </si>
  <si>
    <t>Звонова Е. А., Акопов В. С., Домащенко Д. В., Звонова Е. А.</t>
  </si>
  <si>
    <t>978-5-16-006000-2</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</si>
  <si>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Квалификация (</t>
  </si>
  <si>
    <t>078550.12.01</t>
  </si>
  <si>
    <t>Организация и методика проф. обуч.: Уч.пос. / В.А.Скакун - 2 изд.-М.:Форум, НИЦ ИНФРА-М,2024.-336 с.(СПО)(П)</t>
  </si>
  <si>
    <t>ОРГАНИЗАЦИЯ И МЕТОДИКА ПРОФЕССИОНАЛЬНОГО ОБУЧЕНИЯ, ИЗД.2</t>
  </si>
  <si>
    <t>Скакун В. А.</t>
  </si>
  <si>
    <t>978-5-91134-707-9</t>
  </si>
  <si>
    <t>748107.02.01</t>
  </si>
  <si>
    <t>Организация и методика риск-ориентир. аудита в туризме: Уч.пос. / В.Д.Андреев - М.:Магистр, НИЦ ИНФРА-М,2025 - 392 с.(П)</t>
  </si>
  <si>
    <t>ОРГАНИЗАЦИЯ И МЕТОДИКА РИСК-ОРИЕНТИРОВАННОГО АУДИТА В ТУРИЗМЕ</t>
  </si>
  <si>
    <t>978-5-9776-0527-4</t>
  </si>
  <si>
    <t>38.03.01, 43.03.02, 43.04.02</t>
  </si>
  <si>
    <t>054100.11.01</t>
  </si>
  <si>
    <t>Организация и методы налог. пров.: Уч. пос./ А.Н.Романов -3 изд. - Вуз. учеб.: Инфра-М, 2017-294с(п)</t>
  </si>
  <si>
    <t>ОРГАНИЗАЦИЯ И МЕТОДЫ НАЛОГОВЫХ ПРОВЕРОК, ИЗД.3</t>
  </si>
  <si>
    <t>Романов А.Н.</t>
  </si>
  <si>
    <t>978-5-9558-0240-4</t>
  </si>
  <si>
    <t>Допущено Мин. обр. и науки РФ в качестве учебного пособия для студентов высших учебных заведений, обучающихся по специальности 351200 "Налоги и налогообложение"</t>
  </si>
  <si>
    <t>054100.13.01</t>
  </si>
  <si>
    <t>Организация и методы налог. пров.: Уч.пос./ Под ред. Романова А.Н.-4 изд.-М.:Вуз.уч.,НИЦ ИНФРА-М,2024-421с.(ВО) (П)</t>
  </si>
  <si>
    <t>ОРГАНИЗАЦИЯ И МЕТОДЫ НАЛОГОВЫХ ПРОВЕРОК, ИЗД.4</t>
  </si>
  <si>
    <t>Романов А.Н., Савин А.А., Анашкин А.К. и др.</t>
  </si>
  <si>
    <t>978-5-9558-0594-8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</si>
  <si>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38.04.00 «Экономика и управление» (квалификация (степень) «магистр») (протокол № 12 от 24.06.2019)</t>
  </si>
  <si>
    <t>078800.17.01</t>
  </si>
  <si>
    <t>Организация и нормирование труда: Уч. для вуз. / М.И.Бухалков, - 4 изд. - М.:НИЦ ИНФРА-М,2025. - 380 с.(П)</t>
  </si>
  <si>
    <t>ОРГАНИЗАЦИЯ И НОРМИРОВАНИЕ ТРУДА, ИЗД.4</t>
  </si>
  <si>
    <t>Бухалков М. И.</t>
  </si>
  <si>
    <t>978-5-16-018653-5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</si>
  <si>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(протокол № 7 от 15.04.2019)</t>
  </si>
  <si>
    <t>107600.14.01</t>
  </si>
  <si>
    <t>Организация и нормирование труда: Уч.пос. / В.Б.Бычин и др. - М.:НИЦ ИНФРА-М,2025. - 248 с.(ВО)(п)</t>
  </si>
  <si>
    <t>ОРГАНИЗАЦИЯ И НОРМИРОВАНИЕ ТРУДА</t>
  </si>
  <si>
    <t>Бычин В. Б., Шубенкова Е. В., Малинин С. В.</t>
  </si>
  <si>
    <t>978-5-16-020118-4</t>
  </si>
  <si>
    <t>38.03.01, 38.03.02, 38.03.03, 38.03.04, 38.04.01, 38.04.02, 38.04.03, 38.04.04, 40.03.01, 41.03.06, 44.03.05</t>
  </si>
  <si>
    <t>Допущено Учебно-методическим объединением вузов России по образованию в области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t>
  </si>
  <si>
    <t>187550.09.01</t>
  </si>
  <si>
    <t>Организация и план. деят. предпр. сферы сервиса: Уч.пос./ О.Н.Гукова-М:Форум,2024-160с(ВО:Бакалавр.) (о)</t>
  </si>
  <si>
    <t>ОРГАНИЗАЦИЯ И ПЛАНИРОВАНИЕ ДЕЯТЕЛЬНОСТИ ПРЕДПРИЯТИЙ СФЕРЫ СЕРВИСА</t>
  </si>
  <si>
    <t>Гукова О. Н.</t>
  </si>
  <si>
    <t>978-5-91134-661-4</t>
  </si>
  <si>
    <t>43.03.01</t>
  </si>
  <si>
    <t>719114.01.01</t>
  </si>
  <si>
    <t>Организация и планир. деят. предпр. сферы сервиса: Уч.пос. / О.Н.Гукова-М.:Форум, НИЦ ИНФРА-М,2025-160с(о)</t>
  </si>
  <si>
    <t>Гукова О.Н.</t>
  </si>
  <si>
    <t>978-5-00091-716-9</t>
  </si>
  <si>
    <t>43.02.02, 43.02.17</t>
  </si>
  <si>
    <t>336200.05.01</t>
  </si>
  <si>
    <t>Организация и планир. кадастр. деят.: Уч. /А.А.Варламов -2 изд.-М.: Форум, НИЦ ИНФРА-М,2019-192с.(О)</t>
  </si>
  <si>
    <t>ОРГАНИЗАЦИЯ И ПЛАНИРОВАНИЕ КАДАСТРОВОЙ ДЕЯТЕЛЬНОСТИ, ИЗД.2</t>
  </si>
  <si>
    <t>978-5-00091-687-2</t>
  </si>
  <si>
    <t>21.03.02, 21.04.02, 35.03.01, 40.05.01, 40.05.02, 40.05.03, 40.05.04</t>
  </si>
  <si>
    <t>Допущено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</si>
  <si>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414950.07.01</t>
  </si>
  <si>
    <t>Организация и планир.радиотехн. произв.: Уч.пос. / В.Д.Сыров - М:ИЦ РИОР:НИЦ ИНФРА-М,2025 - 304 с.(ВО)(п)</t>
  </si>
  <si>
    <t>ОРГАНИЗАЦИЯ И ПЛАНИРОВАНИЕ РАДИОТЕХНИЧЕСКОГО ПРОИЗВОДСТВА</t>
  </si>
  <si>
    <t>Сыров В.Д.</t>
  </si>
  <si>
    <t>978-5-369-01170-6</t>
  </si>
  <si>
    <t>11.03.01, 11.03.03, 11.04.01, 11.04.03, 11.05.01</t>
  </si>
  <si>
    <t>685029.08.01</t>
  </si>
  <si>
    <t>Организация и пров.эксперт. и оценки кач..: Уч. / М.А.Николаева - М.:Юр.Норма, НИЦ ИНФРА-М,2025 - 320 с.(СПО)(П)</t>
  </si>
  <si>
    <t>ОРГАНИЗАЦИЯ И ПРОВЕДЕНИЕ ЭКСПЕРТИЗЫ И ОЦЕНКИ КАЧЕСТВА ПРОДОВОЛЬСТВЕННЫХ ТОВАРОВ</t>
  </si>
  <si>
    <t>Николаева М.А., Карташова Л.В.</t>
  </si>
  <si>
    <t>978-5-91768-939-5</t>
  </si>
  <si>
    <t>089250.13.01</t>
  </si>
  <si>
    <t>Организация и проведение мероприятий: Уч.пос. / О.Я.Гойхман - 3 изд.-М.:НИЦ ИНФРА-М,2024.-194 с.(П)</t>
  </si>
  <si>
    <t>ОРГАНИЗАЦИЯ И ПРОВЕДЕНИЕ МЕРОПРИЯТИЙ, ИЗД.3</t>
  </si>
  <si>
    <t>Гойхман О.Я.</t>
  </si>
  <si>
    <t>978-5-16-015949-2</t>
  </si>
  <si>
    <t>01.03.01, 01.04.01, 02.03.01, 02.04.01, 43.03.01, 43.03.03, 43.04.01, 43.04.03</t>
  </si>
  <si>
    <t>Рекомендовано Учебно-методическим объединением учебных заведений Российской Федерации по образованию в области сервиса и туризма в качестве учебного пособия для студентов высших учебных заведений</t>
  </si>
  <si>
    <t>089250.09.01</t>
  </si>
  <si>
    <t>Организация и проведение мероприятий: Уч.пос. / О.Я.Гойхман, - 2 изд.-М.:НИЦ ИНФРА-М,2019-136с(О)</t>
  </si>
  <si>
    <t>ОРГАНИЗАЦИЯ И ПРОВЕДЕНИЕ МЕРОПРИЯТИЙ, ИЗД.2</t>
  </si>
  <si>
    <t>978-5-16-004998-4</t>
  </si>
  <si>
    <t>703745.07.01</t>
  </si>
  <si>
    <t>Организация и содержание работы шк. логопеда: Уч.мет.пос. / О.В.Елецкая - М.:НИЦ ИНФРА-М,2025. - 192 с.(п)</t>
  </si>
  <si>
    <t>ОРГАНИЗАЦИЯ И СОДЕРЖАНИЕ РАБОТЫ ШКОЛЬНОГО ЛОГОПЕДА</t>
  </si>
  <si>
    <t>Елецкая О.В., Белозерцева Т.В., Розова Ю.Е. и др.</t>
  </si>
  <si>
    <t>978-5-16-020470-3</t>
  </si>
  <si>
    <t>44.00.00, 44.02.03, 44.02.04, 44.02.05</t>
  </si>
  <si>
    <t>350100.08.01</t>
  </si>
  <si>
    <t>Организация и содержание работы шк.логопеда: Уч.-метод.пос./О.В.Елецкая -М.:Форум,НИЦ ИНФРА-М,2024-192с</t>
  </si>
  <si>
    <t>Елецкая О.В., Коробченко Т.В., Розова Ю.Е. и др.</t>
  </si>
  <si>
    <t>978-5-00091-691-9</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</si>
  <si>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(бакалавриат) по профилю подготовки «Логопедия» и 44.04.03 «Специальное (дефектологическое) образование» (магистратура)</t>
  </si>
  <si>
    <t>640315.04.01</t>
  </si>
  <si>
    <t>Организация и тех. работы с конфиденц.документ.: Уч. / В.П.Зверева-М.:КУРС, НИЦ ИНФРА-М,2023-320с(П)</t>
  </si>
  <si>
    <t>ОРГАНИЗАЦИЯ И ТЕХНОЛОГИЯ РАБОТЫ С КОНФИДЕНЦИАЛЬНЫМИ ДОКУМЕНТАМИ</t>
  </si>
  <si>
    <t>Зверева В.П., Назаров А.В.</t>
  </si>
  <si>
    <t>978-5-906818-96-6</t>
  </si>
  <si>
    <t>10.02.01, 31.02.01, 46.02.01</t>
  </si>
  <si>
    <t>156700.09.01</t>
  </si>
  <si>
    <t>Организация и технология питания туристов: Уч. пос. / Т.А.Джум - М.: Магистр: ИНФРА-М, 2025 - 320 с. (п)</t>
  </si>
  <si>
    <t>ОРГАНИЗАЦИЯ И ТЕХНОЛОГИЯ ПИТАНИЯ ТУРИСТОВ</t>
  </si>
  <si>
    <t>Джум Т. А., Ольшанская С. А.</t>
  </si>
  <si>
    <t>978-5-9776-0199-3</t>
  </si>
  <si>
    <t>Рекомендовано УМО по образованию в области сервиса в качестве учебного пособия для студентов ВУЗов, обучающихся по специальности "Социально-культурный сервис и туризм"</t>
  </si>
  <si>
    <t>437400.05.01</t>
  </si>
  <si>
    <t>Организация и упр. деят. электросетевых предприятий: Уч.пос. / В.Я.Хорольский-М.:НИЦ ИНФРА-М,2023-143 с.(ВО)(о)</t>
  </si>
  <si>
    <t>ОРГАНИЗАЦИЯ И УПРАВЛЕНИЕ ДЕЯТЕЛЬНОСТЬЮ ЭЛЕКТРОСЕТЕВЫХ ПРЕДПРИЯТИЙ</t>
  </si>
  <si>
    <t>Хорольский В.Я., Таранов М.А., Жданов В.Г.</t>
  </si>
  <si>
    <t>978-5-16-019480-6</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</si>
  <si>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13.03.02 «Электроэнергетика и электротехника»</t>
  </si>
  <si>
    <t>704323.10.01</t>
  </si>
  <si>
    <t>Организация и управ. деят.электросетевых предп.: Уч.пос. / В.Я.Хорольский - М.:НИЦ ИНФРА-М,2025 - 143 с.(о)</t>
  </si>
  <si>
    <t>978-5-16-017821-9</t>
  </si>
  <si>
    <t>11.02.06, 11.02.07, 11.02.09, 11.02.11, 11.02.13, 11.02.15, 11.02.17, 11.02.18, 13.01.10, 13.02.07, 13.02.12, 13.02.13, 35.01.15</t>
  </si>
  <si>
    <t>789234.01.01</t>
  </si>
  <si>
    <t>Организация и управление в строительстве: Уч.пос. / В.М.Серов - М.:НИЦ ИНФРА-М,2025 - 453 с.(СПО)(п)</t>
  </si>
  <si>
    <t>ОРГАНИЗАЦИЯ И УПРАВЛЕНИЕ В СТРОИТЕЛЬСТВЕ</t>
  </si>
  <si>
    <t>978-5-16-017979-7</t>
  </si>
  <si>
    <t>08.02.01, 08.02.02, 08.02.03, 08.02.04, 08.02.08, 08.02.09, 08.02.12, 08.02.13, 08.02.14, 23.02.08</t>
  </si>
  <si>
    <t>326300.05.01</t>
  </si>
  <si>
    <t>Организация и формы международного бизнеса: Уч.пос./В.А.Михалкин-М.:Магистр:НИЦ ИНФРА-М,2024-448с(п)</t>
  </si>
  <si>
    <t>ОРГАНИЗАЦИЯ И ФОРМЫ МЕЖДУНАРОДНОГО БИЗНЕСА</t>
  </si>
  <si>
    <t>Михалкин В.А.</t>
  </si>
  <si>
    <t>978-5-9776-0360-7</t>
  </si>
  <si>
    <t>38.03.01, 38.03.04, 38.04.01, 38.04.04, 41.03.05, 41.04.05, 44.03.05</t>
  </si>
  <si>
    <t>789529.01.01</t>
  </si>
  <si>
    <t>Организация игровой среды в обуч. и воспит..: Уч.пос. / Под ред. Прониной Л.В.-М.:ИНФРА-М,2024-176с.(п)</t>
  </si>
  <si>
    <t>ОРГАНИЗАЦИЯ ИГРОВОЙ СРЕДЫ В ОБУЧЕНИИ И ВОСПИТАНИИ ДЕТЕЙ РАННЕГО ВОЗРАСТА С ИНТЕЛЛЕКТУАЛЬНЫМИ НАРУШЕНИЯМИ</t>
  </si>
  <si>
    <t>Пронина Л.В., Кремнева Е.А., Липатова О.Н. и др.</t>
  </si>
  <si>
    <t>978-5-16-018310-7</t>
  </si>
  <si>
    <t>345700.05.01</t>
  </si>
  <si>
    <t>Организация коммер. деят. малых и ср. предпр.: Уч.пос. / Г.Г.Иванов-М.:ИД Форум, НИЦ ИНФРА-М,2023-304с.(П)</t>
  </si>
  <si>
    <t>ОРГАНИЗАЦИЯ КОММЕРЧЕСКОЙ ДЕЯТЕЛЬНОСТИ МАЛЫХ И СРЕДНИХ ПРЕДПРИЯТИЙ</t>
  </si>
  <si>
    <t>Г.Г.Иванов, Ю.К.Баженов</t>
  </si>
  <si>
    <t>978-5-8199-0626-2</t>
  </si>
  <si>
    <t>665683.02.01</t>
  </si>
  <si>
    <t>Организация коммерческой деят.в инфраструктуре рынка: Уч. / В.В.Куимов-М.:НИЦ ИНФРА-М,2018-537с(ВО)</t>
  </si>
  <si>
    <t>ОРГАНИЗАЦИЯ КОММЕРЧЕСКОЙ ДЕЯТЕЛЬНОСТИ В ИНФРАСТРУКТУРЕ РЫНКА</t>
  </si>
  <si>
    <t>Куимов В.В., Суслова Ю.Ю., Щербенко Е.В. и др.</t>
  </si>
  <si>
    <t>978-5-16-012977-8</t>
  </si>
  <si>
    <t>38.03.06, 38.03.07</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</si>
  <si>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38.03.06 «Торговое дело» (квалификация (степень) «бакалавр»)</t>
  </si>
  <si>
    <t>250100.08.01</t>
  </si>
  <si>
    <t>Организация контроля качества зерна: Уч.пос. / Т.В.Устименко - М.: ИЦ РИОР:НИЦ ИНФРА-М,2025 - 224 с.(п)</t>
  </si>
  <si>
    <t>ОРГАНИЗАЦИЯ КОНТРОЛЯ КАЧЕСТВА ЗЕРНА</t>
  </si>
  <si>
    <t>Устименко Т.В.</t>
  </si>
  <si>
    <t>978-5-369-01313-7</t>
  </si>
  <si>
    <t>19.01.18, 19.01.19, 19.02.10, 19.02.11, 19.02.13, 27.02.02, 27.02.07, 35.01.12, 35.01.23, 35.01.26, 35.01.27, 35.02.05, 43.02.15</t>
  </si>
  <si>
    <t>703980.04.01</t>
  </si>
  <si>
    <t>Организация кредитной работы: Уч. / А.А.Казимагомедов - М.:НИЦ ИНФРА-М,2025 - 198 с.(СПО)(П)</t>
  </si>
  <si>
    <t>ОРГАНИЗАЦИЯ КРЕДИТНОЙ РАБОТЫ</t>
  </si>
  <si>
    <t>978-5-16-015144-1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</si>
  <si>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11 от 09.11.2020)</t>
  </si>
  <si>
    <t>189400.07.01</t>
  </si>
  <si>
    <t>Организация кредитования в комм. банке: Уч. пос. / Н.В.Горелая - ИД ФОРУМ: НИЦ Инфра-М, 2025 - 208 с.(ВО) (п)</t>
  </si>
  <si>
    <t>ОРГАНИЗАЦИЯ КРЕДИТОВАНИЯ В КОММЕРЧЕСКОМ БАНКЕ</t>
  </si>
  <si>
    <t>Горелая Н. В.</t>
  </si>
  <si>
    <t>978-5-8199-0519-7</t>
  </si>
  <si>
    <t>Рекомендовано УМО в области экономики и менеджмента в качестве учебного пособия для студентов высших учебных заведений, обуч. по направлению подготовки бакалавров и магистров для напр. 080100 "Экономика" спец. "Банки и банк. деятельность"</t>
  </si>
  <si>
    <t>Национальный исследовательский университет "Высшая школа экономики", ф-л Санкт-Петербург</t>
  </si>
  <si>
    <t>684823.04.01</t>
  </si>
  <si>
    <t>Организация кредитования в коммерч. банке: Уч.пос./Н.В.Горелая-М.:ИД ФОРУМ, НИЦ ИНФРА-М,2025-208с(П)</t>
  </si>
  <si>
    <t>Горелая Н.В.</t>
  </si>
  <si>
    <t>978-5-8199-0808-2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</si>
  <si>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38.02.06 «Финансы», 38.02.07 «Банковское дело»</t>
  </si>
  <si>
    <t>757825.05.01</t>
  </si>
  <si>
    <t>Организация надомного обуч. дош. с тяжелыми...  / С.Б.Лазуренко - М.:НИЦ ИНФРА-М,2025  - 71 с.(О)</t>
  </si>
  <si>
    <t>ОРГАНИЗАЦИЯ НАДОМНОГО ОБУЧЕНИЯ ДОШКОЛЬНИКОВ С ТЯЖЕЛЫМИ МНОЖЕСТВЕННЫМИ НАРУШЕНИЯМИ РАЗВИТИЯ (ТМНР)</t>
  </si>
  <si>
    <t>Лазуренко С.Б., Павлова Н.Н.</t>
  </si>
  <si>
    <t>978-5-16-016922-4</t>
  </si>
  <si>
    <t>763784.01.01</t>
  </si>
  <si>
    <t>Организация науч. знания: классификация и теория: Уч.пос. / Под ред. Диева В.С.-М.:НИЦ ИНФРА-М,2024-316 с.(ВО)(п)</t>
  </si>
  <si>
    <t>ОРГАНИЗАЦИЯ НАУЧНОГО ЗНАНИЯ: КЛАССИФИКАЦИЯ И ТЕОРИЯ</t>
  </si>
  <si>
    <t>Зуев В.В., Диев В.С.</t>
  </si>
  <si>
    <t>978-5-16-017203-3</t>
  </si>
  <si>
    <t>00.04.16, 00.05.16</t>
  </si>
  <si>
    <t>139200.16.01</t>
  </si>
  <si>
    <t>Организация науч.-исслед.раб. студ.: Уч.пос. / В.В.Кукушкина - 2 изд. - М.:НИЦ ИНФРА-М,2025 - 345 с.(ВО)</t>
  </si>
  <si>
    <t>ОРГАНИЗАЦИЯ НАУЧНО-ИССЛЕДОВАТЕЛЬСКОЙ РАБОТЫ СТУДЕНТОВ (МАГИСТРОВ), ИЗД.2</t>
  </si>
  <si>
    <t>Янковская В.В.</t>
  </si>
  <si>
    <t>978-5-16-012783-5</t>
  </si>
  <si>
    <t>00.04.16, 38.04.01, 38.04.02, 38.04.03, 38.04.04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</si>
  <si>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</si>
  <si>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139200.13.01</t>
  </si>
  <si>
    <t>Организация научно-исслед.работы студ.: Уч.пос. / В.В.Кукушкина - 1 изд./ В.В.Кукушкина-М.:НИЦ ИНФРА-М,2021-264 с.-(ВО: Магистр.)</t>
  </si>
  <si>
    <t>ОРГАНИЗАЦИЯ НАУЧНО-ИССЛЕДОВАТЕЛЬСКОЙ РАБОТЫ СТУДЕНТОВ (МАГИСТРОВ)</t>
  </si>
  <si>
    <t>978-5-16-004167-4</t>
  </si>
  <si>
    <t>Допущено Советом Учебно-методического объединения по образованию в области менеджмента в качестве учебного пособия по направлению подготовки 38.04.02 «Менеджмент»</t>
  </si>
  <si>
    <t>726999.04.01</t>
  </si>
  <si>
    <t>Организация обр. деят. в ДОО. Пример. план. Ст.группа (5-6 л.): Уч.мет.пос. / Л.Л.Тимофеева.-М.:НИЦ ИНФРА-М,2025-298с(П)</t>
  </si>
  <si>
    <t>ОРГАНИЗАЦИЯ ОБРАЗОВАТЕЛЬНОЙ ДЕЯТЕЛЬНОСТИ В ДОО. ПРИМЕРНОЕ ПЛАНИРОВАНИЕ. СТАРШАЯ ГРУППА (5-6 ЛЕТ)</t>
  </si>
  <si>
    <t>Тимофеева Л.Л., Корнеичева Е.Е., Грачева Н.И. и др.</t>
  </si>
  <si>
    <t>978-5-16-015962-1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</si>
  <si>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№4 от 02.03.2020)</t>
  </si>
  <si>
    <t>Институт развития образования, Орловская область</t>
  </si>
  <si>
    <t>727008.04.01</t>
  </si>
  <si>
    <t>Организация образ. деят. в ДОО. Прим. планир...: Уч.мет.пос. / Л.Л.Тимофеева - М.:НИЦ ИНФРА-М,2025 - 322 с.(П)</t>
  </si>
  <si>
    <t>ОРГАНИЗАЦИЯ ОБРАЗОВАТЕЛЬНОЙ ДЕЯТЕЛЬНОСТИ В ДОО. ПРИМЕРНОЕ ПЛАНИРОВАНИЕ. СРЕДНЯЯ ГРУППА (4-5 ЛЕТ)</t>
  </si>
  <si>
    <t>978-5-16-014063-6</t>
  </si>
  <si>
    <t>727022.05.01</t>
  </si>
  <si>
    <t>Организация образ. деят. в ДОО...: Уч.мет.пос. / Л.Л.Тимофеева и др. - М.:НИЦ ИНФРА-М,2025 - 323 с.(П)</t>
  </si>
  <si>
    <t>ОРГАНИЗАЦИЯ ОБРАЗОВАТЕЛЬНОЙ ДЕЯТЕЛЬНОСТИ В ДОО. ПРИМЕРНОЕ ПЛАНИРОВАНИЕ. ВТОРАЯ МЛАДШАЯ ГРУППА (3-4 ГОДА)</t>
  </si>
  <si>
    <t>978-5-16-015960-7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</si>
  <si>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4 от 02.03.2020)</t>
  </si>
  <si>
    <t>727013.05.01</t>
  </si>
  <si>
    <t>Организация образоват. деят. в ДОО..: Уч.метод.пос. / Л.Л.Тимофеева - М.:ИНФРА-М,2025 - 337 с.(П)</t>
  </si>
  <si>
    <t>ОРГАНИЗАЦИЯ ОБРАЗОВАТЕЛЬНОЙ ДЕЯТЕЛЬНОСТИ В ДОО. ПРИМЕРНОЕ ПЛАНИРОВАНИЕ. ПОДГОТОВИТЕЛЬНАЯ К ШКОЛЕ ГРУППА (6-7 ЛЕТ)</t>
  </si>
  <si>
    <t>978-5-16-015961-4</t>
  </si>
  <si>
    <t>674626.05.01</t>
  </si>
  <si>
    <t>Организация образовательной деят. в ДОО...: Уч.мет.пос./ Л.Л.Тимофеева - М.:НИЦ ИНФРА-М.2025-288c(П)</t>
  </si>
  <si>
    <t>ОРГАНИЗАЦИЯ ОБРАЗОВАТЕЛЬНОЙ ДЕЯТЕЛЬНОСТИ В ДОО. ПРИМЕРНОЕ ПЛАНИРОВАНИЕ. ПЕРВАЯ МЛАДШАЯ ГРУППА (2-3 ГОДА)</t>
  </si>
  <si>
    <t>978-5-16-016102-0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</si>
  <si>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8 от 22.06.2020)</t>
  </si>
  <si>
    <t>631780.10.01</t>
  </si>
  <si>
    <t>Организация обслуживания на предп. общ. питания: Уч. / Е.Б.Мрыхина - М.:ИД ФОРУМ, НИЦ ИНФРА-М,2023-417с(П)</t>
  </si>
  <si>
    <t>ОРГАНИЗАЦИЯ ОБСЛУЖИВАНИЯ НА ПРЕДПРИЯТИЯХ ОБЩЕСТВЕННОГО ПИТАНИЯ</t>
  </si>
  <si>
    <t>Мрыхина Е.Б.</t>
  </si>
  <si>
    <t>978-5-8199-0822-8</t>
  </si>
  <si>
    <t>15.02.01, 18.01.03, 18.01.26, 18.01.35, 18.02.04, 18.02.07, 18.02.09, 18.02.11, 18.02.14, 18.02.15, 19.01.09, 19.01.18, 19.01.19, 19.02.10, 19.02.11, 19.02.12, 19.02.13, 19.02.14, 35.02.18, 43.01.01, 43.01.04, 43.01.09, 43.02.01, 43.02.15, 43.02.16</t>
  </si>
  <si>
    <t>Рекомендовано в качестве учебника для учебных заведений, реализующих программу среднего профессионального образования по специальности 43.02.01 «Организация обслуживания в общественном питании»</t>
  </si>
  <si>
    <t>703024.04.01</t>
  </si>
  <si>
    <t>Организация общего и спец. делопроизводства..: Уч.пос. / С.Ю.Кабашов-М.:НИЦ ИНФРА-М,2023-421 с.-(СПО)</t>
  </si>
  <si>
    <t>ОРГАНИЗАЦИЯ ОБЩЕГО И СПЕЦИАЛЬНОГО ДЕЛОПРОИЗВОДСТВА В ОРГАНАХ МЕСТНОГО САМОУПРАВЛЕНИЯ</t>
  </si>
  <si>
    <t>978-5-16-014860-1</t>
  </si>
  <si>
    <t>23.02.07, 38.01.01, 40.02.04, 46.01.02, 46.01.03, 46.02.01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</si>
  <si>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46.02.01 «Документационное обеспечение управления и архивоведение»</t>
  </si>
  <si>
    <t>186800.07.01</t>
  </si>
  <si>
    <t>Организация общего и специального делопроизвод...: Уч.пос. / С.Ю.Кабашов - М:ИНФРА-М,2024-421с.(п)</t>
  </si>
  <si>
    <t>978-5-16-005372-1</t>
  </si>
  <si>
    <t>38.03.02, 38.03.03, 38.03.04, 46.03.02</t>
  </si>
  <si>
    <t>Допущено УМО вузов РФ по образованию  области историко-архивоведения в качестве уч. пос. для студ. вузов, обуч. по напр. 034700.62 Документоведение и архивоведение и спец. 032001.65 Документоведение и документационное обеспечение управления</t>
  </si>
  <si>
    <t>682691.05.01</t>
  </si>
  <si>
    <t>Организация помощи по направ. физ. и реабилитационной мед. / Г.Н.Пономаренко - 2изд.-М.:НИЦ ИНФРА-М,2024-245с(п)</t>
  </si>
  <si>
    <t>ОРГАНИЗАЦИЯ ПОМОЩИ ПО НАПРАВЛЕНИЯМ ФИЗИЧЕСКОЙ И РЕАБИЛИТАЦИОННОЙ МЕДИЦИНЫ, ИЗД.2</t>
  </si>
  <si>
    <t>Пономаренко Г.Н., Лавриненко И.А., Исаева А.С. и др.</t>
  </si>
  <si>
    <t>978-5-16-019726-5</t>
  </si>
  <si>
    <t>31.02.01, 31.02.02, 31.05.01, 31.05.02, 34.02.01, 34.02.02, 49.03.03</t>
  </si>
  <si>
    <t>Федеральный научный центр реабилитации инвалидов им. Г.А. Альбрехта</t>
  </si>
  <si>
    <t>682691.03.01</t>
  </si>
  <si>
    <t>Организация помощи по направл. физ. и реаб. мед.: Практ. рук./Под ред. Пономаренко Г.Н.-М.:НИЦ ИНФРА-М,2022-234с.(П)</t>
  </si>
  <si>
    <t>ОРГАНИЗАЦИЯ ПОМОЩИ ПО НАПРАВЛЕНИЯМ ФИЗИЧЕСКОЙ И РЕАБИЛИТАЦИОННОЙ МЕДИЦИНЫ</t>
  </si>
  <si>
    <t>978-5-16-014520-4</t>
  </si>
  <si>
    <t>170150.08.01</t>
  </si>
  <si>
    <t>Организация предпр. деят. в сфере автосерв.услуг: Уч.пос./В.П.Бычков-НИЦ ИНФРА-М,2024-208с.(ВО)</t>
  </si>
  <si>
    <t>ОРГАНИЗАЦИЯ ПРЕДПРИНИМАТЕЛЬСКОЙ ДЕЯТЕЛЬНОСТИ В СФЕРЕ АВТОСЕРВИСНЫХ УСЛУГ</t>
  </si>
  <si>
    <t>Бычков В. П.</t>
  </si>
  <si>
    <t>978-5-16-004861-1</t>
  </si>
  <si>
    <t>23.03.02, 23.03.03, 23.04.02, 23.04.03, 38.03.02, 38.04.02</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</si>
  <si>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предприятях транспорта"</t>
  </si>
  <si>
    <t>409650.08.01</t>
  </si>
  <si>
    <t>Организация предприним. деят. на транспорте: Уч.пос. / Н.А.Логинова-М.:НИЦ ИНФРА-М,2023.-262 с.(ВО)(П)</t>
  </si>
  <si>
    <t>ОРГАНИЗАЦИЯ ПРЕДПРИНИМАТЕЛЬСКОЙ ДЕЯТЕЛЬНОСТИ НА ТРАНСПОРТЕ</t>
  </si>
  <si>
    <t>Логинова Н. А., Първанов Х.</t>
  </si>
  <si>
    <t>978-5-16-005780-4</t>
  </si>
  <si>
    <t>23.04.01, 23.04.02, 23.05.01, 23.05.04, 23.06.01, 38.04.01, 38.04.02, 38.06.01</t>
  </si>
  <si>
    <t>Рекомендовано Советом Учебно-методического объединения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t>
  </si>
  <si>
    <t>713000.08.01</t>
  </si>
  <si>
    <t>Организация предпринимат. деятельности: Уч.пос./ Г.А.Яковлев, - 2 изд. - М.:НИЦ ИНФРА-М,2025 - 313 с.(П)</t>
  </si>
  <si>
    <t>ОРГАНИЗАЦИЯ ПРЕДПРИНИМАТЕЛЬСКОЙ ДЕЯТЕЛЬНОСТИ, ИЗД.2</t>
  </si>
  <si>
    <t>Яковлев Г.А.</t>
  </si>
  <si>
    <t>978-5-16-015386-5</t>
  </si>
  <si>
    <t>Рекомендовано Межрегиональным учебно-методическим советом профессионального образования в качестве учебного пособия для студентов, обучающихся по основным образовательным программам среднего профессионального образования (протокол № 10 от 27.05.2019)</t>
  </si>
  <si>
    <t>056319.13.01</t>
  </si>
  <si>
    <t>Организация предпринимательской деятел.: Уч.пос. / Г.А.Яковлев -2 изд.-М.:НИЦ ИНФРА-М,2024-313с.(ВО)</t>
  </si>
  <si>
    <t>978-5-16-003686-1</t>
  </si>
  <si>
    <t>38.03.01, 38.03.02, 38.03.03, 38.03.04, 38.03.05, 38.03.07, 38.03.10</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</si>
  <si>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 (по отраслям)»</t>
  </si>
  <si>
    <t>119950.07.01</t>
  </si>
  <si>
    <t>Организация предприятий сервиса: Практикум / О.Н. Гукова - М.:Форум:ИНФРА-М,2024-384с.(ПО) (п)</t>
  </si>
  <si>
    <t>ОРГАНИЗАЦИЯ ПРЕДПРИЯТИЙ СЕРВИСА</t>
  </si>
  <si>
    <t>Гукова О.Н., Петрова А.М.</t>
  </si>
  <si>
    <t>978-5-91134-367-5</t>
  </si>
  <si>
    <t>08.02.14, 43.01.11, 43.02.01, 43.02.02, 43.02.06, 43.02.07, 43.02.09, 43.02.11, 43.02.16, 43.02.17</t>
  </si>
  <si>
    <t>262600.12.01</t>
  </si>
  <si>
    <t>Организация продаж гостиничного продукта: Уч.пос. / Е.И.Мазилкина - М.:НИЦ ИНФРА-М,2025 - 207 с.(СПО)(П)</t>
  </si>
  <si>
    <t>ОРГАНИЗАЦИЯ ПРОДАЖ ГОСТИНИЧНОГО ПРОДУКТА</t>
  </si>
  <si>
    <t>Мазилкина Е. И.</t>
  </si>
  <si>
    <t>978-5-16-014060-5</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</si>
  <si>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средних учебных заведений, обучающихся по специальности 43.02.11 «Гостиничный сервис»</t>
  </si>
  <si>
    <t>081650.18.01</t>
  </si>
  <si>
    <t>Организация произв. на предпр. общ. питания: Уч.пос. / Е.Б.Мрыхина -М:ФОРУМ,ИНФРА-М,2024-176с(СПО)(П)</t>
  </si>
  <si>
    <t>ОРГАНИЗАЦИЯ ПРОИЗВОДСТВА НА ПРЕДПРИЯТИЯХ ОБЩЕСТВЕННОГО ПИТАНИЯ</t>
  </si>
  <si>
    <t>Мрыхина Е. Б.</t>
  </si>
  <si>
    <t>978-5-8199-0858-7</t>
  </si>
  <si>
    <t>15.02.01, 18.01.03, 18.01.26, 18.01.35, 18.02.04, 18.02.07, 18.02.09, 18.02.11, 18.02.14, 18.02.15, 19.01.09, 19.01.18, 19.01.19, 19.02.11, 19.02.12, 19.02.13, 19.02.14, 35.01.23, 35.02.18, 38.02.01, 38.02.03, 38.02.08, 43.01.01, 43.01.04, 43.01.09, 43.02.15</t>
  </si>
  <si>
    <t>304100.09.01</t>
  </si>
  <si>
    <t>Организация произв. продукции растениеводства с ..: Уч.пос. / Ф.К.Абдразаков - НИЦ ИНФРА-М,2025 - 108 с.(О)</t>
  </si>
  <si>
    <t>ОРГАНИЗАЦИЯ ПРОИЗВОДСТВА ПРОДУКЦИИ РАСТЕНИЕВОДСТВА С ПРИМЕНЕНИЕМ РЕСУРСОСБЕРЕГАЮЩИХ ТЕХНОЛОГИЙ</t>
  </si>
  <si>
    <t>Абдразаков Ф.К., Игнатьев Л.М.</t>
  </si>
  <si>
    <t>978-5-16-010233-7</t>
  </si>
  <si>
    <t>096050.12.01</t>
  </si>
  <si>
    <t>Организация производ. и обслуж. на предпр. общ..: Уч. пос. / Г.М.Зайко - М.:Магистр:ИНФРА-М, 2025 - 560 с (П)</t>
  </si>
  <si>
    <t>ОРГАНИЗАЦИЯ ПРОИЗВОДСТВА И ОБСЛУЖИВАНИЯ НА ПРЕДПРИЯТИЯХ ОБЩЕСТВЕННОГО ПИТАНИЯ</t>
  </si>
  <si>
    <t>Зайко Г. М., Джум Т. А.</t>
  </si>
  <si>
    <t>978-5-9776-0060-6</t>
  </si>
  <si>
    <t>19.03.04, 43.03.01, 43.03.02, 43.03.03, 43.04.01, 43.04.02, 43.04.03</t>
  </si>
  <si>
    <t>Рекомендовано УМО по образованию в области технологии продуктов питания и пищевой инженерии в качестве учебного пособия для студентов вузов, обучающихся по специальности "Технология продуктов общественного питания"</t>
  </si>
  <si>
    <t>436800.07.01</t>
  </si>
  <si>
    <t>Организация производ. и предприним. в АПК: Уч. / М.П.Тушканов -М.:НИЦ ИНФРА-М,2023 - 270 с. (ВО)(п)</t>
  </si>
  <si>
    <t>ОРГАНИЗАЦИЯ ПРОИЗВОДСТВА И ПРЕДПРИНИМАТЕЛЬСТВО В АПК</t>
  </si>
  <si>
    <t>Тушканов М.П., Черевко Л.Д., Винничек Л.Б. и др.</t>
  </si>
  <si>
    <t>978-5-16-011330-2</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</si>
  <si>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35.03.04 «Агрономия»</t>
  </si>
  <si>
    <t>436800.08.01</t>
  </si>
  <si>
    <t>Организация производ. и предприним. в АПК: Уч. / Тушканов М.П., - 2 изд.-М.:НИЦ ИНФРА-М,2023.-296 с.(ВО)(п)</t>
  </si>
  <si>
    <t>ОРГАНИЗАЦИЯ ПРОИЗВОДСТВА И ПРЕДПРИНИМАТЕЛЬСТВО В АПК, ИЗД.2</t>
  </si>
  <si>
    <t>Тушканов М.П., Максимов А.Ф., Черевко Л.Д. и др.</t>
  </si>
  <si>
    <t>978-5-16-018359-6</t>
  </si>
  <si>
    <t>820911.01.01</t>
  </si>
  <si>
    <t>Организация производ. и промыш. безопас.: Уч.пос. / В.В.Коростовенко-М.:НИЦ ИНФРА-М, СФУ,2024.-196с(ВО)(п)</t>
  </si>
  <si>
    <t>ОРГАНИЗАЦИЯ ПРОИЗВОДСТВЕННОЙ И ПРОМЫШЛЕННОЙ БЕЗОПАСНОСТИ</t>
  </si>
  <si>
    <t>Коростовенко В.В., Медведь Н.В., Галайко А.В.</t>
  </si>
  <si>
    <t>978-5-16-019584-1</t>
  </si>
  <si>
    <t>035200.18.01</t>
  </si>
  <si>
    <t>Организация производ. и упр. предпр.: Уч. / Под ред. Туровеца О.Г. - 3 изд. - М.:НИЦ ИНФРА-М,2025 -506с(П)</t>
  </si>
  <si>
    <t>ОРГАНИЗАЦИЯ ПРОИЗВОДСТВА И УПРАВЛЕНИЕ ПРЕДПРИЯТИЕМ, ИЗД.3</t>
  </si>
  <si>
    <t>Туровец О.Г., Родионова В.Н., Попов В.Н. и др.</t>
  </si>
  <si>
    <t>978-5-16-019090-7</t>
  </si>
  <si>
    <t>719247.05.01</t>
  </si>
  <si>
    <t>Организация производ. и управ. предпр. Уч. / Под ред. Туровеца О.Г. - 3 изд.-М.:НИЦ ИНФРА-М,2024.-506 с.(СПО)(П)</t>
  </si>
  <si>
    <t>978-5-16-015612-5</t>
  </si>
  <si>
    <t>08.01.22, 08.01.23, 08.02.01, 11.02.06, 11.02.07, 11.02.09, 11.02.11, 11.02.13, 11.02.15, 11.02.17, 11.02.18, 12.02.03, 13.02.01, 13.02.07, 13.02.08, 13.02.12, 13.02.13, 14.02.01, 14.02.02, 15.01.29, 15.02.01, 15.02.04, 15.02.16, 15.02.17, 15.02.19, 18.02.04, 18.02.05, 18.02.07, 18.02.10, 18.02.12, 18.02.13, 18.02.14, 18.02.15, 19.02.10, 19.02.11, 19.02.12, 19.02.13, 19.02.14, 21.02.09, 21.02.13, 21.02.14, 21.02.16, 21.02.20, 22.02.08, 24.02.01, 24.02.02, 26.02.01, 26.02.05, 29.02.02, 35.01.05, 35.02.10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</si>
  <si>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технических и экономических специальностей (протокол № 5 от 26.03.2020)</t>
  </si>
  <si>
    <t>669796.03.01</t>
  </si>
  <si>
    <t>Организация производства и предпр. в АПК: практ.:Уч.пос. / М.П.Тушканов-М.:НИЦ ИНФРА-М,2023-307с(ВО)</t>
  </si>
  <si>
    <t>ОРГАНИЗАЦИЯ ПРОИЗВОДСТВА И ПРЕДПРИНИМАТЕЛЬСТВО В АПК: ПРАКТИКУМ</t>
  </si>
  <si>
    <t>978-5-16-013352-2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</si>
  <si>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35.03.04 «Агрономия», 38.03.01 «Экономика» (квалификация (степень) «бакалавр»)</t>
  </si>
  <si>
    <t>719162.02.01</t>
  </si>
  <si>
    <t>Организация производства и предпринимат. в АПК: Уч.пос. / В.М.Головач-М.:НИЦ ИНФРА-М,2023.-321 с.(ВО)(П)</t>
  </si>
  <si>
    <t>ОРГАНИЗАЦИЯ ПРОИЗВОДСТВА И ПРЕДПРИНИМАТЕЛЬСТВА В АПК</t>
  </si>
  <si>
    <t>Головач В.М., Турчаева И.Н.</t>
  </si>
  <si>
    <t>978-5-16-015710-8</t>
  </si>
  <si>
    <t>Российский государственный аграрный университет - МСХА им. К.А. Тимирязева, Калужский ф-л</t>
  </si>
  <si>
    <t>072400.11.01</t>
  </si>
  <si>
    <t>Организация производства на пром. предпр.: Уч.пос. / М.П.Переверзев-НИЦ ИНФРА-М,2023-331с(ВО:Бакалавр.)(П)</t>
  </si>
  <si>
    <t>ОРГАНИЗАЦИЯ ПРОИЗВОДСТВА НА ПРОМЫШЛЕННЫХ ПРЕДПРИЯТИЯХ</t>
  </si>
  <si>
    <t>Переверзев М. П., Логвинов С. И., Логвинов С. С.</t>
  </si>
  <si>
    <t>978-5-16-011210-7</t>
  </si>
  <si>
    <t>35.03.06, 44.03.04</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</si>
  <si>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540500 (050500) Технологическое образование</t>
  </si>
  <si>
    <t>084600.12.01</t>
  </si>
  <si>
    <t>Организация производства на промышл. предпр.: Уч. / И.Н.Иванов - М.:НИЦ ИНФРА-М,2025 - 352 с.(ВО: Бак.)(п)</t>
  </si>
  <si>
    <t>Иванов И.Н.</t>
  </si>
  <si>
    <t>978-5-16-003118-7</t>
  </si>
  <si>
    <t>14.03.01, 17.03.01, 27.03.04, 35.03.02, 38.03.01, 38.03.02, 38.03.03, 38.03.04, 38.03.05, 38.03.06, 38.03.07, 38.04.01, 38.04.02, 38.04.03, 38.04.04, 38.04.05, 38.04.06, 38.04.07</t>
  </si>
  <si>
    <t>Допущено Учебно-методическим объединением вузов России по образованию в области менеджмента в качестве учебного пособия по направлению подготовки 38.03.02 «Менеджмент»</t>
  </si>
  <si>
    <t>343100.10.01</t>
  </si>
  <si>
    <t>Организация производства на транспорте: Уч. пос. / Р.Н.Минько - М.:Вуз. уч., НИЦ ИНФРА-М,2025. - 160 с.(О)</t>
  </si>
  <si>
    <t>ОРГАНИЗАЦИЯ ПРОИЗВОДСТВА НА ТРАНСПОРТЕ</t>
  </si>
  <si>
    <t>Минько Р.Н.</t>
  </si>
  <si>
    <t>978-5-9558-0423-1</t>
  </si>
  <si>
    <t>23.03.01, 23.03.02, 23.04.01, 23.04.02</t>
  </si>
  <si>
    <t>Рекомендовано УМО РАЕ по классическому университетскому и техническому образованию в качестве учебно-методического пособия для студентов высших учебных заведении, обучающихся по направлению подготовки; 190700 — «Технология транспортных процессов».</t>
  </si>
  <si>
    <t>Приволжский государственный университет путей сообщения</t>
  </si>
  <si>
    <t>689634.04.01</t>
  </si>
  <si>
    <t>Организация производства хлебобулоч. изделий: Уч.пос. / Е.В.Постникова - М.:НИЦ ИНФРА-М,2025. - 216 с.(СПО)(п)</t>
  </si>
  <si>
    <t>ОРГАНИЗАЦИЯ ПРОИЗВОДСТВА ХЛЕБОБУЛОЧНЫХ ИЗДЕЛИЙ</t>
  </si>
  <si>
    <t>Постникова Е.В.</t>
  </si>
  <si>
    <t>978-5-16-014650-8</t>
  </si>
  <si>
    <t>19.01.18, 19.02.11, 19.02.13, 43.01.04, 43.01.09, 43.02.15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</si>
  <si>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43.02.15 «Поварское и кондитерское дело», 19.02.03 «Технология хлеба, кондитерских и макаронных изделий», 19.02.10 «Технология продукции общественного питания» (протокол № 8 от 19.10.2022)</t>
  </si>
  <si>
    <t>114800.11.01</t>
  </si>
  <si>
    <t>Организация производства: инновац. страт....: Уч. / М.В. Радиевский - М.:ИНФРА-М, 2025 - 377 с.(ВО)(п)</t>
  </si>
  <si>
    <t>ОРГАНИЗАЦИЯ ПРОИЗВОДСТВА: ИННОВАЦИОННАЯ СТРАТЕГИЯ УСТОЙЧИВОГО РАЗВИТИЯ ПРЕДПРИЯТИЯ</t>
  </si>
  <si>
    <t>Радиевский М. В.</t>
  </si>
  <si>
    <t>978-5-16-018430-2</t>
  </si>
  <si>
    <t>Допущено Учебно-методическим объединением по образованию в области производственного менеджмента в качестве учебника для студентов вузов, обучающихся по специальностями 080502- Экономика и управление на предприятии (по отраслям)</t>
  </si>
  <si>
    <t>026600.17.01</t>
  </si>
  <si>
    <t>Организация производства: Уч. / Р.А.Фатхутдинов - 3 изд. - М.: НИЦ ИНФРА-М, 2025 - 544 с.(ВО: Бакалавр.) (п)</t>
  </si>
  <si>
    <t>ОРГАНИЗАЦИЯ ПРОИЗВОДСТВА, ИЗД.3</t>
  </si>
  <si>
    <t>Фатхутдинов Р. А.</t>
  </si>
  <si>
    <t>978-5-16-002832-3</t>
  </si>
  <si>
    <t>Рекомендовано МинОбр РФ в качестве учебника для студентов высших учебных заведений, обучающихся по экономическим и техническим специальностям</t>
  </si>
  <si>
    <t>443650.05.01</t>
  </si>
  <si>
    <t>Организация производства: Уч.пос. / В.Д.Сыров - М.:ИЦ РИОР, НИЦ ИНФРА-М,2023 - 283 с.-(ВО:Бакалавр.)(П)</t>
  </si>
  <si>
    <t>ОРГАНИЗАЦИЯ ПРОИЗВОДСТВА</t>
  </si>
  <si>
    <t>978-5-369-01224-6</t>
  </si>
  <si>
    <t>Рекомендовано в качестве учебного пособия для студентов высших учебных заведений, обучающихся на экономических специальностях и направлениях подготовки</t>
  </si>
  <si>
    <t>719409.04.01</t>
  </si>
  <si>
    <t>Организация производства: Уч.пос. / В.Д.Сыров - М.:ИЦ РИОР, НИЦ ИНФРА-М,2025 - 283 с.(СПО)(П)</t>
  </si>
  <si>
    <t>978-5-369-01824-8</t>
  </si>
  <si>
    <t>777753.02.01</t>
  </si>
  <si>
    <t>Организация процес. приготов. слож. холод. кулинар. прод.: Уч.пос. / И.В.Эйдук - М.:НИЦ ИНФРА-М,2025 - 303 с.(п)</t>
  </si>
  <si>
    <t>ОРГАНИЗАЦИЯ ПРОЦЕССА ПРИГОТОВЛЕНИЯ СЛОЖНОЙ ХОЛОДНОЙ КУЛИНАРНОЙ ПРОДУКЦИИ</t>
  </si>
  <si>
    <t>Эйдук И.В.</t>
  </si>
  <si>
    <t>978-5-16-017757-1</t>
  </si>
  <si>
    <t>19.01.18, 19.01.19, 19.02.10, 19.02.12, 19.02.13, 35.01.23, 35.02.10, 43.01.04, 43.01.09, 43.02.15</t>
  </si>
  <si>
    <t>Политехнический техникум № 47 имени В.Г. Федорова</t>
  </si>
  <si>
    <t>794942.01.01</t>
  </si>
  <si>
    <t>Организация процессов пригот. и пригот. полуфабр...: Уч.пос./ И.У.Кусова - М.:НИЦ ИНФРА-М,2025.-179 с.(СПО)(п)</t>
  </si>
  <si>
    <t>ОРГАНИЗАЦИЯ ПРОЦЕССОВ ПРИГОТОВЛЕНИЯ И ПРИГОТОВЛЕНИЕ ПОЛУФАБРИКАТОВ ДЛЯ СЛОЖНОЙ КУЛИНАРНОЙ ПРОДУКЦИИ</t>
  </si>
  <si>
    <t>Кусова И.У., Федотова Н.А., Ильдирова С.К. и др.</t>
  </si>
  <si>
    <t>978-5-16-018151-6</t>
  </si>
  <si>
    <t>19.01.19, 19.02.10</t>
  </si>
  <si>
    <t>775343.02.01</t>
  </si>
  <si>
    <t>Организация работ по благоустройству общего имущ...: Уч. / В.Б.Акимов - М.:НИЦ ИНФРА-М,2025 - 235 с.(п)</t>
  </si>
  <si>
    <t>ОРГАНИЗАЦИЯ РАБОТ ПО БЛАГОУСТРОЙСТВУ ОБЩЕГО ИМУЩЕСТВА МНОГОКВАРТИРНОГО ДОМА</t>
  </si>
  <si>
    <t>Акимов В.Б., Комков В.А., Тимахова Н.С.</t>
  </si>
  <si>
    <t>978-5-16-017623-9</t>
  </si>
  <si>
    <t>08.02.13, 08.02.14, 08.02.15, 42.02.08</t>
  </si>
  <si>
    <t>632253.03.01</t>
  </si>
  <si>
    <t>Организация работы отделов рекламы и связей с общ.: Уч. / Е.А.Осипова-М.:НИЦ ИНФРА-М,2023.-381с.(П)</t>
  </si>
  <si>
    <t>ОРГАНИЗАЦИЯ РАБОТЫ ОТДЕЛОВ РЕКЛАМЫ И СВЯЗЕЙ С ОБЩЕСТВЕННОСТЬЮ</t>
  </si>
  <si>
    <t>Осипова Е.А.</t>
  </si>
  <si>
    <t>978-5-16-013595-3</t>
  </si>
  <si>
    <t>41.03.06, 42.03.01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</si>
  <si>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42.03.01 «Реклама и связи с общественностью» (квалификация (степень) «бакалавр») (протокол № 3 от 11.02.2019)</t>
  </si>
  <si>
    <t>480650.11.01</t>
  </si>
  <si>
    <t>Организация работы с молодежью: Уч.пос. / Т.Э.Петрова - М.:НИЦ ИНФРА-М,2025 - 208 с.(ВО)(п)</t>
  </si>
  <si>
    <t>ОРГАНИЗАЦИЯ РАБОТЫ С МОЛОДЕЖЬЮ</t>
  </si>
  <si>
    <t>Петрова Т. Э., Петрова И. Э.</t>
  </si>
  <si>
    <t>978-5-16-018889-8</t>
  </si>
  <si>
    <t>38.03.04, 39.03.01, 39.03.02, 39.03.03</t>
  </si>
  <si>
    <t>Рекомендовано УМО Санкт-Петербургского государственного университета в области инновационных междисциплинарных образовательных программ в качестве учебного пособия по направлению «Гуманитарные науки»</t>
  </si>
  <si>
    <t>Департамент культуры при Правительстве РФ</t>
  </si>
  <si>
    <t>711556.01.01</t>
  </si>
  <si>
    <t>Организация ремонта автомобилей: курс. проектир.: Уч. / К.А.Давдиев - М.:НИЦ ИНФРА-М,2025. - 256 с.(СПО)(п)</t>
  </si>
  <si>
    <t>ОРГАНИЗАЦИЯ РЕМОНТА АВТОМОБИЛЕЙ: КУРСОВОЕ ПРОЕКТИРОВАНИЕ</t>
  </si>
  <si>
    <t>Давдиев К.А., Омаров А.З.</t>
  </si>
  <si>
    <t>978-5-16-015499-2</t>
  </si>
  <si>
    <t>Автомобильно-дорожный колледж республики Дагестан</t>
  </si>
  <si>
    <t>699516.04.01</t>
  </si>
  <si>
    <t>Организация ресурсоснаб. жилищно-коммунал. хоз.: Уч.пос. / В.Н.Шитов - М.:НИЦ ИНФРА-М,2025. - 309 с.(СПО)(П)</t>
  </si>
  <si>
    <t>ОРГАНИЗАЦИЯ РЕСУРСОСНАБЖЕНИЯ ЖИЛИЩНО-КОММУНАЛЬНОГО ХОЗЯЙСТВА</t>
  </si>
  <si>
    <t>978-5-16-014757-4</t>
  </si>
  <si>
    <t>08.01.29, 08.02.14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</si>
  <si>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8 от 22.06.2020)</t>
  </si>
  <si>
    <t>231800.08.01</t>
  </si>
  <si>
    <t>Организация рознич. торг. в сети Интернет: Уч.пос. / Л.А.Брагин-М.:ИД ФОРУМ, НИЦ ИНФРА-М,2023.-120с.(ВО)(о)</t>
  </si>
  <si>
    <t>ОРГАНИЗАЦИЯ РОЗНИЧНОЙ ТОРГОВЛИ В СЕТИ ИНТЕРНЕТ</t>
  </si>
  <si>
    <t>Брагин Л.А., Панкина Т.В.</t>
  </si>
  <si>
    <t>978-5-8199-0900-3</t>
  </si>
  <si>
    <t>38.03.06, 38.04.07</t>
  </si>
  <si>
    <t>Рекомендовано кафедрой торговой политики РЭУ им. Г. В. Плеханова в качестве учебного пособия для студентов высших учебных заведений, обучающихся по направлениям «Торговое дело» (бакалавриат), «Экономика» (бакалавриат), «Менеджмент» (бакалавриат)</t>
  </si>
  <si>
    <t>238900.09.01</t>
  </si>
  <si>
    <t>Организация сельскохоз. производства: Уч. / Под ред. Тушканова М.П. - 2 изд. - М.:НИЦ ИНФРА-М,2025. - 423 с.(П)</t>
  </si>
  <si>
    <t>ОРГАНИЗАЦИЯ СЕЛЬСКОХОЗЯЙСТВЕННОГО ПРОИЗВОДСТВА, ИЗД.2</t>
  </si>
  <si>
    <t>Ариничев В.Н., Балашова С.А., Водянников В.Т. и др.</t>
  </si>
  <si>
    <t>978-5-16-015728-3</t>
  </si>
  <si>
    <t>35.06.01, 38.03.02, 38.04.02</t>
  </si>
  <si>
    <t>Рекомендовано Межрегиональным учебно-методическим советом профессионального образования в качестве учебника для студентов сельскохозяйственных высших учебных заведений, обучающихся по направлению подготовки 38.03.02 «Менеджмент» (квалификация (степень) «бакалавр») (протокол № 10 от 12.10.2020)</t>
  </si>
  <si>
    <t>695078.03.01</t>
  </si>
  <si>
    <t>Организация сельскохоз. производства: Уч. / Под ред. Тушканова М.П.-М.:НИЦ ИНФРА-М,2022-292 с.(СПО)(П)</t>
  </si>
  <si>
    <t>ОРГАНИЗАЦИЯ СЕЛЬСКОХОЗЯЙСТВЕННОГО ПРОИЗВОДСТВА</t>
  </si>
  <si>
    <t>Тушканов М.П., Грядов С.И., Пастухов А.К. и др.</t>
  </si>
  <si>
    <t>978-5-16-014538-9</t>
  </si>
  <si>
    <t>35.02.05, 35.02.07, 35.02.16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</si>
  <si>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35.02.00 «Сельское хозяйство»</t>
  </si>
  <si>
    <t>238900.04.01</t>
  </si>
  <si>
    <t>Организация сельскохоз. производства: Уч. / С.И.Грядов -М.:НИЦ ИНФРА-М,2019.-292 с.(ВО: Бакалавриат)</t>
  </si>
  <si>
    <t>978-5-16-009209-6</t>
  </si>
  <si>
    <t>Допущено УМО по образованию в области производственного менеджмента в качестве учебника для студентов, обучающихся по направлению подготовки 38.03.02 «Менеджмент» (профиль «Производственный менеджмент»)</t>
  </si>
  <si>
    <t>474750.05.01</t>
  </si>
  <si>
    <t>Организация сервисного обслуж. в туризме: Уч. пос./Т.А.Джум - М:Магистр:ИНФРА-М,2020-368с(Бакалавр.)</t>
  </si>
  <si>
    <t>ОРГАНИЗАЦИЯ СЕРВИСНОГО ОБСЛУЖИВАНИЯ В ТУРИЗМЕ</t>
  </si>
  <si>
    <t>978-5-9776-0329-4</t>
  </si>
  <si>
    <t>354000.09.01</t>
  </si>
  <si>
    <t>Организация сетевого администрирования: Уч. / А.И.Баранчиков. - М.:КУРС, НИЦ ИНФРА-М,2025 - 384 с.(СПО)(П)</t>
  </si>
  <si>
    <t>ОРГАНИЗАЦИЯ СЕТЕВОГО АДМИНИСТРИРОВАНИЯ</t>
  </si>
  <si>
    <t>Баранчиков А.И., Баранчиков П.А., Громов А.Ю. и др.</t>
  </si>
  <si>
    <t>978-5-906818-34-8</t>
  </si>
  <si>
    <t>09.01.04, 09.01.05, 09.02.02, 09.02.06, 10.02.03, 11.02.15</t>
  </si>
  <si>
    <t>800430.01.01</t>
  </si>
  <si>
    <t>Организация сис. упр. учета и контроллинга на предпр.: Уч. / Е.В.Никифорова - М.:НИЦ ИНФРА-М,2025. - 193 с.(п)</t>
  </si>
  <si>
    <t>ОРГАНИЗАЦИЯ СИСТЕМЫ УПРАВЛЕНЧЕСКОГО УЧЕТА И КОНТРОЛЛИНГА НА ПРЕДПРИЯТИИ</t>
  </si>
  <si>
    <t>Никифорова Е.В., Поляков Р.К., Степанова Т.Е. и др.</t>
  </si>
  <si>
    <t>978-5-16-019881-1</t>
  </si>
  <si>
    <t>832810.01.01</t>
  </si>
  <si>
    <t>Организация строительного производства: Уч. / В.М.Серов - М.:НИЦ ИНФРА-М,2024. - 281 с.(СПО)(п)</t>
  </si>
  <si>
    <t>ОРГАНИЗАЦИЯ СТРОИТЕЛЬНОГО ПРОИЗВОДСТВА</t>
  </si>
  <si>
    <t>978-5-16-020004-0</t>
  </si>
  <si>
    <t>07.02.01, 08.02.01, 08.02.02, 08.02.03, 08.02.08, 08.02.13, 08.02.14</t>
  </si>
  <si>
    <t>784904.01.01</t>
  </si>
  <si>
    <t>Организация строительного производства: Уч. / В.М.Серов-М.:НИЦ ИНФРА-М,2022.-281 с.(ВО: Бакалавр.)(п)</t>
  </si>
  <si>
    <t>978-5-16-018020-5</t>
  </si>
  <si>
    <t>654628.05.01</t>
  </si>
  <si>
    <t>Организация территориальн. обществ. самоупр.: Уч.пос. / А.А.Гребенникова-М:НИЦ ИНФРА-М,2023-142с(ВО)</t>
  </si>
  <si>
    <t>ОРГАНИЗАЦИЯ ТЕРРИТОРИАЛЬНОГО ОБЩЕСТВЕННОГО САМОУПРАВЛЕНИЯ</t>
  </si>
  <si>
    <t>Гребенникова А.А.</t>
  </si>
  <si>
    <t>978-5-16-013012-5</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</si>
  <si>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38.03.02 «Менеджмент» (квалификация (степень) «бакалавр»)</t>
  </si>
  <si>
    <t>Российская академия народного хозяйства и государственной службы при Президенте РФ, ф-л Поволжский институт управления имени П.А.Столыпина</t>
  </si>
  <si>
    <t>451300.06.01</t>
  </si>
  <si>
    <t>Организация техн.обслуж. и ремонта авто.: Уч.пос. /Н.А.Коваленко -М.:НИЦ ИНФРА-М,Нов.зн.,2023-229(ВО)(о)</t>
  </si>
  <si>
    <t>ОРГАНИЗАЦИЯ ТЕХНИЧЕСКОГО ОБСЛУЖИВАНИЯ И РЕМОНТА АВТОМОБИЛЕЙ</t>
  </si>
  <si>
    <t>Н.А.Коваленко</t>
  </si>
  <si>
    <t>978-5-16-011446-0</t>
  </si>
  <si>
    <t>23.03.02, 23.03.03, 23.04.02, 23.04.03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</si>
  <si>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«Техническая эксплуатация автомобилей», «Автосервис»</t>
  </si>
  <si>
    <t>222800.15.01</t>
  </si>
  <si>
    <t>Организация торговли: Уч. / С.И.Жулидов, - 2 изд. - М.:ИД Форум, НИЦ ИНФРА-М,2025. - 350 с.(СПО)(П)</t>
  </si>
  <si>
    <t>ОРГАНИЗАЦИЯ ТОРГОВЛИ, ИЗД.2</t>
  </si>
  <si>
    <t>Жулидов С.И.</t>
  </si>
  <si>
    <t>978-5-8199-0842-6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</si>
  <si>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(пр отраслям)» (протокол № 3 от 17.02.2020)</t>
  </si>
  <si>
    <t>222800.07.01</t>
  </si>
  <si>
    <t>Организация торговли: Уч. / С.И.Жулидов-М.:ИД ФОРУМ, НИЦ ИНФРА-М,2018.-352 с..-(СПО)(П)</t>
  </si>
  <si>
    <t>ОРГАНИЗАЦИЯ ТОРГОВЛИ</t>
  </si>
  <si>
    <t>Жулидов С. И.</t>
  </si>
  <si>
    <t>978-5-8199-0748-1</t>
  </si>
  <si>
    <t>Рекомендовано УМК в качестве учебника для студентов средних специальных учебных заведений, обучающихся по специальностям 38.02.04 «Коммерция» и 38.02.05 «Товароведение и экспертиза качества потребительских товаров»</t>
  </si>
  <si>
    <t>818899.01.01</t>
  </si>
  <si>
    <t>Организация тренир. процесса групп спорт. соверш..: Уч.пос. / Д.В.Ворончихин - М.:НИЦ ИНФРА-М,2025. - 123 с(ВО)(о)</t>
  </si>
  <si>
    <t>ОРГАНИЗАЦИЯ ТРЕНИРОВОЧНОГО ПРОЦЕССА ГРУПП СПОРТИВНОГО СОВЕРШЕНСТВОВАНИЯ ПО СЛУЖЕБНОМУ ДВОЕБОРЬЮ И СЛУЖЕБНОМУ БИАТЛОНУ</t>
  </si>
  <si>
    <t>Ворончихин Д.В., Залесова О.В., Герасимова В.В.</t>
  </si>
  <si>
    <t>978-5-16-019608-4</t>
  </si>
  <si>
    <t>49.03.01, 49.03.04, 49.04.03</t>
  </si>
  <si>
    <t>273700.08.01</t>
  </si>
  <si>
    <t>Организация труда гос. и муниц. служащих: Уч.пос. / С.П.Анзорова - М.:НИЦ ИНФРА-М,2025. - 160 с.(ВО)</t>
  </si>
  <si>
    <t>ОРГАНИЗАЦИЯ ТРУДА ГОСУДАРСТВЕННЫХ И МУНИЦИПАЛЬНЫХ СЛУЖАЩИХ</t>
  </si>
  <si>
    <t>Анзорова С. П., Федорчукова С. Г.</t>
  </si>
  <si>
    <t>978-5-16-016369-7</t>
  </si>
  <si>
    <t>38.03.01, 38.03.03, 38.03.04, 41.03.06</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</si>
  <si>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t>
  </si>
  <si>
    <t>419800.08.01</t>
  </si>
  <si>
    <t>Организация туристской деят. Упр турфирмой: Уч.пос. / С.А.Быстров - М.:Форум:ИНФРА-М,2025 - 400 с.(ВО)(п)</t>
  </si>
  <si>
    <t>ОРГАНИЗАЦИЯ ТУРИСТСКОЙ ДЕЯТЕЛЬНОСТИ. УПРАВЛЕНИЕ ТУРФИРМОЙ</t>
  </si>
  <si>
    <t>978-5-91134-609-6</t>
  </si>
  <si>
    <t>684807.04.01</t>
  </si>
  <si>
    <t>Организация туристской деятельности...: Уч.пос. / С.А.Быстров-М.:Форум, НИЦ ИНФРА-М,2024.-399 с.(П)</t>
  </si>
  <si>
    <t>978-5-00091-589-9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</si>
  <si>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9 от 28.09.2020)</t>
  </si>
  <si>
    <t>665685.04.01</t>
  </si>
  <si>
    <t>Организация уч. проц. с использованием дистанц. образ. техн.: Уч.пос. / Е.В.Карманова-М.:НИЦ ИНФРА-М,2023.-109с(О)</t>
  </si>
  <si>
    <t>ОРГАНИЗАЦИЯ УЧЕБНОГО ПРОЦЕССА С ИСПОЛЬЗОВАНИЕМ ДИСТАНЦИОННЫХ ОБРАЗОВАТЕЛЬНЫХ ТЕХНОЛОГИЙ</t>
  </si>
  <si>
    <t>Карманова Е.В.</t>
  </si>
  <si>
    <t>978-5-16-014057-5</t>
  </si>
  <si>
    <t>44.00.00, 44.03.01, 44.04.01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</si>
  <si>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бакалавриата (протокол № 3 от 11.02.2019)</t>
  </si>
  <si>
    <t>818377.01.01</t>
  </si>
  <si>
    <t>Организация физич. культуры и спорта: Уч.пос. / М.А.Чикурова-М.:НИЦ ИНФРА-М,2024.-191 с.(ВО (СФУ))(п)</t>
  </si>
  <si>
    <t>ОРГАНИЗАЦИЯ ФИЗИЧЕСКОЙ КУЛЬТУРЫ И СПОРТА</t>
  </si>
  <si>
    <t>Чикурова М.А., Чикуров А.И.</t>
  </si>
  <si>
    <t>978-5-16-019498-1</t>
  </si>
  <si>
    <t>49.03.01</t>
  </si>
  <si>
    <t>776673.01.01</t>
  </si>
  <si>
    <t>Организация хранения и контроль запас. и сырья: Уч. / А.Т.Васюкова - М.:НИЦ ИНФРА-М,2025. - 278 с.(СПО)(п)</t>
  </si>
  <si>
    <t>ОРГАНИЗАЦИЯ ХРАНЕНИЯ И КОНТРОЛЬ ЗАПАСОВ И СЫРЬЯ</t>
  </si>
  <si>
    <t>Васюкова А.Т.</t>
  </si>
  <si>
    <t>978-5-16-018050-2</t>
  </si>
  <si>
    <t>19.02.10, 43.02.15</t>
  </si>
  <si>
    <t>704939.07.01</t>
  </si>
  <si>
    <t>Организация эвакуации танков: Уч.пос. / И.Ю.Лепешинский - М.:НИЦ ИНФРА-М,2025 - 136 с.(Военное обр.(ОмГТУ))(О)</t>
  </si>
  <si>
    <t>ОРГАНИЗАЦИЯ ЭВАКУАЦИИ ТАНКОВ</t>
  </si>
  <si>
    <t>Лепешинский И.Ю., Чикирев О.И., Варлаков П.М. и др.</t>
  </si>
  <si>
    <t>978-5-16-014989-9</t>
  </si>
  <si>
    <t>23.03.03, 23.05.02, 56.04.04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</si>
  <si>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образовательных учреждений высшего профессионального образования, обучающихся по направлению подготовки «Транспортные средства специального назначения» по специальности «Военные гусеничные и колесные машины»</t>
  </si>
  <si>
    <t>129750.13.01</t>
  </si>
  <si>
    <t>Организация энергосбережения (энергоменеджмент): Уч.пос. / В.В.Кондратьев-М.:НИЦ ИНФРА-М,2024-108с.(О)</t>
  </si>
  <si>
    <t>ОРГАНИЗАЦИЯ ЭНЕРГОСБЕРЕЖЕНИЯ (ЭНЕРГОМЕНЕДЖМЕНТ). РЕШЕНИЯ ЗСМК-НКМК-НТМК-ЕВРАЗ</t>
  </si>
  <si>
    <t>Кондратьев В. В.</t>
  </si>
  <si>
    <t>Управление производством</t>
  </si>
  <si>
    <t>978-5-16-009612-4</t>
  </si>
  <si>
    <t>652118.01.01</t>
  </si>
  <si>
    <t>Организация, нормир. и оплата труда в пищевой промыш.: Уч.пос. / Л.Т.Печеная-М.:НИЦ ИНФРА-М,2024-191с(ВО)(п)</t>
  </si>
  <si>
    <t>ОРГАНИЗАЦИЯ, НОРМИРОВАНИЕ И ОПЛАТА ТРУДА В ПИЩЕВОЙ ПРОМЫШЛЕННОСТИ</t>
  </si>
  <si>
    <t>Печеная Л.Т., Домарев И.Е., Зиякаев Р.С. и др.</t>
  </si>
  <si>
    <t>978-5-16-017558-4</t>
  </si>
  <si>
    <t>19.03.01, 19.03.02, 19.03.03, 19.03.04, 19.04.01, 19.04.02, 19.04.03, 19.04.04, 19.04.05, 38.03.01, 38.04.01</t>
  </si>
  <si>
    <t>039290.21.01</t>
  </si>
  <si>
    <t>Организация, нормир. и оплата труда..: Уч. / Б.М.Генкин - 6 изд. - М.:Юр. НОРМА, НИЦ ИНФРА-М,2025. - 416 с.(п)</t>
  </si>
  <si>
    <t>ОРГАНИЗАЦИЯ, НОРМИРОВАНИЕ И ОПЛАТА ТРУДА НА ПРОМЫШЛЕННЫХ ПРЕДПРИЯТИЯХ, ИЗД.6</t>
  </si>
  <si>
    <t>Генкин Б. М.</t>
  </si>
  <si>
    <t>978-5-91768-499-4</t>
  </si>
  <si>
    <t>38.03.01, 38.03.02, 38.03.03</t>
  </si>
  <si>
    <t>Рекомендовано Министерством образования РФ в качестве учебника для студентов вузов, обучающихся по специальности 060800 "Экономика и управление на предприятии (по отраслям) "</t>
  </si>
  <si>
    <t>106000.15.01</t>
  </si>
  <si>
    <t>Организация, планир. и проект. производства. Операц. менеджмент / Н. Слак. - М.:ИНФРА-М, 2025 - 790 с. (п)</t>
  </si>
  <si>
    <t>ОРГАНИЗАЦИЯ, ПЛАНИРОВАНИЕ И ПРОЕКТИРОВАНИЕ ПРОИЗВОДСТВА. ОПЕРАЦИОННЫЙ МЕНЕДЖМЕНТ, ИЗД.5</t>
  </si>
  <si>
    <t>Слак Н., Чемберс С., Джонстон Р.</t>
  </si>
  <si>
    <t>978-5-16-003585-7</t>
  </si>
  <si>
    <t>0509</t>
  </si>
  <si>
    <t>280700.13.01</t>
  </si>
  <si>
    <t>Организованная преступная деят.:теор.и практ.: Уч.пос. / Н.П.Яблоков-М.:Юр.Норма,НИЦ ИНФРА-М,2024-224с.(О)</t>
  </si>
  <si>
    <t>ОРГАНИЗОВАННАЯ ПРЕСТУПНАЯ ДЕЯТЕЛЬНОСТЬ: ТЕОРИЯ И ПРАКТИКА РАССЛЕДОВАНИЯ</t>
  </si>
  <si>
    <t>978-5-91768-496-3</t>
  </si>
  <si>
    <t>Рекомендовано Учебно-методическим объединением по юридическому образованию высших учебных заведении в качестве учебного пособия для студентов высших учебных заведений, обучающихся по направлению «Юриспруденция» и специальности «Юриспруденция»</t>
  </si>
  <si>
    <t>681289.08.01</t>
  </si>
  <si>
    <t>Органическая химия в пищевых биотехнологиях: Уч. / Под ред. Блохина Ю.И. - М.:НИЦ ИНФРА-М,2025 - 252 с.(ВО)(п)</t>
  </si>
  <si>
    <t>ОРГАНИЧЕСКАЯ ХИМИЯ В ПИЩЕВЫХ БИОТЕХНОЛОГИЯХ</t>
  </si>
  <si>
    <t>Блохин Ю.И., Яркова Т.А., Соколова О.А.</t>
  </si>
  <si>
    <t>978-5-16-019083-9</t>
  </si>
  <si>
    <t>19.03.01, 19.03.02, 19.03.03, 19.03.04</t>
  </si>
  <si>
    <t>Рекомендовано Учебно-методическим советом ВО в качестве учебника для студентов высших учебных заведений, обучающихся по направлениям подготовки 19.03.01 «Биотехнология», 19.03.02 «Продукты питания из растительного сырья», 19.03.03 «Продукты питания животного происхождения», 19.03.04 «Технология продукции и организация общественного питания», 38.03.07 «Товароведение» (квалификация (степень) «бакалавр»)</t>
  </si>
  <si>
    <t>281200.10.01</t>
  </si>
  <si>
    <t>Органическая химия. Краткий курс: Уч.пос. / В.Г.Иванов - М.:КУРС,НИЦ ИНФРА-М,2022 - 222 с.(О)</t>
  </si>
  <si>
    <t>ОРГАНИЧЕСКАЯ ХИМИЯ. КРАТКИЙ КУРС</t>
  </si>
  <si>
    <t>978-5-905554-61-2</t>
  </si>
  <si>
    <t>18.01.16, 18.01.17, 18.01.26, 18.01.30, 18.01.31, 18.02.02, 43.01.08, 43.02.07</t>
  </si>
  <si>
    <t>390400.07.01</t>
  </si>
  <si>
    <t>Органическая химия: Уч. / В.Г.Иванов - 8 изд. - М.:НИЦ ИНФРА-М,2025 - 560 с.(ВО:Бакалавриат)(П)</t>
  </si>
  <si>
    <t>ОРГАНИЧЕСКАЯ ХИМИЯ, ИЗД.8</t>
  </si>
  <si>
    <t>В.Г.Иванов, В.А.Горленко, О.Н.Гева</t>
  </si>
  <si>
    <t>978-5-16-011194-0</t>
  </si>
  <si>
    <t>799696.02.01</t>
  </si>
  <si>
    <t>Органическая химия: Уч.пос. / Т.В.Ступко и др. - М.:НИЦ ИНФРА-М,2025. - 237 с. - (ВО (КрГАУ))(п)</t>
  </si>
  <si>
    <t>ОРГАНИЧЕСКАЯ ХИМИЯ</t>
  </si>
  <si>
    <t>Ступко Т.В., Зейберт Г.Ф., Стутко О.В.</t>
  </si>
  <si>
    <t>978-5-16-018824-9</t>
  </si>
  <si>
    <t>19.03.02, 19.03.03, 35.03.07, 38.03.06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</si>
  <si>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19.03.03 «Продукты питания животного происхождения», 35.03.07 «Технология производства и переработки сельскохозяйственной продукции», 38.03.06 «Торговое дело»</t>
  </si>
  <si>
    <t>699546.04.01</t>
  </si>
  <si>
    <t>Орошаемое земледелие: Уч.пос. / Е.И.Кузнецова - М.:НИЦ ИНФРА-М,2024 - 166 с.-(ВО: Магистратура)(П)</t>
  </si>
  <si>
    <t>ОРОШАЕМОЕ ЗЕМЛЕДЕЛИЕ</t>
  </si>
  <si>
    <t>Кузнецова Е.И., Закабунина Е.Н., Снипич Ю.Ф. и др.</t>
  </si>
  <si>
    <t>978-5-16-014819-9</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</si>
  <si>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35.04.04 «Агрономия», 35.04.03 «Агрохимия и агропочвоведение» (квалификация (степень) «магистр»)</t>
  </si>
  <si>
    <t>660120.02.01</t>
  </si>
  <si>
    <t>Ортогональные проекции и 3D-моделиров. в стереометрии:Уч.пос. /Л.Р.Юренкова-М.:НИЦ ИНФРА-М,2023-130с</t>
  </si>
  <si>
    <t>ОРТОГОНАЛЬНЫЕ ПРОЕКЦИИ И 3D-МОДЕЛИРОВАНИЕ В СТЕРЕОМЕТРИИ</t>
  </si>
  <si>
    <t>Юренкова Л.Р.</t>
  </si>
  <si>
    <t>978-5-16-014768-0</t>
  </si>
  <si>
    <t>00.02.03, 00.02.31, 27.02.05, 55.02.02, 09.02.10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</si>
  <si>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15 от 14.10.2019)</t>
  </si>
  <si>
    <t>111750.06.01</t>
  </si>
  <si>
    <t>Осветительные установ.пром.и гражд. объектов: Уч.пос./В.П.Шеховцов-М.:Форум,НИЦ ИНФРА-М,2024-158c(О)</t>
  </si>
  <si>
    <t>ОСВЕТИТЕЛЬНЫЕ УСТАНОВКИ ПРОМЫШЛЕННЫХ И ГРАЖДАНСКИХ ОБЪЕКТОВ</t>
  </si>
  <si>
    <t>978-5-00091-654-4</t>
  </si>
  <si>
    <t>08.02.09, 08.02.14, 13.02.09, 13.02.12</t>
  </si>
  <si>
    <t>446450.09.01</t>
  </si>
  <si>
    <t>Осложнения фармакотерапии: Практ.рук. / В.В.Косарев -  М.: НИЦ ИНФРА-М, 2023-188с.(Клинич. практ.)(о)</t>
  </si>
  <si>
    <t>ОСЛОЖНЕНИЯ ФАРМАКОТЕРАПИИ</t>
  </si>
  <si>
    <t>978-5-16-009003-0</t>
  </si>
  <si>
    <t>Профессиональное образование / ВО - Кадры высшей квалификации / Ординатура</t>
  </si>
  <si>
    <t>33.05.01</t>
  </si>
  <si>
    <t>085160.09.01</t>
  </si>
  <si>
    <t>Основания эконом. теории и методы орг. эффект. работы / Б.М. Генкин. -2 изд.М.:НОРМА, 2024. - 448 с. (п)</t>
  </si>
  <si>
    <t>ОСНОВАНИЯ ЭКОНОМИЧЕСКОЙ ТЕОРИИ И МЕТОДЫ ОРГАНИЗАЦИИ ЭФФЕКТИВНОЙ РАБОТЫ, ИЗД.2</t>
  </si>
  <si>
    <t>978-5-91768-035-4</t>
  </si>
  <si>
    <t>01.03.01, 02.03.01, 02.03.03, 04.03.02, 07.03.03, 09.03.03, 15.03.05, 16.03.02, 19.03.04, 23.03.01, 23.03.03, 27.03.02, 27.03.05, 27.04.05, 29.03.02, 35.03.02, 35.03.03, 35.03.04, 35.03.05, 35.03.06, 35.03.08, 35.03.09, 36.03.02, 38.03.01, 38.03.02, 38.03.03, 38.03.04, 38.04.02, 38.04.03, 38.04.04, 41.03.01, 41.03.06, 42.03.01, 44.03.04, 44.03.05, 45.03.01, 45.03.04, 47.03.01, 52.03.01, 54.03.03, 54.03.04</t>
  </si>
  <si>
    <t>364300.08.01</t>
  </si>
  <si>
    <t>Основные положения информац. безоп.: Уч.пос. / В.Я.Ищейнов-М.:Форум, НИЦ ИНФРА-М,2024.-208 с.(СПО)(П)</t>
  </si>
  <si>
    <t>ОСНОВНЫЕ ПОЛОЖЕНИЯ ИНФОРМАЦИОННОЙ БЕЗОПАСНОСТИ</t>
  </si>
  <si>
    <t>978-5-00091-489-2</t>
  </si>
  <si>
    <t>09.02.02, 09.02.04, 09.02.05, 10.02.01, 10.02.02, 10.02.03, 10.02.04, 10.02.05, 11.02.18</t>
  </si>
  <si>
    <t>Рекомендовано в качестве учебного пособия для студентов среднего профессионального образования, обучающихся по специальности 10.02.01 «Организация и технология защиты информации»</t>
  </si>
  <si>
    <t>669439.07.01</t>
  </si>
  <si>
    <t>Основные философ. направ. и концепции науки: Уч.пос. / В.А.Канке -4изд.-М.:НИЦ ИНФРА-М,2023-266с(П)</t>
  </si>
  <si>
    <t>ОСНОВНЫЕ ФИЛОСОФСКИЕ НАПРАВЛЕНИЯ И КОНЦЕПЦИИ НАУКИ, ИЗД.4</t>
  </si>
  <si>
    <t>978-5-16-013337-9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</si>
  <si>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47.03.01 «Философия» (квалификация (степень) «бакалавр») (протокол № 3 от 11.02.2019)</t>
  </si>
  <si>
    <t>168300.09.01</t>
  </si>
  <si>
    <t>Основы автоматиз.проект. техн. процессов...: Уч.пос. /Л.М.Акулович - М: ИНФРА-М,2025 - 488 с.(п)</t>
  </si>
  <si>
    <t>ОСНОВЫ АВТОМАТИЗИРОВАННОГО ПРОЕКТИРОВАНИЯ ТЕХНОЛОГИЧЕСКИХ ПРОЦЕССОВ В МАШИНОСТРОЕНИИ</t>
  </si>
  <si>
    <t>Акулович Л.М., Шелег В.К.</t>
  </si>
  <si>
    <t>978-5-16-009917-0</t>
  </si>
  <si>
    <t>15.03.01, 15.03.02, 15.03.03, 15.03.04, 15.03.05, 15.04.01, 15.04.02, 15.04.03, 15.04.04, 15.04.06</t>
  </si>
  <si>
    <t>Допущено Министерством образования Республики Беларусь в качестве учебного пособия для студентов учреждений высшего образования по машиностроительным специальностям</t>
  </si>
  <si>
    <t>693069.06.01</t>
  </si>
  <si>
    <t>Основы автоматизир.проектир.: Уч. / Под ред. Карпенко А.П. - М.:НИЦ ИНФРА-М,2025 - 329 с.(СПО)(П)</t>
  </si>
  <si>
    <t>ОСНОВЫ АВТОМАТИЗИРОВАННОГО ПРОЕКТИРОВАНИЯ</t>
  </si>
  <si>
    <t>Божко А.Н., Волосатова Т.М., Грошев С.В. и др.</t>
  </si>
  <si>
    <t>978-5-16-014441-2</t>
  </si>
  <si>
    <t>09.02.01, 09.02.02, 09.02.03, 09.02.04, 09.02.06, 09.02.07, 09.02.08, 09.02.09, 09.02.10</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</si>
  <si>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укрупненной группы специальностей 09.02.00 «Информатика и вычислительная техника»</t>
  </si>
  <si>
    <t>303300.13.01</t>
  </si>
  <si>
    <t>Основы автоматизированного проектир.: Уч. / Карпенко А.П.-М.:НИЦ ИНФРА-М,2025.-329 с.(ВО: Бакалавр.)(П)</t>
  </si>
  <si>
    <t>978-5-16-010213-9</t>
  </si>
  <si>
    <t>09.03.01</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</si>
  <si>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</si>
  <si>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093350.17.01</t>
  </si>
  <si>
    <t>Основы агрономии: Уч.пос. / Ю.В.Евтефеев - М.:Форум, НИЦ ИНФРА-М,2025 - 367 с.-(ВО)(П)</t>
  </si>
  <si>
    <t>ОСНОВЫ АГРОНОМИИ</t>
  </si>
  <si>
    <t>Евтефеев Ю.В., Казанцев Г.М.</t>
  </si>
  <si>
    <t>978-5-00091-746-6</t>
  </si>
  <si>
    <t>35.03.04, 36.03.02</t>
  </si>
  <si>
    <t>Допущено Министерством сельского хозяйства РФ в качестве учебного пособия для студентов высших учебных заведений, обучающихся по специальности 36.03.02 «Зоотехния»</t>
  </si>
  <si>
    <t>684806.07.01</t>
  </si>
  <si>
    <t>Основы агрономии: Уч.пос. / Ю.В.Евтефеев - М.:Форум, НИЦ ИНФРА-М,2025 - 367 с.(СПО)(П)</t>
  </si>
  <si>
    <t>978-5-00091-588-2</t>
  </si>
  <si>
    <t>19.02.11, 19.02.12, 20.02.01, 35.01.26, 35.01.27, 35.02.01, 35.02.05, 35.02.07, 35.02.09, 35.02.12, 35.02.16, 36.01.02, 43.01.11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</si>
  <si>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укрупненным группам специальностей 35.02.00 «Сельское хозяйство» и 36.02.00 «Ветеринария и зоотехния»</t>
  </si>
  <si>
    <t>640120.09.01</t>
  </si>
  <si>
    <t>Основы агротуризма: Уч. / А.И.Панюков и др. - М.:Магистр, НИЦ ИНФРА-М,2025 - 240 с.(Бакалавриат)(О)</t>
  </si>
  <si>
    <t>ОСНОВЫ АГРОТУРИЗМА</t>
  </si>
  <si>
    <t>Панюков А.И., Панюкова Ю.Г., Калиничев В.Л.</t>
  </si>
  <si>
    <t>978-5-9776-0437-6</t>
  </si>
  <si>
    <t>43.00.00, 05.03.06, 43.03.02, 49.03.03</t>
  </si>
  <si>
    <t>636941.06.01</t>
  </si>
  <si>
    <t>Основы алгоритм. и програм.(среда PascalABC.Net): Уч.пос./ И.Г.Фризен-М.:Форум,НИЦ ИНФРА-М,2023-392с</t>
  </si>
  <si>
    <t>ОСНОВЫ АЛГОРИТМИЗАЦИИ И ПРОГРАММИРОВАНИЯ (СРЕДА PASCALABC.NET)</t>
  </si>
  <si>
    <t>Фризен И.Г.</t>
  </si>
  <si>
    <t>978-5-00091-005-4</t>
  </si>
  <si>
    <t>08.02.15, 09.02.01, 09.02.03, 09.02.04, 09.02.05, 09.02.06, 09.02.07, 09.02.08, 09.02.09, 10.02.02, 10.02.03, 10.02.04, 10.02.05, 27.02.01, 55.02.01</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</si>
  <si>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09.02.04 «Информационные системы (по отраслям)» 09.02.03 «Программирование в компьютерных системах»</t>
  </si>
  <si>
    <t>Московский автомобильно-дорожный колледж им. А.А. Николаева</t>
  </si>
  <si>
    <t>680933.04.01</t>
  </si>
  <si>
    <t>Основы алгоритм. и программир. на языке Microsoft Visual Basic: Уч.пос. / С.Р.Гуриков - М.:НИЦ ИНФРА-М,2025 - 594 с.(СПО)(П)</t>
  </si>
  <si>
    <t>ОСНОВЫ АЛГОРИТМИЗАЦИИ И ПРОГРАММИРОВАНИЯ НА ЯЗЫКЕ MICROSOFT VISUAL BASIC</t>
  </si>
  <si>
    <t>978-5-16-014442-9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</si>
  <si>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12 от 24.06.2019)</t>
  </si>
  <si>
    <t>775949.01.01</t>
  </si>
  <si>
    <t>Основы алгоритм. и программир. Практ.: Уч.пос. / С.Г.Канакова - М.:НИЦ ИНФРА-М,2025. - 243 с.(СПО)(п)</t>
  </si>
  <si>
    <t>ОСНОВЫ АЛГОРИТМИЗАЦИИ И ПРОГРАММИРОВАНИЯ. ПРАКТИКУМ</t>
  </si>
  <si>
    <t>978-5-16-017684-0</t>
  </si>
  <si>
    <t>650404.13.01</t>
  </si>
  <si>
    <t>Основы алгоритмизации и программир. на Python: Уч.пос. / С.Р.Гуриков - М.:НИЦ ИНФРА-М,2025. - 343 с.(ВО)(п)</t>
  </si>
  <si>
    <t>ОСНОВЫ АЛГОРИТМИЗАЦИИ И ПРОГРАММИРОВАНИЯ НА PYTHON</t>
  </si>
  <si>
    <t>978-5-16-020255-6</t>
  </si>
  <si>
    <t>03.03.02, 05.03.04, 09.03.01, 27.03.04, 38.03.05, 38.04.05, 45.03.04</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</si>
  <si>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(квалификация (степень) «бакалавр»)</t>
  </si>
  <si>
    <t>683004.10.01</t>
  </si>
  <si>
    <t>Основы алгоритмизации и программир. на Python: Уч.пос. / С.Р.Гуриков - М.:НИЦ ИНФРА-М,2025. - 343 с.(СПО)(П)</t>
  </si>
  <si>
    <t>978-5-16-016906-4</t>
  </si>
  <si>
    <t>689797.03.01</t>
  </si>
  <si>
    <t>Основы алгоритмизации и программир. на Visual C++: Уч.пос. / С.Р.Гуриков - М.:НИЦ ИНФРА-М,2025-515 с.(П)</t>
  </si>
  <si>
    <t>ОСНОВЫ АЛГОРИТМИЗАЦИИ И ПРОГРАММИРОВАНИЯ НА VISUAL C++</t>
  </si>
  <si>
    <t>978-5-16-015500-5</t>
  </si>
  <si>
    <t>00.03.03, 01.03.02, 02.03.02, 03.03.02, 09.03.01, 09.03.03, 38.03.05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</si>
  <si>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11.03.02 «Инфокоммуникационные технологии и системы связи», 09.03.01 «Информатика и вычислительная техника», 10.03.01 «Информационная безопасность», 15.03.04 «Автоматизация технологических процессов и производств» (квалификация (степень) «бакалавр») (протокол № 10 от 15.12.2021)</t>
  </si>
  <si>
    <t>074950.17.01</t>
  </si>
  <si>
    <t>Основы алгоритмизации и программир.: Уч.пос. / Гагарина Л.Г. - М.:ИД ФОРУМ, НИЦ ИНФРА-М,2025. - 414 с.(П)</t>
  </si>
  <si>
    <t>ОСНОВЫ АЛГОРИТМИЗАЦИИ И ПРОГРАММИРОВАНИЯ</t>
  </si>
  <si>
    <t>Колдаев В. Д., Гагарина Л. Г.</t>
  </si>
  <si>
    <t>978-5-8199-0733-7</t>
  </si>
  <si>
    <t>08.02.15, 09.02.01, 09.02.02, 09.02.03, 09.02.04, 09.02.05, 09.02.06, 09.02.07, 09.02.08, 09.02.09, 10.02.02, 10.02.03, 10.02.04, 10.02.05, 11.02.09, 11.02.11, 11.02.14, 11.02.15, 11.02.18, 15.02.07, 27.02.01, 27.02.02, 27.02.03, 27.02.04, 27.02.05, 27.02.06, 27.02.07, 55.02.01</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</si>
  <si>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</si>
  <si>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038960.14.01</t>
  </si>
  <si>
    <t>Основы алгоритмизации и программир.: Уч.пос. / О.Л.Голицына, - 4 изд.-М.:Форум, НИЦ ИНФРА-М,2024.-431с(СПО)(П)</t>
  </si>
  <si>
    <t>ОСНОВЫ АЛГОРИТМИЗАЦИИ И ПРОГРАММИРОВАНИЯ, ИЗД.4</t>
  </si>
  <si>
    <t>Голицына О.Л., Попов И.И.</t>
  </si>
  <si>
    <t>978-5-00091-570-7</t>
  </si>
  <si>
    <t>08.02.15, 09.02.01, 09.02.02, 09.02.03, 09.02.04, 09.02.05, 09.02.06, 09.02.07, 09.02.08, 09.02.09, 10.02.01, 10.02.02, 10.02.03, 10.02.04, 10.02.05, 11.02.09, 11.02.11, 11.02.14, 11.02.15, 11.02.18, 15.02.07, 27.02.01, 27.02.02, 27.02.03, 27.02.04, 27.02.05, 27.02.06, 27.02.07, 55.02.01</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</si>
  <si>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"Информатика и вычислительная техника"</t>
  </si>
  <si>
    <t>796669.04.01</t>
  </si>
  <si>
    <t>Основы анализа бух. (финанс.) отчет. компании: Уч. / Под ред. Казаковой Н.А.-М.:НИЦ ИНФРА-М,2025.-314 с.(п)</t>
  </si>
  <si>
    <t>ОСНОВЫ АНАЛИЗА БУХГАЛТЕРСКОЙ (ФИНАНСОВОЙ) ОТЧЕТНОСТИ КОМПАНИИ</t>
  </si>
  <si>
    <t>Казакова Н.А., Пермитина Л.В., Казакова Н.А.</t>
  </si>
  <si>
    <t>978-5-16-018158-5</t>
  </si>
  <si>
    <t>777487.01.01</t>
  </si>
  <si>
    <t>Основы анализа бухгалтерской (финанс.) отчетности: Уч. / Е.В.Королева-М.:НИЦ ИНФРА-М,2023.-306 с.(СПО)(п)</t>
  </si>
  <si>
    <t>ОСНОВЫ АНАЛИЗА БУХГАЛТЕРСКОЙ (ФИНАНСОВОЙ) ОТЧЕТНОСТИ</t>
  </si>
  <si>
    <t>Королева Е.В.</t>
  </si>
  <si>
    <t>978-5-16-018176-9</t>
  </si>
  <si>
    <t>Костромская государственная сельскохозяйственная академия</t>
  </si>
  <si>
    <t>774779.03.01</t>
  </si>
  <si>
    <t>Основы анализа бухгалтерской отчетности: Уч. / Е.В.Никифорова. - М.:НИЦ ИНФРА-М,2024. - 253 с.(ВО)(п)</t>
  </si>
  <si>
    <t>ОСНОВЫ АНАЛИЗА БУХГАЛТЕРСКОЙ ОТЧЕТНОСТИ</t>
  </si>
  <si>
    <t>Никифорова Е.В., Шнайдер О.В., Шнайдер В.В.</t>
  </si>
  <si>
    <t>978-5-16-018707-5</t>
  </si>
  <si>
    <t>773005.02.01</t>
  </si>
  <si>
    <t>Основы анализа бухгалтерской отчетности: Уч. / Ю.И.Сигидов - М.:НИЦ ИНФРА-М,2025. - 265 с.(СПО)(П)</t>
  </si>
  <si>
    <t>978-5-16-017534-8</t>
  </si>
  <si>
    <t>38.02.01, 38.02.06, 38.02.08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</si>
  <si>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6 от 08.06.2022)</t>
  </si>
  <si>
    <t>797697.02.01</t>
  </si>
  <si>
    <t>Основы анализа бухгалтерской отчетности: Уч.пос. / Н.А.Грачева.-М.:НИЦ ИНФРА-М,2024.-220 с.(СПО)(п)</t>
  </si>
  <si>
    <t>Грачева Н.А., Полищук О.А., Грачева Н.А.</t>
  </si>
  <si>
    <t>978-5-16-018226-1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</si>
  <si>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10 от 21.12.2022)</t>
  </si>
  <si>
    <t>724965.01.01</t>
  </si>
  <si>
    <t>Основы антропологии: Уч.пос. / З.И.Тюмасева - М.:НИЦ ИНФРА-М,2020 - 196 с.-(ВО: Магистратура)(П)</t>
  </si>
  <si>
    <t>ОСНОВЫ АНТРОПОЛОГИИ</t>
  </si>
  <si>
    <t>Тюмасева З.И.</t>
  </si>
  <si>
    <t>978-5-16-016012-2</t>
  </si>
  <si>
    <t>44.03.01, 44.03.05, 44.04.01, 44.04.02, 44.04.03, 44.04.04, 46.03.01, 46.04.01, 46.04.03</t>
  </si>
  <si>
    <t>698348.03.01</t>
  </si>
  <si>
    <t>Основы архитектуры зданий и сооруж.: Уч. / А.З.Абуханов  - 5 изд. - М.:ИЦ РИОР, НИЦ ИНФРА-М,2023-296с(П)</t>
  </si>
  <si>
    <t>ОСНОВЫ АРХИТЕКТУРЫ ЗДАНИЙ И СООРУЖЕНИЙ, ИЗД.5</t>
  </si>
  <si>
    <t>Абуханов А.З., Белоконев Е.Н., Белоконева Т.М. и др.</t>
  </si>
  <si>
    <t>978-5-369-01817-0</t>
  </si>
  <si>
    <t>685913.05.01</t>
  </si>
  <si>
    <t>Основы архитектуры зданий и сооружений...: Уч.пос. / В.Н.Алексеенко - М.:НИЦ ИНФРА-М,2025 - 121 с.(ВО)(о)</t>
  </si>
  <si>
    <t>ОСНОВЫ АРХИТЕКТУРЫ ЗДАНИЙ И СООРУЖЕНИЙ. МАЛОЭТАЖНЫЕ ЗДАНИЯ СО СТЕНАМИ ИЗ АВТОКЛАВНОГО ГАЗОБЕТОНА</t>
  </si>
  <si>
    <t>Алексеенко В.Н., Жиленко О.Б.</t>
  </si>
  <si>
    <t>978-5-16-018836-2</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</si>
  <si>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t>
  </si>
  <si>
    <t>717777.07.01</t>
  </si>
  <si>
    <t>Основы архитектуры зданий и сооружений: Уч. / А.З.Абуханов. - М.:ИЦ РИОР,НИЦ ИНФРА-М,2025 - 296 с.(П)</t>
  </si>
  <si>
    <t>ОСНОВЫ АРХИТЕКТУРЫ ЗДАНИЙ И СООРУЖЕНИЙ</t>
  </si>
  <si>
    <t>978-5-369-01822-4</t>
  </si>
  <si>
    <t>07.02.01, 08.02.01, 08.02.02, 08.02.03, 08.02.08, 08.02.13, 08.02.14, 35.02.12</t>
  </si>
  <si>
    <t>653023.07.01</t>
  </si>
  <si>
    <t>Основы архитектуры,устройство и функц. вычисл.сист.: Уч./В.В.Степина-М.:КУРС,НИЦ ИНФРА-М,2023-288(П)</t>
  </si>
  <si>
    <t>ОСНОВЫ АРХИТЕКТУРЫ, УСТРОЙСТВО И ФУНКЦИОНИРОВАНИЕ ВЫЧИСЛИТЕЛЬНЫХ СИСТЕМ</t>
  </si>
  <si>
    <t>Степина Вера Владимировна</t>
  </si>
  <si>
    <t>978-5-906923-19-6</t>
  </si>
  <si>
    <t>09.01.04, 09.01.05, 09.02.01, 09.02.02, 09.02.03, 09.02.04, 09.02.05, 09.02.06, 09.02.07, 11.02.03, 11.02.06, 11.02.07, 11.02.09, 11.02.11, 11.02.14, 11.02.15, 11.02.18, 26.01.05</t>
  </si>
  <si>
    <t>217200.09.01</t>
  </si>
  <si>
    <t>Основы аудита: Уч. пос. / Е.А. Кыштымова - М.: ИД ФОРУМ:НИЦ ИНФРА-М, 2023 - 224 с.(ВО) (П)</t>
  </si>
  <si>
    <t>ОСНОВЫ АУДИТА</t>
  </si>
  <si>
    <t>978-5-8199-0558-6</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</si>
  <si>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</si>
  <si>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704220.02.01</t>
  </si>
  <si>
    <t>Основы баллистики и аэродинамики...: Уч.пос. / В.В.Селиванов. - М.:НИЦ ИНФРА-М,2025. - 356 с.(ВО)(п)</t>
  </si>
  <si>
    <t>ОСНОВЫ БАЛЛИСТИКИ И АЭРОДИНАМИКИ. ВНУТРЕННЯЯ И ВНЕШНЯЯ БАЛЛИСТИКА</t>
  </si>
  <si>
    <t>Селиванов В.В., Козлов В.В., Севрюков И.Т. и др.</t>
  </si>
  <si>
    <t>978-5-16-016182-2</t>
  </si>
  <si>
    <t>17.05.02, 24.03.03, 24.05.01, 26.05.04</t>
  </si>
  <si>
    <t>Рекомендовано экспертным советом ЧВВМУ имени П.С. Нахимова в качестве учебного пособия по дисциплине «Основы баллистики и аэродинамики» для курсантов ЧВВМУ имени П.С. Нахимова. Учебное пособие по курсу «Основы баллистики и аэродинамики» предназначено для курсантов, обучающихся по специальностям «Стрелково-пушечное, артиллерийское и ракетное оружие» и «Применение и эксплуатация технических систем надводных кораблей и подводных лодок»</t>
  </si>
  <si>
    <t>704218.02.01</t>
  </si>
  <si>
    <t>Основы банковского аудита: Уч./ А.А.Казимагомедов - М.:НИЦ ИНФРА-М,2023 - 183 с.(СПО)(П)</t>
  </si>
  <si>
    <t>ОСНОВЫ БАНКОВСКОГО АУДИТА</t>
  </si>
  <si>
    <t>978-5-16-015229-5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</si>
  <si>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13 от 16.09.2019)</t>
  </si>
  <si>
    <t>077200.14.01</t>
  </si>
  <si>
    <t>Основы банковского дела: Уч. / В.А.Галанов, - 2 изд. - М.:Форум,2025. - 288 с. - (СПО)(п)</t>
  </si>
  <si>
    <t>ОСНОВЫ БАНКОВСКОГО ДЕЛА, ИЗД.2</t>
  </si>
  <si>
    <t>978-5-91134-391-0</t>
  </si>
  <si>
    <t>Допущено Мин. обр. и науки РФ в качестве учебника для студентов учреждений среднего проф. образования, обучающихся по группе специальностей "Экономика и управление"</t>
  </si>
  <si>
    <t>764199.02.01</t>
  </si>
  <si>
    <t>Основы банковского дела: Уч.пос. / В.А.Кашин - 2 изд. - М.:Магистр, НИЦ ИНФРА-М,2022 - 124 с.(О)</t>
  </si>
  <si>
    <t>Кашин В.А., Кашин С.В.</t>
  </si>
  <si>
    <t>978-5-9776-0533-5</t>
  </si>
  <si>
    <t>252600.05.01</t>
  </si>
  <si>
    <t>Основы банковского дела: Уч.пос. / Н.А.Агеева - 2 изд. - М.:ИЦ РИОР,НИЦ ИНФРА-М,2022 - 274 с.(ВО)(О)</t>
  </si>
  <si>
    <t>Агеева Н.А.</t>
  </si>
  <si>
    <t>978-5-369-01780-7</t>
  </si>
  <si>
    <t>422100.06.01</t>
  </si>
  <si>
    <t>Основы банковского дела: Уч.пос./ Н.В.Горелая, А.М.Карминский-М.:ИД ФОРУМ:НИЦ Инфра-М,2023-272с.(ВО) (п)</t>
  </si>
  <si>
    <t>ОСНОВЫ БАНКОВСКОГО ДЕЛА</t>
  </si>
  <si>
    <t>Горелая Н. В., Карминский А. М.</t>
  </si>
  <si>
    <t>978-5-8199-0534-0</t>
  </si>
  <si>
    <t>094820.10.01</t>
  </si>
  <si>
    <t>Основы банковского дела: Учебное пос. / Под ред. Г.Г. Коробовой. - М.: Магистр, 2024. - 446 с. (п)</t>
  </si>
  <si>
    <t>Коробова Г. Г., Коробов Ю. И.</t>
  </si>
  <si>
    <t>978-5-9776-0053-8</t>
  </si>
  <si>
    <t>38.02.06, 38.02.07</t>
  </si>
  <si>
    <t>058100.14.01</t>
  </si>
  <si>
    <t>Основы банковского дела:Уч. / Е.Б.Стародубцева, - 2-изд.-М.:ИД ФОРУМ, НИЦ ИНФРА-М,2024-288с.(СПО)(П)</t>
  </si>
  <si>
    <t>978-5-8199-0819-8</t>
  </si>
  <si>
    <t>252600.02.01</t>
  </si>
  <si>
    <t>Основы банковского дела:Уч.пос. / Н.А.Агеева-М.:ИЦ РИОР, НИЦ ИНФРА-М,2017.-274 с..-(ВО: Бакалавриат)(О. КБС)</t>
  </si>
  <si>
    <t>978-5-369-01285-7</t>
  </si>
  <si>
    <t>683005.09.01</t>
  </si>
  <si>
    <t>Основы безоп. жизнед. и охраны труда в хореографии: Уч.пос. / В.Н.Карпенко - М.:НИЦ ИНФРА-М,2025 - 141с. (О)</t>
  </si>
  <si>
    <t>ОСНОВЫ БЕЗОПАСНОСТИ ЖИЗНЕДЕЯТЕЛЬНОСТИ И ОХРАНЫ ТРУДА В ХОРЕОГРАФИИ</t>
  </si>
  <si>
    <t>Карпенко В.Н., Карпенко И.А., Багана Ж.</t>
  </si>
  <si>
    <t>978-5-16-013984-5</t>
  </si>
  <si>
    <t>44.02.03, 52.02.01, 52.02.02, 52.02.03, 52.02.04, 52.02.05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</si>
  <si>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52.02.00 «Сценические искусства и литературное творчество»</t>
  </si>
  <si>
    <t>200500.09.01</t>
  </si>
  <si>
    <t>Основы безоп. труда в техносфере: Уч. / Под ред. Ромейко В.Л. - 2 изд. - М.:НИЦ ИНФРА-М,2025. - 407 с.(ВО)(П)</t>
  </si>
  <si>
    <t>ОСНОВЫ БЕЗОПАСНОСТИ ТРУДА В ТЕХНОСФЕРЕ, ИЗД.2</t>
  </si>
  <si>
    <t>Татаренко В.И., Ромейко В.Л., Ляпина О.П.</t>
  </si>
  <si>
    <t>978-5-16-014422-1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</si>
  <si>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20.03.01 «Техносферная безопасность» (квалификация (степень) «бакалавр») (протокол № 3 от 17.03.2021)</t>
  </si>
  <si>
    <t>Сибирский государственный университет геосистем и технологий</t>
  </si>
  <si>
    <t>650090.06.01</t>
  </si>
  <si>
    <t>Основы безопасности жизнедеят.и охраны труда..: Уч.пос. / В.Н.Карпенко - М.:НИЦ ИНФРА-М,2024-141с(П)</t>
  </si>
  <si>
    <t>978-5-16-020093-4</t>
  </si>
  <si>
    <t>52.03.01, 52.03.02</t>
  </si>
  <si>
    <t>Рекомендовано в качестве учебного пособия для студентов высших учебных заведений, обучающихся по направлениям подготовки 52.03.01 «Хореографическое искусство», 52.03.02 «Хореографическое исполнительство» (квалификация (степень) «бакалавр»)</t>
  </si>
  <si>
    <t>782284.03.01</t>
  </si>
  <si>
    <t>Основы безопасности жизнедеятельности: Уч.пос.: Ч.1 / А.Н.Ковальчук - М.:НИЦ ИНФРА-М,2025. - 287 с.(СПО)(п)</t>
  </si>
  <si>
    <t>ОСНОВЫ БЕЗОПАСНОСТИ ЖИЗНЕДЕЯТЕЛЬНОСТИ. ЧАСТЬ 1. ОСНОВЫ ЗАЩИТЫ НАСЕЛЕНИЯ И ТЕРРИТОРИЙ ОТ ВОЕННЫХ, ТЕХНОГЕННЫХ И ПРИРОДНЫХ ЧРЕЗВЫЧАЙНЫХ СИТУАЦИЙ, Т.1</t>
  </si>
  <si>
    <t>Ковальчук А.Н., Ковальчук Н.М.</t>
  </si>
  <si>
    <t>978-5-16-018124-0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</si>
  <si>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образовательную программу СПО на базе основного общего образования (протокол № 8 от 19.10.2022)</t>
  </si>
  <si>
    <t>782278.01.01</t>
  </si>
  <si>
    <t>Основы безопасности жизнедеятельности: Уч.пос.: Ч.2 / А.Н.Ковальчук-М.:НИЦ ИНФРА-М,2023.-328 с.(П)</t>
  </si>
  <si>
    <t>ОСНОВЫ БЕЗОПАСНОСТИ ЖИЗНЕДЕЯТЕЛЬНОСТИ. ЧАСТЬ 2. ОСНОВЫ ПОДГОТОВКИ ГРАЖДАН К ВОЕННОЙ СЛУЖБЕ, Т.2</t>
  </si>
  <si>
    <t>978-5-16-018123-3</t>
  </si>
  <si>
    <t>842774.02.01</t>
  </si>
  <si>
    <t>Основы безопасности и защиты Родины: Уч.пос. / Ю.Н.Сычев - М.:НИЦ ИНФРА-М,2025. - 305 с.(ВО)(п)</t>
  </si>
  <si>
    <t>ОСНОВЫ БЕЗОПАСНОСТИ И ЗАЩИТЫ РОДИНЫ</t>
  </si>
  <si>
    <t>978-5-16-020352-2</t>
  </si>
  <si>
    <t>828545.02.01</t>
  </si>
  <si>
    <t>Основы безопасности и защиты Родины: Уч.пос. / Ю.Н.Сычев - М.:НИЦ ИНФРА-М,2025. - 305 с.(СПО)(п)</t>
  </si>
  <si>
    <t>978-5-16-019935-1</t>
  </si>
  <si>
    <t>200500.05.01</t>
  </si>
  <si>
    <t>Основы безопасности труда в техносфере: уч. / Под ред. Ромейко В.Л.-М.:НИЦ ИНФРА-М,2018.-351 с..-(ВО: Бакалавриат)(П 7БЦ)</t>
  </si>
  <si>
    <t>ОСНОВЫ БЕЗОПАСНОСТИ ТРУДА В ТЕХНОСФЕРЕ</t>
  </si>
  <si>
    <t>Ромейко В. Л., Ляпина О. П., Татаренко В. И., Ромейко В. Л.</t>
  </si>
  <si>
    <t>978-5-16-005769-9</t>
  </si>
  <si>
    <t>785490.03.01</t>
  </si>
  <si>
    <t>Основы бережливого производства: Уч.пос. / М.Р.Рогулина. - М.:НИЦ ИНФРА-М,2025 -170 с.(СПО)(п)</t>
  </si>
  <si>
    <t>ОСНОВЫ БЕРЕЖЛИВОГО ПРОИЗВОДСТВА</t>
  </si>
  <si>
    <t>Рогулина М.Р., Смирнова И.Г., Курчий О.В. и др.</t>
  </si>
  <si>
    <t>978-5-16-018429-6</t>
  </si>
  <si>
    <t>00.02.27</t>
  </si>
  <si>
    <t>Колледж Подмосковье</t>
  </si>
  <si>
    <t>666723.04.01</t>
  </si>
  <si>
    <t>Основы биологической безопасности: Уч.практ.пос. / М.Ш.Азаев - 2 изд. - М.:НИЦ ИНФРА-М,2022 - 225с.(П)</t>
  </si>
  <si>
    <t>ОСНОВЫ БИОЛОГИЧЕСКОЙ БЕЗОПАСНОСТИ, ИЗД.2</t>
  </si>
  <si>
    <t>Азаев М.Ш., Дадаева А.А., Агафонов А.П. и др.</t>
  </si>
  <si>
    <t>978-5-16-014608-9</t>
  </si>
  <si>
    <t>06.03.01, 06.03.02, 06.04.01, 06.05.01, 19.03.01, 19.04.01, 31.05.01, 31.05.02, 31.05.03, 32.04.01, 32.05.01, 33.05.01, 34.03.01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</si>
  <si>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06.00.00 «Биологические науки», 19.00.00 «Промышленная экология и биотехнологии», 31.00.00 «Клиническая медицина» (протокол № 13 от 16.09.2019)</t>
  </si>
  <si>
    <t>666723.06.01</t>
  </si>
  <si>
    <t>Основы биологической безопасности: Уч.практ.пос. / М.Ш.Азаев - 3 изд. - М.:НИЦ ИНФРА-М,2025. - 149 с.(ВО)(п)</t>
  </si>
  <si>
    <t>ОСНОВЫ БИОЛОГИЧЕСКОЙ БЕЗОПАСНОСТИ, ИЗД.3</t>
  </si>
  <si>
    <t>Азаев М.Ш., Косогова Т.А., Агафонов А.П. и др.</t>
  </si>
  <si>
    <t>978-5-16-018418-0</t>
  </si>
  <si>
    <t>419900.11.01</t>
  </si>
  <si>
    <t>Основы биохимии: Уч. / Г.М.Суслянок, - 2 изд., - М.:НИЦ ИНФРА-М,2025. - 400 с.(ВО)(п)</t>
  </si>
  <si>
    <t>ОСНОВЫ БИОХИМИИ, ИЗД.2</t>
  </si>
  <si>
    <t>Суслянок Г.М.</t>
  </si>
  <si>
    <t>978-5-16-019160-7</t>
  </si>
  <si>
    <t>04.03.01, 06.03.01, 19.03.01, 19.03.02, 19.03.03, 19.03.04, 19.04.01, 19.04.02, 19.04.03, 19.04.04, 29.03.01, 29.03.05, 29.04.01, 29.04.05, 44.03.01, 44.03.05</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</si>
  <si>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обучающихся по направлениям подготовки 19.03.01 «Биотехнология», 19.03.02 «Продукты питания из растительного сырья» и 19.03.04 «Технология продукции и организация общественного питания» (квалификация (степень) «бакалавр»)</t>
  </si>
  <si>
    <t>419900.08.01</t>
  </si>
  <si>
    <t>Основы биохимии: Уч.пос. / Т.Л.Ауэрман и др. - М.:НИЦ ИНФРА-М,2021 - 400 с.-(ВО: Бакалавриат)(П)</t>
  </si>
  <si>
    <t>ОСНОВЫ БИОХИМИИ</t>
  </si>
  <si>
    <t>Ауэрман Т. Л., Генералова Т. Г., Суслянок Г. М.</t>
  </si>
  <si>
    <t>978-5-16-005295-3</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</si>
  <si>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обучающихся по направлениям подготовки 19.03.01 «Биотехнология», 19.03.02 «Продукты питания из растительного сырья»  и 19.03.04 «Технология продукции и организация общественного питания» (квалификация (степень) «бакалавр»)</t>
  </si>
  <si>
    <t>681864.05.01</t>
  </si>
  <si>
    <t>Основы бухгалтерского учета: Уч. / Л.И.Воронина - М.:НИЦ ИНФРА-М,2023 - 346 с.-(СПО)(П)</t>
  </si>
  <si>
    <t>ОСНОВЫ БУХГАЛТЕРСКОГО УЧЕТА</t>
  </si>
  <si>
    <t>978-5-16-014313-2</t>
  </si>
  <si>
    <t>38.01.02, 38.02.01, 38.02.02, 38.02.06, 38.02.08, 40.02.04, 43.01.09, 51.02.02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</si>
  <si>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7 от 15.04.2019)</t>
  </si>
  <si>
    <t>795906.01.01</t>
  </si>
  <si>
    <t>Основы бухгалтерского учета: Уч. / Н.Г.Гаджиев и др. - М.:НИЦ ИНФРА-М,2024. - 251 с.(СПО)(п)</t>
  </si>
  <si>
    <t>978-5-16-018149-3</t>
  </si>
  <si>
    <t>38.01.02, 38.02.01, 40.02.04, 43.01.09, 51.02.02</t>
  </si>
  <si>
    <t>768027.01.01</t>
  </si>
  <si>
    <t>Основы бухгалтерского учета: Уч. / Ю.И.Сигидов, - 2-е изд.-М.:НИЦ ИНФРА-М,2023.-491 с.(ВО)(п)</t>
  </si>
  <si>
    <t>ОСНОВЫ БУХГАЛТЕРСКОГО УЧЕТА, ИЗД.2</t>
  </si>
  <si>
    <t>Сигидов Ю.И.</t>
  </si>
  <si>
    <t>978-5-16-017397-9</t>
  </si>
  <si>
    <t>00.03.13, 38.03.01</t>
  </si>
  <si>
    <t>798134.01.01</t>
  </si>
  <si>
    <t>Основы ветеринарии: Уч.пос.: В 2 ч. Ч. 2 / О.П.Данилкина-М.:НИЦ ИНФРА-М,2024.-303 с.(ВО (КрГАУ))(п)</t>
  </si>
  <si>
    <t>ОСНОВЫ ВЕТЕРИНАРИИ. В 2-Х Ч., Т.2</t>
  </si>
  <si>
    <t>Данилкина О.П.</t>
  </si>
  <si>
    <t>978-5-16-019297-0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</si>
  <si>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36.03.02 «Зоотехния»</t>
  </si>
  <si>
    <t>806732.01.01</t>
  </si>
  <si>
    <t>Основы ветеринарии: Ч. 1: Уч.пос. / О.П.Данилкина-М.:НИЦ ИНФРА-М,2024.-335 с.(ВО (КрГАУ))(п)</t>
  </si>
  <si>
    <t>ОСНОВЫ ВЕТЕРИНАРИИ ЧАСТЬ 1, Т.1</t>
  </si>
  <si>
    <t>978-5-16-019296-3</t>
  </si>
  <si>
    <t>331400.08.01</t>
  </si>
  <si>
    <t>Основы ветеринарной географии: Уч. / Н.М.Колычев - М.:НИЦ ИНФРА-М,2025 - 378 с.(ВО:Специалитет)(п)</t>
  </si>
  <si>
    <t>ОСНОВЫ ВЕТЕРИНАРНОЙ ГЕОГРАФИИ</t>
  </si>
  <si>
    <t>Колычев Н.М., Кисленко В.Н.</t>
  </si>
  <si>
    <t>978-5-16-010623-6</t>
  </si>
  <si>
    <t>Допущено Министерством сельского хозяйства Российской Федерации в качестве учебника для студентов высших учебных заведений по специальности 36.05.01 «Ветеринария»</t>
  </si>
  <si>
    <t>Омский государственный аграрный университет им. П.А. Столыпина</t>
  </si>
  <si>
    <t>845596.02.01</t>
  </si>
  <si>
    <t>Основы визажистики / Е.Н.Зубова - М.:НИЦ ИНФРА-М,2025. - 191 с.- (Интересно знать) (п)</t>
  </si>
  <si>
    <t>ОСНОВЫ ВИЗАЖИСТИКИ</t>
  </si>
  <si>
    <t>Зубова Е.Н.</t>
  </si>
  <si>
    <t>978-5-16-020478-9</t>
  </si>
  <si>
    <t>43.02.17</t>
  </si>
  <si>
    <t>753331.01.01</t>
  </si>
  <si>
    <t>Основы визажистики: Уч.пос./ Е.Н.Зубова - М.:НИЦ ИНФРА-М,2025. - 191 с.-(СПО)(п)</t>
  </si>
  <si>
    <t>978-5-16-018312-1</t>
  </si>
  <si>
    <t>700726.02.01</t>
  </si>
  <si>
    <t>Основы визуализации коммерческой идеи: Уч.пос. / Н.Н.Крупина - М.:НИЦ ИНФРА-М,2023 - 165 с.(СПО)(П)</t>
  </si>
  <si>
    <t>ОСНОВЫ ВИЗУАЛИЗАЦИИ КОММЕРЧЕСКОЙ ИДЕИ</t>
  </si>
  <si>
    <t>Крупина Н.Н.</t>
  </si>
  <si>
    <t>978-5-16-014960-8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</si>
  <si>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 от 20.01.2020)</t>
  </si>
  <si>
    <t>750864.05.01</t>
  </si>
  <si>
    <t>Основы водоподготовки и водоотведения: Уч.пос. / Б.С.Ксенофонтов - М.:НИЦ ИНФРА-М,2025. - 256 с.(СПО)(п)</t>
  </si>
  <si>
    <t>ОСНОВЫ ВОДОПОДГОТОВКИ И ВОДООТВЕДЕНИЯ</t>
  </si>
  <si>
    <t>978-5-16-016819-7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</si>
  <si>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08.02.04 «Водоснабжение и водоотведение» (протокол № 5 от 19.05.2021)</t>
  </si>
  <si>
    <t>704940.04.01</t>
  </si>
  <si>
    <t>Основы военной педагогики и психологии: Уч.пос. / И.Ю.Лепешинский. - М.:НИЦ ИНФРА-М,2025. - 184 с.(П)</t>
  </si>
  <si>
    <t>ОСНОВЫ ВОЕННОЙ ПЕДАГОГИКИ И ПСИХОЛОГИИ</t>
  </si>
  <si>
    <t>Лепешинский И.Ю., Грымзин К.А., ОмГТУ</t>
  </si>
  <si>
    <t>978-5-16-015068-0</t>
  </si>
  <si>
    <t>37.03.01, 56.04.02, 56.04.09</t>
  </si>
  <si>
    <t>187800.22.01</t>
  </si>
  <si>
    <t>Основы военной службы: Уч. / В.Ю.Микрюков, - 2 изд. - М.:Форум, НИЦ ИНФРА-М,2025 - 384 с.(П)</t>
  </si>
  <si>
    <t>ОСНОВЫ ВОЕННОЙ СЛУЖБЫ: СТРОЕВАЯ, ОГНЕВАЯ И ТАКТИЧЕСКАЯ ПОДГОТОВКА, ВОЕННАЯ ТОПОГРАФИЯ, ИЗД.2</t>
  </si>
  <si>
    <t>Микрюков В.Ю.</t>
  </si>
  <si>
    <t>978-5-00091-623-0</t>
  </si>
  <si>
    <t>00.01.01, 00.02.01, 40.02.02</t>
  </si>
  <si>
    <t>Рекомендовано Академией военных наук Российской Федерации в качестве учебника для учащихся старших классов средних образовательных учреждений и студентов средних специальных учебных заведений</t>
  </si>
  <si>
    <t>805488.05.01</t>
  </si>
  <si>
    <t>Основы военной службы: Уч. / В.Ю.Микрюков, - 2 изд.-М.:Форум, НИЦ ИНФРА-М,2025 - 384 с.(ВО)(п)</t>
  </si>
  <si>
    <t>978-5-00091-778-7</t>
  </si>
  <si>
    <t>632535.09.01</t>
  </si>
  <si>
    <t>Основы генетики: Уч. / В.В.Иванищев - М.:ИЦ РИОР, НИЦ ИНФРА-М,2025 - 207 с.(о)</t>
  </si>
  <si>
    <t>ОСНОВЫ ГЕНЕТИКИ</t>
  </si>
  <si>
    <t>978-5-369-01640-4</t>
  </si>
  <si>
    <t>06.03.01, 06.03.02, 06.05.01, 31.05.01, 31.05.02, 32.05.01, 34.03.01, 35.03.04, 35.03.05, 44.03.05</t>
  </si>
  <si>
    <t>700733.04.01</t>
  </si>
  <si>
    <t>Основы геотехники в криолитозоне: Уч. / Л.Н.Хрусталев - М.:НИЦ ИНФРА-М,2025 - 543 с.-(ВО Спец.)(П)</t>
  </si>
  <si>
    <t>ОСНОВЫ ГЕОТЕХНИКИ В КРИОЛИТОЗОНЕ</t>
  </si>
  <si>
    <t>Хрусталев Л.Н.</t>
  </si>
  <si>
    <t>978-5-16-014896-0</t>
  </si>
  <si>
    <t>08.03.01, 23.05.06</t>
  </si>
  <si>
    <t>Допущено Учебно-методическим советом по геологии Учебно-методического объединения по классическому университетскому образованию в качестве учебника для студентов высших учебных заведений, обучающихся по направлению «Геология» и специальности «Гидрогеология и инженерная геология»</t>
  </si>
  <si>
    <t>717643.04.01</t>
  </si>
  <si>
    <t>Основы гидравлики и теплотехники. Прак.: Уч.пос. / С.Ф.Вольвак - 2 изд.-М.:НИЦ ИНФРА-М,2024.-203с(СПО)(п)</t>
  </si>
  <si>
    <t>ОСНОВЫ ГИДРАВЛИКИ И ТЕПЛОТЕХНИКИ. ПРАКТИКУМ, ИЗД.2</t>
  </si>
  <si>
    <t>Вольвак С.Ф., Ульянцев Ю.Н., Бахарев Д.Н. и др.</t>
  </si>
  <si>
    <t>978-5-16-019491-2</t>
  </si>
  <si>
    <t>08.01.32, 08.02.04, 13.02.02, 13.02.04, 14.02.01, 15.02.01, 15.02.03, 15.02.04, 15.02.06, 15.02.09, 15.02.10, 15.02.18, 21.01.17, 22.02.08, 23.02.02, 24.02.01, 26.02.03, 26.02.04, 26.02.05, 35.02.07, 35.02.16, 44.02.06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</si>
  <si>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5 от 18.10.2023)</t>
  </si>
  <si>
    <t>717643.03.01</t>
  </si>
  <si>
    <t>Основы гидравлики и теплотехники: практикум: Уч.пос. / С.Ф.Вольвак - М.:НИЦ ИНФРА-М,2023-238с.(СПО)(П)</t>
  </si>
  <si>
    <t>ОСНОВЫ ГИДРАВЛИКИ И ТЕПЛОТЕХНИКИ. ПРАКТИКУМ</t>
  </si>
  <si>
    <t>Вольвак С.Ф., Ульянцев Ю.Н., Бахарев Д.Н.</t>
  </si>
  <si>
    <t>978-5-16-015657-6</t>
  </si>
  <si>
    <t>Рекомендовано Экспертным советом Учебно-методического объединения Комитета по науке и высшей школе Санкт-Петербургских государственных бюджетных профессиональных образовательных учреждений (УМО КНВШ СПб ГБПОУ) в качестве учебного пособия</t>
  </si>
  <si>
    <t>769927.04.01</t>
  </si>
  <si>
    <t>Основы гидравлики и теплотехники: Уч.пос. / С.Ф.Вольвак - 2-е изд.-М.:НИЦ ИНФРА-М,2024.-333 с.(СПО)(п)</t>
  </si>
  <si>
    <t>ОСНОВЫ ГИДРАВЛИКИ И ТЕПЛОТЕХНИКИ, ИЗД.2</t>
  </si>
  <si>
    <t>978-5-16-019812-5</t>
  </si>
  <si>
    <t>13.02.02, 13.02.04, 35.02.07, 35.02.16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</si>
  <si>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2 от 15.02.2024)</t>
  </si>
  <si>
    <t>769927.01.01</t>
  </si>
  <si>
    <t>Основы гидравлики и теплотехники: Уч.пос. / С.Ф.Вольвак - М.:НИЦ ИНФРА-М,2022 - 525 с.(СПО)(П)</t>
  </si>
  <si>
    <t>ОСНОВЫ ГИДРАВЛИКИ И ТЕПЛОТЕХНИКИ</t>
  </si>
  <si>
    <t>978-5-16-017670-3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</si>
  <si>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9 от 17.11.2021)</t>
  </si>
  <si>
    <t>051850.23.01</t>
  </si>
  <si>
    <t>Основы гидравлики, теплотехники и аэродинамики: Уч. / О.Н.Брюханов - М.: ИНФРА-М, 2025 - 254 с.(СПО)(П)</t>
  </si>
  <si>
    <t>ОСНОВЫ ГИДРАВЛИКИ, ТЕПЛОТЕХНИКИ И АЭРОДИНАМИКИ</t>
  </si>
  <si>
    <t>Брюханов О.Н., Коробко В.И., Мелик-Аракелян А.Т.</t>
  </si>
  <si>
    <t>978-5-16-005354-7</t>
  </si>
  <si>
    <t>08.01.29, 08.01.32, 08.02.04, 08.02.08, 08.02.12, 08.02.13, 08.02.14, 12.02.01, 13.02.02, 13.02.04, 13.02.05, 15.02.01, 15.02.03, 15.02.04, 15.02.06, 15.02.09, 15.02.10, 15.02.18, 21.01.17, 23.02.02, 24.02.01, 35.02.07, 35.02.16, 44.02.06</t>
  </si>
  <si>
    <t>640122.07.01</t>
  </si>
  <si>
    <t>Основы гистологии: Уч. / В.В.Яглов - М.:НИЦ ИНФРА-М,2025 - 634 с.-(ВО: Специалитет)(П)</t>
  </si>
  <si>
    <t>ОСНОВЫ ГИСТОЛОГИИ</t>
  </si>
  <si>
    <t>Яглов В.В., Яглова Н.В.</t>
  </si>
  <si>
    <t>978-5-16-012281-6</t>
  </si>
  <si>
    <t>06.03.01, 31.05.01, 31.05.02, 32.05.01</t>
  </si>
  <si>
    <t>Рекомендовано в качестве учебника для студентов высших учебных заведений, обучающихся по направлениям подготовки 31.05.01 «Лечебное дело», 31.05.02 «Педиатрия», 32.05.01 «Медико-профилактическое дело» (квалификация «врач (врач-педиатр) общей практики; врач по общей гигиене, по эпидемиологии»)</t>
  </si>
  <si>
    <t>Научно-исследовательский институт морфологии человека</t>
  </si>
  <si>
    <t>438900.05.01</t>
  </si>
  <si>
    <t>Основы гос. и муниц. управления: Уч.пос. / О.Б.Угурчиев - М.:ИЦ РИОР,НИЦ ИНФРА-М,2023-378с(ВО:Бакалавр.)</t>
  </si>
  <si>
    <t>ОСНОВЫ ГОСУДАРСТВЕННОГО И МУНИЦИПАЛЬНОГО УПРАВЛЕНИЯ</t>
  </si>
  <si>
    <t>О.Б.Угурчиев, Р.О.Угурчиева</t>
  </si>
  <si>
    <t>978-5-369-01473-8</t>
  </si>
  <si>
    <t>Допущено Советом Учебно-методического объединения по образованию в области менеджмента в качестве учебного пособия для студентов высшего образования,обучающихся по направлению подготовки «Государственное и муниципальное управление» (квалификация (степень) «бакалавр»)</t>
  </si>
  <si>
    <t>Ингушский государственный университет</t>
  </si>
  <si>
    <t>152900.08.01</t>
  </si>
  <si>
    <t>Основы гуманитарной географии: Уч. пос. / Ю.Н. Голубчиков - М.: НИЦ ИНФРА-М, 2024 - 364с.(ВО) (п)</t>
  </si>
  <si>
    <t>ОСНОВЫ ГУМАНИТАРНОЙ ГЕОГРАФИИ</t>
  </si>
  <si>
    <t>Голубчиков Ю.Н.</t>
  </si>
  <si>
    <t>978-5-16-004682-2</t>
  </si>
  <si>
    <t>05.03.02</t>
  </si>
  <si>
    <t>Допущено УМС по географии Учебно-методического объединения по классическому университетскому образованию в качестве учебного пособия для студентов высших учебных заведений, обучающихся по специальности "География"</t>
  </si>
  <si>
    <t>654706.04.01</t>
  </si>
  <si>
    <t>Основы деловой (служеб.) письм. речи в сфере упр.: Уч.пос. / С.Ю.Кабашов - М.:НИЦ ИНФРА-М,2025 - 163 с.(ВО)(о)</t>
  </si>
  <si>
    <t>ОСНОВЫ ДЕЛОВОЙ (СЛУЖЕБНОЙ) ПИСЬМЕННОЙ РЕЧИ В СФЕРЕ УПРАВЛЕНИЯ</t>
  </si>
  <si>
    <t>978-5-16-018436-4</t>
  </si>
  <si>
    <t>01.05.01, 38.03.02, 38.03.03, 38.04.02, 38.04.08, 40.03.01, 40.04.01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</si>
  <si>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38.03.02 «Менеджмент», 38.03.01 «Экономика», 40.03.01 «Юриспруденция» (квалификация (степень) «бакалавр»)</t>
  </si>
  <si>
    <t>714257.05.01</t>
  </si>
  <si>
    <t>Основы деловой (служеб.) письм. речи в сфере упр.: Уч.пос. / С.Ю.Кабашов - М.:НИЦ ИНФРА-М,2025-163с(П)</t>
  </si>
  <si>
    <t>978-5-16-015439-8</t>
  </si>
  <si>
    <t>15.02.04, 38.02.01, 38.02.02, 38.02.03, 38.02.06, 38.02.07, 38.02.08, 39.02.01, 39.02.02, 40.02.02, 40.02.04, 43.02.01, 43.02.11, 43.02.16, 44.02.01, 44.02.02, 44.02.03, 44.02.04, 44.02.05, 44.02.06, 46.02.01, 46.02.02, 49.02.02, 51.02.03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</si>
  <si>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40.02.00 «Юриспруденция» (протокол № 8 от 29.04.2019)</t>
  </si>
  <si>
    <t>256700.13.01</t>
  </si>
  <si>
    <t>Основы делопроизводства: Уч.пос. / А.М.Асалиев - 2 изд.- М .:НИЦ ИНФРА-М,2025. - 146 с.(ВО)(п)</t>
  </si>
  <si>
    <t>ОСНОВЫ ДЕЛОПРОИЗВОДСТВА, ИЗД.2</t>
  </si>
  <si>
    <t>Асалиев А.М., Миронова И.И., Косарева Е.А. и др.</t>
  </si>
  <si>
    <t>978-5-16-019135-5</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</si>
  <si>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</si>
  <si>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117650.10.01</t>
  </si>
  <si>
    <t>Основы демографии: Уч.пос. / П.И.Косов, - 2-е изд.-М.:НИЦ ИНФРА-М,2024.-288 с..-(ВО)(п)</t>
  </si>
  <si>
    <t>ОСНОВЫ ДЕМОГРАФИИ, ИЗД.2</t>
  </si>
  <si>
    <t>Косов П.И., Берендеева А.Б.</t>
  </si>
  <si>
    <t>978-5-16-019264-2</t>
  </si>
  <si>
    <t>38.03.01, 38.03.03, 38.03.04, 39.03.01, 39.03.02</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</si>
  <si>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39.03.02 «Социальная работа»</t>
  </si>
  <si>
    <t>813781.01.01</t>
  </si>
  <si>
    <t>Основы демографич. анализа с элементами матем..: Уч.пос. / Д.М.Эдиев - М.:НИЦ ИНФРА-М,2024. - 192 с.(ВО)(п)</t>
  </si>
  <si>
    <t>ОСНОВЫ ДЕМОГРАФИЧЕСКОГО АНАЛИЗА С ЭЛЕМЕНТАМИ МАТЕМАТИЧЕСКОЙ ДЕМОГРАФИИ</t>
  </si>
  <si>
    <t>Эдиев Д.М.</t>
  </si>
  <si>
    <t>978-5-16-020547-2</t>
  </si>
  <si>
    <t>01.03.04, 09.04.03, 38.03.01, 38.03.04, 38.04.01, 38.04.04, 39.03.01, 39.04.01, 41.03.06</t>
  </si>
  <si>
    <t>Северо-Кавказская государственная академия</t>
  </si>
  <si>
    <t>843799.01.01</t>
  </si>
  <si>
    <t>Основы дискретной математики: Уч.пос. / В.А.Осипова, - 2 изд. - М.:Форум, НИЦ ИНФРА-М,2025. - 157 с.(СПО)(п)</t>
  </si>
  <si>
    <t>ОСНОВЫ ДИСКРЕТНОЙ МАТЕМАТИКИ, ИЗД.2</t>
  </si>
  <si>
    <t>Осипова В. А.</t>
  </si>
  <si>
    <t>978-5-00091-814-2</t>
  </si>
  <si>
    <t>09.02.01, 09.02.05, 09.02.06, 09.02.07, 09.02.08, 09.02.09, 38.02.01, 38.02.02, 38.02.03, 38.02.06, 38.02.07</t>
  </si>
  <si>
    <t>073550.08.01</t>
  </si>
  <si>
    <t>Основы дискретной математики: Уч.пос. / В.А.Осипова, - 2 изд.-М.:Форум, НИЦ ИНФРА-М,2024.-157 с.(ВО)(п)</t>
  </si>
  <si>
    <t>978-5-00091-787-9</t>
  </si>
  <si>
    <t>01.03.01, 01.03.02, 02.03.01, 02.03.02, 02.03.03, 02.04.03, 03.03.02, 04.03.02, 09.03.03, 09.03.04, 11.03.02, 45.03.04</t>
  </si>
  <si>
    <t>Рекомендовано УМО в области экономики, менеджмента, логистики и бизнес-информатики в качестве учебного пособия для студентов высших учебных заведений, обучающихся по направлению подготовки 38.03.01 «Экономика»</t>
  </si>
  <si>
    <t>234400.04.01</t>
  </si>
  <si>
    <t>Основы диссертационного менеджмента: Уч. / С.Д.Резник - 3 изд. - М.:НИЦ ИНФРА-М,2018 - 289 с.(ВО)(П)</t>
  </si>
  <si>
    <t>ОСНОВЫ ДИССЕРТАЦИОННОГО МЕНЕДЖМЕНТА, ИЗД.2</t>
  </si>
  <si>
    <t>978-5-16-009134-1</t>
  </si>
  <si>
    <t>00.04.16, 00.05.16, 00.06.01</t>
  </si>
  <si>
    <t>Рекомендовано Советом учебно-методического объединения вузов России по образованию в области менеджмента в качестве учебника для студентов, обучающихся по экономическим и управленческим направлениям магистратуры и аспирантуры высших учебных заведений</t>
  </si>
  <si>
    <t>234400.08.01</t>
  </si>
  <si>
    <t>Основы диссертационного менеджмента: Уч. / С.Д.Резник, - 4 изд. - М.:НИЦ ИНФРА-М,2025. - 284 с.(ВО)(п)</t>
  </si>
  <si>
    <t>ОСНОВЫ ДИССЕРТАЦИОННОГО МЕНЕДЖМЕНТА, ИЗД.4</t>
  </si>
  <si>
    <t>978-5-16-017903-2</t>
  </si>
  <si>
    <t>Рекомендовано Советом учебно-методического объединения вузов России по образованию в области менеджмента в качестве учебника для студентов, обучающихся по экономическим и управленческим направлениям подготовки магистратуры и аспирантуры высших учебных заведений</t>
  </si>
  <si>
    <t>234400.06.01</t>
  </si>
  <si>
    <t>Основы диссертационного менеджмента: Уч. /С.Д.Резник - 3 изд.-М.:НИЦ ИНФРА-М,2021.-289 с.(ВО)(П)</t>
  </si>
  <si>
    <t>ОСНОВЫ ДИССЕРТАЦИОННОГО МЕНЕДЖМЕНТА, ИЗД.3</t>
  </si>
  <si>
    <t>767220.01.01</t>
  </si>
  <si>
    <t>Основы земельно-имуществ. отнош.: Уч.пос. / С.В.Фокин - М.:НИЦ ИНФРА-М,2024. - 379 с.(СПО)(п)</t>
  </si>
  <si>
    <t>ОСНОВЫ ЗЕМЕЛЬНО-ИМУЩЕСТВЕННЫХ ОТНОШЕНИЙ</t>
  </si>
  <si>
    <t>978-5-16-018221-6</t>
  </si>
  <si>
    <t>798961.04.01</t>
  </si>
  <si>
    <t>Основы зоотехнии. Практикум: Уч.пос. / А.Г.Агейкин. - М.:НИЦ ИНФРА-М,2025. - 285 с.(СПО (КрГАУ))(п)</t>
  </si>
  <si>
    <t>ОСНОВЫ ЗООТЕХНИИ. ПРАКТИКУМ</t>
  </si>
  <si>
    <t>Агейкин А.Г., Удалова Т.А., Нагибина А.А.</t>
  </si>
  <si>
    <t>978-5-16-018344-2</t>
  </si>
  <si>
    <t>19.02.11, 19.02.12, 35.01.21, 35.01.27, 35.02.07, 35.02.09, 35.02.16, 36.01.02, 36.01.03, 36.02.01, 36.02.03</t>
  </si>
  <si>
    <t>Рекомендовано учебно-методическим советом федерального государственного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35.02.08 «Электрификация и автоматизация сельского хозяйства»</t>
  </si>
  <si>
    <t>246300.07.01</t>
  </si>
  <si>
    <t>Основы инженерного эксперимента: Уч.пос. / С.И. Лукьянов - М.:ИЦ РИОР:НИЦ ИНФРА-М,2023-99с.(ВО)(О)</t>
  </si>
  <si>
    <t>ОСНОВЫ ИНЖЕНЕРНОГО ЭКСПЕРИМЕНТА</t>
  </si>
  <si>
    <t>Лукьянов С.И., Панов А.Н., Васильев А.Е.</t>
  </si>
  <si>
    <t>978-5-369-01301-4</t>
  </si>
  <si>
    <t>13.03.01, 13.03.02, 13.03.03, 13.04.01, 13.04.02</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</si>
  <si>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t>
  </si>
  <si>
    <t>046640.17.01</t>
  </si>
  <si>
    <t>Основы инженерной геологии: Уч. / Н.А.Платов - 4 изд. - М.:НИЦ ИНФРА-М,2019 - 187 с.-(СПО)(П)</t>
  </si>
  <si>
    <t>ОСНОВЫ ИНЖЕНЕРНОЙ ГЕОЛОГИИ, ИЗД.4</t>
  </si>
  <si>
    <t>Платов Н. А.</t>
  </si>
  <si>
    <t>978-5-16-004554-2</t>
  </si>
  <si>
    <t>08.01.30, 08.02.01, 08.02.02, 08.02.08, 08.02.12, 08.02.13, 21.02.09, 21.02.10</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</si>
  <si>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среднего профессионального образования, обучающихся по специальности «Строительство и эксплуатация зданий и сооружений»</t>
  </si>
  <si>
    <t>046640.23.01</t>
  </si>
  <si>
    <t>Основы инженерной геологии: Уч. / Н.А.Платов - 5 изд. - М.:НИЦ ИНФРА-М,2025 - 190 с.(СПО)(П)</t>
  </si>
  <si>
    <t>ОСНОВЫ ИНЖЕНЕРНОЙ ГЕОЛОГИИ, ИЗД.5</t>
  </si>
  <si>
    <t>Платов Н.А.</t>
  </si>
  <si>
    <t>978-5-16-016056-6</t>
  </si>
  <si>
    <t>699267.03.01</t>
  </si>
  <si>
    <t>Основы интегрированного риск-ориентиров..:Уч.пос. / В.Д.Андреев-М.:Магистр, НИЦ ИНФРА-М,2023-368с(П)</t>
  </si>
  <si>
    <t>ОСНОВЫ ИНТЕГРИРОВАННОГО РИСК-ОРИЕНТИРОВАННОГО ВНУТРЕННЕГО КОНТРОЛЯ И АУДИТА ХОЗЯЙСТВУЮЩИХ СУБЪЕКТОВ</t>
  </si>
  <si>
    <t>978-5-9776-0493-2</t>
  </si>
  <si>
    <t>745642.02.01</t>
  </si>
  <si>
    <t>Основы информ. безоп. предпр.: Уч.пос. / Н.В.Гришина - М.:НИЦ ИНФРА-М,2024 - 216 с.(ВО)(П)</t>
  </si>
  <si>
    <t>ОСНОВЫ ИНФОРМАЦИОННОЙ БЕЗОПАСНОСТИ ПРЕДПРИЯТИЯ</t>
  </si>
  <si>
    <t>978-5-16-016534-9</t>
  </si>
  <si>
    <t>771587.01.01</t>
  </si>
  <si>
    <t>Основы информ. технолог.: Уч.пос. / Под ред. Гагариной Л.Г. - 2 изд. - М.:НИЦ ИНФРА-М,2022 - 346 с.(П)</t>
  </si>
  <si>
    <t>ОСНОВЫ ИНФОРМАЦИОННЫХ ТЕХНОЛОГИЙ, ИЗД.2</t>
  </si>
  <si>
    <t>Гагарина Л.Г., Слюсарь В.В., Слюсарь М.В.</t>
  </si>
  <si>
    <t>978-5-16-015784-9</t>
  </si>
  <si>
    <t>00.02.03, 09.02.01, 09.02.03, 09.02.04, 09.02.06, 09.02.07, 09.02.10</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</si>
  <si>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</si>
  <si>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122950.09.01</t>
  </si>
  <si>
    <t>Основы информат.и матем.моделир.эколог.систем: Уч.пос./В.П.Мешалкин-2изд.-М.:НИЦ ИНФРА-М,2024-374с(ВО) (П)</t>
  </si>
  <si>
    <t>ОСНОВЫ ИНФОРМАТИЗАЦИИ И МАТЕМАТИЧЕСКОГО МОДЕЛИРОВАНИЯ ЭКОЛОГИЧЕСКИХ СИСТЕМ, ИЗД.2</t>
  </si>
  <si>
    <t>Бутусов О.Б., Мешалкин В.П.</t>
  </si>
  <si>
    <t>978-5-16-016994-1</t>
  </si>
  <si>
    <t>18.03.02, 18.04.02</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</si>
  <si>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бакалавриантов и магистрантов, обучающихся по направлению 18.03.02 «Энерго- и ресурсосберегающие процессы химической технологии, нефтехимии и биотехнологии»</t>
  </si>
  <si>
    <t>122950.10.01</t>
  </si>
  <si>
    <t>Основы информат.и матем.моделир.эколог.систем: Уч.пос./В.П.Мешалкин-М.:НИЦ ИНФРА-М,2020-357с(ВО) (О)</t>
  </si>
  <si>
    <t>ОСНОВЫ ИНФОРМАТИЗАЦИИ И МАТЕМАТИЧЕСКОГО МОДЕЛИРОВАНИЯ ЭКОЛОГИЧЕСКИХ СИСТЕМ</t>
  </si>
  <si>
    <t>Мешалкин В.П., Бутусов О.Б., Гнаук А.Г.</t>
  </si>
  <si>
    <t>978-5-16-009747-3</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</si>
  <si>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студентов, обучающихся по направлениям 18.03.02 и 18.04.02 «Энерго- и ресурсосберегающие процессы химической технологии, нефтехимии и биотехнологии»</t>
  </si>
  <si>
    <t>414750.05.01</t>
  </si>
  <si>
    <t>Основы информатики и защиты информации: Уч.пос. / Е.К.Баранова-М.:ИЦ РИОР, НИЦ ИНФРА-М,2024.-183 с.(ВО)(п)</t>
  </si>
  <si>
    <t>ОСНОВЫ ИНФОРМАТИКИ И ЗАЩИТЫ ИНФОРМАЦИИ</t>
  </si>
  <si>
    <t>Баранова Е. К.</t>
  </si>
  <si>
    <t>978-5-369-01169-0</t>
  </si>
  <si>
    <t>09.03.01, 09.04.01, 10.03.01, 10.04.01</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</si>
  <si>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080801 «Прикладная информатика» и другим экономическим спе</t>
  </si>
  <si>
    <t>050260.11.01</t>
  </si>
  <si>
    <t>Основы информатики: Уч.пос. / М.В.Жаров - 2 изд. - М.:Форум, НИЦ ИНФРА-М,2025. - 288 с.(СПО)(п)</t>
  </si>
  <si>
    <t>ОСНОВЫ ИНФОРМАТИКИ, ИЗД.2</t>
  </si>
  <si>
    <t>Жаров М. В., Палтиевич А. Р., Соколов А. В.</t>
  </si>
  <si>
    <t>978-5-91134-232-6</t>
  </si>
  <si>
    <t>682888.06.01</t>
  </si>
  <si>
    <t>Основы информац. безопасности предпр.: Уч.пос. / Н.В.Гришина, - 2 изд.-М.:НИЦ ИНФРА-М,2023.-216 с.(П)</t>
  </si>
  <si>
    <t>ОСНОВЫ ИНФОРМАЦИОННОЙ БЕЗОПАСНОСТИ ПРЕДПРИЯТИЯ, ИЗД.2</t>
  </si>
  <si>
    <t>978-5-16-016719-0</t>
  </si>
  <si>
    <t>10.02.01, 10.02.02, 10.02.03, 10.02.04, 10.02.05, 11.02.07, 11.02.18, 21.02.19</t>
  </si>
  <si>
    <t>Рекомендовано Межрегиональным учебно-методическим советом профессионального образования в качестве учебного пособия для студентов учебных заведений, реализующих программу среднего профессионального образования по специальностям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t>
  </si>
  <si>
    <t>837621.01.01</t>
  </si>
  <si>
    <t>Основы информац. культуры и информац. безопас.: Уч.пос. / Н.С.Редькина - М.:НИЦ ИНФРА-М,2025. - 193 с.(СПО)(п)</t>
  </si>
  <si>
    <t>ОСНОВЫ ИНФОРМАЦИОННОЙ КУЛЬТУРЫ И ИНФОРМАЦИОННОЙ БЕЗОПАСНОСТИ</t>
  </si>
  <si>
    <t>Редькина Н.С.</t>
  </si>
  <si>
    <t>978-5-16-020142-9</t>
  </si>
  <si>
    <t>793940.01.01</t>
  </si>
  <si>
    <t>Основы информац. культуры и информац. безопас.: Уч.пос. / Н.С.Редькина-М.:НИЦ ИНФРА-М,2024.-193 с.(ВО)(п)</t>
  </si>
  <si>
    <t>978-5-16-018175-2</t>
  </si>
  <si>
    <t>51.03.03</t>
  </si>
  <si>
    <t>116800.14.01</t>
  </si>
  <si>
    <t>Основы информационной безопасности предп.: Уч.пос. / Н.В.Гришина-М.:НИЦ ИНФРА-М,2024-216с(П)</t>
  </si>
  <si>
    <t>978-5-16-015105-2</t>
  </si>
  <si>
    <t>690263.05.01</t>
  </si>
  <si>
    <t>Основы информационной безопасности: Уч. / Е.К.Баранова - М.:ИЦ РИОР, НИЦ ИНФРА-М,2025.-202 с.(СПО)(П)</t>
  </si>
  <si>
    <t>ОСНОВЫ ИНФОРМАЦИОННОЙ БЕЗОПАСНОСТИ</t>
  </si>
  <si>
    <t>978-5-369-01806-4</t>
  </si>
  <si>
    <t>09.02.01, 09.02.02, 09.02.03, 09.02.04, 09.02.05, 09.02.06, 09.02.07, 10.02.01, 10.02.02, 10.02.03, 10.02.04, 10.02.05, 11.02.18</t>
  </si>
  <si>
    <t>747296.06.01</t>
  </si>
  <si>
    <t>Основы информационной безопасности: Уч.пос. / Ю.Н.Сычев - М.:НИЦ ИНФРА-М,2024 - 337с.(СПО)(п)</t>
  </si>
  <si>
    <t>978-5-16-019432-5</t>
  </si>
  <si>
    <t>10.02.01, 10.02.02, 10.02.03, 10.02.04, 10.02.05, 11.02.18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</si>
  <si>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10.00.00 «Информационная безопасность» (протокол № 8 от 22.06.2020)</t>
  </si>
  <si>
    <t>684714.09.01</t>
  </si>
  <si>
    <t>Основы информационной безопасности: Уч.пос. / Ю.Н.Сычев - М.:НИЦ ИНФРА-М,2025. - 337 с.(ВО (РЭУ))(п)</t>
  </si>
  <si>
    <t>978-5-16-018225-4</t>
  </si>
  <si>
    <t>653331.06.01</t>
  </si>
  <si>
    <t>Основы кадастра недвижимости: Уч.пос. / С.В.Фокин - М.:НИЦ ИНФРА-М,2023 - 225 с.(ВО)(П)</t>
  </si>
  <si>
    <t>ОСНОВЫ КАДАСТРА НЕДВИЖИМОСТИ</t>
  </si>
  <si>
    <t>978-5-16-014413-9</t>
  </si>
  <si>
    <t>21.04.02, 35.03.01, 35.03.04</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</si>
  <si>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t>
  </si>
  <si>
    <t>706524.02.01</t>
  </si>
  <si>
    <t>Основы кадастра недвижимости: Уч.пос. / С.В.Фокин-М.:НИЦ ИНФРА-М,2024.-225 с.(СПО)(п)</t>
  </si>
  <si>
    <t>978-5-16-015102-1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</si>
  <si>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 (протокол № 98 от 17.11.2022)</t>
  </si>
  <si>
    <t>704498.07.01</t>
  </si>
  <si>
    <t>Основы квантовой механики и физики атома: Уч.пос./ Под ред. Якимова В.А. - М.:НИЦ ИНФРА-М,2024 - 108с.(О)</t>
  </si>
  <si>
    <t>ОСНОВЫ КВАНТОВОЙ МЕХАНИКИ И ФИЗИКИ АТОМА</t>
  </si>
  <si>
    <t>Мозолевская Т.В., Филиппенко Ю.В., Якимов В.А.</t>
  </si>
  <si>
    <t>978-5-16-015428-2</t>
  </si>
  <si>
    <t>26.05.01, 26.05.02, 26.05.03, 26.05.04, 26.05.05, 26.05.06, 26.05.07</t>
  </si>
  <si>
    <t>672564.06.01</t>
  </si>
  <si>
    <t>Основы кибернетики: Уч.пос. / А.А.Вороненко - М.:НИЦ ИНФРА-М,2025. - 189 с.(ВО)(п)</t>
  </si>
  <si>
    <t>ОСНОВЫ КИБЕРНЕТИКИ</t>
  </si>
  <si>
    <t>Вороненко А.А.</t>
  </si>
  <si>
    <t>978-5-16-020744-5</t>
  </si>
  <si>
    <t>01.03.01, 01.03.02, 01.03.03, 01.03.04, 09.03.03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</si>
  <si>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</si>
  <si>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412250.13.01</t>
  </si>
  <si>
    <t>Основы клинического диагноза при забол. внутр. орг.: Уч.пос. / В.А.Ахмедов - М:НИЦ ИНФРА-М,2025 - 173 с.(ВО) (п)</t>
  </si>
  <si>
    <t>ОСНОВЫ КЛИНИЧЕСКОГО ДИАГНОЗА ПРИ ЗАБОЛЕВАНИЯХ ВНУТРЕННИХ ОРГАНОВ</t>
  </si>
  <si>
    <t>Ахмедов В. А., Винжегина В. А., Галютин С. Г., Ахмедов В. А.</t>
  </si>
  <si>
    <t>978-5-16-006461-1</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</si>
  <si>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специальности 06010I 65 - Лечебное дело</t>
  </si>
  <si>
    <t>694872.05.01</t>
  </si>
  <si>
    <t>Основы клинической ревматологии: Уч.пос. / Под ред. Лычева В.Г.-М.:НИЦ ИНФРА-М,2023-196 с(ВО)(П)</t>
  </si>
  <si>
    <t>ОСНОВЫ КЛИНИЧЕСКОЙ РЕВМАТОЛОГИИ</t>
  </si>
  <si>
    <t>978-5-16-016125-9</t>
  </si>
  <si>
    <t>31.05.01, 31.05.03</t>
  </si>
  <si>
    <t>168250.09.01</t>
  </si>
  <si>
    <t>Основы коммерции: Уч.пос. / Г.А.Яковлев - М.:НИЦ ИНФРА-М,2025 - 224 с.-(ВО: Бакалавриат) (П)</t>
  </si>
  <si>
    <t>ОСНОВЫ КОММЕРЦИИ</t>
  </si>
  <si>
    <t>978-5-16-014364-4</t>
  </si>
  <si>
    <t>Допущено Учебно-методическим объединением вузов России по образованию в области коммерции и маркетинга в качестве учебного пособия для студентов высших учебных заведений, обучающихся по специальностям «Коммерция (торговое дело)» и «Маркетинг»</t>
  </si>
  <si>
    <t>683008.02.01</t>
  </si>
  <si>
    <t>Основы коммерции: Уч.пос. / Г.А.Яковлев-М.:НИЦ ИНФРА-М,2023.-224 с..-(СПО)(П)</t>
  </si>
  <si>
    <t>978-5-16-013985-2</t>
  </si>
  <si>
    <t>38.02.01, 38.02.08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</si>
  <si>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10 от 27.05.2019)</t>
  </si>
  <si>
    <t>439150.12.01</t>
  </si>
  <si>
    <t>Основы коммуникологии (теория коммуникации): Уч. пос. / А.С.Чамкин. - М.: НИЦ ИНФРА-М, 2025 - 350с.(ВО)</t>
  </si>
  <si>
    <t>ОСНОВЫ КОММУНИКОЛОГИИ (ТЕОРИЯ КОММУНИКАЦИИ)</t>
  </si>
  <si>
    <t>Чамкин А. С.</t>
  </si>
  <si>
    <t>978-5-16-020237-2</t>
  </si>
  <si>
    <t>37.03.01, 37.03.02, 37.04.02, 37.05.02, 38.03.01, 38.03.02, 38.03.03, 38.04.01, 38.04.02, 38.04.03, 41.03.04, 41.03.05, 41.03.06, 41.04.05, 42.03.01, 42.03.02, 42.03.04, 42.03.05, 42.04.01, 42.04.02, 45.03.02, 45.04.02</t>
  </si>
  <si>
    <t>Рекомендовано в качестве учебного пособия для студентов высших учебных заведений, обучающихся по направлениям подготовки 39.03.01 «Социология», 42.03.01 «Реклама и связи с общественностью», 38.03.02 «Менеджмент» (квалификация (степень) «бакалавр»)</t>
  </si>
  <si>
    <t>699902.05.01</t>
  </si>
  <si>
    <t>Основы композиции (в проектировании костюма): Уч. / Л.А.Сафина - М.:НИЦ ИНФРА-М,2025 - 215 с.(ВО)(П)</t>
  </si>
  <si>
    <t>ОСНОВЫ КОМПОЗИЦИИ (В ПРОЕКТИРОВАНИИ КОСТЮМА)</t>
  </si>
  <si>
    <t>Сафина Л.А., Тухбатуллина Л.М., Хамматова В.В. и др.</t>
  </si>
  <si>
    <t>978-5-16-019087-7</t>
  </si>
  <si>
    <t>Рекомендовано УМО вузов РФ по образованию в области дизайна, монументальных и декоративных искусств в качестве учебника для студентов образовательных учреждений высшего образования, обучающихся по направлениям «Дизайн» и «Искусство костюма и текстиля» профиля «Художественное проектирование костюма</t>
  </si>
  <si>
    <t>Казанский национальный исследовательский технологический университет, Нижнекамский ф-л</t>
  </si>
  <si>
    <t>824723.01.01</t>
  </si>
  <si>
    <t>Основы компьютера. Computer Grundlagen: Уч. / О.Н.Анюшенкова - М.:НИЦ ИНФРА-М,2025. - 364 с.(СПО (ФинУн))(п)</t>
  </si>
  <si>
    <t>ОСНОВЫ КОМПЬЮТЕРА. COMPUTER GRUNDLAGEN</t>
  </si>
  <si>
    <t>Анюшенкова О.Н.,</t>
  </si>
  <si>
    <t>978-5-16-020056-9</t>
  </si>
  <si>
    <t>00.01.02, 00.02.02, 09.02.01, 09.02.02, 09.02.03, 09.02.04, 09.02.05, 09.02.06, 09.02.07, 09.02.08, 09.02.09, 10.02.01, 10.02.02, 10.02.03, 10.02.04, 10.02.05</t>
  </si>
  <si>
    <t>806619.01.01</t>
  </si>
  <si>
    <t>Основы консервир. пищевых продуктов: Уч.пос. / А.И.Машанов-М.:НИЦ ИНФРА-М,2024.-270 с.(ВО (КрГАУ))(п)</t>
  </si>
  <si>
    <t>ОСНОВЫ КОНСЕРВИРОВАНИЯ ПИЩЕВЫХ ПРОДУКТОВ</t>
  </si>
  <si>
    <t>Машанов А.И., Матюшев В.В., Величко Н.А. и др.</t>
  </si>
  <si>
    <t>978-5-16-019139-3</t>
  </si>
  <si>
    <t>19.03.02, 19.03.03, 19.04.02, 19.04.03, 35.03.07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</si>
  <si>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19.03.03 и 19.04.03 «Продукты питания животного происхождения»; 19.03.02 и 19.04.02 «Продукты питания из растительного сырья»</t>
  </si>
  <si>
    <t>738593.02.01</t>
  </si>
  <si>
    <t>Основы конструир. исп. механизмов привод. сис...: Уч. / Под ред. Самсоновича С.Л.-М.:НИЦ ИНФРА-М,2023-391 с.(П)</t>
  </si>
  <si>
    <t>ОСНОВЫ КОНСТРУИРОВАНИЯ ИСПОЛНИТЕЛЬНЫХ МЕХАНИЗМОВ ПРИВОДНЫХ СИСТЕМ ЛЕТАТЕЛЬНЫХ АППАРАТОВ С МИНИМИЗАЦИЕЙ ГАБАРИТНЫХ РАЗМЕРОВ</t>
  </si>
  <si>
    <t>Самсонович С.Л., Подшибнев В.А., Самсонович С.Л.</t>
  </si>
  <si>
    <t>978-5-16-016512-7</t>
  </si>
  <si>
    <t>24.03.05, 24.05.03, 24.05.05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</si>
  <si>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24.05.05 «Интегрированные системы летательных аппаратов» (квалификация «инженер») (протокол № 1 от 12.01.2022)</t>
  </si>
  <si>
    <t>649083.09.01</t>
  </si>
  <si>
    <t>Основы конструир.интеллектуал.систем поддержки....: Уч. / А.А.Башлыков - М.:НИЦ ИНФРА-М,2025-375 с.(П)</t>
  </si>
  <si>
    <t>ОСНОВЫ КОНСТРУИРОВАНИЯ ИНТЕЛЛЕКТУАЛЬНЫХ СИСТЕМ ПОДДЕРЖКИ ПРИНЯТИЯ РЕШЕНИЙ В АТОМНОЙ ЭНЕРГЕТИКЕ</t>
  </si>
  <si>
    <t>Башлыков А.А., Еремеев А.П.</t>
  </si>
  <si>
    <t>978-5-16-018851-5</t>
  </si>
  <si>
    <t>01.03.02, 01.04.02, 09.03.01, 09.04.01, 14.05.02, 15.03.04</t>
  </si>
  <si>
    <t>Рекомендовано в качестве учебника для студентов высших учебных заведений, обучающихся по направлениям подготовки 01.03.02 «Прикладная математика и информатика», 09.03.01 «Информатика и вычислительная техника», 15.03.04 «Автоматизация технологических процессов и производств» (квалификация (степень) «бакалавр»); 14.05.02 «Атомные станции: проектирование, эксплуатация и инжиниринг» (квалификация «инженер-физик»)</t>
  </si>
  <si>
    <t>079440.11.01</t>
  </si>
  <si>
    <t>Основы конфликтологии: Уч. / Г.И.Козырев, - 2 изд.-М.:ИД Форум, НИЦ ИНФРА-М,2024.-240 с..-(СПО)(П)</t>
  </si>
  <si>
    <t>ОСНОВЫ КОНФЛИКТОЛОГИИ, ИЗД.2</t>
  </si>
  <si>
    <t>Козырев Г. И.</t>
  </si>
  <si>
    <t>978-5-8199-0925-6</t>
  </si>
  <si>
    <t>38.00.00, 44.00.00, 00.02.38, 32.02.01, 39.01.01, 39.02.01, 51.02.02</t>
  </si>
  <si>
    <t>632785.06.01</t>
  </si>
  <si>
    <t>Основы концепции устойчивого развития: Уч.пос. / С.А.Дятлов - М.:НИЦ ИНФРА-М,2024 - 185 с.(ВО)(О)</t>
  </si>
  <si>
    <t>ОСНОВЫ КОНЦЕПЦИИ УСТОЙЧИВОГО РАЗВИТИЯ</t>
  </si>
  <si>
    <t>Дятлов С.А.</t>
  </si>
  <si>
    <t>978-5-16-019079-2</t>
  </si>
  <si>
    <t>Рекомендовано в качестве учебного пособия для студентов высших учебных заведений, обучающихся по направлениям подготовки 38.03.01 «Экономика», 05.03.06 «Экология и природопользование» (квалификация (степень) «бакалавр»)</t>
  </si>
  <si>
    <t>676794.04.01</t>
  </si>
  <si>
    <t>Основы корпоративных финансов: Уч.пос. / А.Ю.Рыманов - М.:НИЦ ИНФРА-М,2023 - 150 с.(ВО)(О)</t>
  </si>
  <si>
    <t>ОСНОВЫ КОРПОРАТИВНЫХ ФИНАНСОВ</t>
  </si>
  <si>
    <t>978-5-16-013614-1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</si>
  <si>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38.04.08 «Финансы и кредит» (квалификация (степень) «магистр»)</t>
  </si>
  <si>
    <t>393500.08.01</t>
  </si>
  <si>
    <t>Основы криминал. психологии: Уч.пос. / В.В.Собольников, - 2 изд.-М.:Вуз. уч., НИЦ ИНФРА-М,2024.-366 с.(П)</t>
  </si>
  <si>
    <t>ОСНОВЫ КРИМИНАЛЬНОЙ ПСИХОЛОГИИ, ИЗД.2</t>
  </si>
  <si>
    <t>978-5-9558-0458-3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</si>
  <si>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40.03.00 «Юриспруденция» (квалификация (степень) «бакалавр») (протокол № 6 от 25.03.2019)</t>
  </si>
  <si>
    <t>473750.06.01</t>
  </si>
  <si>
    <t>Основы кросс-культурной коммуник. и менед.: Уч.пос./ Л.М.Гальчук - М.: Вуз. уч.: НИЦ ИНФРА-М, 2025 - 240с. (п)</t>
  </si>
  <si>
    <t>ОСНОВЫ КРОСС-КУЛЬТУРНОЙ КОММУНИКАЦИИ И МЕНЕДЖМЕНТА: ПРАКТИЧЕСКИЙ КУРС=ESSENTIALS OF CROSS-CULTURALCOMMUNICATION AND MANAGMENY: A PRACTICAL COURSE</t>
  </si>
  <si>
    <t>978-5-9558-0387-6</t>
  </si>
  <si>
    <t>05.04.05, 25.03.03, 38.03.02, 38.04.02, 41.03.01, 41.03.04, 41.03.05, 41.03.06, 41.04.01, 41.04.04, 41.04.05, 42.03.01, 42.03.02, 42.04.01, 42.04.02, 43.03.01, 43.03.02, 43.03.03, 43.04.01, 43.04.02, 43.04.03, 44.03.05, 45.03.02, 45.03.03, 45.03.04, 45.04.02, 45.04.03, 45.04.04, 51.03.01, 51.04.01</t>
  </si>
  <si>
    <t>723224.03.01</t>
  </si>
  <si>
    <t>Основы латинского языка с мед. терминологией: Уч.пос. / О.Г.Купцова - М.:НИЦ ИНФРА-М,2024-281 с(СПО)(П)</t>
  </si>
  <si>
    <t>ОСНОВЫ ЛАТИНСКОГО ЯЗЫКА С МЕДИЦИНСКОЙ ТЕРМИНОЛОГИЕЙ</t>
  </si>
  <si>
    <t>Купцова О.Г.</t>
  </si>
  <si>
    <t>978-5-16-015823-5</t>
  </si>
  <si>
    <t>12.02.08, 31.02.01, 34.01.01, 42.02.12, 43.02.04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</si>
  <si>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31.02.00 «Клиническая медицина» (протокол № 9 от 28.09.2020)</t>
  </si>
  <si>
    <t>Марийский государственный университет</t>
  </si>
  <si>
    <t>188550.07.01</t>
  </si>
  <si>
    <t>Основы линейной алгебры и аналитической геометрии: Уч.пос. /В.Г.Шершнев-М.:НИЦ ИНФРА-М,2024-168с.(О)</t>
  </si>
  <si>
    <t>ОСНОВЫ ЛИНЕЙНОЙ АЛГЕБРЫ И АНАЛИТИЧЕСКОЙ ГЕОМЕТРИИ</t>
  </si>
  <si>
    <t>978-5-16-005479-7</t>
  </si>
  <si>
    <t>Рекомендовано в качестве учебного пособия для студентов высших учебных заведений. обучающихся по направлениям подготовки УГС 38.00.00 "Экономика и управление" (квалификация (степень) "бакалавр")</t>
  </si>
  <si>
    <t>240600.06.01</t>
  </si>
  <si>
    <t>Основы личной конкурентоспособности менеджера: Уч. пос. / С.Д.Резник - М.: ИНФРА-М, 2025 - 224 с. (ВО) (п)</t>
  </si>
  <si>
    <t>ОСНОВЫ ЛИЧНОЙ КОНКУРЕНТОСПОСОБНОСТИ МЕНЕДЖЕРА, ИЗД.2</t>
  </si>
  <si>
    <t>Резник С. Д., Сочилова А. А., Резник С. Д.</t>
  </si>
  <si>
    <t>978-5-16-009241-6</t>
  </si>
  <si>
    <t>38.03.02, 38.04.02, 41.03.06, 44.03.05</t>
  </si>
  <si>
    <t>Рекомендовано Учебно-методическим объединением вузов России по образованию в области менеджмента в качестве учебного пособия по направлению «Менеджмент»</t>
  </si>
  <si>
    <t>115300.09.01</t>
  </si>
  <si>
    <t>Основы личной конкурентоспособности: Уч. пос./ С.Д. Резник, А.А. Сочилова.-ИНФРА-М, 2022.-251с.(ВО) (п)</t>
  </si>
  <si>
    <t>ОСНОВЫ ЛИЧНОЙ КОНКУРЕНТОСПОСОБНОСТИ, ИЗД.3</t>
  </si>
  <si>
    <t>978-5-16-003702-8</t>
  </si>
  <si>
    <t>37.03.01, 37.04.01, 38.03.02, 39.03.03, 44.03.01, 45.03.02</t>
  </si>
  <si>
    <t>Рекомендовано УМО вузов России по образованию в области менеджмента в качестве учебного пособия по экономическим и управленческим специальностям</t>
  </si>
  <si>
    <t>006543.24.01</t>
  </si>
  <si>
    <t>Основы логики: Уч. / В.А.Бочаров - М.:ИД ФОРУМ, НИЦ ИНФРА-М,2024-334с.(Клас.унив.уч.)(П)</t>
  </si>
  <si>
    <t>ОСНОВЫ ЛОГИКИ</t>
  </si>
  <si>
    <t>Бочаров В.А., Маркин В.И.</t>
  </si>
  <si>
    <t>978-5-8199-0169-4</t>
  </si>
  <si>
    <t>03.04.03, 05.03.04, 40.03.01, 45.03.02, 46.03.02, 47.03.01, 47.03.02, 49.04.01, 49.04.02, 49.04.03, 50.03.01</t>
  </si>
  <si>
    <t>Рекомендован советом по философии, политологии и религиоведению УМО по классическому университетскому образованию в качестве учебника для студентов высших учебных заведений, обучающихся по гуманитарным и естественнонаучным специальностям</t>
  </si>
  <si>
    <t>095260.10.01</t>
  </si>
  <si>
    <t>Основы логистики: Уч. пос. / Б.И. Герасимов - 2 изд. - М.:Форум: НИЦ ИНФРА-М, 2025. - 304 с. (ПО)</t>
  </si>
  <si>
    <t>ОСНОВЫ ЛОГИСТИКИ, ИЗД.2</t>
  </si>
  <si>
    <t>Герасимов Б. И., Жариков В. В., Жариков В. Д.</t>
  </si>
  <si>
    <t>978-5-91134-909-7</t>
  </si>
  <si>
    <t>38.02.01, 38.02.03, 38.02.08</t>
  </si>
  <si>
    <t>142600.09.01</t>
  </si>
  <si>
    <t>Основы логического проектирования: Уч. пос. / В.Д. Колдаев. - М.: ИД ФОРУМ, 2025 - 448 с.(ВО) (п)</t>
  </si>
  <si>
    <t>ОСНОВЫ ЛОГИЧЕСКОГО ПРОЕКТИРОВАНИЯ</t>
  </si>
  <si>
    <t>Колдаев В. Д.</t>
  </si>
  <si>
    <t>978-5-8199-0458-9</t>
  </si>
  <si>
    <t>Рекомендовано Научно-метод. советом Мос. госуд. инстит. электрон. техники (Технич. универ.) в кач. учеб. пос. для студ.,обуч. по группе спец. "Прогр. обеспеч. ВТ и автоматиз. систем", "Вычисл. машины, комплексы, сист. и сети","Сист. автом. проект."</t>
  </si>
  <si>
    <t>690966.02.01</t>
  </si>
  <si>
    <t>Основы маркетинга сферы услуг: Уч.пос. / М.А.Новикова - М.:НИЦ ИНФРА-М,2023 - 192 с.(СПО)(П)</t>
  </si>
  <si>
    <t>ОСНОВЫ МАРКЕТИНГА СФЕРЫ УСЛУГ</t>
  </si>
  <si>
    <t>Новикова М.А.</t>
  </si>
  <si>
    <t>978-5-16-014501-3</t>
  </si>
  <si>
    <t>43.02.02, 43.02.16, 43.02.17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</si>
  <si>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43.02.13 «Технологии парикмахерского искусства» (протокол № 4 от 21.04.2021)</t>
  </si>
  <si>
    <t>239400.07.01</t>
  </si>
  <si>
    <t>Основы маркетинга: Уч. / Ю.Н.Егоров - 2 изд. - М.:НИЦ ИНФРА-М,2024 - 292 с.-(ВО)(п)</t>
  </si>
  <si>
    <t>ОСНОВЫ МАРКЕТИНГА, ИЗД.2</t>
  </si>
  <si>
    <t>978-5-16-019439-4</t>
  </si>
  <si>
    <t>38.03.01, 38.03.02, 38.03.06, 38.04.01, 38.04.02, 38.04.06, 41.03.06, 44.03.01, 44.03.05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</si>
  <si>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(080200.62) «Менеджмент» (квалификация (степень) "бакалавр»)</t>
  </si>
  <si>
    <t>703066.04.01</t>
  </si>
  <si>
    <t>Основы маркетинга: Уч. / Ю.Н.Егоров - 2 изд. - М.:НИЦ ИНФРА-М,2024 - 292 с.-(СПО)(п)</t>
  </si>
  <si>
    <t>978-5-16-014862-5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</si>
  <si>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</si>
  <si>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465500.03.01</t>
  </si>
  <si>
    <t>Основы мастерства публич. выступлений...: Практ. рек. / Г.С.Обухова -М:Форум,НИЦ ИНФРА-М,2019-72с(о)</t>
  </si>
  <si>
    <t>ОСНОВЫ МАСТЕРСТВА ПУБЛИЧНЫХ ВЫСТУПЛЕНИЙ, ИЛИ КАК НАУЧИТЬСЯ ВЛАДЕТЬ ЛЮБОЙ АУДИТОРИЕЙ</t>
  </si>
  <si>
    <t>Обухова Г.С., Климова Г.Л.</t>
  </si>
  <si>
    <t>978-5-00091-633-9</t>
  </si>
  <si>
    <t>38.03.01, 38.03.02, 38.03.03, 38.03.04, 38.03.05, 38.03.06, 38.03.07, 38.04.01, 38.04.02, 38.04.03, 38.04.04, 38.04.05, 38.04.06, 41.03.06, 42.03.01, 42.03.02, 42.04.01, 45.03.01, 45.04.01, 51.03.06</t>
  </si>
  <si>
    <t>465500.07.01</t>
  </si>
  <si>
    <t>Основы мастерства публичного общения...: Уч.пос. / Г.С.Обухова, - 2 изд.-М.:НИЦ ИНФРА-М,2024.-99 с.(ВО)(О)</t>
  </si>
  <si>
    <t>ОСНОВЫ МАСТЕРСТВА ПУБЛИЧНОГО ОБЩЕНИЯ: ПРАКТИЧЕСКИЕ РЕКОМЕНДАЦИИ, ИЗД.2</t>
  </si>
  <si>
    <t>978-5-16-019961-0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</si>
  <si>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2 от 17.02.2021)</t>
  </si>
  <si>
    <t>845614.02.01</t>
  </si>
  <si>
    <t>Основы мастерства публичного общения: науч.-поп. изд. / Г.С.Обухова - М.:НИЦ ИНФРА-М,2024. - 99 с. [12+](о)</t>
  </si>
  <si>
    <t>ОСНОВЫ МАСТЕРСТВА ПУБЛИЧНОГО ОБЩЕНИЯ</t>
  </si>
  <si>
    <t>978-5-16-020480-2</t>
  </si>
  <si>
    <t>38.03.05, 41.03.06, 42.03.01, 44.03.01, 51.03.06</t>
  </si>
  <si>
    <t>205400.05.01</t>
  </si>
  <si>
    <t>Основы математической статистики: Уч. / Г.А.Соколов, - 2 изд.-М.:НИЦ ИНФРА-М,2022.-368 с..-(ВО)(П)</t>
  </si>
  <si>
    <t>ОСНОВЫ МАТЕМАТИЧЕСКОЙ СТАТИСТИКИ, ИЗД.2</t>
  </si>
  <si>
    <t>Соколов Г. А.</t>
  </si>
  <si>
    <t>978-5-16-006729-2</t>
  </si>
  <si>
    <t>Рекомендовано учебно-методическим объединением по образованию в области статистики и математических методов в экономике в качестве учебника для студентов высших учебных заведений, обучающихся по направлению «Экономика»</t>
  </si>
  <si>
    <t>653013.09.01</t>
  </si>
  <si>
    <t>Основы материаловедения: Уч. для СПО / А.А.Черепахин - М.:КУРС, НИЦ ИНФРА-М,2024 - 240 с.(П)</t>
  </si>
  <si>
    <t>ОСНОВЫ МАТЕРИАЛОВЕДЕНИЯ</t>
  </si>
  <si>
    <t>978-5-906923-12-7</t>
  </si>
  <si>
    <t>15.01.04, 15.01.08, 15.01.13, 15.01.24, 15.01.25, 15.01.26, 15.01.27, 15.01.28, 15.01.30, 15.01.35, 15.01.37, 15.01.38, 15.02.04</t>
  </si>
  <si>
    <t>113100.10.01</t>
  </si>
  <si>
    <t>Основы международной статистики: Уч. / Под общ. ред. Ю.Н.Иванова. - М.:НИЦ Инфра-М,2025 - 621с.(ВО) (п)</t>
  </si>
  <si>
    <t>ОСНОВЫ МЕЖДУНАРОДНОЙ СТАТИСТИКИ</t>
  </si>
  <si>
    <t>Иванов Ю. Н.</t>
  </si>
  <si>
    <t>978-5-16-003641-0</t>
  </si>
  <si>
    <t>Рекомендовано УМО по классическому университетскому образованию в качестве учебника по дисциплине регионального (вузовского) компонента «Статистика» для студентов высших учебных заведений, обучающихся по направлению 080100 «Экономика»</t>
  </si>
  <si>
    <t>361100.09.01</t>
  </si>
  <si>
    <t>Основы менеджмента: Уч. / А.П.Егоршин, - 3 изд.-М.:НИЦ ИНФРА-М,2024.-350 с.(ВО)(п)</t>
  </si>
  <si>
    <t>ОСНОВЫ МЕНЕДЖМЕНТА, ИЗД.3</t>
  </si>
  <si>
    <t>Егоршин А.П.</t>
  </si>
  <si>
    <t>978-5-16-019171-3</t>
  </si>
  <si>
    <t>Рекомендовано Советом Учебно-методического объединения вузов России по образованию в области менеджмента в качестве учебника по направлениям 38.03.02 «Менеджмент» и 38.03.03 «Управление персоналом»</t>
  </si>
  <si>
    <t>086670.13.01</t>
  </si>
  <si>
    <t>Основы менеджмента: Уч.пос. / А.П. Балашов. - 2 изд. - М.: Вуз. уч.: ИНФРА-М,2024 - 288с. (п)</t>
  </si>
  <si>
    <t>ОСНОВЫ МЕНЕДЖМЕНТА, ИЗД.2</t>
  </si>
  <si>
    <t>Балашов А. П.</t>
  </si>
  <si>
    <t>978-5-9558-0267-1</t>
  </si>
  <si>
    <t>38.03.01, 38.03.02, 38.03.06, 38.03.07, 38.03.10</t>
  </si>
  <si>
    <t>Рекомендовано Учебно-методическим объединением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t>
  </si>
  <si>
    <t>094540.11.01</t>
  </si>
  <si>
    <t>Основы менеджмента: Уч.пос. / В.И.Королев - М.:Магистр, НИЦ ИНФРА-М,2024-624с.(Бакалавриат)(П)</t>
  </si>
  <si>
    <t>ОСНОВЫ МЕНЕДЖМЕНТА</t>
  </si>
  <si>
    <t>Королев В.И.</t>
  </si>
  <si>
    <t>978-5-9776-0040-8</t>
  </si>
  <si>
    <t>38.00.00, 38.03.02, 44.03.05</t>
  </si>
  <si>
    <t>Допущено Советом Учебно-методического объединения вузов России по образованию в области менеджмента в качестве учебного пособия для студентов, проходящих обучение по направлению "Менеджмент"</t>
  </si>
  <si>
    <t>815345.02.01</t>
  </si>
  <si>
    <t>Основы менеджмента: Уч.пос. / Я.Ю.Радюкова и др. - М.:НИЦ ИНФРА-М,2025. - 297 с.(СПО)(п)</t>
  </si>
  <si>
    <t>Радюкова Я.Ю., Беспалов М.В., Абдукаримов В.И. и др.</t>
  </si>
  <si>
    <t>978-5-16-019219-2</t>
  </si>
  <si>
    <t>11.02.12, 12.02.03, 29.02.05, 35.02.12, 38.02.01, 38.02.02, 38.02.03, 38.02.06, 38.02.07, 38.02.08, 39.02.02</t>
  </si>
  <si>
    <t>646265.05.01</t>
  </si>
  <si>
    <t>Основы менеджмента: Уч.пос. / Я.Ю.Радюкова.-М.:НИЦ ИНФРА-М,2024.-297 с.(ВО)(п)</t>
  </si>
  <si>
    <t>978-5-16-018795-2</t>
  </si>
  <si>
    <t>00.03.13, 00.05.13, 10.03.01, 10.04.01, 15.03.01, 15.04.01, 20.03.01, 38.03.01, 38.03.02, 38.04.01, 38.04.02, 42.03.01, 43.03.01, 43.04.01</t>
  </si>
  <si>
    <t>Рекомендовано в качестве учебного пособия для студентов высших учебных заведений, обучающихся по направлениям подготовки 38.03.02 «Менеджмент», 38.03.01 «Экономика» (квалификация (степень) «бакалавр»)</t>
  </si>
  <si>
    <t>838037.01.01</t>
  </si>
  <si>
    <t>Основы местного самоуправления в РФ: Уч. / Е.С.Шугрина. - М.:Юр. НОРМА, НИЦ ИНФРА-М,2025. - 456 с.(п)</t>
  </si>
  <si>
    <t>ОСНОВЫ МЕСТНОГО САМОУПРАВЛЕНИЯ В РОССИЙСКОЙ ФЕДЕРАЦИИ</t>
  </si>
  <si>
    <t>Шугрина Е.С., Тепляков Д.О., Теплякова О.А. и др.</t>
  </si>
  <si>
    <t>978-5-00156-387-7</t>
  </si>
  <si>
    <t>38.03.04, 38.04.04, 40.03.01, 40.04.01, 46.03.02</t>
  </si>
  <si>
    <t>480300.13.01</t>
  </si>
  <si>
    <t>Основы металловедения и сварки: Уч.пос. / М.Д.Мосесов, - 2 изд. - М.:НИЦ ИНФРА-М,2025. - 158 с.(ВО)(п)</t>
  </si>
  <si>
    <t>ОСНОВЫ МЕТАЛЛОВЕДЕНИЯ И СВАРКИ, ИЗД.2</t>
  </si>
  <si>
    <t>Мосесов М.Д.</t>
  </si>
  <si>
    <t>978-5-16-018565-1</t>
  </si>
  <si>
    <t>08.03.01, 08.04.01, 08.05.01, 15.03.01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</si>
  <si>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2 от 17.02.2021)</t>
  </si>
  <si>
    <t>480300.06.01</t>
  </si>
  <si>
    <t>Основы металловедения и сварки: Уч.пос. / М.Д.Мосесов-М.:Форум, НИЦ ИНФРА-М,2020-128с(ВО(О)</t>
  </si>
  <si>
    <t>ОСНОВЫ МЕТАЛЛОВЕДЕНИЯ И СВАРКИ</t>
  </si>
  <si>
    <t>978-5-00091-624-7</t>
  </si>
  <si>
    <t>Рекомендовано в качестве учебного пособия для студентов высших учебных заведений, обучающихся по специальностям 08.06.01 «Техника и технология строительства», 08.04.01 «Строительство» и 05.23.01 «Строительные конструкции, здания и сооружения»</t>
  </si>
  <si>
    <t>420100.09.01</t>
  </si>
  <si>
    <t>Основы металловедения: Уч. / Ю.М.Лахтин - М.:НИЦ ИНФРА-М,2024 - 272 с.(СПО)(П)</t>
  </si>
  <si>
    <t>ОСНОВЫ МЕТАЛЛОВЕДЕНИЯ</t>
  </si>
  <si>
    <t>Лахтин Ю. М.</t>
  </si>
  <si>
    <t>978-5-16-004714-0</t>
  </si>
  <si>
    <t>15.01.36, 15.02.16, 15.02.19, 22.02.08, 26.02.04</t>
  </si>
  <si>
    <t>Рекомендуется в качестве учебника для студентов средних профессиональных учебных заведений, обучающихся по металлургическим и машиностроительным специальностям</t>
  </si>
  <si>
    <t>488600.09.01</t>
  </si>
  <si>
    <t>Основы методик  дошк.  обр.: Уч.пос. / О.Н.Анцыпирович - М.:НИЦ ИНФРА-М,2023 - 390 с.-(ВО)(п)</t>
  </si>
  <si>
    <t>ОСНОВЫ МЕТОДИК  ДОШКОЛЬНОГО  ОБРАЗОВАНИЯ</t>
  </si>
  <si>
    <t>Анцыпирович О.Н., Горбатова Е.В., Дубинина Д.Н. и др.</t>
  </si>
  <si>
    <t>978-5-16-018949-9</t>
  </si>
  <si>
    <t>44.03.01, 44.03.02, 44.03.04, 44.03.05</t>
  </si>
  <si>
    <t>101400.11.01</t>
  </si>
  <si>
    <t>Основы методики социологич. исслед.: Уч. пос. / Е.П. Тавокин. - М.:ИНФРА-М, 2024. - 239 с. (п)</t>
  </si>
  <si>
    <t>ОСНОВЫ МЕТОДИКИ СОЦИОЛОГИЧЕСКОГО ИССЛЕДОВАНИЯ</t>
  </si>
  <si>
    <t>Тавокин Е. П.</t>
  </si>
  <si>
    <t>978-5-16-003473-7</t>
  </si>
  <si>
    <t>Рекомендовано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"Социология"</t>
  </si>
  <si>
    <t>272500.05.01</t>
  </si>
  <si>
    <t>Основы метрологии, сертификации и стандарт.: Уч.пос./Д.Д.Грибанов-М.:НИЦ ИНФРА-М,2019-127с-(ВО)(О)</t>
  </si>
  <si>
    <t>ОСНОВЫ МЕТРОЛОГИИ, СЕРТИФИКАЦИИ И СТАНДАРТИЗАЦИИ</t>
  </si>
  <si>
    <t>Грибанов Д.Д.</t>
  </si>
  <si>
    <t>978-5-16-009677-3</t>
  </si>
  <si>
    <t>27.03.01</t>
  </si>
  <si>
    <t>Рекомендовано в качестве учебного пособия для студентов высших учебных заведений, обучающихся по направлению подготовки 27.03.01 «Стандартизация и метрология» (квалификация (степень) «бакалавр»)</t>
  </si>
  <si>
    <t>272500.07.01</t>
  </si>
  <si>
    <t>Основы метрологии, стандартизации и...: Уч.пос. / Д.Д.Грибанов - 2 изд. - М.:НИЦ ИНФРА-М,2025. - 140 с.(ВО)(п)</t>
  </si>
  <si>
    <t>ОСНОВЫ МЕТРОЛОГИИ, СТАНДАРТИЗАЦИИ И СЕРТИФИКАЦИИ, ИЗД.2</t>
  </si>
  <si>
    <t>978-5-16-017829-5</t>
  </si>
  <si>
    <t>186250.11.01</t>
  </si>
  <si>
    <t>Основы механики: Уч.пос. / С.Ф.Яцун и др. - 2 изд. - М.:НИЦ ИНФРА-М,2025 - 248 с.(ВО: Бакалавр.)(П)</t>
  </si>
  <si>
    <t>ОСНОВЫ МЕХАНИКИ, ИЗД.2</t>
  </si>
  <si>
    <t>Яцун С.Ф., Локтионова О.Г., Мищенко В.Я. и др.</t>
  </si>
  <si>
    <t>978-5-16-012872-6</t>
  </si>
  <si>
    <t>Допущено Учебным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22.03.01 «Материаловедение и технологии материалов»</t>
  </si>
  <si>
    <t>478450.07.01</t>
  </si>
  <si>
    <t>Основы микробиологии и эколог. биотехн.: Уч.пос. / Б.С.Ксенофонтов - М.:ИД ФОРУМ,НИЦ ИНФРА-М,2025-221с.(ВО)(П)</t>
  </si>
  <si>
    <t>ОСНОВЫ МИКРОБИОЛОГИИ И ЭКОЛОГИЧЕСКОЙ БИОТЕХНОЛОГИИ</t>
  </si>
  <si>
    <t>978-5-8199-0615-6</t>
  </si>
  <si>
    <t>05.03.06, 19.03.01, 20.03.01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</si>
  <si>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«Техносферная безопасность» (квалификация (степень) «бакалавр»)</t>
  </si>
  <si>
    <t>089600.12.01</t>
  </si>
  <si>
    <t>Основы микробиологии: Уч. / К.А.Мудрецова-Висс - 5 изд.-М.:ИД Форум, НИЦ ИНФРА-М,2024.-384 с.(ВО)(п)</t>
  </si>
  <si>
    <t>ОСНОВЫ МИКРОБИОЛОГИИ, ИЗД.5</t>
  </si>
  <si>
    <t>Мудрецова-Висс К.А., Дедюхина В.П., Масленникова Е.В.</t>
  </si>
  <si>
    <t>978-5-8199-0909-6</t>
  </si>
  <si>
    <t>38.03.06, 38.04.06, 38.04.07, 44.03.05</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</si>
  <si>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«Товароведение и экспертиза товаров»</t>
  </si>
  <si>
    <t>720388.03.01</t>
  </si>
  <si>
    <t>Основы микробиологии: Уч. / К.А.Мудрецова-Висс - 5 изд.-М.:ИД ФОРУМ, НИЦ ИНФРА-М,2024-384 с.(СПО)(П)</t>
  </si>
  <si>
    <t>978-5-8199-0904-1</t>
  </si>
  <si>
    <t>18.01.01, 18.01.34, 19.01.18, 19.01.19, 19.02.10, 19.02.11, 19.02.12, 19.02.13, 19.02.15, 20.02.01, 31.02.01, 31.02.02, 31.02.05, 31.02.06, 32.02.01, 33.02.01, 34.02.01, 35.01.16, 35.01.23, 35.01.24, 35.01.27, 35.02.05, 35.02.09, 35.02.10, 36.01.05, 36.02.01, 36.02.03, 43.01.04, 43.01.09, 35.01.34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</si>
  <si>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43.02.15 «Поварское и кондитерское дело» (протокол № 12 от 24.06.2019)</t>
  </si>
  <si>
    <t>349500.05.01</t>
  </si>
  <si>
    <t>Основы моделирования в САПР NX: Уч.пос. / А.О.Бутко - 2 изд. - М.:НИЦ ИНФРА-М,2025. - 199 с.(ВО)(П)</t>
  </si>
  <si>
    <t>ОСНОВЫ МОДЕЛИРОВАНИЯ В САПР NX, ИЗД.2</t>
  </si>
  <si>
    <t>Бутко А.О., Прудников В.А., Цырков Г.А.</t>
  </si>
  <si>
    <t>978-5-16-010847-6</t>
  </si>
  <si>
    <t>09.03.01, 15.03.03, 16.03.03, 24.03.01</t>
  </si>
  <si>
    <t>Рекомендовано в качестве учебного пособия для студентов высших учебных заведений, обучающихся по направлению подготовки 09.03.01 «Информатика и вычислительная техника»</t>
  </si>
  <si>
    <t>781905.01.01</t>
  </si>
  <si>
    <t>Основы надежности машин: Уч.пос. / С.Ю.Журавлев-М.:НИЦ ИНФРА-М,2023.-251 с.(ВО: Бакалавр. (КрГАУ))(п)</t>
  </si>
  <si>
    <t>ОСНОВЫ НАДЕЖНОСТИ МАШИН</t>
  </si>
  <si>
    <t>Журавлев С.Ю.</t>
  </si>
  <si>
    <t>978-5-16-018236-0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</si>
  <si>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по направлению подготовки 35.03.06 «Агроинженерия»</t>
  </si>
  <si>
    <t>226600.15.01</t>
  </si>
  <si>
    <t>Основы науч. исслед. (Общ. курс): Уч.пос. / В.В.Космин, - 5 изд. - М.:ИЦ РИОР, НИЦ ИНФРА-М,2024. - 298 с(ВО)(п)</t>
  </si>
  <si>
    <t>ОСНОВЫ НАУЧНЫХ ИССЛЕДОВАНИЙ (ОБЩИЙ КУРС), ИЗД.5</t>
  </si>
  <si>
    <t>Космин В.В., Космин А.В.</t>
  </si>
  <si>
    <t>978-5-369-01901-6</t>
  </si>
  <si>
    <t>226600.06.01</t>
  </si>
  <si>
    <t>Основы научных исслед. (Общ.курс): Уч.пос. / В.В.Космин - 3 изд.-М.:ИЦ РИОР,НИЦ ИНФРА-М,2017-227с(О)</t>
  </si>
  <si>
    <t>ОСНОВЫ НАУЧНЫХ ИССЛЕДОВАНИЙ (ОБЩИЙ КУРС), ИЗД.3</t>
  </si>
  <si>
    <t>Космин В. В.</t>
  </si>
  <si>
    <t>978-5-369-01464-6</t>
  </si>
  <si>
    <t>813206.01.01</t>
  </si>
  <si>
    <t>Основы научных исслед. в агрономии: Прак.: Уч.пос. / А.А.Белоусов-М.:НИЦ ИНФРА-М,2024.-180 с.(ВО)(п)</t>
  </si>
  <si>
    <t>ОСНОВЫ НАУЧНЫХ ИССЛЕДОВАНИЙ В АГРОНОМИИ: ПРАКТИКУМ</t>
  </si>
  <si>
    <t>Белоусов А.А., Белоусова Е.Н.</t>
  </si>
  <si>
    <t>978-5-16-019483-7</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</si>
  <si>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35.03.04 «Агрономия»</t>
  </si>
  <si>
    <t>226600.11.01</t>
  </si>
  <si>
    <t>Основы научных исследований (Общий курс): Уч.пос. / В.В.Космин-4 изд.-М.:ИЦ РИОР,НИЦ ИНФРА-М,2021-238с(П)</t>
  </si>
  <si>
    <t>ОСНОВЫ НАУЧНЫХ ИССЛЕДОВАНИЙ (ОБЩИЙ КУРС), ИЗД.4</t>
  </si>
  <si>
    <t>Космин В.В.</t>
  </si>
  <si>
    <t>978-5-369-01753-1</t>
  </si>
  <si>
    <t>438450.08.01</t>
  </si>
  <si>
    <t>Основы научных исследований в горном деле: Уч. пос. / В.И.Голик - М.:НИЦ ИНФРА-М,2025. - 119 с.(ВО: Магистр.)(О)</t>
  </si>
  <si>
    <t>ОСНОВЫ НАУЧНЫХ ИССЛЕДОВАНИЙ В ГОРНОМ ДЕЛЕ</t>
  </si>
  <si>
    <t>Голик В. И.</t>
  </si>
  <si>
    <t>978-5-16-006747-6</t>
  </si>
  <si>
    <t>00.03.16, 00.04.16, 21.05.04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</si>
  <si>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«Горное дело» направления подготовки «Горное дело»</t>
  </si>
  <si>
    <t>Северо-Кавказский горно-металлургический институт (государственный технологический университет)</t>
  </si>
  <si>
    <t>743891.05.01</t>
  </si>
  <si>
    <t>Основы научных исследований: Уч. / Л.Е.Басовский - М.:НИЦ ИНФРА-М,2025 - 257 с.(ВО)(п)</t>
  </si>
  <si>
    <t>ОСНОВЫ НАУЧНЫХ ИССЛЕДОВАНИЙ</t>
  </si>
  <si>
    <t>978-5-16-019525-4</t>
  </si>
  <si>
    <t>00.03.13, 38.03.01, 38.03.02, 38.03.03, 38.03.04, 38.03.05, 38.03.06, 38.03.07, 38.04.01, 38.04.02, 38.04.03, 38.04.04, 38.04.05, 38.04.06, 38.04.07, 38.04.08, 38.04.09, 38.05.01, 38.05.02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</si>
  <si>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38.00.00 «Экономика и управление» (квалификация (степень) «бакалавр») (протокол № 8 от 20.10.2021)</t>
  </si>
  <si>
    <t>116600.15.01</t>
  </si>
  <si>
    <t>Основы научных исследований: Уч.пос. / Б.И.Герасимов - 2 изд. - М.:Форум, НИЦ ИНФРА-М,2025. - 271 с.(ВО)(П)</t>
  </si>
  <si>
    <t>ОСНОВЫ НАУЧНЫХ ИССЛЕДОВАНИЙ, ИЗД.2</t>
  </si>
  <si>
    <t>Герасимов Б.И., Дробышева В.В., Злобина Н.В. и др.</t>
  </si>
  <si>
    <t>978-5-00091-444-1</t>
  </si>
  <si>
    <t>00.03.16, 00.05.16, 38.03.02, 38.04.02</t>
  </si>
  <si>
    <t>795715.02.01</t>
  </si>
  <si>
    <t>Основы научных исследований: Уч.пос.-М.:НИЦ ИНФРА-М,2023.-167 с.(ВО: Бакалавриат (СФУ))(п)</t>
  </si>
  <si>
    <t>Сафронова Т.Н., Тимофеева А.М., Камоза Т.Л.</t>
  </si>
  <si>
    <t>978-5-16-018082-3</t>
  </si>
  <si>
    <t>43.03.03, 43.04.03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</si>
  <si>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6 от 08.06.2022)</t>
  </si>
  <si>
    <t>364600.06.01</t>
  </si>
  <si>
    <t>Основы нац. безопасности: Уч.пос. / А.И.Овчинников - 3 изд.-М.:ИЦ РИОР, НИЦ ИНФРА-М,2024.-228 с.(ВО)(п)</t>
  </si>
  <si>
    <t>ОСНОВЫ НАЦИОНАЛЬНОЙ БЕЗОПАСНОСТИ, ИЗД.3</t>
  </si>
  <si>
    <t>Овчинников А.И., Мамычев А.Ю., Баранов П.П.</t>
  </si>
  <si>
    <t>978-5-369-01960-3</t>
  </si>
  <si>
    <t>02.03.03, 38.03.01, 38.03.03, 38.03.04, 40.03.01, 40.04.01, 40.05.01, 40.05.02, 40.05.03, 40.05.04, 41.03.04, 41.03.05, 41.03.06, 41.04.04, 44.03.01, 44.03.05, 46.04.02, 47.03.01, 50.04.04, 51.04.04</t>
  </si>
  <si>
    <t>Рекомендовано Федеральным государственным казенным образовательным учреждением высшего профессионального образования «Московский университет МВД России имени В.Я. Кикотя» в качестве учебного пособия для образовательных организаций, реализующих образо</t>
  </si>
  <si>
    <t>Российская академия народного хозяйства и государственной службы при Президенте РФ, ф-л Южно-Российский институт управления</t>
  </si>
  <si>
    <t>056500.13.01</t>
  </si>
  <si>
    <t>Основы нац.счетоводства: Уч. / Под ред. Иванова Ю.Н., - 2 изд.-М.:НИЦ ИНФРА-М,2023.- 399 с.(П)</t>
  </si>
  <si>
    <t>ОСНОВЫ НАЦИОНАЛЬНОГО СЧЕТОВОДСТВА (МЕЖДУНАРОДНЫЙ СТАНДАРТ СНС 2008 Г.), ИЗД.2</t>
  </si>
  <si>
    <t>Иванов Ю. Н., Казаринова С. Е., Карасева Л. А., Иванов Ю. Н.</t>
  </si>
  <si>
    <t>978-5-16-005594-7</t>
  </si>
  <si>
    <t>Рекомендовано Научно-метод. советом по экономике УМО по клас. универс. обр. в качестве учебника для студ. вузов, обуч. по направлению 521600 "Экономика" и специальностям 060100  "Экон. теория" и 061800 "Математические методы анализа экономики"</t>
  </si>
  <si>
    <t>056500.12.01</t>
  </si>
  <si>
    <t>Основы национального счетоводства: Уч. / Под ред. Иванова Ю.Н., - 3 изд.-М.:НИЦ ИНФРА-М,2024.-323 с.(ВО)(п)</t>
  </si>
  <si>
    <t>ОСНОВЫ НАЦИОНАЛЬНОГО СЧЕТОВОДСТВА (МЕЖДУНАРОДНЫЙ СТАНДАРТ), ИЗД.3</t>
  </si>
  <si>
    <t>Иванов Ю.Н., Воскобойников И.Б., Казаринова С.Е. и др.</t>
  </si>
  <si>
    <t>978-5-16-018280-3</t>
  </si>
  <si>
    <t>364600.07.01</t>
  </si>
  <si>
    <t>Основы национальной безоп.: Уч.пос. / А.И.Овчинников- 2 изд.-М.:ИЦ РИОР,НИЦ ИНФРА-М,2024-224с(ВО)(П)</t>
  </si>
  <si>
    <t>ОСНОВЫ НАЦИОНАЛЬНОЙ БЕЗОПАСНОСТИ, ИЗД.2</t>
  </si>
  <si>
    <t>978-5-369-01592-6</t>
  </si>
  <si>
    <t>306700.06.01</t>
  </si>
  <si>
    <t>Основы начертательной геометрии. Кратк. курс.: Уч.пос. / Г.В.Буланже - М.:КУРС, НИЦ ИНФРА-М,2025 - 144с.(О)</t>
  </si>
  <si>
    <t>ОСНОВЫ НАЧЕРТАТЕЛЬНОЙ ГЕОМЕТРИИ.КРАТКИЙ КУРС И СБОРНИК ЗАДАЧ.</t>
  </si>
  <si>
    <t>Буланже Г.В., Гущин И.А., Гончарова В.А.</t>
  </si>
  <si>
    <t>978-5-905554-79-7</t>
  </si>
  <si>
    <t>07.02.01, 15.03.01, 15.03.02, 15.03.04, 15.03.05, 15.04.01, 15.04.02, 15.04.04, 15.04.05, 15.05.01</t>
  </si>
  <si>
    <t>297700.08.01</t>
  </si>
  <si>
    <t>Основы нефтегазовой геоэкологии: Уч.пос. / Ю.И.Пиковский - 2 изд., -М.:НИЦ ИНФРА-М,2023.-414 с.(П)</t>
  </si>
  <si>
    <t>ОСНОВЫ НЕФТЕГАЗОВОЙ ГЕОЭКОЛОГИИ, ИЗД.2</t>
  </si>
  <si>
    <t>Пиковский Ю.И., Исмаилов Н.М., Дорохова М.Ф. и др.</t>
  </si>
  <si>
    <t>978-5-16-018858-4</t>
  </si>
  <si>
    <t>Допущено Учебно-методическим объединением вузов РФ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05.03.06 «Экология и природопользование»</t>
  </si>
  <si>
    <t>297700.05.01</t>
  </si>
  <si>
    <t>Основы нефтегазовой геоэкологии: Уч.пос. / Ю.И.Пиковский -М.:НИЦ ИНФРА-М,2022.-401 с.(ВО)(П)</t>
  </si>
  <si>
    <t>ОСНОВЫ НЕФТЕГАЗОВОЙ ГЕОЭКОЛОГИИ</t>
  </si>
  <si>
    <t>978-5-16-010112-5</t>
  </si>
  <si>
    <t>Допущено Учебно-методическим объединением вузов РФ по классическому университетскому образованию в качестве учебного пособия для студентов высших учебных заведений, обучающихся по направлению 05.03.06 «Экология и природопользование»</t>
  </si>
  <si>
    <t>641457.03.01</t>
  </si>
  <si>
    <t>Основы обеспечения качества: Уч.пос. / М.В.Самсонова-М.:НИЦ ИНФРА-М,2024-303с.(ВО) (П)</t>
  </si>
  <si>
    <t>ОСНОВЫ ОБЕСПЕЧЕНИЯ КАЧЕСТВА</t>
  </si>
  <si>
    <t>Самсонова М.В.</t>
  </si>
  <si>
    <t>978-5-16-019922-1</t>
  </si>
  <si>
    <t>27.03.02</t>
  </si>
  <si>
    <t>Рекомендовано в качестве учебного пособия для студентов высших учебных заведений, обучающихся по направлениям подготовки 27.03.02 «Управление качеством», 38.03.02 «Менеджмент», 38.03.03 «Управление персоналом» (квалификация (степень) «бакалавр»)</t>
  </si>
  <si>
    <t>079150.19.01</t>
  </si>
  <si>
    <t>Основы общей психологии: Уч. / Н.С.Ефимова - М.:ИД Форум, НИЦ ИНФРА-М,2025. - 288 с.-(СПО)(п)</t>
  </si>
  <si>
    <t>ОСНОВЫ ОБЩЕЙ ПСИХОЛОГИИ</t>
  </si>
  <si>
    <t>Ефимова Н.С.</t>
  </si>
  <si>
    <t>978-5-8199-0702-3</t>
  </si>
  <si>
    <t>37.00.00, 44.00.00, 00.01.04, 00.02.15, 05.02.01, 05.02.03, 07.02.01, 08.02.01, 08.02.02, 08.02.03, 08.02.04, 08.02.08, 08.02.09, 08.02.13, 08.02.14, 09.02.03, 09.02.07, 11.02.15, 11.02.16, 12.02.09, 12.02.10, 13.02.01, 13.02.02, 13.02.04, 13.02.05, 13.02.07, 13.02.08, 13.02.09, 13.02.12, 13.02.13, 14.02.01, 14.02.02, 15.02.10, 15.02.16, 15.02.18, 18.02.07, 18.02.09, 18.02.12, 18.02.13, 18.02.14, 19.02.11, 20.02.01, 20.02.03, 21.02.12, 22.02.08, 23.02.01, 23.02.03, 23.02.04, 23.02.06, 23.02.07, 25.02.01, 25.02.02, 25.02.05, 25.02.07, 25.02.08, 25.02.09, 26.02.02, 26.02.03, 26.02.04, 26.02.05, 26.02.06, 27.02.03, 27.02.06, 27.02.07, 29.01.09, 29.01.33, 29.02.08, 29.02.11, 31.02.01, 31.02.02, 31.02.03, 31.02.04, 32.02.01, 33.02.01, 34.02.01, 34.02.02, 35.02.05, 35.02.10, 35.02.18, 36.02.01, 38.02.01, 38.02.06, 38.02.07, 38.02.08, 39.02.01, 40.02.04, 42.02.08, 42.02.12, 43.02.04, 43.02.15, 43.02.16, 43.02.17, 44.02.01, 44.02.02, 44.02.03, 44.02.04, 44.02.05, 44.02.06, 46.02.01, 46.02.02, 49.02.01, 49.02.02, 50.02.01, 51.02.02, 51.02.03, 52.02.01, 52.02.02, 52.02.03, 52.02.04, 52.02.05, 53.02.01, 53.02.02, 53.02.03, 53.02.04, 53.02.05, 53.02.07, 53.02.08, 54.02.01, 54.02.04, 54.02.06, 54.02.07, 49.02.03</t>
  </si>
  <si>
    <t>292400.09.01</t>
  </si>
  <si>
    <t>Основы общей химии: Уч.пос. / В.И.Елфимов - 2 изд. - М.:НИЦ ИНФРА-М,2024 - 256 с.(ВО: Бакалавриат)</t>
  </si>
  <si>
    <t>ОСНОВЫ ОБЩЕЙ ХИМИИ, ИЗД.2</t>
  </si>
  <si>
    <t>Елфимов В.И.</t>
  </si>
  <si>
    <t>978-5-16-010066-1</t>
  </si>
  <si>
    <t>04.03.01, 04.03.02, 04.05.01, 31.05.01, 31.05.02, 31.05.03, 33.05.01</t>
  </si>
  <si>
    <t>186050.12.01</t>
  </si>
  <si>
    <t>Основы общей экологии: Уч.пос. / П.А.Волкова - М.:Форум,2025. - 128 с.(О)</t>
  </si>
  <si>
    <t>ОСНОВЫ ОБЩЕЙ ЭКОЛОГИИ</t>
  </si>
  <si>
    <t>Волкова П. А.</t>
  </si>
  <si>
    <t>978-5-91134-632-4</t>
  </si>
  <si>
    <t>Рекомендовано кафедрой экологического образования и устойчивого развития Московского института открытого образования в качестве учебного пособия для учеников старших профильных классов.</t>
  </si>
  <si>
    <t>Институт биологии внутренних вод им. И.Д. Папанина Российской академии наук</t>
  </si>
  <si>
    <t>684805.03.01</t>
  </si>
  <si>
    <t>Основы общей экологии: Уч.пос. / П.А.Волкова-М.:Форум, НИЦ ИНФРА-М,2023.-126 с..-(СПО)(О)</t>
  </si>
  <si>
    <t>Волкова П.А.</t>
  </si>
  <si>
    <t>978-5-00091-587-5</t>
  </si>
  <si>
    <t>00.02.37, 05.01.01, 05.02.01, 05.02.02, 05.02.03</t>
  </si>
  <si>
    <t>Рекомендовано Учебно-методическим советом СПО в качестве учебного пособия для студентов учебных заведений, реализующих основную программу среднего профессионального образования на базе основного общего образования</t>
  </si>
  <si>
    <t>463800.08.01</t>
  </si>
  <si>
    <t>Основы объемного гидропривода и его упр.: Уч.пос. / С.И.Корнюшенко-М.:НИЦ ИНФРА-М,2024.-338 с.(СПО)(П)</t>
  </si>
  <si>
    <t>ОСНОВЫ ОБЪЕМНОГО ГИДРОПРИВОДА И ЕГО УПРАВЛЕНИЯ</t>
  </si>
  <si>
    <t>Корнюшенко С.И.</t>
  </si>
  <si>
    <t>978-5-16-011527-6</t>
  </si>
  <si>
    <t>15.02.01, 15.02.03, 15.02.04, 15.02.10, 15.02.17, 15.02.18, 23.02.02, 24.02.01</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</si>
  <si>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учреждений среднего специального образования, обучающихся по направлению 15.02.03 «Техническая эксплуатация гидравлических машин, гидроприводов и гидропневмоавтоматики»</t>
  </si>
  <si>
    <t>787438.01.01</t>
  </si>
  <si>
    <t>Основы овощеводства: Уч.пос. / Ю.В.Горяников - М.:НИЦ ИНФРА-М,2025. - 271 с.(ВО)(п)</t>
  </si>
  <si>
    <t>ОСНОВЫ ОВОЩЕВОДСТВА</t>
  </si>
  <si>
    <t>Горяников Ю.В.</t>
  </si>
  <si>
    <t>978-5-16-019619-0</t>
  </si>
  <si>
    <t>766909.01.01</t>
  </si>
  <si>
    <t>Основы онтологии: Уч.пос. / Б.И.Липский-М.:НИЦ ИНФРА-М,2024.- 315 с..(ВО)(п)</t>
  </si>
  <si>
    <t>ОСНОВЫ ОНТОЛОГИИ</t>
  </si>
  <si>
    <t>978-5-16-017555-3</t>
  </si>
  <si>
    <t>46.03.01, 47.03.01, 47.04.01, 51.03.01</t>
  </si>
  <si>
    <t>708724.07.01</t>
  </si>
  <si>
    <t>Основы орг. внеуроч. занятий шк. по уч. предметам: Уч.пос. / В.И.Казаренков - 2 изд. - М.:НИЦ ИНФРА-М,2023-231с(П)</t>
  </si>
  <si>
    <t>ОСНОВЫ ОРГАНИЗАЦИИ ВНЕУРОЧНЫХ ЗАНЯТИЙ ШКОЛЬНИКОВ ПО УЧЕБНЫМ ПРЕДМЕТАМ, ИЗД.2</t>
  </si>
  <si>
    <t>Казаренков В.И.</t>
  </si>
  <si>
    <t>978-5-16-015267-7</t>
  </si>
  <si>
    <t>44.02.02, 44.02.03, 44.02.04, 44.02.05, 44.02.06, 54.02.06</t>
  </si>
  <si>
    <t>698373.04.01</t>
  </si>
  <si>
    <t>Основы орг. внеурочных занятий шк...: Уч.пос. / В.И.Казаренков - 2 изд.-М.:НИЦ ИНФРА-М,2024.-152с(П)</t>
  </si>
  <si>
    <t>978-5-16-019080-8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</si>
  <si>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2 от 28.01.2019)</t>
  </si>
  <si>
    <t>818329.01.01</t>
  </si>
  <si>
    <t>Основы организации и управления в строительстве: Уч./ Р.А.Попов - М.:НИЦ ИНФРА-М,2025 - 327 с.(ВО)(п)</t>
  </si>
  <si>
    <t>ОСНОВЫ ОРГАНИЗАЦИИ И УПРАВЛЕНИЯ В СТРОИТЕЛЬСТВЕ</t>
  </si>
  <si>
    <t>Попов Р.А.</t>
  </si>
  <si>
    <t>978-5-16-019535-3</t>
  </si>
  <si>
    <t>099800.07.01</t>
  </si>
  <si>
    <t>Основы организации муниципального упр.: Уч.пос. / С.Ю.Наумов-2 изд.-М.:Форум,НИЦ ИНФРА-М,2023-375с.(ВО)(П)</t>
  </si>
  <si>
    <t>ОСНОВЫ ОРГАНИЗАЦИИ МУНИЦИПАЛЬНОГО УПРАВЛЕНИЯ, ИЗД.2</t>
  </si>
  <si>
    <t>Наумов С.Ю., Ведяева Е.С., Гребенникова А.А.</t>
  </si>
  <si>
    <t>978-5-00091-681-0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</si>
  <si>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 13 от 16.09.2019)</t>
  </si>
  <si>
    <t>700114.01.01</t>
  </si>
  <si>
    <t>Основы организации работы с молодежью: Уч.пос. / И.В.Волосков-М.:НИЦ ИНФРА-М,2023.-175 с.(ВО)(п)</t>
  </si>
  <si>
    <t>ОСНОВЫ ОРГАНИЗАЦИИ РАБОТЫ С МОЛОДЕЖЬЮ</t>
  </si>
  <si>
    <t>Волосков И.В.</t>
  </si>
  <si>
    <t>978-5-16-014982-0</t>
  </si>
  <si>
    <t>38.03.04, 39.03.01, 39.03.03, 39.04.02</t>
  </si>
  <si>
    <t>Национальный гуманитарный институт социального управления</t>
  </si>
  <si>
    <t>800506.01.01</t>
  </si>
  <si>
    <t>Основы организации судебной власти в РФ: Уч.пос. / И.Г.Смирнова-М.:НИЦ ИНФРА-М,2024.-207 с.(ВО)(п)</t>
  </si>
  <si>
    <t>ОСНОВЫ ОРГАНИЗАЦИИ СУДЕБНОЙ ВЛАСТИ В РОССИЙСКОЙ ФЕДЕРАЦИИ</t>
  </si>
  <si>
    <t>Смирнова И.Г., Литвинцева Н.Ю.</t>
  </si>
  <si>
    <t>978-5-16-018655-9</t>
  </si>
  <si>
    <t>723018.02.01</t>
  </si>
  <si>
    <t>Основы организации труда в цифровых экосистемах: Уч.пос. / Е.А.Савельева-М.:НИЦ ИНФРА-М,2024-297с.(ВО)(п)</t>
  </si>
  <si>
    <t>ОСНОВЫ ОРГАНИЗАЦИИ ТРУДА В ЦИФРОВЫХ ЭКОСИСТЕМАХ</t>
  </si>
  <si>
    <t>978-5-16-019524-7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</si>
  <si>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38.03.03 «Управление персоналом» (квалификация (степень) «бакалавр») (протокол № 6 от 08.06.2022)</t>
  </si>
  <si>
    <t>Научно-исследовательский институт труда и социального развития</t>
  </si>
  <si>
    <t>802089.02.01</t>
  </si>
  <si>
    <t>Основы отраслевого стратегирования: Уч.пос. / Н.И.Сасаев-М.:НИЦ ИНФРА-М,2024.-212 с..-(ВО:Магистр)(п)</t>
  </si>
  <si>
    <t>ОСНОВЫ ОТРАСЛЕВОГО СТРАТЕГИРОВАНИЯ</t>
  </si>
  <si>
    <t>Сасаев Н.И.</t>
  </si>
  <si>
    <t>978-5-16-018473-9</t>
  </si>
  <si>
    <t>693177.08.01</t>
  </si>
  <si>
    <t>Основы парикмахерского дела: Уч.пос. / И.С.Тундалева - М.:НИЦ ИНФРА-М,2025 - 155 с.(СПО)(П)</t>
  </si>
  <si>
    <t>ОСНОВЫ ПАРИКМАХЕРСКОГО ДЕЛА</t>
  </si>
  <si>
    <t>978-5-16-014802-1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</si>
  <si>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43.02.02 «Парикмахерское искусство» (протокол № 17 от 11.11.2019)</t>
  </si>
  <si>
    <t>Челябинский многопрофильный институт</t>
  </si>
  <si>
    <t>641405.07.01</t>
  </si>
  <si>
    <t>Основы патентоведения: Уч.пос. / Под ред. Кравченко И.Н. - М.:НИЦ ИНФРА-М,2025 - 252 с.(ВО:Магистр.)(П)</t>
  </si>
  <si>
    <t>ОСНОВЫ ПАТЕНТОВЕДЕНИЯ</t>
  </si>
  <si>
    <t>Кравченко И.Н., Корнеев В.М., Коломейченко А.В. и др.</t>
  </si>
  <si>
    <t>978-5-16-012331-8</t>
  </si>
  <si>
    <t>27.04.07, 35.04.06, 35.04.08</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</si>
  <si>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осваивающих образовательные программы магистратуры по направлению подготовки 35.04.06 «Агроинженерия»</t>
  </si>
  <si>
    <t>742746.04.01</t>
  </si>
  <si>
    <t>Основы патологии: Уч. / А.И.Тюкавин - М.:НИЦ ИНФРА-М,2025. - 344 с.(СПО)(п)</t>
  </si>
  <si>
    <t>ОСНОВЫ ПАТОЛОГИИ</t>
  </si>
  <si>
    <t>Тюкавин А.И.</t>
  </si>
  <si>
    <t>978-5-16-016832-6</t>
  </si>
  <si>
    <t>31.02.01, 31.02.02, 31.02.03, 32.02.01, 33.02.01, 34.02.01, 44.02.04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</si>
  <si>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33.02.01 «Фармация» (протокол № 6 от 16.06.2021)</t>
  </si>
  <si>
    <t>657345.07.01</t>
  </si>
  <si>
    <t>Основы патопсихологии: Уч. / А.П.Бизюк - 2 изд. - М.:НИЦ ИНФРА-М,2025 - 660 с.-(ВО)(п)</t>
  </si>
  <si>
    <t>ОСНОВЫ ПАТОПСИХОЛОГИИ, ИЗД.2</t>
  </si>
  <si>
    <t>978-5-16-018602-3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</si>
  <si>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подготовки 37.03.00 «Психологические науки», 44.03.00 «Образование и педагогические науки» (квалификация (степень) «бакалавр») (протокол № 8 от 22.06.2020)</t>
  </si>
  <si>
    <t>749782.04.01</t>
  </si>
  <si>
    <t>Основы патопсихологии: Уч./ А.П.Бизюк, - 2 изд. - М.:НИЦ ИНФРА-М,2025. - 660 с.(ВО: Специалитет)(П)</t>
  </si>
  <si>
    <t>978-5-16-016701-5</t>
  </si>
  <si>
    <t>31.05.01, 31.06.01, 37.05.01, 37.05.02, 40.05.03, 44.05.01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</si>
  <si>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направлениям подготовки 37.05.00 «Психологические науки» (квалификация (степень) «клинический психолог») (протокол № 8 от 22.06.2020)</t>
  </si>
  <si>
    <t>ПО5</t>
  </si>
  <si>
    <t>632398.04.01</t>
  </si>
  <si>
    <t>Основы педагогики: Уч. / Под ред. Галагузова М.А.-М.:НИЦ ИНФРА-М,2023.-272 с..-(ВО)(п)</t>
  </si>
  <si>
    <t>ОСНОВЫ ПЕДАГОГИКИ</t>
  </si>
  <si>
    <t>Дорохова Т.С., Верхотурова Ю.А., Галагузова М.А. и др.</t>
  </si>
  <si>
    <t>978-5-16-018663-4</t>
  </si>
  <si>
    <t>44.03.01, 44.03.02, 44.03.03, 44.03.04, 44.03.05</t>
  </si>
  <si>
    <t>Рекомендовано Учебно-методическим советом ВО в качестве учебника для студентов высших учебных заведений, обучающихся по укрупненной группе специальностей 44.00.00 «Образование и педагогические науки»</t>
  </si>
  <si>
    <t>395100.09.01</t>
  </si>
  <si>
    <t>Основы педагогического мастерства: Уч. / И.П.Андриади - 2 изд. - М.:НИЦ ИНФРА-М,2024 - 209 с.(ВО)(П)</t>
  </si>
  <si>
    <t>ОСНОВЫ ПЕДАГОГИЧЕСКОГО МАСТЕРСТВА, ИЗД.2</t>
  </si>
  <si>
    <t>Андриади И.П.</t>
  </si>
  <si>
    <t>978-5-16-018494-4</t>
  </si>
  <si>
    <t>44.03.01, 44.03.02, 44.03.03, 44.03.04, 44.03.05, 44.04.01, 44.04.02, 44.04.03, 44.04.04</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</si>
  <si>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44.03.05 «Педагогическое образование (с двумя профилями подготовки)» (квалификация (степень) «бакалавр»)</t>
  </si>
  <si>
    <t>091500.14.01</t>
  </si>
  <si>
    <t>Основы педагогического мастерства: Уч.пос. / В.А.Скакун - 2 изд. - М.:Форум, НИЦ ИНФРА-М,2025 - 208 с.(СПО)(П)</t>
  </si>
  <si>
    <t>Скакун В.А.</t>
  </si>
  <si>
    <t>978-5-00091-724-4</t>
  </si>
  <si>
    <t>44.02.01, 44.02.02, 44.02.03, 44.02.05, 49.02.01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</si>
  <si>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12 от 24.06.2019)</t>
  </si>
  <si>
    <t>796831.01.01</t>
  </si>
  <si>
    <t>Основы подготовки электротехнич. персонала: прак.: Уч.пос. / А.В.Бастрон-М.:НИЦ ИНФРА-М,2023.-153 с.(п)</t>
  </si>
  <si>
    <t>ОСНОВЫ ПОДГОТОВКИ ЭЛЕКТРОТЕХНИЧЕСКОГО ПЕРСОНАЛА: ПРАКТИКУМ</t>
  </si>
  <si>
    <t>Бастрон А.В., Бастрон Т.Н., Зубова Р.А.</t>
  </si>
  <si>
    <t>978-5-16-018348-0</t>
  </si>
  <si>
    <t>Рекомендовано Федеральным УМО по сельскому, лесному и рыбному хозяйству для использования в учебном процессе при подготовке бакалавров по направлению «Агроинженерия»</t>
  </si>
  <si>
    <t>667544.03.01</t>
  </si>
  <si>
    <t>Основы получения отливок из сплав. на основе железа: Уч.пос. / А.И.Булгако-2-изд.-М.:НИЦ ИНФРА-М,СФУ,2023-219с.</t>
  </si>
  <si>
    <t>ОСНОВЫ ПОЛУЧЕНИЯ ОТЛИВОК ИЗ СПЛАВОВ НА ОСНОВЕ ЖЕЛЕЗА, ИЗД.2</t>
  </si>
  <si>
    <t>Булгакова А.И., Гильманшина Т.Р., Баранов В.Н. и др.</t>
  </si>
  <si>
    <t>978-5-16-013221-1</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</si>
  <si>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подготовки 22.03.02 «Металлургия»</t>
  </si>
  <si>
    <t>665205.10.01</t>
  </si>
  <si>
    <t>Основы постр. радиолокац. станций радиотехнич. войск: Уч. / В.Н.Тяпкин. - М.:НИЦ ИНФРА-М, СФ,2025. - 536 с.(П)</t>
  </si>
  <si>
    <t>ОСНОВЫ ПОСТРОЕНИЯ РАДИОЛОКАЦИОННЫХ СТАНЦИЙ РАДИОТЕХНИЧЕСКИХ ВОЙСК</t>
  </si>
  <si>
    <t>Тяпкин В.Н., Фомин А.Н., Гарин Е.Н. и др.</t>
  </si>
  <si>
    <t>978-5-16-016364-2</t>
  </si>
  <si>
    <t>11.03.01, 11.04.01, 11.05.01, 11.05.02, 56.04.03, 56.04.04</t>
  </si>
  <si>
    <t>Допущено Министерством обороны Российской Федерации в качестве учебника для студентов военных кафедр обучающихся по военно-учетной специальности «Эксплуатация и ремонт радиолокационных комплексов противовоздушной обороны Военно-воздушных сил»</t>
  </si>
  <si>
    <t>082400.17.01</t>
  </si>
  <si>
    <t>Основы построения автомат. информ. систем: Уч./ В.А.Гвоздева - М.:ИД ФОРУМ, НИЦ ИНФРА-М,2025-318 с.(СПО)(П)</t>
  </si>
  <si>
    <t>ОСНОВЫ ПОСТРОЕНИЯ АВТОМАТИЗИРОВАННЫХ ИНФОРМАЦИОННЫХ СИСТЕМ</t>
  </si>
  <si>
    <t>Гвоздева В. А., Лаврентьева И. Ю.</t>
  </si>
  <si>
    <t>978-5-8199-0705-4</t>
  </si>
  <si>
    <t>09.02.01, 09.02.02, 09.02.03, 09.02.04, 09.02.05, 09.02.07, 11.02.15</t>
  </si>
  <si>
    <t>747738.01.01</t>
  </si>
  <si>
    <t>Основы права. Практикум: Уч.пос. / С.В.Корнакова.-М.:НИЦ ИНФРА-М,2023.-264 с.(СПО)(П)</t>
  </si>
  <si>
    <t>ОСНОВЫ ПРАВА. ПРАКТИКУМ</t>
  </si>
  <si>
    <t>Корнакова С.В., Корягина С.А., Литвинцева Н.Ю. и др.</t>
  </si>
  <si>
    <t>978-5-16-017264-4</t>
  </si>
  <si>
    <t>00.02.08, 08.02.03, 08.02.08, 14.02.01, 15.02.03, 20.02.01, 25.02.01, 25.02.04, 26.02.04, 31.02.01, 31.02.06, 38.02.03, 39.02.02, 44.02.06, 49.02.01, 54.02.01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</si>
  <si>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неюридическим специальностям (протокол № 6 от 08.06.2022)</t>
  </si>
  <si>
    <t>375600.07.01</t>
  </si>
  <si>
    <t>Основы права: Уч. / М.Б.Смоленский - М.:ИЦ РИОР, НИЦ ИНФРА-М,2023 - 308 с.(ПО)(П)</t>
  </si>
  <si>
    <t>ОСНОВЫ ПРАВА</t>
  </si>
  <si>
    <t>Смоленский М.Б., Маркина Е.В.</t>
  </si>
  <si>
    <t>978-5-369-01441-7</t>
  </si>
  <si>
    <t>00.02.08</t>
  </si>
  <si>
    <t>301200.07.01</t>
  </si>
  <si>
    <t>Основы права: Уч. / Под ред. В.Б. Исакова. - М.: Норма:  НИЦ ИНФРА-М, 2023-480с.(П)</t>
  </si>
  <si>
    <t>Исаков В. Б.</t>
  </si>
  <si>
    <t>978-5-91768-532-8</t>
  </si>
  <si>
    <t>00.03.08, 00.05.08, 40.05.01, 40.05.02, 40.05.03, 40.05.04</t>
  </si>
  <si>
    <t>128900.09.01</t>
  </si>
  <si>
    <t>Основы права: Уч. / Под ред. Епихина А.Ю., - 2 изд.-М.:Альфа-М, НИЦ ИНФРА-М,2023.-400 с.(П)</t>
  </si>
  <si>
    <t>ОСНОВЫ ПРАВА, ИЗД.2</t>
  </si>
  <si>
    <t>Ахметьянова З.А., Воронцова О.В., Вотчель Н.Р. и др.</t>
  </si>
  <si>
    <t>978-5-98281-343-5</t>
  </si>
  <si>
    <t>08.02.14, 38.02.01, 38.02.02, 38.02.03, 38.02.06, 38.02.07, 38.02.08, 39.02.01, 39.02.02, 42.02.01, 43.02.16</t>
  </si>
  <si>
    <t>Рек.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 учреждений, реализ. программы среднего профессионального образования неюридического профиля</t>
  </si>
  <si>
    <t>243600.07.01</t>
  </si>
  <si>
    <t>Основы правового регулирования застройки земель: монография / Е.С.Болтанова, - 2-е изд.-М.:ИЦ РИОР, НИЦ ИНФРА-М,2024.-287 с..-(Науч.мысль)(о)</t>
  </si>
  <si>
    <t>ОСНОВЫ ПРАВОВОГО РЕГУЛИРОВАНИЯ ЗАСТРОЙКИ ЗЕМЕЛЬ, ИЗД.2</t>
  </si>
  <si>
    <t>978-5-369-01958-0</t>
  </si>
  <si>
    <t>07.03.04, 07.04.04, 08.05.01, 40.03.01, 40.04.01</t>
  </si>
  <si>
    <t>138850.10.01</t>
  </si>
  <si>
    <t>Основы правовой информатики и информатиз...: Уч.пос. / В.М.Казиев. - 2 изд. - М.:Вуз.уч.,ИНФРА-М, 2025 - 336 с.(п)</t>
  </si>
  <si>
    <t>ОСНОВЫ ПРАВОВОЙ ИНФОРМАТИКИ И ИНФОРМАТИЗАЦИИ ПРАВОВЫХ СИСТЕМ, ИЗД.2</t>
  </si>
  <si>
    <t>Казиев В. М., Казиев К. В., Казиева Б. В.</t>
  </si>
  <si>
    <t>978-5-9558-0494-1</t>
  </si>
  <si>
    <t>02.03.02, 02.03.03, 09.03.01, 09.03.02, 09.03.03, 09.03.04, 40.03.01</t>
  </si>
  <si>
    <t>Рекомендовано в качестве учебного пособия для студентов высших учебных заведений, обучающихся по направлению поготовки 09.03.02 «Информационные системы и технологии»</t>
  </si>
  <si>
    <t>Кабардино-Балкарский государственный университет им. Х.М. Бербекова</t>
  </si>
  <si>
    <t>411250.07.01</t>
  </si>
  <si>
    <t>Основы правовой политики: Уч.пос./ А.В.Малько - 2 изд. - М.:ИЦ РИОР, НИЦ ИНФРА-М,2025 - 170 с.(ВО)</t>
  </si>
  <si>
    <t>ОСНОВЫ ПРАВОВОЙ ПОЛИТИКИ, ИЗД.2</t>
  </si>
  <si>
    <t>Малько А.В., Саломатин А.Ю.</t>
  </si>
  <si>
    <t>978-5-369-01376-2</t>
  </si>
  <si>
    <t>Рекомендовано в качестве учебного пособия для студентов высших учебных заведений, обучающихся по направлению «Юриспруденция» (квалификация (степень) — магистр)</t>
  </si>
  <si>
    <t>649110.04.01</t>
  </si>
  <si>
    <t>Основы православной педагог.псих.: Уч.пос. / Под ред. Шишова С.Е.-2 изд.-М.:НИЦ ИНФРА-М,2023-210с(П)</t>
  </si>
  <si>
    <t>ОСНОВЫ ПРАВОСЛАВНОЙ ПЕДАГОГИЧЕСКОЙ ПСИХОЛОГИИ, ИЗД.2</t>
  </si>
  <si>
    <t>Кондратьев С.В., Кондратьева О.В., Шишов С.Е. и др.</t>
  </si>
  <si>
    <t>978-5-16-012690-6</t>
  </si>
  <si>
    <t>37.03.01, 44.03.01, 44.03.02, 44.03.05, 48.03.01, 48.04.01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</si>
  <si>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37.03.01 «Психология», 44.03.02 «Психолого-педагогическое образование» (квалификация (степень) «бакалавр»)</t>
  </si>
  <si>
    <t>689838.04.01</t>
  </si>
  <si>
    <t>Основы прагмалингвистики: Уч. / Г.Г.Матвеева-М.:НИЦ ИНФРА-М,2023.-205 с.(ВО)(п)</t>
  </si>
  <si>
    <t>ОСНОВЫ ПРАГМАЛИНГВИСТИКИ</t>
  </si>
  <si>
    <t>Матвеева Г.Г.</t>
  </si>
  <si>
    <t>978-5-16-018941-3</t>
  </si>
  <si>
    <t>45.03.01, 45.03.02, 45.04.01, 45.04.02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</si>
  <si>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лингвистическим и филологическим направлениям подготовки (квалификация (степень) «бакалавр») (протокол № 4 от 13.04.2022)</t>
  </si>
  <si>
    <t>158750.11.01</t>
  </si>
  <si>
    <t>Основы предприним. деят.: содерж. деят., кач-ва..: Уч.пос. / С.Д.Резник - 4 изд. - ИНФРА-М, 2024-224с(ВО)</t>
  </si>
  <si>
    <t>ОСНОВЫ ПРЕДПРИНИМАТЕЛЬСКОЙ ДЕЯТЕЛЬНОСТИ: СОДЕРЖАНИЕ ДЕЯТЕЛЬНОСТИ, КАЧЕСТВА И КОМПЕТЕНЦИИ, ПРОФЕССИОНАЛЬНАЯ КАРЬЕРА, ЛИЧНАЯ ОРГАНИЗАЦИЯ ПРЕДПРИНИМАТЕЛЯ, ИЗД.4</t>
  </si>
  <si>
    <t>Резник С.Д., Назарова Н.А., Глухова И.В. и др.</t>
  </si>
  <si>
    <t>978-5-16-006884-8</t>
  </si>
  <si>
    <t>213400.10.01</t>
  </si>
  <si>
    <t>Основы предпринимательской деят.: Уч. / В.Н.Наумов - 2 изд. - М.:НИЦ ИНФРА-М,2025 - 437 с.(ВО)(П)</t>
  </si>
  <si>
    <t>ОСНОВЫ ПРЕДПРИНИМАТЕЛЬСКОЙ ДЕЯТЕЛЬНОСТИ, ИЗД.2</t>
  </si>
  <si>
    <t>Наумов В.Н., Шубаева В.Г.</t>
  </si>
  <si>
    <t>978-5-16-014188-6</t>
  </si>
  <si>
    <t>38.03.01, 38.03.02, 38.03.03, 38.03.05, 38.03.06, 38.03.07, 43.03.01, 43.03.02, 43.03.03</t>
  </si>
  <si>
    <t>Рекомендовано Методическим советом федерального государственного бюджетного образовательного учреждения высшего образования «Санкт-Петербургский государственный экономический университет» в качестве учебника для студентов, обучающихся по направлениям подготовки 38.03.01 «Экономика», 38.03.02 «Менеджмент», 38.03.06 «Торговое дело», 43.03.01 «Сервис» (квалификация (степень) «бакалавр»)</t>
  </si>
  <si>
    <t>126500.16.01</t>
  </si>
  <si>
    <t>Основы предпринимательской деят.: Уч.пос. / Т.М.Голубева - 2 изд. - М.:Форум,НИЦ ИНФРА-М,2024 - 256 с.(ПО)(п)</t>
  </si>
  <si>
    <t>Голубева Т. М.</t>
  </si>
  <si>
    <t>978-5-91134-857-1</t>
  </si>
  <si>
    <t>126500.18.01</t>
  </si>
  <si>
    <t>Основы предпринимательской деят.: Уч.пос. / Т.М.Голубева - 3 изд. - М.:НИЦ ИНФРА-М,2025 - 288 с.(СПО)(п)</t>
  </si>
  <si>
    <t>ОСНОВЫ ПРЕДПРИНИМАТЕЛЬСКОЙ ДЕЯТЕЛЬНОСТИ, ИЗД.3</t>
  </si>
  <si>
    <t>978-5-16-018148-6</t>
  </si>
  <si>
    <t>213400.03.01</t>
  </si>
  <si>
    <t>Основы предпринимательской деятельности: Уч. / В.Н.Наумов - М.:НИЦ ИНФРА-М,2018.-313 с..-(ВО)(П)</t>
  </si>
  <si>
    <t>ОСНОВЫ ПРЕДПРИНИМАТЕЛЬСКОЙ ДЕЯТЕЛЬНОСТИ</t>
  </si>
  <si>
    <t>Наумов В. Н.</t>
  </si>
  <si>
    <t>978-5-16-006877-0</t>
  </si>
  <si>
    <t>Рекомендовано Научно-методическим советом Санкт-Петербургского государственного экономического университета в качестве учебника для студентов высших учебных заведений, обучающихся по направлениям подготовки 100100 «Сервис» и 100700 «Торговое дело» (с</t>
  </si>
  <si>
    <t>321600.07.01</t>
  </si>
  <si>
    <t>Основы предпринимательской деятельности: Уч. / С.Д.Резник -М.:НИЦ ИНФРА-М,2024-287с.(ВО:Бакалавриат)(п)</t>
  </si>
  <si>
    <t>С.Д.Резник, А.В.Глухова, А.Е.Черницов</t>
  </si>
  <si>
    <t>978-5-16-010473-7</t>
  </si>
  <si>
    <t>Рекомендовано Советом Учебно-методического объединения вузов России по образованию в области менеджмента к использованию для организации учебного процесса в высших учебных заведениях</t>
  </si>
  <si>
    <t>053650.12.01</t>
  </si>
  <si>
    <t>Основы прикл. антропологии и биомеханики: Уч. пос. / Л.П.Шершнева - 2 изд. - М.:ИД ФОРУМ,2025 - 160 с.(ВО) (п)</t>
  </si>
  <si>
    <t>ОСНОВЫ ПРИКЛАДНОЙ АНТРОПОЛОГИИ И БИОМЕХАНИКИ, ИЗД.2</t>
  </si>
  <si>
    <t>Шершнева Л. П., Пирязева Т. В., Ларькина Л. В.</t>
  </si>
  <si>
    <t>978-5-8199-0472-5</t>
  </si>
  <si>
    <t>29.03.01, 29.03.05, 29.04.05</t>
  </si>
  <si>
    <t>Допущено Министерством образования РФ в качестве учеб. пособия для студентов вузов, обуч. по специальности  "Конструирование швейных изделий" напр. подгот. диплом. специалистов "Технология и конструир. изделий легк. промышленности"</t>
  </si>
  <si>
    <t>736686.02.01</t>
  </si>
  <si>
    <t>Основы приклад. антропологии и биомеханики: Уч.пос. / Л.П.Шершнева - 2 изд.-М.:ИД Форум, НИЦ ИНФРА-М,2024.-160с(П)</t>
  </si>
  <si>
    <t>Шершнева Л.П., Пирязева Т.В., Ларькина Л.В.</t>
  </si>
  <si>
    <t>978-5-8199-0915-7</t>
  </si>
  <si>
    <t>29.02.10, 49.02.01, 49.02.02, 49.02.03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</si>
  <si>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19 от 09.12.2019)</t>
  </si>
  <si>
    <t>738657.05.01</t>
  </si>
  <si>
    <t>Основы приклад. и матем. лингвистики: Уч.пос. / Т.М.Надеина - М.:Юр.Норма, НИЦ ИНФРА-М,2025. - 152 с.(П)</t>
  </si>
  <si>
    <t>ОСНОВЫ ПРИКЛАДНОЙ И МАТЕМАТИЧЕСКОЙ ЛИНГВИСТИКИ</t>
  </si>
  <si>
    <t>Надеина Т.М.</t>
  </si>
  <si>
    <t>978-5-00156-072-2</t>
  </si>
  <si>
    <t>404500.09.01</t>
  </si>
  <si>
    <t>Основы природопользования: Уч.пос. / И.Ю.Григорьева - М.:НИЦ ИНФРА-М,2024 - 336 с.(ВО)(п)</t>
  </si>
  <si>
    <t>ОСНОВЫ ПРИРОДОПОЛЬЗОВАНИЯ</t>
  </si>
  <si>
    <t>Григорьева И. Ю.</t>
  </si>
  <si>
    <t>978-5-16-019360-1</t>
  </si>
  <si>
    <t>05.03.05, 05.03.06, 20.03.01, 20.03.02</t>
  </si>
  <si>
    <t>Рекомендовано в качестве учебного пособия для студентов высших учебных заведений обучающихся по направлению 05.03.06 "Экология и природопользование"</t>
  </si>
  <si>
    <t>684824.06.01</t>
  </si>
  <si>
    <t>Основы программир. на языке С: Уч.пос. / В.Г.Дорогов - М.:ИД ФОРУМ,НИЦ ИНФРА-М,2023 - 224 с.-(СПО)(П)</t>
  </si>
  <si>
    <t>ОСНОВЫ ПРОГРАММИРОВАНИЯ НА ЯЗЫКЕ С</t>
  </si>
  <si>
    <t>Дорогов В.Г., Дорогова Е.Г., Гагарина Л.Г.</t>
  </si>
  <si>
    <t>978-5-8199-0809-9</t>
  </si>
  <si>
    <t>09.02.03, 11.02.17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</si>
  <si>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14 от 30.09.2019)</t>
  </si>
  <si>
    <t>683030.05.01</t>
  </si>
  <si>
    <t>Основы программир.на языке Objective-C для iOS: Уч.пос. / А.В.Кузин - М.:НИЦ ИНФРА-М,2025 - 118 с.(СПО)(О)</t>
  </si>
  <si>
    <t>ОСНОВЫ ПРОГРАММИРОВАНИЯ НА ЯЗЫКЕ OBJECTIVE-C ДЛЯ IOS</t>
  </si>
  <si>
    <t>Кузин А.В., Чумакова Е.В.</t>
  </si>
  <si>
    <t>978-5-16-013986-9</t>
  </si>
  <si>
    <t>09.02.01, 09.02.02, 09.02.03, 09.02.04, 09.02.05</t>
  </si>
  <si>
    <t>631892.04.01</t>
  </si>
  <si>
    <t>Основы программирования на яз.Objective-C для iOS: Уч.пос./А.В.Кузин-М.:НИЦ ИНФРА-М,2023-118с(ВО)(о)</t>
  </si>
  <si>
    <t>978-5-16-005042-3</t>
  </si>
  <si>
    <t>02.03.02, 09.03.01, 09.03.02, 09.03.03, 09.03.04</t>
  </si>
  <si>
    <t>Рекомендовано в качестве учебного пособия для студентов высших учебных заведений, обучающихся по направлениям подготовки 09.03.04 «Программная инженерия», 09.03.01 «Информатика и вычислительная техника», 09.03.02 «Информационные системы и технологии», 09.03.03 «Прикладная информатика» (квалификация (степень) «бакалавр»)</t>
  </si>
  <si>
    <t>151650.11.01</t>
  </si>
  <si>
    <t>Основы программирования на языке С: Уч.пос. / В.Г. Дорогов - М.: ИД ФОРУМ:ИНФРА-М, 2021-224с.(ВО)</t>
  </si>
  <si>
    <t>978-5-8199-0882-2</t>
  </si>
  <si>
    <t>09.03.04, 09.04.04</t>
  </si>
  <si>
    <t>Рекомендовано Учебно-методическим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высших учебных заведений, обучающихся по направлению «Информатика и вычислительная техника» и по основной образовательной программе подготовки бакалавров «Программная инженерия»</t>
  </si>
  <si>
    <t>151650.15.01</t>
  </si>
  <si>
    <t>Основы программирования на языке С: Уч.пос./ Л.Г.Гагарина, - 2 изд.-М.:НИЦ ИНФРА-М,2025.-269 с.(ВО)(П)</t>
  </si>
  <si>
    <t>ОСНОВЫ ПРОГРАММИРОВАНИЯ НА ЯЗЫКЕ С, ИЗД.2</t>
  </si>
  <si>
    <t>Гагарина Л.Г., Дорогова Е.Г.</t>
  </si>
  <si>
    <t>978-5-16-020249-5</t>
  </si>
  <si>
    <t>845325.01.01</t>
  </si>
  <si>
    <t>Основы проектир. и разработки информ. систем: Уч.пос. / Л.Г.Гагарина - М.:НИЦ ИНФРА-М,2025. - 211 с.(СПО)(п)</t>
  </si>
  <si>
    <t>ОСНОВЫ ПРОЕКТИРОВАНИЯ И РАЗРАБОТКИ ИНФОРМАЦИОННЫХ СИСТЕМ</t>
  </si>
  <si>
    <t>Гагарина Л.Г., Шевнина Ю.С.</t>
  </si>
  <si>
    <t>978-5-16-020463-5</t>
  </si>
  <si>
    <t>08.02.01, 09.02.04, 09.02.07, 09.02.09, 09.02.10</t>
  </si>
  <si>
    <t>402650.06.01</t>
  </si>
  <si>
    <t>Основы проектир. пед. технолог.: Уч.-мет.пос./А.В.Пашкевич-3изд.-М.:ИЦ РИОР,НИЦ ИНФРА-М,2020-194с(о)</t>
  </si>
  <si>
    <t>ОСНОВЫ ПРОЕКТИРОВАНИЯ ПЕДАГОГИЧЕСКОЙ ТЕХНОЛОГИИ. ВЗАИМОСВЯЗЬ ТЕОРИИ И ПРАКТИКИ, ИЗД.3</t>
  </si>
  <si>
    <t>Пашкевич А. В.</t>
  </si>
  <si>
    <t>978-5-369-01544-5</t>
  </si>
  <si>
    <t>Средняя общеобразовательная школа №1, пгт. Пойковский, Ханты-Мансийский Автономный округ - Югра</t>
  </si>
  <si>
    <t>402650.09.01</t>
  </si>
  <si>
    <t>Основы проектир. педагогич. технологии..: Уч.мет.пос. / А.В.Пашкевич, - 4 изд.-М.:ИЦ РИОР, НИЦ ИНФРА-М,2021.-228с(О)</t>
  </si>
  <si>
    <t>ОСНОВЫ ПРОЕКТИРОВАНИЯ ПЕДАГОГИЧЕСКОЙ ТЕХНОЛОГИИ. ВЗАИМОСВЯЗЬ ТЕОРИИ И ПРАКТИКИ, ИЗД.4</t>
  </si>
  <si>
    <t>978-5-369-01864-4</t>
  </si>
  <si>
    <t>705353.04.01</t>
  </si>
  <si>
    <t>Основы проектир. технологий листовой штамповки: Уч.пос. / С.В.Сухов-М.:НИЦ ИНФРА-М,2023.-124 с (О)</t>
  </si>
  <si>
    <t>ОСНОВЫ ПРОЕКТИРОВАНИЯ ТЕХНОЛОГИЙ ЛИСТОВОЙ ШТАМПОВКИ</t>
  </si>
  <si>
    <t>Сухов С.В., Жаров М.В., Соколов А.В.</t>
  </si>
  <si>
    <t>978-5-16-015033-8</t>
  </si>
  <si>
    <t>15.02.01, 15.02.16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</si>
  <si>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6 от 06.04.2020)</t>
  </si>
  <si>
    <t>771233.05.01</t>
  </si>
  <si>
    <t>Основы проектирования баз данных: Уч.пос. / В.Н.Шитов - М.:НИЦ ИНФРА-М,2025. - 236 с.(СПО)(п)</t>
  </si>
  <si>
    <t>ОСНОВЫ ПРОЕКТИРОВАНИЯ БАЗ ДАННЫХ</t>
  </si>
  <si>
    <t>978-5-16-017461-7</t>
  </si>
  <si>
    <t>09.01.03, 09.02.01, 09.02.04, 09.02.06, 09.02.07, 09.02.09, 10.02.01, 10.02.03, 11.02.12, 51.02.03, 09.02.10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</si>
  <si>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7 от 21.09.2022)</t>
  </si>
  <si>
    <t>069900.14.01</t>
  </si>
  <si>
    <t>Основы проектирования баз данных: Уч.пос. / О.Л.Голицына - 2 изд.-М.:Форум, НИЦ ИНФРА-М,2024.-416 с.(П)</t>
  </si>
  <si>
    <t>ОСНОВЫ ПРОЕКТИРОВАНИЯ БАЗ ДАННЫХ, ИЗД.2</t>
  </si>
  <si>
    <t>Голицына О.Л., Партыка Т.Л., Попов И.И.</t>
  </si>
  <si>
    <t>978-5-91134-655-3</t>
  </si>
  <si>
    <t>09.02.01, 09.02.02, 09.02.03, 09.02.04, 09.02.05, 09.02.06, 09.02.07, 09.02.09, 10.02.01, 10.02.02, 10.02.03, 10.02.04, 10.02.05, 09.02.10</t>
  </si>
  <si>
    <t>735918.01.01</t>
  </si>
  <si>
    <t>Основы проектирования баз данных: Уч.пос./ А.В.Кузин - М.:НИЦ ИНФРА-М,2025. - 229 с.(СПО)(п)</t>
  </si>
  <si>
    <t>Кузин А.В.</t>
  </si>
  <si>
    <t>978-5-16-016312-3</t>
  </si>
  <si>
    <t>09.02.04, 09.02.06, 09.02.07, 09.02.09, 09.02.10</t>
  </si>
  <si>
    <t>777707.01.01</t>
  </si>
  <si>
    <t>Основы проектирования и разработки информ. систем: Уч.пос. / Л.Г.Гагарина-М.:НИЦ ИНФРА-М,2024.-211 с.(п)</t>
  </si>
  <si>
    <t>978-5-16-017759-5</t>
  </si>
  <si>
    <t>09.03.03, 09.03.04, 09.04.03, 09.04.04, 09.06.01, 22.04.01, 27.04.04, 27.06.01</t>
  </si>
  <si>
    <t>284600.05.01</t>
  </si>
  <si>
    <t>Основы проектирования предпр.легкой промышл.: Уч.пос. /Н.С.Тихонова - М.:Вуз.уч.,НИЦ ИНФРА-М,2022-224с(П)</t>
  </si>
  <si>
    <t>ОСНОВЫ ПРОЕКТИРОВАНИЯ ПРЕДПРИЯТИЙ ЛЕГКОЙ ПРОМЫШЛЕННОСТИ</t>
  </si>
  <si>
    <t>Тихонова Н.С., Свищев Г.А., Седляров О.И.</t>
  </si>
  <si>
    <t>978-5-9558-0375-3</t>
  </si>
  <si>
    <t>15.03.01, 15.03.02, 15.03.05, 15.04.01, 15.04.02, 15.04.05, 29.03.01, 29.03.05, 29.04.01, 29.04.05</t>
  </si>
  <si>
    <t>331100.07.01</t>
  </si>
  <si>
    <t>Основы проектирования технологий лист.штамповки: Уч.пос./С.В.Сухов-НИЦ ИНФРА-М,2023-124с.(ВО:Бак.)(О)</t>
  </si>
  <si>
    <t>С.В.Сухов, М.В.Жаров, А.В.Соколов</t>
  </si>
  <si>
    <t>978-5-16-010615-1</t>
  </si>
  <si>
    <t>22.03.02</t>
  </si>
  <si>
    <t>809505.02.01</t>
  </si>
  <si>
    <t>Основы проектной деятельности: Уч. / Под ред. Чуланова О.Л. - М.:НИЦ ИНФРА-М,2025 - 307 с.(ВО)(п)</t>
  </si>
  <si>
    <t>ОСНОВЫ ПРОЕКТНОЙ ДЕЯТЕЛЬНОСТИ</t>
  </si>
  <si>
    <t>Чуланова О.Л., Алексеева Ю.А., Гашков М.В. и др.</t>
  </si>
  <si>
    <t>978-5-16-019902-3</t>
  </si>
  <si>
    <t>803424.01.01</t>
  </si>
  <si>
    <t>Основы произв. менеджмента и бережливое производство: Уч./ Е.Ю.Сидорова - М.:НИЦ ИНФРА-М,2025 - 412 с.(ВО)(п)</t>
  </si>
  <si>
    <t>ОСНОВЫ ПРОИЗВОДСТВЕННОГО МЕНЕДЖМЕНТА И БЕРЕЖЛИВОЕ ПРОИЗВОДСТВО</t>
  </si>
  <si>
    <t>Сидорова Е.Ю., Скрябин О.О., Жагловская А.В. и др.</t>
  </si>
  <si>
    <t>978-5-16-019144-7</t>
  </si>
  <si>
    <t>757886.04.01</t>
  </si>
  <si>
    <t>Основы противодействия коррупции в РФ: Уч.пос. / С.С.Зенин - М.:Юр. НОРМА, НИЦ ИНФРА-М,2024 - 296 с.(П)</t>
  </si>
  <si>
    <t>ОСНОВЫ ПРОТИВОДЕЙСТВИЯ КОРРУПЦИИ В РОССИЙСКОЙ ФЕДЕРАЦИИ</t>
  </si>
  <si>
    <t>Зенин С.С.</t>
  </si>
  <si>
    <t>978-5-00156-181-1</t>
  </si>
  <si>
    <t>821274.01.01</t>
  </si>
  <si>
    <t>Основы противодействия коррупции: Уч.пос. / Д.А.Шаманский - М.:НИЦ ИНФРА-М,2025. - 186 с.-(ВО)(п)</t>
  </si>
  <si>
    <t>ОСНОВЫ ПРОТИВОДЕЙСТВИЯ КОРРУПЦИИ</t>
  </si>
  <si>
    <t>Шаманский Д.А.</t>
  </si>
  <si>
    <t>978-5-16-019675-6</t>
  </si>
  <si>
    <t>208800.12.01</t>
  </si>
  <si>
    <t>Основы профес. межкультурной коммуникации: Уч. / Н.В.Барышников - 2 изд. - М.:НИЦ ИНФРА-М,2025 - 348 с.(П)</t>
  </si>
  <si>
    <t>ОСНОВЫ ПРОФЕССИОНАЛЬНОЙ МЕЖКУЛЬТУРНОЙ КОММУНИКАЦИИ, ИЗД.2</t>
  </si>
  <si>
    <t>Барышников Н.В.</t>
  </si>
  <si>
    <t>978-5-16-016933-0</t>
  </si>
  <si>
    <t>37.03.01, 37.04.01, 38.03.01, 38.03.02, 38.03.03, 38.04.02, 38.04.03, 41.03.04, 41.03.05, 41.03.06, 41.04.04, 41.04.05, 42.03.01, 42.03.02, 42.04.01, 42.04.02, 45.03.01, 45.03.02, 45.04.01, 45.04.02, 51.03.01, 51.03.02</t>
  </si>
  <si>
    <t>Рекомендовано ФГБОУ ВО «Российский государственный педагогический университет имени А.И. Герцена» в качестве учебника к использованию в образовательных учреждениях, реализующих образовательные программы высшего профессионального образования по направлению подготовки «Лингвистика» (квалификация (степень) «бакалавр»)</t>
  </si>
  <si>
    <t>208800.07.01</t>
  </si>
  <si>
    <t>Основы профес. межкультурной коммуникации: Уч. / Н.В.Барышников -М.:Вуз.уч.,НИЦ ИНФРА-М,2021-368с(П)</t>
  </si>
  <si>
    <t>ОСНОВЫ ПРОФЕССИОНАЛЬНОЙ МЕЖКУЛЬТУРНОЙ КОММУНИКАЦИИ</t>
  </si>
  <si>
    <t>Барышников Н. В.</t>
  </si>
  <si>
    <t>978-5-9558-0314-2</t>
  </si>
  <si>
    <t>Рекомендовано ФГВОУ ВПО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образовательные программы высшего профессионального образования по направл</t>
  </si>
  <si>
    <t>675298.08.01</t>
  </si>
  <si>
    <t>Основы профессиологии: Уч.пос. / Э.Ф.Зеер - 2 изд. - М.:НИЦ ИНФРА-М,2025 - 205 с.(ВО: Магистр.)(П)</t>
  </si>
  <si>
    <t>ОСНОВЫ ПРОФЕССИОЛОГИИ, ИЗД.2</t>
  </si>
  <si>
    <t>Зеер Э.Ф., Сыманюк Э.Э., Зиннатова М.В.</t>
  </si>
  <si>
    <t>978-5-16-017191-3</t>
  </si>
  <si>
    <t>37.04.01, 37.05.01, 44.04.02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</si>
  <si>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«магистр») (протокол № 6 от 16.06.2021)</t>
  </si>
  <si>
    <t>Российский государственный профессионально-педагогический университет</t>
  </si>
  <si>
    <t>322600.05.01</t>
  </si>
  <si>
    <t>Основы профессиональной дидактики: Уч. пос./ П.И.Образцов-М.:Вузовский уч.:НИЦ ИНФРА-М,2023-288с (п)</t>
  </si>
  <si>
    <t>ОСНОВЫ ПРОФЕССИОНАЛЬНОЙ ДИДАКТИКИ</t>
  </si>
  <si>
    <t>Образцов П. И.</t>
  </si>
  <si>
    <t>978-5-9558-0409-5</t>
  </si>
  <si>
    <t>670834.03.01</t>
  </si>
  <si>
    <t>Основы профилактики в дерматовенерологии: Уч.пос. / М.Н.Гаджимурадов-М.:НИЦ ИНФРА-М,2023.-96с(О)</t>
  </si>
  <si>
    <t>ОСНОВЫ ПРОФИЛАКТИКИ В ДЕРМАТОВЕНЕРОЛОГИИ</t>
  </si>
  <si>
    <t>Гаджимурадов М.Н.</t>
  </si>
  <si>
    <t>978-5-16-013514-4</t>
  </si>
  <si>
    <t>31.05.01, 31.05.02, 31.05.03, 31.08.32, 32.05.01, 33.05.01</t>
  </si>
  <si>
    <t>Рекомендовано в качестве учебного пособия для студентов высших учебных заведений, обучающихся по специальности 32.05.01 «Медико-профилактическое дело» (квалификация «врач по общей гигиене»)</t>
  </si>
  <si>
    <t>671505.02.01</t>
  </si>
  <si>
    <t>Основы процес.производ.и транспорт. заклад.: Уч.пос./А.Н.Анушенков-М.:НИЦ ИНФРА-М, СФУ,2020-207с.(П)</t>
  </si>
  <si>
    <t>ОСНОВЫ ПРОЦЕССОВ ПРОИЗВОДСТВА И ТРАНСПОРТИРОВАНИЯ ЗАКЛАДОЧНЫХ СМЕСЕЙ ПРИ ПОДЗЕМНОЙ РАЗРАБОТКЕ МЕСТОРОЖДЕНИЙ ПОЛЕЗНЫХ ИСКОПАЕМЫХ</t>
  </si>
  <si>
    <t>Анушенков А.Н., Стовманенко А.Ю., Волков Е.П.</t>
  </si>
  <si>
    <t>978-5-16-013437-6</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</si>
  <si>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специальности 21.05.04 «Горное дело»</t>
  </si>
  <si>
    <t>427050.04.01</t>
  </si>
  <si>
    <t>Основы психолог.консультирования: Уч.пос. / О.О.Андронникова-М.:Вуз.уч., НИЦ ИНФРА-М,2019.-414 с.(П)</t>
  </si>
  <si>
    <t>ОСНОВЫ ПСИХОЛОГИЧЕСКОГО КОНСУЛЬТИРОВАНИЯ</t>
  </si>
  <si>
    <t>978-5-9558-0255-8</t>
  </si>
  <si>
    <t>31.05.01, 31.05.02, 37.03.01, 37.03.02, 37.04.01, 37.04.02, 37.05.01, 37.05.02, 44.03.02, 44.04.02</t>
  </si>
  <si>
    <t>154550.06.01</t>
  </si>
  <si>
    <t>Основы психологии: Уч.пос. / Э.В.Островский - М.:Вуз.уч., ИНФРА-М Изд.Дом,2017 - 268с.(П)</t>
  </si>
  <si>
    <t>ОСНОВЫ ПСИХОЛОГИИ</t>
  </si>
  <si>
    <t>978-5-9558-0202-2</t>
  </si>
  <si>
    <t>Рекомендовано РФ Научно-методическим советом по заочному экономическому  образованию в качестве учебного пособия для студентов ВУЗ, обучающихся по экономическим специальностям</t>
  </si>
  <si>
    <t>154550.10.01</t>
  </si>
  <si>
    <t>Основы психологии: Уч.пос. / Э.В.Островский, - 2 изд. - М.:Вуз. уч., НИЦ ИНФРА-М,2025. - 272 с.(П)</t>
  </si>
  <si>
    <t>ОСНОВЫ ПСИХОЛОГИИ, ИЗД.2</t>
  </si>
  <si>
    <t>978-5-9558-0563-4</t>
  </si>
  <si>
    <t>427050.11.01</t>
  </si>
  <si>
    <t>Основы психологич. консультирования: Уч.пос. / О.О.Андронникова - 2 изд. - М.:НИЦ ИНФРА-М,2025-424 с.(ВО)(П)</t>
  </si>
  <si>
    <t>ОСНОВЫ ПСИХОЛОГИЧЕСКОГО КОНСУЛЬТИРОВАНИЯ, ИЗД.2</t>
  </si>
  <si>
    <t>Андронникова О.О.</t>
  </si>
  <si>
    <t>978-5-16-020520-5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</si>
  <si>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психологическим направлениям подготовки (квалификация (степень) «магистр») (протокол № 10 от 12.10.2020)</t>
  </si>
  <si>
    <t>719275.05.01</t>
  </si>
  <si>
    <t>Основы психологич. коррекции детей и подростков: Уч.пос. / С.Н.Савинков - М.:НИЦ ИНФРА-М,2025 - 217 с.(ВО)(п)</t>
  </si>
  <si>
    <t>ОСНОВЫ ПСИХОЛОГИЧЕСКОЙ КОРРЕКЦИИ ДЕТЕЙ И ПОДРОСТКОВ</t>
  </si>
  <si>
    <t>Савинков С.Н., Барышева Е.О., Золотова В.А. и др.</t>
  </si>
  <si>
    <t>978-5-16-019885-9</t>
  </si>
  <si>
    <t>37.03.01, 44.03.02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</si>
  <si>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44.03.02 «Психолого-педагогическое образование» (квалификация (степень) «бакалавр») (протокол № 2 от 17.02.2021)</t>
  </si>
  <si>
    <t>122800.14.01</t>
  </si>
  <si>
    <t>Основы психологической безопасности: Уч.пос. / Н.С.Ефимова - М.:ИД ФОРУМ, НИЦ ИНФРА-М,2024 - 192с(ВО)(П)</t>
  </si>
  <si>
    <t>ОСНОВЫ ПСИХОЛОГИЧЕСКОЙ БЕЗОПАСНОСТИ</t>
  </si>
  <si>
    <t>978-5-8199-0843-3</t>
  </si>
  <si>
    <t>37.03.01, 44.03.01, 44.03.05, 44.04.01</t>
  </si>
  <si>
    <t>Рекомендовано Ученым Советом гуманитарного факультета РХТУ им. Д.И. Менделеева в качестве учебного пособия для студентов высших учебных заведений, обучающихся по специальности «Безопасность жизнедеятельности»</t>
  </si>
  <si>
    <t>328400.11.01</t>
  </si>
  <si>
    <t>Основы работы в Microsoft Office 2013: Уч.пос. / А.В.Кузин - М.:Форум, НИЦ ИНФРА-М,2025. - 160 с.(ВО)(о)</t>
  </si>
  <si>
    <t>ОСНОВЫ РАБОТЫ В MICROSOFT OFFICE 2013</t>
  </si>
  <si>
    <t>978-5-00091-024-5</t>
  </si>
  <si>
    <t>00.03.03, 00.05.03, 09.03.01</t>
  </si>
  <si>
    <t>805498.02.01</t>
  </si>
  <si>
    <t>Основы радиотехники и радиолокации..: Уч.пос. Ч.1 / В.Г.Золотых. - М.:НИЦ ИНФРА-М,2024. - 196 с.(ВО)(п)</t>
  </si>
  <si>
    <t>ОСНОВЫ РАДИОТЕХНИКИ И РАДИОЛОКАЦИИ: В 2 Ч., Т.1</t>
  </si>
  <si>
    <t>Золотых В.Г., Козлов Н.С., Каширин А.В. и др.</t>
  </si>
  <si>
    <t>978-5-16-019081-5</t>
  </si>
  <si>
    <t>03.04.03, 11.03.01, 11.05.01, 11.05.02, 25.05.03</t>
  </si>
  <si>
    <t>Рекомендовано экспертным советом ЧВВМУ имени П.С. Нахимова в качестве учебного пособия по дисциплине «Основы радиотехники и радиолокации» по специальностям 26.05.04 «Применение и эксплуатация технических систем надводных кораблей и подводных лодок», 27.02.04 «Автоматические системы управления». Учебное пособие может быть использовано адъюнктами, обучающимися по специальности 621 «Вооружение и военная техника»</t>
  </si>
  <si>
    <t>653165.05.01</t>
  </si>
  <si>
    <t>Основы разработки управ. решения: Уч.пос. / А.В.Барышев-М.:НИЦ ИНФРА-М,2023.-164 с.(ВО)(П)</t>
  </si>
  <si>
    <t>ОСНОВЫ РАЗРАБОТКИ УПРАВЛЕНЧЕСКОГО РЕШЕНИЯ</t>
  </si>
  <si>
    <t>Барышев А.В.</t>
  </si>
  <si>
    <t>978-5-16-017919-3</t>
  </si>
  <si>
    <t>38.03.02, 38.03.03, 38.03.04</t>
  </si>
  <si>
    <t>Рекомендовано в качестве учебного пособия для студентов  высших учебных заведений, обучающихся по направлениям подготовки 38.03.02 «Менеджмент», 38.03.04 «Государственное и муниципальное управление» (квалификация (степень) «бакалавр»)</t>
  </si>
  <si>
    <t>474300.04.01</t>
  </si>
  <si>
    <t>Основы расч. процессов получ. длинномер..: Уч. пос. / Н.Н. Загиров - 2 изд. - М.:НИЦ ИНФРА-М, 2025 - 311 с (п)</t>
  </si>
  <si>
    <t>ОСНОВЫ РАСЧЕТОВ ПРОЦЕССОВ ПОЛУЧЕНИЯ ДЛИННОМЕРНЫХ МЕТАЛЛОИЗДЕЛИЙ МЕТОДАМИ ОБРАБОТКИ МЕТАЛЛОВ ДАВЛЕНИЕМ, ИЗД.2</t>
  </si>
  <si>
    <t>Загиров Н.Н., Константинов И.Л., Иванов Е.В.</t>
  </si>
  <si>
    <t>978-5-16-011628-0</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</si>
  <si>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22.03.02 «Металлургия»</t>
  </si>
  <si>
    <t>669880.03.01</t>
  </si>
  <si>
    <t>Основы расч. процессов получ. длинномер..: Уч.пос. / Н.Н.Загиров.-М.:НИЦ ИНФРА-М. 2023-311с</t>
  </si>
  <si>
    <t>ОСНОВЫ РАСЧЕТОВ ПРОЦЕССОВ ПОЛУЧЕНИЯ ДЛИННОМЕРНЫХ МЕТАЛЛОИЗДЕЛИЙ МЕТОДАМИ ОБРАБОТКИ МЕТАЛЛОВ ДАВЛЕНИЕМ</t>
  </si>
  <si>
    <t>978-5-16-013353-9</t>
  </si>
  <si>
    <t>22.04.02, 22.06.01</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</si>
  <si>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22.04.02 «Металлургия»</t>
  </si>
  <si>
    <t>088900.11.01</t>
  </si>
  <si>
    <t>Основы рекламы.: Уч. / А.Н. Мудров. - 3 изд. - М.: Магистр:  ИНФРА-М, 2024. - 416с. (п)</t>
  </si>
  <si>
    <t>ОСНОВЫ РЕКЛАМЫ, ИЗД.3</t>
  </si>
  <si>
    <t>Мудров А. Н.</t>
  </si>
  <si>
    <t>978-5-9776-0212-9</t>
  </si>
  <si>
    <t>38.03.01, 38.03.06, 38.03.07, 38.04.01, 38.04.06, 38.04.07, 41.03.06, 42.03.01, 42.04.01</t>
  </si>
  <si>
    <t>Допущено Министерством образования и науки РФ в качестве учебника для студентов вузов, обучающихся по специальности 350700 "Реклама"</t>
  </si>
  <si>
    <t>166200.10.01</t>
  </si>
  <si>
    <t>Основы рекламы: Уч. пос. / Е.И. Мазилкина, Г.Г. Паничкина - М.: Альфа-М, 2023-240с. (ПРОФИль) (П)</t>
  </si>
  <si>
    <t>ОСНОВЫ РЕКЛАМЫ</t>
  </si>
  <si>
    <t>Мазилкина Е. И., Паничкина Г. Г., Ольхова Л. А.</t>
  </si>
  <si>
    <t>978-5-98281-271-1</t>
  </si>
  <si>
    <t>40.02.04, 42.01.01, 42.02.01, 54.02.08</t>
  </si>
  <si>
    <t>Рекомендовано ФГБОУ ВПО "Государственный университет управления"  в качестве учебного пособия для студентов среднего профессионального образования, обучающихся по спец. 070700 "Реклама"</t>
  </si>
  <si>
    <t>166200.12.01</t>
  </si>
  <si>
    <t>Основы рекламы: Уч.пос. / Е.И.Мазилкина - 2 изд. - М.:НИЦ ИНФРА-М,2025. - 240 с.(СПО)(п)</t>
  </si>
  <si>
    <t>ОСНОВЫ РЕКЛАМЫ, ИЗД.2</t>
  </si>
  <si>
    <t>Мазилкина Е.И., Паничкина Г.Г., Ольхова Л.А.</t>
  </si>
  <si>
    <t>978-5-16-019214-7</t>
  </si>
  <si>
    <t>656350.05.01</t>
  </si>
  <si>
    <t>Основы религиозной культуры и нравственности: Уч. / К.В.Воденко-М.:ИЦ РИОР, НИЦ ИНФРА-М,2024-200с(ВО)</t>
  </si>
  <si>
    <t>ОСНОВЫ РЕЛИГИОЗНОЙ КУЛЬТУРЫ И НРАВСТВЕННОСТИ</t>
  </si>
  <si>
    <t>Воденко К.В., Астапов С.Н., Корякин А.А. и др.</t>
  </si>
  <si>
    <t>978-5-369-01685-5</t>
  </si>
  <si>
    <t>37.03.01, 44.03.05, 47.03.01, 51.03.01</t>
  </si>
  <si>
    <t>382200.06.01</t>
  </si>
  <si>
    <t>Основы риторической критики: Уч.пос. / В.В.Смолененкова - М.:Форум, НИЦ ИНФРА-М,2025 - 191 с.(ВО)(о)</t>
  </si>
  <si>
    <t>ОСНОВЫ РИТОРИЧЕСКОЙ КРИТИКИ</t>
  </si>
  <si>
    <t>Смолененкова В.В.</t>
  </si>
  <si>
    <t>978-5-00091-794-7</t>
  </si>
  <si>
    <t>37.03.01, 44.03.05, 45.03.01, 45.04.01</t>
  </si>
  <si>
    <t>Рекомендовано в качестве учебного пособия для учебных курсов «История риторической аргументации в России», «Основы риторики», «Риторическая критика» в рамках магистерской программы «Общая теория языка и риторика»</t>
  </si>
  <si>
    <t>165800.18.01</t>
  </si>
  <si>
    <t>Основы робототехники: Уч.пос. / А.А.Иванов - 2 изд. - М.:НИЦ ИНФРА-М,2025 - 223 с.(ВО)(п)</t>
  </si>
  <si>
    <t>ОСНОВЫ РОБОТОТЕХНИКИ, ИЗД.2</t>
  </si>
  <si>
    <t>978-5-16-018528-6</t>
  </si>
  <si>
    <t>Допущено Учебно-методическим объединением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дипломированных специалистов 15.03.05 «Конструкторско-технологическое обеспечение машиностроительных производств», 15.03.04 «Автоматизация технологических процессов и производств» (квалификация (степень) «бакалавр»)</t>
  </si>
  <si>
    <t>697595.07.01</t>
  </si>
  <si>
    <t>Основы робототехники: Уч.пос. / А.А.Иванов - 2 изд., - М.:НИЦ ИНФРА-М,2025 - 223 с.(СПО)(п)</t>
  </si>
  <si>
    <t>978-5-16-014622-5</t>
  </si>
  <si>
    <t>12.02.04, 15.02.01, 15.02.03, 15.02.07, 15.02.09, 15.02.10, 15.02.16, 15.02.17, 15.02.18, 23.02.03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</si>
  <si>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15.02.14 «Оснащение средствами автоматизации технологических процессов и производств (по отраслям)»</t>
  </si>
  <si>
    <t>818228.01.01</t>
  </si>
  <si>
    <t>Основы Рос. государственности : Уч. / Под ред. А.Д. Гулякова. — М. : РИОР, ИНФРА-М, 2024-232 с.(СПО)(п)</t>
  </si>
  <si>
    <t>ОСНОВЫ РОССИЙСКОЙ ГОСУДАРСТВЕННОСТИ</t>
  </si>
  <si>
    <t>Саломатин А.Ю., Гошуляк В.В., Сеидов Ш.Г. и др.</t>
  </si>
  <si>
    <t>978-5-369-01952-8</t>
  </si>
  <si>
    <t>818226.02.01</t>
  </si>
  <si>
    <t>Основы рос. государственности: Уч. / Под ред. Гулякова А.Д.-М.:ИЦ РИОР, НИЦ ИНФРА-М,2024.-266 с.(ВО)(п)</t>
  </si>
  <si>
    <t>Гуляков А.Д., Саломатин А.Ю., Гошуляк В.В. и др.</t>
  </si>
  <si>
    <t>978-5-369-01946-7</t>
  </si>
  <si>
    <t>00.01.03, 00.02.04, 00.03.42, 00.05.18</t>
  </si>
  <si>
    <t>818364.03.01</t>
  </si>
  <si>
    <t>Основы российской государственности: Уч.пос. / А.Л.Панищев - М.:НИЦ ИНФРА-М,2025. - 190 с.(ВО)(п)</t>
  </si>
  <si>
    <t>978-5-16-019549-0</t>
  </si>
  <si>
    <t>00.03.42, 00.05.18</t>
  </si>
  <si>
    <t>843810.01.01</t>
  </si>
  <si>
    <t>Основы российской государственности: Уч.пос. / А.Л.Панищев - М.:НИЦ ИНФРА-М,2025. - 190 с.(СПО)(п)</t>
  </si>
  <si>
    <t>978-5-16-020405-5</t>
  </si>
  <si>
    <t>00.01.03, 00.02.04, 00.01.06, 00.02.25</t>
  </si>
  <si>
    <t>175500.08.01</t>
  </si>
  <si>
    <t>Основы русского языка: свободное понимание: Уч.пос. / С.Е.Ефимов-М.:ИЦ РИОР, НИЦ ИНФРА-М,2025.-416 с.(ВО)(п)</t>
  </si>
  <si>
    <t>ОСНОВЫ РУССКОГО ЯЗЫКА: СВОБОДНОЕ ПОНИМАНИЕ</t>
  </si>
  <si>
    <t>Ефимов С. Е.</t>
  </si>
  <si>
    <t>978-5-369-00944-4</t>
  </si>
  <si>
    <t>174100.12.01</t>
  </si>
  <si>
    <t>Основы самоменеджмента: Уч. / И.И.Исаченко - М.:НИЦ ИНФРА-М,2025 - 312 с.(ВО)(П)</t>
  </si>
  <si>
    <t>ОСНОВЫ САМОМЕНЕДЖМЕНТА</t>
  </si>
  <si>
    <t>Исаченко И.И.</t>
  </si>
  <si>
    <t>978-5-16-005304-2</t>
  </si>
  <si>
    <t>07.03.03, 19.03.04, 23.03.01, 27.03.02, 29.03.02, 35.03.03, 35.03.04, 35.03.09, 38.03.02, 38.03.04, 38.04.01, 38.04.02, 38.04.04, 44.03.05, 45.03.01, 45.03.03, 51.03.01</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</si>
  <si>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38.03.02 «Менеджмент» (квалификация (степень) «бакалавр»)</t>
  </si>
  <si>
    <t>817829.01.01</t>
  </si>
  <si>
    <t>Основы санитарно-гигиенического просвещения: Уч.пос. / В.Д.Дорофеев - М.:НИЦ ИНФРА-М,2024. - 335 с.(ВО)(п)</t>
  </si>
  <si>
    <t>ОСНОВЫ САНИТАРНО-ГИГИЕНИЧЕСКОГО ПРОСВЕЩЕНИЯ</t>
  </si>
  <si>
    <t>Дорофеев В.Д.</t>
  </si>
  <si>
    <t>978-5-16-019534-6</t>
  </si>
  <si>
    <t>31.05.01, 31.05.02, 31.05.03, 32.04.01, 32.05.01</t>
  </si>
  <si>
    <t>656762.01.01</t>
  </si>
  <si>
    <t>Основы системы качества: Уч.пос. / А.А.Афанасьев - М.:НИЦ ИНФРА-М,2025. - 270 с.(ВО)(п)</t>
  </si>
  <si>
    <t>ОСНОВЫ СИСТЕМЫ КАЧЕСТВА</t>
  </si>
  <si>
    <t>978-5-16-015016-1</t>
  </si>
  <si>
    <t>27.04.01</t>
  </si>
  <si>
    <t>248800.06.01</t>
  </si>
  <si>
    <t>Основы совр. материаловедения: Уч. / О.С.Сироткин -М.:НИЦ ИНФРА-М,2023-364 с.(ВО:Бакалавр.)(П)</t>
  </si>
  <si>
    <t>ОСНОВЫ СОВРЕМЕННОГО МАТЕРИАЛОВЕДЕНИЯ</t>
  </si>
  <si>
    <t>Сироткин О.С.</t>
  </si>
  <si>
    <t>978-5-16-009335-2</t>
  </si>
  <si>
    <t>Допущено Научно-методическим советом по материаловедению и технологии конструкционных материалов Министерства образования и науки РФ в качестве учебника для студентов высших учебных заведений, обучающихся в области техники и технолог</t>
  </si>
  <si>
    <t>Казанский государственный энергетический университет</t>
  </si>
  <si>
    <t>248800.07.01</t>
  </si>
  <si>
    <t>Основы совр. материаловедения: Уч. / О.С.Сироткин, - 2 изд.-М.:НИЦ ИНФРА-М,2024.-381 с.(ВО)(п)</t>
  </si>
  <si>
    <t>ОСНОВЫ СОВРЕМЕННОГО МАТЕРИАЛОВЕДЕНИЯ, ИЗД.2</t>
  </si>
  <si>
    <t>Сироткин О.С., Сироткин Р.О.</t>
  </si>
  <si>
    <t>978-5-16-019368-7</t>
  </si>
  <si>
    <t>704067.02.01</t>
  </si>
  <si>
    <t>Основы современного материаловедения: Уч. / О.С.Сироткин - М.:НИЦ ИНФРА-М,2023 - 364 с.(СПО)(П)</t>
  </si>
  <si>
    <t>978-5-16-014909-7</t>
  </si>
  <si>
    <t>13.02.01, 13.02.02, 13.02.07, 13.02.08, 13.02.09, 13.02.12, 13.02.13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</si>
  <si>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17 от 11.11.2019)</t>
  </si>
  <si>
    <t>828637.01.01</t>
  </si>
  <si>
    <t>Основы социального государства: Уч. / Л.О.Терновая - М.:НИЦ ИНФРА-М,2025 - 244 с.(ВО)(п)</t>
  </si>
  <si>
    <t>ОСНОВЫ СОЦИАЛЬНОГО ГОСУДАРСТВА</t>
  </si>
  <si>
    <t>978-5-16-020265-5</t>
  </si>
  <si>
    <t>38.03.04, 39.03.02, 43.03.01</t>
  </si>
  <si>
    <t>785356.02.01</t>
  </si>
  <si>
    <t>Основы социального государства: Уч.пос. / О.С.Морозова - М.:НИЦ ИНФРА-М,2025. - 152 с.(ВО)(П)</t>
  </si>
  <si>
    <t>Морозова О.С.</t>
  </si>
  <si>
    <t>978-5-16-017884-4</t>
  </si>
  <si>
    <t>39.03.02, 41.03.06, 43.03.01, 43.03.02, 43.03.03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</si>
  <si>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в области образования «Науки об обществе» (квалификация (степень) «бакалавр») (протокол № 7 от 21.09.2022)</t>
  </si>
  <si>
    <t>Рязанский государственный университет им. С.А. Есенина</t>
  </si>
  <si>
    <t>736724.02.01</t>
  </si>
  <si>
    <t>Основы социальной медицины: Уч.пос. / Г.П.Артюнина - М.:НИЦ ИНФРА-М,2025 - 359 с.-(СПО)(П)</t>
  </si>
  <si>
    <t>ОСНОВЫ СОЦИАЛЬНОЙ МЕДИЦИНЫ</t>
  </si>
  <si>
    <t>Артюнина Г.П., Иванова Н.В.</t>
  </si>
  <si>
    <t>978-5-16-016264-5</t>
  </si>
  <si>
    <t>31.02.01, 39.02.01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</si>
  <si>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39.02.01 «Социальная работа», 31.02.01 «Лечебное дело», 34.02.01 «Сестринское дело» (протокол № 3 от 17.02.2020)</t>
  </si>
  <si>
    <t>Псковский государственный  университет</t>
  </si>
  <si>
    <t>437300.08.01</t>
  </si>
  <si>
    <t>Основы социальной медицины: Уч.пос. / Г.П.Артюнина - М.:Форум, НИЦ ИНФРА-М,2024 - 360 с.(ВО)(П)</t>
  </si>
  <si>
    <t>АртюнинаГ.П., ИвановаН.В.</t>
  </si>
  <si>
    <t>978-5-00091-132-7</t>
  </si>
  <si>
    <t>31.05.01, 34.03.01, 37.03.01, 39.03.02</t>
  </si>
  <si>
    <t>Допущено Учебно-методическим объединением по направлениям медицинского и гуманитарного образования Министерства образования Российской Федерации в качестве учебного пособия для студентов медицинских и гуманитарных вузов</t>
  </si>
  <si>
    <t>477550.05.01</t>
  </si>
  <si>
    <t>Основы социально-экономического управл. в произв.: Уч. пос. /А.В.Беляева -РИОР:ИНФРА-М,2022-60с.(ВО)</t>
  </si>
  <si>
    <t>ОСНОВЫ СОЦИАЛЬНО-ЭКОНОМИЧЕСКОГО УПРАВЛЕНИЯ В ПРОИЗВОДСТВЕ</t>
  </si>
  <si>
    <t>Беляева А. В., Федоров В. К., Черкасов М. Н.</t>
  </si>
  <si>
    <t>978-5-369-01387-8</t>
  </si>
  <si>
    <t>061600.15.01</t>
  </si>
  <si>
    <t>Основы социологии и политологии: Уч. / Г.И.Козырев - 2 изд. - М.:ИД ФОРУМ, НИЦ ИНФРА-М,2025 - 271 c.(ПО)(П)</t>
  </si>
  <si>
    <t>ОСНОВЫ СОЦИОЛОГИИ И ПОЛИТОЛОГИИ, ИЗД.2</t>
  </si>
  <si>
    <t>978-5-8199-0896-9</t>
  </si>
  <si>
    <t>00.02.21, 39.02.01, 40.02.04</t>
  </si>
  <si>
    <t>038420.10.01</t>
  </si>
  <si>
    <t>Основы социологии и политологии: Уч. пос. / М.В.Кернаценский, - 2-е изд.-М.:Форум,2024.-224 с.(П)</t>
  </si>
  <si>
    <t>Кернаценский М. В., Шатина Н. В.</t>
  </si>
  <si>
    <t>978-5-91134-381-1</t>
  </si>
  <si>
    <t>39.01.01, 39.02.01, 39.02.02</t>
  </si>
  <si>
    <t>129200.06.01</t>
  </si>
  <si>
    <t>Основы социологии и политологии: Уч. пос./ Р.Ф. Матвеев. - М.: Форум, 2025. - 256 с. (п)</t>
  </si>
  <si>
    <t>ОСНОВЫ СОЦИОЛОГИИ И ПОЛИТОЛОГИИ</t>
  </si>
  <si>
    <t>Матвеев Р. Ф.</t>
  </si>
  <si>
    <t>978-5-91134-411-5</t>
  </si>
  <si>
    <t>39.01.01, 39.02.01, 40.02.04</t>
  </si>
  <si>
    <t>142450.12.01</t>
  </si>
  <si>
    <t>Основы социологии и политологии: Уч.пос. / Ю.Г.Волков, - 2 изд.-М.:НИЦ ИНФРА-М,2024.-204 с.(СПО)(П)</t>
  </si>
  <si>
    <t>Волков Ю.Г., Лубский А.В.</t>
  </si>
  <si>
    <t>978-5-16-011915-1</t>
  </si>
  <si>
    <t>31.02.01, 39.01.01, 39.02.01, 40.02.04</t>
  </si>
  <si>
    <t>Рекомендовано в качестве учебного пособия для учебных заведений, реализующих программу среднего профессионального образования</t>
  </si>
  <si>
    <t>658774.02.01</t>
  </si>
  <si>
    <t>Основы социологии кадровой безопасности: Уч.пос. / М.Н.Вражнова-М.:НИЦ ИНФРА-М,2023.-261 с.(ВО)(П)</t>
  </si>
  <si>
    <t>ОСНОВЫ СОЦИОЛОГИИ КАДРОВОЙ БЕЗОПАСНОСТИ</t>
  </si>
  <si>
    <t>Вражнова М.Н., Терновая Л.О.</t>
  </si>
  <si>
    <t>978-5-16-014178-7</t>
  </si>
  <si>
    <t>38.03.02, 38.03.03, 38.04.02, 38.04.03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</si>
  <si>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38.03.03 «Управление персоналом», 38.03.02 «Менеджмент» (квалификация (степень) «бакалавр») (протокол № 6 от 25.03.2019)</t>
  </si>
  <si>
    <t>704423.06.01</t>
  </si>
  <si>
    <t>Основы спец. педагогики и психологии: Уч. / Е.Ю.Азбукина - М.:НИЦ ИНФРА-М,2025. - 396 с.(ВО: Бакалавр.)(п)</t>
  </si>
  <si>
    <t>ОСНОВЫ СПЕЦИАЛЬНОЙ ПЕДАГОГИКИ И ПСИХОЛОГИИ</t>
  </si>
  <si>
    <t>Азбукина Е.Ю., Михайлова Е.Н.</t>
  </si>
  <si>
    <t>978-5-16-015062-8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</si>
  <si>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 (протокол № 4 от 25.02.2019)</t>
  </si>
  <si>
    <t>КОРПОРАТИВНЫЙ УНИВЕРСИТЕТ МОСКОВСКОГО ОБРАЗОВАНИ</t>
  </si>
  <si>
    <t>712372.05.01</t>
  </si>
  <si>
    <t>Основы специальной педагогики и психологии: Уч. / Е.Ю.Азбукина - М.:НИЦ ИНФРА-М,2025 - 396 с.-(СПО)(П)</t>
  </si>
  <si>
    <t>978-5-16-015362-9</t>
  </si>
  <si>
    <t>37.00.00, 44.00.00, 39.02.01, 44.02.01, 44.02.02, 44.02.03, 44.02.04, 44.02.05, 44.02.06, 49.02.01, 49.02.02, 51.02.01, 53.02.01, 54.02.06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</si>
  <si>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5 от 11.03.2019)</t>
  </si>
  <si>
    <t>818409.01.01</t>
  </si>
  <si>
    <t>Основы спортивной подготовки: Уч.пос. / Л.К.Сидоров-М.:НИЦ ИНФРА-М, СФУ,2024.-111 с.(ВО (СФУ))(о)</t>
  </si>
  <si>
    <t>ОСНОВЫ СПОРТИВНОЙ ПОДГОТОВКИ</t>
  </si>
  <si>
    <t>Сидоров Л.К., Савчук А.Н., Садырин С.Л.</t>
  </si>
  <si>
    <t>978-5-16-019513-1</t>
  </si>
  <si>
    <t>49.03.01, 49.03.03, 49.03.04, 49.04.03</t>
  </si>
  <si>
    <t>134450.13.01</t>
  </si>
  <si>
    <t>Основы статистики: Уч. пос. / С.А. Канцедал. - М.: ИД ФОРУМ: ИНФРА-М, 2025. - 192 с.(ПО) (П)</t>
  </si>
  <si>
    <t>ОСНОВЫ СТАТИСТИКИ</t>
  </si>
  <si>
    <t>978-5-8199-0439-8</t>
  </si>
  <si>
    <t>Рекомендовано методическим советом Иститута искусств и информационных технологий в качестве учебного пособия для студентов средних специальных учебных заведений, обучающихся по группе специальностей "Экономика и управление"</t>
  </si>
  <si>
    <t>304200.05.01</t>
  </si>
  <si>
    <t>Основы статистической физики: Уч.пос. / А.Г. Браун - 3 изд. - М.: НИЦ ИНФРА-М, 2023-120с.(ВО) (о)</t>
  </si>
  <si>
    <t>ОСНОВЫ СТАТИСТИЧЕСКОЙ ФИЗИКИ, ИЗД.3</t>
  </si>
  <si>
    <t>978-5-16-010234-4</t>
  </si>
  <si>
    <t>03.03.01, 03.04.01</t>
  </si>
  <si>
    <t>032608.17.01</t>
  </si>
  <si>
    <t>Основы судебного красноречия: Уч.пос. / Н.Н.Ивакина, - 3 изд.-М.:Юр. НОРМА, НИЦ ИНФРА-М,2025.-592 с.(п)</t>
  </si>
  <si>
    <t>ОСНОВЫ СУДЕБНОГО КРАСНОРЕЧИЯ (РИТОРИКА ДЛЯ ЮРИСТОВ), ИЗД.3</t>
  </si>
  <si>
    <t>Ивакина Н. Н.</t>
  </si>
  <si>
    <t>978-5-91768-150-4</t>
  </si>
  <si>
    <t>824066.02.01</t>
  </si>
  <si>
    <t>Основы текстологии. Методы анализа..: Уч.пос. / М.Э.Конурбаев - М.:НИЦ ИНФРА-М,2025 - 533 с.(ВО)(п)</t>
  </si>
  <si>
    <t>ОСНОВЫ ТЕКСТОЛОГИИ. МЕТОДЫ АНАЛИЗА И РАСШИФРОВКИ ТЕКСТОВ НА АНГЛИЙСКОМ ЯЗЫКЕ. CRITICAL ARISTOTLE. THE NICOMACHEAN ETHICS.</t>
  </si>
  <si>
    <t>978-5-16-019809-5</t>
  </si>
  <si>
    <t>45.03.01, 45.03.02, 45.03.03, 45.03.04, 45.03.99</t>
  </si>
  <si>
    <t>049750.19.01</t>
  </si>
  <si>
    <t>Основы теории автомоб. двигат. и автом.: Уч.пос. / В.А.Стуканов - М.:ИД Форум, НИЦ ИНФРА-М,2025. - 368 с.(СПО)(П)</t>
  </si>
  <si>
    <t>ОСНОВЫ ТЕОРИИ АВТОМОБИЛЬНЫХ ДВИГАТЕЛЕЙ И АВТОМОБИЛЯ</t>
  </si>
  <si>
    <t>978-5-8199-0770-2</t>
  </si>
  <si>
    <t>205300.06.01</t>
  </si>
  <si>
    <t>Основы теории вероятностей: Уч. / Г.А.Соколов - 2 изд. - М.:НИЦ ИНФРА-М,2025 - 340 с. - (ВО: Бакалавр.)(п)</t>
  </si>
  <si>
    <t>ОСНОВЫ ТЕОРИИ ВЕРОЯТНОСТЕЙ, ИЗД.2</t>
  </si>
  <si>
    <t>Г.А.Соколов</t>
  </si>
  <si>
    <t>978-5-16-006728-5</t>
  </si>
  <si>
    <t>38</t>
  </si>
  <si>
    <t>457950.09.01</t>
  </si>
  <si>
    <t>Основы теории доказательств в угол. проц. России: Уч. пос./Е.А.Артамонова-Норма: ИНФРА-М, 2024-240с. (о)</t>
  </si>
  <si>
    <t>ОСНОВЫ ТЕОРИИ ДОКАЗАТЕЛЬСТВ В УГОЛОВНОМ ПРОЦЕССЕ РОССИИ, ИЗД.4</t>
  </si>
  <si>
    <t>Артамонова Е. А., Фирсов О. В.</t>
  </si>
  <si>
    <t>978-5-91768-447-5</t>
  </si>
  <si>
    <t>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специальности и направлению подготовки «Юриспруденция»</t>
  </si>
  <si>
    <t>686660.03.01</t>
  </si>
  <si>
    <t>Основы теории и алгоритмы на графах: Уч.пос. / Н.И.Гданский - М.:НИЦ ИНФРА-М,2025 - 206 с.(ВО)(п)</t>
  </si>
  <si>
    <t>ОСНОВЫ ТЕОРИИ И АЛГОРИТМЫ НА ГРАФАХ</t>
  </si>
  <si>
    <t>978-5-16-020256-3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</si>
  <si>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17 от 11.11.2019)</t>
  </si>
  <si>
    <t>663442.05.01</t>
  </si>
  <si>
    <t>Основы теории и расчета цифр. фильт.: Уч.пос. / Под ред. Смольского С.М. - 2 изд.-М.:НИЦ ИНФРА-М,2024-272 с.(ВО)(п)</t>
  </si>
  <si>
    <t>ОСНОВЫ ТЕОРИИ И РАСЧЕТА ЦИФРОВЫХ ФИЛЬТРОВ, ИЗД.2</t>
  </si>
  <si>
    <t>Васильев В.П., Муро Э.Л., Смольский С.М. и др.</t>
  </si>
  <si>
    <t>978-5-16-019073-0</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</si>
  <si>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«Радиотехника»</t>
  </si>
  <si>
    <t>Московский энергетический институт, ф-л в г. Смоленске</t>
  </si>
  <si>
    <t>452950.13.01</t>
  </si>
  <si>
    <t>Основы теории информации: справ.: Уч.пос. / А.М.Маскаева - 2 изд. - М.:Форум, НИЦ ИНФРА-М,2024 - 194 с.(П)</t>
  </si>
  <si>
    <t>ОСНОВЫ ТЕОРИИ ИНФОРМАЦИИ: СПРАВОЧНИК, ИЗД.2</t>
  </si>
  <si>
    <t>Маскаева А.М.</t>
  </si>
  <si>
    <t>978-5-00091-761-9</t>
  </si>
  <si>
    <t>09.02.01, 09.02.02, 09.02.03, 09.02.04, 09.02.05, 09.02.06, 10.02.01, 10.02.02, 10.02.03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</si>
  <si>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09.02.05 «Прикладная информатика (по отраслям)», 09.02.06 «Сетевое и системное администрирование» (протокол № 1 от 20.01.2021)</t>
  </si>
  <si>
    <t>Колледж автоматизации и информационных технологий №20, г. Москва</t>
  </si>
  <si>
    <t>452950.12.01</t>
  </si>
  <si>
    <t>Основы теории информации: справочник: Уч.пос. / А.М.Маскаева - М.:Форум, НИЦ ИНФРА-М,2021 - 96 с.(О)</t>
  </si>
  <si>
    <t>ОСНОВЫ ТЕОРИИ ИНФОРМАЦИИ: СПРАВОЧНИК</t>
  </si>
  <si>
    <t>978-5-00091-456-4</t>
  </si>
  <si>
    <t>Рекомендовано экспертным советом при ГБОУ УМЦ по профессиональному образованию Департамента образования города Москвы для использования в образовательном процессе учреждений среднего профессионального образования</t>
  </si>
  <si>
    <t>171500.12.01</t>
  </si>
  <si>
    <t>Основы теории коммуникации: Уч. пос. / О.Я. Гойхман - М.:НИЦ Инфра-М, 2025 - 352 с.(ВО) (п)</t>
  </si>
  <si>
    <t>ОСНОВЫ ТЕОРИИ КОММУНИКАЦИИ</t>
  </si>
  <si>
    <t>Гойхман О. Я., Апарина Т. А., Гончарова Л. М., Дубинский В. И., Гойхман О. Я.</t>
  </si>
  <si>
    <t>978-5-16-004792-8</t>
  </si>
  <si>
    <t>Допущено УМО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(специальности) "Реклама и связи с общественностью"</t>
  </si>
  <si>
    <t>424850.07.01</t>
  </si>
  <si>
    <t>Основы теории коммуникации: Уч.пос. / Е.А.Кожемякин-М.:НИЦ ИНФРА-М,2023.-189 с.(ВО: Бакалавриат)(П)</t>
  </si>
  <si>
    <t>Кожемякин Е. А.</t>
  </si>
  <si>
    <t>978-5-16-006584-7</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</si>
  <si>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направлению подготовки (специальности) «Реклама и связи с общественностью»</t>
  </si>
  <si>
    <t>471550.07.01</t>
  </si>
  <si>
    <t>Основы теории массового обслуживания для экономистов: Уч. / Г.А.Соколов - М.:НИЦ ИНФРА-М,2025. - 128 с.(о)</t>
  </si>
  <si>
    <t>ОСНОВЫ ТЕОРИИ МАССОВОГО ОБСЛУЖИВАНИЯ ДЛЯ ЭКОНОМИСТОВ</t>
  </si>
  <si>
    <t>978-5-16-010055-5</t>
  </si>
  <si>
    <t>01.03.02, 38.03.01</t>
  </si>
  <si>
    <t>358700.08.01</t>
  </si>
  <si>
    <t>Основы теории массового обслуживания: Уч.пос. / В.В.Рыков-М.:НИЦ ИНФРА-М,2024-223с.(ВО:Бакалавр.)(п)</t>
  </si>
  <si>
    <t>ОСНОВЫ ТЕОРИИ МАССОВОГО ОБСЛУЖИВАНИЯ (ОСНОВНОЙ КУРС:МАРКОВСКИЕ МОДЕЛИ, МЕТОДЫ МАРКОВИЗАЦИИ)</t>
  </si>
  <si>
    <t>Рыков В.В., Козырев Д.В.</t>
  </si>
  <si>
    <t>978-5-16-010945-9</t>
  </si>
  <si>
    <t>01.03.02, 02.03.02, 03.03.02, 15.03.04</t>
  </si>
  <si>
    <t>Рекомендовано в качестве учебного пособия для студентов высших учебных заведений, обучающихся по направлениям подготовки 01.03.02 «Прикладная математика и информатика», 02.03.02 «Фундаментальная информатика и информационные технологии», 02.03.01 «Математика и компьютерные науки» (квалификация (степень) «бакалавр»)</t>
  </si>
  <si>
    <t>715617.03.01</t>
  </si>
  <si>
    <t>Основы теории надежности и диагностики: Уч.пос. / Ю.М.Осадчий-М.:НИЦ ИНФРА-М,2023.-197 с.(ВО)(П)</t>
  </si>
  <si>
    <t>ОСНОВЫ ТЕОРИИ НАДЕЖНОСТИ И ДИАГНОСТИКИ</t>
  </si>
  <si>
    <t>Осадчий Ю.М., ЧВВМУ имени П.С Нахимова</t>
  </si>
  <si>
    <t>978-5-16-015733-7</t>
  </si>
  <si>
    <t>447150.08.01</t>
  </si>
  <si>
    <t>Основы теории надежности информ. сис.: Уч.пос. / С.А.Мартишин - М.:ИД ФОРУМ, НИЦ ИНФРА-М,2023-255с(ВО)</t>
  </si>
  <si>
    <t>ОСНОВЫ ТЕОРИИ НАДЕЖНОСТИ ИНФОРМАЦИОННЫХ СИСТЕМ</t>
  </si>
  <si>
    <t>Мартишин С. А., Симонов В. Л., Храпченко М. В.</t>
  </si>
  <si>
    <t>978-5-8199-0757-3</t>
  </si>
  <si>
    <t>09.03.02, 09.03.04, 09.04.02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</si>
  <si>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09.03.02 «Информационные системы и технологии»</t>
  </si>
  <si>
    <t>277700.07.01</t>
  </si>
  <si>
    <t>Основы теории надежности машин: Уч.пос. / Ю.В.Баженов - 2 изд. - М.:НИЦ ИНФРА-М,2024-315 с.-(ВО: Бак.)(П)</t>
  </si>
  <si>
    <t>ОСНОВЫ ТЕОРИИ НАДЕЖНОСТИ МАШИН, ИЗД.2</t>
  </si>
  <si>
    <t>Баженов Ю.В., Баженов М.Ю.</t>
  </si>
  <si>
    <t>978-5-16-015559-3</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</si>
  <si>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направлениям подготовки 23.03.03 «Эксплуатация транспортно-технологических машин и комплексов», профили «Автомобили и автомобильное хозяйство», «Автомобильный сервис» (уровень образования «бакалавриат»), 23.04.03 «Эксплуатация транспортно-технологических машин и комплексов» (уровень образования «магистратура»)</t>
  </si>
  <si>
    <t>710083.01.01</t>
  </si>
  <si>
    <t>Основы теории надежности машин: Уч.пос. / Ю.В.Баженов-М.:НИЦ ИНФРА-М,2019.-320 с.(СПО)(П)</t>
  </si>
  <si>
    <t>ОСНОВЫ ТЕОРИИ НАДЕЖНОСТИ МАШИН</t>
  </si>
  <si>
    <t>Баженов Ю.В.</t>
  </si>
  <si>
    <t>978-5-16-015377-3</t>
  </si>
  <si>
    <t>23.02.02, 23.02.03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</si>
  <si>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 (протокол № 12 от 24.06.2019)</t>
  </si>
  <si>
    <t>277700.04.01</t>
  </si>
  <si>
    <t>Основы теории надежности машин: Уч.пос. / Ю.В.Баженов-М.:Форум, НИЦ ИНФРА-М,2019.-320 с..-(ВО)(П)</t>
  </si>
  <si>
    <t>Баженов Ю. В.</t>
  </si>
  <si>
    <t>978-5-00091-697-1</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</si>
  <si>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специальностям «Автомобили и автомобильное хозяйство», «Сервис транспортных и технологических машин и оборудования (по отраслям)» направления подготовки дипломированных специалистов «Эксплуатация наземного транспорта и транспортного оборудования» и бакалавров и магистров по направлению подготовки «Эксплуатация транспортно-технологических машин и комплексов»</t>
  </si>
  <si>
    <t>846981.01.01</t>
  </si>
  <si>
    <t>Основы теории нац. безопас.: Уч.пос. / Отв.ред.Ю.Г.Шпаковский - М.:Юр. НОРМА, НИЦ ИНФРА-М,2025. - 224 с.(п)</t>
  </si>
  <si>
    <t>ОСНОВЫ ТЕОРИИ НАЦИОНАЛЬНОЙ БЕЗОПАСНОСТИ</t>
  </si>
  <si>
    <t>Шпаковский Ю.Г.</t>
  </si>
  <si>
    <t>978-5-00156-403-4</t>
  </si>
  <si>
    <t>10.05.02, 10.05.04, 40.03.01, 40.04.01, 40.05.01, 41.04.05</t>
  </si>
  <si>
    <t>732106.03.01</t>
  </si>
  <si>
    <t>Основы теории проектирования костюма: Уч. / Т.В.Козлова, - 2 изд.-М.:НИЦ ИНФРА-М,2024.-350 с.(ВО)(П)</t>
  </si>
  <si>
    <t>ОСНОВЫ ТЕОРИИ ПРОЕКТИРОВАНИЯ КОСТЮМА, ИЗД.2</t>
  </si>
  <si>
    <t>Козлова Т.В.</t>
  </si>
  <si>
    <t>978-5-16-019128-7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</si>
  <si>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54.03.03 «Искусство костюма и текстиля» (квалификация (степень) «бакалавр») (протокол № 8 от 22.06.2020)</t>
  </si>
  <si>
    <t>702853.05.01</t>
  </si>
  <si>
    <t>Основы теории судовых турбомашин: Уч.пос. / В.В.Кузнецов - М.:НИЦ ИНФРА-М,2024 - 176 с.-(П)</t>
  </si>
  <si>
    <t>ОСНОВЫ ТЕОРИИ СУДОВЫХ ТУРБОМАШИН</t>
  </si>
  <si>
    <t>Кузнецов В.В.</t>
  </si>
  <si>
    <t>978-5-16-014946-2</t>
  </si>
  <si>
    <t>18.01.28, 26.01.01, 26.01.03, 26.01.05, 26.01.07, 26.01.09, 26.02.01, 26.02.03, 26.02.04, 26.02.05, 26.02.06, 26.03.01, 26.03.02, 26.04.02, 26.05.01, 26.05.02, 26.05.06, 26.05.07, 35.01.32</t>
  </si>
  <si>
    <t>Рекомендовано экспертным советом ЧВВМУ имени П.С. Нахимова в качестве учебного пособия по дисциплине «Судовые турбомашины». Может быть использовано в процессе выполнения курсового и дипломного проектирования студентами факультета судовождения и энергетики судов по специальности 26.05.06 «Эксплуатация судовых  энергетических установок»</t>
  </si>
  <si>
    <t>323100.07.01</t>
  </si>
  <si>
    <t>Основы теории управления: Уч.пос. / А.П.Балашов-М.:Вуз. уч., НИЦ ИНФРА-М,2024.-280 с.(П)</t>
  </si>
  <si>
    <t>ОСНОВЫ ТЕОРИИ УПРАВЛЕНИЯ</t>
  </si>
  <si>
    <t>978-5-9558-0410-1</t>
  </si>
  <si>
    <t>38.03.01, 38.03.03, 41.03.06, 44.03.01</t>
  </si>
  <si>
    <t>Рекомендовано Советом Учебно-методического объединения по образованию в области менеджмента в качестве учебного пособия для студентов, обучающихся по направлению подготовки 38.03.03 (080400.62) "Управление персоналом» (квалификация/степень) «бакалавр</t>
  </si>
  <si>
    <t>690078.05.01</t>
  </si>
  <si>
    <t>Основы теории упругости, пластичности и ползучести: Уч.пос. / В.Т.Чемодуров. - М.:НИЦ ИНФРА-М,2025 - 238 с.(ВО)</t>
  </si>
  <si>
    <t>ОСНОВЫ ТЕОРИИ УПРУГОСТИ, ПЛАСТИЧНОСТИ И ПОЛЗУЧЕСТИ</t>
  </si>
  <si>
    <t>Чемодуров В.Т., Ажермачев С.Г., Пшеничная-Ажермачева К.С.</t>
  </si>
  <si>
    <t>978-5-16-020501-4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</si>
  <si>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9 от 13.05.2019)</t>
  </si>
  <si>
    <t>683035.02.01</t>
  </si>
  <si>
    <t>Основы теории цепей. Прак.: Уч.пос. / Под ред. Арсеньева Г.Н.-М.:ИД Форум, НИЦ ИНФРА-М,2023.-336 с.(СПО)(П)</t>
  </si>
  <si>
    <t>ОСНОВЫ ТЕОРИИ ЦЕПЕЙ. ПРАКТИКУМ</t>
  </si>
  <si>
    <t>Арсеньев Г.Н., Градов И.И., Арсеньев Г.Н.</t>
  </si>
  <si>
    <t>978-5-8199-0798-6</t>
  </si>
  <si>
    <t>11.02.03, 11.02.06, 11.02.07, 11.02.09, 11.02.11, 11.02.15, 11.02.17, 11.02.18, 11.02.19, 24.02.04</t>
  </si>
  <si>
    <t>084350.12.01</t>
  </si>
  <si>
    <t>Основы теории цепей: Практикум: Уч.пос. / Арсеньев Г.Н. - М.:ИД ФОРУМ, НИЦ ИНФРА-М,2022-336с.(ВО)(П)</t>
  </si>
  <si>
    <t>ОСНОВЫ ТЕОРИИ ЦЕПЕЙ</t>
  </si>
  <si>
    <t>978-5-8199-0720-7</t>
  </si>
  <si>
    <t>11.03.01, 11.03.02</t>
  </si>
  <si>
    <t>Допущено Министерством обороны Российской Федерации в качестве учебного пособия для курсантов военно-учебных заведений Космических войск, обучающихся по направлению 11.03.01 «Радиотехника»</t>
  </si>
  <si>
    <t>074300.07.01</t>
  </si>
  <si>
    <t>Основы теории цепей: Уч. пос. / А.И. Запасный. - М.:РИОР, 2025. - 336 с.(ВО) (п)</t>
  </si>
  <si>
    <t>Запасный А. И.</t>
  </si>
  <si>
    <t>5-369-00001-8</t>
  </si>
  <si>
    <t>11.03.02</t>
  </si>
  <si>
    <t>Рекомендовано УМО по образованию в области связи в качестве учебного пособия для студентов обуч. по спец. 200900 Сети связи и системы коммут. 201000 Многоканал. телекомм. системы 201100 Радиосвязь, радиовещ. и телевид. 201200 Ср-ва связи с подвиж. об</t>
  </si>
  <si>
    <t>150850.12.01</t>
  </si>
  <si>
    <t>Основы теории цепей: Уч. пос./ Г.Н. Арсеньев. - М.: ИД ФОРУМ:  ИНФРА-М, 2025 - 448 с. (ВО) (п)</t>
  </si>
  <si>
    <t>Арсеньев Г. Н., Бондаренко В. Н., Чепурнов И. А., Арсеньев Г. Н.</t>
  </si>
  <si>
    <t>978-5-8199-0466-4</t>
  </si>
  <si>
    <t>11.03.01, 11.03.02, 11.04.01</t>
  </si>
  <si>
    <t>Рекомендуется ГОУ ВПО - Общевойсковой академией Вооруженных Сил РФ в качестве учебного пособия для курсантов высших военно-учебных заведений Космических войск, обучающихся по направлению подготовки "Радиотехника"</t>
  </si>
  <si>
    <t>683042.02.01</t>
  </si>
  <si>
    <t>Основы теории цепей: Уч.пос. / Под ред. Арсеньева Г.Н.-М.:ИД Форум, НИЦ ИНФРА-М,2023.-448 с.(СПО)(П)</t>
  </si>
  <si>
    <t>Арсеньев Г.Н., Бондаренко В.Н., Чепурнов И.А. и др.</t>
  </si>
  <si>
    <t>978-5-8199-0799-3</t>
  </si>
  <si>
    <t>11.02.03, 11.02.06, 11.02.07, 11.02.09, 11.02.11, 11.02.13, 11.02.14, 11.02.15, 11.02.16, 11.02.17, 11.02.18, 11.02.19, 24.02.04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</si>
  <si>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5 от 16.03.2020)</t>
  </si>
  <si>
    <t>850114.01.01</t>
  </si>
  <si>
    <t>Основы теории юридической аномии: Моногр. / Под. ред.Д.А. Липинского - М.:ИЦ РИОР, НИЦ ИНФРА-М,2025. - 406 с.(п)</t>
  </si>
  <si>
    <t>ОСНОВЫ ТЕОРИИ ЮРИДИЧЕСКОЙ АНОМИИ</t>
  </si>
  <si>
    <t>Липинский Д.А., Малько А.В., Маркунин Р.С. и др.</t>
  </si>
  <si>
    <t>Advances in Law Studies</t>
  </si>
  <si>
    <t>978-5-369-01983-2</t>
  </si>
  <si>
    <t>40.04.01, 40.05.01, 40.05.02, 40.06.01</t>
  </si>
  <si>
    <t>Тольяттинский государственный университет</t>
  </si>
  <si>
    <t>658754.04.01</t>
  </si>
  <si>
    <t>Основы тепломассообмена: Уч.пос. / Ю.П.Семенов-М.:НИЦ ИНФРА-М,2023.-246 с..-(ВО: Бакалавриат)(П)</t>
  </si>
  <si>
    <t>ОСНОВЫ ТЕПЛОМАССООБМЕНА</t>
  </si>
  <si>
    <t>Семенов Ю.П.</t>
  </si>
  <si>
    <t>978-5-16-013601-1</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</si>
  <si>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13.03.01 «Теплоэнергетика и теплотехника» (квалификация (степень) «бакалавр»)</t>
  </si>
  <si>
    <t>241800.08.01</t>
  </si>
  <si>
    <t>Основы техн. переработки и товароведение прод...: Уч.пос. / Г.В.Чебакова - 2 изд.М.:ИНФРА-М,2024-336с.(ВО)(п)</t>
  </si>
  <si>
    <t>ОСНОВЫ ТЕХНОЛОГИИ ПЕРЕРАБОТКИ И ТОВАРОВЕДЕНИЕ ПРОДОВОЛЬСТВЕННЫХ ТОВАРОВ ИЗ СЫРЬЯ ЖИВОТНОГО ПРОИСХОЖДЕНИЯ, ИЗД.2</t>
  </si>
  <si>
    <t>Чебакова Г.В., Горбачева М.В., Есепенок К.В.</t>
  </si>
  <si>
    <t>978-5-16-019543-8</t>
  </si>
  <si>
    <t>19.03.03, 19.04.03, 38.03.07, 38.04.07</t>
  </si>
  <si>
    <t>Рекомендовано Учебно-методическим объединением по образованию в области товароведения и экспертизы товаров в качестве учебного пособия для студентов высших учебных заведений, обучающихся по специальности 080401 «Товароведение и экспертиза товаров (по</t>
  </si>
  <si>
    <t>708998.07.01</t>
  </si>
  <si>
    <t>Основы техн. процес. обраб. металлов давл.: Уч./И.Л.Константинов, - 2 изд., - М:НИЦ ИНФРА-М,2025 - 487с(П)</t>
  </si>
  <si>
    <t>ОСНОВЫ ТЕХНОЛОГИЧЕСКИХ ПРОЦЕССОВ ОБРАБОТКИ МЕТАЛЛОВ ДАВЛЕНИЕМ, ИЗД.2</t>
  </si>
  <si>
    <t>978-5-16-017926-1</t>
  </si>
  <si>
    <t>12.02.04, 15.02.01, 15.02.16, 15.02.17, 15.02.18, 18.01.35, 18.02.04, 18.02.05, 18.02.07, 18.02.09, 18.02.10, 18.02.13, 18.02.14, 26.02.02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</si>
  <si>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5 от 11.03.2019)</t>
  </si>
  <si>
    <t>466900.02.01</t>
  </si>
  <si>
    <t>Основы техн.процессов обраб.металлов давл.:Уч./И.Л.Константинов-2изд-М:НИЦ ИНФРА-М,2018-487с(ВО)(п)</t>
  </si>
  <si>
    <t>КонстантиновИ.Л., СидельниковС.Б.</t>
  </si>
  <si>
    <t>978-5-16-011541-2</t>
  </si>
  <si>
    <t>13.03.03, 15.03.01, 15.03.05, 22.03.02, 22.04.02, 23.03.03</t>
  </si>
  <si>
    <t>Рекомендовано Федеральным государственным автономным образовательным учреждением высшего профессионального образования «Национальный исследовательский технологический университет МИСиС» в качестве учебника для студентов высших учебных заведений, обучающихся по направлению подготовки бакалавров 22.03.02 (150400) «Металлургия»</t>
  </si>
  <si>
    <t>240700.08.01</t>
  </si>
  <si>
    <t>Основы технич. эксплуатации электрич. и электромех..: Уч. / Г.П.Ерошенко - 2 изд. - М.:НИЦ ИНФРА-М,2025 - 295 с.(п)</t>
  </si>
  <si>
    <t>ОСНОВЫ ТЕХНИЧЕСКОЙ ЭКСПЛУАТАЦИИ ЭЛЕКТРИЧЕСКОГО И ЭЛЕКТРОМЕХАНИЧЕСКОГО ОБОРУДОВАНИЯ, ИЗД.2</t>
  </si>
  <si>
    <t>Ерошенко Г.П., Кондратьева Н.П., Бакиров С.М.</t>
  </si>
  <si>
    <t>978-5-16-015803-7</t>
  </si>
  <si>
    <t>Рекомендовано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направлению подготовки «Агроинженерия»</t>
  </si>
  <si>
    <t>Самарский национальный исследовательский университет им. академика С.П. Королева</t>
  </si>
  <si>
    <t>719351.03.01</t>
  </si>
  <si>
    <t>Основы технич. эксплуатации электрич. и электромеханич. оборуд.: Уч. / Д.В.Ерошенко - 2 изд. - М.:НИЦ ИНФРА-М,2025 - 295 с.(П)</t>
  </si>
  <si>
    <t>Ерошенко Д.В., Кондратьева Н.П., Бакиров С.М.</t>
  </si>
  <si>
    <t>978-5-16-015624-8</t>
  </si>
  <si>
    <t>11.01.02, 11.01.05, 13.02.07, 13.02.08, 13.02.09, 13.02.12, 13.02.13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</si>
  <si>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35.02.08 «Электрификация и автоматизация сельского хозяйства» (протокол № 10 от 15.12.2021)</t>
  </si>
  <si>
    <t>410900.11.01</t>
  </si>
  <si>
    <t>Основы технической диагностики: Уч.пос. / В.А.Поляков-М.:НИЦ ИНФРА-М,2024.-118 с.(ВО)(о)</t>
  </si>
  <si>
    <t>ОСНОВЫ ТЕХНИЧЕСКОЙ ДИАГНОСТИКИ</t>
  </si>
  <si>
    <t>Поляков В. А.</t>
  </si>
  <si>
    <t>978-5-16-019157-7</t>
  </si>
  <si>
    <t>21.03.01, 21.04.01</t>
  </si>
  <si>
    <t>Рекомендовано в качестве учебного пособия для студентов высших учебных заведений, обучающихся по направлению подготовки 21.03.01 «Нефтегазовое дело» (квалификация (степень) «бакалавр»)</t>
  </si>
  <si>
    <t>258600.09.01</t>
  </si>
  <si>
    <t>Основы технической термодинамики и теории  тепло- и...: Уч. пос. / В.А.Барилович - М:ИНФРА-М,2025 - 432 с.(п)</t>
  </si>
  <si>
    <t>ОСНОВЫ ТЕХНИЧЕСКОЙ ТЕРМОДИНАМИКИ И ТЕОРИИ  ТЕПЛО- И МАССООБМЕНА</t>
  </si>
  <si>
    <t>Барилович В. А., Смирнов Ю. А.</t>
  </si>
  <si>
    <t>978-5-16-005771-2</t>
  </si>
  <si>
    <t>13.03.01, 13.04.01, 16.03.02, 16.03.03, 21.03.01, 24.03.01</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</si>
  <si>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«Теплоэнергетика и теплотехника»</t>
  </si>
  <si>
    <t>478900.06.01</t>
  </si>
  <si>
    <t>Основы технол.расчета автотрансп.предпр.: Уч.пос. / Х.М.Тахтамышев-2изд.-М.:НИЦ ИНФРА-М,2024-352с(П)</t>
  </si>
  <si>
    <t>ОСНОВЫ ТЕХНОЛОГИЧЕСКОГО РАСЧЕТА АВТОТРАНСПОРТНЫХ ПРЕДПРИЯТИЙ, ИЗД.2</t>
  </si>
  <si>
    <t>Тахтамышев Х.М.</t>
  </si>
  <si>
    <t>978-5-16-011677-8</t>
  </si>
  <si>
    <t>23.03.02, 23.03.03, 23.04.01, 23.04.03, 23.05.01</t>
  </si>
  <si>
    <t>Допущено Учебно-методическим объединением по образовании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профилю «Автомобили и автомобильное хозяйство» направления 23.03.03 «Эксплуатация транспортно-технологических машин и комплексов"</t>
  </si>
  <si>
    <t>Невинномысский государственный гуманитарно-технический институт</t>
  </si>
  <si>
    <t>067350.17.01</t>
  </si>
  <si>
    <t>Основы технологии и орг. строит.-монтажных работ: Уч. / С.Д.Сокова-М.:НИЦ ИНФРА-М,2024-208с(СПО)(П)</t>
  </si>
  <si>
    <t>ОСНОВЫ ТЕХНОЛОГИИ И ОРГАНИЗАЦИИ СТРОИТЕЛЬНО-МОНТАЖНЫХ РАБОТ</t>
  </si>
  <si>
    <t>Сокова С. Д.</t>
  </si>
  <si>
    <t>978-5-16-005552-7</t>
  </si>
  <si>
    <t>07.02.01, 08.01.29, 08.01.30, 08.02.01, 08.02.02, 08.02.03, 08.02.04, 08.02.08, 08.02.13, 08.02.14, 35.02.12</t>
  </si>
  <si>
    <t>251800.06.01</t>
  </si>
  <si>
    <t>Основы технологии машиностроения. Лаб. практ.: Уч.пос. / Горохов В.А.-М.:НИЦ ИНФРА-М,2023.-446 с.(П)</t>
  </si>
  <si>
    <t>ОСНОВЫ ТЕХНОЛОГИИ МАШИНОСТРОЕНИЯ. ЛАБОРАТОРНЫЙ ПРАКТИКУМ</t>
  </si>
  <si>
    <t>Горохов В. А., Беляков Н. В., Махаринский Ю. Е., Горохов В. А.</t>
  </si>
  <si>
    <t>978-5-16-009372-7</t>
  </si>
  <si>
    <t>15.03.01, 15.03.02, 15.03.05, 15.04.01, 15.04.02, 15.04.05, 22.03.01, 22.04.01</t>
  </si>
  <si>
    <t>Допущено Учебно-методическим объединением вузов по образованию в области автомати- зированного машиностроения в качестве учебного пособия для студентов высших учебных заведений, обучающихся по направлениям подготовки: «Конструкторско-технологическое</t>
  </si>
  <si>
    <t>707000.02.01</t>
  </si>
  <si>
    <t>Основы технологии машиностроения: Уч. / В.В.Клепиков и др. - М.:НИЦ ИНФРА-М,2023 - 295 с.-(СПО)(П)</t>
  </si>
  <si>
    <t>ОСНОВЫ ТЕХНОЛОГИИ МАШИНОСТРОЕНИЯ</t>
  </si>
  <si>
    <t>Клепиков В.В., Султан-заде Н.М., Солдатов В.Ф. и др.</t>
  </si>
  <si>
    <t>978-5-16-015145-8</t>
  </si>
  <si>
    <t>15.02.04, 15.02.16, 15.02.19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</si>
  <si>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9 от 13.05.2019)</t>
  </si>
  <si>
    <t>398000.03.01</t>
  </si>
  <si>
    <t>Основы технологии машиностроения: Уч. / В.В.Клепиков-М.:НИЦ ИНФРА-М,2023.-295 с.(ВО: Бакалавр.)(П)</t>
  </si>
  <si>
    <t>978-5-16-011774-4</t>
  </si>
  <si>
    <t>15.03.01, 15.03.04, 15.03.05, 15.04.01, 15.04.04, 15.04.05</t>
  </si>
  <si>
    <t>Допущен Учебно-методическим объединением вузов в области автоматизированного машиностроения в качестве учебника для студентов высших учебных заведений,обучающихся по направлениям подготовки 15.03.05 «Конструкторско-технологическое обеспечение машиностроительных производств»,15.03.04 «Автоматизация технологических процессов и производств (машиностроение)»</t>
  </si>
  <si>
    <t>387900.05.01</t>
  </si>
  <si>
    <t>Основы технологии машиностроения: Уч. /Б.М.Базров, - 3-е изд. -М.:НИЦ ИНФРА-М,2020.-683 с.(ВО)(П)</t>
  </si>
  <si>
    <t>ОСНОВЫ ТЕХНОЛОГИИ МАШИНОСТРОЕНИЯ, ИЗД.3</t>
  </si>
  <si>
    <t>Базров Б.М.</t>
  </si>
  <si>
    <t>978-5-16-011179-7</t>
  </si>
  <si>
    <t>Рекомендовано в качестве учебника для студентов высших учебных заведений, обучающихся по направлениям подготовки 15.03.01 «МашинЪстроение», 15.03.05 «Конструкторско-технологическое обеспечение машиностроительных производств» (квалификация (степень) «бакалавр»)</t>
  </si>
  <si>
    <t>Институт машиноведения им. А.А. Благонравова Российской академии наук</t>
  </si>
  <si>
    <t>354600.07.01</t>
  </si>
  <si>
    <t>Основы технологии машиностроения: Уч.пос. / В.Ф.Скворцов - 2 изд. -  М.:НИЦ ИНФРА-М,2025 - 330 с.(ВО: Бакалавр.)(П)</t>
  </si>
  <si>
    <t>ОСНОВЫ ТЕХНОЛОГИИ МАШИНОСТРОЕНИЯ, ИЗД.2</t>
  </si>
  <si>
    <t>Скворцов В.Ф.</t>
  </si>
  <si>
    <t>978-5-16-020579-3</t>
  </si>
  <si>
    <t>15.03.01</t>
  </si>
  <si>
    <t>719229.03.01</t>
  </si>
  <si>
    <t>Основы технологии машиностроения: Уч.пос. / В.Ф.Скворцов - 2 изд. - М.:НИЦ ИНФРА-М,2025. - 330 с.(СПО)(П)</t>
  </si>
  <si>
    <t>978-5-16-015600-2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</si>
  <si>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машиностроительным специальностям (протокол № 6 от 06.04.2020)</t>
  </si>
  <si>
    <t>776671.03.01</t>
  </si>
  <si>
    <t>Основы технологии машиностроения: Уч.пос. / И.В.Шрубченко. - М.:НИЦ ИНФРА-М,2025. - 271 с.(ВО: Бакалавр.)(П)</t>
  </si>
  <si>
    <t>Шрубченко И.В., Дуюн Т.А., Хуртасенко А.В. и др.</t>
  </si>
  <si>
    <t>978-5-16-017776-2</t>
  </si>
  <si>
    <t>15.03.05, 15.04.05, 15.05.01, 21.05.04, 21.05.06, 23.05.01</t>
  </si>
  <si>
    <t>720417.03.01</t>
  </si>
  <si>
    <t>Основы технологии переработки и товаровед.прод.тов...: Уч.пос. / Г.В.Чебакова - 2 изд.-М.:НИЦ ИНФРА-М,2024.-336 с.(П)</t>
  </si>
  <si>
    <t>978-5-16-015699-6</t>
  </si>
  <si>
    <t>19.01.18, 19.01.19, 19.02.10, 19.02.12, 19.02.13, 35.01.23, 38.02.08, 43.01.01, 43.01.04, 43.01.09, 43.02.01, 43.02.15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</si>
  <si>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5 от 19.05.2021)</t>
  </si>
  <si>
    <t>668557.05.01</t>
  </si>
  <si>
    <t>Основы технологии сборки в машиностр.: Уч.пос. / И.В.Шрубченко и др. - М.:НИЦ ИНФРА-М,2025 - 235 с.(ВО)(П)</t>
  </si>
  <si>
    <t>ОСНОВЫ ТЕХНОЛОГИИ СБОРКИ В МАШИНОСТРОЕНИИ</t>
  </si>
  <si>
    <t>Шрубченко И.В., Дуюн Т.А., Погонин А.А. и др.</t>
  </si>
  <si>
    <t>978-5-16-013390-4</t>
  </si>
  <si>
    <t>703216.07.01</t>
  </si>
  <si>
    <t>Основы технологии сборки в машиностроении: Уч.пос. / И.В.Шрубченко - М.:НИЦ ИНФРА-М,2025 - 235 с.(СПО)(П)</t>
  </si>
  <si>
    <t>978-5-16-014867-0</t>
  </si>
  <si>
    <t>15.01.35, 15.01.37, 15.02.04, 15.02.16, 15.02.17, 15.02.19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</si>
  <si>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(профессии) 15.02.07 «Автоматизация технологических процессов и производств (по отраслям)», 15.02.08 «Технология машиностроения» (протокол № 2 от 28.01.2019)</t>
  </si>
  <si>
    <t>706350.02.01</t>
  </si>
  <si>
    <t>Основы технологич. подготовки производства: Уч.пос. / Е.Б.Вотинова.-М.:НИЦ ИНФРА-М,2023.-168 с.(ВО)(П)</t>
  </si>
  <si>
    <t>ОСНОВЫ ТЕХНОЛОГИЧЕСКОЙ ПОДГОТОВКИ ПРОИЗВОДСТВА</t>
  </si>
  <si>
    <t>Вотинова Е.Б., Шалимов М.П., Фивейский А.М.</t>
  </si>
  <si>
    <t>Высшее образование: Бакалавриат (УрФУ)</t>
  </si>
  <si>
    <t>978-5-16-015365-0</t>
  </si>
  <si>
    <t>12.03.05, 15.03.01</t>
  </si>
  <si>
    <t>Рекомендовано методическим советом Уральского федерального университета для студентов вузов, обучающихся по направлениям подготовки 15.03.01 «Машиностроение», 12.03.05 «Лазерная техника и лазерные технологии»</t>
  </si>
  <si>
    <t>Уральский федеральный университет им. первого президента России Б.Н. Ельцина, ф-л Нижнетагильский технологический институт</t>
  </si>
  <si>
    <t>772057.03.01</t>
  </si>
  <si>
    <t>Основы технологич. проектир. в машиностроении: Уч.пос. / Т.А.Дуюн.-М.:НИЦ ИНФРА-М,2022.-271 с.(П)</t>
  </si>
  <si>
    <t>ОСНОВЫ ТЕХНОЛОГИЧЕСКОГО ПРОЕКТИРОВАНИЯ В МАШИНОСТРОЕНИИ</t>
  </si>
  <si>
    <t>Дуюн Т.А., Шрубченко И.В., Хуртасенко А.В. и др.</t>
  </si>
  <si>
    <t>978-5-16-017551-5</t>
  </si>
  <si>
    <t>14.03.01, 15.03.01, 15.03.05, 15.04.05, 15.05.01, 21.05.04, 21.05.06, 23.05.01</t>
  </si>
  <si>
    <t>Утверждено Ученым советом Белгородского государственного технологического университета имени В.Г. Шухова в качестве учебного пособия для студентов высших учебных заведений, обучающихся по направлению подготовки дипломированных специалистов 15.05.01 «Проектирование технологических машин и комплексов», бакалавров, обучающихся по направлениям подготовки 15.03.01 «Машиностроение», 15.03.05 «Конструкторско-технологическое обеспечение машиностроительных производств»</t>
  </si>
  <si>
    <t>690240.04.01</t>
  </si>
  <si>
    <t>Основы товароведения продовольственных товаров: Уч.пос. / Т.С.Павлова - М.:НИЦ ИНФРА-М,2023 - 221с(П)</t>
  </si>
  <si>
    <t>ОСНОВЫ ТОВАРОВЕДЕНИЯ ПРОДОВОЛЬСТВЕННЫХ ТОВАРОВ</t>
  </si>
  <si>
    <t>Павлова Т.С.</t>
  </si>
  <si>
    <t>978-5-16-014724-6</t>
  </si>
  <si>
    <t>19.01.18, 19.01.19, 19.02.10, 19.02.13, 35.01.23, 38.02.08, 43.01.01, 43.01.04, 43.01.09, 43.02.15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</si>
  <si>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(по отраслям)» (протокол № 3 от 17.02.2020)</t>
  </si>
  <si>
    <t>242400.11.01</t>
  </si>
  <si>
    <t>Основы токсикологии: Уч.пос. / П.П.Кукин и др. - М.:НИЦ ИНФРА-М,2025 - 280 с.(ВО)(П))</t>
  </si>
  <si>
    <t>ОСНОВЫ ТОКСИКОЛОГИИ</t>
  </si>
  <si>
    <t>Кукин П.П., Пономарев Н.Л., Таранцева К.Р. и др.</t>
  </si>
  <si>
    <t>978-5-16-009260-7</t>
  </si>
  <si>
    <t>20.03.01, 20.04.01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</si>
  <si>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20.03.01 «Техносферная безопасность»</t>
  </si>
  <si>
    <t>204800.04.01</t>
  </si>
  <si>
    <t>Основы триботехники: Уч. / А.И. Доценко - М.: НИЦ ИНФРА-М, 2018. - 336 с.(ВО: Бакалавриат) (п)</t>
  </si>
  <si>
    <t>ОСНОВЫ ТРИБОТЕХНИКИ</t>
  </si>
  <si>
    <t>Доценко А. И., Буяновский И. А.</t>
  </si>
  <si>
    <t>978-5-16-006712-4</t>
  </si>
  <si>
    <t>08.03.01, 08.04.01, 23.03.02</t>
  </si>
  <si>
    <t>Рекомендовано Учебно-методическим объединением вузов РФ по образованию в области строительства в качестве учебника для студентов, обучающихся по программе бакалавриата по направлению 270800 - «Строительство» (профили «Механизация и автоматизация стро</t>
  </si>
  <si>
    <t>694549.03.01</t>
  </si>
  <si>
    <t>Основы триботехники: Уч. / А.И.Доценко - М.:НИЦ ИНФРА-М,2023 - 336 с.-(СПО)(П)</t>
  </si>
  <si>
    <t>Доценко А.И., Буяновский И.А.</t>
  </si>
  <si>
    <t>978-5-16-014515-0</t>
  </si>
  <si>
    <t>08.02.01, 08.02.02, 08.02.12, 23.02.04, 23.02.08</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</si>
  <si>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на базе основного общего образования</t>
  </si>
  <si>
    <t>727117.07.01</t>
  </si>
  <si>
    <t>Основы турагентской и туроператорской деят.: Уч.пос. / Н.А.Агешкина - М.:НИЦ ИНФРА-М,2025 - 567 с.(СПО)(П)</t>
  </si>
  <si>
    <t>ОСНОВЫ ТУРАГЕНТСКОЙ И ТУРОПЕРАТОРСКОЙ ДЕЯТЕЛЬНОСТИ</t>
  </si>
  <si>
    <t>Агешкина Н.А.</t>
  </si>
  <si>
    <t>978-5-16-015973-7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</si>
  <si>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11 от 09.11.2020)</t>
  </si>
  <si>
    <t>754590.03.01</t>
  </si>
  <si>
    <t>Основы управ. ассортимент. непродовольственных товаров: Уч. / Н.С.Моисеенко-М.:НИЦ ИНФРА-М,2025.-306 с.(п)</t>
  </si>
  <si>
    <t>ОСНОВЫ УПРАВЛЕНИЯ АССОРТИМЕНТОМ НЕПРОДОВОЛЬСТВЕННЫХ ТОВАРОВ</t>
  </si>
  <si>
    <t>Моисеенко Н.С.</t>
  </si>
  <si>
    <t>978-5-16-017826-4</t>
  </si>
  <si>
    <t>Ростовский Технологический Техникум Сервиса</t>
  </si>
  <si>
    <t>838478.01.01</t>
  </si>
  <si>
    <t>Основы управ. перевозочными процессами: Уч.пос. / Д.Ю.Левин - М.:НИЦ ИНФРА-М,2025 - 264 с(СПО)(п)</t>
  </si>
  <si>
    <t>ОСНОВЫ УПРАВЛЕНИЯ ПЕРЕВОЗОЧНЫМИ ПРОЦЕССАМИ</t>
  </si>
  <si>
    <t>Левин Д.Ю.</t>
  </si>
  <si>
    <t>978-5-16-020207-5</t>
  </si>
  <si>
    <t>23.02.01, 23.02.08, 27.02.03</t>
  </si>
  <si>
    <t>769199.05.01</t>
  </si>
  <si>
    <t>Основы управления в органах внутренних дел: Уч. / И.Г.Бавсун - М.:НИЦ ИНФРА-М,2025. - 213 с.-(СПО)(п)</t>
  </si>
  <si>
    <t>ОСНОВЫ УПРАВЛЕНИЯ В ОРГАНАХ ВНУТРЕННИХ ДЕЛ</t>
  </si>
  <si>
    <t>Бавсун И.Г.</t>
  </si>
  <si>
    <t>978-5-16-017353-5</t>
  </si>
  <si>
    <t>Российский государственный университет правосудия, Северо-Западный ф-л</t>
  </si>
  <si>
    <t>654792.03.01</t>
  </si>
  <si>
    <t>Основы управления городом: Уч.пос. / С.Ю.Наумов. - М.:НИЦ ИНФРА-М,2025. - 326 с.(ВО: Бакалавр.)(П)</t>
  </si>
  <si>
    <t>ОСНОВЫ УПРАВЛЕНИЯ ГОРОДОМ</t>
  </si>
  <si>
    <t>Наумов С.Ю., Ведяева Е.С., Гребенникова А.А. и др.</t>
  </si>
  <si>
    <t>978-5-16-017005-3</t>
  </si>
  <si>
    <t>230700.11.01</t>
  </si>
  <si>
    <t>Основы управления перевозочными процессами: Уч.пос. / Д.Ю.Левин - М.:НИЦ ИНФРА-М,2024 - 264 с(ВО)(П)</t>
  </si>
  <si>
    <t>978-5-16-019516-2</t>
  </si>
  <si>
    <t>23.05.01, 23.05.04, 23.05.05</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</si>
  <si>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бакалавров «Технология транспортных процессов» (профиль подготовки: «Организация перевозок и управление на железнодорожном транспорте»)</t>
  </si>
  <si>
    <t>034950.23.01</t>
  </si>
  <si>
    <t>Основы управления персоналом: Уч. / А.Я.Кибанов, - 3 изд. - М.:НИЦ ИНФРА-М,2025 - 440 с.(ВО)(п)</t>
  </si>
  <si>
    <t>ОСНОВЫ УПРАВЛЕНИЯ ПЕРСОНАЛОМ, ИЗД.3</t>
  </si>
  <si>
    <t>Кибанов А. Я.</t>
  </si>
  <si>
    <t>978-5-16-018872-0</t>
  </si>
  <si>
    <t>10.04.01, 14.03.01, 17.03.01, 23.03.01, 25.04.03, 25.04.04, 26.03.02, 29.03.03, 35.03.02, 35.04.06, 38.03.01, 38.03.02, 38.03.03, 38.03.04, 38.03.05, 38.03.06, 38.03.07, 38.04.01, 38.04.02, 38.04.03, 38.04.04, 38.04.05, 38.04.06, 38.04.07, 38.04.08, 38.04.09, 38.05.01, 38.05.02, 41.03.06, 43.04.03, 44.03.01, 51.03.02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</si>
  <si>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080400.62 «Управление персоналом», 081100.62 «Государственное и муниципальное управление» (квалификация (степень) «бакалавр»)</t>
  </si>
  <si>
    <t>077500.12.01</t>
  </si>
  <si>
    <t>Основы управления персоналом: Уч.пос. / А.П.Егоршин, - 4 изд.-М.:НИЦ ИНФРА-М,2024.-352 с.(ВО)(п)</t>
  </si>
  <si>
    <t>ОСНОВЫ УПРАВЛЕНИЯ ПЕРСОНАЛОМ, ИЗД.4</t>
  </si>
  <si>
    <t>978-5-16-019381-6</t>
  </si>
  <si>
    <t>38.03.01, 38.03.02, 38.03.03, 38.03.04, 38.04.02, 38.04.03, 38.04.04, 41.03.06, 43.04.03, 44.03.01, 51.03.02</t>
  </si>
  <si>
    <t>Допущено Министерством образования РФ в качестве учебного пособия для студентов высших учебных заведений, обучающихся по специальности "Управление персоналом"</t>
  </si>
  <si>
    <t>118600.09.01</t>
  </si>
  <si>
    <t>Основы управления персоналом: Уч.пос. / Л.В.Максимова- 2 изд. - М.:НИЦ ИНФРА-М,2024 - 248 с.(ВО)(п)</t>
  </si>
  <si>
    <t>ОСНОВЫ УПРАВЛЕНИЯ ПЕРСОНАЛОМ, ИЗД.2</t>
  </si>
  <si>
    <t>Максимова Л.В.</t>
  </si>
  <si>
    <t>978-5-16-019429-5</t>
  </si>
  <si>
    <t>38.03.01, 38.03.02, 38.03.03, 41.03.06, 44.03.01</t>
  </si>
  <si>
    <t>Рекомендовано кафедрой управления персоналом и экономики труда Школы экономики и менеджмента федерального государственного автономного образовательного учреждения высшего образования «Дальневосточный федеральный университет» по направлениям подготовки 38.03.01 «Экономика», 38.03.02 «Менеджмент», 38.03.03 «Управление персоналом» (квалификация (степень) «бакалавр»)</t>
  </si>
  <si>
    <t>788682.01.01</t>
  </si>
  <si>
    <t>Основы управления продуктом: Уч.пос. / В.И.Алешникова-М.:НИЦ ИНФРА-М,2024.-220 с.(ВО)(п)</t>
  </si>
  <si>
    <t>ОСНОВЫ УПРАВЛЕНИЯ ПРОДУКТОМ</t>
  </si>
  <si>
    <t>978-5-16-018046-5</t>
  </si>
  <si>
    <t>728085.03.01</t>
  </si>
  <si>
    <t>Основы управления проектами гос.-частного партнерства: Уч. / В.В.Артяков-М.:НИЦ ИНФРА-М,2023-192 с.-(П)</t>
  </si>
  <si>
    <t>ОСНОВЫ УПРАВЛЕНИЯ ПРОЕКТАМИ ГОСУДАРСТВЕННО-ЧАСТНОГО ПАРТНЕРСТВА</t>
  </si>
  <si>
    <t>Артяков В.В., Чурсин А.А.</t>
  </si>
  <si>
    <t>978-5-16-016029-0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</si>
  <si>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38.00.00 «Экономика и управление» (квалификация (степень) «магистр») (протокол № 11 от 10.06.2019)</t>
  </si>
  <si>
    <t>684944.02.01</t>
  </si>
  <si>
    <t>Основы управленческого консультирования: Уч. / О.Л.Чуланова-М.:НИЦ ИНФРА-М,2023.-302 с.(ВО)(П)</t>
  </si>
  <si>
    <t>ОСНОВЫ УПРАВЛЕНЧЕСКОГО КОНСУЛЬТИРОВАНИЯ</t>
  </si>
  <si>
    <t>978-5-16-014885-4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</si>
  <si>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 (протокол № 11 от 10.06.2019)</t>
  </si>
  <si>
    <t>683411.05.01</t>
  </si>
  <si>
    <t>Основы учебно-познавательной деят. студ. колледжа...: Уч.пос. / В.А. Беликов — М.:ИНФРА-М,2025-179с(п)</t>
  </si>
  <si>
    <t>ОСНОВЫ УЧЕБНО-ПОЗНАВАТЕЛЬНОЙ ДЕЯТЕЛЬНОСТИ СТУДЕНТОВ КОЛЛЕДЖА. МЕТОДИЧЕСКИЕ СОВЕТЫ ОБУЧАЮЩИМСЯ ПО ФОРМИРОВАНИЮ БАЗОВЫХ УЧЕБНЫХ УМЕНИЙ</t>
  </si>
  <si>
    <t>Беликов В.А., Романов П.Ю.</t>
  </si>
  <si>
    <t>978-5-16-014399-6</t>
  </si>
  <si>
    <t>08.02.03, 31.02.01, 44.02.03, 44.02.05, 44.02.06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</si>
  <si>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на базе основного общего образования</t>
  </si>
  <si>
    <t>Уфимский Университет Науки и Технологий, Сибайский институт ф-л</t>
  </si>
  <si>
    <t>415850.12.01</t>
  </si>
  <si>
    <t>Основы физиологии и анатомии человека..: Уч. пос. / С.В.Степанова - М.: НИЦ ИНФРА-М, 2025 - 205 с.(ВО) (п)</t>
  </si>
  <si>
    <t>ОСНОВЫ ФИЗИОЛОГИИ И АНАТОМИИ ЧЕЛОВЕКА. ПРОФЕССИОНАЛЬНЫЕ ЗАБОЛЕВАНИЯ</t>
  </si>
  <si>
    <t>Степанова С. В., Гармонов С. Ю.</t>
  </si>
  <si>
    <t>978-5-16-005326-4</t>
  </si>
  <si>
    <t>20.03.01, 20.04.01, 44.03.05</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</si>
  <si>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природообустройства» к использованию в качестве учебного пособия для студентов, обучающихся</t>
  </si>
  <si>
    <t>208500.09.01</t>
  </si>
  <si>
    <t>Основы физиологии: Уч. / А.С.Ерохин и др. - М.:НИЦ ИНФРА-М,2025 - 320 с.-(ВО: Бакалавриат)(П)</t>
  </si>
  <si>
    <t>ОСНОВЫ ФИЗИОЛОГИИ</t>
  </si>
  <si>
    <t>Ерохин А. С., Боев В. И., Киселева М. Г.</t>
  </si>
  <si>
    <t>978-5-16-006812-1</t>
  </si>
  <si>
    <t>409050.10.01</t>
  </si>
  <si>
    <t>Основы философии искусства: Уч.пос. / М.В.Логинова-М.:НИЦ ИНФРА-М,2022.-159 с.(ВО)(о)</t>
  </si>
  <si>
    <t>ОСНОВЫ ФИЛОСОФИИ ИСКУССТВА</t>
  </si>
  <si>
    <t>Логинова М.В.</t>
  </si>
  <si>
    <t>978-5-16-019379-3</t>
  </si>
  <si>
    <t>47.03.01, 47.04.01, 50.03.01, 50.03.02, 50.03.03, 50.03.04, 50.04.01, 50.04.02, 50.04.03, 50.04.04, 51.03.01, 51.03.02, 51.03.03, 51.03.04, 51.03.05, 51.03.06, 51.05.01, 53.04.04</t>
  </si>
  <si>
    <t>Допущено УМО по классическому университетскому образованию в качестве учебного пособия для студентов, обучающихся по направлению 035200 «Изящные искусства»</t>
  </si>
  <si>
    <t>075500.24.01</t>
  </si>
  <si>
    <t>Основы философии: Уч. / О.Д.Волкогонова - М.:ИД ФОРУМ,НИЦ ИНФРА-М,2025 - 480 с.(СПО)(П)</t>
  </si>
  <si>
    <t>ОСНОВЫ ФИЛОСОФИИ</t>
  </si>
  <si>
    <t>Волкогонова О.Д., Сидорова Н.М.</t>
  </si>
  <si>
    <t>978-5-8199-0694-1</t>
  </si>
  <si>
    <t>00.02.11</t>
  </si>
  <si>
    <t>686614.03.01</t>
  </si>
  <si>
    <t>Основы философии: Уч. / Под ред. Липского Б.И. - М.:НИЦ ИНФРА-М,2024. - 307 с.(СПО)(П)</t>
  </si>
  <si>
    <t>Липский Б.И., Гусев С.С., Тульчинский Г.Л. и др.</t>
  </si>
  <si>
    <t>978-5-16-015005-5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</si>
  <si>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на базе основного общего образования (протокол № 9 от 28.09.2020)</t>
  </si>
  <si>
    <t>647890.08.01</t>
  </si>
  <si>
    <t>Основы философии: Уч.мет.пос. / Т.В.Голубева - М.:Форум, НИЦ ИНФРА-М,2024. - 266 с.(СПО)(п)</t>
  </si>
  <si>
    <t>Голубева Т.В.</t>
  </si>
  <si>
    <t>978-5-00091-437-3</t>
  </si>
  <si>
    <t>Рекомендовано в качестве учебного пособия для учебных заведений, реализующих программу среднего профессионального образования по всем специальностям</t>
  </si>
  <si>
    <t>785362.01.01</t>
  </si>
  <si>
    <t>Основы философии: Уч.пос. / А.Д.Барышева - М.:НИЦ ИНФРА-М,2025. - 197 с.(СПО)(п)</t>
  </si>
  <si>
    <t>Барышева А.Д.</t>
  </si>
  <si>
    <t>978-5-16-018054-0</t>
  </si>
  <si>
    <t>Саратовский политехнический колледж</t>
  </si>
  <si>
    <t>703533.03.01</t>
  </si>
  <si>
    <t>Основы философии: Уч.пос. / А.Т.Свергузов - М.:НИЦ ИНФРА-М,2025 - 147 с.(СПО)(П)</t>
  </si>
  <si>
    <t>Свергузов А.Т.</t>
  </si>
  <si>
    <t>978-5-16-014880-9</t>
  </si>
  <si>
    <t>043300.25.01</t>
  </si>
  <si>
    <t>Основы философии: Уч.пос. / В.Д.Губин - 4 изд. - М.:Форум,НИЦ ИНФРА-М,2024 - 288 с.-(СПО)(п)</t>
  </si>
  <si>
    <t>ОСНОВЫ ФИЛОСОФИИ, ИЗД.4</t>
  </si>
  <si>
    <t>Губин В.Д.</t>
  </si>
  <si>
    <t>978-5-00091-484-7</t>
  </si>
  <si>
    <t>684135.02.01</t>
  </si>
  <si>
    <t>Основы финансового менеджмента: Уч.пос. / Л.Н.Коршунова-М.:НИЦ ИНФРА-М,2023.-228 с..-(ВО: Специалитет)(П)</t>
  </si>
  <si>
    <t>ОСНОВЫ ФИНАНСОВОГО МЕНЕДЖМЕНТА</t>
  </si>
  <si>
    <t>Коршунова Л.Н., Проданова Н.А., Зацаринная Е.И. и др.</t>
  </si>
  <si>
    <t>978-5-16-014466-5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</si>
  <si>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38.05.01 «Экономическая безопасность» (квалификация (степень) «экономист») (протокол № 12 от 24.06.2019)</t>
  </si>
  <si>
    <t>210200.06.01</t>
  </si>
  <si>
    <t>Основы финансового мониторинга: Уч. пос./ Е.Г.Попкова - М.: ИНФРА-М, 2024 - 166 с. (ВО: Бакалавриат) (о)</t>
  </si>
  <si>
    <t>ОСНОВЫ ФИНАНСОВОГО МОНИТОРИНГА</t>
  </si>
  <si>
    <t>Попкова Е. Г., Акимова О. Е., Попкова Е. Г.</t>
  </si>
  <si>
    <t>978-5-16-006839-8</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</si>
  <si>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t>
  </si>
  <si>
    <t>846300.02.01</t>
  </si>
  <si>
    <t>Основы финансовой грамотности: научно-поп. изд. / А.П.Гарнов - М.:НИЦ ИНФРА-М,2025. - 192 с. [16+](п)</t>
  </si>
  <si>
    <t>ОСНОВЫ ФИНАНСОВОЙ ГРАМОТНОСТИ</t>
  </si>
  <si>
    <t>978-5-16-020491-8</t>
  </si>
  <si>
    <t>27.03.05</t>
  </si>
  <si>
    <t>845324.01.01</t>
  </si>
  <si>
    <t>Основы финансовой грамотности: Уч. / Н.Г.Гаджиев. - М.:НИЦ ИНФРА-М,2025. - 245 с.(СПО)(п)</t>
  </si>
  <si>
    <t>978-5-16-020462-8</t>
  </si>
  <si>
    <t>00.01.07, 00.02.26</t>
  </si>
  <si>
    <t>766866.02.01</t>
  </si>
  <si>
    <t>Основы финансовой грамотности: Уч. / Н.Г.Гаджиев.-М.:НИЦ ИНФРА-М,2023.-245 с.(ВО: Бакалавр.)(п)</t>
  </si>
  <si>
    <t>978-5-16-017498-3</t>
  </si>
  <si>
    <t>00.03.13, 27.03.05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</si>
  <si>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t>
  </si>
  <si>
    <t>800973.01.01</t>
  </si>
  <si>
    <t>Основы финансовой грамотности: Уч.пос. / А.П.Гарнов - М.:НИЦ ИНФРА-М,2024. - 211 с.(ВО (РЭУ))(п)</t>
  </si>
  <si>
    <t>978-5-16-019293-2</t>
  </si>
  <si>
    <t>838830.01.01</t>
  </si>
  <si>
    <t>Основы финансовой грамотности: Уч.пос. / А.П.Гарнов - М.:НИЦ ИНФРА-М,2025. - 211 с.(СПО)(п)</t>
  </si>
  <si>
    <t>978-5-16-020229-7</t>
  </si>
  <si>
    <t>732931.09.01</t>
  </si>
  <si>
    <t>Основы финансовой грамотности: Уч.пос. / Под ред. Кальней В.А. - М.:НИЦ ИНФРА-М,2025 - 248 с.(СПО)(П)</t>
  </si>
  <si>
    <t>Кальней В.А., Рогулина М.Р., Овсянникова Т.В. и др.</t>
  </si>
  <si>
    <t>978-5-16-016198-3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</si>
  <si>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6 от 16.06.2021)</t>
  </si>
  <si>
    <t>447500.09.01</t>
  </si>
  <si>
    <t>Основы флексографии: Уч. / Р.Г.Могинов - М.:НИЦ ИНФРА-М,2025 - 331 с.-(ВО)(П)</t>
  </si>
  <si>
    <t>ОСНОВЫ ФЛЕКСОГРАФИИ</t>
  </si>
  <si>
    <t>Могинов Р.Г., Дмитриев Я.В., Надирова Е.Б.</t>
  </si>
  <si>
    <t>978-5-16-019300-7</t>
  </si>
  <si>
    <t>29.03.03, 29.04.03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</si>
  <si>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обучающихсяпо направлению подготовки 29.03.03 «Технология полиграфического и упаковочного производства» (квалификация (степень) «бакалавр») (протокол № 11 от 09.11.2020)</t>
  </si>
  <si>
    <t>682883.05.01</t>
  </si>
  <si>
    <t>Основы флористики: Уч.пос. / И.С.Шевченко - М.:НИЦ ИНФРА-М,2025. - 269 с.(СПО)(П)</t>
  </si>
  <si>
    <t>ОСНОВЫ ФЛОРИСТИКИ</t>
  </si>
  <si>
    <t>978-5-16-014336-1</t>
  </si>
  <si>
    <t>43.01.11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</si>
  <si>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43.02.05 «Флористика» (протокол № 6 от 08.06.2022)</t>
  </si>
  <si>
    <t>376500.06.01</t>
  </si>
  <si>
    <t>Основы форсайта: Уч. / В.П.Третьяк - 2изд. - М.:Магистр,НИЦ ИНФРА-М,2021-268с.(Бакалавр.)(О)</t>
  </si>
  <si>
    <t>ОСНОВЫ ФОРСАЙТА, ИЗД.2</t>
  </si>
  <si>
    <t>Третьяк В.П., Калиничев В.Л., Козлов В.А.</t>
  </si>
  <si>
    <t>978-5-9776-0448-2</t>
  </si>
  <si>
    <t>Рекомендовано Учебно-методическим объединением вузов России по образованию в области технологии продукции и организации общественного питания в качестве учебника для бакалавров направления 080100 "Экономика и студентов других специальностей вузов пищ</t>
  </si>
  <si>
    <t>727905.01.01</t>
  </si>
  <si>
    <t>Основы функционир. гостиничной индустрии: Уч.пос. / Н.А.Агешкина-М.:НИЦ ИНФРА-М,2023.-328 с.(п)</t>
  </si>
  <si>
    <t>ОСНОВЫ ФУНКЦИОНИРОВАНИЯ ГОСТИНИЧНОЙ ИНДУСТРИИ</t>
  </si>
  <si>
    <t>978-5-16-015974-4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</si>
  <si>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43.02.14 «Гостиничное дело» и 43.02.10 «Туризм» (протокол № 8 от 19.10.2022)</t>
  </si>
  <si>
    <t>127200.09.01</t>
  </si>
  <si>
    <t>Основы функционир. систем сервиса: Уч. пос./В.М.Советов - Альфа-М:ИНФРА-М, 2024-624с(Бакалавр.) (п)</t>
  </si>
  <si>
    <t>ОСНОВЫ ФУНКЦИОНИРОВАНИЯ СИСТЕМ СЕРВИСА</t>
  </si>
  <si>
    <t>Советов В. М., Артюшенко В. М.</t>
  </si>
  <si>
    <t>978-5-98281-169-1</t>
  </si>
  <si>
    <t>Рекомендовано УМО учеб. заведений РФ по образ. в области сервиса и туризма Минобрнауки России в качестве учебного пособия для студентов вузов, обучающихся по специальности 100400 "Сервис"</t>
  </si>
  <si>
    <t>655211.03.01</t>
  </si>
  <si>
    <t>Основы хирургической патологии: Уч. / Б.В.Уша-М.:НИЦ ИНФРА-М,2023.-449 с..-(ВО: Специалитет)(П)</t>
  </si>
  <si>
    <t>ОСНОВЫ ХИРУРГИЧЕСКОЙ ПАТОЛОГИИ</t>
  </si>
  <si>
    <t>Уша Б.В., Концевая С.Ю., Луцай В.И.</t>
  </si>
  <si>
    <t>978-5-16-013804-6</t>
  </si>
  <si>
    <t>Рекомендовано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специальности 36.05.01 «Ветеринария» и направлению подготовки бакалавров 36.03.01 «Ветеринарно-санитарная экспертиза»</t>
  </si>
  <si>
    <t>698860.01.01</t>
  </si>
  <si>
    <t>Основы художественного конструирования автомобиля..: Уч.пос. / В.И.Песков-М.:НИЦ ИНФРА-М,2024-322с.(ВО)(п)</t>
  </si>
  <si>
    <t>ОСНОВЫ ХУДОЖЕСТВЕННОГО КОНСТРУИРОВАНИЯ АВТОМОБИЛЯ: АВТОМОБИЛЬНЫЙ ДИЗАЙН</t>
  </si>
  <si>
    <t>978-5-16-014809-0</t>
  </si>
  <si>
    <t>23.05.01</t>
  </si>
  <si>
    <t>Рекомендовано Ученым советом Нижегородского государственного технического университета им. Р.Е. Алексеева в качестве учебного пособия для студентов специальности «Наземные транспортно-технологические средства» специализации «Автомобили и тракторы»</t>
  </si>
  <si>
    <t>154500.08.01</t>
  </si>
  <si>
    <t>Основы художественного конструирования: Уч. пос. / Л.И.Коротеева - М.:НИЦ ИНФРА-М,2024-304 с.(ВО)(п)</t>
  </si>
  <si>
    <t>ОСНОВЫ ХУДОЖЕСТВЕННОГО КОНСТРУИРОВАНИЯ</t>
  </si>
  <si>
    <t>Коротеева Л.И., Яскин А.П.</t>
  </si>
  <si>
    <t>978-5-16-018962-8</t>
  </si>
  <si>
    <t>15.03.02, 15.04.01, 15.04.02, 51.03.02</t>
  </si>
  <si>
    <t>Рекомендовано в качестве учебника для студентов высших учебных заведений, обучающихся по УГС 13.00.00 «Электро- и теплоэнергетика»; 15.00.00 «Машиностроение»</t>
  </si>
  <si>
    <t>334000.08.01</t>
  </si>
  <si>
    <t>Основы цитологии, эмбриологии и гистологии: Уч. / В.В.Яглов - М.:НИЦ ИНФРА-М,2025 - 637 с.(ВО)(П)</t>
  </si>
  <si>
    <t>ОСНОВЫ ЦИТОЛОГИИ, ЭМБРИОЛОГИИ И ГИСТОЛОГИИ</t>
  </si>
  <si>
    <t>978-5-16-011854-3</t>
  </si>
  <si>
    <t>06.03.01, 06.04.01, 36.03.01, 36.04.01, 36.05.01</t>
  </si>
  <si>
    <t>Допущено Учебно-методическим объединением Российской Федерации по образованию в области ветеринарии и зоотехнии в качестве учебника для студентов высших учебных заведений, обучающихся по специальности 36.05.01 «Ветеринария» (квалификация «ветеринарный врач»)</t>
  </si>
  <si>
    <t>667632.09.01</t>
  </si>
  <si>
    <t>Основы черчения и начертат.геометрии: Уч.пос. / Л.И.Супрун - М.:НИЦ ИНФРА-М, СФУ,2025 - 138 с.(ВО)(О)</t>
  </si>
  <si>
    <t>ОСНОВЫ ЧЕРЧЕНИЯ И НАЧЕРТАТЕЛЬНОЙ ГЕОМЕТРИИ</t>
  </si>
  <si>
    <t>Супрун Л.И., Супрун Е.Г., Устюгова Л.А.</t>
  </si>
  <si>
    <t>978-5-16-020398-0</t>
  </si>
  <si>
    <t>00.03.36, 44.03.01</t>
  </si>
  <si>
    <t>Рекомендовано федеральным государственным бюджетным образовательным учреждением высшего образования «МГТУ им. Н.Э. Баумана» в качестве учебного пособия для студентов высших учебных заведений, обучающихся по направлению подготовки 44.03.01 «Педагогическое образование» (peг. № 2836 от 03.07.2014)</t>
  </si>
  <si>
    <t>339400.08.01</t>
  </si>
  <si>
    <t>Основы эколог. мониторинга: Уч.пос. / И.О.Тихонова - М.:Форум, НИЦ ИНФРА-М,2023 - 240 с.(ВО)(о)</t>
  </si>
  <si>
    <t>ОСНОВЫ ЭКОЛОГИЧЕСКОГО МОНИТОРИНГА</t>
  </si>
  <si>
    <t>Тихонова И.О., Кручинина Н.Е.</t>
  </si>
  <si>
    <t>978-5-00091-041-2</t>
  </si>
  <si>
    <t>05.03.06, 05.04.06, 18.03.02, 18.04.02, 20.03.01</t>
  </si>
  <si>
    <t>Допущено учебно-методическим объединением по образованию в области химическиой технологии и биотехнологии качестве учебного пособия для студентов высших учебньа заведений, обучающихся по направлениям подготовки 18.03.02 (бакалавриат) и 18.04.02 (маги</t>
  </si>
  <si>
    <t>655215.03.01</t>
  </si>
  <si>
    <t>Основы экологии и экономика природ.: Практ.: Уч.пос./Т.Морозова-М.:НИЦ ИНФРА-М, Нов.знание,2019-286с</t>
  </si>
  <si>
    <t>ОСНОВЫ ЭКОЛОГИИ И ЭКОНОМИКА ПРИРОДОПОЛЬЗОВАНИЯ. ПРАКТИКУМ</t>
  </si>
  <si>
    <t>Морозова Т.</t>
  </si>
  <si>
    <t>978-5-16-012780-4</t>
  </si>
  <si>
    <t>205600.08.01</t>
  </si>
  <si>
    <t>Основы экологии: Уч. / Н.К.Христофорова - 3 изд. - М.:Магистр, НИЦ ИНФРА-М,2023 - 640 с.(Бакалавр.)(П)</t>
  </si>
  <si>
    <t>ОСНОВЫ ЭКОЛОГИИ, ИЗД.3</t>
  </si>
  <si>
    <t>Христофорова Н. К.</t>
  </si>
  <si>
    <t>978-5-9776-0272-3</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</si>
  <si>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020400 «Биология</t>
  </si>
  <si>
    <t>639870.10.01</t>
  </si>
  <si>
    <t>Основы экологической экспертизы: Уч. / В.М.Питулько - М.:НИЦ ИНФРА-М,2025 - 566 с.(ВО)(п)</t>
  </si>
  <si>
    <t>ОСНОВЫ ЭКОЛОГИЧЕСКОЙ ЭКСПЕРТИЗЫ</t>
  </si>
  <si>
    <t>Питулько В.М., Иванова В.В., Донченко В.К. и др.</t>
  </si>
  <si>
    <t>978-5-16-020106-1</t>
  </si>
  <si>
    <t>05.03.06, 06.03.01, 13.03.01, 13.03.02, 14.03.01, 14.03.02, 18.03.01, 18.03.02, 19.03.01, 20.03.01, 20.03.02</t>
  </si>
  <si>
    <t>Рекомендовано в качестве учебника для студентов высших учебных заведений, обучающихся по направлениям подготовки 05.03.06 «Экология и природопользование», 06.03.01 «Биология», 13.03.01 «Теплоэнергетика и теплотехника» (квалификация (степень) «бакалавр»)</t>
  </si>
  <si>
    <t>Научно-исследовательский центр экологической безопасности Российской академии наук</t>
  </si>
  <si>
    <t>391900.09.01</t>
  </si>
  <si>
    <t>Основы эконом.,менедж. и маркетинг пред.питания: Уч. / А.М.Фридман - М.:ИЦ РИОР,НИЦ ИНФРА-М,2025 - 229 с.(ПО)(п)</t>
  </si>
  <si>
    <t>ОСНОВЫ  ЭКОНОМИКИ,МЕНЕДЖМЕНТА И МАРКЕТИНГА ПРЕДПРИЯТИЯ ПИТАНИЯ</t>
  </si>
  <si>
    <t>978-5-369-01516-2</t>
  </si>
  <si>
    <t>19.02.10, 19.02.11, 19.02.12, 43.02.01, 43.02.16</t>
  </si>
  <si>
    <t>118250.08.01</t>
  </si>
  <si>
    <t>Основы эконометр. в пакете STATISTICA.: Уч. пос./ К.Э. Плохотников. М.:Вуз. уч, 2024-297 с. +СD (п)</t>
  </si>
  <si>
    <t>ОСНОВЫ ЭКОНОМЕТРИКИ В ПАКЕТЕ STATISTICA</t>
  </si>
  <si>
    <t>Плохотников К. Э.</t>
  </si>
  <si>
    <t>978-5-9558-0114-8</t>
  </si>
  <si>
    <t>38.03.01, 38.03.02, 38.03.05, 38.03.06, 38.04.01, 38.04.02, 38.04.05, 38.04.06, 38.04.08</t>
  </si>
  <si>
    <t>809766.01.01</t>
  </si>
  <si>
    <t>Основы эконометрики в GRETL: Уч.пос. / А.И.Новиков - М.:НИЦ ИНФРА-М,2025. - 170 с.(ВО)(п)</t>
  </si>
  <si>
    <t>ОСНОВЫ ЭКОНОМЕТРИКИ В GRETL</t>
  </si>
  <si>
    <t>Новиков А.И.</t>
  </si>
  <si>
    <t>978-5-16-019034-1</t>
  </si>
  <si>
    <t>694478.04.01</t>
  </si>
  <si>
    <t>Основы экономики космической деят.: Уч.пос. / М.В.Афанасьев - М.:НИЦ ИНФРА-М,2025 - 264 с.(ВО)(П)</t>
  </si>
  <si>
    <t>ОСНОВЫ ЭКОНОМИКИ КОСМИЧЕСКОЙ ДЕЯТЕЛЬНОСТИ</t>
  </si>
  <si>
    <t>Афанасьев М.В.</t>
  </si>
  <si>
    <t>978-5-16-015131-1</t>
  </si>
  <si>
    <t>24.03.01, 24.04.01, 24.05.01, 24.06.01, 38.04.01, 38.06.01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</si>
  <si>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(квалификация (степень) «бакалавр») (протокол № 11 от 26.10.2020)</t>
  </si>
  <si>
    <t>733606.01.01</t>
  </si>
  <si>
    <t>Основы экономики организации: Уч.пос. / И.К.Мищенко.-М.:НИЦ ИНФРА-М,2022.-420 с.(ВО: Бакалавр.)(П)</t>
  </si>
  <si>
    <t>ОСНОВЫ ЭКОНОМИКИ ОРГАНИЗАЦИИ</t>
  </si>
  <si>
    <t>Мищенко И.К., Поволоцкая О.А., Фасенко Т.Е.</t>
  </si>
  <si>
    <t>978-5-16-016406-9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</si>
  <si>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2 от 09.02.2022)</t>
  </si>
  <si>
    <t>036050.17.01</t>
  </si>
  <si>
    <t>Основы экономики: Уч.пос. / З.К.Океанова - 5 изд. - М.:ИД ФОРУМ, НИЦ ИНФРА-М,2025 - 287 с.-(СПО)(П)</t>
  </si>
  <si>
    <t>ОСНОВЫ ЭКОНОМИКИ, ИЗД.5</t>
  </si>
  <si>
    <t>Океанова З.К.</t>
  </si>
  <si>
    <t>978-5-8199-0728-3</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</si>
  <si>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38.00.00 «Экономика и управление»</t>
  </si>
  <si>
    <t>638005.06.01</t>
  </si>
  <si>
    <t>Основы экономической безопасности: Уч. / Н.Н.Карзаева - М.:НИЦ ИНФРА-М,2023 - 275 с.(ВО: Специалитет)(П)</t>
  </si>
  <si>
    <t>ОСНОВЫ ЭКОНОМИЧЕСКОЙ БЕЗОПАСНОСТИ</t>
  </si>
  <si>
    <t>Карзаева Н.Н.</t>
  </si>
  <si>
    <t>978-5-16-012220-5</t>
  </si>
  <si>
    <t>38.00.00, 38.03.01, 38.04.01, 38.05.01</t>
  </si>
  <si>
    <t>Рекомендовано в качестве учебника для студентов высших учебных заведений, обучающихся по направлению подготовки 38.05.01 «Экономическая безопасность» (квалификация (степень) «экономист»)</t>
  </si>
  <si>
    <t>638005.07.01</t>
  </si>
  <si>
    <t>Основы экономической безопасности: Уч./ Н.Н.Карзаева, - 2 изд. - М.:НИЦ ИНФРА-М,2025. - 287 с.(ВО)(п)</t>
  </si>
  <si>
    <t>ОСНОВЫ ЭКОНОМИЧЕСКОЙ БЕЗОПАСНОСТИ, ИЗД.2</t>
  </si>
  <si>
    <t>978-5-16-019633-6</t>
  </si>
  <si>
    <t>079670.16.01</t>
  </si>
  <si>
    <t>Основы экономической теории: Уч. / В.Г.Слагода, - 3 изд. - М.:Форум, ИНФРА-М,2025. - 269 с.(СПО)(О)</t>
  </si>
  <si>
    <t>ОСНОВЫ ЭКОНОМИЧЕСКОЙ ТЕОРИИ, ИЗД.3</t>
  </si>
  <si>
    <t>Слагода В. Г.</t>
  </si>
  <si>
    <t>978-5-00091-091-7</t>
  </si>
  <si>
    <t>38.01.01, 38.01.03, 38.02.01, 38.02.02, 38.02.03, 38.02.06, 38.02.07</t>
  </si>
  <si>
    <t>Допущено Министерством образования и науки Российской Федерации в качестве учебника для студентов образовательных учреждений профессионального образования</t>
  </si>
  <si>
    <t>Финансовый колледж № 35, г. Москва</t>
  </si>
  <si>
    <t>669495.07.01</t>
  </si>
  <si>
    <t>Основы эксплуат.горных машин и оборуд.: Уч.пос. /Под ред. Гилева А.В. - М.:НИЦ ИНФРА-М, СФУ,2025 - 273 с.(п)</t>
  </si>
  <si>
    <t>ОСНОВЫ ЭКСПЛУАТАЦИИ ГОРНЫХ МАШИН И ОБОРУДОВАНИЯ</t>
  </si>
  <si>
    <t>Гилев А.В., Чесноков В.Т., Лаврова Н.Б. и др.</t>
  </si>
  <si>
    <t>978-5-16-016763-3</t>
  </si>
  <si>
    <t>21.05.04, 21.05.05</t>
  </si>
  <si>
    <t>061670.22.01</t>
  </si>
  <si>
    <t>Основы эксплуатации оборуд. и систем газоснабжения: Уч. / О.Н.Брюханов - М.:НИЦ ИНФРА-М,2025 - 256 с.(П)</t>
  </si>
  <si>
    <t>ОСНОВЫ ЭКСПЛУАТАЦИИ ОБОРУДОВАНИЯ И СИСТЕМ ГАЗОСНАБЖЕНИЯ</t>
  </si>
  <si>
    <t>Брюханов О.Н., Плужников А.И.</t>
  </si>
  <si>
    <t>978-5-16-009539-4</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</si>
  <si>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08.02.08 «Монтаж и эксплуатация оборудования и систем газоснабжения»</t>
  </si>
  <si>
    <t>818677.01.01</t>
  </si>
  <si>
    <t>Основы эксплуатации релейной защиты и автоматики: Уч.пос. / Е.Г.Дорохин-М.:НИЦ ИНФРА-М,2024.-410 с.(ВО)(п)</t>
  </si>
  <si>
    <t>ОСНОВЫ ЭКСПЛУАТАЦИИ РЕЛЕЙНОЙ ЗАЩИТЫ И АВТОМАТИКИ</t>
  </si>
  <si>
    <t>Дорохин Е.Г.</t>
  </si>
  <si>
    <t>978-5-16-019509-4</t>
  </si>
  <si>
    <t>13.03.02, 13.04.02, 35.03.06</t>
  </si>
  <si>
    <t>831315.01.01</t>
  </si>
  <si>
    <t>Основы эксплуатации релейной защиты и автоматики: Уч.пос. / Е.Г.Дорохин-М.:НИЦ ИНФРА-М,2024.-410 с.(СПО)(п)</t>
  </si>
  <si>
    <t>978-5-16-019963-4</t>
  </si>
  <si>
    <t>12.01.07, 12.02.07, 13.01.07, 13.02.07, 13.02.12, 15.01.18, 18.01.28, 18.01.35, 18.02.04, 18.02.05, 18.02.07, 18.02.09, 18.02.10, 18.02.13, 18.02.14, 19.01.01, 19.02.11, 19.02.12, 22.02.08, 26.02.02, 27.02.06, 35.02.08, 35.02.18</t>
  </si>
  <si>
    <t>651534.11.01</t>
  </si>
  <si>
    <t>Основы электротехники: Уч. / А.В.Ситников - М.:КУРС, НИЦ ИНФРА-М,2024 - 286 с.(П)</t>
  </si>
  <si>
    <t>ОСНОВЫ ЭЛЕКТРОТЕХНИКИ</t>
  </si>
  <si>
    <t>Ситников А.В.</t>
  </si>
  <si>
    <t>978-5-906923-14-1</t>
  </si>
  <si>
    <t>09.02.01</t>
  </si>
  <si>
    <t>814845.01.01</t>
  </si>
  <si>
    <t>Основы эргономики и безоп. труда: Уч.пос. / Н.И.Чепелев - М.:НИЦ ИНФРА-М,2025. - 253 с.(ВО)(п)</t>
  </si>
  <si>
    <t>ОСНОВЫ ЭРГОНОМИКИ И БЕЗОПАСНОСТЬ ТРУДА</t>
  </si>
  <si>
    <t>Чепелев Н.И., Орловский С.Н., Щекин А.Ю.</t>
  </si>
  <si>
    <t>978-5-16-019762-3</t>
  </si>
  <si>
    <t>853434.01.01</t>
  </si>
  <si>
    <t>Основы этики: Уч. / В.Д.Губин, - 3 изд., - М.:НИЦ ИНФРА-М,2025. - 254 с.(ВО)(п)</t>
  </si>
  <si>
    <t>ОСНОВЫ ЭТИКИ, ИЗД.3</t>
  </si>
  <si>
    <t>Губин В.Д., Некрасова Е.Н.</t>
  </si>
  <si>
    <t>978-5-16-020831-2</t>
  </si>
  <si>
    <t>07.03.03, 07.04.01, 21.05.04, 37.03.01, 37.05.01, 38.03.01, 38.03.02, 38.03.03, 38.03.04, 38.04.02, 39.03.01, 40.03.01, 40.05.02, 40.05.04, 42.03.04, 43.03.01, 44.03.05, 47.03.01, 47.04.02, 51.03.01, 51.03.03, 51.03.04, 51.04.03, 51.05.01, 52.03.06, 52.05.01, 53.03.01, 53.03.03, 53.03.04, 53.03.05, 53.03.06, 54.05.05, 55.05.01, 55.05.04</t>
  </si>
  <si>
    <t>063450.04.01</t>
  </si>
  <si>
    <t>Основы этики: Уч./ В.Д.Губин, - 3 изд., - М.:НИЦ ИНФРА-М,2025. - 254 с.(СПО)(п)</t>
  </si>
  <si>
    <t>978-5-16-016872-2</t>
  </si>
  <si>
    <t>31.01.01, 31.02.01, 31.02.02, 31.02.03, 31.02.04, 31.02.05, 31.02.06, 32.02.01, 34.01.01, 34.02.01, 34.02.02, 39.01.01, 39.02.01, 39.02.03</t>
  </si>
  <si>
    <t>071700.12.01</t>
  </si>
  <si>
    <t>Основы этики:Уч. / А.В.Разин - М.:ИД ФОРУМ, НИЦ ИНФРА-М,2023 - 304 с.-(СПО)(п)</t>
  </si>
  <si>
    <t>ОСНОВЫ ЭТИКИ</t>
  </si>
  <si>
    <t>Разин А. В.</t>
  </si>
  <si>
    <t>978-5-8199-0261-5</t>
  </si>
  <si>
    <t>00.02.11, 00.02.33</t>
  </si>
  <si>
    <t>106950.13.01</t>
  </si>
  <si>
    <t>Основы юридической психологии: Уч. / М.И.Еникеев-М.:Юр.Норма, НИЦ ИНФРА-М,2024.-448 с.(П)</t>
  </si>
  <si>
    <t>ОСНОВЫ ЮРИДИЧЕСКОЙ ПСИХОЛОГИИ</t>
  </si>
  <si>
    <t>Еникеев М.И.</t>
  </si>
  <si>
    <t>978-5-91768-750-6</t>
  </si>
  <si>
    <t>330600.06.01</t>
  </si>
  <si>
    <t>Основы ядерного магнитного резонанса: Уч.пос. / М.П.Евстигнеев-М.:Вуз. уч., НИЦ ИНФРА-М,2023.-247 с.(П)</t>
  </si>
  <si>
    <t>ОСНОВЫ ЯДЕРНОГО МАГНИТНОГО РЕЗОНАНСА</t>
  </si>
  <si>
    <t>Евстигнеев М.П., Лантушенко А.О., Костюков В.В. и др.</t>
  </si>
  <si>
    <t>978-5-9558-0414-9</t>
  </si>
  <si>
    <t>14.04.01, 14.04.02</t>
  </si>
  <si>
    <t>075140.12.01</t>
  </si>
  <si>
    <t>Особ. технол. обработки трикотаж. изделий: Уч. пос. / Т.В. Полянская. - М.:ФОРУМ: ИНФРА-М, 2024. -160 с. (о)</t>
  </si>
  <si>
    <t>ОСОБЕННОСТИ ТЕХНОЛОГИИ ОБРАБОТКИ ТРИКОТАЖНЫХ ИЗДЕЛИЙ</t>
  </si>
  <si>
    <t>Полянская Т. В.</t>
  </si>
  <si>
    <t>978-5-8199-0287-5</t>
  </si>
  <si>
    <t>29.03.01, 29.03.02</t>
  </si>
  <si>
    <t>Рекомендовано УМО в области сервиса в качестве учебного пособия для студентов вузов, обучающихся по специальности 230700 Сервис</t>
  </si>
  <si>
    <t>769272.03.01</t>
  </si>
  <si>
    <t>Особенности квалификации преступ., предусмотр. статьей 303 УК РФ: Уч.пос. /Е.Г.Быкова-М.:Юр.Норма, НИЦ ИНФРА-М,2024-152 с.(П)</t>
  </si>
  <si>
    <t>ОСОБЕННОСТИ КВАЛИФИКАЦИИ ПРЕСТУПЛЕНИЙ, ПРЕДУСМОТРЕННЫХ СТАТЬЕЙ 303 УГОЛОВНОГО КОДЕКСА РФ</t>
  </si>
  <si>
    <t>Быкова Е.Г., Казаков А.А.</t>
  </si>
  <si>
    <t>978-5-00156-215-3</t>
  </si>
  <si>
    <t>433100.07.01</t>
  </si>
  <si>
    <t>Особенности операций мышления и их коррекц..: Уч. пос.  А.А.Тараканова -М.:Форум, НИЦ ИНФРА-М, 2024-176с(ВО)</t>
  </si>
  <si>
    <t>ОСОБЕННОСТИ ОПЕРАЦИЙ МЫШЛЕНИЯ И ИХ КОРРЕКЦИЯ У МЛАДШИХ ШКОЛЬНИКОВ С НАРУШЕНИЯМИ ПИСЬМА</t>
  </si>
  <si>
    <t>Тараканова А.А.</t>
  </si>
  <si>
    <t>978-5-00091-125-9</t>
  </si>
  <si>
    <t>691158.04.01</t>
  </si>
  <si>
    <t>Особенности питания и удобр.овощных культ...: Уч.пос. / В.В.Кидин - М.:НИЦ ИНФРА-М,2024-202с(СПО)(П)</t>
  </si>
  <si>
    <t>ОСОБЕННОСТИ ПИТАНИЯ И УДОБРЕНИЯ ОВОЩНЫХ КУЛЬТУР И КАРТОФЕЛЯ</t>
  </si>
  <si>
    <t>978-5-16-014393-4</t>
  </si>
  <si>
    <t>19.02.11, 19.02.12, 35.01.23, 35.01.26, 35.01.27, 35.02.05, 35.02.07, 35.02.16</t>
  </si>
  <si>
    <t>631795.07.01</t>
  </si>
  <si>
    <t>Особенности питания и удобрения овощных культур и..:Уч.пос. / В.В.Кидин-М.:НИЦ ИНФРА-М,2024-202с(ВО)(п)</t>
  </si>
  <si>
    <t>978-5-16-019052-5</t>
  </si>
  <si>
    <t>35.03.03, 35.03.04, 35.03.05, 35.03.06</t>
  </si>
  <si>
    <t>Рекомендовано в качестве учебного пособия для студентов высших учебных заведений, обучающихся по направлению подготовки 35.03.04 «Агрономия» (квалификация (степень) «бакалавр»)</t>
  </si>
  <si>
    <t>684895.06.01</t>
  </si>
  <si>
    <t>Особенности техн. обработки трикот. изд.: Уч.пос. / Т.В.Полянская - М.:ИД ФОРУМ,НИЦ ИНФРА-М,2024 - 160с.(П)</t>
  </si>
  <si>
    <t>Полянская Т.В.</t>
  </si>
  <si>
    <t>978-5-8199-0810-5</t>
  </si>
  <si>
    <t>29.02.05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</si>
  <si>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29.02.05 «Технология текстильных изделий (по видам)»</t>
  </si>
  <si>
    <t>719464.03.01</t>
  </si>
  <si>
    <t>Особенности учета в торговле и общ. питании: Уч.пос. / Н.А.Качан - 2 изд. -  М.:НИЦ ИНФРА-М,2025 - 167 с.(П)(СПО)</t>
  </si>
  <si>
    <t>ОСОБЕННОСТИ УЧЕТА В ТОРГОВЛЕ И ОБЩЕСТВЕННОМ ПИТАНИИ, ИЗД.2</t>
  </si>
  <si>
    <t>Качан Н.А., Новосельцева С.Н.</t>
  </si>
  <si>
    <t>978-5-16-015741-2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</si>
  <si>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</si>
  <si>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279000.05.01</t>
  </si>
  <si>
    <t>Особенности учета и экон. анализа деят.изд.: Уч.пос. / О.В.Дмитриева - М.:НИЦ ИНФРА-М,2022-244с(П)</t>
  </si>
  <si>
    <t>ОСОБЕННОСТИ УЧЕТА И ЭКОНОМИЧЕСКОГО АНАЛИЗА ДЕЯТЕЛЬНОСТИ ИЗДАТЕЛЬСТВА</t>
  </si>
  <si>
    <t>978-5-16-011713-3</t>
  </si>
  <si>
    <t>38.03.01, 38.03.02, 42.03.03, 42.04.03</t>
  </si>
  <si>
    <t>Допущено УМО по образованию в области полиграфии и книжного дела для студентов высших учебных заведений, обучающихся по направлению подготовки 42.03.03 «Издательское дело»</t>
  </si>
  <si>
    <t>745026.01.01</t>
  </si>
  <si>
    <t>Особенности фондовых рынков эконом. развитых стран: Уч.пос./ В.М.Пищулов-М.:НИЦ ИНФРА-М,2025.-167 с.(ВО)(п)</t>
  </si>
  <si>
    <t>ОСОБЕННОСТИ ФОНДОВЫХ РЫНКОВ ЭКОНОМИЧЕСКИ РАЗВИТЫХ СТРАН</t>
  </si>
  <si>
    <t>978-5-16-016822-7</t>
  </si>
  <si>
    <t>688259.02.01</t>
  </si>
  <si>
    <t>Особые эконом. территории России: Уч.пос. / С.Л.Орлов - М.:ИД ФОРУМ, НИЦ ИНФРА-М,2023 - 199 с.-(ВО)(П)</t>
  </si>
  <si>
    <t>ОСОБЫЕ ЭКОНОМИЧЕСКИЕ ТЕРРИТОРИИ РОССИИ</t>
  </si>
  <si>
    <t>Орлов С.Л., Иванов Г.Г.</t>
  </si>
  <si>
    <t>978-5-8199-0855-6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</si>
  <si>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 (протокол № 17 от 11.11.2019)</t>
  </si>
  <si>
    <t>239800.09.01</t>
  </si>
  <si>
    <t>Острые заболевания яичка у детей: Практ. рук. / Ю.Н. Болотов - М.: НИЦ ИНФРА-М, 2025. - 107 с.(О)</t>
  </si>
  <si>
    <t>ОСТРЫЕ ЗАБОЛЕВАНИЯ ЯИЧКА У ДЕТЕЙ</t>
  </si>
  <si>
    <t>Болотов Ю. Н., Минаев С. В.</t>
  </si>
  <si>
    <t>978-5-16-009225-6</t>
  </si>
  <si>
    <t>31.05.02, 31.06.01, 31.07.01, 31.08.15, 31.08.19</t>
  </si>
  <si>
    <t>Ставропольский государственный медицинский университет Министерства здравоохранения Российской Федерации</t>
  </si>
  <si>
    <t>694252.03.01</t>
  </si>
  <si>
    <t>Острый аппендицит: клиника, диагностика, лечение: Уч.пос. / Под ред. Ачкасова Е.Е.-М.:НИЦ ИНФРА-М,2023-207с.(ВО)(п)</t>
  </si>
  <si>
    <t>ОСТРЫЙ АППЕНДИЦИТ: КЛИНИКА, ДИАГНОСТИКА, ЛЕЧЕНИЕ</t>
  </si>
  <si>
    <t>Ачкасов Е.Е., Забелин М.В., Посудневский В.И. и др.</t>
  </si>
  <si>
    <t>978-5-16-014643-0</t>
  </si>
  <si>
    <t>31.05.01, 31.06.01, 31.08.67</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</si>
  <si>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по направлениям подготовки специалитета 31.05.01 «Лечебное дело», 31.05.02 «Педиатрия», 32.05.01 «Медико-профилактическое дело», 31.05.03 «Стоматология»</t>
  </si>
  <si>
    <t>696455.01.01</t>
  </si>
  <si>
    <t>Острый панкреатит: клиника, диагностика...: Уч.пос. / Е.Е.Ачкасов - М.:НИЦ ИНФРА-М,2020-269 с.(ВО(П)</t>
  </si>
  <si>
    <t>ОСТРЫЙ ПАНКРЕАТИТ: КЛИНИКА, ДИАГНОСТИКА, ЛЕЧЕНИЕ</t>
  </si>
  <si>
    <t>Ачкасов Е.Е., Пугаев А.В., Забелин М.В. и др.</t>
  </si>
  <si>
    <t>978-5-16-014641-6</t>
  </si>
  <si>
    <t>31.05.01, 31.06.01, 31.08.28, 31.08.67</t>
  </si>
  <si>
    <t>776956.01.01</t>
  </si>
  <si>
    <t>Осуществление кадастровых отношений: Уч.пос. / С.А.Липски-М.:НИЦ ИНФРА-М,2023.-198 с(СПО)(П)</t>
  </si>
  <si>
    <t>ОСУЩЕСТВЛЕНИЕ КАДАСТРОВЫХ ОТНОШЕНИЙ</t>
  </si>
  <si>
    <t>978-5-16-017676-5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</si>
  <si>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21.02.05 «Земельно-имущественные отношения» (протокол №10 от 21.12.2022)</t>
  </si>
  <si>
    <t>764683.01.01</t>
  </si>
  <si>
    <t>Осуществление кредитных операций: Уч. / Под ред. Бровкиной Н.Е. - М.:НИЦ ИНФРА-М,2024.-306 с.(СПО (ФинУн))(п)</t>
  </si>
  <si>
    <t>ОСУЩЕСТВЛЕНИЕ КРЕДИТНЫХ ОПЕРАЦИЙ</t>
  </si>
  <si>
    <t>Терновская Е.П., Ушанов А.Е., Бровкина Н.Е. и др.</t>
  </si>
  <si>
    <t>978-5-16-018554-5</t>
  </si>
  <si>
    <t>384000.09.01</t>
  </si>
  <si>
    <t>Ответственность за наруш.антимонопол..: Моногр. / С.В.Максимов - М.:Юр.Норма,НИЦ ИНФРА-М,2025 - 144 с.(О)</t>
  </si>
  <si>
    <t>ОТВЕТСТВЕННОСТЬ ЗА НАРУШЕНИЯ АНТИМОНОПОЛЬНОГО ЗАКОНОДАТЕЛЬСТВА: ПРОБЛЕМЫ ТЕОРИИ И ПРАКТИКИ</t>
  </si>
  <si>
    <t>Максимов С.В., Пузыревский С.А.</t>
  </si>
  <si>
    <t>978-5-91768-731-5</t>
  </si>
  <si>
    <t>38.03.04, 40.03.01, 40.05.01, 40.05.02, 40.05.03, 40.05.04, 40.06.01, 44.03.05</t>
  </si>
  <si>
    <t>675395.04.01</t>
  </si>
  <si>
    <t>Ответственность за наруш.финанс.законодат.: Уч.пос./ А.А.Ситник - М.:Юр.Норма,НИЦ ИНФРА-М,2023 -112с</t>
  </si>
  <si>
    <t>ОТВЕТСТВЕННОСТЬ ЗА НАРУШЕНИЕ ФИНАНСОВОГО ЗАКОНОДАТЕЛЬСТВА</t>
  </si>
  <si>
    <t>Ситник А.А., Горлова Е.Н., Соболь О.С.</t>
  </si>
  <si>
    <t>978-5-91768-888-6</t>
  </si>
  <si>
    <t>38.05.01, 40.03.01, 40.05.01, 40.05.02, 40.05.03, 40.05.04</t>
  </si>
  <si>
    <t>675395.05.01</t>
  </si>
  <si>
    <t>Ответственность за наруш.финанс.законодат.: Уч.пос./ А.А.Ситник -2изд.- М.:Юр.Норма,НИЦ ИНФРА-М,2024 -128с</t>
  </si>
  <si>
    <t>ОТВЕТСТВЕННОСТЬ ЗА НАРУШЕНИЕ ФИНАНСОВОГО ЗАКОНОДАТЕЛЬСТВА, ИЗД.2</t>
  </si>
  <si>
    <t>978-5-00156-354-9</t>
  </si>
  <si>
    <t>647415.08.01</t>
  </si>
  <si>
    <t>Отечественная история: Краткий учеб. курс / Ю.И.Дубровин и др. - М.:Юр.Норма, НИЦ ИНФРА-М,2024 - 144с(О)</t>
  </si>
  <si>
    <t>ОТЕЧЕСТВЕННАЯ ИСТОРИЯ</t>
  </si>
  <si>
    <t>Дубровин Ю.И., Дубровина О.Ю., Плотникова О.В.</t>
  </si>
  <si>
    <t>978-5-91768-796-4</t>
  </si>
  <si>
    <t>144900.07.01</t>
  </si>
  <si>
    <t>Отечественная история: Курс лекций / С.П.Бычков-М.:Форум, НИЦ ИНФРА-М,2024.-320 с.(ВО)(п)</t>
  </si>
  <si>
    <t>ОТЕЧЕСТВЕННАЯ ИСТОРИЯ. КУРС ЛЕКЦИЙ</t>
  </si>
  <si>
    <t>Бычков С. П., Дусь Ю. П.</t>
  </si>
  <si>
    <t>978-5-91134-490-0</t>
  </si>
  <si>
    <t>159400.14.01</t>
  </si>
  <si>
    <t>Отечественная история: Уч. / И.Н.Кузнецов - М.:ИНФРА-М,2024 - 639с.(ВО)(П)</t>
  </si>
  <si>
    <t>978-5-16-004430-9</t>
  </si>
  <si>
    <t>Рекомендованно в качестве учебника для студентов высших учебных заведений, обучающихся по неисторическим направлениям и специальностям</t>
  </si>
  <si>
    <t>683084.07.01</t>
  </si>
  <si>
    <t>Отечественная история: Уч. / И.Н.Кузнецов - М.:НИЦ ИНФРА-М,2024. - 639 с.(СПО)(П)</t>
  </si>
  <si>
    <t>978-5-16-013992-0</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</si>
  <si>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t>
  </si>
  <si>
    <t>135700.12.01</t>
  </si>
  <si>
    <t>Отечественная история: Уч. / Н.В. Шишова, - М.: ИНФРА-М, 2024-462с.(ВО) (п)</t>
  </si>
  <si>
    <t>Шишова Н. В., Мининкова Л. В., Ушкалов В. А.</t>
  </si>
  <si>
    <t>978-5-16-004480-4</t>
  </si>
  <si>
    <t>061700.17.01</t>
  </si>
  <si>
    <t>Отопление и тепловые сети: Уч. / Ю.М.Варфоломеев - М.:НИЦ ИНФРА-М,2025 - 480 с.(СПО)(П)</t>
  </si>
  <si>
    <t>ОТОПЛЕНИЕ И ТЕПЛОВЫЕ СЕТИ</t>
  </si>
  <si>
    <t>Варфоломеев Ю.М., Кокорин О.Я.</t>
  </si>
  <si>
    <t>978-5-16-017128-9</t>
  </si>
  <si>
    <t>08.02.04, 08.02.13, 08.02.14, 13.02.02, 15.02.06, 18.01.27, 18.01.28, 19.01.01</t>
  </si>
  <si>
    <t>Леноблэнергострой</t>
  </si>
  <si>
    <t>660012.08.01</t>
  </si>
  <si>
    <t>ОТСМ-ТРИЗ: подходы и практика применения: Уч.пос. / Н.А.Шпаковский-М.:НИЦ ИНФРА-М,2023.-504 с.(ВО)(П)</t>
  </si>
  <si>
    <t>ОТСМ-ТРИЗ: ПОДХОДЫ И ПРАКТИКА ПРИМЕНЕНИЯ</t>
  </si>
  <si>
    <t>Шпаковский Н.А.</t>
  </si>
  <si>
    <t>978-5-16-013105-4</t>
  </si>
  <si>
    <t>15.04.01, 15.04.02, 27.04.07</t>
  </si>
  <si>
    <t>Рекомендовано Учебно-методическим советом ВО в качестве учебного пособия для студентов высших учебных заведений, обучающихся по техническим специальностям (квалификация (степень) «инженер»)</t>
  </si>
  <si>
    <t>POSCO</t>
  </si>
  <si>
    <t>416400.06.01</t>
  </si>
  <si>
    <t>Офшорный бизнес во внешнеэкономической деят.: Уч. пос./Г.М.Костюнина.-М.:НИЦ ИНФРА-М,2023.-352 с.(П)</t>
  </si>
  <si>
    <t>ОФШОРНЫЙ БИЗНЕС ВО ВНЕШНЕЭКОНОМИЧЕСКОЙ ДЕЯТЕЛЬНОСТИ</t>
  </si>
  <si>
    <t>Костюнина Г. М., Баронов В. И., Буглай В. Б., Платонова И. Н., Костюнина Г. М.</t>
  </si>
  <si>
    <t>978-5-16-006243-3</t>
  </si>
  <si>
    <t>38.04.01, 38.04.02, 38.04.04</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</si>
  <si>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магистратуры)</t>
  </si>
  <si>
    <t>329300.07.01</t>
  </si>
  <si>
    <t>Охрана общественного порядка.: Уч.пос. / А.А.Беженцев-М.:Вуз. уч., НИЦ ИНФРА-М,2024.-253 с.(П)</t>
  </si>
  <si>
    <t>ОХРАНА ОБЩЕСТВЕННОГО ПОРЯДКА</t>
  </si>
  <si>
    <t>978-5-9558-0413-2</t>
  </si>
  <si>
    <t>706668.04.01</t>
  </si>
  <si>
    <t>Охрана общественного порядка: Уч.пос. / А.А.Беженцев - М.:Вуз. уч., НИЦ ИНФРА-М,2025. - 251 с.(СПО)(п)</t>
  </si>
  <si>
    <t>978-5-9558-0639-6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</si>
  <si>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4 от 25.02.2019)</t>
  </si>
  <si>
    <t>329300.08.01</t>
  </si>
  <si>
    <t>Охрана общественного порядка: Уч.пос. / А.А.Беженцев, - 2 изд. - М.:НИЦ ИНФРА-М,2025. - 253 с.(ВО)(п)</t>
  </si>
  <si>
    <t>ОХРАНА ОБЩЕСТВЕННОГО ПОРЯДКА, ИЗД.2</t>
  </si>
  <si>
    <t>978-5-16-020044-6</t>
  </si>
  <si>
    <t>460600.08.01</t>
  </si>
  <si>
    <t>Охрана окружающей среды..: Уч.пос. / Б.С.Ксенофонтов-М.:ИД Форум, НИЦ ИНФРА-М,2023.-200 с.(ВО)(О)</t>
  </si>
  <si>
    <t>ОХРАНА ОКРУЖАЮЩЕЙ СРЕДЫ: БИОТЕХНОЛОГИЧЕСКИЕ ОСНОВЫ</t>
  </si>
  <si>
    <t>978-5-8199-0922-5</t>
  </si>
  <si>
    <t>05.03.06, 20.03.01, 20.04.01, 44.03.05</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</si>
  <si>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«Техносферная безопасность» (20.03.01 и 20.04.01)</t>
  </si>
  <si>
    <t>684804.07.01</t>
  </si>
  <si>
    <t>Охрана окружающей среды: Уч.пос. / Л.И.Егоренков - М.:НИЦ ИНФРА-М,2023 - 248 с.-(СПО)(П)</t>
  </si>
  <si>
    <t>ОХРАНА ОКРУЖАЮЩЕЙ СРЕДЫ</t>
  </si>
  <si>
    <t>978-5-16-016838-8</t>
  </si>
  <si>
    <t>00.02.01, 00.02.37, 05.02.01, 05.02.02, 05.02.03, 15.01.29, 20.02.01, 34.02.01, 35.01.01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</si>
  <si>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05.02.00 «Науки о земле»</t>
  </si>
  <si>
    <t>411200.09.01</t>
  </si>
  <si>
    <t>Охрана окружающей среды: Уч.пос. / Л.И.Егоренков-2 изд.-М.:НИЦ ИНФРА-М,2024-226 с.(ВО: Бакалавриат)(п)</t>
  </si>
  <si>
    <t>ОХРАНА ОКРУЖАЮЩЕЙ СРЕДЫ, ИЗД.2</t>
  </si>
  <si>
    <t>978-5-16-017517-1</t>
  </si>
  <si>
    <t>05.03.01, 05.03.02, 05.03.04, 05.03.05, 05.03.06, 20.03.02, 44.03.05</t>
  </si>
  <si>
    <t>411200.07.01</t>
  </si>
  <si>
    <t>Охрана окружающей среды: Уч.пос. / Л.И.Егоренков-М.:Форум, НИЦ ИНФРА-М,2020.-248 с.(ВО:Бакалавр.)(П)</t>
  </si>
  <si>
    <t>Егоренков Л. И.</t>
  </si>
  <si>
    <t>978-5-00091-702-2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</si>
  <si>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05.03.06 «Экология и природопользование», 20.03.02 «Природообустройство и водопользование» (квалификация (степень) «бакалавр») (протокол № 5 от 11.03.2019)</t>
  </si>
  <si>
    <t>632395.04.01</t>
  </si>
  <si>
    <t>Охрана репродукт.здоровья и план.семьи: Уч. / Под ред. Сивочаловой О.В.-М.:НИЦ ИНФРА-М,2024-328с.(П)</t>
  </si>
  <si>
    <t>ОХРАНА РЕПРОДУКТИВНОГО ЗДОРОВЬЯ И ПЛАНИРОВАНИЕ СЕМЬИ</t>
  </si>
  <si>
    <t>Сивочалова О.В., Линева О.И., Фесенко М.А. и др.</t>
  </si>
  <si>
    <t>978-5-16-011989-2</t>
  </si>
  <si>
    <t>31.02.01, 31.02.02, 34.02.01</t>
  </si>
  <si>
    <t>Рекомендовано в качестве учебника для учебных заведений, реализующих программу среднего профессионального образования по специальностям 31.02.01 «Лечебное дело», 31.02.02 «Акушерское дело», 32.02.01 «Медико-профилактическое дело»</t>
  </si>
  <si>
    <t>Научно-исследовательский институт медицины труда</t>
  </si>
  <si>
    <t>782573.01.01</t>
  </si>
  <si>
    <t>Охрана труда в АПК: Уч.пос. / Н.И.Чепелев-М.:НИЦ ИНФРА-М,2023.-232 с.(ВО (КрГАУ))(п)</t>
  </si>
  <si>
    <t>ОХРАНА ТРУДА В АПК</t>
  </si>
  <si>
    <t>Чепелев Н.И., Маслова Т.В.</t>
  </si>
  <si>
    <t>978-5-16-018285-8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</si>
  <si>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направлению подготовки 20.03.01 «Техносферная безопасность», профиль «Безопасность технологических процессов и производств в АПК»</t>
  </si>
  <si>
    <t>345100.14.01</t>
  </si>
  <si>
    <t>Охрана труда в обществ. питании и..: Уч.пос. / К.Я.Гайворонский - 2 изд. - М.:НИЦ ИНФРА-М,2025. - 169 с.(П)</t>
  </si>
  <si>
    <t>ОХРАНА ТРУДА В ОБЩЕСТВЕННОМ ПИТАНИИ И ТОРГОВЛЕ, ИЗД.2</t>
  </si>
  <si>
    <t>Гайворонский К.Я.</t>
  </si>
  <si>
    <t>978-5-16-017172-2</t>
  </si>
  <si>
    <t>38.02.08, 43.02.11, 43.02.15, 43.02.16</t>
  </si>
  <si>
    <t>Рекомендовано УМК в качестве учебного пособия для студентов средних специальных учебных заведений, обучающихся по профилю 19.02.10 «Технология продукции общественного питания (квалификация техник-технолог)», 38.10.02.05 «Товароведение и экспертиза качества потребительских товаров (квалификация товаровед-эксперт)», 38.02.04 «Коммерция (по отраслям)»</t>
  </si>
  <si>
    <t>345100.12.01</t>
  </si>
  <si>
    <t>Охрана труда в обществ. питании...: Уч.пос. / К.Я.Гайворонский-М.:ИД Форум, НИЦ ИНФРА-М,2023.-125 с.(О)</t>
  </si>
  <si>
    <t>ОХРАНА ТРУДА В ОБЩЕСТВЕННОМ ПИТАНИИ И ТОРГОВЛЕ</t>
  </si>
  <si>
    <t>978-5-8199-0706-1</t>
  </si>
  <si>
    <t>764409.03.01</t>
  </si>
  <si>
    <t>Охрана труда для повара-кондитера: Уч.пос./ А.В.Добычина - М.:НИЦ ИНФРА-М,2025. - 129 с.(СПО)(П)</t>
  </si>
  <si>
    <t>ОХРАНА ТРУДА ДЛЯ ПОВАРА-КОНДИТЕРА</t>
  </si>
  <si>
    <t>Добычина А.В., АВАНГАРД-БУКС О.</t>
  </si>
  <si>
    <t>978-5-16-017535-5</t>
  </si>
  <si>
    <t>43.01.09, 43.02.15</t>
  </si>
  <si>
    <t>088200.16.01</t>
  </si>
  <si>
    <t>Охрана труда на авто. транспорте: Уч.пос. / И.С.Туревский-М.:ИД ФОРУМ, НИЦ ИНФРА-М,2025-240 с.(СПО) (П)</t>
  </si>
  <si>
    <t>ОХРАНА ТРУДА НА АВТОМОБИЛЬНОМ ТРАНСПОРТЕ</t>
  </si>
  <si>
    <t>Туревский И. С.</t>
  </si>
  <si>
    <t>978-5-8199-0755-9</t>
  </si>
  <si>
    <t>15.02.16, 23.01.03, 23.01.17, 23.02.02, 23.02.03, 23.02.07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</si>
  <si>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23.02.03 «Техническое обслуживание и ремонт автомобильного транспорта»</t>
  </si>
  <si>
    <t>782043.01.01</t>
  </si>
  <si>
    <t>Охрана труда на предприятиях АПК: правов...: Уч.пос. / А.Н.Ковальчук, - 2 изд.-М.:НИЦ ИНФРА-М,2023.-451 с.(П)</t>
  </si>
  <si>
    <t>ОХРАНА ТРУДА НА ПРЕДПРИЯТИЯХ АПК: ПРАВОВЫЕ, ОРГАНИЗАЦИОННЫЕ И ТЕХНИЧЕСКИЕ АСПЕКТЫ, ИЗД.2</t>
  </si>
  <si>
    <t>978-5-16-018070-0</t>
  </si>
  <si>
    <t>19.02.10, 19.02.11, 19.02.12, 19.02.13, 35.02.07, 35.02.08, 35.02.14, 38.02.01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</si>
  <si>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специальностям 19.02.08 «Технология мяса и мясных продуктов», 35.02.07 «Механизация сельского хозяйства», 35.02.08 «Электрификация и автоматизация сельского¶хозяйства», 35.02.13 «Пчеловодство», 35.02.14 «Охотоведение и звероводство», 38.02.01 «Экономика и бухгалтерский учет»</t>
  </si>
  <si>
    <t>340300.06.01</t>
  </si>
  <si>
    <t>Охрана труда. Методика проведения...: Уч.пос. /Г.В.Пачурин -2изд.-М.:Форум:НИЦ ИНФРА-М,2024-143с (О)</t>
  </si>
  <si>
    <t>ОХРАНА ТРУДА. МЕТОДИКА ПРОВЕДЕНИЯ РАССЛЕДОВАНИЙ НЕСЧАСТНЫХ СЛУЧАЕВ НА ПРОИЗВОДСТВЕ, ИЗД.2</t>
  </si>
  <si>
    <t>Пачурин Г.В., Щенников Н.И., Курагина Т.И.</t>
  </si>
  <si>
    <t>978-5-00091-671-1</t>
  </si>
  <si>
    <t>13.03.03, 13.04.03, 20.03.01, 20.04.01, 23.03.03, 23.04.03, 40.05.01, 40.05.02, 40.05.03, 40.05.04</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</si>
  <si>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20.03.01 (бакалавриат) и 20.04.01 (магистратура) «Техносферная безопасность», 23.03.03 (бакалавриат) и 23.04.03 (магистратура) «Эксплуатация транспортно-технологических машин и комплексов», 13.03.03 (бакалавриат) и 13.04.03 (магистратура) «Энергетическое машиностроение»</t>
  </si>
  <si>
    <t>107800.16.01</t>
  </si>
  <si>
    <t>Охрана труда: Уч. / М.В.Графкина - 3 изд. - М.:НИЦ ИНФРА-М,2025 - 212 с. - (СПО)(п)</t>
  </si>
  <si>
    <t>ОХРАНА ТРУДА, ИЗД.3</t>
  </si>
  <si>
    <t>Графкина М.В.</t>
  </si>
  <si>
    <t>978-5-16-016522-6</t>
  </si>
  <si>
    <t>00.02.22, 15.02.03, 15.02.06, 15.02.10, 15.02.16, 15.02.17, 15.02.18, 15.02.19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</si>
  <si>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15.02.15 «Технология металлообрабатывающего производства»; 15.02.11 «Техническая эксплуатация и обслуживание роботизированного производства»; 15.02.14 «Оснащение средствами автоматизации технологических процессов и производств (по отраслям)» (протокол № 11 от 09.11.2020)</t>
  </si>
  <si>
    <t>758082.05.01</t>
  </si>
  <si>
    <t>Охрана труда: Уч. / М.В.Графкина - 3 изд. - М.:НИЦ ИНФРА-М,2025 - 212 с.(ВО: Бакалавр.)(П)</t>
  </si>
  <si>
    <t>978-5-16-017007-7</t>
  </si>
  <si>
    <t>00.03.01, 00.05.01, 15.03.01, 15.03.02, 15.03.03, 15.03.04, 15.03.05, 15.03.06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</si>
  <si>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11 от 09.11.2020)</t>
  </si>
  <si>
    <t>107800.10.01</t>
  </si>
  <si>
    <t>Охрана труда: Уч.пос. / М.В.Графкина - 2 изд. - М.:Форум, НИЦ ИНФРА-М,2020 - 298 с.-(СПО)(П)</t>
  </si>
  <si>
    <t>ОХРАНА ТРУДА, ИЗД.2</t>
  </si>
  <si>
    <t>978-5-00091-430-4</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</si>
  <si>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непроизводственной сферы</t>
  </si>
  <si>
    <t>706825.02.01</t>
  </si>
  <si>
    <t>Оценка воздействия на окружающую среду: Уч.пос. / В.В.Стрельников-М.:НИЦ ИНФРА-М,2023.-157 с.(ВО)(п)</t>
  </si>
  <si>
    <t>ОЦЕНКА ВОЗДЕЙСТВИЯ НА ОКРУЖАЮЩУЮ СРЕДУ</t>
  </si>
  <si>
    <t>978-5-16-015390-2</t>
  </si>
  <si>
    <t>773693.04.01</t>
  </si>
  <si>
    <t>Оценка и управление стоимостью предпр.: Уч.пос. / Ю.В.Вертакова - М.:НИЦ ИНФРА-М,2025 - 175 с.(ВО)(П)</t>
  </si>
  <si>
    <t>ОЦЕНКА И УПРАВЛЕНИЕ СТОИМОСТЬЮ ПРЕДПРИЯТИЯ</t>
  </si>
  <si>
    <t>Вертакова Ю.В., Пирогова О.Е., Плотников В.А.</t>
  </si>
  <si>
    <t>978-5-16-017556-0</t>
  </si>
  <si>
    <t>00.03.13, 38.03.02, 38.04.02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</si>
  <si>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15.12.2021)</t>
  </si>
  <si>
    <t>Финансовый университет при Правительстве Российской Федерации, Курский ф-л</t>
  </si>
  <si>
    <t>660860.04.01</t>
  </si>
  <si>
    <t>Оценка имущества: материал. и..: Уч.пос. / И.Г.Кукукина- 2 изд.-М.:НИЦ ИНФРА-М,2024.-190 с.(ВО)(п)</t>
  </si>
  <si>
    <t>ОЦЕНКА ИМУЩЕСТВА: МАТЕРИАЛЬНЫЕ И НЕМАТЕРИАЛЬНЫЕ АКТИВЫ, БИЗНЕС, ИЗД.2</t>
  </si>
  <si>
    <t>Кукукина И.Г., Мошкарина М.В.</t>
  </si>
  <si>
    <t>978-5-16-019120-1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</si>
  <si>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</si>
  <si>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480450.07.01</t>
  </si>
  <si>
    <t>Оценка качества молока и молочных продуктов: Уч.мет.пос. / Г.В.Чебакова - М.:НИЦ ИНФРА-М,2025 - 182 с.(ВО)(о)</t>
  </si>
  <si>
    <t>ОЦЕНКА КАЧЕСТВА МОЛОКА И МОЛОЧНЫХ ПРОДУКТОВ</t>
  </si>
  <si>
    <t>Чебакова Г.В., Зачесова И.А.</t>
  </si>
  <si>
    <t>978-5-16-010352-5</t>
  </si>
  <si>
    <t>Допущено Учебно-методическим объединением высших учебных заведений Российской Федерации по образованию в области зоотехники и ветеринарии в качестве учебно-методического пособия для студентов высших учебных заведений, обучающихся по направлению подготовки (специальности) 36.03.02 Зоотехния (квалификация (степень) «бакалавр»)</t>
  </si>
  <si>
    <t>645512.05.01</t>
  </si>
  <si>
    <t>Оценка качества научно-педагог. исслед.: Уч.пос./ В.М.Полонский,- 2изд.-М.:НИЦ ИНФРА-М,2023.-220с(П)</t>
  </si>
  <si>
    <t>ОЦЕНКА КАЧЕСТВА НАУЧНО-ПЕДАГОГИЧЕСКИХ ИССЛЕДОВАНИЙ, ИЗД.2</t>
  </si>
  <si>
    <t>Полонский В.М.</t>
  </si>
  <si>
    <t>978-5-16-012472-8</t>
  </si>
  <si>
    <t>44.04.01, 44.04.02, 44.04.03, 44.04.04</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</si>
  <si>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44.04.00 «Образование и педагогические науки» (квалификация (степень) «магистр»)</t>
  </si>
  <si>
    <t>186600.09.01</t>
  </si>
  <si>
    <t>Оценка качества програм. обеспеч.: Практ.: Уч. пос. / Б.В.Черников - М.:ИД ФОРУМ:Инфра-М, 2025 - 400 с.(ВО) (п)</t>
  </si>
  <si>
    <t>ОЦЕНКА КАЧЕСТВА ПРОГРАММНОГО ОБЕСПЕЧЕНИЯ: ПРАКТИКУМ</t>
  </si>
  <si>
    <t>Черников Б. В., Поклонов Б. Е., Черников Б. В.</t>
  </si>
  <si>
    <t>978-5-8199-0516-6</t>
  </si>
  <si>
    <t>02.04.03, 38.03.05, 38.04.05</t>
  </si>
  <si>
    <t>Рекомендовано Учебно-методическим объединением вузов России по образованию в области экономики, менеджмента, логистики и бизнес-информатики в качестве учебного пособия для студ. вузов, обуч. по напр. подготовки 080700 "Бизнес-информатика"</t>
  </si>
  <si>
    <t>136100.09.01</t>
  </si>
  <si>
    <t>Оценка машин и оборудования: Уч. / Под ред. Федотовой М.А. - 2 изд. - М.:НИЦ ИНФРА-М,2025 - 324 с.(ВО)(П)</t>
  </si>
  <si>
    <t>ОЦЕНКА МАШИН И ОБОРУДОВАНИЯ, ИЗД.2</t>
  </si>
  <si>
    <t>Федотова М.А., Ковалев А.П., Кушель А.А. и др.</t>
  </si>
  <si>
    <t>978-5-16-018916-1</t>
  </si>
  <si>
    <t>131700.11.01</t>
  </si>
  <si>
    <t>Оценка объектов недвижимости: Уч. / А.А.Варламов - 3 изд.-М.:НИЦ ИНФРА-М,2024.-320 с.(ВО)(П)</t>
  </si>
  <si>
    <t>ОЦЕНКА ОБЪЕКТОВ НЕДВИЖИМОСТИ, ИЗД.3</t>
  </si>
  <si>
    <t>Варламов А.А., Комаров С.И., Варламов А.А.</t>
  </si>
  <si>
    <t>978-5-16-020020-0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</si>
  <si>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21.03.02 «Землеустройство и кадастры» (квалификация (степень) «бакалавр») (протокол № 9 от 17.11.2022)</t>
  </si>
  <si>
    <t>131700.08.01</t>
  </si>
  <si>
    <t>Оценка объектов недвижимости: Уч. /А.А.Варламов - 2 изд. - М.:НИЦ ИНФРА-М,2019-352с(ВО:Бакалавр.)(П)</t>
  </si>
  <si>
    <t>ОЦЕНКА ОБЪЕКТОВ НЕДВИЖИМОСТИ, ИЗД.2</t>
  </si>
  <si>
    <t>978-5-16-015344-5</t>
  </si>
  <si>
    <t>Рекомендовано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</si>
  <si>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373300.09.01</t>
  </si>
  <si>
    <t>Оценка персонала в организации: Уч.пос. / А.М.Асалиев - 2 изд..-М.:НИЦ ИНФРА-М,2023.-171 с.(ВО)(П)</t>
  </si>
  <si>
    <t>ОЦЕНКА ПЕРСОНАЛА В ОРГАНИЗАЦИИ, ИЗД.2</t>
  </si>
  <si>
    <t>Асалиев А.М., Вукович Г.Г., Кириллова О.Г. и др.</t>
  </si>
  <si>
    <t>978-5-16-015986-7</t>
  </si>
  <si>
    <t>38.03.01, 38.04.03</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</si>
  <si>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</si>
  <si>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652902.05.01</t>
  </si>
  <si>
    <t>Оценка регулирующего возд. и регулятор.полит.: Уч.пос. / И.Д.Тургель - М.:НИЦ ИНФРА-М,2024 - 223 с.(ВО)(П)</t>
  </si>
  <si>
    <t>ОЦЕНКА РЕГУЛИРУЮЩЕГО ВОЗДЕЙСТВИЯ И РЕГУЛЯТОРНАЯ ПОЛИТИКА</t>
  </si>
  <si>
    <t>Тургель И.Д., Вейберт С.И., Рахмеева И.И. и др.</t>
  </si>
  <si>
    <t>978-5-16-013125-2</t>
  </si>
  <si>
    <t>38.03.01, 38.03.04, 38.04.04, 38.04.09, 38.05.01, 40.03.01, 40.04.01, 40.05.01, 40.05.02, 40.05.03, 40.05.04, 44.03.01, 44.03.05</t>
  </si>
  <si>
    <t>Рекомендовано в качестве учебного пособия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t>
  </si>
  <si>
    <t>652970.08.01</t>
  </si>
  <si>
    <t>Оценка стоимости немат. активов и интел. собст.: Уч. / М.А.Федотова -2 изд.-М.:НИЦ ИНФРА-М,2025-359с(ВО)(п)</t>
  </si>
  <si>
    <t>ОЦЕНКА СТОИМОСТИ НЕМАТЕРИАЛЬНЫХ АКТИВОВ И ИНТЕЛЛЕКТУАЛЬНОЙ СОБСТВЕННОСТИ, ИЗД.2</t>
  </si>
  <si>
    <t>Федотова М.А., Леонтьев Б.Б., Мамаджанов Х.А. и др.</t>
  </si>
  <si>
    <t>978-5-16-018938-3</t>
  </si>
  <si>
    <t>27.04.07, 38.03.01, 38.04.01</t>
  </si>
  <si>
    <t>652970.03.01</t>
  </si>
  <si>
    <t>Оценка стоимости немат. активов и интел. собст.: Уч./ Под ред.Федотовой М.А.-М:НИЦ ИНФРА-М,2019-352с</t>
  </si>
  <si>
    <t>ОЦЕНКА СТОИМОСТИ НЕМАТЕРИАЛЬНЫХ АКТИВОВ И ИНТЕЛЛЕКТУАЛЬНОЙ СОБСТВЕННОСТИ</t>
  </si>
  <si>
    <t>978-5-16-013264-8</t>
  </si>
  <si>
    <t>411650.07.01</t>
  </si>
  <si>
    <t>Оценка стоимости нематериальных активов и интеллект...: Уч. пос./Н.Я.Кузин - М:ИНФРА-М,2024-160с.(п)</t>
  </si>
  <si>
    <t>Кузин Н.Я., Учинина Т.В., Толстых Ю.О.</t>
  </si>
  <si>
    <t>978-5-16-005650-0</t>
  </si>
  <si>
    <t>08.03.01, 38.03.01, 38.04.01</t>
  </si>
  <si>
    <t>Рекомендовано фед. гос. бюджетным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ВПО, обучающихся по программе бакалавриата по н</t>
  </si>
  <si>
    <t>690235.02.01</t>
  </si>
  <si>
    <t>Оценка стоимости прав требования...: Уч.пос. / В.Ю.Сутягин-М.:НИЦ ИНФРА-М,2023.-253 с.(ВО)(П)</t>
  </si>
  <si>
    <t>ОЦЕНКА СТОИМОСТИ ПРАВ ТРЕБОВАНИЯ (ДЕБИТОРСКОЙ ЗАДОЛЖЕННОСТИ): ТЕОРИЯ И ПРАКТИКА</t>
  </si>
  <si>
    <t>Сутягин В.Ю.</t>
  </si>
  <si>
    <t>978-5-16-014969-1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</si>
  <si>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38.04.08 «Финансы и кредит» (квалификация (степень) «магистр») (протокол № 5 от 26.03.2020)</t>
  </si>
  <si>
    <t>057750.23.01</t>
  </si>
  <si>
    <t>Оценка технического состояния зданий: Уч. / В.М.Калинин - М.:НИЦ ИНФРА-М,2025 - 268 с.-(СПО)(п)</t>
  </si>
  <si>
    <t>ОЦЕНКА ТЕХНИЧЕСКОГО СОСТОЯНИЯ ЗДАНИЙ</t>
  </si>
  <si>
    <t>Калинин В.М., Сокова С.Д.</t>
  </si>
  <si>
    <t>978-5-16-004416-3</t>
  </si>
  <si>
    <t>08.02.01, 08.02.02, 08.02.14</t>
  </si>
  <si>
    <t>290800.07.01</t>
  </si>
  <si>
    <t>Оценка техногенных рисков: Уч.пос. / С.С.Тимофеева - М.:Форум, НИЦ ИНФРА-М,2025 - 208 с.(ВО: Бакалавр.)(П)</t>
  </si>
  <si>
    <t>ОЦЕНКА ТЕХНОГЕННЫХ РИСКОВ</t>
  </si>
  <si>
    <t>Тимофеева С.С., Хамидуллина Е.А.</t>
  </si>
  <si>
    <t>978-5-91134-932-5</t>
  </si>
  <si>
    <t>Рекомендовано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</si>
  <si>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072370.10.01</t>
  </si>
  <si>
    <t>Оценка эффективности инвестиционных проектов: Уч. пос. / А.С. Волков -  РИОР, 2022 - 111 с. (О, к/ф)</t>
  </si>
  <si>
    <t>ОЦЕНКА ЭФФЕКТИВНОСТИ ИНВЕСТИЦИОННЫХ ПРОЕКТОВ</t>
  </si>
  <si>
    <t>978-5-369-00901-7</t>
  </si>
  <si>
    <t>839031.01.01</t>
  </si>
  <si>
    <t>Оценочная деят. Оценка стоимости бизнеса и активов: Уч. / О.А.Землянский - М.:НИЦ ИНФРА-М,2025. - 599 с.(ВО)(п)</t>
  </si>
  <si>
    <t>ОЦЕНОЧНАЯ ДЕЯТЕЛЬНОСТЬ. ОЦЕНКА СТОИМОСТИ БИЗНЕСА И АКТИВОВ</t>
  </si>
  <si>
    <t>Землянский О.А.</t>
  </si>
  <si>
    <t>978-5-16-020360-7</t>
  </si>
  <si>
    <t>21.04.02, 38.03.01, 38.03.02, 38.03.04, 38.04.01, 38.04.02, 38.04.04</t>
  </si>
  <si>
    <t>633616.07.01</t>
  </si>
  <si>
    <t>Очистка сточных вод...: Уч.пос. / Б.С.Ксенофонтов - М.:ИД ФОРУМ, НИЦ ИНФРА-М,2023 - 240 с.(ВО)(О)</t>
  </si>
  <si>
    <t>ОЧИСТКА СТОЧНЫХ ВОД: КОМПЬЮТЕРНЫЕ ТЕХНОЛОГИИ В РЕШЕНИИ ЗАДАЧ ФЛОТАЦИИ</t>
  </si>
  <si>
    <t>Ксенофонтов Б.С., Титов К.В.</t>
  </si>
  <si>
    <t>978-5-8199-0910-2</t>
  </si>
  <si>
    <t>20.03.01, 20.04.01, 20.04.02</t>
  </si>
  <si>
    <t>682642.03.01</t>
  </si>
  <si>
    <t>Пакет прикладных программ: Уч.пос. / В.Н.Шитов - М.:НИЦ ИНФРА-М,2025 - 334 с.(СПО)(П)</t>
  </si>
  <si>
    <t>ПАКЕТ ПРИКЛАДНЫХ ПРОГРАММ</t>
  </si>
  <si>
    <t>978-5-16-014542-6</t>
  </si>
  <si>
    <t>09.02.01, 09.02.02, 09.02.03, 09.02.04, 09.02.05, 09.02.06, 09.02.07, 21.01.10, 21.01.15, 21.01.16, 21.02.14, 21.02.15, 21.02.16, 21.02.17, 21.02.18, 46.01.02, 46.01.03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</si>
  <si>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09.02.03 «Программирование в компьютерных системах» (протокол № 2 от 17.02.2021)</t>
  </si>
  <si>
    <t>383100.07.01</t>
  </si>
  <si>
    <t>Палеобиогеография: Уч. / Б.Т.Янин - 2 изд. - М.:НИЦ ИНФРА-М,2024 - 268 с.-(ВО)(п)</t>
  </si>
  <si>
    <t>ПАЛЕОБИОГЕОГРАФИЯ, ИЗД.2</t>
  </si>
  <si>
    <t>Янин Б.Т.</t>
  </si>
  <si>
    <t>978-5-16-019601-5</t>
  </si>
  <si>
    <t>Допущено Учебно-методическим объединением по классическому университетскому образованию в качестве учебника для студентов — бакалавров и магистров, обучающихся по направлениям подготовки 05.03.01 и 05.04.01 «Геология»</t>
  </si>
  <si>
    <t>369700.11.01</t>
  </si>
  <si>
    <t>Палеонтология: Уч. / О.Б.Бондаренко - 4 изд. - М.:НИЦ ИНФРА-М,2025 - 490 с.-(ВО: Бакалавриат)(П)</t>
  </si>
  <si>
    <t>ПАЛЕОНТОЛОГИЯ, ИЗД.4</t>
  </si>
  <si>
    <t>Бондаренко О.Б., Михайлова И.А.</t>
  </si>
  <si>
    <t>978-5-16-018667-2</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</si>
  <si>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05.03.01 «Геология»</t>
  </si>
  <si>
    <t>290500.09.01</t>
  </si>
  <si>
    <t>Пантовое оленеводство: Уч. / А.И.Чикалев и др. - М.:КУРС, НИЦ ИНФРА-М,2025. - 96 с.-(ВО: Бакалавр.)(О)</t>
  </si>
  <si>
    <t>ПАНТОВОЕ ОЛЕНЕВОДСТВО</t>
  </si>
  <si>
    <t>Чикалев А. И., Петрусева Н. С., Бессонова Н. М., Юлдашбаев Ю. А.</t>
  </si>
  <si>
    <t>978-5-905554-64-3</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</si>
  <si>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высшего образования «Зоотехния»</t>
  </si>
  <si>
    <t>434850.08.01</t>
  </si>
  <si>
    <t>Паразитарные болезни животных: Уч.пос. / М.Д.Новак - М.:ИЦ РИОР,НИЦ ИНФРА-М,2023 - 192 с.(ВО)(П)</t>
  </si>
  <si>
    <t>ПАРАЗИТАРНЫЕ БОЛЕЗНИ ЖИВОТНЫХ</t>
  </si>
  <si>
    <t>Новак М. Д., Енгашев С. В.</t>
  </si>
  <si>
    <t>978-5-369-01203-1</t>
  </si>
  <si>
    <t>36.03.01, 36.04.01, 36.05.01</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</si>
  <si>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(специа</t>
  </si>
  <si>
    <t>699500.05.01</t>
  </si>
  <si>
    <t>Паразитология и паразит. болезни сельскохоз.животных: Уч. / Косминков Н.Е.-М.:НИЦ ИНФРА-М,2024-467с.</t>
  </si>
  <si>
    <t>ПАРАЗИТОЛОГИЯ И ПАРАЗИТАРНЫЕ БОЛЕЗНИ СЕЛЬСКОХОЗЯЙСТВЕННЫХ ЖИВОТНЫХ</t>
  </si>
  <si>
    <t>Косминков Н.Е., Лайпанов Б.К., Домацкий В.Н. и др.</t>
  </si>
  <si>
    <t>978-5-16-014697-3</t>
  </si>
  <si>
    <t>35.01.23, 35.02.09, 36.01.02, 36.01.03, 36.01.04, 36.02.01, 36.02.03</t>
  </si>
  <si>
    <t>310400.10.01</t>
  </si>
  <si>
    <t>Паразитология и паразит.бол.и сельск..: Уч. / Н.Е.Косминков - М.:НИЦ ИНФРА-М,2025 - 467 с.(ВО:Бакалавр.)(п)</t>
  </si>
  <si>
    <t>978-5-16-010317-4</t>
  </si>
  <si>
    <t>Рекомендовано в качестве учебника для студентов высших учебных заведений, обучающихся по направлениям подготовки 36.03.01 «Ветеринарно-санитарная экспертиза», 36.03.02 «Зоотехния» (квалификация (степень) «бакалавр»)</t>
  </si>
  <si>
    <t>352000.05.01</t>
  </si>
  <si>
    <t>Параметрическая устойчив.и качество...: Моногр. / В.Н.Мирянова -М.:Вуз.уч.,НИЦ ИНФРА-М,2020-166с.(О)</t>
  </si>
  <si>
    <t>ПАРАМЕТРИЧЕСКАЯ УСТОЙЧИВОСТЬ И КАЧЕСТВО СИСТЕМ УПРАВЛЕНИЯ ТЕПЛОВЫМИ ОБЪЕКТАМИ С РАСПРЕДЕЛЕННЫМИ ПАРАМЕТРАМИ</t>
  </si>
  <si>
    <t>Мирянова В.Н.</t>
  </si>
  <si>
    <t>978-5-9558-0492-7</t>
  </si>
  <si>
    <t>13.00.00, 26.00.00, 13.04.01, 26.03.02, 26.04.02</t>
  </si>
  <si>
    <t>729523.02.01</t>
  </si>
  <si>
    <t>Парламентское право РФ: Уч.пос. / А.Н.Кокотов, - 2 изд.-М.:Юр. НОРМА, НИЦ ИНФРА-М,2024.-320 с.(п)</t>
  </si>
  <si>
    <t>ПАРЛАМЕНТСКОЕ ПРАВО РОССИЙСКОЙ ФЕДЕРАЦИИ, ИЗД.2</t>
  </si>
  <si>
    <t>Кокотов А.Н.</t>
  </si>
  <si>
    <t>978-5-00156-339-6</t>
  </si>
  <si>
    <t>729523.01.01</t>
  </si>
  <si>
    <t>Парламентское право РФ: Уч.пос. / А.Н.Кокотов-М.:Юр.Норма,2020.-320 с.(П)</t>
  </si>
  <si>
    <t>ПАРЛАМЕНТСКОЕ ПРАВО РОССИЙСКОЙ ФЕДЕРАЦИИ</t>
  </si>
  <si>
    <t>978-5-00156-048-7</t>
  </si>
  <si>
    <t>147900.10.01</t>
  </si>
  <si>
    <t>Пастбищное хозяйство: Уч.пос. / Б.В.Шелюто-М.:НИЦ ИНФРА-М, Новое знание,2022.-184 с.(ВО: Бакалавр.)(О)</t>
  </si>
  <si>
    <t>ПАСТБИЩНОЕ ХОЗЯЙСТВО</t>
  </si>
  <si>
    <t>Шелюто Б.В., Шелюто А.А.</t>
  </si>
  <si>
    <t>978-5-16-012091-1</t>
  </si>
  <si>
    <t>Допущено Министерством образования Республики Беларусь в качестве учебного пособия для студентов высших учебных заведений по агрономическим специальностям</t>
  </si>
  <si>
    <t>315100.09.01</t>
  </si>
  <si>
    <t>Патологическая физиология: Уч. / В.Н.Байматов - М.:НИЦ ИНФРА-М,2025 - 411с.(ВО:Специалитет)(п)</t>
  </si>
  <si>
    <t>ПАТОЛОГИЧЕСКАЯ ФИЗИОЛОГИЯ</t>
  </si>
  <si>
    <t>Байматов В.Н., Мешков В.М., Байматов В.Н.</t>
  </si>
  <si>
    <t>978-5-16-009117-4</t>
  </si>
  <si>
    <t>Допущен Главным управлением высшего и среднего сельскохозяйственного образования Министерства сельского хозяйства Российской Федерации в качестве учебника для студентов высших сельскохозяйственных учебных заведений по специальности 36.05.01 «Ветеринария»</t>
  </si>
  <si>
    <t>313900.10.01</t>
  </si>
  <si>
    <t>Патологическая физиология: Уч. / С.О.Берсудский - М.:НИЦ ИНФРА-М,2025 - 639 с.(ВО:Спец.)(П)</t>
  </si>
  <si>
    <t>Берсудский С.О., Маслякова Г.Н., Моргунова В.М. и др.</t>
  </si>
  <si>
    <t>978-5-16-010361-7</t>
  </si>
  <si>
    <t>31.05.03, 31.08.72, 31.08.73, 31.08.74, 31.08.75, 31.08.76</t>
  </si>
  <si>
    <t>Рекомендовано ФГБОУ ВО «Первый Московский государственный медицинский университет им. И.М. Сеченова» в качестве учебника для студентов образовательных учреждений высшего профессионального образования, обучающихся по направлению подготовки 31.05.03 «Стоматология» по дисциплине «Патофизиология-патология головы и шеи»</t>
  </si>
  <si>
    <t>Саратовский государственный медицинский университет им. В.И. Разумовского Минздрава России</t>
  </si>
  <si>
    <t>734728.06.01</t>
  </si>
  <si>
    <t>Патология: Уч. / Под ред. Тюкавина А.И. - М.:НИЦ ИНФРА-М,2023 - 844 с.-(ВО: Специалитет)(П)</t>
  </si>
  <si>
    <t>ПАТОЛОГИЯ</t>
  </si>
  <si>
    <t>Тюкавин А.И., Васильев А.Г., Власов Т.Д. и др.</t>
  </si>
  <si>
    <t>978-5-16-016260-7</t>
  </si>
  <si>
    <t>31.05.01, 33.05.01, 34.03.01, 49.03.02</t>
  </si>
  <si>
    <t>796828.01.01</t>
  </si>
  <si>
    <t>Патоморфологические методы исследования: Уч.пос. / Т.И.Вахрушева-М.:НИЦ ИНФРА-М,2024.-267 с.(ВО)(п)</t>
  </si>
  <si>
    <t>ПАТОМОРФОЛОГИЧЕСКИЕ МЕТОДЫ ИССЛЕДОВАНИЯ</t>
  </si>
  <si>
    <t>Вахрушева Т.И.</t>
  </si>
  <si>
    <t>978-5-16-018998-7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</si>
  <si>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36.05.01 «Ветеринария»</t>
  </si>
  <si>
    <t>632405.07.01</t>
  </si>
  <si>
    <t>Патопсихология  общественной безопасности: Уч.пос. / Б.Н.Алмазов - М.:НИЦ ИНФРА-М,2025. - 219 с.(ВО)(П)</t>
  </si>
  <si>
    <t>ПАТОПСИХОЛОГИЯ  ОБЩЕСТВЕННОЙ БЕЗОПАСНОСТИ</t>
  </si>
  <si>
    <t>Алмазов Б.Н.</t>
  </si>
  <si>
    <t>978-5-16-020544-1</t>
  </si>
  <si>
    <t>37.03.01, 37.05.01, 40.03.01, 40.04.01, 40.05.01, 44.03.05</t>
  </si>
  <si>
    <t>Рекомендовано в качестве учебного пособия для студентов высших учебных заведений, обучающихся по направлениям подготовки 40.05.01 «Правовое обеспечение национальной безопасности», 40.05.02 «Правоохранительная деятельность», 40.05.03 «Судебная экспертиза» (квалификация «юрист», «судебный эксперт»)</t>
  </si>
  <si>
    <t>832383.01.01</t>
  </si>
  <si>
    <t>Патофизиология системы крови: Уч.мет.пос. / И.В.Вуевская. - М.:НИЦ ИНФРА-М, ГомГМУ,2025. - 228 с.(ВО)(п)</t>
  </si>
  <si>
    <t>ПАТОФИЗИОЛОГИЯ СИСТЕМЫ КРОВИ</t>
  </si>
  <si>
    <t>Вуевская И.В., Кидун К.А., Литвиненко А.Н. и др.</t>
  </si>
  <si>
    <t>978-5-16-020102-3</t>
  </si>
  <si>
    <t>30.05.03, 31.05.01, 31.05.02, 31.05.03, 32.05.01</t>
  </si>
  <si>
    <t>Рекомендовано учебно-методическим объединением по высшему медицинскому, фармацевтическому образованию в качестве учебно-методического пособия для студентов учреждений высшего образования, обучающихся по специальностям «Лечебное дело», «Медико-профилактическое дело», «Медико-диагностическое дело»</t>
  </si>
  <si>
    <t>826053.01.01</t>
  </si>
  <si>
    <t>Педагогика вожатской деятельности. Прак: Уч.пос. / М.М.Борисова - М.:НИЦ ИНФРА-М,2025. - 350 с.(ВО)(п)</t>
  </si>
  <si>
    <t>ПЕДАГОГИКА ВОЖАТСКОЙ ДЕЯТЕЛЬНОСТИ. ПРАКТИКУМ</t>
  </si>
  <si>
    <t>Борисова М.М., Коробова О.В., Павлова Н.П.</t>
  </si>
  <si>
    <t>978-5-16-019910-8</t>
  </si>
  <si>
    <t>804846.01.01</t>
  </si>
  <si>
    <t>Педагогика вожатской деятельности: Уч. / М.М.Борисова и др. - М.:НИЦ ИНФРА-М,2025. - 417 с.(ВО)(п)</t>
  </si>
  <si>
    <t>ПЕДАГОГИКА ВОЖАТСКОЙ ДЕЯТЕЛЬНОСТИ</t>
  </si>
  <si>
    <t>Борисова М.М., Павлова Н.П., Илюшина Н.Н. и др.</t>
  </si>
  <si>
    <t>978-5-16-019794-4</t>
  </si>
  <si>
    <t>44.03.05</t>
  </si>
  <si>
    <t>АКАДЕМУС-2024, Лауреат</t>
  </si>
  <si>
    <t>346000.12.01</t>
  </si>
  <si>
    <t>Педагогика воспитания: теор.,метод.,технол..: Уч. / А.Н.Ходусов - 2 изд. - М.:НИЦ ИНФРА-М,2025-405с.(П)</t>
  </si>
  <si>
    <t>ПЕДАГОГИКА ВОСПИТАНИЯ: ТЕОРИЯ, МЕТОДОЛОГИЯ, ТЕХНОЛОГИЯ, МЕТОДИКА, ИЗД.2</t>
  </si>
  <si>
    <t>978-5-16-018495-1</t>
  </si>
  <si>
    <t>Рекомендовано УМО по образованию в области подготовки педагогических кадров в качестве учебника для осуществления образовательной деятельности по направлению 44.03.01 «Педагогическое образование»</t>
  </si>
  <si>
    <t>827192.01.01</t>
  </si>
  <si>
    <t>Педагогика высшей школы: военному преподавателю...: Уч.пос. / В.А.Мельничук-М.:НИЦ ИНФРА-М,2025.-227 с.(п)</t>
  </si>
  <si>
    <t>ПЕДАГОГИКА ВЫСШЕЙ ШКОЛЫ: ВОЕННОМУ ПРЕПОДАВАТЕЛЮ О ПЕДАГОГИКЕ И ПЕДАГОГАХ</t>
  </si>
  <si>
    <t>Мельничук В.А., Фетисов А.В., Анисимов В.Г.</t>
  </si>
  <si>
    <t>978-5-16-019949-8</t>
  </si>
  <si>
    <t>40.06.01, 44.07.01, 56.07.01</t>
  </si>
  <si>
    <t>812037.01.01</t>
  </si>
  <si>
    <t>Педагогика высшей школы: Уч. / О.О.Киселёва и др. - М.:НИЦ ИНФРА-М,2025. - 257 с.(ВО)(п)</t>
  </si>
  <si>
    <t>ПЕДАГОГИКА ВЫСШЕЙ ШКОЛЫ</t>
  </si>
  <si>
    <t>Киселёва О.О., Патутина Н.А., Сурнина Т.В.</t>
  </si>
  <si>
    <t>978-5-16-020381-2</t>
  </si>
  <si>
    <t>07.04.01, 11.04.01, 19.04.05, 35.04.08, 41.04.01, 41.04.04, 41.04.05, 42.04.01, 44.04.01, 44.04.02, 47.04.03, 48.04.01, 49.04.01, 51.04.03, 51.04.04, 52.04.01</t>
  </si>
  <si>
    <t>Московский социально-экономический институт, МСЭИ</t>
  </si>
  <si>
    <t>631501.08.01</t>
  </si>
  <si>
    <t>Педагогика высшей школы: Уч. / О.П.Околелов - М.:НИЦ ИНФРА-М,2025 - 187 с.-(ВО: Магистратура)(О)</t>
  </si>
  <si>
    <t>978-5-16-011924-3</t>
  </si>
  <si>
    <t>44.04.01, 44.04.02, 47.04.03, 51.04.04</t>
  </si>
  <si>
    <t>Рекомендовано в качестве учебника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47.04.03 «Религиоведение» (квалификация (степень) «магистр»)</t>
  </si>
  <si>
    <t>720209.09.01</t>
  </si>
  <si>
    <t>Педагогика дет. оздоровит. лагеря: прак.: Уч.пос. / Под ред. Борисовой М.М. - М.:НИЦ ИНФРА-М,2025 - 258 с.(СПО)(п)</t>
  </si>
  <si>
    <t>ПЕДАГОГИКА ДЕТСКОГО ОЗДОРОВИТЕЛЬНОГО ЛАГЕРЯ: ПРАКТИКУМ</t>
  </si>
  <si>
    <t>Борисова М.М., Илюшина Н.Н., Павлова Н.П. и др.</t>
  </si>
  <si>
    <t>978-5-16-015674-3</t>
  </si>
  <si>
    <t>44.02.02, 44.02.03, 49.02.01</t>
  </si>
  <si>
    <t>644553.07.01</t>
  </si>
  <si>
    <t>Педагогика детского оздор. лагеря: практ.: Уч.пос. / Под ред. Борисовой М.М.-М.:НИЦ ИНФРА-М,2023.-258 с.(П)</t>
  </si>
  <si>
    <t>Илюшина Н.Н., Павлова Н.П., Щербакова Т.Н. и др.</t>
  </si>
  <si>
    <t>978-5-16-010876-6</t>
  </si>
  <si>
    <t>693729.07.01</t>
  </si>
  <si>
    <t>Педагогика детского оздоров. лагеря: Уч. / Под ред. Борисовой М.М. - М.:НИЦ ИНФРА-М,2024 - 216 с.(СПО)(П)</t>
  </si>
  <si>
    <t>ПЕДАГОГИКА ДЕТСКОГО ОЗДОРОВИТЕЛЬНОГО ЛАГЕРЯ</t>
  </si>
  <si>
    <t>978-5-16-014468-9</t>
  </si>
  <si>
    <t>44.02.03, 44.02.05, 49.02.01</t>
  </si>
  <si>
    <t>632264.06.01</t>
  </si>
  <si>
    <t>Педагогика детского оздоровит. лагеря: Уч. / Под ред. Борисовой М.М. - М.:НИЦ ИНФРА-М,2025-216с.(ВО)(П)</t>
  </si>
  <si>
    <t>978-5-16-012565-7</t>
  </si>
  <si>
    <t>44.03.01, 44.03.02</t>
  </si>
  <si>
    <t>451150.09.01</t>
  </si>
  <si>
    <t>Педагогика и психология высшей шк.Инновац.курс..: Уч.пос./В.П.Симонов-М.:Вуз.уч.,НИЦ ИНФРА-М,2024-320с.(П)</t>
  </si>
  <si>
    <t>ПЕДАГОГИКА И ПСИХОЛОГИЯ ВЫСШЕЙ ШКОЛЫ. ИННОВАЦИОННЫЙ КУРС ДЛЯ ПОДГОТОВКИ МАГИСТРОВ</t>
  </si>
  <si>
    <t>Симонов В.П.</t>
  </si>
  <si>
    <t>Высшее образование: Магистратура</t>
  </si>
  <si>
    <t>978-5-9558-0336-4</t>
  </si>
  <si>
    <t>06.03.01, 06.03.02, 11.04.02, 35.04.08, 37.03.01, 37.04.01, 40.03.01, 44.03.01, 44.03.02, 44.03.05, 44.04.01, 44.04.02, 46.03.01, 47.04.03, 49.03.02, 51.04.04, 52.03.04, 52.03.05, 54.04.01, 54.04.02</t>
  </si>
  <si>
    <t>Рекомендовано УМО по психолого-педагогическим наукам Московского государственного областного университета для обучения магистрантов</t>
  </si>
  <si>
    <t>841893.01.01</t>
  </si>
  <si>
    <t>Педагогика и психология детей с умств. отсталостью..: Уч. / И.М.Яковлева - М.:НИЦ ИНФРА-М,2025. - 382 с.(СПО)(п)</t>
  </si>
  <si>
    <t>ПЕДАГОГИКА И ПСИХОЛОГИЯ ДЕТЕЙ С УМСТВЕННОЙ ОТСТАЛОСТЬЮ (ИНТЕЛЛЕКТУАЛЬНЫМИ НАРУШЕНИЯМИ)</t>
  </si>
  <si>
    <t>Яковлева И.М., Браткова М.В., Караневская О.В. и др.</t>
  </si>
  <si>
    <t>978-5-16-020298-3</t>
  </si>
  <si>
    <t>44.02.03, 44.02.05</t>
  </si>
  <si>
    <t>753037.05.01</t>
  </si>
  <si>
    <t>Педагогика и психология детей с умств. отсталостью..: Уч. / И.М.Яковлева - М.:НИЦ ИНФРА-М,2025.-382 с.(ВО)(п)</t>
  </si>
  <si>
    <t>978-5-16-018636-8</t>
  </si>
  <si>
    <t>44.03.02, 44.03.03, 44.04.02, 44.04.03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</si>
  <si>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44.03.01 «Педагогическое образование» (квалификация (степень) «бакалавр») (протокол № 6 от 08.06.2022)</t>
  </si>
  <si>
    <t>764093.04.01</t>
  </si>
  <si>
    <t>Педагогика и психология: Уч.пос. / Л.А.Кудряшева - М.:Вуз. уч., НИЦ ИНФРА-М,2024 - 160 с.(СПО)(П)</t>
  </si>
  <si>
    <t>ПЕДАГОГИКА И ПСИХОЛОГИЯ</t>
  </si>
  <si>
    <t>Кудряшева Л.А.</t>
  </si>
  <si>
    <t>978-5-9558-0652-5</t>
  </si>
  <si>
    <t>00.02.15, 08.02.03, 20.02.01, 25.02.05, 39.02.01, 44.02.01, 44.02.02, 44.02.03, 44.02.04, 44.02.05, 44.02.06, 46.02.02, 49.02.01, 49.02.02, 51.02.01, 51.02.03, 53.02.01, 54.02.06</t>
  </si>
  <si>
    <t>Рекомендовано Межрегиональным учебно-методическим советом профессионального образования для использования в учебном процессе в учебных заведениях, реализующих основную профессиональную образовательную программу СПО (протокол № 4 от 21.04.2021)</t>
  </si>
  <si>
    <t>373400.09.01</t>
  </si>
  <si>
    <t>Педагогика и психология: Уч.пос. / Л.А.Кудряшева - М.:Вуз. уч., НИЦ ИНФРА-М,2025 - 160 с.(Краткий курс)(О)</t>
  </si>
  <si>
    <t>Краткий курс</t>
  </si>
  <si>
    <t>978-5-9558-0262-6</t>
  </si>
  <si>
    <t>00.03.15, 00.05.15</t>
  </si>
  <si>
    <t>753672.06.01</t>
  </si>
  <si>
    <t>Педагогика инклюзивного образ.: Уч. / Под ред. Сальдаевой О.В. - М.:НИЦ ИНФРА-М,2025 - 439 с.(ВО)(п)</t>
  </si>
  <si>
    <t>ПЕДАГОГИКА ИНКЛЮЗИВНОГО ОБРАЗОВАНИЯ</t>
  </si>
  <si>
    <t>Рындак В.Г., Сальдаева О.В., Аитбаева Р.Р. и др.</t>
  </si>
  <si>
    <t>978-5-16-019568-1</t>
  </si>
  <si>
    <t>44.03.02, 44.03.03, 44.03.04, 49.03.02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</si>
  <si>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9 от 17.11.2022)</t>
  </si>
  <si>
    <t>683085.11.01</t>
  </si>
  <si>
    <t>Педагогика инклюзивного образования: Уч. / Под ред. Назаровой Н.М. - М.:НИЦ ИНФРА-М,2025-335с(СПО)(П)</t>
  </si>
  <si>
    <t>Богданова Т.Г., Гусейнова А.А., Назарова Н.М. и др.</t>
  </si>
  <si>
    <t>978-5-16-013993-7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</si>
  <si>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</si>
  <si>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388200.13.01</t>
  </si>
  <si>
    <t>Педагогика инклюзивного образования: Уч. / Т.Г.Богданова - М.:НИЦ ИНФРА-М,2024 - 335 с.(ВО.)(П)</t>
  </si>
  <si>
    <t>978-5-16-019178-2</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</si>
  <si>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(квалификация (степень) «бакалавр»)</t>
  </si>
  <si>
    <t>476650.05.01</t>
  </si>
  <si>
    <t>Педагогика текста и психолингвистика: Уч.пос. / О.Г.Ивановская, - 2 изд.-М.:НИЦ ИНФРА-М,2023.-206 с.(ВО)(П)</t>
  </si>
  <si>
    <t>ПЕДАГОГИКА ТЕКСТА И ПСИХОЛИНГВИСТИКА, ИЗД.2</t>
  </si>
  <si>
    <t>Ивановская О.Г.</t>
  </si>
  <si>
    <t>978-5-16-017358-0</t>
  </si>
  <si>
    <t>44.03.03, 44.04.03, 45.03.03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</si>
  <si>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6 от 08.06.2022)</t>
  </si>
  <si>
    <t>476650.04.01</t>
  </si>
  <si>
    <t>Педагогика текста и психолингвистка: Уч.пос. /О.Г.Ивановская -Форум, НИЦ ИНФРА-М, 2020 -160с (ВО)(О)</t>
  </si>
  <si>
    <t>ПЕДАГОГИКА ТЕКСТА И ПСИХОЛИНГВИСТИКА</t>
  </si>
  <si>
    <t>978-5-00091-603-2</t>
  </si>
  <si>
    <t>Рекомендовано в качестве учебного пособия для студентов высших учебных заведений, обучающихся по направлениям подготовки 44.04.03 «Специальное (дефектологическое) образование» (магистратура) и 44.03.03 «Специальное (дефектологическое) образование» (бакалавриат) по профилю подготовки «Логопедия»</t>
  </si>
  <si>
    <t>707162.01.01</t>
  </si>
  <si>
    <t>Педагогика. Семье и школе: Наст. кн. для учителей..: Прак. пос. / Я.С.Турбовской-М.:НИЦ ИНФРА-М,2023.-281с(п)</t>
  </si>
  <si>
    <t>ПЕДАГОГИКА. СЕМЬЕ И ШКОЛЕ. НАСТОЛЬНАЯ КНИГА ДЛЯ УЧИТЕЛЕЙ И РОДИТЕЛЕЙ</t>
  </si>
  <si>
    <t>Турбовской Я.С.</t>
  </si>
  <si>
    <t>978-5-16-015254-7</t>
  </si>
  <si>
    <t>44.00.00, 00.03.11, 44.03.01, 44.04.02</t>
  </si>
  <si>
    <t>737306.01.01</t>
  </si>
  <si>
    <t>Педагогика: теория и методика воспит. работы: Уч.пос. / В.Г.Рындак-М.:НИЦ ИНФРА-М,2023.-334 с.(ВО)(п)</t>
  </si>
  <si>
    <t>ПЕДАГОГИКА: ТЕОРИЯ И МЕТОДИКА ВОСПИТАТЕЛЬНОЙ РАБОТЫ</t>
  </si>
  <si>
    <t>Рындак В.Г., Москвина А.В., Пак Л.Г. и др.</t>
  </si>
  <si>
    <t>978-5-16-016827-2</t>
  </si>
  <si>
    <t>Допущено УМС ОГПУ в качестве учебника для обучающихся по УГНС 44.00.00 Образование и педагогические науки по дисциплинам «Теории и технологии обучения и воспитания», «Профессиональная ориентация и профессиональное самоопределение обучающихся», «Теория и технология организации воспитательных практик», «Педагогика», «Профессиональное воспитание», «Этические основы духовно-нравственного воспитания личности»</t>
  </si>
  <si>
    <t>753310.03.01</t>
  </si>
  <si>
    <t>Педагогика: теория и практика...: Уч. / С.С.Кашлев-М.:НИЦ ИНФРА-М,2023.-462 с.(ВО)(П)</t>
  </si>
  <si>
    <t>ПЕДАГОГИКА: ТЕОРИЯ И ПРАКТИКА ПЕДАГОГИЧЕСКОГО ПРОЦЕССА</t>
  </si>
  <si>
    <t>Кашлев С.С.</t>
  </si>
  <si>
    <t>978-5-16-018498-2</t>
  </si>
  <si>
    <t>00.03.15, 51.03.03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</si>
  <si>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педагогическим направлениям подготовки (квалификация (степень) «бакалавр») (протокол № 6 от 08.06.2022)</t>
  </si>
  <si>
    <t>753755.03.01</t>
  </si>
  <si>
    <t>Педагогика: Уч. / В.Г.Рындак и др. - М.:НИЦ ИНФРА-М,2025 - 421 с.(СПО)(П)</t>
  </si>
  <si>
    <t>ПЕДАГОГИКА</t>
  </si>
  <si>
    <t>Рындак В.Г., Аллагулов А.М., Челпаченко Т.В. и др.</t>
  </si>
  <si>
    <t>978-5-16-016836-4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</si>
  <si>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педагогическим специальностям (протокол № 10 от 12.10.2020)</t>
  </si>
  <si>
    <t>650123.05.01</t>
  </si>
  <si>
    <t>Педагогика: Уч. / В.Г.Рындак.-М.:НИЦ ИНФРА-М,2023.- 427 с.(ВО)(п)</t>
  </si>
  <si>
    <t>978-5-16-018433-3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</si>
  <si>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и 44.03.05 «Педагогическое образование (с двумя профилями подготовки)» (квалификация (степень) «бакалавр»)</t>
  </si>
  <si>
    <t>720241.04.01</t>
  </si>
  <si>
    <t>Педагогика: Уч.пос. / В.М.Кроль - М.:ИЦ РИОР, НИЦ ИНФРА-М,2025. - 303 с.(СПО)(П)</t>
  </si>
  <si>
    <t>Кроль В.М.</t>
  </si>
  <si>
    <t>978-5-369-01827-9</t>
  </si>
  <si>
    <t>393200.07.01</t>
  </si>
  <si>
    <t>Педагогика: Уч.пос. / В.М.Кроль, - 2изд.,-М.:ИЦ РИОР,НИЦ ИНФРА-М,2023-303с.(ВО:Бакалавр.)(П)</t>
  </si>
  <si>
    <t>ПЕДАГОГИКА, ИЗД.2</t>
  </si>
  <si>
    <t>978-5-369-01536-0</t>
  </si>
  <si>
    <t>389900.05.01</t>
  </si>
  <si>
    <t>Педагогическая аксиология: Уч. пос. / А.В.Кирьякова - М.:НИЦ ИНФРА-М, 2023 -283с. (ВО:Бакалавр.) (п)</t>
  </si>
  <si>
    <t>ПЕДАГОГИЧЕСКАЯ АКСИОЛОГИЯ</t>
  </si>
  <si>
    <t>КирьяковаА.В., МелекесовГ.А., МосиенкоЛ.В. и др.</t>
  </si>
  <si>
    <t>978-5-16-011192-6</t>
  </si>
  <si>
    <t>Рекомендовано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t>
  </si>
  <si>
    <t>111250.08.01</t>
  </si>
  <si>
    <t>Педагогическая журналистика: Уч. пос. / Т.Е. Денисович. - М.:Форум, 2025. - 144 с.(ВО) (о)</t>
  </si>
  <si>
    <t>ПЕДАГОГИЧЕСКАЯ ЖУРНАЛИСТИКА</t>
  </si>
  <si>
    <t>Денисович Т. Е.</t>
  </si>
  <si>
    <t>978-5-91134-346-0</t>
  </si>
  <si>
    <t>182300.15.01</t>
  </si>
  <si>
    <t>Педагогическая психология: Уч.пос. / Б.Р.Мандель - М.:КУРС, НИЦ ИНФРА-М,2025 - 368 с.(П)</t>
  </si>
  <si>
    <t>ПЕДАГОГИЧЕСКАЯ ПСИХОЛОГИЯ</t>
  </si>
  <si>
    <t>978-5-905554-13-1</t>
  </si>
  <si>
    <t>37.03.01, 37.04.01, 44.03.01, 44.03.02, 44.03.05, 44.04.01, 44.04.02, 47.03.01, 47.04.01</t>
  </si>
  <si>
    <t>662500.05.01</t>
  </si>
  <si>
    <t>Педагогическая риторика: Уч.мет.пос. / О.В.Чернышенко - М.:ИЦ РИОР, НИЦ ИНФРА-М,2020 - 90 с.-(ВО)(О)</t>
  </si>
  <si>
    <t>ПЕДАГОГИЧЕСКАЯ РИТОРИКА</t>
  </si>
  <si>
    <t>Чернышенко О.В.</t>
  </si>
  <si>
    <t>978-5-369-01695-4</t>
  </si>
  <si>
    <t>37.03.01, 44.03.01, 44.03.05, 44.05.01</t>
  </si>
  <si>
    <t>404400.10.01</t>
  </si>
  <si>
    <t>Педагогическая физиология: Курс лекций. Уч. пос. / М.М.Безруких - М.:Форум, 2025 - 496 с.(ВО:Бакалавр.) (п)</t>
  </si>
  <si>
    <t>ПЕДАГОГИЧЕСКАЯ ФИЗИОЛОГИЯ</t>
  </si>
  <si>
    <t>Безруких М. М.</t>
  </si>
  <si>
    <t>978-5-91134-685-0</t>
  </si>
  <si>
    <t>631525.07.01</t>
  </si>
  <si>
    <t>Педагогические технологии: Уч. / Д.Г.Левитес-М.:НИЦ ИНФРА-М,2024.-403 с..-(ВО)(п)</t>
  </si>
  <si>
    <t>ПЕДАГОГИЧЕСКИЕ ТЕХНОЛОГИИ</t>
  </si>
  <si>
    <t>Левитес Д.Г.</t>
  </si>
  <si>
    <t>978-5-16-019887-3</t>
  </si>
  <si>
    <t>44.03.01, 44.03.02, 44.03.04, 44.04.01, 44.04.02, 44.04.04</t>
  </si>
  <si>
    <t>Рекомендовано Редакционно-издательским советом Российской академии образования (на основании Приказа Министерства образования и науки РФ от 15 января 2007 года № 10)</t>
  </si>
  <si>
    <t>765084.01.01</t>
  </si>
  <si>
    <t>Педагогический терминологич. словарь / И.А.Тютькова - М.:НИЦ ИНФРА-М,2025. - 186 с.(Б-ка сл. ИНФРА-М) [12+](п)</t>
  </si>
  <si>
    <t>ПЕДАГОГИЧЕСКИЙ ТЕРМИНОЛОГИЧЕСКИЙ СЛОВАРЬ</t>
  </si>
  <si>
    <t>Тютькова И.А.</t>
  </si>
  <si>
    <t>978-5-16-020073-6</t>
  </si>
  <si>
    <t>44.03.01, 44.03.02, 44.03.03, 44.03.04, 44.03.05, 44.04.01, 44.04.02, 44.04.03, 44.04.04, 44.05.01, 44.06.01, 44.07.01, 44.07.02</t>
  </si>
  <si>
    <t>755038.02.01</t>
  </si>
  <si>
    <t>Педагогическое мастерство: Уч.мет.пос. / З.В.Смирнова - М.:НИЦ ИНФРА-М,2025. - 261 с.(СПО)(п)</t>
  </si>
  <si>
    <t>ПЕДАГОГИЧЕСКОЕ МАСТЕРСТВО</t>
  </si>
  <si>
    <t>Смирнова З.В.</t>
  </si>
  <si>
    <t>978-5-16-017663-5</t>
  </si>
  <si>
    <t>44.02.01, 44.02.02, 44.02.06</t>
  </si>
  <si>
    <t>Педагогический колледж №1 им. Н.А. Некрасова Санкт-Петербурга</t>
  </si>
  <si>
    <t>795700.01.01</t>
  </si>
  <si>
    <t>Педагогическое применение мультимедиа-средств: Уч.пос. / Н.В.Гафурова - 2изд.-М.:НИЦ ИНФРА-М,2023.-203с(п)</t>
  </si>
  <si>
    <t>ПЕДАГОГИЧЕСКОЕ ПРИМЕНЕНИЕ МУЛЬТИМЕДИА-СРЕДСТВ, ИЗД.2</t>
  </si>
  <si>
    <t>Гафурова Н.В., Чурилова Е.Ю.</t>
  </si>
  <si>
    <t>978-5-16-018095-3</t>
  </si>
  <si>
    <t>44.03.01, 44.03.04, 44.03.05</t>
  </si>
  <si>
    <t>Учебное издание в его скорректированной редакции рекомендуется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имени А.И. Герцена» к использованию в образовательных учреждениях в процессе преподавания дисциплины «Педагогическое применение мультимедиа-средств» профиля «Профессиональное обучение (информатика и вычислительная техника)»</t>
  </si>
  <si>
    <t>713843.05.01</t>
  </si>
  <si>
    <t>Педиатрия: именные симптомы и синдромы: Рук. для врачей / Балыкова Л.А.-М.:НИЦ ИНФРА-М,2024.-1088с.(ВО)(П)</t>
  </si>
  <si>
    <t>ПЕДИАТРИЯ: ИМЕННЫЕ СИМПТОМЫ И СИНДРОМЫ</t>
  </si>
  <si>
    <t>Акашкина Е.Ю., Балашова Е.А., Балыкова Л.А. и др.</t>
  </si>
  <si>
    <t>978-5-16-015563-0</t>
  </si>
  <si>
    <t>Руководство для врачей</t>
  </si>
  <si>
    <t>780038.03.01</t>
  </si>
  <si>
    <t>Пенитенциарная криминология: Уч. / И.В.Пикин - М.:НИЦ ИНФРА-М,2025. - 193 с.(ВО: Спец.)(П)</t>
  </si>
  <si>
    <t>ПЕНИТЕНЦИАРНАЯ КРИМИНОЛОГИЯ</t>
  </si>
  <si>
    <t>Расторопов С.В., Понкратов В.А., Пикин И.В. и др.</t>
  </si>
  <si>
    <t>978-5-16-017866-0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</si>
  <si>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40.05.02 «Правоохранительная деятельность» (квалификация «юрист») (протокол № 10 от 21.12.2022)</t>
  </si>
  <si>
    <t>838552.01.01</t>
  </si>
  <si>
    <t>Пептидология, пептидомика и пептидная мед.: Уч.пос. / Ю.В.Быков - М.:ИЦ РИОР, НИЦ ИНФРА-М,2025.-116 с.(ВО)(о)</t>
  </si>
  <si>
    <t>ПЕПТИДОЛОГИЯ, ПЕПТИДОМИКА И ПЕПТИДНАЯ МЕДИЦИНА</t>
  </si>
  <si>
    <t>Быков Ю.В., Григорьев М.Э., Беккер Р.А.</t>
  </si>
  <si>
    <t>978-5-369-01966-5</t>
  </si>
  <si>
    <t>31.05.01, 32.05.01, 33.05.01, 36.05.01</t>
  </si>
  <si>
    <t>487550.14.01</t>
  </si>
  <si>
    <t>Первичная доврачебная мед. помощь: Уч.пос. / В.Г.Лычев - М.:Форум, НИЦ ИНФРА-М,2025 - 288 с.(СПО)(П)</t>
  </si>
  <si>
    <t>ПЕРВИЧНАЯ ДОВРАЧЕБНАЯ МЕДИЦИНСКАЯ ПОМОЩЬ</t>
  </si>
  <si>
    <t>978-5-00091-754-1</t>
  </si>
  <si>
    <t>31.02.01, 31.02.02, 31.02.05, 31.02.06, 32.02.01, 33.02.01, 34.02.01, 34.02.02</t>
  </si>
  <si>
    <t>724721.02.01</t>
  </si>
  <si>
    <t>Первичная учетная документация: Уч. / Ю.И.Сигидов - М.:НИЦ ИНФРА-М,2023 - 345 с.(ВО: Бакалавр.)(П)</t>
  </si>
  <si>
    <t>ПЕРВИЧНАЯ УЧЕТНАЯ ДОКУМЕНТАЦИЯ</t>
  </si>
  <si>
    <t>Сигидов Ю.И., Калашникова Е.В., Хорольская Т.Е. и др.</t>
  </si>
  <si>
    <t>978-5-16-016003-0</t>
  </si>
  <si>
    <t>763153.04.01</t>
  </si>
  <si>
    <t>Первичная учетная документация: Уч. / Ю.И.Сигидов - М.:НИЦ ИНФРА-М,2025 - 345 с.(СПО)(П)</t>
  </si>
  <si>
    <t>978-5-16-017100-5</t>
  </si>
  <si>
    <t>38.02.01, 43.01.09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</si>
  <si>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3 от 17.03.2021)</t>
  </si>
  <si>
    <t>664590.04.01</t>
  </si>
  <si>
    <t>Первые шаги к грамоте: от рисунка к письму: Уч.мет.пос. / Е.А.Кинаш-М.:НИЦ ИНФРА-М,2024.-146 с.(П)</t>
  </si>
  <si>
    <t>ПЕРВЫЕ ШАГИ К ГРАМОТЕ: ОТ РИСУНКА К ПИСЬМУ</t>
  </si>
  <si>
    <t>Кинаш Е.А.</t>
  </si>
  <si>
    <t>978-5-16-014852-6</t>
  </si>
  <si>
    <t>726962.05.01</t>
  </si>
  <si>
    <t>Передача, хранение и обработка больших объемов...: Уч.пос. / А.А.Григорьев.-М.:НИЦ ИНФРА-М,2024.-207 с.(ВО)(П)</t>
  </si>
  <si>
    <t>ПЕРЕДАЧА, ХРАНЕНИЕ И ОБРАБОТКА БОЛЬШИХ ОБЪЕМОВ НАУЧНЫХ ДАННЫХ</t>
  </si>
  <si>
    <t>Григорьев А.А., Исаев Е.А., Тарасов П.А.</t>
  </si>
  <si>
    <t>978-5-16-018850-8</t>
  </si>
  <si>
    <t>09.03.01, 09.03.03, 38.03.05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</si>
  <si>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09.03.01 «Информатика и вычислительная техника», 38.03.05 Бизнес-информатика» (квалификация (степень) «бакалавр») (протокол № 10 от 12.10.2020)</t>
  </si>
  <si>
    <t>842427.01.01</t>
  </si>
  <si>
    <t>Переработка зерна: Уч.пос. / Г.Г.Юсупова - М.:НИЦ ИНФРА-М,2025. - 404 с.(СПО)(п)</t>
  </si>
  <si>
    <t>ПЕРЕРАБОТКА ЗЕРНА</t>
  </si>
  <si>
    <t>Юсупова Г.Г.</t>
  </si>
  <si>
    <t>978-5-16-020341-6</t>
  </si>
  <si>
    <t>794862.01.01</t>
  </si>
  <si>
    <t>Переработка зерна: Уч.пос. / Г.Г.Юсупова-М.:НИЦ ИНФРА-М,2024.-404 с..-(ВО)(п)</t>
  </si>
  <si>
    <t>978-5-16-018293-3</t>
  </si>
  <si>
    <t>19.03.02, 35.03.07</t>
  </si>
  <si>
    <t>782572.03.01</t>
  </si>
  <si>
    <t>Переработка мяса птицы и кроликов: Уч.пос. / Е.А.Рыгалова - М.:НИЦ ИНФРА-М,2025. - 362 с.(ВО: Бакалавр.)(п)</t>
  </si>
  <si>
    <t>ПЕРЕРАБОТКА МЯСА ПТИЦЫ И КРОЛИКОВ</t>
  </si>
  <si>
    <t>Рыгалова Е.А., Речкина Е.А., Геращенко К.А. и др.</t>
  </si>
  <si>
    <t>Высшее образование: Бакалавриат (КрГАУ)</t>
  </si>
  <si>
    <t>978-5-16-018067-0</t>
  </si>
  <si>
    <t>19.03.03, 35.03.06, 35.03.07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</si>
  <si>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19.03.03 и 19.04.03 «Продукты питания животного происхождения» и специальности 19.02.08 «Технология мяса и мясных продуктов»</t>
  </si>
  <si>
    <t>654700.08.01</t>
  </si>
  <si>
    <t>Переходные процессы в линейных электр.цепях..: Уч.пос. / В.М.Мякишев- 2изд. - М.:НИЦ ИНФРА-М,2025-347с(ВО) (П)</t>
  </si>
  <si>
    <t>ПЕРЕХОДНЫЕ ПРОЦЕССЫ В ЛИНЕЙНЫХ ЭЛЕКТРИЧЕСКИХ ЦЕПЯХ (В ПРИМЕРАХ), ИЗД.2</t>
  </si>
  <si>
    <t>Мякишев В.М., Жеваев М.С.</t>
  </si>
  <si>
    <t>978-5-16-013082-8</t>
  </si>
  <si>
    <t>11.03.01, 11.03.02, 13.03.02, 13.04.02</t>
  </si>
  <si>
    <t>087750.11.01</t>
  </si>
  <si>
    <t>Периферийные устройства вычисл. техники: Уч.пос. / Т.Л.Партыка, - 3 изд.-М.:Форум, НИЦ ИНФРА-М,2024.-432 с.(СПО)(П)</t>
  </si>
  <si>
    <t>ПЕРИФЕРИЙНЫЕ УСТРОЙСТВА ВЫЧИСЛИТЕЛЬНОЙ ТЕХНИКИ, ИЗД.3</t>
  </si>
  <si>
    <t>978-5-91134-594-5</t>
  </si>
  <si>
    <t>09.01.04, 09.01.05, 09.02.01, 09.02.02, 09.02.03, 09.02.04, 09.02.05, 10.02.01, 10.02.02, 10.02.03, 10.02.05, 11.02.03, 11.02.06, 11.02.07, 11.02.09, 11.02.11, 11.02.14, 11.02.15, 11.02.17, 11.02.18, 12.02.01, 12.02.03, 12.02.05, 12.02.06, 13.02.12, 15.02.07, 15.02.17, 26.01.05, 27.02.04, 53.02.08</t>
  </si>
  <si>
    <t>704441.03.01</t>
  </si>
  <si>
    <t>Персональные финансы: Уч. / В.А.Слепов - М.:Магистр, НИЦ ИНФРА-М, 2024 - 240 с.(п)</t>
  </si>
  <si>
    <t>ПЕРСОНАЛЬНЫЕ ФИНАНСЫ</t>
  </si>
  <si>
    <t>Слепов В.А., Бондарева С.А.</t>
  </si>
  <si>
    <t>978-5-9776-0498-7</t>
  </si>
  <si>
    <t>042040.13.01</t>
  </si>
  <si>
    <t>Персональный менеджмент: Практ. / Под общ. ред. С.Д. Резника. - 3 изд.-М.: ИНФРА-М, 2018.-304с. (ВО)</t>
  </si>
  <si>
    <t>ПЕРСОНАЛЬНЫЙ МЕНЕДЖМЕНТ, ИЗД.3</t>
  </si>
  <si>
    <t>Резник С. Д., Бондаренко В. В., Резник С. Д.</t>
  </si>
  <si>
    <t>978-5-16-004835-2</t>
  </si>
  <si>
    <t>38.03.01, 38.03.02, 38.03.03, 38.03.04, 38.04.01, 38.04.02, 38.04.03, 38.04.04, 41.03.06</t>
  </si>
  <si>
    <t>Рекомендовано Советом УМО по образованию в области менеджмента в качестве учебного пособия для студентов вузов, обучающихся  по направлению 080200 "Менеджмент" и специальности 080507 "Менеджмент организации"</t>
  </si>
  <si>
    <t>042040.15.01</t>
  </si>
  <si>
    <t>Персональный менеджмент: Практ. / С.Д.Резник - 4 изд.-М.:НИЦ ИНФРА-М,2021.-306 с..-(ВО)(П)</t>
  </si>
  <si>
    <t>ПЕРСОНАЛЬНЫЙ МЕНЕДЖМЕНТ, ИЗД.4</t>
  </si>
  <si>
    <t>Резник С.Д., Бондаренко В.В., Чемезов И.С. и др.</t>
  </si>
  <si>
    <t>978-5-16-015089-5</t>
  </si>
  <si>
    <t>037920.17.01</t>
  </si>
  <si>
    <t>Персональный менеджмент: Уч. / С.Д.Резник - 5 изд. - М.:НИЦ ИНФРА-М,2018 - 590 с.(ВО:Бакалавр.)(п)</t>
  </si>
  <si>
    <t>ПЕРСОНАЛЬНЫЙ МЕНЕДЖМЕНТ, ИЗД.5</t>
  </si>
  <si>
    <t>Резник С.Д., Бондаренко В.В., Удалов Ф.Е. и др.</t>
  </si>
  <si>
    <t>978-5-16-011389-0</t>
  </si>
  <si>
    <t>38.03.02, 38.03.03, 38.03.04, 38.04.03, 44.03.05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</si>
  <si>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заведений,обучающихся по направлениям 38.03.02 «Менеджмент»,38.03.03 «Управление персоналом», 38.03.04 «Государственное и муниципальное управление» (квалификация (степень) «бакалавр»)</t>
  </si>
  <si>
    <t>037920.20.01</t>
  </si>
  <si>
    <t>Персональный менеджмент: Уч. / С.Д.Резник - 6 изд.-М.:НИЦ ИНФРА-М,2023.-453 с..-(ВО: Бакалавриат)(П)</t>
  </si>
  <si>
    <t>ПЕРСОНАЛЬНЫЙ МЕНЕДЖМЕНТ, ИЗД.6</t>
  </si>
  <si>
    <t>978-5-16-014780-2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</si>
  <si>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38.03.02 «Менеджмент», 38.03.03 «Управление персоналом», 38.03.04 «Государственное и муниципальное управление» (квалификация (степень) «бакалавр»)</t>
  </si>
  <si>
    <t>187650.12.01</t>
  </si>
  <si>
    <t>Перспектива: Уч.пос. / М.А.Пресняков - 2 изд. - М.:Форум, НИЦ ИНФРА-М,2025 - 112 с.-(СПО)(о)</t>
  </si>
  <si>
    <t>ПЕРСПЕКТИВА, ИЗД.2</t>
  </si>
  <si>
    <t>Пресняков М.А.</t>
  </si>
  <si>
    <t>978-5-00091-657-5</t>
  </si>
  <si>
    <t>08.01.22, 08.01.23, 15.01.13, 15.01.17, 15.01.18, 15.01.22, 15.01.29, 15.01.35, 15.01.36, 15.01.37, 29.01.09, 29.02.10, 35.01.05, 35.01.06, 35.01.28, 35.01.30, 42.02.01, 43.01.11, 43.02.17, 53.02.09, 54.01.01, 54.01.05, 54.01.06, 54.01.12, 54.01.20, 54.02.01, 54.02.02, 54.02.03, 54.02.04, 54.02.05, 54.02.06, 54.02.07, 54.02.08, 55.02.02, 55.02.03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</si>
  <si>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54.02.00 «Изобразительные и прикладные виды искусств» (протокол № 13 от 16.09.2019)</t>
  </si>
  <si>
    <t>Высшая школа народных искусств (академия)</t>
  </si>
  <si>
    <t>187650.05.01</t>
  </si>
  <si>
    <t>Перспектива: Уч.пос. / М.А.Пресняков - М.:Форум, НИЦ ИНФРА-М,2018 - 112 с.-(СПО)(о)</t>
  </si>
  <si>
    <t>ПЕРСПЕКТИВА</t>
  </si>
  <si>
    <t>978-5-00091-528-8</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</si>
  <si>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54.02.05 «Живопись», 54.02.06 «Изобразительное искусство и черчение», 54.02.01 «Дизайн»</t>
  </si>
  <si>
    <t>177100.08.01</t>
  </si>
  <si>
    <t>Петрология метасоматических пород: Уч. / Е.Н.Граменицкий - М.:НИЦ ИНФРА-М,2025-221с.(ВО:Магистр.)(п)</t>
  </si>
  <si>
    <t>ПЕТРОЛОГИЯ МЕТАСОМАТИЧЕСКИХ ПОРОД</t>
  </si>
  <si>
    <t>Граменицкий Е. Н.</t>
  </si>
  <si>
    <t>978-5-16-011630-3</t>
  </si>
  <si>
    <t>Допущено Учебно-методическим объединением по классическому университетскому образованию в качестве учебника для студентов, обучающихся по направлению 05.04.01 «Геология» (квалификация (степень) «магистр»)</t>
  </si>
  <si>
    <t>404750.09.01</t>
  </si>
  <si>
    <t>Письменные работы научного стиля: Уч.пос. / Л.Н.Авдонина - М.:Форум, НИЦ ИНФРА-М,2025. - 72 с.(ВО)(О)</t>
  </si>
  <si>
    <t>ПИСЬМЕННЫЕ РАБОТЫ НАУЧНОГО СТИЛЯ</t>
  </si>
  <si>
    <t>Авдонина Л.Н., Гусева Т.В.</t>
  </si>
  <si>
    <t>978-5-00091-494-6</t>
  </si>
  <si>
    <t>45.03.01, 45.03.02, 45.03.03, 45.03.04, 46.03.01, 46.03.02, 46.03.03, 47.03.01, 47.03.02, 47.03.03, 51.03.01, 51.03.02, 51.03.03</t>
  </si>
  <si>
    <t>798337.01.01</t>
  </si>
  <si>
    <t>Письменные работы научного стиля: Уч.пос. / Л.Н.Авдонина-М.:Форум, НИЦ ИНФРА-М,2024.-72 с.(СПО)(о)</t>
  </si>
  <si>
    <t>978-5-00091-771-8</t>
  </si>
  <si>
    <t>00.02.16</t>
  </si>
  <si>
    <t>721072.03.01</t>
  </si>
  <si>
    <t>Питание как часть нац. культуры народов: Уч.пос. / Л.Е.Чередниченко - М.:НИЦ ИНФРА-М,2023 - 163c(П)</t>
  </si>
  <si>
    <t>ПИТАНИЕ КАК ЧАСТЬ НАЦИОНАЛЬНОЙ КУЛЬТУРЫ НАРОДОВ</t>
  </si>
  <si>
    <t>Чередниченко Л.Е.</t>
  </si>
  <si>
    <t>978-5-16-015815-0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</si>
  <si>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19.03.04 «Технология продукции и организация общественного питания» (квалификация (степень) «бакалавр») (протокол № 14 от 30.09.2019)</t>
  </si>
  <si>
    <t>735722.05.01</t>
  </si>
  <si>
    <t>Питание как часть нац. культуры народов: Уч.пос. / Л.Е.Чередниченко - М.:НИЦ ИНФРА-М,2025.-163 с.(СПО)(п)</t>
  </si>
  <si>
    <t>978-5-16-016197-6</t>
  </si>
  <si>
    <t>19.01.17, 19.01.18, 19.01.19, 19.02.12, 19.02.13, 35.01.23, 35.02.10, 43.01.04, 43.01.09, 43.02.15, 43.02.16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</si>
  <si>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43.02.01 «Организация обслуживания в общественном питании» (протокол № 8 от 22.06.2020)</t>
  </si>
  <si>
    <t>765390.04.01</t>
  </si>
  <si>
    <t>Пищевая биотехн. продуктов из сырья растит. происхож.: Уч. / О.А.Неверова -М.:НИЦ ИНФРА-М,2025.-318 с.(П)</t>
  </si>
  <si>
    <t>ПИЩЕВАЯ БИОТЕХНОЛОГИЯ ПРОДУКТОВ ИЗ СЫРЬЯ РАСТИТЕЛЬНОГО ПРОИСХОЖДЕНИЯ</t>
  </si>
  <si>
    <t>Неверова О.А., Просеков А.Ю., Гореликова Г.А. и др.</t>
  </si>
  <si>
    <t>978-5-16-017179-1</t>
  </si>
  <si>
    <t>19.01.01, 19.01.18, 19.02.11, 19.02.12, 19.02.15, 22.02.08, 35.02.18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</si>
  <si>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5 от 19.05.2021)</t>
  </si>
  <si>
    <t>Кемеровский государственный институт культуры</t>
  </si>
  <si>
    <t>200700.09.01</t>
  </si>
  <si>
    <t>Пищевая биотехнология продуктов из сырья растит..: Уч. / О.А.Неверова - ИНФРА-М, 2025 - 318 с.(ВО)(п)</t>
  </si>
  <si>
    <t>Неверова О. А., Просеков А. Ю., Гореликова Г. А., Позняковский В. М.</t>
  </si>
  <si>
    <t>978-5-16-005309-7</t>
  </si>
  <si>
    <t>19.03.02, 19.03.03, 19.03.04, 19.04.02, 19.04.03, 19.04.04</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</si>
  <si>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пищевых производств» в качестве учебника для студентов высших учебных заведений, обучающихся</t>
  </si>
  <si>
    <t>644910.08.01</t>
  </si>
  <si>
    <t>Пищевая микробиология: микробиолог.безоп.сырья..: Уч. / В.Н.Кисленко - М.:НИЦ ИНФРА-М,2025 - 257 с(ВО)(П)</t>
  </si>
  <si>
    <t>ПИЩЕВАЯ МИКРОБИОЛОГИЯ: МИКРОБИОЛОГИЧЕСКАЯ БЕЗОПАСНОСТЬ СЫРЬЯ И ПРОДУКТОВ ЖИВОТНОГО И РАСТИТЕЛЬНОГО ПРОИСХОЖДЕНИЯ</t>
  </si>
  <si>
    <t>Кисленко В.Н., Дячук Т.И.</t>
  </si>
  <si>
    <t>978-5-16-020746-9</t>
  </si>
  <si>
    <t>19.04.02, 19.04.03</t>
  </si>
  <si>
    <t>Допущено в качестве учебника для студентов вузов, обучающихся по направлениям подготовки 36.04.01 «Ветеринарно-санитарная экспертиза», 19.04.03 «Продукты питания животного происхождения», 19.04.02 «Продукты питания из растительного сырья» (квалификация (степень) «магистр»)</t>
  </si>
  <si>
    <t>632114.06.01</t>
  </si>
  <si>
    <t>Пищевые ингредиенты и биолог. активные добавки: Уч. / В.М.Позняковский - М.:НИЦ ИНФРА-М,2023-143с.(ВО)(о)</t>
  </si>
  <si>
    <t>ПИЩЕВЫЕ ИНГРЕДИЕНТЫ И БИОЛОГИЧЕСКИ АКТИВНЫЕ ДОБАВКИ</t>
  </si>
  <si>
    <t>Позняковский В.М., Чугунова О.В., Тамова М.Ю. и др.</t>
  </si>
  <si>
    <t>978-5-16-018637-5</t>
  </si>
  <si>
    <t>19.03.04, 19.04.04, 19.04.05</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</si>
  <si>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учебника для подготовки бакалавров и магистров по направлениям подготовки 19.03.04 и 19.04.04 «Технология продукции и организация общественного питания»</t>
  </si>
  <si>
    <t>328000.12.01</t>
  </si>
  <si>
    <t>Плавание: Уч. / Н.Ж.Булгакова и др. - М.:НИЦ ИНФРА-М,2025 - 290 с.-(ВО)(П)</t>
  </si>
  <si>
    <t>ПЛАВАНИЕ</t>
  </si>
  <si>
    <t>Булгакова Н.Ж., Морозов С.Н., Попов О.И. и др.</t>
  </si>
  <si>
    <t>978-5-16-018687-0</t>
  </si>
  <si>
    <t>44.03.01, 44.04.01, 49.03.01, 49.03.02, 49.04.01, 49.04.02</t>
  </si>
  <si>
    <t>Рекомендован Экспертно-методическим советом Института спорта и физического воспитания федерального государственного бюджетного образовательного учреждения высшего образования «Российский государственный университет физической культуры, спорта, молодежи и туризма (ГЦОЛИФК)»  для студентов, обучающихся по дисциплине «Плавание» по направлению подготовки 49.03.01  «Физическая культура», профиль подготовки «Спортивная подготовка»</t>
  </si>
  <si>
    <t>Российский университет спорта «ГЦОЛИФК»</t>
  </si>
  <si>
    <t>833102.01.01</t>
  </si>
  <si>
    <t>Плавание: Уч. / Н.Ж.Булгакова. - М.:НИЦ ИНФРА-М,2024. - 290 с.(СПО)(п)</t>
  </si>
  <si>
    <t>978-5-16-020012-5</t>
  </si>
  <si>
    <t>00.01.05, 00.02.14, 49.02.01, 49.02.02, 49.02.03</t>
  </si>
  <si>
    <t>674985.03.01</t>
  </si>
  <si>
    <t>Плазменные электротехнологич. установки: Уч.пос. / Чередниченко В.С., - 2 изд.-М.:НИЦ ИНФРА-М,2023.-601с(ВО)(П)</t>
  </si>
  <si>
    <t>ПЛАЗМЕННЫЕ ЭЛЕКТРОТЕХНОЛОГИЧЕСКИЕ УСТАНОВКИ, ИЗД.2</t>
  </si>
  <si>
    <t>Чередниченко В.С., Аньшаков А.С., Кузьмин М.Г.</t>
  </si>
  <si>
    <t>978-5-16-013628-8</t>
  </si>
  <si>
    <t>13.03.02, 13.03.03, 13.04.02, 16.04.02</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</si>
  <si>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«Электроэнергетика и электротехника»</t>
  </si>
  <si>
    <t>382000.04.01</t>
  </si>
  <si>
    <t>Планирование виртуальных вычислений: Уч.пос. / А.Б.Барский-М.:ИД ФОРУМ, НИЦ ИНФРА-М,2023-200с(ВО)(П)</t>
  </si>
  <si>
    <t>ПЛАНИРОВАНИЕ ВИРТУАЛЬНЫХ ВЫЧИСЛЕНИЙ</t>
  </si>
  <si>
    <t>Барский А.Б.</t>
  </si>
  <si>
    <t>978-5-8199-0655-2</t>
  </si>
  <si>
    <t>06.04.01, 09.04.01, 09.04.02, 09.04.03, 09.04.04</t>
  </si>
  <si>
    <t>Рекомендовано научно-методическим советом федерального государственного бюджетного образовательного учреждения высшего образования «Московский государственный университет путей сообщения (МИИТ)» в качестве учебного пособия для студентов, обучающихся по направлениям подготовки 09.03.01 и 09.04.01 «Информатика и вычислительная техника» (бакалавриат и магистратура), профиль «Вычислительные машины, комплексы, системы и сети», и 10.03.01 «Информационная безопасность» (бакалавриат), профиль «Безопасность компьютерных систем»</t>
  </si>
  <si>
    <t>124858.08.01</t>
  </si>
  <si>
    <t>Планирование и орг. машиностр. произв.: Уч. пос./Н.С.Сачко-2 изд.-Инфра-М;Нов. знан.,2024-240 с. (п)</t>
  </si>
  <si>
    <t>ПЛАНИРОВАНИЕ И ОРГАНИЗАЦИЯ МАШИНОСТРОИТЕЛЬНОГО ПРОИЗВОДСТВА. КУРСОВОЕ ПРОЕКТИРОВАНИЕ, ИЗД.2</t>
  </si>
  <si>
    <t>Сачко Н. С., Бабук И. М.</t>
  </si>
  <si>
    <t>978-5-16-006209-9</t>
  </si>
  <si>
    <t>15.03.01, 15.03.02, 15.03.03, 15.03.04, 15.03.05, 15.03.06, 38.03.02</t>
  </si>
  <si>
    <t>735701.04.01</t>
  </si>
  <si>
    <t>Планирование и орг. машиностроит. произв...: Уч.пос. / Н.С.Сачко - 2 изд.-М.:НИЦ ИНФРА-М, Новое зн.,2024-240с.(П)</t>
  </si>
  <si>
    <t>Сачко Н.С., Бабук И.М.</t>
  </si>
  <si>
    <t>978-5-16-016193-8</t>
  </si>
  <si>
    <t>00.02.38, 15.01.29, 15.02.16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</si>
  <si>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15.02.00 «Машиностроение» и 38.02.00 «Экономика и управление» (протокол № 3 от 17.02.2020)</t>
  </si>
  <si>
    <t>258000.03.01</t>
  </si>
  <si>
    <t>Планирование и организация эксперимента..: Уч.пос. /В.И.Бесшапошникова -М.:НИЦ ИНФРА-М,2024-224с(ВО)</t>
  </si>
  <si>
    <t>ПЛАНИРОВАНИЕ И ОРГАНИЗАЦИЯ ЭКСПЕРИМЕНТА В ЛЕГКОЙ ПРОМЫШЛЕННОСТИ</t>
  </si>
  <si>
    <t>978-5-16-019421-9</t>
  </si>
  <si>
    <t>29.03.01, 29.03.02, 29.03.03, 29.03.05, 29.04.01, 29.04.02, 29.04.03, 29.04.05</t>
  </si>
  <si>
    <t>Рекомендовано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29.03.02 «Технология и проектирование текстильных изделий», 29.03.05 «Конструирование изделий легкой промышленности» (квалификация (степень) «бакалавр»)</t>
  </si>
  <si>
    <t>284800.09.01</t>
  </si>
  <si>
    <t>Планирование использования земельных ресурсов..: Уч.пос. /А.А.Царенко - НИЦ ИНФРА-М, 2024-400с.(П)</t>
  </si>
  <si>
    <t>ПЛАНИРОВАНИЕ ИСПОЛЬЗОВАНИЯ ЗЕМЕЛЬНЫХ РЕСУРСОВ С ОСНОВАМИ КАДАСТРА</t>
  </si>
  <si>
    <t>Царенко А.А., Шмидт И.В.</t>
  </si>
  <si>
    <t>978-5-16-019226-0</t>
  </si>
  <si>
    <t>21.03.02, 21.03.03, 21.04.02, 21.04.03, 35.03.01, 35.03.04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</si>
  <si>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t>
  </si>
  <si>
    <t>418350.07.01</t>
  </si>
  <si>
    <t>Планирование на предпр. транспорта: Уч. пос. / Н.А.Логинова. - М.: НИЦ ИНФРА-М, 2024-320с.(ВО) (П)</t>
  </si>
  <si>
    <t>ПЛАНИРОВАНИЕ НА ПРЕДПРИЯТИИ ТРАНСПОРТА</t>
  </si>
  <si>
    <t>Логинова Н. А.</t>
  </si>
  <si>
    <t>978-5-16-005784-2</t>
  </si>
  <si>
    <t>38.03.01, 38.03.02, 38.03.04, 38.04.01, 38.04.02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</si>
  <si>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080200 «Менеджмент» (профиль «Производственный менеджмент»)</t>
  </si>
  <si>
    <t>432500.05.01</t>
  </si>
  <si>
    <t>Планирование на предприятии (в орг.):Уч.пос./Т.Н.Литвинова-М.:НИЦ ИНФРА-М,2024-156с(ВО:Бакалавр.)(о)</t>
  </si>
  <si>
    <t>ПЛАНИРОВАНИЕ НА ПРЕДПРИЯТИИ (В ОРГАНИЗАЦИИ)</t>
  </si>
  <si>
    <t>Литвинова Т.Н., Морозова И.А., Попкова Е.Г.</t>
  </si>
  <si>
    <t>978-5-16-011296-1</t>
  </si>
  <si>
    <t>38.03.01, 38.03.02, 38.04.01, 41.03.06, 41.04.01, 44.03.01</t>
  </si>
  <si>
    <t>Волгоградский государственный аграрный университет</t>
  </si>
  <si>
    <t>413400.11.01</t>
  </si>
  <si>
    <t>Планирование на предприятии: Уч. / В.В.Янковская - М.:НИЦ ИНФРА-М,2025. - 425 с.(ВО)(П)</t>
  </si>
  <si>
    <t>ПЛАНИРОВАНИЕ НА ПРЕДПРИЯТИИ</t>
  </si>
  <si>
    <t>Янковская В. В.</t>
  </si>
  <si>
    <t>978-5-16-020615-8</t>
  </si>
  <si>
    <t>38.03.01, 38.03.02, 38.03.04, 38.03.06, 38.04.01, 38.04.02, 38.04.04, 38.04.06, 44.03.01</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</si>
  <si>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по направлению 38.03.01 «Экономика» (квалификация (степень) «бакалавр»)</t>
  </si>
  <si>
    <t>058950.16.01</t>
  </si>
  <si>
    <t>Планирование на предприятии: Уч. / М.И. Бухалков - 4 изд.- М.: НИЦ ИНФРА-М, 2025 - 411с.(ВО) (п)</t>
  </si>
  <si>
    <t>ПЛАНИРОВАНИЕ НА ПРЕДПРИЯТИИ, ИЗД.4</t>
  </si>
  <si>
    <t>978-5-16-003931-2</t>
  </si>
  <si>
    <t>Рекомендовано Мин. обр. и науки РФ в качестве учебника для студентов высших учебных заведений, обучающихся по экономическим специальностям</t>
  </si>
  <si>
    <t>216700.08.01</t>
  </si>
  <si>
    <t>Планирование науч. эксперимента: Уч. / В.А.Волосухин - 2 изд. - М.:ИЦ РИОР, НИЦ ИНФРА-М,2024 - 176 с.(ВО)(О)</t>
  </si>
  <si>
    <t>ПЛАНИРОВАНИЕ НАУЧНОГО ЭКСПЕРИМЕНТА, ИЗД.2</t>
  </si>
  <si>
    <t>Волосухин В.А., Тищенко А.И.</t>
  </si>
  <si>
    <t>978-5-369-01229-1</t>
  </si>
  <si>
    <t>08.03.01, 08.04.01, 20.03.01, 20.03.02, 20.04.01, 20.04.02</t>
  </si>
  <si>
    <t>Рекомендовано УМО по образованию в области природообустройства и водопользования в качестве учебника для студентов высших учебных заведений, обучающихся по направлению подготовки 280100 «Природообустройство и водопользование»</t>
  </si>
  <si>
    <t>732540.02.01</t>
  </si>
  <si>
    <t>Планирование производственно-хоз. деят. строит. орг.: Уч. / В.М.Серов - М.:НИЦ ИНФРА-М,2025. - 338 с.(ВО)(П)</t>
  </si>
  <si>
    <t>ПЛАНИРОВАНИЕ ПРОИЗВОДСТВЕННО-ХОЗЯЙСТВЕННОЙ ДЕЯТЕЛЬНОСТИ СТРОИТЕЛЬНЫХ ОРГАНИЗАЦИЙ</t>
  </si>
  <si>
    <t>978-5-16-020618-9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</si>
  <si>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6 от 16.06.2021)</t>
  </si>
  <si>
    <t>813481.01.01</t>
  </si>
  <si>
    <t>Планирование, организация и упр. деят. персонала...: Уч.пос. / В.Н.Шитов - М.:НИЦ ИНФРА-М,2025. - 484 с.(СПО)(п)</t>
  </si>
  <si>
    <t>ПЛАНИРОВАНИЕ, ОРГАНИЗАЦИЯ И УПРАВЛЕНИЕ ДЕЯТЕЛЬНОСТЬЮ ПЕРСОНАЛА СТРУКТУРНОГО ПОДРАЗДЕЛЕНИЯ</t>
  </si>
  <si>
    <t>978-5-16-019166-9</t>
  </si>
  <si>
    <t>12.02.03, 18.02.04, 18.02.14, 18.02.15, 21.02.09, 21.02.12, 21.02.16</t>
  </si>
  <si>
    <t>124650.15.01</t>
  </si>
  <si>
    <t>Планировка и застройка населенных мест: Уч.пос. / В.В.Федоров - М.:НИЦ ИНФРА-М,2025 - 133 с.(ВО)(П)</t>
  </si>
  <si>
    <t>ПЛАНИРОВКА И ЗАСТРОЙКА НАСЕЛЕННЫХ МЕСТ</t>
  </si>
  <si>
    <t>Федоров В. В.</t>
  </si>
  <si>
    <t>978-5-16-016235-5</t>
  </si>
  <si>
    <t>Рекомендовано Учебно-методическим объединением вузов РФ по образованию в области строительства в качестве учебного пособия для студентов, обучающихся по направлению подготовки 08.03.01 «Строительство»</t>
  </si>
  <si>
    <t>800534.01.01</t>
  </si>
  <si>
    <t>Платежные сист. и орг. безналичных расчетов: Уч.пос. / Н.Н.Куницына-М.:НИЦ ИНФРА-М,2025.-329 с.(ВО)(п)</t>
  </si>
  <si>
    <t>ПЛАТЕЖНЫЕ СИСТЕМЫ И ОРГАНИЗАЦИЯ БЕЗНАЛИЧНЫХ РАСЧЕТОВ</t>
  </si>
  <si>
    <t>Куницына Н.Н., Дюдикова Е.И.</t>
  </si>
  <si>
    <t>978-5-16-018736-5</t>
  </si>
  <si>
    <t>843272.01.01</t>
  </si>
  <si>
    <t>Плоские фермы. Прогибы и частоты колебаний: Справ. / М.Н.Кирсанов - М.:НИЦ ИНФРА-М,2025. - 196 с.(п)</t>
  </si>
  <si>
    <t>ПЛОСКИЕ ФЕРМЫ. ПРОГИБЫ И ЧАСТОТЫ КОЛЕБАНИЙ</t>
  </si>
  <si>
    <t>Кирсанов М.Н.</t>
  </si>
  <si>
    <t>978-5-16-020432-1</t>
  </si>
  <si>
    <t>08.03.01, 08.04.01, 08.05.02</t>
  </si>
  <si>
    <t>792103.01.01</t>
  </si>
  <si>
    <t>Плоские фермы. Схемы и расчетные формулы: справ. Т. 2 / М.Н.Кирсанов-М.:НИЦ ИНФРА-М,2023.-285 с.(п)</t>
  </si>
  <si>
    <t>ПЛОСКИЕ ФЕРМЫ. СХЕМЫ И РАСЧЕТНЫЕ ФОРМУЛЫ: СПРАВОЧНИК. ТОМ 2, Т.2</t>
  </si>
  <si>
    <t>978-5-16-018185-1</t>
  </si>
  <si>
    <t>08.02.01, 08.03.01, 08.04.01, 08.05.01, 08.05.02, 08.05.03, 08.06.01</t>
  </si>
  <si>
    <t>799025.01.01</t>
  </si>
  <si>
    <t>Плоские фермы. Схемы и расчетные формулы: Справ. Т. 3 / М.Н.Кирсанов-М.:НИЦ ИНФРА-М,2023.-178 с.(п)</t>
  </si>
  <si>
    <t>ПЛОСКИЕ ФЕРМЫ. СХЕМЫ И РАСЧЕТНЫЕ ФОРМУЛЫ: СПРАВОЧНИК. ТОМ 3, Т.3</t>
  </si>
  <si>
    <t>978-5-16-018250-6</t>
  </si>
  <si>
    <t>08.02.01, 08.03.01, 08.04.01, 08.05.02</t>
  </si>
  <si>
    <t>699890.04.01</t>
  </si>
  <si>
    <t>Плоские фермы. Схемы и расчетные формулы: Т/ 1 / М.Н.Кирсанов - М.:НИЦ ИНФРА-М,2023 - 238 с.(П) [12+]</t>
  </si>
  <si>
    <t>ПЛОСКИЕ ФЕРМЫ. СХЕМЫ И РАСЧЕТНЫЕ ФОРМУЛЫ: СПРАВОЧНИК. ТОМ 1, Т.1</t>
  </si>
  <si>
    <t>978-5-16-014829-8</t>
  </si>
  <si>
    <t>07.02.01, 08.02.01, 08.02.02, 08.02.03, 08.02.04, 08.02.08, 08.02.09, 08.02.12, 08.02.13, 08.02.14, 08.03.01, 08.04.01, 08.05.01, 08.05.02, 08.05.03, 08.06.01, 11.02.06, 12.02.01, 12.02.03, 12.02.04, 12.02.05, 12.02.07, 12.02.08, 12.02.09, 13.02.01, 13.02.02, 13.02.04, 13.02.05, 13.02.07, 13.02.08, 13.02.09, 13.02.12, 13.02.13, 14.02.01, 14.02.02, 15.02.01, 15.02.03, 15.02.04, 15.02.06, 15.02.07, 15.02.09, 15.02.10, 15.02.16, 15.02.17, 15.02.18, 15.02.19, 18.02.10, 18.02.13, 19.02.11, 19.02.12, 20.02.02, 20.02.04, 20.02.06, 21.01.08, 21.01.17, 21.02.01, 21.02.02, 21.02.03, 21.02.09, 21.02.12, 21.02.14, 21.02.15, 21.02.16, 21.02.17, 21.02.18, 22.02.08, 23.01.02, 23.02.01, 23.02.02, 23.02.03, 23.02.04, 23.02.05, 23.02.06, 23.02.07, 23.02.08, 24.02.01, 24.02.02, 24.02.04, 25.02.01, 25.02.02, 25.02.03, 25.02.04, 25.02.05, 25.02.06, 25.02.07, 25.02.08, 26.02.04, 27.02.02, 27.02.04, 27.02.07, 29.02.05, 29.02.08, 29.02.11, 35.02.02, 35.02.07, 35.02.08, 35.02.11, 35.02.16, 35.02.18, 44.02.06</t>
  </si>
  <si>
    <t>458350.07.01</t>
  </si>
  <si>
    <t>Поведение потребителей: Уч. / В.Н.Наумов - 2 изд. - М.:НИЦ ИНФРА-М,2023 - 345 с.(ВО: Бакалавриат)(П)</t>
  </si>
  <si>
    <t>ПОВЕДЕНИЕ ПОТРЕБИТЕЛЕЙ, ИЗД.2</t>
  </si>
  <si>
    <t>978-5-16-015021-5</t>
  </si>
  <si>
    <t>38.03.01, 38.03.02, 38.03.06, 38.04.01, 38.04.02, 38.04.06, 41.03.06, 43.03.01, 43.04.01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</si>
  <si>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38.03.06 «Торговое дело», 43.03.01 «Сервис» (квалификация (степень) «бакалавр») (протокол № 19 от 09.12.2019)</t>
  </si>
  <si>
    <t>312600.06.01</t>
  </si>
  <si>
    <t>Поведение потребителей: Уч./ О.Н.Романенкова-М.:Вуз. уч., НИЦ ИНФРА-М,2024.-320 с.(П)</t>
  </si>
  <si>
    <t>ПОВЕДЕНИЕ ПОТРЕБИТЕЛЕЙ</t>
  </si>
  <si>
    <t>Романенкова О.Н.</t>
  </si>
  <si>
    <t>978-5-9558-0404-0</t>
  </si>
  <si>
    <t>38.03.02, 38.03.06, 38.04.02, 38.04.06, 42.03.01, 42.04.01, 44.03.01, 44.03.05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</si>
  <si>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заведении обучающихся по направлению подготовки 38.03.02 (080200.64) '¦Менеджмент» (квалификация (степень) "б</t>
  </si>
  <si>
    <t>458350.05.01</t>
  </si>
  <si>
    <t>Поведение потребителей: уч.пос. / В.Н.Наумов-М.:НИЦ ИНФРА-М,2019.-248 с..-(ВО: Бакалавриат)(о+Z)</t>
  </si>
  <si>
    <t>978-5-16-009416-8</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</si>
  <si>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по направлению 38.03.01 (080100.62) "Экономика», профиль «Экономика предприятий и о</t>
  </si>
  <si>
    <t>140400.10.01</t>
  </si>
  <si>
    <t>Поведение потребителей: Уч.пос. / Л.С.Драганчук-М.:НИЦ ИНФРА-М,2024.-192 с.(ВО)(п)</t>
  </si>
  <si>
    <t>Драганчук Л.С.</t>
  </si>
  <si>
    <t>978-5-16-018917-8</t>
  </si>
  <si>
    <t>821716.01.01</t>
  </si>
  <si>
    <t>Поведенческая экономика и финансы: Уч.пос. / И.И.Рахмеева. - М.:НИЦ ИНФРА-М,2025. - 244 с.(ВО)(п)</t>
  </si>
  <si>
    <t>ПОВЕДЕНЧЕСКАЯ ЭКОНОМИКА И ФИНАНСЫ</t>
  </si>
  <si>
    <t>Рахмеева И.И., Комарова О.В., Ляскин Г.Г. и др.</t>
  </si>
  <si>
    <t>978-5-16-019826-2</t>
  </si>
  <si>
    <t>27.04.07, 37.05.02, 38.04.01, 38.04.03</t>
  </si>
  <si>
    <t>824720.02.01</t>
  </si>
  <si>
    <t>Подготовка внештат. снайпер. групп в образоват...: Уч.пос. / В.А.Мельничук - М.:НИЦ ИНФРА-М,2025 - 197 с.(п)</t>
  </si>
  <si>
    <t>ПОДГОТОВКА ВНЕШТАТНЫХ СНАЙПЕРСКИХ ГРУПП В ОБРАЗОВАТЕЛЬНЫХ ОРГАНИЗАЦИЯХ МВД РОССИИ</t>
  </si>
  <si>
    <t>978-5-16-019821-7</t>
  </si>
  <si>
    <t>00.03.41, 56.04.03, 56.05.01</t>
  </si>
  <si>
    <t>655198.06.01</t>
  </si>
  <si>
    <t>Подготовка и редактир.док.в MS WORD: Уч.пос. / Е.А.Баринова - М.:КУРС, НИЦ ИНФРА-М,2023 - 184 с.(П)</t>
  </si>
  <si>
    <t>ПОДГОТОВКА И РЕДАКТИРОВАНИЕ ДОКУМЕНТОВ В MS WORD</t>
  </si>
  <si>
    <t>Баринова Е.А., Березина А.С., Пылькин А.Н. и др.</t>
  </si>
  <si>
    <t>978-5-906923-23-3</t>
  </si>
  <si>
    <t>00.03.03, 00.05.03, 46.03.02</t>
  </si>
  <si>
    <t>704943.11.01</t>
  </si>
  <si>
    <t>Подготовка по связи: Уч.пос. / И.Ю.Лепешинский - М.:НИЦ ИНФРА-М,2025 - 124 с.(ВО) (ОмГТУ))(О)</t>
  </si>
  <si>
    <t>ПОДГОТОВКА ПО СВЯЗИ</t>
  </si>
  <si>
    <t>Лепешинский И.Ю., Глебов В.В., Чикирев О.И. и др.</t>
  </si>
  <si>
    <t>978-5-16-015058-1</t>
  </si>
  <si>
    <t>56.04.02, 56.04.04</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</si>
  <si>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студентов высших учебных заведений, обучающихся по направлению подготовки «Транспортные машины и транспортно-технологические комплексы»</t>
  </si>
  <si>
    <t>098950.10.01</t>
  </si>
  <si>
    <t>Подготовка рукописи к изданию: Сл.-справ. / Е.Б.Егорова - 2 изд. - М.:Вуз.уч., НИЦ ИНФРА-М,2024-160 с.(О)</t>
  </si>
  <si>
    <t>ПОДГОТОВКА РУКОПИСИ К ИЗДАНИЮ, ИЗД.2</t>
  </si>
  <si>
    <t>Егорова Е.Б.</t>
  </si>
  <si>
    <t>978-5-9558-0474-3</t>
  </si>
  <si>
    <t>42.03.03, 42.04.03</t>
  </si>
  <si>
    <t>826109.02.01</t>
  </si>
  <si>
    <t>Подготовка сотруд. орг. внутр. дел к действиям...: Уч.пос. / В.А.Мельничук - М.:НИЦ ИНФРА-М,2025 - 235 с.(п)</t>
  </si>
  <si>
    <t>ПОДГОТОВКА СОТРУДНИКОВ ОРГАНОВ ВНУТРЕННИХ ДЕЛ К ДЕЙСТВИЯМ В ОСОБЫХ УСЛОВИЯХ</t>
  </si>
  <si>
    <t>978-5-16-019926-9</t>
  </si>
  <si>
    <t>40.03.01, 40.04.01, 40.05.01, 40.05.02, 56.05.01</t>
  </si>
  <si>
    <t>733506.04.01</t>
  </si>
  <si>
    <t>Подготовка сотрудников ОВД к обеспеч. лич. безоп.: Уч.пос. / А.А.Тарасенко - М.:НИЦ ИНФРА-М,2024 -185 с.(П)</t>
  </si>
  <si>
    <t>ПОДГОТОВКА СОТРУДНИКОВ ОВД К ОБЕСПЕЧЕНИЮ ЛИЧНОЙ БЕЗОПАСНОСТИ</t>
  </si>
  <si>
    <t>Тарасенко А.А., Войнов П.Н., Михайликов В.Л.</t>
  </si>
  <si>
    <t>978-5-16-016189-1</t>
  </si>
  <si>
    <t>40.03.01, 40.05.01, 40.05.02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</si>
  <si>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40.05.02 «Правоохранительная деятельность» (квалификация «юрист») (протокол № 7 от 22.09.2021)</t>
  </si>
  <si>
    <t>Белгородский юридический институт Министерства внутренних дел Российской Федерации им. И.Д. Путилина</t>
  </si>
  <si>
    <t>772129.02.01</t>
  </si>
  <si>
    <t>Подготовка сотрудников ОВД к обеспеч. лич. безопас.: Уч.пос. / А.А.Тарасенко. - М.:НИЦ ИНФРА-М,2025. - 185 с.(П)</t>
  </si>
  <si>
    <t>978-5-16-017444-0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</si>
  <si>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7 от 22.09.2021)</t>
  </si>
  <si>
    <t>818406.01.01</t>
  </si>
  <si>
    <t>Подземная геотехнология: Уч.пос. / А.Н.Анушенков- 2 изд.-М.:НИЦ ИНФРА-М, СФУ,2024.-302 с.(ВО (СФУ))(п)</t>
  </si>
  <si>
    <t>ПОДЗЕМНАЯ ГЕОТЕХНОЛОГИЯ, ИЗД.2</t>
  </si>
  <si>
    <t>Анушенков А.Н., Ахпашев Б.А., Волков Е.П. и др.</t>
  </si>
  <si>
    <t>978-5-16-019512-4</t>
  </si>
  <si>
    <t>438850.07.01</t>
  </si>
  <si>
    <t>Подземная разработка месторождений: Уч. пос. / В.И.Голик - М.: НИЦ ИНФРА-М, 2024 - 117с.(ВО: Бакалавр.) (О)</t>
  </si>
  <si>
    <t>ПОДЗЕМНАЯ РАЗРАБОТКА МЕСТОРОЖДЕНИЙ</t>
  </si>
  <si>
    <t>978-5-16-006752-0</t>
  </si>
  <si>
    <t>05.03.01, 05.04.01, 21.05.04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</si>
  <si>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специальности «Подземная разработка месторождений полезных и</t>
  </si>
  <si>
    <t>742685.01.01</t>
  </si>
  <si>
    <t>Подсчет геологических запасов и ресурсов нефти...: Уч. / О.И.Серебряков.-М.:НИЦ ИНФРА-М,2022.-296 с.(П)</t>
  </si>
  <si>
    <t>ПОДСЧЕТ ГЕОЛОГИЧЕСКИХ ЗАПАСОВ И РЕСУРСОВ НЕФТИ, ГАЗА, КОНДЕНСАТА И ТОВАРНОЙ ПРОДУКЦИИ</t>
  </si>
  <si>
    <t>Серебряков О.И., Ушивцева Л.Ф., Серебряков А.О.</t>
  </si>
  <si>
    <t>978-5-16-016734-3</t>
  </si>
  <si>
    <t>05.04.01, 05.06.01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</si>
  <si>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05.04.01 «Геология» (квалификация (степень) «магистр») (протокол № 4 от 13.04.2022)</t>
  </si>
  <si>
    <t>820922.01.01</t>
  </si>
  <si>
    <t>Пожарная безопасность электроустановок: Уч.пос. / Д.А.Едимичев-М.:НИЦ ИНФРА-М, СФУ,2024.-196 с.(ВО)(п)</t>
  </si>
  <si>
    <t>ПОЖАРНАЯ БЕЗОПАСНОСТЬ ЭЛЕКТРОУСТАНОВОК</t>
  </si>
  <si>
    <t>Едимичев Д.А., Минкин А.Н., Клочков С.В. и др.</t>
  </si>
  <si>
    <t>978-5-16-019590-2</t>
  </si>
  <si>
    <t>20.03.01, 20.05.01</t>
  </si>
  <si>
    <t>Сибирская пожарно-спасательная академия</t>
  </si>
  <si>
    <t>219400.07.01</t>
  </si>
  <si>
    <t>Покрытия различного назнач. для метал. матер.: Уч.пос. / А.А.Ильин - М.:Альфа-М, НИЦ ИНФРА-М,2023-144с(П)</t>
  </si>
  <si>
    <t>ПОКРЫТИЯ РАЗЛИЧНОГО НАЗНАЧЕНИЯ ДЛЯ МЕТАЛЛИЧЕСКИХ МАТЕРИАЛОВ</t>
  </si>
  <si>
    <t>Ильин А. А., Строганов Г. Б., Скворцова С. В.</t>
  </si>
  <si>
    <t>978-5-98281-355-8</t>
  </si>
  <si>
    <t>15.03.01, 15.04.01, 22.03.01, 22.04.01, 22.04.02</t>
  </si>
  <si>
    <t>657636.05.01</t>
  </si>
  <si>
    <t>Поликлиническая терапия: Уч.мет.пос. 5 курс. /  Т.Т.Карманова - М.:Форум,НИЦ ИНФРА-М,2023 - 623с.(П)</t>
  </si>
  <si>
    <t>ПОЛИКЛИНИЧЕСКАЯ ТЕРАПИЯ:УЧЕБНО-МЕТОДИЧЕСКОЙ ПОСОБИЕ ДЛЯ САМОСТОЯТЕЛЬНОЙ РАБОТЫ СТУДЕНТОВ 5 КУРСА ЛЕЧЕБНОГО ФАКУЛЬТЕТА</t>
  </si>
  <si>
    <t>Карманова Т.Т., Бабушкин И.Е., Лычев В.Г.</t>
  </si>
  <si>
    <t>978-5-00091-446-5</t>
  </si>
  <si>
    <t>Рекомендовано Координационным советом по области образования «Здравоохранение и медицинские науки» в качестве учебно-методического пособия для использования в образовательных учреждениях, реализующих программы высшего образования по специальности 31.05.01 «Лечебное дело» по дисциплине «Поликлиническая терапия»</t>
  </si>
  <si>
    <t>657637.04.01</t>
  </si>
  <si>
    <t>Поликлиническая терапия: Уч.мет.пос. 6 курс /  Т.Т. Карманова - М.:ФОРУМ, ИНФРА-М,2024-628 с.(П)</t>
  </si>
  <si>
    <t>ПОЛИКЛИНИЧЕСКАЯ ТЕРАПИЯ: УЧЕБНО-МЕТОДИЧЕСКОЕ ПОСОБИЕ ДЛЯ САМОСТОЯТЕЛЬНОЙ РАБОТЫ СТУДЕНТОВ 6 КУРСА ЛЕЧЕБНОГО ФАКУЛЬТЕТА</t>
  </si>
  <si>
    <t>978-5-00091-445-8</t>
  </si>
  <si>
    <t>Рекомендовано Координационным советом по области образования «Здравоохранение и медицинские науки» в качестве учебно-методического пособия для высшего образования по специальности 31.05.01 «Лечебное дело» по дисциплине «Поликлиническая терапия»</t>
  </si>
  <si>
    <t>287200.06.01</t>
  </si>
  <si>
    <t>Полимерные конструкционные материалы...: Уч. пос. / Б.Б.Бобович - М:Форум: ИНФРА-М,2025 - 400 с. (п)</t>
  </si>
  <si>
    <t>ПОЛИМЕРНЫЕ КОНСТРУКЦИОННЫЕ МАТЕРИАЛЫ (СТРУКТУРА, СВОЙСТВА, ПРИМЕНЕНИЕ)</t>
  </si>
  <si>
    <t>Бобович Б. Б.</t>
  </si>
  <si>
    <t>978-5-91134-911-0</t>
  </si>
  <si>
    <t>15.03.05, 23.03.02, 23.03.03, 23.04.02</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</si>
  <si>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специальности «Наземные транспортно-технологические средства</t>
  </si>
  <si>
    <t>651734.04.01</t>
  </si>
  <si>
    <t>Политика в сфере обр.в СССР и соврем. России: Моногр. /М.Б.Понявина-М.:Вуз.уч.,НИЦ ИНФРА-М,2019-126с</t>
  </si>
  <si>
    <t>ПОЛИТИКА В СФЕРЕ ОБРАЗОВАНИЯ В СССР И СОВРЕМЕННОЙ РОССИИ (ПОЛИТОЛОГИЧЕСКИЙ АНАЛИЗ)</t>
  </si>
  <si>
    <t>Понявина М.Б.</t>
  </si>
  <si>
    <t>Начная книга (ФУ)</t>
  </si>
  <si>
    <t>978-5-9558-0539-9</t>
  </si>
  <si>
    <t>38.03.01, 38.03.04, 40.03.01, 41.04.04, 44.03.01, 44.03.05</t>
  </si>
  <si>
    <t>661919.01.01</t>
  </si>
  <si>
    <t>Политика инновац.развития: опыт Рос.и ее регион./ Е.Г.Кирсанова-М.:Вуз.уч., НИЦ ИНФРА-М,2017-203с(П)</t>
  </si>
  <si>
    <t>ПОЛИТИКА ИННОВАЦИОННОГО РАЗВИТИЯ: ОПЫТ РОССИИ И ЕЕ РЕГИОНОВ</t>
  </si>
  <si>
    <t>Кирсанова Е.Г.</t>
  </si>
  <si>
    <t>978-5-9558-0596-2</t>
  </si>
  <si>
    <t>02.03.03, 38.03.01, 38.03.03, 38.03.04, 40.03.01, 41.03.05, 41.03.06, 42.03.02, 44.03.01, 44.03.05, 46.04.02, 47.03.01, 50.04.04, 51.04.04</t>
  </si>
  <si>
    <t>016000.11.01</t>
  </si>
  <si>
    <t>Политическая история России: Уч. /Ш.М. Мунчаев - 3 изд. - М.: Юр.Норма, НИЦ ИНФРА-М, 2024 -384с(П)</t>
  </si>
  <si>
    <t>ПОЛИТИЧЕСКАЯ ИСТОРИЯ РОССИИ. ОТ ОБРАЗОВАНИЯ РУССКОГО ЦЕНТРАЛИЗОВАННОГО ГОСУДАРСТВА ДО НАЧАЛА XXI ВЕКА, ИЗД.3</t>
  </si>
  <si>
    <t>978-5-91768-686-8</t>
  </si>
  <si>
    <t>00.03.04, 00.05.04, 40.03.01, 41.03.04, 41.03.06, 46.03.01</t>
  </si>
  <si>
    <t>086030.10.01</t>
  </si>
  <si>
    <t>Политическая конфликтология: Уч.пос. / Г.И.Козырев, - 2 изд. - М.:НИЦ ИНФРА-М,2025. -  403 с.(ВО)(П)</t>
  </si>
  <si>
    <t>ПОЛИТИЧЕСКАЯ КОНФЛИКТОЛОГИЯ, ИЗД.2</t>
  </si>
  <si>
    <t>978-5-16-015786-3</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</si>
  <si>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41.03.04 «Политология»</t>
  </si>
  <si>
    <t>086030.08.01</t>
  </si>
  <si>
    <t>Политическая конфликтология: уч.пос. / Г.И.Козырев-М.:ИД Форум, ИНФРА-М Издательский Дом,2019.-432 с..-(ВО)(П 7БЦ)</t>
  </si>
  <si>
    <t>ПОЛИТИЧЕСКАЯ КОНФЛИКТОЛОГИЯ</t>
  </si>
  <si>
    <t>978-5-8199-0332-2</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</si>
  <si>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ВПО 030200 - Политология</t>
  </si>
  <si>
    <t>820361.01.01</t>
  </si>
  <si>
    <t>Политическая социология: Уч. / Н.С.Козьякова - М.:НИЦ ИНФРА-М,2024. - 266 с.(ВО (Фин. универ.))(п)</t>
  </si>
  <si>
    <t>ПОЛИТИЧЕСКАЯ СОЦИОЛОГИЯ</t>
  </si>
  <si>
    <t>Козьякова Н.С.</t>
  </si>
  <si>
    <t>978-5-16-019648-0</t>
  </si>
  <si>
    <t>39.03.01, 39.04.01, 41.03.04, 41.04.04, 42.04.02</t>
  </si>
  <si>
    <t>422950.08.01</t>
  </si>
  <si>
    <t>Политическая социология: Уч.пос. / Г.И.Козырев - М.:ИД ФОРУМ, НИЦ ИНФРА-М,2025. - 336 с.(ВО)(П)</t>
  </si>
  <si>
    <t>978-5-8199-0540-1</t>
  </si>
  <si>
    <t>39.03.01, 39.04.01, 41.03.04, 41.03.06, 41.04.04</t>
  </si>
  <si>
    <t>728084.04.01</t>
  </si>
  <si>
    <t>Политическая теория: Уч. / Р.Т.Мухаев - М.:НИЦ ИНФРА-М,2025. - 659 с.(ВО:)(п)</t>
  </si>
  <si>
    <t>ПОЛИТИЧЕСКАЯ ТЕОРИЯ</t>
  </si>
  <si>
    <t>978-5-16-020414-7</t>
  </si>
  <si>
    <t>41.03.04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</si>
  <si>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общественно-гуманитарным направлениям подготовки (квалификация (степень) «бакалавр») (протокол № 6 от 08.06.2022)</t>
  </si>
  <si>
    <t>659196.05.01</t>
  </si>
  <si>
    <t>Политические процессы: миграция и конфликты: Уч.пос. / О.С.Пустошинская-М.:НИЦ ИНФРА-М,2024-98с(ВО)</t>
  </si>
  <si>
    <t>ПОЛИТИЧЕСКИЕ ПРОЦЕССЫ: МИГРАЦИЯ И КОНФЛИКТЫ</t>
  </si>
  <si>
    <t>Пустошинская О.С.</t>
  </si>
  <si>
    <t>978-5-16-012893-1</t>
  </si>
  <si>
    <t>41.03.01, 41.03.04, 41.03.05, 41.04.01, 41.04.04, 41.04.05</t>
  </si>
  <si>
    <t>683041.04.01</t>
  </si>
  <si>
    <t>Политические сис. постсоветских государств: Уч.пос. / П.В.Кузьмин-М.:НИЦ ИНФРА-М,2024.-208 с.(ВО)(п)</t>
  </si>
  <si>
    <t>ПОЛИТИЧЕСКИЕ СИСТЕМЫ ПОСТСОВЕТСКИХ ГОСУДАРСТВ</t>
  </si>
  <si>
    <t>Кузьмин П.В.</t>
  </si>
  <si>
    <t>978-5-16-019350-2</t>
  </si>
  <si>
    <t>41.03.01, 41.03.04, 41.03.05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</si>
  <si>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41.03.04 «Политология» (квалификация (степень) «бакалавр») (протокол № 13 от 16.09.2019)</t>
  </si>
  <si>
    <t>636905.04.01</t>
  </si>
  <si>
    <t>Политическое управление: Уч.пос. / Е.П.Тавокин-М.:НИЦ ИНФРА-М,2024.-209 с..-(ВО: Бакалавриат)(п)</t>
  </si>
  <si>
    <t>ПОЛИТИЧЕСКОЕ УПРАВЛЕНИЕ</t>
  </si>
  <si>
    <t>978-5-16-012198-7</t>
  </si>
  <si>
    <t>38.03.04, 38.04.04, 41.03.04, 41.04.04, 42.03.01, 42.03.02, 42.04.01, 42.04.02</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</si>
  <si>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42.03.01 «Реклама и связи с общественностью», 41.03.04 «Политология» (квалификация (степень) «бакалавр»)</t>
  </si>
  <si>
    <t>656373.06.01</t>
  </si>
  <si>
    <t>Политология в схемах и табл.: Уч.пос. / А.М.Руденко - М.:ИЦ РИОР, НИЦ ИНФРА-М,2025 - 274 с/(ВО: Бакалавр.)</t>
  </si>
  <si>
    <t>ПОЛИТОЛОГИЯ В СХЕМАХ И ТАБЛИЦАХ</t>
  </si>
  <si>
    <t>Руденко А.М., Котлярова В.В., Шестаков Ю.А.</t>
  </si>
  <si>
    <t>978-5-369-01717-3</t>
  </si>
  <si>
    <t>00.03.07, 00.05.07</t>
  </si>
  <si>
    <t>173850.09.01</t>
  </si>
  <si>
    <t>Политология: Уч. / А.Б. Оришев. - М.: ИЦ РИОР: НИЦ ИНФРА-М, 2024. - 288 с. - (ВО) (П)</t>
  </si>
  <si>
    <t>ПОЛИТОЛОГИЯ</t>
  </si>
  <si>
    <t>Оришев А. Б.</t>
  </si>
  <si>
    <t>978-5-369-00981-9</t>
  </si>
  <si>
    <t>Допущено Учебно-методическим объединением по образованию в области производственного менеджмента в качестве учебника для студентов вузов, обучающихся по специальностям: 151900, 230100, 280700</t>
  </si>
  <si>
    <t>021100.18.01</t>
  </si>
  <si>
    <t>Политология: Уч. / В.М.Корельский и др. - 2 изд. - М.:НОРМА, ИНФРА-М,2025 - 512 с.(П)</t>
  </si>
  <si>
    <t>ПОЛИТОЛОГИЯ, ИЗД.2</t>
  </si>
  <si>
    <t>Корельский В. М., Кокотов А. Н., Лазутин Л. А., Перевалов В. Д.</t>
  </si>
  <si>
    <t>978-5-468-00270-4</t>
  </si>
  <si>
    <t>Рекомендовано Мин. обр. и науки РФ в качестве учебника для студентов вузов, обучающихся по специальности 021100 "Юриспруденция"</t>
  </si>
  <si>
    <t>162500.17.01</t>
  </si>
  <si>
    <t>Политология: Уч. / К.С.Гаджиев - М.:НИЦ ИНФРА-М, 2025 - 384 с.(ВО: Бакалавриат)(п)</t>
  </si>
  <si>
    <t>Гаджиев К. С., Примова Э. Н.</t>
  </si>
  <si>
    <t>978-5-16-004642-6</t>
  </si>
  <si>
    <t>Допущено Научно-методическим советом по политологии Министерства образования и науки Российской Федерации в качестве учебника для студентов высших учебных заведений</t>
  </si>
  <si>
    <t>Национальный исследовательский институт мировой экономики и международных отношений им. Е.М. Примакова</t>
  </si>
  <si>
    <t>745701.02.01</t>
  </si>
  <si>
    <t>Политология: Уч. / К.С.Гаджиев-М.:НИЦ ИНФРА-М,2021.-384 с..-(ВО: Специалитет)(П)</t>
  </si>
  <si>
    <t>Гаджиев К.С., Примова Э.Н.</t>
  </si>
  <si>
    <t>978-5-16-016547-9</t>
  </si>
  <si>
    <t>00.05.07, 40.05.01, 40.05.02, 40.05.03, 40.05.04</t>
  </si>
  <si>
    <t>154800.08.01</t>
  </si>
  <si>
    <t>Политология: Уч. / М.Д. Валовая. - 2-e изд. - М.: Магистр:  ИНФРА-М, 2023. - 336 с. (п)</t>
  </si>
  <si>
    <t>Валовая М. Д.</t>
  </si>
  <si>
    <t>978-5-9776-0147-4</t>
  </si>
  <si>
    <t>673875.06.01</t>
  </si>
  <si>
    <t>Политология: Уч. / Я.А.Пляйс и др. - 2 изд. - М.:НИЦ ИНФРА-М,2025 - 414 с.(ВО)(п)</t>
  </si>
  <si>
    <t>Пляйс Я.А., Брега А.В., Петросянц Д.В. и др.</t>
  </si>
  <si>
    <t>978-5-16-020162-7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</si>
  <si>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8 от 29.04.2019)</t>
  </si>
  <si>
    <t>745703.07.01</t>
  </si>
  <si>
    <t>Политология: Уч. / Я.А.Пляйс и др. - 2 изд. - М.:НИЦ ИНФРА-М,2025 - 414 с.-(ВО: Специалитет)(П)</t>
  </si>
  <si>
    <t>978-5-16-016548-6</t>
  </si>
  <si>
    <t>00.05.07, 38.05.01, 38.05.02, 40.05.01, 40.05.02, 40.05.03, 40.05.04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</si>
  <si>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специалитета (протокол № 8 от 22.06.2020)</t>
  </si>
  <si>
    <t>673875.02.01</t>
  </si>
  <si>
    <t>Политология: Уч. / Я.А.Пляйс и др.-М.:НИЦ ИНФРА-М,2018.-366 с..-(ВО: Бакалавриат (Финунивер.))(П)</t>
  </si>
  <si>
    <t>978-5-16-013227-3</t>
  </si>
  <si>
    <t>Рекомендовано в качестве учебника для студентов высших учебных заведений, обучающихся по гуманитарным, социально-экономическим, математическим, естественным, техническим направлениям подготовки (квалификация (степень) «бакалавр»)</t>
  </si>
  <si>
    <t>097300.14.01</t>
  </si>
  <si>
    <t>Политология: Уч. пос. / Г.И. Козырев - М.: ИНФРА-М, 2025 - 368 с.(ВО) (п)</t>
  </si>
  <si>
    <t>978-5-16-018511-8</t>
  </si>
  <si>
    <t>Допущено научно-методическим советом по политологии Министерства образования и науки Российской Федерации в качестве учебного пособия для студентов высших учебных заведений</t>
  </si>
  <si>
    <t>689716.04.01</t>
  </si>
  <si>
    <t>Полупроводниковые преобразоват. электрич. энергии: Уч.пос. / В.А.Прохоров-М.:НИЦ ИНФРА-М,2023.-315 с.(ВО)(П)</t>
  </si>
  <si>
    <t>ПОЛУПРОВОДНИКОВЫЕ ПРЕОБРАЗОВАТЕЛИ ЭЛЕКТРИЧЕСКОЙ ЭНЕРГИИ</t>
  </si>
  <si>
    <t>Прохоров В.А.</t>
  </si>
  <si>
    <t>978-5-16-018514-9</t>
  </si>
  <si>
    <t>13.03.01, 13.03.02, 13.03.03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</si>
  <si>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8 от 22.06.2020)</t>
  </si>
  <si>
    <t>781022.01.01</t>
  </si>
  <si>
    <t>Пористые материалы: расчёт теплофизич...: Уч.пос. / Ю.В.Светлов - М.:НИЦ ИНФРА-М,2025. - 300 с.(ВО)(п)</t>
  </si>
  <si>
    <t>ПОРИСТЫЕ МАТЕРИАЛЫ: РАСЧЁТ ТЕПЛОФИЗИЧЕСКИХ ХАРАКТЕРИСТИК НА ОСНОВЕ ТЕОРИИ МАКРОКВАНТОВАНИЯ</t>
  </si>
  <si>
    <t>Светлов Ю.В.</t>
  </si>
  <si>
    <t>978-5-16-018394-7</t>
  </si>
  <si>
    <t>16.03.03, 18.03.02, 22.03.01</t>
  </si>
  <si>
    <t>444150.08.01</t>
  </si>
  <si>
    <t>Пороха, ракетные твердые топлива и их свойст.: Уч.пос. / А.В.Косточко - М.:НИЦ ИНФРА-М,2025-400(ВО)(п)</t>
  </si>
  <si>
    <t>ПОРОХА, РАКЕТНЫЕ ТВЕРДЫЕ ТОПЛИВА И ИХ СВОЙСТВА. ФИЗИКО-ХИМИЧЕСКИЕ СВОЙСТВА ПОРОХОВ И РАКЕТНЫХ ТВЕРДЫХ ТОПЛИВ</t>
  </si>
  <si>
    <t>Косточко А. В., Казбан Б. М.</t>
  </si>
  <si>
    <t>978-5-16-020060-6</t>
  </si>
  <si>
    <t>24.03.01, 24.03.05</t>
  </si>
  <si>
    <t>316300.09.01</t>
  </si>
  <si>
    <t>Пособие к курсовому и диплом.проектир. ..: Уч.пос. / Ю.Д.Сибикин - М.:Форум,НИЦ ИНФРА-М,2025 - 383 с.(ВО)(П)</t>
  </si>
  <si>
    <t>ПОСОБИЕ К КУРСОВОМУ И ДИПЛОМНОМУ ПРОЕКТИРОВАНИЮ ЭЛЕКТРОСНАБЖЕНИЯ ПРОМЫШЛЕННЫХ, СЕЛЬСКОХОЗЯЙСТВЕННЫХ И ГОРОДСКИХ ОБЪЕКТОВ</t>
  </si>
  <si>
    <t>Сибикин Ю.Д.</t>
  </si>
  <si>
    <t>978-5-00091-740-4</t>
  </si>
  <si>
    <t>Рекомендовано в качестве учебного пособия для студентов высших учебных заведений, обучающихся по направлениям подготовки 13.03.01 «Теплоэнергетика и теплотехника», 13.03.02 «Электроэнергетика и электротехника» (квалификация (степень) «бакалавр»)</t>
  </si>
  <si>
    <t>769731.02.01</t>
  </si>
  <si>
    <t>Построение дискретно-логических систем управ..: Уч.пос. / Н.Г.Чикуров-М.:НИЦ ИНФРА-М,2023.-198 с.(ВО)(п)</t>
  </si>
  <si>
    <t>ПОСТРОЕНИЕ ДИСКРЕТНО-ЛОГИЧЕСКИХ СИСТЕМ УПРАВЛЕНИЯ ЭЛЕКТРОАВТОМАТИКОЙ</t>
  </si>
  <si>
    <t>Чикуров Н.Г.</t>
  </si>
  <si>
    <t>978-5-16-017417-4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</si>
  <si>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машиностроительным направлениям подготовки (квалификация (степень) «бакалавр») (протокол № 9 от 17.11.2022)</t>
  </si>
  <si>
    <t>806638.01.01</t>
  </si>
  <si>
    <t>Почвоведение с основами агрохимии: лаб. практ.: Уч.пос. / О.А.Ульянова-М.:НИЦ ИНФРА-М,2024-263с.(ВО (КрГАУ))(п)</t>
  </si>
  <si>
    <t>ПОЧВОВЕДЕНИЕ С ОСНОВАМИ АГРОХИМИИ: ЛАБОРАТОРНЫЙ ПРАКТИКУМ</t>
  </si>
  <si>
    <t>Ульянова О.А., Кураченко Н.Л.</t>
  </si>
  <si>
    <t>978-5-16-019626-8</t>
  </si>
  <si>
    <t>35.03.01, 35.03.03, 35.03.05, 35.03.10, 35.04.03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</si>
  <si>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35.03.10 «Ландшафтная архитектура», профиль «Садово-парковое и ландшафтное строительство»</t>
  </si>
  <si>
    <t>416200.11.01</t>
  </si>
  <si>
    <t>Почвоведение с основами геологии: Уч. / Н.Ф.Ганжара - М.:НИЦ ИНФРА-М,2023-352с.(ВО: Бакалавр.)(П)</t>
  </si>
  <si>
    <t>ПОЧВОВЕДЕНИЕ С ОСНОВАМИ ГЕОЛОГИИ</t>
  </si>
  <si>
    <t>Ганжара Н.Ф., Борисов Б.А.</t>
  </si>
  <si>
    <t>978-5-16-006240-2</t>
  </si>
  <si>
    <t>05.03.06, 06.03.01, 06.03.02, 20.03.02, 21.03.02, 35.03.01, 35.03.03, 35.03.04, 35.03.05, 35.03.10, 35.04.03</t>
  </si>
  <si>
    <t>Рекомендован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35.03.04 «Агрономия»</t>
  </si>
  <si>
    <t>416300.10.01</t>
  </si>
  <si>
    <t>Почвоведение. Практикум: Уч.пос. / Н.Ф.Ганжара - М.:НИЦ ИНФРА-М,2025 - 256 с.(ВО: Бакалавр.)(П)</t>
  </si>
  <si>
    <t>ПОЧВОВЕДЕНИЕ. ПРАКТИКУМ</t>
  </si>
  <si>
    <t>Ганжара Н. Ф., Борисов Б. А., Байбеков Р. Ф., Ганжара Н. Ф.</t>
  </si>
  <si>
    <t>978-5-16-020539-7</t>
  </si>
  <si>
    <t>05.03.03, 05.03.04, 05.03.06, 06.03.01, 06.03.02, 06.04.02, 20.03.02, 21.03.02, 35.03.01, 35.03.03, 35.03.04, 35.03.05, 35.03.10, 44.03.05</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</si>
  <si>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направлениям «Агрохимия и агропочвоведение», «Агрономия», «Садоводство»</t>
  </si>
  <si>
    <t>813211.01.01</t>
  </si>
  <si>
    <t>Почвоведение: практикум: Уч.пос. / А.А.Белоусов - М.:НИЦ ИНФРА-М,2024.-215 с.(ВО (КрГАУ))(п)</t>
  </si>
  <si>
    <t>Белоусов А.А., Власенко О.А., Демьяненко Т.Н.</t>
  </si>
  <si>
    <t>978-5-16-019547-6</t>
  </si>
  <si>
    <t>06.03.02, 35.03.05, 35.03.10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</si>
  <si>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35.03.07 «Технология производства и переработки сельскохозяйственной продукции» и 36.03.02 «Зоотехния»</t>
  </si>
  <si>
    <t>476600.08.01</t>
  </si>
  <si>
    <t>Почвоведение: справочник: Уч.пос. / В.Г.Мамонтов - М.:НИЦ ИНФРА-М,2023 - 365 с.(ВО: Бакалавриат)(П)</t>
  </si>
  <si>
    <t>ПОЧВОВЕДЕНИЕ: СПРАВОЧНИК</t>
  </si>
  <si>
    <t>Мамонтов В.Г.</t>
  </si>
  <si>
    <t>978-5-16-016731-2</t>
  </si>
  <si>
    <t>05.03.06, 06.03.01, 06.03.02, 06.04.02, 20.03.02, 35.03.01, 35.03.03, 35.03.04, 35.03.05, 35.03.10</t>
  </si>
  <si>
    <t>Допущено УМО вузов Российской Федерации по агрономическому образованию в качестве учебного пособия для бакалавров, обучающихся по направлениям подготовки 35.03.03 «Агрохимия и агропочвоведение», 35.03.04 «Агрономия» и 35.03.05 «Садоводство»</t>
  </si>
  <si>
    <t>181800.04.01</t>
  </si>
  <si>
    <t>Почвоведение: Уч.пос. / Под ред. Горбылевой А.И. - 2 изд. -М.:НИЦ ИНФРА-М, Нов.знание,2016-400с.(ВО)</t>
  </si>
  <si>
    <t>ПОЧВОВЕДЕНИЕ, ИЗД.2</t>
  </si>
  <si>
    <t>Горбылева А.И., Воробьев В.Б., Петровский Е.И. и др.</t>
  </si>
  <si>
    <t>978-5-16-005677-7</t>
  </si>
  <si>
    <t>05.03.06, 06.03.01, 06.03.02, 20.03.02, 35.03.01, 35.03.03, 35.03.04, 35.03.05, 35.03.10, 35.04.03, 35.04.04</t>
  </si>
  <si>
    <t>Допущено Министерством образования Республики Беларусь в качестве учебного пособия для студентов вузов по агрономическим специальностям</t>
  </si>
  <si>
    <t>019996.22.01</t>
  </si>
  <si>
    <t>Права человека: Уч. / Е.А.Лукашева - 3 изд. - М.:Юр.Норма, НИЦ ИНФРА-М,2025 - 512 с.(П)</t>
  </si>
  <si>
    <t>ПРАВА ЧЕЛОВЕКА, ИЗД.3</t>
  </si>
  <si>
    <t>Васильева Т.А., Карташкин В.А., Лукашева Е.А. и др.</t>
  </si>
  <si>
    <t>978-5-91768-578-6</t>
  </si>
  <si>
    <t>40.03.01, 40.04.01, 40.05.01, 40.05.02, 40.05.03, 40.05.04, 41.03.01, 41.03.06, 44.03.05, 46.03.02</t>
  </si>
  <si>
    <t>149500.06.01</t>
  </si>
  <si>
    <t>Права человека: Уч.пос. / Е.В.Гулин - 2 изд. - М.:ИЦ РИОР,НИЦ ИНФРА-М,2021-175 с.(ВО: Бакалавр.)(П)</t>
  </si>
  <si>
    <t>ПРАВА ЧЕЛОВЕКА, ИЗД.2</t>
  </si>
  <si>
    <t>978-5-369-01503-2</t>
  </si>
  <si>
    <t>149500.10.01</t>
  </si>
  <si>
    <t>Права человека: Уч.пос. / Е.В.Гулин - 3 изд. - М.:ИЦ РИОР, НИЦ ИНФРА-М,2024.-176 с.(ВО)(П)</t>
  </si>
  <si>
    <t>978-5-369-01878-1</t>
  </si>
  <si>
    <t>785850.01.01</t>
  </si>
  <si>
    <t>Правила планир., проектир., управ. развитием городов: Уч.пос. / Г.А.Потаев-М.:НИЦ ИНФРА-М,2025.-292 с.(ВО)(п)</t>
  </si>
  <si>
    <t>ПРАВИЛА ПЛАНИРОВАНИЯ, ПРОЕКТИРОВАНИЯ, УПРАВЛЕНИЯ РАЗВИТИЕМ ГОРОДОВ</t>
  </si>
  <si>
    <t>978-5-16-018553-8</t>
  </si>
  <si>
    <t>07.03.01, 07.03.04, 07.04.01, 07.04.04</t>
  </si>
  <si>
    <t>054790.13.01</t>
  </si>
  <si>
    <t>Правила русской орфографии и пунктуации - 2 изд. - М.:ИЦ РИОР,НИЦ ИНФРА-М,2024 - 98 с.(О)</t>
  </si>
  <si>
    <t>ПРАВИЛА РУССКОЙ ОРФОГРАФИИ И ПУНКТУАЦИИ, ИЗД.2</t>
  </si>
  <si>
    <t>978-5-369-00738-9</t>
  </si>
  <si>
    <t>00.00.00, 00.02.09, 00.02.34, 31.02.01, 31.02.02, 31.02.03, 32.02.01, 33.02.01, 34.02.01, 42.02.01, 42.02.02, 43.02.11, 43.02.16, 44.02.01, 44.02.02, 44.02.03, 44.02.04, 44.02.05, 44.02.06, 46.02.01, 51.02.03</t>
  </si>
  <si>
    <t>054790.07.01</t>
  </si>
  <si>
    <t>Правила русской орфографии и пунктуации - М.:ИЦ РИОР, 2018. - 96 с.(О) [0+]</t>
  </si>
  <si>
    <t>ПРАВИЛА РУССКОЙ ОРФОГРАФИИ И ПУНКТУАЦИИ</t>
  </si>
  <si>
    <t>978-5-9557-0101-1</t>
  </si>
  <si>
    <t>442050.08.01</t>
  </si>
  <si>
    <t>Правила творческого мышления, или тайные пружины ТРИЗ: Уч.пос. / С.В.Кукалев-М.:НИЦ ИНФРА-М,2024.-416 с.(ВО)(п)</t>
  </si>
  <si>
    <t>ПРАВИЛА ТВОРЧЕСКОГО МЫШЛЕНИЯ, ИЛИ ТАЙНЫЕ ПРУЖИНЫ ТРИЗ</t>
  </si>
  <si>
    <t>Кукалев С.В.</t>
  </si>
  <si>
    <t>978-5-16-018866-9</t>
  </si>
  <si>
    <t>632595.06.01</t>
  </si>
  <si>
    <t>Право и институты Европейского Союза.: Уч.пос. / Л.М.Энтин - 2 изд. - М.:Юр.Норма,НИЦ ИНФРА-М,2022-288с.(П)</t>
  </si>
  <si>
    <t>ПРАВО И ИНСТИТУТЫ ЕВРОПЕЙСКОГО СОЮЗА. СОВРЕМЕННЫЙ ЭТАП ЭВОЛЮЦИИ, ИЗД.2</t>
  </si>
  <si>
    <t>Энтин Л.М.</t>
  </si>
  <si>
    <t>978-5-91768-741-4</t>
  </si>
  <si>
    <t>122700.06.01</t>
  </si>
  <si>
    <t>Право и правовая сис. Великобритании: Уч.пос. / А.К.Романов, - 2 изд. - М.:НИЦ ИНФРА-М,2025. - 340 с.(ВО)(п)</t>
  </si>
  <si>
    <t>ПРАВО И ПРАВОВАЯ СИСТЕМА ВЕЛИКОБРИТАНИИ, ИЗД.2</t>
  </si>
  <si>
    <t>Романов А.К.</t>
  </si>
  <si>
    <t>978-5-16-017199-9</t>
  </si>
  <si>
    <t>40.04.01, 40.06.01</t>
  </si>
  <si>
    <t>472500.07.01</t>
  </si>
  <si>
    <t>Право и экономика (методология): Уч.для магистр. / Г.А.Гаджиев-М.:Юр.Норма,НИЦ ИНФРА-М,2024-256с.(П)</t>
  </si>
  <si>
    <t>ПРАВО И ЭКОНОМИКА (МЕТОДОЛОГИЯ)</t>
  </si>
  <si>
    <t>Гаджиев Г.А.</t>
  </si>
  <si>
    <t>978-5-91768-695-0</t>
  </si>
  <si>
    <t>38.04.01, 40.04.01</t>
  </si>
  <si>
    <t>Конституционный суд Российской Федерации</t>
  </si>
  <si>
    <t>682992.07.01</t>
  </si>
  <si>
    <t>Право интеллект. собств.: Промыш. собств.: Уч. / Г.Ф.Ручкина - М.:НИЦ ИНФРА-М,2023 - 548 с.-(ВО)(П)</t>
  </si>
  <si>
    <t>ПРАВО ИНТЕЛЛЕКТУАЛЬНОЙ СОБСТВЕННОСТИ: ПРОМЫШЛЕННАЯ СОБСТВЕННОСТЬ</t>
  </si>
  <si>
    <t>Ручкина Г.Ф., Гончаренко Л.И., Лосева О.В. и др.</t>
  </si>
  <si>
    <t>978-5-16-015999-7</t>
  </si>
  <si>
    <t>Рекомендовано Учебно-методическим советом ВО в качестве учебника для студентов высших учебных заведений, обучающихся по направлению подготовки 40.03.01 «Юриспруденция» (квалификация (степень) «бакалавр»)</t>
  </si>
  <si>
    <t>682616.04.01</t>
  </si>
  <si>
    <t>Право интеллектуальной собственности: Худ. собст.: Уч./ Ручкина Г.Ф.-М.:НИЦ ИНФРА-М,2023-232с(ВО)(П)</t>
  </si>
  <si>
    <t>ПРАВО ИНТЕЛЛЕКТУАЛЬНОЙ СОБСТВЕННОСТИ: ХУДОЖЕСТВЕННАЯ СОБСТВЕННОСТЬ</t>
  </si>
  <si>
    <t>Кулешова И.А., Рахматулина Р.Ш., Рузакова О.А. и др.</t>
  </si>
  <si>
    <t>978-5-16-018542-2</t>
  </si>
  <si>
    <t>173250.07.01</t>
  </si>
  <si>
    <t>Право на обращение в ЕС по правам человека: Уч.пос. / Ю.В.Самович - 4 изд. - М.:ИЦ РИОР, НИЦ ИНФРА-М,2023-194 с.(ВО)</t>
  </si>
  <si>
    <t>ПРАВО НА ОБРАЩЕНИЕ В ЕВРОПЕЙСКИЙ СУД ПО ПРАВАМ ЧЕЛОВЕКА, ИЗД.4</t>
  </si>
  <si>
    <t>Самович Ю.В.</t>
  </si>
  <si>
    <t>978-5-369-01850-7</t>
  </si>
  <si>
    <t>Рекомендовано Государственным образовательным учреждением высшего профессионального образования «Московская государственная юридическая академия» им. О.Е. Кутафина к использованию в образовательных учреждениях, реализующих образовательные программы высшего профессионального образования (дополнительного профессионального образования) по специальности и направлению "Юриспруденция"</t>
  </si>
  <si>
    <t>173250.06.01</t>
  </si>
  <si>
    <t>Право на обращение в ЕС по правам человека: Уч.пос./ Ю.В.Самович, -3 изд.-М.:ИЦ РИОР, НИЦ ИНФРА-М,2018-163 с.(ВО)(П)</t>
  </si>
  <si>
    <t>ПРАВО НА ОБРАЩЕНИЕ В ЕВРОПЕЙСКИЙ СУД ПО ПРАВАМ ЧЕЛОВЕКА, ИЗД.3</t>
  </si>
  <si>
    <t>978-5-369-01465-3</t>
  </si>
  <si>
    <t>289000.04.01</t>
  </si>
  <si>
    <t>Право открытых обществ - частное и гос.регул.межд.отнош.:Общ.курс / Ю.Базедов - М.:Юр.Норма,2022 - 384 с(п)</t>
  </si>
  <si>
    <t>ПРАВО ОТКРЫТЫХ ОБЩЕСТВ - ЧАСТНОЕ И ГОСУДАРСТВЕННОЕ РЕГУЛИРОВАНИЕ МЕЖДУНАРОДНЫХ ОТНОШЕНИЙ</t>
  </si>
  <si>
    <t>Базедов Ю., Юмашев Ю.М.</t>
  </si>
  <si>
    <t>978-5-91768-723-0</t>
  </si>
  <si>
    <t>685990.08.01</t>
  </si>
  <si>
    <t>Право социального обеспечения: Уч.пос. / А.В.Карпова - М.:НИЦ ИНФРА-М,2025 - 175 с.-(СПО)(П)</t>
  </si>
  <si>
    <t>ПРАВО СОЦИАЛЬНОГО ОБЕСПЕЧЕНИЯ</t>
  </si>
  <si>
    <t>Карпова А.В.</t>
  </si>
  <si>
    <t>978-5-16-014668-3</t>
  </si>
  <si>
    <t>39.02.01, 40.02.04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</si>
  <si>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40.02.01 «Право и организация социального обеспечения» (протокол № 13 от 16.09.2019)</t>
  </si>
  <si>
    <t>641798.07.01</t>
  </si>
  <si>
    <t>Право: Уч. / О.В.Ефимова и др. - М.:НИЦ ИНФРА-М,2025. - 386 с.(СПО)(п)</t>
  </si>
  <si>
    <t>ПРАВО</t>
  </si>
  <si>
    <t>Ефимова О.В., Ведышева Н.О., Питько Е.В.</t>
  </si>
  <si>
    <t>978-5-16-014530-3</t>
  </si>
  <si>
    <t>38.02.01, 38.02.02, 38.02.03, 38.02.06, 38.02.07, 38.02.08, 40.02.02, 40.02.04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</si>
  <si>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специальностей 40.02.00 «Юриспруденция» (протокол № 2 от 28.01.2019), 38.02.00 «Экономика и управление»</t>
  </si>
  <si>
    <t>683220.06.01</t>
  </si>
  <si>
    <t>Право: Уч. / Под ред. Напалкова И.Г. - 2 изд. - М.:Юр. НОРМА, НИЦ ИНФРА-М,2025. - 576 с.(СПО)(П)</t>
  </si>
  <si>
    <t>ПРАВО, ИЗД.2</t>
  </si>
  <si>
    <t>Рукавишникова И.В., Напалкова И.Г., Позднышов А.Н.</t>
  </si>
  <si>
    <t>978-5-00156-261-0</t>
  </si>
  <si>
    <t>Рекомендовано Учебно-методическим объединением по юридическому образованию вузов Российской Федерации в качестве учебника по дисциплине «Право» для студентов образовательных организаций, обучающихся по направлению подготовки «Экономика», квалификация (степень) «бакалавр»</t>
  </si>
  <si>
    <t>Аппарат Совета Федерации Федерального Собрания Российской Федерации</t>
  </si>
  <si>
    <t>293000.05.01</t>
  </si>
  <si>
    <t>Право: Уч. / Под ред. Напалковой И.Г. - М.:Юр.Норма, НИЦ ИНФРА-М,2019 - 384 с.(П)</t>
  </si>
  <si>
    <t>978-5-91768-727-8</t>
  </si>
  <si>
    <t>00.03.08, 40.05.01, 40.05.02, 40.05.03, 40.05.04</t>
  </si>
  <si>
    <t>683220.03.01</t>
  </si>
  <si>
    <t>Право: Уч. / Под ред. Напалковой И.Г. - М.:Юр.Норма, НИЦ ИНФРА-М,2019 - 384 с.-(СПО)(П)</t>
  </si>
  <si>
    <t>978-5-91768-920-3</t>
  </si>
  <si>
    <t>293000.07.01</t>
  </si>
  <si>
    <t>Право: Уч. / Под ред.И.В.Рукавишниковой , 2-е изд.- М.:Юр.Норма, НИЦ ИНФРА-М,2023-576с.(п)</t>
  </si>
  <si>
    <t>978-5-00156-262-7</t>
  </si>
  <si>
    <t>384800.11.01</t>
  </si>
  <si>
    <t>Правовая аналитика: Уч.пос. / В.Б.Исаков - М.:Юр.Норма, НИЦ ИНФРА-М,2023.-384 с.(П)</t>
  </si>
  <si>
    <t>ПРАВОВАЯ АНАЛИТИКА</t>
  </si>
  <si>
    <t>978-5-91768-648-6</t>
  </si>
  <si>
    <t>683158.06.01</t>
  </si>
  <si>
    <t>Правовая патопсихология: Уч.пос. / Б.Н.Алмазов - М.:НИЦ ИНФРА-М,2025 - 329 с.-(ВО) (П)</t>
  </si>
  <si>
    <t>ПРАВОВАЯ ПАТОПСИХОЛОГИЯ</t>
  </si>
  <si>
    <t>978-5-16-020228-0</t>
  </si>
  <si>
    <t>37.04.01, 40.03.01, 40.05.01, 40.05.02, 40.05.03, 40.05.04, 44.03.05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</si>
  <si>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3 от 11.02.2019)</t>
  </si>
  <si>
    <t>846982.02.01</t>
  </si>
  <si>
    <t>Правовая урбанистика: Уч. / С.В.Нарутто - М.:Юр. НОРМА,2025. - 592 с.(п)</t>
  </si>
  <si>
    <t>ПРАВОВАЯ УРБАНИСТИКА</t>
  </si>
  <si>
    <t>Нарутто С.В., Филин А.Ю.</t>
  </si>
  <si>
    <t>978-5-00156-404-1</t>
  </si>
  <si>
    <t>38.03.04, 38.04.04, 40.03.01, 40.04.01</t>
  </si>
  <si>
    <t>422800.05.01</t>
  </si>
  <si>
    <t>Правовая экспертиза рос. законодат.: Уч.-практ. пос./Н.В.Мамитова - М: Норма: НИЦ Инфра-М,2017-208с.</t>
  </si>
  <si>
    <t>ПРАВОВАЯ ЭКСПЕРТИЗА РОССИЙСКОГО ЗАКОНОДАТЕЛЬСТВА</t>
  </si>
  <si>
    <t>Мамитова Н. В.</t>
  </si>
  <si>
    <t>978-5-91768-319-5</t>
  </si>
  <si>
    <t>Допущено УМО по юридическому образованию вузов РФ в качестве учебно-практического пособия для студентов высших учебных заведений, обучающихся по специальности и направлению подготовки «Юриспруденция»</t>
  </si>
  <si>
    <t>Южный университет (ИУБиП)</t>
  </si>
  <si>
    <t>422800.08.01</t>
  </si>
  <si>
    <t>Правовая экспертиза рос. законодат.: Уч.практ.пос. / Н.В.Мамитова, - 2 изд.-М.:Юр.Норма, НИЦ ИНФРА-М,2025.-224 с.(о)</t>
  </si>
  <si>
    <t>ПРАВОВАЯ ЭКСПЕРТИЗА РОССИЙСКОГО ЗАКОНОДАТЕЛЬСТВА, ИЗД.2</t>
  </si>
  <si>
    <t>978-5-00156-097-5</t>
  </si>
  <si>
    <t>776711.02.01</t>
  </si>
  <si>
    <t>Правоведение: Уч. / Г.С.Працко-М.:ИЦ РИОР, НИЦ ИНФРА-М,2023.-435 с.(ВО)(П)</t>
  </si>
  <si>
    <t>ПРАВОВЕДЕНИЕ</t>
  </si>
  <si>
    <t>978-5-369-01909-2</t>
  </si>
  <si>
    <t>23.03.01, 38.03.01, 38.03.02, 38.03.03, 41.03.04</t>
  </si>
  <si>
    <t>157700.08.01</t>
  </si>
  <si>
    <t>Правоведение: Уч. / М.Б.Смоленский - 3 изд. - М.:ИЦ РИОР,НИЦ ИНФРА-М,2021 - 422 с.(ВО:Бакалавр.)(п)</t>
  </si>
  <si>
    <t>ПРАВОВЕДЕНИЕ, ИЗД.3</t>
  </si>
  <si>
    <t>Смоленский М. Б.</t>
  </si>
  <si>
    <t>978-5-369-01534-6</t>
  </si>
  <si>
    <t>Рекомендовано Министерством образования РФ в качестве учебника для студентов высших учебных заведений, обучающихся по неюридическим специальностям и направлениям</t>
  </si>
  <si>
    <t>157700.10.01</t>
  </si>
  <si>
    <t>Правоведение: Уч. / М.Б.Смоленский, - 4 изд.-М.:ИЦ РИОР, НИЦ ИНФРА-М,2023.-421 с.(ВО: Бакалавр/)(п)</t>
  </si>
  <si>
    <t>ПРАВОВЕДЕНИЕ, ИЗД.4</t>
  </si>
  <si>
    <t>978-5-369-01893-4</t>
  </si>
  <si>
    <t>651591.02.01</t>
  </si>
  <si>
    <t>Правоведение: Уч. / Т.Ю.Епифанцева и др. - М.:НИЦ ИНФРА-М,2023 - 428 с.-(ВО: Бакалавриат)(П)</t>
  </si>
  <si>
    <t>Епифанцева Т.Ю., Загвозкина М.Я., Захарова О.Н. и др.</t>
  </si>
  <si>
    <t>978-5-16-016668-1</t>
  </si>
  <si>
    <t>00.03.08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</si>
  <si>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неюридическим направлениям подготовки бакалавриата (протокол № 2 от 17.02.2021)</t>
  </si>
  <si>
    <t>764496.02.01</t>
  </si>
  <si>
    <t>Правоведение: Уч. / Т.Ю.Епифанцева и др. - М.:НИЦ ИНФРА-М,2025 - 428 с.-(СПО)(П)</t>
  </si>
  <si>
    <t>978-5-16-017162-3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</si>
  <si>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образовательную программу СПО (протокол от 21.04.2021 № 4)</t>
  </si>
  <si>
    <t>232900.12.01</t>
  </si>
  <si>
    <t>Правовое обеспеч. проф. деят.: Уч. / А.И.Тыщенко, - 4 изд.-М.:ИЦ РИОР, НИЦ ИНФРА-М,2022.-221 с.(СПО)(П)</t>
  </si>
  <si>
    <t>ПРАВОВОЕ ОБЕСПЕЧЕНИЕ ПРОФЕССИОНАЛЬНОЙ ДЕЯТЕЛЬНОСТИ, ИЗД.4</t>
  </si>
  <si>
    <t>Тыщенко А. И.</t>
  </si>
  <si>
    <t>978-5-369-01657-2</t>
  </si>
  <si>
    <t>Котовский промышленно-экономический техникум</t>
  </si>
  <si>
    <t>232900.15.01</t>
  </si>
  <si>
    <t>Правовое обеспеч. проф. деят.: Уч. / А.И.Тыщенко, - 5 изд. - М.:ИЦ РИОР, НИЦ ИНФРА-М,2025. - 212 с.(СПО)(п)</t>
  </si>
  <si>
    <t>ПРАВОВОЕ ОБЕСПЕЧЕНИЕ ПРОФЕССИОНАЛЬНОЙ ДЕЯТЕЛЬНОСТИ, ИЗД.5</t>
  </si>
  <si>
    <t>978-5-369-01944-3</t>
  </si>
  <si>
    <t>632622.04.01</t>
  </si>
  <si>
    <t>Правовое обеспеч.соц.работы: Уч.пос. / Е.П.Агапов - М.:ИЦ РИОР,НИЦ ИНФРА-М,2021 - 267 с.(ВО:Бакалавр.)(П)</t>
  </si>
  <si>
    <t>ПРАВОВОЕ ОБЕСПЕЧЕНИЕ СОЦИАЛЬНОЙ РАБОТЫ</t>
  </si>
  <si>
    <t>Агапов Е.П.</t>
  </si>
  <si>
    <t>978-5-369-01554-4</t>
  </si>
  <si>
    <t>649240.03.01</t>
  </si>
  <si>
    <t>Правовое обеспечение гостиничной деят.: Уч.пос. /Н.А.Вотинцева-М.:ИЦ РИОР, НИЦ ИНФРА-М,2020-299с(ВО)</t>
  </si>
  <si>
    <t>ПРАВОВОЕ ОБЕСПЕЧЕНИЕ ГОСТИНИЧНОЙ ДЕЯТЕЛЬНОСТИ</t>
  </si>
  <si>
    <t>Вотинцева Н.А.</t>
  </si>
  <si>
    <t>978-5-369-01653-4</t>
  </si>
  <si>
    <t>Удмуртский государственный университет, ф-л в г. Можге</t>
  </si>
  <si>
    <t>763892.04.01</t>
  </si>
  <si>
    <t>Правовое обеспечение землеустройства и кадастров: Уч.пос. / С.А.Липски-М.:НИЦ ИНФРА-М,2022.-187с(ВО)(П)</t>
  </si>
  <si>
    <t>ПРАВОВОЕ ОБЕСПЕЧЕНИЕ ЗЕМЛЕУСТРОЙСТВА И КАДАСТРОВ</t>
  </si>
  <si>
    <t>978-5-16-018659-7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</si>
  <si>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 (протокол № 1 от 12.01.2022)</t>
  </si>
  <si>
    <t>687319.05.01</t>
  </si>
  <si>
    <t>Правовое обеспечение индустрии моды: Уч.пос. / Н.А.Шебанова - М.:Юр.Норма,НИЦ ИНФРА-М,2025-192 с.(П)</t>
  </si>
  <si>
    <t>ПРАВОВОЕ ОБЕСПЕЧЕНИЕ ИНДУСТРИИ МОДЫ</t>
  </si>
  <si>
    <t>Шебанова Н.А.</t>
  </si>
  <si>
    <t>978-5-91768-950-0</t>
  </si>
  <si>
    <t>40.03.01, 40.05.01, 40.05.02, 40.05.03, 40.05.04, 43.03.01</t>
  </si>
  <si>
    <t>114050.20.01</t>
  </si>
  <si>
    <t>Правовое обеспечение проф. деят.: Уч. / А.Г.Хабибулин - 2 изд. - М.:ИД Форум, НИЦ ИНФРА-М,2025 - 364 с.-(П)(СПО)</t>
  </si>
  <si>
    <t>ПРАВОВОЕ ОБЕСПЕЧЕНИЕ ПРОФЕССИОНАЛЬНОЙ ДЕЯТЕЛЬНОСТИ, ИЗД.2</t>
  </si>
  <si>
    <t>Хабибулин А.Г., Мурсалимов К.Р.</t>
  </si>
  <si>
    <t>978-5-8199-0874-7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</si>
  <si>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неюридическим специальностям (протокол № 17 от 11.11.2019)</t>
  </si>
  <si>
    <t>758549.02.01</t>
  </si>
  <si>
    <t>Правовое обеспечение проф. деят.: Уч. / Г.С.Працко - М.:ИЦ РИОР, НИЦ ИНФРА-М,2025 - 177 с.(СПО)(П)</t>
  </si>
  <si>
    <t>ПРАВОВОЕ ОБЕСПЕЧЕНИЕ ПРОФЕССИОНАЛЬНОЙ ДЕЯТЕЛЬНОСТИ</t>
  </si>
  <si>
    <t>978-5-369-01869-9</t>
  </si>
  <si>
    <t>00.02.08, 12.02.01, 43.02.16, 51.02.03</t>
  </si>
  <si>
    <t>753340.04.01</t>
  </si>
  <si>
    <t>Правовое обеспечение проф. деят.: Уч. / Г.С.Працко-М.:ИЦ РИОР, НИЦ ИНФРА-М,2023.-311 с.(ВО)(П)</t>
  </si>
  <si>
    <t>978-5-369-01867-5</t>
  </si>
  <si>
    <t>00.03.08, 12.03.01, 37.04.01, 43.03.03, 51.04.06</t>
  </si>
  <si>
    <t>094870.12.01</t>
  </si>
  <si>
    <t>Правовое обеспечение проф. деятельности: Крат.курс /Р.Ф.Матвеев-М:Форум,НИЦ ИНФРА-М,2024-128-(ПО)</t>
  </si>
  <si>
    <t>ПРАВОВОЕ ОБЕСПЕЧЕНИЕ ПРОФЕССИОНАЛЬНОЙ ДЕЯТЕЛЬНОСТИ, ИЗД.3</t>
  </si>
  <si>
    <t>978-5-00091-063-4</t>
  </si>
  <si>
    <t>233100.04.01</t>
  </si>
  <si>
    <t>Правовое обеспечение проф.деят.: Уч. пос./А.И.Тыщенко -2 изд.-М.:ИЦ РИОР, НИЦ ИНФРА-М,2020-203с(О)</t>
  </si>
  <si>
    <t>Тыщенко А.И.</t>
  </si>
  <si>
    <t>978-5-369-01466-0</t>
  </si>
  <si>
    <t>00.02.08, 13.02.07, 15.02.18, 21.02.13</t>
  </si>
  <si>
    <t>114050.14.01</t>
  </si>
  <si>
    <t>Правовое обеспечение проф.деятел.: Уч. / А.Г.Хабибулин - М.:ИД ФОРУМ,НИЦ ИНФРА-М,2019-336с.(ПО)(п)</t>
  </si>
  <si>
    <t>Хабибулин А. Г., Мурсалимов К. Р.</t>
  </si>
  <si>
    <t>978-5-8199-0717-7</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</si>
  <si>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</si>
  <si>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428050.14.01</t>
  </si>
  <si>
    <t>Правовое обеспечение профессиональной деят.: Уч. / М.А.Гуреева-М:ИД ФОРУМ,НИЦ ИНФРА-М,2024-239с(СПО)</t>
  </si>
  <si>
    <t>Гуреева М. А.</t>
  </si>
  <si>
    <t>978-5-8199-0743-6</t>
  </si>
  <si>
    <t>Рекомендовано в качестве учебника для студентов учреждений среднего профессионального образования</t>
  </si>
  <si>
    <t>336700.06.01</t>
  </si>
  <si>
    <t>Правовое обеспечение соц. работы: Уч. / А.А.Акмалова - М.:НИЦ ИНФРА-М,2023 - 289 с.(ВО: Бакалавр.)(П)</t>
  </si>
  <si>
    <t>978-5-16-010698-4</t>
  </si>
  <si>
    <t>39.03.02, 40.05.01, 40.05.02, 40.05.03, 40.05.04</t>
  </si>
  <si>
    <t>Рекомендовано УМО по образованию в области социальной работы в качестве учебника для студентов высших учебных заведений, обучающихся по направлению подготовки 39.03.02 «Социальнаяработа» (квалификация (степень) «бакалавр»)</t>
  </si>
  <si>
    <t>775476.02.01</t>
  </si>
  <si>
    <t>Правовое обеспечение социальной работы: Уч. / А.А.Акмалова - М.:НИЦ ИНФРА-М,2022 - 289 с.-(СПО)(П)</t>
  </si>
  <si>
    <t>978-5-16-017561-4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</si>
  <si>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39.02.01 «Социальная работа» (протокол № 10 от 15.12.2021)</t>
  </si>
  <si>
    <t>670770.04.01</t>
  </si>
  <si>
    <t>Правовое регулир. аудит. деят.: Уч.пос. / Е.Ю.Грачева - 2 изд.-М.:Юр. НОРМА, НИЦ ИНФРА-М,2024.-144с(П)</t>
  </si>
  <si>
    <t>ПРАВОВОЕ РЕГУЛИРОВАНИЕ АУДИТОРСКОЙ ДЕЯТЕЛЬНОСТИ, ИЗД.2</t>
  </si>
  <si>
    <t>Грачева Е.Ю., Арзуманова Л.Л., Лагкуева И.В. и др.</t>
  </si>
  <si>
    <t>978-5-00156-325-9</t>
  </si>
  <si>
    <t>38.04.01, 38.04.02, 38.04.08, 38.04.09, 38.05.01, 40.03.01, 40.04.01, 40.05.01, 40.05.02, 40.05.03, 40.05.04, 44.03.05</t>
  </si>
  <si>
    <t>301500.09.01</t>
  </si>
  <si>
    <t>Правовое регулир. внешнеэконом. деят...:Уч.пос. / Л.М.Позднякова- 3-изд-М.:Юр.Норма, НИЦ ИНФРА-М,2024-192 с(п)</t>
  </si>
  <si>
    <t>ПРАВОВОЕ РЕГУЛИРОВАНИЕ ВНЕШНЕЭКОНОМИЧЕСКОЙ ДЕЯТЕЛЬНОСТИ (РОССИЙСКОЕ ГРАЖДАНСКОЕ И МЕЖДУНАРОДНОЕ ЧАСТНОЕ ПРАВО), ИЗД.3</t>
  </si>
  <si>
    <t>Позднякова Л.М.</t>
  </si>
  <si>
    <t>978-5-00156-004-3</t>
  </si>
  <si>
    <t>38.03.01, 38.03.06, 38.04.01, 38.04.06, 40.03.01, 40.04.01, 40.05.01, 40.05.02, 40.05.03, 40.05.04</t>
  </si>
  <si>
    <t>649240.05.01</t>
  </si>
  <si>
    <t>Правовое регулир. гостинич. деят.: Уч.пос. / Н.А.Вотинцева -2изд.-М.:ИЦ РИОР, НИЦ ИНФРА-М,2024-279с(ВО)(п)</t>
  </si>
  <si>
    <t>ПРАВОВОЕ РЕГУЛИРОВАНИЕ ГОСТИНИЧНОЙ ДЕЯТЕЛЬНОСТИ, ИЗД.2</t>
  </si>
  <si>
    <t>978-5-369-01948-1</t>
  </si>
  <si>
    <t>301500.04.01</t>
  </si>
  <si>
    <t>Правовое регулир.внешнеэконом.деят.: Уч.пос. /Л.М.Позднякова-2изд.-М.:Юр.Норма,НИЦ ИНФРА-М,2018-192с</t>
  </si>
  <si>
    <t>ПРАВОВОЕ РЕГУЛИРОВАНИЕ ВНЕШНЕЭКОНОМИЧЕСКОЙ ДЕЯТЕЛЬНОСТИ (РОССИЙСКОЕ ГРАЖДАНСКОЕ И МЕЖДУНАРОДНОЕ ЧАСТНОЕ ПРАВО), ИЗД.2</t>
  </si>
  <si>
    <t>978-5-91768-535-9</t>
  </si>
  <si>
    <t>670770.03.01</t>
  </si>
  <si>
    <t>Правовое регулирование аудиторской деят.: Уч.пос./ Е.Ю.Грачева-М.:Юр.Норма, НИЦ ИНФРА-М,2020-128с(О)</t>
  </si>
  <si>
    <t>ПРАВОВОЕ РЕГУЛИРОВАНИЕ АУДИТОРСКОЙ ДЕЯТЕЛЬНОСТИ</t>
  </si>
  <si>
    <t>978-5-91768-876-3</t>
  </si>
  <si>
    <t>632597.03.01</t>
  </si>
  <si>
    <t>Правовое регулирование бух.учета: Уч. / Отв. ред. Грачева Е.Ю.-М.:Юр.Норма, НИЦ ИНФРА-М,2019-320с(П)</t>
  </si>
  <si>
    <t>ПРАВОВОЕ РЕГУЛИРОВАНИЕ БУХГАЛТЕРСКОГО УЧЕТА</t>
  </si>
  <si>
    <t>Арзуманова Л.Л., Болтинова О.В., Бубнова О.Ю. и др.</t>
  </si>
  <si>
    <t>38.03.01, 40.03.01, 40.05.01, 40.05.02, 40.05.03, 40.05.04, 44.03.05</t>
  </si>
  <si>
    <t>632597.05.01</t>
  </si>
  <si>
    <t>Правовое регулирование бух.учета: Уч./ Отв. ред. Грачева Е.Ю.-2изд.-М.:Юр.Норма, НИЦ ИНФРА-М,2024-336с(П)</t>
  </si>
  <si>
    <t>ПРАВОВОЕ РЕГУЛИРОВАНИЕ БУХГАЛТЕРСКОГО УЧЕТА, ИЗД.2</t>
  </si>
  <si>
    <t>978-5-00156-316-7</t>
  </si>
  <si>
    <t>692967.05.01</t>
  </si>
  <si>
    <t>Правовое регулирование финанс. контроля...: Уч. / Е.Ю.Грачева - 2 изд. - М.:Юр.Норма, НИЦ ИНФРА-М,2024-208с.(П)</t>
  </si>
  <si>
    <t>ПРАВОВОЕ РЕГУЛИРОВАНИЕ ФИНАНСОВОГО КОНТРОЛЯ. ВИДЫ, ФОРМЫ И МЕТОДЫ ФИНАНСОВОГО КОНТРОЛЯ И НАДЗОРА, ИЗД.2</t>
  </si>
  <si>
    <t>Грачева Е.Ю., Болтинова О.В.</t>
  </si>
  <si>
    <t>978-5-00156-224-5</t>
  </si>
  <si>
    <t>692967.02.01</t>
  </si>
  <si>
    <t>Правовое регулирование финансового контроля...: Уч. / Е.Ю.Грачева-М.:Юр.Норма, НИЦ ИНФРА-М,2020-208с.(П)</t>
  </si>
  <si>
    <t>ПРАВОВОЕ РЕГУЛИРОВАНИЕ ФИНАНСОВОГО КОНТРОЛЯ. ВИДЫ, ФОРМЫ И МЕТОДЫ ФИНАНСОВОГО КОНТРОЛЯ И НАДЗОРА</t>
  </si>
  <si>
    <t>978-5-91768-964-7</t>
  </si>
  <si>
    <t>792935.02.01</t>
  </si>
  <si>
    <t>Правовое регулирование цифр. нац. платежной системы РФ: Уч. / Е.Г.Хоменко-М.:Юр. НОРМА, НИЦ ИНФРА-М,2025-248с.(П)</t>
  </si>
  <si>
    <t>ПРАВОВОЕ РЕГУЛИРОВАНИЕ ЦИФРОВОЙ НАЦИОНАЛЬНОЙ ПЛАТЕЖНОЙ СИСТЕМЫ РФ</t>
  </si>
  <si>
    <t>978-5-00156-276-4</t>
  </si>
  <si>
    <t>10.05.04, 38.04.01, 38.04.05, 40.04.01, 40.05.03</t>
  </si>
  <si>
    <t>773133.01.01</t>
  </si>
  <si>
    <t>Правовой режим земель и его регулирование: Уч.пос. / С.А.Липски-М.:НИЦ ИНФРА-М,2023.-236 с.(СПО)(п)</t>
  </si>
  <si>
    <t>ПРАВОВОЙ РЕЖИМ ЗЕМЕЛЬ И ЕГО РЕГУЛИРОВАНИЕ</t>
  </si>
  <si>
    <t>978-5-16-017552-2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</si>
  <si>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21.02.04 «Землеустройство» (протокол № 7 от 21.09.2022)</t>
  </si>
  <si>
    <t>694122.01.01</t>
  </si>
  <si>
    <t>Правовой режим Шпицбергена и прилегающих морских районов / А.Н.Вылегжанин.-М.:Юр.Норма,2019.-288с(П)</t>
  </si>
  <si>
    <t>ПРАВОВОЙ РЕЖИМ ШПИЦБЕРГЕНА И ПРИЛЕГАЮЩИХ МОРСКИХ РАЙОНОВ</t>
  </si>
  <si>
    <t>Вылегжанин А.Н., Зиланов В.К., Савва В.М.</t>
  </si>
  <si>
    <t>978-5-91768-975-3</t>
  </si>
  <si>
    <t>38.05.02, 40.03.01, 40.04.01, 40.05.01, 40.05.02, 40.05.03, 40.05.04, 41.03.01, 41.03.05, 41.04.01, 41.04.04, 41.04.05, 46.04.01</t>
  </si>
  <si>
    <t>838039.01.01</t>
  </si>
  <si>
    <t>Правовые аспекты участия врача  в...: Уч.пос. / И.В.Буромский - М.:Юр. НОРМА, НИЦ ИНФРА-М,2025. - 96 с.(о)</t>
  </si>
  <si>
    <t>ПРАВОВЫЕ АСПЕКТЫ УЧАСТИЯ ВРАЧА  В ПРОЦЕССУАЛЬНЫХ ДЕЙСТВИЯХ</t>
  </si>
  <si>
    <t>Буромский И.В.</t>
  </si>
  <si>
    <t>978-5-00156-386-0</t>
  </si>
  <si>
    <t>30.05.03, 31.05.01, 31.05.02, 31.05.03, 32.05.01, 40.03.01, 40.05.01, 40.05.02, 40.05.03, 40.05.04</t>
  </si>
  <si>
    <t>786684.01.01</t>
  </si>
  <si>
    <t>Правовые и орг. основы борьбы с незакон. оборот...: Уч. / М.Л.Прохорова-М.:НИЦ ИНФРА-М,2024-298с(ВО)(п)</t>
  </si>
  <si>
    <t>ПРАВОВЫЕ И ОРГАНИЗАЦИОННЫЕ ОСНОВЫ БОРЬБЫ С НЕЗАКОННЫМ ОБОРОТОМ НАРКОТИКОВ</t>
  </si>
  <si>
    <t>Прохорова М.Л., Михайлов А.Е., Пикин И.В. и др.</t>
  </si>
  <si>
    <t>978-5-16-017969-8</t>
  </si>
  <si>
    <t>40.05.01, 40.05.02</t>
  </si>
  <si>
    <t>810915.01.01</t>
  </si>
  <si>
    <t>Правовые основы деят. уголовно-исполнит. инспекций: Уч.пос. / Ф.В.Грушин -М.:НИЦ ИНФРА-М,2024.-156 с.(ВО)(п)</t>
  </si>
  <si>
    <t>ПРАВОВЫЕ ОСНОВЫ ДЕЯТЕЛЬНОСТИ УГОЛОВНО-ИСПОЛНИТЕЛЬНЫХ ИНСПЕКЦИЙ</t>
  </si>
  <si>
    <t>Грушин Ф.В., Карханина Л.В., Бякина С.И.</t>
  </si>
  <si>
    <t>978-5-16-019229-1</t>
  </si>
  <si>
    <t>Научно-исследовательский институт Федеральной службы исполнения наказаний</t>
  </si>
  <si>
    <t>147250.16.01</t>
  </si>
  <si>
    <t>Правовые основы опер.-розыск. меропр.: Уч.пос. / О.В.Фирсов - 5 изд.-М.:Юр.Норма, НИЦ ИНФРА-М,2025.-208с(П)</t>
  </si>
  <si>
    <t>ПРАВОВЫЕ ОСНОВЫ ОПЕРАТИВНО-РОЗЫСКНЫХ МЕРОПРИЯТИЙ, ИЗД.5</t>
  </si>
  <si>
    <t>978-5-00156-028-9</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</si>
  <si>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"Юриспруденция" и специальности "Юриспруденция"</t>
  </si>
  <si>
    <t>147250.08.01</t>
  </si>
  <si>
    <t>Правовые основы опер.-розыск. меропр.: Уч.пос. /О.В.Фирсов-4изд. -М.: Юр.Норма,НИЦ ИНФРА-М,2019-208с</t>
  </si>
  <si>
    <t>ПРАВОВЫЕ ОСНОВЫ ОПЕРАТИВНО-РОЗЫСКНЫХ МЕРОПРИЯТИЙ, ИЗД.4</t>
  </si>
  <si>
    <t>978-5-91768-700-1</t>
  </si>
  <si>
    <t>776761.01.01</t>
  </si>
  <si>
    <t>Правовые основы противодействия пенитенциарной...: Уч.пос. / Расторопов С.В.-М.:НИЦ ИНФРА-М,2023.-237 с.(п)</t>
  </si>
  <si>
    <t>ПРАВОВЫЕ ОСНОВЫ ПРОТИВОДЕЙСТВИЯ ПЕНИТЕНЦИАРНОЙ ПРЕСТУПНОСТИ</t>
  </si>
  <si>
    <t>Расторопов С.В., Пикин И.В., Тараканов И.А. и др.</t>
  </si>
  <si>
    <t>978-5-16-017827-1</t>
  </si>
  <si>
    <t>645370.08.01</t>
  </si>
  <si>
    <t>Правовые основы физ. культуры и спорта: Уч.пос. / Т.Э.Зульфугарзаде - М.:НИЦ ИНФРА-М, 2024 - 140с.(ВО)(О)</t>
  </si>
  <si>
    <t>ПРАВОВЫЕ ОСНОВЫ ФИЗИЧЕСКОЙ КУЛЬТУРЫ И СПОРТА</t>
  </si>
  <si>
    <t>Зульфугарзаде Т.Э.</t>
  </si>
  <si>
    <t>978-5-16-012700-2</t>
  </si>
  <si>
    <t>40.03.01, 49.03.01, 49.03.02</t>
  </si>
  <si>
    <t>Рекомендовано в качестве учебного пособия для студентов высших учебных заведений, обучающихся по направлениям подготовки 40.03.01 «Юриспруденция», 49.03.01 «Физическая культура», 49.03.02 «Физическая культура для лиц с отклонениями в состоянии здоровья» (квалификация (степень) «бакалавр»)</t>
  </si>
  <si>
    <t>848911.01.01</t>
  </si>
  <si>
    <t>Правоохранительные и судебные органы: Уч. / Г.Б.Романовский - М.:ИЦ РИОР, НИЦ ИНФРА-М,2025. - 300 с.(СПО)(п)</t>
  </si>
  <si>
    <t>ПРАВООХРАНИТЕЛЬНЫЕ И СУДЕБНЫЕ ОРГАНЫ</t>
  </si>
  <si>
    <t>Романовский Г. Б., Романовская О. В.</t>
  </si>
  <si>
    <t>978-5-369-01975-7</t>
  </si>
  <si>
    <t>771447.02.01</t>
  </si>
  <si>
    <t>Правоохранительные и судебные органы: Уч.пос. / Р.Г.Миронов - М.:НИЦ ИНФРА-М,2025. - 252 с.(СПО)(п)</t>
  </si>
  <si>
    <t>Миронов Р.Г.</t>
  </si>
  <si>
    <t>978-5-16-017833-2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</si>
  <si>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8 от 19.10.2022)</t>
  </si>
  <si>
    <t>672425.10.01</t>
  </si>
  <si>
    <t>Правоохранительные органы РФ: Уч. / Ю.Б.Чупилкин - 2 изд. - М.:Юр.Норма, НИЦ ИНФРА-М,2025 - 432 с.(П)</t>
  </si>
  <si>
    <t>ПРАВООХРАНИТЕЛЬНЫЕ ОРГАНЫ РОССИЙСКОЙ ФЕДЕРАЦИИ, ИЗД.2</t>
  </si>
  <si>
    <t>Чупилкин Ю.Б., Воронцов С.А., Ляхов Ю.А. и др.</t>
  </si>
  <si>
    <t>978-5-00156-246-7</t>
  </si>
  <si>
    <t>778410.06.01</t>
  </si>
  <si>
    <t>Правоохранительные органы РФ: Уч. / Ю.Б.Чупилкин - М.:Юр. НОРМА, НИЦ ИНФРА-М,2025 - 432 с.(П)</t>
  </si>
  <si>
    <t>ПРАВООХРАНИТЕЛЬНЫЕ ОРГАНЫ РОССИЙСКОЙ ФЕДЕРАЦИИ</t>
  </si>
  <si>
    <t>Чупилкин Ю.Б., Ляхов Ю.А., Воронцов С.А. и др.</t>
  </si>
  <si>
    <t>978-5-00156-248-1</t>
  </si>
  <si>
    <t>672425.04.01</t>
  </si>
  <si>
    <t>Правоохранительные органы РФ: Уч. / Ю.Б.Чупилкин - М.:Юр.Норма, НИЦ ИНФРА-М,2020 - 416 с.(П)</t>
  </si>
  <si>
    <t>978-5-91768-882-4</t>
  </si>
  <si>
    <t>774156.01.01</t>
  </si>
  <si>
    <t>Правоохранительные органы: Уч.пос. / А.Г.Чернявский и др.-М.:НИЦ ИНФРА-М,2022.-287 с.(СПО)(П)</t>
  </si>
  <si>
    <t>ПРАВООХРАНИТЕЛЬНЫЕ ОРГАНЫ</t>
  </si>
  <si>
    <t>Чернявский А.Г., Воронцова С.В., Зотов А.Т.</t>
  </si>
  <si>
    <t>978-5-16-017658-1</t>
  </si>
  <si>
    <t>104650.12.01</t>
  </si>
  <si>
    <t>Правоохранительные органы: Уч.пос. / Г.Б.Романовский, - 4 изд.-М.:ИЦ РИОР, НИЦ ИНФРА-М,2024.-300 с.(ВО)(п)</t>
  </si>
  <si>
    <t>ПРАВООХРАНИТЕЛЬНЫЕ ОРГАНЫ, ИЗД.4</t>
  </si>
  <si>
    <t>978-5-369-01945-0</t>
  </si>
  <si>
    <t>Рекомендовано Московской государственной юридической академией в качестве учебного пособия для студентов высших образовательных учреждений, реализующих образовательные программы высшего и дополнительного профессионального образования по дисциплине «П</t>
  </si>
  <si>
    <t>796065.04.01</t>
  </si>
  <si>
    <t>Правоохранительные органы: Уч.пос. / Р.Г.Миронов, - 2 изд. - М.:НИЦ ИНФРА-М,2025. - 280 с.(ВО)(п)</t>
  </si>
  <si>
    <t>ПРАВООХРАНИТЕЛЬНЫЕ ОРГАНЫ, ИЗД.2</t>
  </si>
  <si>
    <t>978-5-16-019565-0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</si>
  <si>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«Юриспруденция»¶(квалификация (степень) «бакалавр») (протокол № 6 от 08.06.2022</t>
  </si>
  <si>
    <t>477750.05.01</t>
  </si>
  <si>
    <t>Правоохранительные органы: Уч.пос. / Р.Г.Миронов-М.:ИД ФОРУМ, НИЦ ИНФРА-М,2019.-256 с..-(СПО)(п)</t>
  </si>
  <si>
    <t>978-5-8199-0762-7</t>
  </si>
  <si>
    <t>Рекомендовано в качестве учебного пособия для студентов средних специальных учебных заведений, обучающихся по направлению и специальности «Юриспруденция»</t>
  </si>
  <si>
    <t>104650.11.01</t>
  </si>
  <si>
    <t>Правоохранительные органы: Уч.пос. /Г.Б.Романовский- 3 изд.-М.:ИЦ РИОР,НИЦ ИНФРА-М,2022-298с.(ВО)(П)</t>
  </si>
  <si>
    <t>ПРАВООХРАНИТЕЛЬНЫЕ ОРГАНЫ, ИЗД.3</t>
  </si>
  <si>
    <t>978-5-369-01632-9</t>
  </si>
  <si>
    <t>304400.03.01</t>
  </si>
  <si>
    <t>Православная социология: Уч.пос. / В.В.Афанасьев - 2 изд.-М.:НИЦ ИНФРА-М,2017-162с.(ВО:Бакалавр.)(п)</t>
  </si>
  <si>
    <t>ПРАВОСЛАВНАЯ СОЦИОЛОГИЯ, ИЗД.2</t>
  </si>
  <si>
    <t>978-5-16-011556-6</t>
  </si>
  <si>
    <t>39.03.01, 39.03.02, 41.03.04, 41.03.06, 47.03.02, 47.03.03, 48.03.01</t>
  </si>
  <si>
    <t>776402.01.01</t>
  </si>
  <si>
    <t>Православное вероучение...: Уч.пос. / А.А.Карпиков - М.:НИЦ ИНФРА-М,2022 - 268 с.-(ВО)(П)</t>
  </si>
  <si>
    <t>ПРАВОСЛАВНОЕ ВЕРОУЧЕНИЕ: ДУХОВНО-НРАВСТВЕННЫЕ ОСНОВЫ РОССИЙСКОГО КАЗАЧЕСТВА</t>
  </si>
  <si>
    <t>Карпиков А.А., Кондратьев С.В.</t>
  </si>
  <si>
    <t>978-5-16-017600-0</t>
  </si>
  <si>
    <t>48.03.01, 48.04.01</t>
  </si>
  <si>
    <t>698024.02.01</t>
  </si>
  <si>
    <t>Православное вероучение: духовно-нравств. основы...: Уч.пос. / А.А.Карпиков-М.:НИЦ ИНФРА-М,2023.-268 с.(П)</t>
  </si>
  <si>
    <t>978-5-16-015143-4</t>
  </si>
  <si>
    <t>158000.05.01</t>
  </si>
  <si>
    <t>Правосудие в современном мире: Моногр. / Под ред.Хабриевой Т.Я. - 2 изд. - М.:Юр.Норма,2018-704с(П)</t>
  </si>
  <si>
    <t>ПРАВОСУДИЕ В СОВРЕМЕННОМ МИРЕ, ИЗД.2</t>
  </si>
  <si>
    <t>Хабриева Т.Я., Лебедев В.М.</t>
  </si>
  <si>
    <t>978-5-91768-883-1</t>
  </si>
  <si>
    <t>811240.01.01</t>
  </si>
  <si>
    <t>Практика гостиничного и туристич. менеджмента: Уч.пос. / С.С.Скобин.-М.:Магистр, НИЦ ИНФРА-М,2024.-352 с.(п)</t>
  </si>
  <si>
    <t>ПРАКТИКА ГОСТИНИЧНОГО И ТУРИСТИЧЕСКОГО МЕНЕДЖМЕНТА</t>
  </si>
  <si>
    <t>Скобкин С.С., Попов Л.А., Ковальчук А.П.</t>
  </si>
  <si>
    <t>978-5-9776-0557-1</t>
  </si>
  <si>
    <t>277400.09.01</t>
  </si>
  <si>
    <t>Практика зарубежного регионоведения и мировой...: Уч. / А.Д.Воскресенский - М.: Магистр:ИНФРА-М,2025 - 560 с.(П)</t>
  </si>
  <si>
    <t>ПРАКТИКА ЗАРУБЕЖНОГО РЕГИОНОВЕДЕНИЯ И МИРОВОЙ ПОЛИТИКИ</t>
  </si>
  <si>
    <t>Воскресенский А. Д., Байков А. А., Белокреницкий В. Я., Ермолаев А. О., Воскресенский А. Д.</t>
  </si>
  <si>
    <t>978-5-9776-0312-6</t>
  </si>
  <si>
    <t>41.03.01, 41.03.04, 41.03.05, 41.03.06, 41.04.01, 41.04.04, 41.04.05</t>
  </si>
  <si>
    <t>401950.11.01</t>
  </si>
  <si>
    <t>Практикум по Microsoft Office 2007 / Л.В.Кравченко - 2 изд. -М.:Форум,НИЦ ИНФРА-М,2023-168с.(ПО)(о)</t>
  </si>
  <si>
    <t>ПРАКТИКУМ ПО MICROSOFT OFFICE 2007 (WORD, EXCEL, ACCESS), PHOTOSHOP, ИЗД.2</t>
  </si>
  <si>
    <t>Кравченко Л.В.</t>
  </si>
  <si>
    <t>978-5-00091-008-5</t>
  </si>
  <si>
    <t>15.02.03, 15.02.10, 15.02.17</t>
  </si>
  <si>
    <t>445500.06.01</t>
  </si>
  <si>
    <t>Практикум по анализу бух.(фин.) отчет.: Уч.пос. / С.В.Панкова - М.:ИЦ РИОР,НИЦ ИНФРА-М,2024 - 165 с.(ВО)(о)</t>
  </si>
  <si>
    <t>ПРАКТИКУМ ПО АНАЛИЗУ БУХГАЛТЕРСКОЙ (ФИНАНСОВОЙ) ОТЧЕТНОСТИ</t>
  </si>
  <si>
    <t>Панкова С.В., АндрееваТ.В., РомановаТ.В.</t>
  </si>
  <si>
    <t>978-5-369-01491-2</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</si>
  <si>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t>
  </si>
  <si>
    <t>Оренбургский государственный университет, ф-л Орский гуманитарно-технологический институт</t>
  </si>
  <si>
    <t>081850.06.01</t>
  </si>
  <si>
    <t>Практикум по бизнес-планированию с исп. Project..: Уч.пос./В.С.Алиев-2изд-Форум:ИНФРА-М,2019-288(ВО)(П)</t>
  </si>
  <si>
    <t>ПРАКТИКУМ ПО БИЗНЕС-ПЛАНИРОВАНИЮ С ИСПОЛЬЗОВАНИЕМ ПРОГРАММЫ PROJECT EXPERT, ИЗД.2</t>
  </si>
  <si>
    <t>Алиев В. С.</t>
  </si>
  <si>
    <t>978-5-91134-394-1</t>
  </si>
  <si>
    <t>Допущено УМО по образованию в области финансов, учета и мировой экономики в качестве учебного пособия для студентов, обуч. по спец: "Финансы и кредит",  "Бухгалтерский учет, анализ и аудит", "Налоги и налогообложение</t>
  </si>
  <si>
    <t>462700.03.01</t>
  </si>
  <si>
    <t>Практикум по бух. учету и анализу: Уч.пос. / М.В.Мельник - М.:Форум,НИЦ ИНФРА-М,2019-120с.(ВО)(о)</t>
  </si>
  <si>
    <t>ПРАКТИКУМ ПО БУХГАЛТЕРСКОМУ УЧЕТУ И АНАЛИЗУ</t>
  </si>
  <si>
    <t>978-5-00091-147-1</t>
  </si>
  <si>
    <t>325400.05.01</t>
  </si>
  <si>
    <t>Практикум по ветеринарной микробиол. и иммун.: Уч.пос. / В.Н.Кисленко-М.:НИЦ ИНФРА-М,2023.-232 с.(П)</t>
  </si>
  <si>
    <t>ПРАКТИКУМ ПО ВЕТЕРИНАРНОЙ МИКРОБИОЛОГИИ И ИММУНОЛОГИИ</t>
  </si>
  <si>
    <t>978-5-16-010543-7</t>
  </si>
  <si>
    <t>Рекомендовано в качестве учебного пособия для студентов высших учебных заведений, обучающихся по направлению подготовки 36.05.01 «Ветеринария» (квалификация «ветеринарный врач»)</t>
  </si>
  <si>
    <t>094362.08.01</t>
  </si>
  <si>
    <t>Практикум по внешнеэк.деят.предприятий: Уч.пос. / Н.А.Сберегаев - М.:Вуз.уч.,ИНФРА-М,2018.-268 с.(п)</t>
  </si>
  <si>
    <t>ПРАКТИКУМ ПО ВНЕШНЕЭКОНОМИЧЕСКОЙ ДЕЯТЕЛЬНОСТИ ПРЕДПРИЯТИЙ, ИЗД.6</t>
  </si>
  <si>
    <t>Сберегаев Н.А.</t>
  </si>
  <si>
    <t>978-5-9558-0408-8</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</si>
  <si>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38.03.02 «Менеджмент» (профиль «Производственный менеджмент»)</t>
  </si>
  <si>
    <t>0615</t>
  </si>
  <si>
    <t>094362.13.01</t>
  </si>
  <si>
    <t>Практикум по внешнеэконом. деят.предпр.: Уч.пос. / Н.А.Сберегаев - 7 изд. - М.:НИЦ ИНФРА-М,2025 - 369 с.(п)</t>
  </si>
  <si>
    <t>ПРАКТИКУМ ПО ВНЕШНЕЭКОНОМИЧЕСКОЙ ДЕЯТЕЛЬНОСТИ ПРЕДПРИЯТИЙ, ИЗД.7</t>
  </si>
  <si>
    <t>978-5-16-014202-9</t>
  </si>
  <si>
    <t>449750.06.01</t>
  </si>
  <si>
    <t>Практикум по гидравлике: Уч. пос. Н.Г. Кожевникова - М.: НИЦ ИНФРА-М, 2023. - 248 с. (ВО) (п)</t>
  </si>
  <si>
    <t>ПРАКТИКУМ ПО ГИДРАВЛИКЕ</t>
  </si>
  <si>
    <t>Кожевникова Н. Г., Тогунова Н. П., Ещин А. В., Шевкун Н. А.</t>
  </si>
  <si>
    <t>978-5-16-009119-8</t>
  </si>
  <si>
    <t>20.03.02, 20.04.02, 35.03.06, 35.04.06</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</si>
  <si>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высших учебных заведений, обучающихся по направлению «Агроинженерия»</t>
  </si>
  <si>
    <t>087900.21.01</t>
  </si>
  <si>
    <t>Практикум по инф.: Уч.пос.Комп.гр. и Web-дизайн. /Т.И.Немцова -М.:ИД ФОРУМ, НИЦ ИНФРА-М,2024-288с(СПО)(п)</t>
  </si>
  <si>
    <t>ПРАКТИКУМ ПО ИНФОРМАТИКЕ</t>
  </si>
  <si>
    <t>Немцова Т. И., Назарова Ю. В., Гагарина Л. Г.</t>
  </si>
  <si>
    <t>978-5-8199-0800-6</t>
  </si>
  <si>
    <t>00.02.03, 09.02.07, 10.02.05, 13.02.07</t>
  </si>
  <si>
    <t>243700.09.01</t>
  </si>
  <si>
    <t>Практикум по клинич.диагностике с рентгенологией: Уч.пос. / Е.С.Воронин-М.:НИЦ ИНФРА-М,2024-336с(ВО)(П)</t>
  </si>
  <si>
    <t>ПРАКТИКУМ ПО КЛИНИЧЕСКОЙ ДИАГНОСТИКЕ С РЕНТГЕНОЛОГИЕЙ</t>
  </si>
  <si>
    <t>Воронин Е.С., Ковалев С.П., Сноз Г.В. и др.</t>
  </si>
  <si>
    <t>978-5-16-014370-5</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</si>
  <si>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36.05.01 «Ветеринария»</t>
  </si>
  <si>
    <t>171150.10.01</t>
  </si>
  <si>
    <t>Практикум по коллоидной химии: Уч. пос. / В.Г.Куличихин - М.:Вуз. уч.:НИЦ Инфра-М, 2025 - 288с. (П)</t>
  </si>
  <si>
    <t>ПРАКТИКУМ ПО КОЛЛОИДНОЙ ХИМИИ</t>
  </si>
  <si>
    <t>Должикова В.Д., Задымова Н.М., Лопатина Л.И. и др.</t>
  </si>
  <si>
    <t>978-5-9558-0217-6</t>
  </si>
  <si>
    <t>04.04.01, 04.05.01, 18.03.01, 18.03.02, 19.03.04, 44.03.05</t>
  </si>
  <si>
    <t>Допущено УМО по классическому университетскому образованию в качестве учебного пособия для студентов вузов, обучающихся в магистратуре по направлению  ВПО 020100.62 - Химия и специальности 020101 - Химия</t>
  </si>
  <si>
    <t>724861.01.01</t>
  </si>
  <si>
    <t>Практикум по конструир. изделий из кожи: Уч.пос. / В.В.Костылева - М.:НИЦ ИНФРА-М,2025. - 459 с.(ВО)(п)</t>
  </si>
  <si>
    <t>ПРАКТИКУМ ПО КОНСТРУИРОВАНИЮ ИЗДЕЛИЙ ИЗ КОЖИ</t>
  </si>
  <si>
    <t>978-5-16-016682-7</t>
  </si>
  <si>
    <t>020332.17.01</t>
  </si>
  <si>
    <t>Практикум по логистике: Уч.пос. / Под ред. Аникина Б.А., - 2 изд.-М.:НИЦ ИНФРА-М,2024.-275 с.(ВО)(п)</t>
  </si>
  <si>
    <t>ПРАКТИКУМ ПО ЛОГИСТИКЕ, ИЗД.2</t>
  </si>
  <si>
    <t>Аникин Б.А., Дыбская В.В., Плоткин Б.К. и др.</t>
  </si>
  <si>
    <t>978-5-16-019772-2</t>
  </si>
  <si>
    <t>0202</t>
  </si>
  <si>
    <t>152850.11.01</t>
  </si>
  <si>
    <t>Практикум по матер. для одежды и кон.: Уч. пос./В.И.Стельмашенко-ИД ФОРУМ,НИЦ Инфра-М,2024-144с.(ВО) (о)</t>
  </si>
  <si>
    <t>ПРАКТИКУМ ПО МАТЕРИАЛАМ ДЛЯ ОДЕЖДЫ И КОНФЕКЦИОНИРОВАНИЮ</t>
  </si>
  <si>
    <t>Стельмашенко В. И., Смирнова Н. А., Розаренова Т. В., Назарова Ю. В.</t>
  </si>
  <si>
    <t>978-5-8199-0473-2</t>
  </si>
  <si>
    <t>Рек. УМО  по обр. в области технол., конструир. изд. лег. промышлен. в кач. уч. пос.  по дисц. Матер. для одежды и конфекционир. и Конфекц. матер. для одежды для студ вузов, обуч. по напр ПДС 260900 Технол. и констр. изд. лег. пром.(спец 260901,260)</t>
  </si>
  <si>
    <t>036590.13.01</t>
  </si>
  <si>
    <t>Практикум по международному праву / Г.В.Игнатенко - 4 изд. -М.: Юр.Норма, НИЦ ИНФРА-М, 2024. -352 с.(О)</t>
  </si>
  <si>
    <t>ПРАКТИКУМ ПО МЕЖДУНАРОДНОМУ ПРАВУ, ИЗД.4</t>
  </si>
  <si>
    <t>Игнатенко Г.В., Марочкин С.Ю., Тиунов О.И.</t>
  </si>
  <si>
    <t>978-5-91768-546-5</t>
  </si>
  <si>
    <t>Допущено Министерством образования РФ в качестве учебного пособия для студентов высших учебных заведений, обучающихся по направлению подготовки бакалавров и магистров 521400 "Юриспруденция" и по специальности 022100 "Юриспруденция"</t>
  </si>
  <si>
    <t>085610.10.01</t>
  </si>
  <si>
    <t>Практикум по менеджменту туризма. Ситуации и тесты: Уч. пос. / Н.А. Зайцева - 2 изд. - М.:Форум,2025 - 168 с.(о)</t>
  </si>
  <si>
    <t>ПРАКТИКУМ ПО МЕНЕДЖМЕНТУ ТУРИЗМА. СИТУАЦИИ И ТЕСТЫ, ИЗД.2</t>
  </si>
  <si>
    <t>978-5-91134-491-7</t>
  </si>
  <si>
    <t>Рекомендовано УМО учебных заведений РФ по образованию в области сервиса и туризма Министерства образования и науки России в качестве учебного пособия для студентов высших учебных заведений</t>
  </si>
  <si>
    <t>280900.09.01</t>
  </si>
  <si>
    <t>Практикум по методам оптимизации: Практикум / О.А.Сдвижков - М.:Вуз. уч., НИЦ ИНФРА-М,2025 - 200 с.(П)</t>
  </si>
  <si>
    <t>ПРАКТИКУМ ПО МЕТОДАМ ОПТИМИЗАЦИИ</t>
  </si>
  <si>
    <t>978-5-9558-0372-2</t>
  </si>
  <si>
    <t>38.03.01, 38.03.02, 38.03.05, 38.04.01, 38.04.02, 38.04.05, 41.03.06</t>
  </si>
  <si>
    <t>398900.05.01</t>
  </si>
  <si>
    <t>Практикум по общей теории статистики: Уч.пос. / В.Б.Яковлев - М.: НИЦ ИНФРА-М, 2023 -382 с. (ВО)(П)</t>
  </si>
  <si>
    <t>ПРАКТИКУМ ПО ОБЩЕЙ ТЕОРИИ СТАТИСТИКИ</t>
  </si>
  <si>
    <t>Яковлев В.Б., Яковлева О.А.</t>
  </si>
  <si>
    <t>978-5-16-011272-5</t>
  </si>
  <si>
    <t>Допущено Учебно-методическим объединением Российской Федерации по образованию в области ветеринарии и зоотехнии в качестве учебного пособия для студентов высших учебных заведений по направлению подготовки 36.03.02 «Зоотехния» (квалификация (степень) «бакалавр») и по направлению подготовки 36.04.02 «Зоотехния» (квалификация (степень) «магистр»)</t>
  </si>
  <si>
    <t>685775.07.01</t>
  </si>
  <si>
    <t>Практикум по овощеводству: Уч.пос. / Н.Н.Чернышева - М.:Форум, НИЦ ИНФРА-М,2024.-288 с..-(СПО)(П)</t>
  </si>
  <si>
    <t>ПРАКТИКУМ ПО ОВОЩЕВОДСТВУ</t>
  </si>
  <si>
    <t>Чернышева Н.Н., Колпаков Н.А.</t>
  </si>
  <si>
    <t>978-5-00091-600-1</t>
  </si>
  <si>
    <t>085670.15.01</t>
  </si>
  <si>
    <t>Практикум по овощеводству: Уч.пос. / Н.Н.Чернышева-М.:Форум, НИЦ ИНФРА-М,2024.-288 с.(ВО)(п)</t>
  </si>
  <si>
    <t>978-5-00091-788-6</t>
  </si>
  <si>
    <t>35.03.04, 35.03.05, 35.04.04, 35.04.05</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</si>
  <si>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35.03.04 «Агрономия»</t>
  </si>
  <si>
    <t>121300.09.01</t>
  </si>
  <si>
    <t>Практикум по отечественной истории: Уч.пос. / Е.А.Назырова - М.:Вуз. уч., НИЦ ИНФРА-М,2025 - 239 с.(о)</t>
  </si>
  <si>
    <t>ПРАКТИКУМ ПО ОТЕЧЕСТВЕННОЙ ИСТОРИИ</t>
  </si>
  <si>
    <t>Назырова Е.А.</t>
  </si>
  <si>
    <t>978-5-9558-0653-2</t>
  </si>
  <si>
    <t>Рекомендовано Научно-методическим советом по заочному экономическому образованию в качестве учебного пособия для студентов высших учебных заведений, обучающихся по специальностям «Менеджмент организации» и «Государственное и муниципальное управление»</t>
  </si>
  <si>
    <t>657735.04.01</t>
  </si>
  <si>
    <t>Практикум по реш. задач на ЭВМ в среде Delphi:Уч.пос. / П.Ю.Бунаков-М:Форум,НИЦ ИНФРА-М,2019-304с(П)</t>
  </si>
  <si>
    <t>ПРАКТИКУМ ПО РЕШЕНИЮ ЗАДАЧ НА ЭВМ В СРЕДЕ DELPHI</t>
  </si>
  <si>
    <t>Бунаков П.Ю., Лопатин А.К.</t>
  </si>
  <si>
    <t>978-5-00091-481-6</t>
  </si>
  <si>
    <t>01.03.02, 01.03.04, 02.03.02, 03.03.02, 09.03.01, 38.03.05, 38.04.05</t>
  </si>
  <si>
    <t>Рекомендовано в качестве учебного пособия  для студентов высших учебных заведений, обучающихся по направлениям подготовки 03.03.02 «Прикладная математика и информатика», 09.03.01 «Информатика и вычислительная техника» 38.03.05 «Бизнес-информатика» (квалификация (степень) «бакалавр»)</t>
  </si>
  <si>
    <t>683092.03.01</t>
  </si>
  <si>
    <t>Практикум по реш.задач на ЭВМ в среде Delphi: Уч.пос. / П.Ю.Бунаков - М.:Форум, НИЦ ИНФРА-М,2025-304с(П)</t>
  </si>
  <si>
    <t>978-5-00091-554-7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</si>
  <si>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5 от 11.03.2019)</t>
  </si>
  <si>
    <t>177950.11.01</t>
  </si>
  <si>
    <t>Практикум по философии: Уч. пос. / И.Ю. Медакова. - М.: Форум:  НИЦ ИНФРА-М, 2024. - 192 с.(ПрофОбр)(П)</t>
  </si>
  <si>
    <t>ПРАКТИКУМ ПО ФИЛОСОФИИ</t>
  </si>
  <si>
    <t>Медакова И. Ю.</t>
  </si>
  <si>
    <t>978-5-91134-586-0</t>
  </si>
  <si>
    <t>ГБОУ школа № 1349</t>
  </si>
  <si>
    <t>051935.07.01</t>
  </si>
  <si>
    <t>Практикум по фин.менеджменту: технология..: Уч.пос./ В.А.Морошкин- 2изд.-М.:НИЦ ИНФРА-М,2017-120с(О)</t>
  </si>
  <si>
    <t>ПРАКТИКУМ ПО ФИНАНСОВОМУ МЕНЕДЖМЕНТУ: ТЕХНОЛОГИЯ ФИНАНСОВЫХ РАСЧЕТОВ С ПРОЦЕНТАМИ, ИЗД.2</t>
  </si>
  <si>
    <t>Морошкин В.А.</t>
  </si>
  <si>
    <t>978-5-16-012547-3</t>
  </si>
  <si>
    <t>25.04.04, 38.03.01, 38.03.02, 38.03.03, 38.03.04, 38.03.05, 38.03.06, 38.03.07, 38.04.01, 38.04.02, 38.04.03, 38.04.04, 38.04.05, 38.04.06, 38.04.07, 38.04.08, 38.04.09, 38.05.01, 38.05.02, 41.03.06</t>
  </si>
  <si>
    <t>051935.13.02</t>
  </si>
  <si>
    <t>Практикум по финанс. менеджменту: технология фин...: Уч.пос. / В.А.Морошкин - 3 изд.-М.:НИЦ ИНФРА-М,2024-131с.(О)</t>
  </si>
  <si>
    <t>ПРАКТИКУМ ПО ФИНАНСОВОМУ МЕНЕДЖМЕНТУ: ТЕХНОЛОГИЯ ФИНАНСОВЫХ РАСЧЕТОВ С ПРОЦЕНТАМИ, ИЗД.3</t>
  </si>
  <si>
    <t>Морошкин В. А., Сметанкин А.С.</t>
  </si>
  <si>
    <t>978-5-16-013070-5</t>
  </si>
  <si>
    <t>302500.03.01</t>
  </si>
  <si>
    <t>Практикум по химии почв: Уч.пос. / В.Г.Мамонтов -М.:Форум, НИЦ ИНФРА-М,2019.-272 с..-(ВО)(О)</t>
  </si>
  <si>
    <t>ПРАКТИКУМ ПО ХИМИИ ПОЧВ</t>
  </si>
  <si>
    <t>Мамонтов В.Г., Гладков А.А.</t>
  </si>
  <si>
    <t>978-5-91134-954-7</t>
  </si>
  <si>
    <t>06.03.02, 35.03.03</t>
  </si>
  <si>
    <t>Допущено Учебно-методическим объединением вузов Российской Федерации по агрономическому образованию в качестве учебного пособия для студентов и бакалавров высших учебных заведений, обучающихся по направлению 35.03.03 «Агрохимия и агропочвоведение»</t>
  </si>
  <si>
    <t>289300.04.01</t>
  </si>
  <si>
    <t>Практикум по юр. консультированию / Под ред. Г.Н.Чеботарева - Норма:НИЦ ИНФРА-М,2022 - 208 с(Для юр. вузов) (о)</t>
  </si>
  <si>
    <t>ПРАКТИКУМ ПО ЮРИДИЧЕСКОМУ КОНСУЛЬТИРОВАНИЮ</t>
  </si>
  <si>
    <t>Чеботарев Г.Н.</t>
  </si>
  <si>
    <t>978-5-91768-513-7</t>
  </si>
  <si>
    <t>031119.18.01</t>
  </si>
  <si>
    <t>Практическая граммат. нем. яз.: Уч.пос. / М.М.Васильева, - 15 изд.-М.:НИЦ ИНФРА-М,2024.-255с.(ВО)(п)</t>
  </si>
  <si>
    <t>ПРАКТИЧЕСКАЯ ГРАММАТИКА НЕМЕЦКОГО ЯЗЫКА, ИЗД.15</t>
  </si>
  <si>
    <t>978-5-16-019012-9</t>
  </si>
  <si>
    <t>Рекомендовано Министерством образования и науки Российской Федерации в качестве учебного пособия для студентов неязыковых высших учебных заведений</t>
  </si>
  <si>
    <t>1518</t>
  </si>
  <si>
    <t>031119.14.01</t>
  </si>
  <si>
    <t>Практическая граммат.нем.яз.: Уч. пос./М.М.Васильева -14 изд. -М.:Альфа-М, НИЦ ИНФРА-М,2017-240с(П)</t>
  </si>
  <si>
    <t>ПРАКТИЧЕСКАЯ ГРАММАТИКА НЕМЕЦКОГО ЯЗЫКА, ИЗД.14</t>
  </si>
  <si>
    <t>978-5-98281-413-5</t>
  </si>
  <si>
    <t>Рекомендовано Министерством образования РФ в качестве учебного пособия для студентов неязыковых высших учебных заведений</t>
  </si>
  <si>
    <t>1415</t>
  </si>
  <si>
    <t>681800.01.01</t>
  </si>
  <si>
    <t>Практическая грамматика английского яз.: Практ. пос. / Е.И.Белякова - М.:НИЦ ИНФРА-М,2025. - 242 с.(ВО)(п)</t>
  </si>
  <si>
    <t>ПРАКТИЧЕСКАЯ ГРАММАТИКА АНГЛИЙСКОГО ЯЗЫКА</t>
  </si>
  <si>
    <t>Белякова Е.И.</t>
  </si>
  <si>
    <t>978-5-16-017666-6</t>
  </si>
  <si>
    <t>720443.03.01</t>
  </si>
  <si>
    <t>Практическая грамматика нем. яз.: Уч.пос. / М.М.Васильева - 15 изд. - М.:НИЦ ИНФРА-М,2023-255 с.(П)</t>
  </si>
  <si>
    <t>978-5-16-015704-7</t>
  </si>
  <si>
    <t>1520</t>
  </si>
  <si>
    <t>364500.06.01</t>
  </si>
  <si>
    <t>Практическая девиантология: Уч.мет.пос. / Н.П.Фетискин - М.:Форум, НИЦ ИНФРА-М,2024. - 272 с.(ВО)(П)</t>
  </si>
  <si>
    <t>ПРАКТИЧЕСКАЯ ДЕВИАНТОЛОГИЯ</t>
  </si>
  <si>
    <t>Фетискин Н.П.</t>
  </si>
  <si>
    <t>978-5-00091-742-8</t>
  </si>
  <si>
    <t>773445.02.01</t>
  </si>
  <si>
    <t>Практическая методика обуч. в условиях цифр...: Уч.мет.пос. / С.В.Лонская-М.:НИЦ ИНФРА-М,2024.-219 с.(п)</t>
  </si>
  <si>
    <t>ПРАКТИЧЕСКАЯ МЕТОДИКА ОБУЧЕНИЯ В УСЛОВИЯХ ЦИФРОВОЙ ТРАНСФОРМАЦИИ: ИСТОРИЯ ПРАВА В ВЫСШЕЙ ШКОЛЕ</t>
  </si>
  <si>
    <t>Лонская С.В.</t>
  </si>
  <si>
    <t>978-5-16-017525-6</t>
  </si>
  <si>
    <t>Балтийский федеральный университет им. Иммануила Канта</t>
  </si>
  <si>
    <t>851490.01.01</t>
  </si>
  <si>
    <t>Практическая семантика: вертикальный семантический анализ...: Уч. / М.Э.Конурбаев - М.:НИЦ ИНФРА-М,2025 - 432 с.(п)</t>
  </si>
  <si>
    <t>ПРАКТИЧЕСКАЯ СЕМАНТИКА: ВЕРТИКАЛЬНЫЙ СЕМАНТИЧЕСКИЙ АНАЛИЗ И ИНТЕРПРЕТАЦИЯ ТЕКСТОВ НА АНГЛИЙСКОМ ЯЗЫКЕ</t>
  </si>
  <si>
    <t>978-5-16-020801-5</t>
  </si>
  <si>
    <t>45.03.04, 45.04.02</t>
  </si>
  <si>
    <t>633182.07.01</t>
  </si>
  <si>
    <t>Практическая эконометрика в кейсах: Уч.пос. / В.П.Невежин-М.:ИД ФОРУМ, НИЦ ИНФРА-М,2024-317с(п)</t>
  </si>
  <si>
    <t>ПРАКТИЧЕСКАЯ ЭКОНОМЕТРИКА В КЕЙСАХ</t>
  </si>
  <si>
    <t>978-5-8199-0958-4</t>
  </si>
  <si>
    <t>38.03.01, 38.03.02, 38.03.03, 38.03.04, 38.03.06, 38.03.07, 38.05.01</t>
  </si>
  <si>
    <t>Рекомендовано кафедрой «Системный анализ и моделирование экономических процессов» Финансового университета при Правительстве Российской Федерации в качестве учебного пособия по дисциплинам «Экономика» и «Экономическое моделирование»</t>
  </si>
  <si>
    <t>714115.03.01</t>
  </si>
  <si>
    <t>Практические навыки адвоката: Практикум / П.Е.Короткова - М.:Юр.Норма, НИЦ ИНФРА-М,2022 - 192 с.(П)</t>
  </si>
  <si>
    <t>ПРАКТИЧЕСКИЕ НАВЫКИ АДВОКАТА</t>
  </si>
  <si>
    <t>Короткова П.Е.</t>
  </si>
  <si>
    <t>978-5-00156-006-7</t>
  </si>
  <si>
    <t>675838.07.01</t>
  </si>
  <si>
    <t>Практические навыки адвоката: Уч.пос. / П.Е.Короткова - М.:Юр.Норма,НИЦ ИНФРА-М,2025 - 144 с.(П)</t>
  </si>
  <si>
    <t>978-5-91768-894-7</t>
  </si>
  <si>
    <t>796844.02.01</t>
  </si>
  <si>
    <t>Практические основы бух. учета актив. орг.в1С: Предпр.: Уч.пос. / Л.В.Пермитина - М.:НИЦ ИНФРА-М,2025 - 155 с.(п)</t>
  </si>
  <si>
    <t>ПРАКТИЧЕСКИЕ ОСНОВЫ БУХГАЛТЕРСКОГО УЧЕТА АКТИВОВ ОРГАНИЗАЦИИ В 1С: ПРЕДПРИЯТИЕ</t>
  </si>
  <si>
    <t>Пермитина Л.В.</t>
  </si>
  <si>
    <t>978-5-16-018580-4</t>
  </si>
  <si>
    <t>38.01.02, 38.02.01, 38.02.07, 40.02.04, 43.01.09, 51.02.02</t>
  </si>
  <si>
    <t>685001.04.01</t>
  </si>
  <si>
    <t>Практические основы бух. учета активов организации: Уч. / Л.М.Белова - М.:НИЦ ИНФРА-М,2025. - 352 с.(СПО)(П)</t>
  </si>
  <si>
    <t>ПРАКТИЧЕСКИЕ ОСНОВЫ БУХГАЛТЕРСКОГО УЧЕТА АКТИВОВ ОРГАНИЗАЦИИ</t>
  </si>
  <si>
    <t>Белова Л.М., Кондрашова О.Р., Никандрова Р.С.</t>
  </si>
  <si>
    <t>978-5-16-014794-9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</si>
  <si>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5 от 16.03.2020)</t>
  </si>
  <si>
    <t>719475.01.01</t>
  </si>
  <si>
    <t>Практические основы бух. учета активов организации: Уч.пос. / Н.А.Качан - 2изд..-М.:НИЦ ИНФРА-М,2021-541 с.-(П)</t>
  </si>
  <si>
    <t>ПРАКТИЧЕСКИЕ ОСНОВЫ БУХГАЛТЕРСКОГО УЧЕТА АКТИВОВ ОРГАНИЗАЦИИ, ИЗД.2</t>
  </si>
  <si>
    <t>Качан Н.А., Тресницкий А.Б.</t>
  </si>
  <si>
    <t>978-5-16-015742-9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</si>
  <si>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</si>
  <si>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703553.04.01</t>
  </si>
  <si>
    <t>Практические основы бух. учета имущества организации: Уч. / М.Д.Акатьева-М.:НИЦ ИНФРА-М,2022.-319 с.(СПО)(П)</t>
  </si>
  <si>
    <t>ПРАКТИЧЕСКИЕ ОСНОВЫ БУХГАЛТЕРСКОГО УЧЕТА ИМУЩЕСТВА ОРГАНИЗАЦИИ</t>
  </si>
  <si>
    <t>978-5-16-014951-6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</si>
  <si>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29.04.2019)</t>
  </si>
  <si>
    <t>706589.07.01</t>
  </si>
  <si>
    <t>Практические основы бух. учета источников форм. имущ.орг.: Уч. / М.Д.Акатьева - М.:НИЦ ИНФРА-М,2025 - 241 с.(П)(СПО)</t>
  </si>
  <si>
    <t>ПРАКТИЧЕСКИЕ ОСНОВЫ БУХГАЛТЕРСКОГО УЧЕТА ИСТОЧНИКОВ ФОРМИРОВАНИЯ ИМУЩЕСТВА ОРГАНИЗАЦИИ</t>
  </si>
  <si>
    <t>Акатьева М.Д., Никандрова Л.К.</t>
  </si>
  <si>
    <t>978-5-16-015325-4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</si>
  <si>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12 от 24.06.2019)</t>
  </si>
  <si>
    <t>705815.01.01</t>
  </si>
  <si>
    <t>Практический аудит: Уч. / М.Ф.Сафонова и др.-М.:НИЦ ИНФРА-М,2023.-309 с.(ВО)(п)</t>
  </si>
  <si>
    <t>ПРАКТИЧЕСКИЙ АУДИТ</t>
  </si>
  <si>
    <t>Сафонова М.Ф., Калинина И.Н., Петух А.В.</t>
  </si>
  <si>
    <t>978-5-16-017218-7</t>
  </si>
  <si>
    <t>683159.07.01</t>
  </si>
  <si>
    <t>Практический курс персидского яз.: Уч. / А.Н.Сухоруков - М.:НИЦ ИНФРА-М,2024 - 218 с.(ВО)(п)</t>
  </si>
  <si>
    <t>ПРАКТИЧЕСКИЙ КУРС ПЕРСИДСКОГО ЯЗЫКА</t>
  </si>
  <si>
    <t>Сухоруков А.Н.</t>
  </si>
  <si>
    <t>978-5-16-019302-1</t>
  </si>
  <si>
    <t>45.00.00, 45.03.02</t>
  </si>
  <si>
    <t>Рекомендовано Учебно-методическим советом ВО в качестве учебника для студентов высших учебных заведений, обучающихся по направлению подготовки 45.03.01 «Филология» (квалификация (степень) «бакалавр»)</t>
  </si>
  <si>
    <t>098200.09.01</t>
  </si>
  <si>
    <t>Предпринимательское  право: Уч. / В.Ф.Попондопуло - 5 изд .- М.:Норма:ИНФРА-М,2024 - 752 с.(п)</t>
  </si>
  <si>
    <t>ПРЕДПРИНИМАТЕЛЬСКОЕ ПРАВО, ИЗД.5</t>
  </si>
  <si>
    <t>978-5-00156-374-7</t>
  </si>
  <si>
    <t>807889.04.01</t>
  </si>
  <si>
    <t>Предпринимательское право РФ: Уч.: В 2 т.Т.2 / Губин Е.П. - 4 изд. - М.:Юр. НОРМА, НИЦ ИНФРА-М,2025 - 440 с.(п)</t>
  </si>
  <si>
    <t>ПРЕДПРИНИМАТЕЛЬСКОЕ ПРАВО РОССИЙСКОЙ ФЕДЕРАЦИИ, Т.2, ИЗД.4</t>
  </si>
  <si>
    <t>Губин Е.П., Лахно П.Г., Вайпан В.А. и др.</t>
  </si>
  <si>
    <t>978-5-00156-318-1</t>
  </si>
  <si>
    <t>38.04.01, 40.03.01, 40.05.01, 40.05.02, 40.05.04</t>
  </si>
  <si>
    <t>085872.03.01</t>
  </si>
  <si>
    <t>Предпринимательское право: Практ. курс / Отв. ред. Е.П. Губин. - 4 изд. - М.: НОРМА, 2025. - 608с.(п)</t>
  </si>
  <si>
    <t>ПРЕДПРИНИМАТЕЛЬСКОЕ ПРАВО, ИЗД.4</t>
  </si>
  <si>
    <t>Афанасьева Е.Г., Вайпан В.А., Лаутс Е.Б. и др.</t>
  </si>
  <si>
    <t>978-5-00156-393-8</t>
  </si>
  <si>
    <t>23.03.03, 40.03.01, 40.04.01</t>
  </si>
  <si>
    <t>706542.06.01</t>
  </si>
  <si>
    <t>Предпринимательское право: Уч. / Под ред. Пчелкина А.В. - М.:НИЦ ИНФРА-М,2024 - 478 с.(ВО)(п)</t>
  </si>
  <si>
    <t>ПРЕДПРИНИМАТЕЛЬСКОЕ ПРАВО</t>
  </si>
  <si>
    <t>Демичев А.А., Карпычев М.В., Леонов А.И. и др.</t>
  </si>
  <si>
    <t>978-5-16-019653-4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</si>
  <si>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5 от 19.05.2021)</t>
  </si>
  <si>
    <t>109750.12.01</t>
  </si>
  <si>
    <t>Предпринимательство в сфере сервиса: Уч.пос. / О.Н.Гукова - М.:Форум, НИЦ ИНФРА-М,2025 - 176 с.(СПО)(О)</t>
  </si>
  <si>
    <t>ПРЕДПРИНИМАТЕЛЬСТВО В СФЕРЕ СЕРВИСА</t>
  </si>
  <si>
    <t>978-5-91134-337-8</t>
  </si>
  <si>
    <t>08.02.14, 38.01.01, 38.01.02, 43.01.01, 43.01.02, 43.01.03, 43.01.04, 43.01.05, 43.01.06, 43.01.07, 43.01.08, 43.01.09, 43.01.11, 43.02.01, 43.02.02, 43.02.04, 43.02.06, 43.02.07, 43.02.09, 43.02.11, 43.02.15, 43.02.16, 43.02.17</t>
  </si>
  <si>
    <t>088800.20.01</t>
  </si>
  <si>
    <t>Предпринимательство: Уч. / М.Г.Лапуста - М.:НИЦ ИНФРА-М,2024 - 384 с.(ВО)(п)</t>
  </si>
  <si>
    <t>ПРЕДПРИНИМАТЕЛЬСТВО</t>
  </si>
  <si>
    <t>Лапуста М.Г.</t>
  </si>
  <si>
    <t>978-5-16-019212-3</t>
  </si>
  <si>
    <t>Рекомендовано Советом Учебно-методического объединения вузов России по образованию в области менеджмента в качестве учебника по управленческим дисциплинам</t>
  </si>
  <si>
    <t>689267.01.01</t>
  </si>
  <si>
    <t>Предпринимательство: Уч. / Под ред. Ползуновой Н.Н.-М.:НИЦ ИНФРА-М,2023.-413 с..-(ВО)(п)</t>
  </si>
  <si>
    <t>Ползунова Н.Н., Родионова Н.В., Моргунова Н.В. и др.</t>
  </si>
  <si>
    <t>978-5-16-017418-1</t>
  </si>
  <si>
    <t>38.03.01, 38.03.02, 38.04.02, 38.04.06</t>
  </si>
  <si>
    <t>676152.05.01</t>
  </si>
  <si>
    <t>Представление и визуал. результатов науч. исслед.: Уч. / Логунов О.С. - М.:НИЦ ИНФРА-М,2025. - 156 с.(П)</t>
  </si>
  <si>
    <t>ПРЕДСТАВЛЕНИЕ И ВИЗУАЛИЗАЦИЯ РЕЗУЛЬТАТОВ НАУЧНЫХ ИССЛЕДОВАНИЙ</t>
  </si>
  <si>
    <t>Логунова О.С., Романов П.Ю., Егорова Л.Г. и др.</t>
  </si>
  <si>
    <t>978-5-16-020620-2</t>
  </si>
  <si>
    <t>02.04.02, 44.04.02</t>
  </si>
  <si>
    <t>Рекомендовано Учебно-методическим советом ВО в качестве учебника для аспирантов, обучающихся в высших учебных заведениях</t>
  </si>
  <si>
    <t>434550.08.01</t>
  </si>
  <si>
    <t>Предупреждение и ликвидац.чрезвыч.ситуац.: Уч.пос. / И.И.Суторьма-М.:НИЦ ИНФРА-М,Нов.зн.,2023-270с.</t>
  </si>
  <si>
    <t>ПРЕДУПРЕЖДЕНИЕ И ЛИКВИДАЦИЯ ЧРЕЗВЫЧАЙНЫХ СИТУАЦИЙ</t>
  </si>
  <si>
    <t>Суторьма И.И., Загор В.В., Жукалов В.И.</t>
  </si>
  <si>
    <t>978-5-16-006693-6</t>
  </si>
  <si>
    <t>Допущено Министерством образования Республики Беларусь в качестве учебного пособия для курсантов и слушателей высших учебных заведений по специальности «Предупреждение и ликвидация чрезвычайных ситуаций»</t>
  </si>
  <si>
    <t>632541.03.01</t>
  </si>
  <si>
    <t>Преобразование измерительных сигналов: Уч. / С.В.Нефедов-М.:КУРС, НИЦ ИНФРА-М,2023.-224 с.(ВО)(п)</t>
  </si>
  <si>
    <t>ПРЕОБРАЗОВАНИЕ ИЗМЕРИТЕЛЬНЫХ СИГНАЛОВ</t>
  </si>
  <si>
    <t>Нефедов С.В., Тарасенко А.П., Чернова В.М.</t>
  </si>
  <si>
    <t>978-5-906923-41-7</t>
  </si>
  <si>
    <t>12.03.01</t>
  </si>
  <si>
    <t>438300.08.01</t>
  </si>
  <si>
    <t>Преодоление артикул.-акуст.дисграфии у шк.: Уч.-мет.пос. / О.Г.Ивановская - М.:Форум,НИЦ ИНФРА-М,2025 - 160с. (о)</t>
  </si>
  <si>
    <t>ПРЕОДОЛЕНИЕ АРТИКУЛЯТОРНО-АКУСТИЧЕСКОЙ ДИСГРАФИИ У ШКОЛЬНИКОВ</t>
  </si>
  <si>
    <t>Ивановская О.Г., Куликова Н.С., Хвостова О.А. и др.</t>
  </si>
  <si>
    <t>978-5-00091-135-8</t>
  </si>
  <si>
    <t>Рекомендовано кафедрой логопедии ЛГУ им. А. С. Пушкина в качестве учебно-методического пособия для студентов высших учебных заведений, обучающихся по направлениям 050700.62 «Специальное (дефектологическое) образование» (бакалавриат), по профилю подготовки «Логопедия» и 050700.68 «Специальное (дефектологическое) образование» (магистратура)</t>
  </si>
  <si>
    <t>734780.04.01</t>
  </si>
  <si>
    <t>Преодоление артикул.-акустич. дисграфии у шк.: Уч.мет.пос. / Елецкая О.В. - М.:Форум, НИЦ ИНФРА-М,2025 - 160 с.(П)</t>
  </si>
  <si>
    <t>978-5-00091-729-9</t>
  </si>
  <si>
    <t>39.02.01, 44.02.04, 44.02.05, 49.02.02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</si>
  <si>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5 от 16.03.2020)</t>
  </si>
  <si>
    <t>795711.02.01</t>
  </si>
  <si>
    <t>Преподавание общевоенных и тактич. дисциплин в уч. воен. центрах: Уч.мет.пос.-М.:НИЦ ИНФРА-М,2024-64с.(ВО)(о)</t>
  </si>
  <si>
    <t>ПРЕПОДАВАНИЕ ОБЩЕВОЕННЫХ И ТАКТИЧЕСКИХ ДИСЦИПЛИН В УЧЕБНЫХ ВОЕННЫХ ЦЕНТРАХ</t>
  </si>
  <si>
    <t>Байрамуков Ю.Б.</t>
  </si>
  <si>
    <t>978-5-16-018973-4</t>
  </si>
  <si>
    <t>56.04.01, 56.04.02, 56.04.03, 56.04.04, 56.04.05, 56.04.06, 56.04.07, 56.04.08, 56.04.09, 56.04.10, 56.04.11, 56.04.12, 56.05.01, 56.05.02, 56.05.03, 56.05.04, 56.05.05</t>
  </si>
  <si>
    <t>113800.08.01</t>
  </si>
  <si>
    <t>Преподаватель вуза: технологии и организация деятельности:Уч.пос. / Под ред. Резник С.Д., - 3-е изд., доп. и перераб.-М.:ИНФРА-М Издательский</t>
  </si>
  <si>
    <t>ПРЕПОДАВАТЕЛЬ ВУЗА: ТЕХНОЛОГИИ И ОРГАНИЗАЦИЯ ДЕЯТЕЛЬНОСТИ, ИЗД.3</t>
  </si>
  <si>
    <t>978-5-16-004478-1</t>
  </si>
  <si>
    <t>38.04.01, 38.04.02, 38.04.03, 38.04.04, 38.04.08, 38.04.09, 38.05.01, 38.05.02, 38.06.01</t>
  </si>
  <si>
    <t>348100.10.01</t>
  </si>
  <si>
    <t>Пресноводная аквакультура: Уч.пос. / В.А.Власов - М.:КУРС, НИЦ ИНФРА-М,2024 - 384 с.(П)</t>
  </si>
  <si>
    <t>ПРЕСНОВОДНАЯ АКВАКУЛЬТУРА</t>
  </si>
  <si>
    <t>Власов В.А.</t>
  </si>
  <si>
    <t>978-5-905554-88-9</t>
  </si>
  <si>
    <t>35.03.08, 35.03.09, 35.04.07, 35.04.08, 36.03.02, 36.04.02, 44.03.01, 44.03.05</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</si>
  <si>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36.03.02 «Зоотехния» и 35.03.08 «Водные биоресурсы и аквакультура»</t>
  </si>
  <si>
    <t>285700.04.01</t>
  </si>
  <si>
    <t>Преступление и наказание: кримин.-психол. анализ: Моног. /Ю.М.Антонян -М:Норма,НИЦ ИНФРА-М,2017-304с</t>
  </si>
  <si>
    <t>ПРЕСТУПЛЕНИЕ И НАКАЗАНИЕ: КРИМИНОЛОГО-ПСИХОЛОГИЧЕСКИЙ АНАЛИЗ</t>
  </si>
  <si>
    <t>Антонян Ю. М., Эминов В. Е.</t>
  </si>
  <si>
    <t>978-5-91768-498-7</t>
  </si>
  <si>
    <t>31.08.24, 37.04.01, 40.03.01, 40.04.01, 40.05.02, 40.06.01</t>
  </si>
  <si>
    <t>409300.08.01</t>
  </si>
  <si>
    <t>Преступность в истории человечества: Моногр. / Ю.М.Антонян-М.:Юр.Норма, НИЦ ИНФРА-М,2020.-208 с.(О)</t>
  </si>
  <si>
    <t>ПРЕСТУПНОСТЬ В ИСТОРИИ ЧЕЛОВЕЧЕСТВА</t>
  </si>
  <si>
    <t>Антонян Ю.М., Звизжова О.Ю.</t>
  </si>
  <si>
    <t>978-5-91768-320-1</t>
  </si>
  <si>
    <t>Всероссийский научно-исследовательский институт Министерства внутренних дел Российской Федерации</t>
  </si>
  <si>
    <t>436950.07.01</t>
  </si>
  <si>
    <t>Приборостроение. Введение в специальность: Уч. пос. / Б.Ю. Каплан. - М.: ИНФРА-М, 2025. - 112 с. (ВО) (о)</t>
  </si>
  <si>
    <t>ПРИБОРОСТРОЕНИЕ. ВВЕДЕНИЕ В СПЕЦИАЛЬНОСТЬ</t>
  </si>
  <si>
    <t>Каплан Б. Ю.</t>
  </si>
  <si>
    <t>978-5-16-006719-3</t>
  </si>
  <si>
    <t>12.03.01, 12.04.01</t>
  </si>
  <si>
    <t>Рекомендовано Учебно-методическим объединением вузов Российской Федерации по образованию в области приборостроения и оптотехники для студентов высших учебных заведений, обучающихся по направлению подготовки бакалавриата 200100 - Приборостроение</t>
  </si>
  <si>
    <t>719239.04.01</t>
  </si>
  <si>
    <t>Приемники и потреб. электрич. энергии сис. электроснаб.: Уч.пос. / А.В.Суворин-М.:НИЦ ИНФРА-М,2024.-354с(П)</t>
  </si>
  <si>
    <t>ПРИЕМНИКИ И ПОТРЕБИТЕЛИ ЭЛЕКТРИЧЕСКОЙ ЭНЕРГИИ СИСТЕМ ЭЛЕКТРОСНАБЖЕНИЯ</t>
  </si>
  <si>
    <t>978-5-16-015610-1</t>
  </si>
  <si>
    <t>667543.07.01</t>
  </si>
  <si>
    <t>Приемники и потреб. электрич. энергии сист.электр..: Уч.пос. / А.В.Суворин - М.:НИЦ ИНФРА-М,СФУ,2025-354с(П)</t>
  </si>
  <si>
    <t>978-5-16-017274-3</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</si>
  <si>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направлению подготовки бакалавров 13.03.02 «Электроэнергетика и электротехника» (профиль «Электроснабжение»)</t>
  </si>
  <si>
    <t>464400.03.01</t>
  </si>
  <si>
    <t>Прикладная механика: применение...: Уч.пос. /Г.С.Варданян -М.:НИЦ ИНФРА-М,2023-174с.(ВО:Бакалавр.)(о)</t>
  </si>
  <si>
    <t>ПРИКЛАДНАЯ МЕХАНИКА: ПРИМЕНЕНИЕ МЕТОДОВ ТЕОРИИ ПОДОБИЯ И АНАЛИЗА РАЗМЕРНОСТЕЙ К МОДЕЛИРОВАНИЮ ЗАДАЧ МЕХАНИКИ ДЕФОРМИРУЕМОГО ТВЕРДОГО ТЕЛА</t>
  </si>
  <si>
    <t>Варданян Г.С.</t>
  </si>
  <si>
    <t>978-5-16-011532-0</t>
  </si>
  <si>
    <t>01.03.03, 01.04.03, 02.03.03, 03.03.03, 04.03.02, 08.03.01, 08.04.01, 08.05.01, 12.03.01, 15.03.03, 15.04.03</t>
  </si>
  <si>
    <t>Рекомендовано в качестве учебного пособия для студентов высших учебных заведений, обучающихся по направлениям подготовки 01.03.03 «Механика и математическое моделирование», 15.03.03 «Прикладная механика» (квалификация (степень) «бакалавр»)</t>
  </si>
  <si>
    <t>632558.07.01</t>
  </si>
  <si>
    <t>Прикладная механика: Уч.: В 2 ч.Ч.1: Основы расчета... / А.Н.Соболев - М.:КУРС,НИЦ ИНФРА-М,2024-224с</t>
  </si>
  <si>
    <t>ПРИКЛАДНАЯ МЕХАНИКА. В 2-Х Ч.</t>
  </si>
  <si>
    <t>Соболев А.Н., Некрасов А.Я., Схиртладзе А.Г. и др.</t>
  </si>
  <si>
    <t>978-5-906818-58-4</t>
  </si>
  <si>
    <t>12.03.01, 15.03.01, 15.03.05, 15.05.01</t>
  </si>
  <si>
    <t>Московский государственный технологический университет "Станкин", ф-л Егорьевский технологический ин</t>
  </si>
  <si>
    <t>632559.04.01</t>
  </si>
  <si>
    <t>Прикладная механика: Уч.: В 2 ч.Ч.2: / А.Н.Соболев - М.:КУРС, НИЦ ИНФРА-М,2024-160с(ВО)(п)</t>
  </si>
  <si>
    <t>ПРИКЛАДНАЯ МЕХАНИКА. В 2-Х Ч., Т.2</t>
  </si>
  <si>
    <t>Соболев А.Н., Некрасов А.Я., Бровкина Ю.И. и др.</t>
  </si>
  <si>
    <t>978-5-906818-57-7</t>
  </si>
  <si>
    <t>Допущено УМО вузов по образованию в области автоматизированного машиностроения (УМО АМ)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"Автоматизация технологических процессов и производств"</t>
  </si>
  <si>
    <t>147400.07.01</t>
  </si>
  <si>
    <t>Прикладная механика: Уч.пос.для вуз./ В.Т.Батиенков- 2 изд.-М.:ИЦ РИОР, НИЦ ИНФРА-М,2023-339с(ВО)(П)</t>
  </si>
  <si>
    <t>ПРИКЛАДНАЯ МЕХАНИКА, ИЗД.2</t>
  </si>
  <si>
    <t>978-5-369-01660-2</t>
  </si>
  <si>
    <t>20.03.02, 20.04.02</t>
  </si>
  <si>
    <t>086190.16.01</t>
  </si>
  <si>
    <t>Прикладная психология: Уч.пос. / Н.П.Рапохин, - 2 изд. - М.:НИЦ ИНФРА-М,2025. - 471 с.(ВО)(п)</t>
  </si>
  <si>
    <t>ПРИКЛАДНАЯ ПСИХОЛОГИЯ, ИЗД.2</t>
  </si>
  <si>
    <t>Рапохин Н. П.</t>
  </si>
  <si>
    <t>978-5-16-019204-8</t>
  </si>
  <si>
    <t>38.03.02, 44.03.01, 44.03.02, 44.03.05, 44.04.02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</si>
  <si>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38.03.02 «Менеджмент», 41.03.05 «Международные отношения» (квалификация (степень) «бакалавр») (протокол № 3 от 17.03.2021)</t>
  </si>
  <si>
    <t>086190.10.01</t>
  </si>
  <si>
    <t>Прикладная психология: Уч.пос. / Н.П.Рапохин-М.:Форум, ИНФРА-М Изд. Дом,2018.-432 с..-(ВО)(П)</t>
  </si>
  <si>
    <t>ПРИКЛАДНАЯ ПСИХОЛОГИЯ</t>
  </si>
  <si>
    <t>978-5-91134-153-4</t>
  </si>
  <si>
    <t>797841.02.01</t>
  </si>
  <si>
    <t>Прикладная химия: Уч.пос. / И.В.Кротова-М.:НИЦ ИНФРА-М, Сибирский федеральный универ.,2023.-148 с.(ВО)(о)</t>
  </si>
  <si>
    <t>ПРИКЛАДНАЯ ХИМИЯ</t>
  </si>
  <si>
    <t>Кротова И.В.</t>
  </si>
  <si>
    <t>978-5-16-018651-1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</si>
  <si>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38.03.07 «Товароведение» (квалификация (степень) «бакалавр») (протокол № 7 от 21.09.2022)</t>
  </si>
  <si>
    <t>656372.08.01</t>
  </si>
  <si>
    <t>Прикладная электроника: Уч. / А.В.Ситников - М.:КУРС, НИЦ ИНФРА-М,2023 - 272 с.-(СПО)(П)</t>
  </si>
  <si>
    <t>ПРИКЛАДНАЯ ЭЛЕКТРОНИКА</t>
  </si>
  <si>
    <t>Ситников А.В., Ситников И.А.</t>
  </si>
  <si>
    <t>978-5-906923-28-8</t>
  </si>
  <si>
    <t>08.02.01, 09.02.01, 15.01.05, 35.01.27</t>
  </si>
  <si>
    <t>200800.12.01</t>
  </si>
  <si>
    <t>Прикладные информ. технологии: Уч.пос. / Е.Л.Федотова - М.:ИД ФОРУМ, НИЦ ИНФРА-М,2025 - 336 с.(ВО)(П)</t>
  </si>
  <si>
    <t>ПРИКЛАДНЫЕ ИНФОРМАЦИОННЫЕ ТЕХНОЛОГИИ</t>
  </si>
  <si>
    <t>Федотова Е. Л., Портнов Е. М.</t>
  </si>
  <si>
    <t>978-5-8199-0538-8</t>
  </si>
  <si>
    <t>38.03.02, 38.03.04, 41.03.06</t>
  </si>
  <si>
    <t>Рекомендовано Научно-методическим советом Московского социально-гуманитарного института в качестве учебного пособия для студентов, обучающихся по профилю «Информационный менеджмент» направления 080200.62 «Менеджмент»</t>
  </si>
  <si>
    <t>719224.03.01</t>
  </si>
  <si>
    <t>Прикладные информац. технологии: Уч.пос./ Е.Л.Федотова-М.:ИД ФОРУМ, НИЦ ИНФРА-М,2023-335 с.(СПО)(П)</t>
  </si>
  <si>
    <t>978-5-8199-0897-6</t>
  </si>
  <si>
    <t>296400.06.01</t>
  </si>
  <si>
    <t>Прикладные методы для реш. задач электроэн..: Уч.пос. / В.Я.Хорольский-М.:Форум, НИЦ ИНФРА-М,2024-176с.(ВО)(о)</t>
  </si>
  <si>
    <t>ПРИКЛАДНЫЕ МЕТОДЫ ДЛЯ РЕШЕНИЯ ЗАДАЧ ЭЛЕКТРОЭНЕРГЕТИКИ И АГРОИНЖЕНЕРИИ</t>
  </si>
  <si>
    <t>Хорольский В.Я., Таранов М.А., Шемякин В.Н. и др.</t>
  </si>
  <si>
    <t>978-5-91134-940-0</t>
  </si>
  <si>
    <t>13.04.02, 35.04.06</t>
  </si>
  <si>
    <t>776424.01.01</t>
  </si>
  <si>
    <t>Применение информ. сис. в экономике: Уч.пос. / А.М.Карминский - 2 изд.-М.:ИД Форум, НИЦ ИНФРА-М,2022-320 с.(П)</t>
  </si>
  <si>
    <t>ПРИМЕНЕНИЕ ИНФОРМАЦИОННЫХ СИСТЕМ В ЭКОНОМИКЕ, ИЗД.2</t>
  </si>
  <si>
    <t>Карминский А.М., Черников Б.В.</t>
  </si>
  <si>
    <t>978-5-8199-0932-4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</si>
  <si>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10 от 15.12.2021)</t>
  </si>
  <si>
    <t>169700.08.01</t>
  </si>
  <si>
    <t>Применение информ. систем в эконом.: Уч. пос. / А.М.Карминский - 2изд. - М.:ИД ФОРУМ:  ИНФРА-М, 2025 - 320 с.(ВО) (п)</t>
  </si>
  <si>
    <t>978-5-8199-0495-4</t>
  </si>
  <si>
    <t>180350.12.01</t>
  </si>
  <si>
    <t>Применение молекул.методов исслед.в генет.: Уч.пос. / Л.Н.Нефедова - М.:НИЦ ИНФРА-М,2025-104с(ВО)(О)</t>
  </si>
  <si>
    <t>ПРИМЕНЕНИЕ МОЛЕКУЛЯРНЫХ МЕТОДОВ ИССЛЕДОВАНИЯ В ГЕНЕТИКЕ</t>
  </si>
  <si>
    <t>Нефедова Л.Н.</t>
  </si>
  <si>
    <t>978-5-16-020413-0</t>
  </si>
  <si>
    <t>06.03.01, 06.04.01, 44.03.05</t>
  </si>
  <si>
    <t>Рекомендовано в качестве учебного пособия для студентов высших учебных заведений, обучающихся по направлению подготовки 06.03.01 «Биология» (квалификация (степень) «бакалавр») и УГС 30.00.00 «Фундаментальная медицина» (квалификация (степень) «специалист»)</t>
  </si>
  <si>
    <t>649006.06.01</t>
  </si>
  <si>
    <t>Применение полимерных композиц.материалов в...: Уч.пос./ Н.И.Баурова-М.:НИЦ ИНФРА-М,2024.-301с(ВО)(п)</t>
  </si>
  <si>
    <t>ПРИМЕНЕНИЕ ПОЛИМЕРНЫХ КОМПОЗИЦИОННЫХ МАТЕРИАЛОВ В МАШИНОСТРОЕНИИ</t>
  </si>
  <si>
    <t>Баурова Н.И., Зорин В.А.</t>
  </si>
  <si>
    <t>978-5-16-019889-7</t>
  </si>
  <si>
    <t>15.03.01, 15.03.02, 23.05.01, 23.05.02</t>
  </si>
  <si>
    <t>Рекомендовано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(квалификация (степень) «бакалавр»)</t>
  </si>
  <si>
    <t>649815.07.01</t>
  </si>
  <si>
    <t>Применение цифровой инфр. и телемат. сис. на городском пассаж. трансп.: Уч. / В.М.Власов - М.:НИЦ ИНФРА-М,2025 - 352 с.(п)</t>
  </si>
  <si>
    <t>ПРИМЕНЕНИЕ ЦИФРОВОЙ ИНФРАСТРУКТУРЫ И ТЕЛЕМАТИЧЕСКИХ СИСТЕМ НА ГОРОДСКОМ ПАССАЖИРСКОМ ТРАНСПОРТЕ</t>
  </si>
  <si>
    <t>Власов В.М., Ефименко Д.Б., Богумил В.Н.</t>
  </si>
  <si>
    <t>978-5-16-013194-8</t>
  </si>
  <si>
    <t>23.03.01, 23.04.03</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</si>
  <si>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направлениям подготовки 23.03.03 «Эксплуатация транспортно-технологических машин и комплексов» (квалификация (степень) «бакалавр»); 23.04.01 «Технология транспортных процессов», 23.04.03 «Эксплуатация транспортно-технологических машин и комплексов» (квалификация (степень) «магистр»); 23.05.01 «Наземные транспортно-технологические средства» (квалификация «инженер»)</t>
  </si>
  <si>
    <t>776547.04.01</t>
  </si>
  <si>
    <t>Применение ядерных и радиац. технологий в медицине: Уч. / Ю.Н.Анохин - М.:НИЦ ИНФРА-М,2025. - 233 с.(ВО)(П)</t>
  </si>
  <si>
    <t>ПРИМЕНЕНИЕ ЯДЕРНЫХ И РАДИАЦИОННЫХ ТЕХНОЛОГИЙ В МЕДИЦИНЕ</t>
  </si>
  <si>
    <t>Анохин Ю.Н.</t>
  </si>
  <si>
    <t>978-5-16-020745-2</t>
  </si>
  <si>
    <t>03.04.02, 30.05.02, 31.05.01</t>
  </si>
  <si>
    <t>Техническая академия Росатома</t>
  </si>
  <si>
    <t>465200.04.01</t>
  </si>
  <si>
    <t>Принципы функц. системы управ.в чрезв. ситуациях: Уч.пос./С.Ю.Монинец-М:НИЦ ИНФРА-М,2024-104с(ВО)(о)</t>
  </si>
  <si>
    <t>ПРИНЦИПЫ ФУНКЦИОНИРОВАНИЯ СИСТЕМЫ УПРАВЛЕНИЯ В ЧРЕЗВЫЧАЙНЫХ СИТУАЦИЯХ И ЕЕ ЭЛЕМЕНТЫ</t>
  </si>
  <si>
    <t>Монинец С.Ю.</t>
  </si>
  <si>
    <t>978-5-16-019238-3</t>
  </si>
  <si>
    <t>Рекомендовано в качестве учебного пособия для студентов высших учебных заведений, обучающихся по направлениям подготовки бакалавриата 20.03.01 и магистратуры 20.04.01 по специальности «Техносферная безопасность»</t>
  </si>
  <si>
    <t>447350.04.01</t>
  </si>
  <si>
    <t>Природные факторы оздоровления: Уч.пос. / М.Г.Ясовеев-М.:НИЦ ИНФРА-М,2023.-259 с.(ВО: Бакалавриат)(п)</t>
  </si>
  <si>
    <t>ПРИРОДНЫЕ ФАКТОРЫ ОЗДОРОВЛЕНИЯ</t>
  </si>
  <si>
    <t>Ясовеев М. Г., Досин Ю. М.</t>
  </si>
  <si>
    <t>978-5-16-009044-3</t>
  </si>
  <si>
    <t>05.03.01, 05.03.02, 05.03.06, 05.04.01, 05.04.02, 05.04.06, 20.03.02, 31.05.01</t>
  </si>
  <si>
    <t>438650.06.01</t>
  </si>
  <si>
    <t>Природоохранные технологии разраб. рудн. месторожд.: Уч. пос./В.И.Голик - М.:ИНФРА-М, 2023-192с.(ВО) (п)</t>
  </si>
  <si>
    <t>ПРИРОДООХРАННЫЕ ТЕХНОЛОГИИ РАЗРАБОТКИ РУДНЫХ МЕСТОРОЖДЕНИЙ</t>
  </si>
  <si>
    <t>978-5-16-006749-0</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</si>
  <si>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направлениям подготовки «Горное дело» и «Физические процессы</t>
  </si>
  <si>
    <t>400600.10.01</t>
  </si>
  <si>
    <t>Проблемно-модульное обучение: Уч.пос. / Е.А.Соколков - М.:Вуз.уч., НИЦ ИНФРА-М,2024 - 392 с.(П)</t>
  </si>
  <si>
    <t>ПРОБЛЕМНО-МОДУЛЬНОЕ ОБУЧЕНИЕ</t>
  </si>
  <si>
    <t>978-5-9558-0261-9</t>
  </si>
  <si>
    <t>Рекомендовано Советом Учебно-методического объединения по образованию в области менеджмента в качестве учебного пособия для студентов всех уровней обучения</t>
  </si>
  <si>
    <t>726681.04.01</t>
  </si>
  <si>
    <t>Проблемы жестокого обр. с детьми в совр. рос. семье: Уч.пос. / О.В.Бессчетнова-М.:НИЦ ИНФРА-М,2024-178с(П)</t>
  </si>
  <si>
    <t>ПРОБЛЕМЫ ЖЕСТОКОГО ОБРАЩЕНИЯ С ДЕТЬМИ В СОВРЕМЕННОЙ РОССИЙСКОЙ СЕМЬЕ</t>
  </si>
  <si>
    <t>Бессчетнова О.В.</t>
  </si>
  <si>
    <t>978-5-16-020038-5</t>
  </si>
  <si>
    <t>39.03.02, 44.03.01, 44.03.02, 44.03.05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</si>
  <si>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39.03.02 «Социальная работа», 44.03.02 «Психолого-педагогическое образование», 44.03.05 «Педагогическое образование» (квалификация (степень) «бакалавр») (протокол № 6 от 06.04.2020)</t>
  </si>
  <si>
    <t>169600.07.01</t>
  </si>
  <si>
    <t>Проблемы назначения наказания: Уч.пос. / Т.В. Непомнящая - М.: Форум, 2025.- 592 с.(ВО) (п)</t>
  </si>
  <si>
    <t>ПРОБЛЕМЫ НАЗНАЧЕНИЯ НАКАЗАНИЯ</t>
  </si>
  <si>
    <t>Непомнящая Т. В., Степашин В. М.</t>
  </si>
  <si>
    <t>978-5-91134-571-6</t>
  </si>
  <si>
    <t>40.03.01, 40.04.01, 40.05.02, 40.05.04</t>
  </si>
  <si>
    <t>427600.07.01</t>
  </si>
  <si>
    <t>Проблемы образования в совр. зарубеж. психологии: Уч.пос. / Л.В.Губанова-М.:НИЦ ИНФРА-М,2024.-58 с.(ВО)(О)</t>
  </si>
  <si>
    <t>ПРОБЛЕМЫ ОБРАЗОВАНИЯ В СОВРЕМЕННОЙ ЗАРУБЕЖНОЙ ПСИХОЛОГИИ</t>
  </si>
  <si>
    <t>Губанова Л. В.</t>
  </si>
  <si>
    <t>978-5-16-006364-5</t>
  </si>
  <si>
    <t>37.03.01, 37.04.01, 44.03.01, 44.03.05</t>
  </si>
  <si>
    <t>021500.17.01</t>
  </si>
  <si>
    <t>Проблемы общ. теории права и гос.: Уч./ Под общ.ред. В.С. Нерсесянца. - Норма:ИНФРА-М,2025. - 816 с.(п)</t>
  </si>
  <si>
    <t>ПРОБЛЕМЫ ОБЩЕЙ ТЕОРИИ ПРАВА И ГОСУДАРСТВА, ИЗД.2</t>
  </si>
  <si>
    <t>978-5-91768-116-0</t>
  </si>
  <si>
    <t>40.03.01, 40.04.01, 40.05.01, 40.05.02, 40.05.03, 40.05.04, 41.03.06, 44.03.05</t>
  </si>
  <si>
    <t>178900.12.01</t>
  </si>
  <si>
    <t>Проблемы общей теории jus: Уч. / В.В. Лазарев - М.: Норма: НИЦ Инфра-М, 2025 - 656 с. (п)</t>
  </si>
  <si>
    <t>ПРОБЛЕМЫ ОБЩЕЙ ТЕОРИИ JUS</t>
  </si>
  <si>
    <t>Лазарев В. В., Липень С. В., Саидов А. Х., Лазарев В. В.</t>
  </si>
  <si>
    <t>978-5-91768-256-3</t>
  </si>
  <si>
    <t>710158.06.01</t>
  </si>
  <si>
    <t>Проблемы теор. и прак. админ. ответств.: Уч.пос. / Б.В.Россинский. - М.:Юр.Норма, НИЦ ИНФРА-М,2025 - 256 с.(П)</t>
  </si>
  <si>
    <t>ПРОБЛЕМЫ ТЕОРИИ И ПРАКТИКИ АДМИНИСТРАТИВНОЙ ОТВЕТСТВЕННОСТИ</t>
  </si>
  <si>
    <t>Россинский Б.В., Попов Л.Л., Сладкова А.В. и др.</t>
  </si>
  <si>
    <t>978-5-00156-001-2</t>
  </si>
  <si>
    <t>745620.02.01</t>
  </si>
  <si>
    <t>Проблемы теории государства и права: Уч. / Е.Г.Лукьянова-М.:Юр.Норма, НИЦ ИНФРА-М,2023.-296 с.(П)</t>
  </si>
  <si>
    <t>ПРОБЛЕМЫ ТЕОРИИ ГОСУДАРСТВА И ПРАВА</t>
  </si>
  <si>
    <t>Лукьянова Е.Г.</t>
  </si>
  <si>
    <t>978-5-00156-099-9</t>
  </si>
  <si>
    <t>40.03.01, 40.04.01, 40.06.01</t>
  </si>
  <si>
    <t>734796.06.01</t>
  </si>
  <si>
    <t>Проблемы теории государства и права: Уч. / Н.А.Власенко - М.:Юр.Норма, НИЦ ИНФРА-М,2025 - 544 с.(П)</t>
  </si>
  <si>
    <t>Власенко Н.А.</t>
  </si>
  <si>
    <t>978-5-00156-067-8</t>
  </si>
  <si>
    <t>753307.03.01</t>
  </si>
  <si>
    <t>Проблемы участия юр. лиц в гражданском обороте: Уч.пос. / А.В.Качалова-М.:Юр.Норма, НИЦ ИНФРА-М,2025-224 с.(П)</t>
  </si>
  <si>
    <t>ПРОБЛЕМЫ УЧАСТИЯ ЮРИДИЧЕСКИХ ЛИЦ В ГРАЖДАНСКОМ ОБОРОТЕ</t>
  </si>
  <si>
    <t>Качалова А.В., Сойфер Т.В.</t>
  </si>
  <si>
    <t>978-5-00156-154-5</t>
  </si>
  <si>
    <t>123550.05.01</t>
  </si>
  <si>
    <t>Прогнозирование долгоср. тенденц. в разв. мир. хоз.: Уч.пос./В.Г.Клинов -М:Магистр, ИНФРА-М,2019-142с(О)</t>
  </si>
  <si>
    <t>ПРОГНОЗИРОВАНИЕ ДОЛГОСРОЧНЫХ ТЕНДЕНЦИЙ В РАЗВИТИИ МИРОВОГО ХОЗЯЙСТВА</t>
  </si>
  <si>
    <t>Клинов В. Г.</t>
  </si>
  <si>
    <t>978-5-9776-0131-3</t>
  </si>
  <si>
    <t>38.03.01, 38.03.02, 38.03.04, 38.03.06, 38.04.01, 38.04.02, 38.04.04, 38.04.06, 38.05.01, 41.03.05, 44.03.05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</si>
  <si>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"Мировая экономика"</t>
  </si>
  <si>
    <t>766546.05.01</t>
  </si>
  <si>
    <t>Прогнозирование долгосроч. тенденций развития мир. хоз.: Уч.пос. / В.Клинов - М.:Магистр, НИЦ ИНФРА-М,2025 - 216 с.(П)</t>
  </si>
  <si>
    <t>ПРОГНОЗИРОВАНИЕ ДОЛГОСРОЧНЫХ ТЕНДЕНЦИЙ РАЗВИТИЯ МИРОВОГО ХОЗЯЙСТВА</t>
  </si>
  <si>
    <t>Клинов В.Г., Сидоров А.А., Сидорова Е.А.</t>
  </si>
  <si>
    <t>978-5-9776-0537-3</t>
  </si>
  <si>
    <t>38.03.01, 38.04.01, 38.06.01, 38.07.02</t>
  </si>
  <si>
    <t>021900.26.01</t>
  </si>
  <si>
    <t>Прогнозирование и планирование в усл. рынка: Уч.пос. / Л.Е.Басовский-М.:НИЦ ИНФРА-М,2024-260с(ВО)(П)</t>
  </si>
  <si>
    <t>ПРОГНОЗИРОВАНИЕ И ПЛАНИРОВАНИЕ В УСЛОВИЯХ РЫНКА</t>
  </si>
  <si>
    <t>978-5-16-004198-8</t>
  </si>
  <si>
    <t>796951.01.01</t>
  </si>
  <si>
    <t>Программа прикладного политического исслед.: Уч.пос. / Е.В.Бродовская-М.:НИЦ ИНФРА-М,2024.-188 с.(ВО)(п)</t>
  </si>
  <si>
    <t>ПРОГРАММА ПРИКЛАДНОГО ПОЛИТИЧЕСКОГО ИССЛЕДОВАНИЯ</t>
  </si>
  <si>
    <t>978-5-16-018345-9</t>
  </si>
  <si>
    <t>41.03.01, 41.03.02, 41.03.04, 41.03.05, 41.04.04</t>
  </si>
  <si>
    <t>694403.03.01</t>
  </si>
  <si>
    <t>Программирование в САПР...: Уч.пос. / В.Ф.Лянг - Москва:НИЦ ИНФРА-М,2023 - 249 с.(П)</t>
  </si>
  <si>
    <t>ПРОГРАММИРОВАНИЕ В САПР: ПРОСТРАНСТВЕННОЕ МОДЕЛИРОВАНИЕ КОЛОННОГО АППАРАТА В СРЕДЕ AUTODESK INVENTOR</t>
  </si>
  <si>
    <t>Лянг В.Ф.</t>
  </si>
  <si>
    <t>978-5-16-014573-0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</si>
  <si>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3 от 17.03.2021)</t>
  </si>
  <si>
    <t>694402.01.01</t>
  </si>
  <si>
    <t>Программирование в САПР: Уч.пос. / В.Ф.Лянг-М.:НИЦ ИНФРА-М,2022.-476 с.(П)</t>
  </si>
  <si>
    <t>ПРОГРАММИРОВАНИЕ В САПР: ПРОСТРАНСТВЕННОЕ МОДЕЛИРОВАНИЕ АППАРАТА ВОЗДУШНОГО ОХЛАЖДЕНИЯ В СРЕДЕ AUTODESK INVENTOR</t>
  </si>
  <si>
    <t>978-5-16-014572-3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</si>
  <si>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3 от 09.03.2022)</t>
  </si>
  <si>
    <t>438500.10.01</t>
  </si>
  <si>
    <t>Программирование в среде Lazarus для шк.и студ.: Уч.пос. /С.Р.Гуриков-М.:Форум,НИЦ ИНФРА-М,2025-336с(П)</t>
  </si>
  <si>
    <t>ПРОГРАММИРОВАНИЕ В СРЕДЕ LAZARUS ДЛЯ ШКОЛЬНИКОВ И СТУДЕНТОВ</t>
  </si>
  <si>
    <t>978-5-00091-137-2</t>
  </si>
  <si>
    <t>09.03.01, 09.03.02, 09.03.03, 09.03.04, 09.04.02, 09.05.01, 10.03.01, 10.05.01, 10.05.02, 10.05.03, 10.05.04, 10.05.05, 10.05.07, 27.03.04</t>
  </si>
  <si>
    <t>Рекомендовано в качестве учебного пособия для студентов высших учебных заведений, обучающихся по специальности 09.03.01 «Информатика и вычислительная техника»</t>
  </si>
  <si>
    <t>683097.06.01</t>
  </si>
  <si>
    <t>Программирование в среде Lazarus: Уч.пос. / С.Р.Гуриков - М.:Форум, НИЦ ИНФРА-М,2025. - 336 с.(СПО)(П)</t>
  </si>
  <si>
    <t>ПРОГРАММИРОВАНИЕ В СРЕДЕ LAZARUS</t>
  </si>
  <si>
    <t>978-5-00091-555-4</t>
  </si>
  <si>
    <t>637286.13.01</t>
  </si>
  <si>
    <t>Программирование графики на С++. Теор...: Уч.пос./В.И.Корнеев -М.:ИД ФОРУМ,НИЦ ИНФРА-М,2023-517с(ВО)</t>
  </si>
  <si>
    <t>ПРОГРАММИРОВАНИЕ ГРАФИКИ НА С++. ТЕОРИЯ И ПРИМЕРЫ</t>
  </si>
  <si>
    <t>978-5-16-017914-8</t>
  </si>
  <si>
    <t>01.03.02, 01.03.04, 02.03.02, 02.03.03, 03.03.02, 04.03.02, 09.03.04, 09.04.04</t>
  </si>
  <si>
    <t>Рекомендовано федеральным государственным автономным образовательным учреждением высшего образования «Национальный исследовательский университет "Московский институт электронной техники"» в качестве учебного пособия для студентов, обучающихся по направлению подготовки 09.04.04 «Программная инженерия» и группам направлений 11.03.04 «Электроника и наноэлектроника» и 11.03.02 «Инфокоммуникационные технологии и системы связи»</t>
  </si>
  <si>
    <t>432450.07.01</t>
  </si>
  <si>
    <t>Программирование и основы алгоритмизации..: Уч.пос. / А.В.Затонский - 2 изд. - РИОР:ИНФРА-М,2024-167с.(п)</t>
  </si>
  <si>
    <t>ПРОГРАММИРОВАНИЕ И ОСНОВЫ АЛГОРИТМИЗАЦИИ. ТЕОРЕТИЧЕСКИЕ ОСНОВЫ И ПРИМЕРЫ РЕАЛИЗАЦИИ ЧИСЛЕННЫХ МЕТОДОВ, ИЗД.2</t>
  </si>
  <si>
    <t>Затонский А.В., Бильфельд Н.В.</t>
  </si>
  <si>
    <t>978-5-369-01195-9</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</si>
  <si>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дипломированных специалисто</t>
  </si>
  <si>
    <t>832957.01.01</t>
  </si>
  <si>
    <t>Программирование на яз. Java. Практич. курс: Уч.пос. / М.В.Бобырь - М.:НИЦ ИНФРА-М,2025. - 189 с.(ВО)(п)</t>
  </si>
  <si>
    <t>ПРОГРАММИРОВАНИЕ НА ЯЗЫКЕ JAVA. ПРАКТИЧЕСКИЙ КУРС</t>
  </si>
  <si>
    <t>Бобырь М.В.</t>
  </si>
  <si>
    <t>978-5-16-020136-8</t>
  </si>
  <si>
    <t>09.03.01, 09.03.02, 09.03.03, 09.04.01, 09.04.02, 09.04.03, 09.05.01</t>
  </si>
  <si>
    <t>719617.02.01</t>
  </si>
  <si>
    <t>Программирование на яз. высокого уровня....: Уч.пос. / Под ред. Гагариной Л.Г.-М.:ИД ФОРУМ, НИЦ ИНФРА-М,2023-496с(П)</t>
  </si>
  <si>
    <t>ПРОГРАММИРОВАНИЕ НА ЯЗЫКЕ ВЫСОКОГО УРОВНЯ. ПРОГРАММИРОВАНИЕ НА ЯЗЫКЕ OBJECT PASCAL</t>
  </si>
  <si>
    <t>Немцова Т.И., Голова С.Ю., Абрамова И.В. и др.</t>
  </si>
  <si>
    <t>978-5-8199-0901-0</t>
  </si>
  <si>
    <t>01.03.02, 02.03.02, 03.03.02, 04.03.02, 05.03.04, 09.03.01, 09.03.02, 09.03.03, 09.03.04, 11.03.02, 22.03.01, 38.03.05, 38.04.05, 45.03.04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</si>
  <si>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09.03.00 «Информатика и вычислительная техника» (квалификация (степень) «бакалавр») (протокол № 12 от 24.06.2019)</t>
  </si>
  <si>
    <t>101650.16.01</t>
  </si>
  <si>
    <t>Программирование на яз.высокого уров.: Уч.пос./Т.И.Немцова -М.:ИД ФОРУМ,НИЦ ИНФРА-М,2023-496c(ПО)(п)</t>
  </si>
  <si>
    <t>Немцова Т. И., Голова С. Ю., Абрамова И. В., Гагарина Л. Г.</t>
  </si>
  <si>
    <t>978-5-8199-0753-5</t>
  </si>
  <si>
    <t>09.02.03, 09.02.05</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</si>
  <si>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</si>
  <si>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092600.13.01</t>
  </si>
  <si>
    <t>Программирование на языках высокого уровня: Уч.пос. / О.Л.Голицына-М.:Форум,2024.-496 с.(СПО)(п)</t>
  </si>
  <si>
    <t>ПРОГРАММИРОВАНИЕ НА ЯЗЫКАХ ВЫСОКОГО УРОВНЯ</t>
  </si>
  <si>
    <t>Голицына О. Л., Попов И. И.</t>
  </si>
  <si>
    <t>978-5-91134-209-8</t>
  </si>
  <si>
    <t>09.02.01, 09.02.02, 09.02.03, 09.02.04, 09.02.05, 10.02.01, 10.02.02, 10.02.03</t>
  </si>
  <si>
    <t>355100.09.01</t>
  </si>
  <si>
    <t>Программирование на языке Си: Уч.пос. / А.В.Кузин - М.:Форум, НИЦ ИНФРА-М,2024 - 144 с.(ВО)(О)</t>
  </si>
  <si>
    <t>ПРОГРАММИРОВАНИЕ НА ЯЗЫКЕ СИ</t>
  </si>
  <si>
    <t>978-5-00091-066-5</t>
  </si>
  <si>
    <t>01.03.02, 01.03.04, 01.04.02, 02.03.01, 02.03.02, 02.04.01, 02.04.02, 03.03.02</t>
  </si>
  <si>
    <t>683098.03.01</t>
  </si>
  <si>
    <t>Программирование на языке Си: Уч.пос. / А.В.Кузин-М.:Форум, НИЦ ИНФРА-М,2024.-143 с.(СПО)(о)</t>
  </si>
  <si>
    <t>978-5-00091-556-1</t>
  </si>
  <si>
    <t>09.02.01, 09.02.02, 09.02.03, 09.02.04, 09.02.05, 09.02.06, 09.02.07, 10.02.01, 10.02.02, 10.02.03, 10.02.04, 10.02.05, 11.02.17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</si>
  <si>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14 от 30.09.2019)</t>
  </si>
  <si>
    <t>165400.12.01</t>
  </si>
  <si>
    <t>Программирование на языке...: Уч.пос. / Под ред. Гагариной Л.Г.-М.:ИД Форум, НИЦ ИНФРА-М,2024.-512 с.(П)</t>
  </si>
  <si>
    <t>ПРОГРАММИРОВАНИЕ НА ЯЗЫКЕ ВЫСОКОГО УРОВНЯ. ПРОГРАММИРОВАНИЕ НА ЯЗЫКЕ С++</t>
  </si>
  <si>
    <t>Немцова Т.И., Голова С.Ю., Терентьев А.И. и др.</t>
  </si>
  <si>
    <t>978-5-8199-0699-6</t>
  </si>
  <si>
    <t>09.02.03, 09.02.05, 09.02.07</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</si>
  <si>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обучающихся по направлениям подготовки 09.03.01 «Информатика и вычислительная техника», 09.03.03 «Прикладная информатика», 09.03.04 «Программная инженерия»</t>
  </si>
  <si>
    <t>711164.08.01</t>
  </si>
  <si>
    <t>Программируемые контроллеры в сис. промыш. автоматизации: Уч. / О.В.Шишов - М.:НИЦ ИНФРА-М,2025 - 365 с.(СПО)(П)</t>
  </si>
  <si>
    <t>ПРОГРАММИРУЕМЫЕ КОНТРОЛЛЕРЫ В СИСТЕМАХ ПРОМЫШЛЕННОЙ АВТОМАТИЗАЦИИ</t>
  </si>
  <si>
    <t>Шишов О.В.</t>
  </si>
  <si>
    <t>978-5-16-015321-6</t>
  </si>
  <si>
    <t>11.02.03, 11.02.06, 11.02.14, 11.02.15, 11.02.16, 11.02.17, 15.02.18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</si>
  <si>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13 от 16.09.2019)</t>
  </si>
  <si>
    <t>391600.10.01</t>
  </si>
  <si>
    <t>Программируемые контроллеры в сист. промышл...: Уч. / О.В.Шишов-М.:НИЦ ИНФРА-М,2024.-365с(ВО)(п)</t>
  </si>
  <si>
    <t>978-5-16-019101-0</t>
  </si>
  <si>
    <t>11.03.04</t>
  </si>
  <si>
    <t>Рекомендовано Федеральным государственным бюджетным образовательным учреждением высшего образования «Московский государственный технологический университет «СТАНКИН» в качестве учебника для студентов высших учебных заведений, обучающихся по направлению подготовки 11.03.04 «Электроника и наноэлектроника» (квалификация (степень) «бакалавр»)</t>
  </si>
  <si>
    <t>815045.01.01</t>
  </si>
  <si>
    <t>Программируемые логич. интеграл. схемы: Уч.пос. / Н.Ю.Сиротинина - М.:НИЦ ИНФРА-М, СФУ,2024. - 224с(ВО)(п)</t>
  </si>
  <si>
    <t>ПРОГРАММИРУЕМЫЕ ЛОГИЧЕCКИЕ ИНТЕГРАЛЬНЫЕ СХЕМЫ</t>
  </si>
  <si>
    <t>Сиротинина Н.Ю., Непомнящий О.В., Постников А.И. и др.</t>
  </si>
  <si>
    <t>978-5-16-019188-1</t>
  </si>
  <si>
    <t>803205.01.01</t>
  </si>
  <si>
    <t>Программируемые логические контроллеры: Уч. / О.В.Шишов - М.:НИЦ ИНФРА-М,2024. - 461 с.(ВО)(п)</t>
  </si>
  <si>
    <t>ПРОГРАММИРУЕМЫЕ ЛОГИЧЕСКИЕ КОНТРОЛЛЕРЫ</t>
  </si>
  <si>
    <t>978-5-16-018581-1</t>
  </si>
  <si>
    <t>11.05.01, 12.03.02, 12.04.01, 28.04.01</t>
  </si>
  <si>
    <t>653848.03.01</t>
  </si>
  <si>
    <t>Программная инженерия информ.- упр. сис. в свете...: Уч.пос. / В.М.Трояновский-М.:ИД ФОРУМ,2024-325с.(п)</t>
  </si>
  <si>
    <t>ПРОГРАММНАЯ ИНЖЕНЕРИЯ ИНФОРМАЦИОННО-УПРАВЛЯЮЩИХ СИСТЕМ В СВЕТЕ ПРИКЛАДНОЙ ТЕОРИИ СЛУЧАЙНЫХ ПРОЦЕССОВ</t>
  </si>
  <si>
    <t>Трояновский В.М.</t>
  </si>
  <si>
    <t>978-5-8199-0824-2</t>
  </si>
  <si>
    <t>09.04.01, 09.04.02, 09.04.03, 09.04.04, 11.04.01, 11.04.02, 11.04.03, 11.04.04, 15.04.04, 27.04.02, 27.04.03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</si>
  <si>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09.04.04 «Программная инженерия», 11.04.01 «Радиотехника», 27.04.02 «Управление качеством» (квалификация (степень) «магистр»)</t>
  </si>
  <si>
    <t>683100.06.01</t>
  </si>
  <si>
    <t>Программно-аппарат.защита инфор.: Уч.пос. / П.Б.Хорев, - 2 изд.,-М.:Форум, НИЦ ИНФРА-М,2024-352с(П)</t>
  </si>
  <si>
    <t>ПРОГРАММНО-АППАРАТНАЯ ЗАЩИТА ИНФОРМАЦИИ, ИЗД.2</t>
  </si>
  <si>
    <t>978-5-00091-557-8</t>
  </si>
  <si>
    <t>09.01.05, 09.02.01, 09.02.02, 09.02.03, 09.02.04, 09.02.05, 09.02.06, 09.02.07, 10.02.01, 10.02.02, 10.02.03, 10.02.04, 10.02.05, 11.02.15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</si>
  <si>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t>
  </si>
  <si>
    <t>112450.14.01</t>
  </si>
  <si>
    <t>Программно-аппаратная защита информ.: Уч.пос. / П.Б.Хорев, - 3 изд. - М.:НИЦ ИНФРА-М,2025. - 327 с.(ВО)(П)</t>
  </si>
  <si>
    <t>ПРОГРАММНО-АППАРАТНАЯ ЗАЩИТА ИНФОРМАЦИИ, ИЗД.3</t>
  </si>
  <si>
    <t>978-5-16-015471-8</t>
  </si>
  <si>
    <t>09.03.01, 09.03.03, 09.04.03, 10.03.01, 10.04.01, 10.05.01</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</si>
  <si>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«Информационная безопасность»</t>
  </si>
  <si>
    <t>112450.10.01</t>
  </si>
  <si>
    <t>Программно-аппаратная защита информ.: Уч.пос. / П.Б.Хорев-2 изд., испр. и доп.-М.:Форум, НИЦ ИНФРА-М,2019-352с(ВО)</t>
  </si>
  <si>
    <t>978-5-00091-709-1</t>
  </si>
  <si>
    <t>694507.05.01</t>
  </si>
  <si>
    <t>Программное обесп. комп.сетей и web-серверов: Уч.пос. / Г.А.Лисьев -М.:НИЦ ИНФРА-М,2023-145с(СПО)(П)</t>
  </si>
  <si>
    <t>ПРОГРАММНОЕ ОБЕСПЕЧЕНИЕ КОМПЬЮТЕРНЫХ СЕТЕЙ И WEB-СЕРВЕРОВ</t>
  </si>
  <si>
    <t>Лисьев Г.А., Романов П.Ю., Аскерко Ю.И.</t>
  </si>
  <si>
    <t>978-5-16-014514-3</t>
  </si>
  <si>
    <t>09.02.01, 09.02.02, 09.02.03, 09.02.04, 09.02.05, 09.02.06, 09.02.07, 11.02.15, 11.02.16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</si>
  <si>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и 44.02.00 «Образование и педагогические науки»</t>
  </si>
  <si>
    <t>665679.06.01</t>
  </si>
  <si>
    <t>Программное обесп.компьютерных сетей и web-серверов: Уч.пос. /Г.А.Лисьев М.:НИЦ ИНФРА-М,2024-145с(П)</t>
  </si>
  <si>
    <t>978-5-16-013565-6</t>
  </si>
  <si>
    <t>09.03.01, 09.03.02, 09.03.03, 09.03.04, 10.03.01, 10.05.01, 10.05.02, 10.05.03, 10.05.04, 10.05.05, 10.05.07, 44.03.04, 44.03.05</t>
  </si>
  <si>
    <t>Рекомендовано Учебно-методическим советом высшего образования в качестве учебного пособия  для студентов высших учебных заведений, обучающихся по направлениям подготовки 44.03.04 «Профессиональное обучение», 09.03.01 «Информатика и вычислительная техника», 09.03.03 «Прикладная информатика» (квалификация (степень) «бакалавр»)</t>
  </si>
  <si>
    <t>156650.19.01</t>
  </si>
  <si>
    <t>Программное обеспеч. компьютерных сетей: Уч.пос. / О.В.Исаченко - 2 изд. - М.:НИЦ ИНФРА-М,2024-158с.(О)</t>
  </si>
  <si>
    <t>ПРОГРАММНОЕ ОБЕСПЕЧЕНИЕ КОМПЬЮТЕРНЫХ СЕТЕЙ, ИЗД.2</t>
  </si>
  <si>
    <t>978-5-16-015447-3</t>
  </si>
  <si>
    <t>09.02.01, 09.02.02, 09.02.03, 09.02.04, 09.02.05, 09.02.06, 09.02.07, 10.02.03, 11.02.15, 11.02.16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</si>
  <si>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(протокол № 16 от 28.10.2019)</t>
  </si>
  <si>
    <t>156650.11.01</t>
  </si>
  <si>
    <t>Программное обеспечение компьютерных сетей: Уч.пос. / О.В.Исаченко-М.:НИЦ ИНФРА-М,2019.-117с(СПО)(о)</t>
  </si>
  <si>
    <t>ПРОГРАММНОЕ ОБЕСПЕЧЕНИЕ КОМПЬЮТЕРНЫХ СЕТЕЙ</t>
  </si>
  <si>
    <t>978-5-16-004858-1</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</si>
  <si>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t>
  </si>
  <si>
    <t>069600.13.01</t>
  </si>
  <si>
    <t>Программное обеспечение: Уч. пос. / О.Л.Голицына - 4 изд. - М.: Форум: НИЦ Инфра-М, 2025 - 448 с.(ПО) (п)</t>
  </si>
  <si>
    <t>ПРОГРАММНОЕ ОБЕСПЕЧЕНИЕ, ИЗД.4</t>
  </si>
  <si>
    <t>Голицына О. Л., Партыка Т. Л., Попов И. И.</t>
  </si>
  <si>
    <t>978-5-91134-711-6</t>
  </si>
  <si>
    <t>08.02.03, 09.02.01, 09.02.02, 09.02.03, 09.02.04, 09.02.05, 09.02.06, 09.02.07, 11.02.15, 11.02.16, 18.02.12</t>
  </si>
  <si>
    <t>Рекомендовано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</si>
  <si>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189900.05.01</t>
  </si>
  <si>
    <t>Программный бюджет: Уч. пос. / Под ред. М.П. Афанасьева - М.: Магистр:  НИЦ Инфра-М, 2022 - 384 с. (п)</t>
  </si>
  <si>
    <t>ПРОГРАММНЫЙ БЮДЖЕТ</t>
  </si>
  <si>
    <t>Афанасьев М. П., Беленчук А. А., Березкин Д. И., Афанасьев М. П.</t>
  </si>
  <si>
    <t>978-5-9776-0231-0</t>
  </si>
  <si>
    <t>185400.09.01</t>
  </si>
  <si>
    <t>Проектирование автоматизир. сис. манипулир..: Уч. пос. / А.А.Иванов - М.:Форум,2025 - 352 с.(ВО) (п)</t>
  </si>
  <si>
    <t>ПРОЕКТИРОВАНИЕ АВТОМАТИЗИРОВАННЫХ СИСТЕМ МАНИПУЛИРОВАНИЯ ОБЪЕКТАМИ ОБРАБОТКИ И СБОРКИ</t>
  </si>
  <si>
    <t>978-5-91134-642-3</t>
  </si>
  <si>
    <t>Доп. УМО по образованию в обл. автоматизир. машиностроения (УМО АМ) в качестве уч. пос. для студ. вузов, обуч. по напр. подготовки дипломир. специалистов Автоматизир. технологии и производства, Конструкт.-технологич. обеспечение машиностроит. произ-в</t>
  </si>
  <si>
    <t>463450.09.01</t>
  </si>
  <si>
    <t>Проектирование автоматизир. сис. производст.: Уч.пос. / В.Л.Конюх-М.:КУРС,НИЦ ИНФРА-М,2023 - 312с(П)</t>
  </si>
  <si>
    <t>ПРОЕКТИРОВАНИЕ АВТОМАТИЗИРОВАННЫХ СИСТЕМ ПРОИЗВОДСТВА</t>
  </si>
  <si>
    <t>Конюх В. Л.</t>
  </si>
  <si>
    <t>978-5-905554-53-7</t>
  </si>
  <si>
    <t>15.02.16, 15.03.04, 15.04.04, 18.02.05, 20.02.02, 29.02.11, 43.01.09</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</si>
  <si>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«Автоматизированные технологии и произ</t>
  </si>
  <si>
    <t>233300.12.01</t>
  </si>
  <si>
    <t>Проектирование аналог. и цифр. устройств: Уч.пос. / М.В.Бобырь - 2 изд.-М.:НИЦ ИНФРА-М,2024.-245 с.(ВО)(П)</t>
  </si>
  <si>
    <t>ПРОЕКТИРОВАНИЕ АНАЛОГОВЫХ И ЦИФРОВЫХ УСТРОЙСТВ, ИЗД.2</t>
  </si>
  <si>
    <t>Бобырь М.В., Титов В.С., Иванов В.И. и др.</t>
  </si>
  <si>
    <t>978-5-16-015937-9</t>
  </si>
  <si>
    <t>09.03.01, 09.04.01, 11.03.01</t>
  </si>
  <si>
    <t>Рекомендовано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t>
  </si>
  <si>
    <t>233300.13.01</t>
  </si>
  <si>
    <t>Проектирование аналог. и цифр. устройств: Уч.пос. / М.В.Бобырь - 3 изд.-М.:НИЦ ИНФРА-М,2025.-281 с.(ВО)(П)</t>
  </si>
  <si>
    <t>ПРОЕКТИРОВАНИЕ АНАЛОГОВЫХ И ЦИФРОВЫХ УСТРОЙСТВ, ИЗД.3</t>
  </si>
  <si>
    <t>978-5-16-019932-0</t>
  </si>
  <si>
    <t>233300.06.01</t>
  </si>
  <si>
    <t>Проектирование аналоговых и цифр. устройств: Уч.пос. / В.С.Титов.-М.:НИЦ ИНФРА-М,2019.-143 с.(ВО)(О)</t>
  </si>
  <si>
    <t>ПРОЕКТИРОВАНИЕ АНАЛОГОВЫХ И ЦИФРОВЫХ УСТРОЙСТВ</t>
  </si>
  <si>
    <t>Титов В. С., Иванов В. И., Бобырь М. В.</t>
  </si>
  <si>
    <t>978-5-16-009101-3</t>
  </si>
  <si>
    <t>Рекомендовано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 и другим экономическим специальностям</t>
  </si>
  <si>
    <t>652160.04.01</t>
  </si>
  <si>
    <t>Проектирование и 3D модел. в средах CATIA V5, ANSYS и Dymola 7.3: Уч.пос./ И.И.Косенко -М.:НИЦ ИНФРА-М,2023-183с.(ВО)(П)</t>
  </si>
  <si>
    <t>ПРОЕКТИРОВАНИЕ И 3D МОДЕЛИРОВАНИЕ В СРЕДАХ CATIA V5, ANSYS И DYMOLA 7.3</t>
  </si>
  <si>
    <t>Косенко И.И., Кузнецова Л.В., Николаев А.В. и др.</t>
  </si>
  <si>
    <t>978-5-16-012754-5</t>
  </si>
  <si>
    <t>15.03.01, 15.03.02, 15.03.03, 15.03.04, 15.03.05, 23.03.03</t>
  </si>
  <si>
    <t>Рекомендовано в качестве учебного пособия для студентов высших учебных заведений, обучающихся по направлениям подготовки укрупненной группы специальностей 15.00.00 «Машиностроение» (квалификация (степень) «бакалавр», «специалист»)</t>
  </si>
  <si>
    <t>720385.05.01</t>
  </si>
  <si>
    <t>Проектирование и архитектура програм. сис.: Уч.пос. / Л.Г.Гагарина - 2 изд. - М.:НИЦ ИНФРА-М,2025. - 334 с.(п)</t>
  </si>
  <si>
    <t>ПРОЕКТИРОВАНИЕ И АРХИТЕКТУРА ПРОГРАММНЫХ СИСТЕМ, ИЗД.2</t>
  </si>
  <si>
    <t>978-5-16-020565-6</t>
  </si>
  <si>
    <t>241000.06.01</t>
  </si>
  <si>
    <t>Проектирование и архитектура програм. сис.: Уч.пос. / Л.Г.Гагарина - 2 изд.-М.:НИЦ ИНФРА-М,2025.-334 с.(ВО)(п)</t>
  </si>
  <si>
    <t>978-5-16-016016-0</t>
  </si>
  <si>
    <t>653735.04.01</t>
  </si>
  <si>
    <t>Проектирование и расчет мультисервис. кабельных сис.: Уч.пос. / Семенов А.Б. - М.:НИЦ ИНФРА-М,2025 - 174 с.(ВО)(п)</t>
  </si>
  <si>
    <t>ПРОЕКТИРОВАНИЕ И РАСЧЕТ МУЛЬТИСЕРВИСНЫХ КАБЕЛЬНЫХ СИСТЕМ</t>
  </si>
  <si>
    <t>Артюшенко В.М., Семенов А.Б., Аббасова Т.С. и др.</t>
  </si>
  <si>
    <t>978-5-16-014173-2</t>
  </si>
  <si>
    <t>09.03.02, 09.03.03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</si>
  <si>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09.03.02 «Информационные системы и технологии», 09.03.03 «Прикладная информатика» (квалификация (степень) «бакалавр») (протокол № 12 от 24.06.2019)</t>
  </si>
  <si>
    <t>248700.06.01</t>
  </si>
  <si>
    <t>Проектирование и расчёт стал.ферм покрытий...: Уч.пос. / Н.Я.Кузин-2изд.-М.:НИЦ ИНФРА-М,2023-288с(П)</t>
  </si>
  <si>
    <t>ПРОЕКТИРОВАНИЕ И РАСЧЁТ СТАЛЬНЫХ ФЕРМ ПОКРЫТИЙ ПРОМЫШЛЕННЫХ ЗДАНИЙ, ИЗД.2</t>
  </si>
  <si>
    <t>Кузин Н.Я.</t>
  </si>
  <si>
    <t>978-5-16-009334-5</t>
  </si>
  <si>
    <t>684896.06.01</t>
  </si>
  <si>
    <t>Проектирование и реализ.баз данных в СУБД MySQL. / С.А.Мартишин-М.:ИД ФОРУМ,НИЦ ИНФРА-М,2023-160(СПО)</t>
  </si>
  <si>
    <t>ПРОЕКТИРОВАНИЕ И РЕАЛИЗАЦИЯ БАЗ ДАННЫХ В СУБД MYSQL С ИСПОЛЬЗОВАНИЕМ MYSQL WORKBENCH</t>
  </si>
  <si>
    <t>978-5-8199-0811-2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</si>
  <si>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t>
  </si>
  <si>
    <t>188850.09.01</t>
  </si>
  <si>
    <t>Проектирование и реализация баз данных в СУБД MySQL...: Уч.пос.: / С.А.Мартишин - М.:ИД Форум, НИЦ ИНФРА-М,2025. - 160 с.(п)</t>
  </si>
  <si>
    <t>978-5-8199-0517-3</t>
  </si>
  <si>
    <t>09.03.01, 09.03.02, 09.04.01, 09.04.02, 27.03.04, 27.04.04</t>
  </si>
  <si>
    <t>452450.05.01</t>
  </si>
  <si>
    <t>Проектирование и ремонт шпиндельных узлов: Уч. пос./П.М.Чернянский - М.: НИЦ ИНФРА-М, 2023-272с.(ВО) (п)</t>
  </si>
  <si>
    <t>ПРОЕКТИРОВАНИЕ И РЕМОНТ ШПИНДЕЛЬНЫХ УЗЛОВ</t>
  </si>
  <si>
    <t>Чернянский П. М., Схиртладзе А. Г.</t>
  </si>
  <si>
    <t>978-5-16-005361-5</t>
  </si>
  <si>
    <t>15.03.01, 15.03.03, 15.03.05, 15.04.05</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</si>
  <si>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t>
  </si>
  <si>
    <t>728181.01.01</t>
  </si>
  <si>
    <t>Проектирование и управ. геолого-развед. раб. на нефть и газ: Уч. / В.Ю.Керимов.-М.:НИЦ ИНФРА-М,2021.-286 с.(ВО)(П)</t>
  </si>
  <si>
    <t>ПРОЕКТИРОВАНИЕ И УПРАВЛЕНИЕ ГЕОЛОГО-РАЗВЕДОЧНЫМИ РАБОТАМИ НА НЕФТЬ И ГАЗ</t>
  </si>
  <si>
    <t>Керимов В.Ю., Косьянов В.А., Мустаев Р.Н.</t>
  </si>
  <si>
    <t>978-5-16-016416-8</t>
  </si>
  <si>
    <t>21.04.01, 21.05.02</t>
  </si>
  <si>
    <t>Рекомендовано Ученым советом ФГБОУ ВО «Российский государственный геологоразведочный университет имени Серго Орджоникидзе» (МГРИ) для обучающихся по направлениям 21.05.02 «Прикладная геология» (специалитет) и 21.04.01 «Нефтегазовое дело» (магистратура)</t>
  </si>
  <si>
    <t>432950.11.01</t>
  </si>
  <si>
    <t>Проектирование изделий легкой промышл. в САПР..: Уч. пос. / Г.И.Сурикова - ФОРУМ:ИНФРА-М,2025 - 336 с.(ВО) (п)</t>
  </si>
  <si>
    <t>ПРОЕКТИРОВАНИЕ ИЗДЕЛИЙ ЛЕГКОЙ ПРОМЫШЛЕННОСТИ В САПР (САПР ОДЕЖДЫ)</t>
  </si>
  <si>
    <t>Сурикова Г. И., Сурикова О. В., Кузьмичев В. Е., Гниденко А. В.</t>
  </si>
  <si>
    <t>978-5-8199-0546-3</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</si>
  <si>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по дисциплинам «САПР одежды», «Конструирование одежды», «Конструкторско-технологическая подг</t>
  </si>
  <si>
    <t>684897.01.01</t>
  </si>
  <si>
    <t>Проектирование изделий легкой промышленности в САПР (САПР одежды):Уч.пос. / Г.И.Сурикова и др.-М.:ИД ФОРУМ, НИЦ ИНФРА-М,2018.-336 с..-(Среднее</t>
  </si>
  <si>
    <t>978-5-8199-0813-6</t>
  </si>
  <si>
    <t>732747.03.01</t>
  </si>
  <si>
    <t>Проектирование инновац. технологий и моделир...: Уч.мет.пос. / В.П.Сергеева-М.:НИЦ ИНФРА-М,2023.-240с(П)</t>
  </si>
  <si>
    <t>ПРОЕКТИРОВАНИЕ ИННОВАЦИОННЫХ ТЕХНОЛОГИЙ И МОДЕЛИРОВАНИЕ В ОБРАЗОВАТЕЛЬНОМ ПРОЦЕССЕ ВУЗА</t>
  </si>
  <si>
    <t>Сергеева В.П.</t>
  </si>
  <si>
    <t>978-5-16-016179-2</t>
  </si>
  <si>
    <t>44.04.01, 44.04.02, 44.04.03, 44.04.04, 44.05.01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</si>
  <si>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44.04.00 «Образование и педагогические науки» (квалификация (степень) «магистр») (протокол № 5 от 16.03.2020)</t>
  </si>
  <si>
    <t>162700.10.01</t>
  </si>
  <si>
    <t>Проектирование информ. систем: Уч.пос. / В.В.Коваленко - 2 изд. - М.:Форум, НИЦ ИНФРА-М,2025 - 357 с.(П)</t>
  </si>
  <si>
    <t>ПРОЕКТИРОВАНИЕ ИНФОРМАЦИОННЫХ СИСТЕМ, ИЗД.2</t>
  </si>
  <si>
    <t>Коваленко В.В.</t>
  </si>
  <si>
    <t>978-5-00091-783-1</t>
  </si>
  <si>
    <t>09.03.02, 09.03.03, 09.04.02</t>
  </si>
  <si>
    <t>Рекомендовано Учебно-методическим объединением учебных заведений Российской Федерации по образованию в области прикладной информатики в качестве учебного пособия для студентов (бакалавров и специалистов) и магистров высших учебных заведений, обучающихся по направлению 09.03.03 «Прикладная информатика» (профиль «Прикладная информатика в экономике»)</t>
  </si>
  <si>
    <t>162700.05.01</t>
  </si>
  <si>
    <t>Проектирование информ.систем: Уч.пос. / В.В.Коваленко-М.:Форум, НИЦ ИНФРА-М,2018-320с(ВО)(П)</t>
  </si>
  <si>
    <t>ПРОЕКТИРОВАНИЕ ИНФОРМАЦИОННЫХ СИСТЕМ</t>
  </si>
  <si>
    <t>978-5-00091-628-5</t>
  </si>
  <si>
    <t>Рекомендовано Учебно-методическим объединением учебных заведений Российской Федерации по образованию в области прикладной информатики в качестве учебного пособия для студентов (бакалавров и специалистов) высших учебных заведений, обучающихся по направлению 09.03.03 «Прикладная информатика»</t>
  </si>
  <si>
    <t>140800.10.01</t>
  </si>
  <si>
    <t>Проектирование информац. систем: Уч. пос./ Н.Н.Заботина-М:НИЦ ИНФРА-М,2024-331с-(ВО:Бакалавриат) (п)</t>
  </si>
  <si>
    <t>978-5-16-004509-2</t>
  </si>
  <si>
    <t>09.03.02, 09.03.03, 09.04.02, 09.04.03, 38.03.02, 38.04.02, 41.03.06</t>
  </si>
  <si>
    <t>Рекомендовано Учебно-методическим объединением по образованию в области прикладной информатики в качестве уч. пос. для студентов вузов, обучающихся по спец. 09.03.03 «Прикладная информатика (по областям)» и другим экономическим специальностям</t>
  </si>
  <si>
    <t>774196.04.01</t>
  </si>
  <si>
    <t>Проектирование информац.-библиотечных сис.: Уч. / М.А.Рахматуллаев - М.:НИЦ ИНФРА-М,2025. - 287 с.(ВО)(п)</t>
  </si>
  <si>
    <t>ПРОЕКТИРОВАНИЕ ИНФОРМАЦИОННО-БИБЛИОТЕЧНЫХ СИСТЕМ</t>
  </si>
  <si>
    <t>Рахматуллаев М.А.</t>
  </si>
  <si>
    <t>978-5-16-018041-0</t>
  </si>
  <si>
    <t>Ташкентский университет информационных технологий</t>
  </si>
  <si>
    <t>АКАДЕМУС-2022, Победитель, II место</t>
  </si>
  <si>
    <t>063750.12.01</t>
  </si>
  <si>
    <t>Проектирование конструкций шв. изделий...: Уч.пос. / Н.И. Смирнова - М.:ИД ФОРУМ,ИНФРА-М,2025-432с(п)</t>
  </si>
  <si>
    <t>ПРОЕКТИРОВАНИЕ КОНСТРУКЦИЙ ШВЕЙНЫХ ИЗДЕЛИЙ ДЛЯ ИНДИВИДУАЛЬНОГО ПОТРЕБИТЕЛЯ</t>
  </si>
  <si>
    <t>Смирнова Н. И., Конопальцева Н. М.</t>
  </si>
  <si>
    <t>5-8199-0187-8</t>
  </si>
  <si>
    <t>29.03.05, 29.04.01</t>
  </si>
  <si>
    <t>687944.06.01</t>
  </si>
  <si>
    <t>Проектирование конструкций швейных изделий...: Уч.пос. / Н.И.Смирнова - М.:НИЦ ИНФРА-М,2025 - 430 с.(СПО)</t>
  </si>
  <si>
    <t>Смирнова Н.И., Конопальцева Н.М.</t>
  </si>
  <si>
    <t>978-5-16-014906-6</t>
  </si>
  <si>
    <t>27.02.04, 29.01.04, 29.01.33, 29.02.05, 29.02.10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</si>
  <si>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t>
  </si>
  <si>
    <t>234200.09.01</t>
  </si>
  <si>
    <t>Проектирование костюма: Уч. / Л.А.Сафина. - М.:НИЦ ИНФРА-М,2025. - 239 с.(ВО: Бакалавриат)(п)</t>
  </si>
  <si>
    <t>ПРОЕКТИРОВАНИЕ КОСТЮМА</t>
  </si>
  <si>
    <t>978-5-16-019058-7</t>
  </si>
  <si>
    <t>29.03.02</t>
  </si>
  <si>
    <t>Рекомендовано ГОУ ВПО «Московский государственный текстильный университет имени А.Н. Косыгина» в качестве учебника для студентов образовательных учреждений высшего профессионального образования, обучающихся по специальности 54.03.01 «Дизайн»</t>
  </si>
  <si>
    <t>689702.05.01</t>
  </si>
  <si>
    <t>Проектирование машиностроит. цехов и участков: Уч.пос. / А.Ф.Бойко - М.:НИЦ ИНФРА-М,2025 - 264 с.(СПО)(П)</t>
  </si>
  <si>
    <t>ПРОЕКТИРОВАНИЕ МАШИНОСТРОИТЕЛЬНЫХ ЦЕХОВ И УЧАСТКОВ</t>
  </si>
  <si>
    <t>Бойко А.Ф., Погонин А.А., Афанасьев А.А. и др.</t>
  </si>
  <si>
    <t>978-5-16-014324-8</t>
  </si>
  <si>
    <t>15.01.26, 15.01.27, 15.01.35, 15.01.36, 15.01.38, 15.02.06, 15.02.07, 15.02.16, 15.02.18, 23.02.05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</si>
  <si>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15.02.07 «Автоматизация технологических процессов и производств (по отраслям), 15.02.08 «Технология машиностроения»</t>
  </si>
  <si>
    <t>657320.05.01</t>
  </si>
  <si>
    <t>Проектирование машиностроит. цехов и участков: Уч.пос. / А.Ф.Бойко -М.:НИЦ ИНФРА-М,2024.-264с(ВО)(П)</t>
  </si>
  <si>
    <t>978-5-16-012840-5</t>
  </si>
  <si>
    <t>15.03.01, 15.03.03, 15.03.05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</si>
  <si>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(квалификация (степень) «бакалавр»)</t>
  </si>
  <si>
    <t>377100.04.01</t>
  </si>
  <si>
    <t>Проектирование механизмов и машин: эффективность.: Уч.пос. / Ю.А.Остяков -М.:НИЦ ИНФРА-М,2022-260с.(п)</t>
  </si>
  <si>
    <t>ПРОЕКТИРОВАНИЕ МЕХАНИЗМОВ И МАШИН: ЭФФЕКТИВНОСТЬ, НАДЕЖНОСТЬ И ТЕХНОГЕННАЯ БЕЗОПАСНОСТЬ</t>
  </si>
  <si>
    <t>Остяков Ю.А., Шевченко И.В.</t>
  </si>
  <si>
    <t>978-5-16-011108-7</t>
  </si>
  <si>
    <t>Рекомендовано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</si>
  <si>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121748.11.01</t>
  </si>
  <si>
    <t>Проектирование механич. передач: Уч.пос. / С.А.Чернавский - 7 изд. - М.:НИЦ ИНФРА-М,2025. - 536 с.(ВО)(п)</t>
  </si>
  <si>
    <t>ПРОЕКТИРОВАНИЕ МЕХАНИЧЕСКИХ ПЕРЕДАЧ, ИЗД.7</t>
  </si>
  <si>
    <t>Чернавский С. А., Снесарев Г. А., Козинцов Б. С.</t>
  </si>
  <si>
    <t>978-5-16-004470-5</t>
  </si>
  <si>
    <t>15.03.01, 15.03.05, 15.04.05, 27.03.01</t>
  </si>
  <si>
    <t>Допущено Министерством высшего образования в качестве учебного пособия для студентов высших технических учебных заведений</t>
  </si>
  <si>
    <t>0713</t>
  </si>
  <si>
    <t>308500.03.01</t>
  </si>
  <si>
    <t>Проектирование механосборочных участков и цехов: Уч. / В.А.Горохов - М.:ИНФРА-М, Нов. знание,2022-540 с.(П)</t>
  </si>
  <si>
    <t>ПРОЕКТИРОВАНИЕ МЕХАНОСБОРОЧНЫХ УЧАСТКОВ И ЦЕХОВ</t>
  </si>
  <si>
    <t>Горохов В.А., Беляков Н.В., Схиртладзе А.Г. и др.</t>
  </si>
  <si>
    <t>978-5-16-010300-6</t>
  </si>
  <si>
    <t>15.03.05, 15.04.04</t>
  </si>
  <si>
    <t>346900.08.01</t>
  </si>
  <si>
    <t>Проектирование поиск.-развед.работ..: Уч.пос. / В.Ю.Керимов - М.:НИЦ ИНФРА-М,2025 - 200 с.(ВО:Магистр.)(п)</t>
  </si>
  <si>
    <t>ПРОЕКТИРОВАНИЕ ПОИСКОВО-РАЗВЕДОЧНЫХ РАБОТ НА НЕФТЬ И ГАЗ</t>
  </si>
  <si>
    <t>КеримовВ.Ю., МустаевР.Н., СериковаУ.С.</t>
  </si>
  <si>
    <t>978-5-16-010821-6</t>
  </si>
  <si>
    <t>Рекомендовано в качестве учебного пособия для студентов высших учебных заведений по направлениям подготовки 21.05.02 «Прикладная геология» (специалитет) и 21.04.01 «Нефтегазовое дело» (магистратура)</t>
  </si>
  <si>
    <t>112540.11.01</t>
  </si>
  <si>
    <t>Проектирование предпр. сахарной и крахмало...: Уч. / А.А.Славянски - 2 изд. - М.:НИЦ ИНФРА-М,2025-364с(П)</t>
  </si>
  <si>
    <t>ПРОЕКТИРОВАНИЕ ПРЕДПРИЯТИЙ САХАРНОЙ И КРАХМАЛО-ПАТОЧНОЙ ОТРАСЛЕЙ, ИЗД.2</t>
  </si>
  <si>
    <t>Славянский А.А.</t>
  </si>
  <si>
    <t>978-5-16-015621-7</t>
  </si>
  <si>
    <t>19.03.02, 19.03.04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</si>
  <si>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19.03.02 «Продукты питания из растительного сырья», 19.03.04 «Технология продукции и организация общественного питания» (протокол  № 11 от 10.06.2019)</t>
  </si>
  <si>
    <t>283400.06.01</t>
  </si>
  <si>
    <t>Проектирование систем автоматизир. машиностроения: Уч. / А.А.Иванов - М:Форум:ИНФРА-М,2022 - 320с.(ВО)(П)</t>
  </si>
  <si>
    <t>ПРОЕКТИРОВАНИЕ СИСТЕМ АВТОМАТИЗИРОВАННОГО МАШИНОСТРОЕНИЯ</t>
  </si>
  <si>
    <t>978-5-91134-899-1</t>
  </si>
  <si>
    <t>Допущено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направлениям подготовки «Конструкторско-технологическое об</t>
  </si>
  <si>
    <t>469950.06.01</t>
  </si>
  <si>
    <t>Проектирование скважин на твердые полез..: Уч.пос. / В.В.Нескоромных - 2 изд. - М.:ИНФРА-М;СФУ,2025 - 327 с.(п)</t>
  </si>
  <si>
    <t>ПРОЕКТИРОВАНИЕ СКВАЖИН НА ТВЕРДЫЕ ПОЛЕЗНЫЕ ИСКОПАЕМЫЕ, ИЗД.2</t>
  </si>
  <si>
    <t>978-5-16-009988-0</t>
  </si>
  <si>
    <t>05.03.01, 05.04.01, 21.05.02, 21.05.03, 44.03.05</t>
  </si>
  <si>
    <t>Рекомендовано уполномоченным Министерством образования и науки РФ ФГБОУ ВПО «Национальный минерально-сырьевой университет ”Горный"» в качестве учебного пособия для студентов высших учебных заведений, обучающихся по направлению подготовки 130200 «Техн</t>
  </si>
  <si>
    <t>257000.05.01</t>
  </si>
  <si>
    <t>Проектирование тех. произв. хлопчатобум. пряжи: Уч.пос. /В.О.Симонян - М.: НИЦ ИНФРА-М, 2025 -155с (ВО)</t>
  </si>
  <si>
    <t>ПРОЕКТИРОВАНИЕ ТЕХНОЛОГИИ ПРОИЗВОДСТВА ХЛОПЧАТОБУМАЖНОЙ ПРЯЖИ</t>
  </si>
  <si>
    <t>Симонян В.О., Галкин В.Ф., Тарасов В.Л. и др.</t>
  </si>
  <si>
    <t>978-5-16-020484-0</t>
  </si>
  <si>
    <t>Допущено к изданию редакционно-издательским советом университета в качестве учебного пособия для подготовки бакалавров по направлению 29.03.02 « Технологии и проектирование текстильных изделий</t>
  </si>
  <si>
    <t>659642.02.01</t>
  </si>
  <si>
    <t>Проектирование технологич. схем и оснастки: Уч.пос. / А.А.Погонин - 2 изд.-Москва:НИЦ ИНФРА-М,2023.-337 с.(ВО)(П)</t>
  </si>
  <si>
    <t>ПРОЕКТИРОВАНИЕ ТЕХНОЛОГИЧЕСКИХ СХЕМ И ОСНАСТКИ, ИЗД.2</t>
  </si>
  <si>
    <t>Погонин А.А., Шрубченко И.В., Афанасьев А.А.</t>
  </si>
  <si>
    <t>978-5-16-017027-5</t>
  </si>
  <si>
    <t>РекомендованоУчебно-методическим объединением по образованию в области автоматизированного машиностроения в качестве учебного пособия для студентов высших учебных заведений, обучающихся по специальности «Технология машиностроения» направления подготовки «Конструкторско-технологическое обеспечение машиностроительных производств»</t>
  </si>
  <si>
    <t>823039.01.01</t>
  </si>
  <si>
    <t>Проектирование тонкопленочных  интеграл. схем с..: Уч.пос. / В.И.Крючатов - М.:НИЦ ИНФРА-М,2025. - 184 с.(ВО)(п)</t>
  </si>
  <si>
    <t>ПРОЕКТИРОВАНИЕ ТОНКОПЛЕНОЧНЫХ  ИНТЕГРАЛЬНЫХ СХЕМ С ПОВЫШЕННОЙ НАДЕЖНОСТЬЮ</t>
  </si>
  <si>
    <t>Крючатов В.И.</t>
  </si>
  <si>
    <t>978-5-16-020043-9</t>
  </si>
  <si>
    <t>Казанский национальный исследовательский технический университет им. А.Н. Туполева</t>
  </si>
  <si>
    <t>632116.08.01</t>
  </si>
  <si>
    <t>Проектирование цифровых устройств: Уч. / А.В.Кистрин. - М.:КУРС, НИЦ ИНФРА-М,2025 - 352 с.(СПО)(П)</t>
  </si>
  <si>
    <t>ПРОЕКТИРОВАНИЕ ЦИФРОВЫХ УСТРОЙСТВ</t>
  </si>
  <si>
    <t>Кистрин А.В., Костров Б.В., Никифоров М.Б. и др.</t>
  </si>
  <si>
    <t>978-5-906818-59-1</t>
  </si>
  <si>
    <t>09.02.01, 11.02.16, 12.02.01</t>
  </si>
  <si>
    <t>683101.07.01</t>
  </si>
  <si>
    <t>Проектирование швейных изд. в САПР: Уч. / Л.П.Шершнева - М.:ИД ФОРУМ,НИЦ ИНФРА-М,2025 - 286 с.(СПО)(П)</t>
  </si>
  <si>
    <t>ПРОЕКТИРОВАНИЕ ШВЕЙНЫХ ИЗДЕЛИЙ В САПР</t>
  </si>
  <si>
    <t>Шершнева Л.П., Сунаева С.Г.</t>
  </si>
  <si>
    <t>978-5-8199-0801-3</t>
  </si>
  <si>
    <t>29.01.04, 29.01.33, 29.02.10, 54.01.05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</si>
  <si>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t>
  </si>
  <si>
    <t>381000.06.01</t>
  </si>
  <si>
    <t>Проектирование швейных изделий в САПР: Уч. / Л.П.Шершнева - М.:ИД ФОРУМ, НИЦ ИНФРА-М,2023.-286 с.(П)</t>
  </si>
  <si>
    <t>978-5-8199-0818-1</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</si>
  <si>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направлению подготовки 29.03.05 «Конструирование изделий легкой промышленности» (профиль «Конструирование швейных изделий»)</t>
  </si>
  <si>
    <t>070490.12.01</t>
  </si>
  <si>
    <t>Проектирование швейных предпр.Технол.: Уч.пос. /Т.Ю.Воронкова - М.:ИД ФОРУМ, ИНФРА-М,2025 - 128с.(ВО)</t>
  </si>
  <si>
    <t>ПРОЕКТИРОВАНИЕ ШВЕЙНЫХ ПРЕДПРИЯТИЙ. ТЕХНОЛОГИЧЕСКИЕ ПРОЦЕССЫ ПОШИВА ОДЕЖДЫ НА ПРЕДПРИЯТИЯХ СЕРВИСА</t>
  </si>
  <si>
    <t>Воронкова Т.Ю.</t>
  </si>
  <si>
    <t>978-5-8199-0923-2</t>
  </si>
  <si>
    <t>29.03.01, 29.03.05, 29.04.01</t>
  </si>
  <si>
    <t>Рекомендовано Учебно-методическим объединением учебных заведений Российской Федерации по образованию в области сервиса Минобрнауки России в качестве учебного пособия для студентов высших учебных заведений, обучающихся по направлению подготовки 43.03.01 «Сервис»</t>
  </si>
  <si>
    <t>766462.04.01</t>
  </si>
  <si>
    <t>Проектирование швейных предприятий...: Уч.пос. / Т.Ю.Воронкова - М.:ИД Форум, НИЦ ИНФРА-М,2025 - 128 с.(О)</t>
  </si>
  <si>
    <t>978-5-8199-0924-9</t>
  </si>
  <si>
    <t>29.01.04, 29.01.31, 29.01.33, 29.02.05, 29.02.10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</si>
  <si>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5 от 19.05.2021)</t>
  </si>
  <si>
    <t>667541.04.01</t>
  </si>
  <si>
    <t>Проектирование электроснаб. цехов обогатит. фабрик: Уч.пос. / А.И.Герасимов-М.:НИЦ ИНФРА-М,СФУ,2023-304с(ВО)</t>
  </si>
  <si>
    <t>ПРОЕКТИРОВАНИЕ ЭЛЕКТРОСНАБЖЕНИЯ ЦЕХОВ ОБОГАТИТЕЛЬНЫХ ФАБРИК</t>
  </si>
  <si>
    <t>Герасимов А.И., Кузьмин С.В.</t>
  </si>
  <si>
    <t>978-5-16-019544-5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</si>
  <si>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 (специализация «Электрификация и автоматизация горного производства»)</t>
  </si>
  <si>
    <t>690880.07.01</t>
  </si>
  <si>
    <t>Проектирование, строит. и эксплуатация зданий...: Уч.пос. / В.Н.Алексеенко-М.:НИЦ ИНФРА-М,2024.-226 с(П)</t>
  </si>
  <si>
    <t>ПРОЕКТИРОВАНИЕ, СТРОИТЕЛЬСТВО И ЭКСПЛУАТАЦИЯ ЗДАНИЙ В СЕЙСМИЧЕСКИХ РАЙОНАХ</t>
  </si>
  <si>
    <t>978-5-16-014705-5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</si>
  <si>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8 от 22.06.2020)</t>
  </si>
  <si>
    <t>661228.04.01</t>
  </si>
  <si>
    <t>Проектное упр. в коммерч.и публичной сферах:Уч. / Х.А.Константиниди-М.:Вуз.уч.,НИЦ ИНФРА-М,2023-364с</t>
  </si>
  <si>
    <t>ПРОЕКТНОЕ УПРАВЛЕНИЕ В КОММЕРЧЕСКОЙ И ПУБЛИЧНОЙ СФЕРАХ</t>
  </si>
  <si>
    <t>Константиниди Х.А., Берлин С.И., Бугакова Н.П. и др.</t>
  </si>
  <si>
    <t>978-5-9558-0590-0</t>
  </si>
  <si>
    <t>27.03.05, 38.03.02, 39.03.03, 41.03.06</t>
  </si>
  <si>
    <t>Рекомендовано в качестве учебника для студентов высших учебных заведений, обучающихся по направлению подготовки 38.03.02 «Менеджмент» (квалификация (степень) «бакалавр»)</t>
  </si>
  <si>
    <t>771270.06.01</t>
  </si>
  <si>
    <t>Проектное управление: Уч. / Г.Д.Антонов - М.:НИЦ ИНФРА-М,2025. - 294 с.(ВО)(П)</t>
  </si>
  <si>
    <t>ПРОЕКТНОЕ УПРАВЛЕНИЕ</t>
  </si>
  <si>
    <t>978-5-16-018458-6</t>
  </si>
  <si>
    <t>38.03.01, 38.03.02, 38.03.04, 38.03.05, 38.03.06, 38.03.07, 38.03.10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</si>
  <si>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и техническим направлениям подготовки (квалификация (степень) «бакалавр») (протокол № 2 от 09.02.2022)</t>
  </si>
  <si>
    <t>476450.05.01</t>
  </si>
  <si>
    <t>Проектное финансирование: синергетический аспект: Уч.пос./Г.А.Поташева - М.: ИНФРА-М, 2024 - 384 с(П)</t>
  </si>
  <si>
    <t>ПРОЕКТНОЕ ФИНАНСИРОВАНИЕ: СИНЕРГЕТИЧЕСКИЙ АСПЕКТ</t>
  </si>
  <si>
    <t>Поташева Г.А.</t>
  </si>
  <si>
    <t>978-5-16-005631-9</t>
  </si>
  <si>
    <t>095450.21.01</t>
  </si>
  <si>
    <t>Проектно-сметное дело: Уч.пос. / Д.А.Гаврилов - М.:НИЦ ИНФРА-М,2025 - 352 с.-(СПО)(П)</t>
  </si>
  <si>
    <t>ПРОЕКТНО-СМЕТНОЕ ДЕЛО</t>
  </si>
  <si>
    <t>Гаврилов Д.А.</t>
  </si>
  <si>
    <t>978-5-16-015426-8</t>
  </si>
  <si>
    <t>08.01.30, 08.02.01, 08.02.02, 08.02.13</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</si>
  <si>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специальности «Строительство и эксплуатация зданий и сооружений»</t>
  </si>
  <si>
    <t>095450.19.01</t>
  </si>
  <si>
    <t>Проектно-сметное дело: Уч.пос. / Д.А.Гаврилов, - 2 изд. - М.:НИЦ ИНФРА-М,2025. - 323 с.(СПО)(п)</t>
  </si>
  <si>
    <t>ПРОЕКТНО-СМЕТНОЕ ДЕЛО, ИЗД.2</t>
  </si>
  <si>
    <t>978-5-16-019303-8</t>
  </si>
  <si>
    <t>800108.01.01</t>
  </si>
  <si>
    <t>Проектный менеджмент: Уч./ С.А.Полевой - М.:НИЦ ИНФРА-М,2025-575 с. - (ВО (Финансовый университет))(п)</t>
  </si>
  <si>
    <t>ПРОЕКТНЫЙ МЕНЕДЖМЕНТ</t>
  </si>
  <si>
    <t>Полевой С.А., Аверин А.В., Астафьева О.В. и др.</t>
  </si>
  <si>
    <t>978-5-16-018508-8</t>
  </si>
  <si>
    <t>27.04.07, 27.04.08, 38.03.02, 38.04.02</t>
  </si>
  <si>
    <t>144300.12.01</t>
  </si>
  <si>
    <t>Производные финансовые инструменты: Уч. / В.А.Галанов - 2 изд. - М.:НИЦ ИНФРА-М,2025 - 221 с.(ВО)(О)</t>
  </si>
  <si>
    <t>ПРОИЗВОДНЫЕ ФИНАНСОВЫЕ ИНСТРУМЕНТЫ, ИЗД.2</t>
  </si>
  <si>
    <t>Галанов В.А.</t>
  </si>
  <si>
    <t>978-5-16-012272-4</t>
  </si>
  <si>
    <t>38.03.01, 38.03.02, 38.03.05, 38.03.06, 38.04.01, 38.04.02, 38.04.05, 38.04.06, 38.04.08, 44.03.05</t>
  </si>
  <si>
    <t>251200.07.01</t>
  </si>
  <si>
    <t>Производственная безопасность. Практикум: Уч.пос. / С.С.Тимофеева - М.:НИЦ ИНФРА-М,2025 - 581 с.(ВО)(п)</t>
  </si>
  <si>
    <t>ПРОИЗВОДСТВЕННАЯ БЕЗОПАСНОСТЬ. ПРАКТИКУМ</t>
  </si>
  <si>
    <t>Тимофеева С.С., Миронова С.А.</t>
  </si>
  <si>
    <t>978-5-16-016764-0</t>
  </si>
  <si>
    <t>20.03.01, 20.03.02</t>
  </si>
  <si>
    <t>261800.07.01</t>
  </si>
  <si>
    <t>Производственная безопасность: Уч.пос. / С.С.Тимофеева - М.:Форум, НИЦ ИНФРА-М,2023 - 336 с.(ВО)(П)</t>
  </si>
  <si>
    <t>ПРОИЗВОДСТВЕННАЯ БЕЗОПАСНОСТЬ</t>
  </si>
  <si>
    <t>Тимофеева С. С., Шешуков Ю. В.</t>
  </si>
  <si>
    <t>978-5-91134-845-8</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</si>
  <si>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дипломированных специалистов «Горное дело»</t>
  </si>
  <si>
    <t>837254.01.01</t>
  </si>
  <si>
    <t>Производственная логистика приборостроит. предприятия: Уч.пос. / Р.Г.Галеев - М.:НИЦ ИНФРА-М, СФУ,2025. - 258 с.(п)</t>
  </si>
  <si>
    <t>ПРОИЗВОДСТВЕННАЯ ЛОГИСТИКА ПРИБОРОСТРОИТЕЛЬНОГО ПРЕДПРИЯТИЯ</t>
  </si>
  <si>
    <t>Галеев Р.Г., Капулин Д.В., Казанцев М.А.</t>
  </si>
  <si>
    <t>978-5-16-020278-5</t>
  </si>
  <si>
    <t>12.03.01, 12.03.02, 12.03.03, 12.03.04, 12.03.05, 12.04.01, 12.04.02, 12.04.03, 12.04.04, 12.04.05, 12.05.01</t>
  </si>
  <si>
    <t>465650.08.01</t>
  </si>
  <si>
    <t>Производственная санитария и гигиена труда: Уч. / Б.М.Азизов - М.:НИЦ ИНФРА-М,2023 - 433 с(ВО)(п)</t>
  </si>
  <si>
    <t>ПРОИЗВОДСТВЕННАЯ САНИТАРИЯ И ГИГИЕНА ТРУДА</t>
  </si>
  <si>
    <t>Азизов Б. М., Чепегин И. В.</t>
  </si>
  <si>
    <t>978-5-16-019228-4</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</si>
  <si>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учебника для студентов высших учебных заведений, обучающихся по направлению подготовки 20.03.01 «Техносферная безопасность»</t>
  </si>
  <si>
    <t>413200.11.01</t>
  </si>
  <si>
    <t>Производственная санитария и гигиена труда: Уч.пос. / Т.Г.Феоктистова - М:ИНФРА-М,2023-382с.(ВО)(п)</t>
  </si>
  <si>
    <t>Феоктистова Т.Г., Феоктистова О.Г., Наумова Т.В.</t>
  </si>
  <si>
    <t>978-5-16-018584-2</t>
  </si>
  <si>
    <t>32.08.03</t>
  </si>
  <si>
    <t>Рекомендовано Учебно-методическим объединением вузов по образованию в области эксплуатации авиационной и космической техники для межвузовского использования</t>
  </si>
  <si>
    <t>712373.01.01</t>
  </si>
  <si>
    <t>Производственная стратегия предприятия: Уч. / Е.С.Григорян - М.:НИЦ ИНФРА-М,2022 - 374 с.(ВО)(П)</t>
  </si>
  <si>
    <t>ПРОИЗВОДСТВЕННАЯ СТРАТЕГИЯ ПРЕДПРИЯТИЯ</t>
  </si>
  <si>
    <t>978-5-16-016005-4</t>
  </si>
  <si>
    <t>222300.08.01</t>
  </si>
  <si>
    <t>Производственный контроль молочной продукции: Уч. / В.И.Ганина - 2 изд.,-М.:НИЦ ИНФРА-М,2025.-256 с.(ВО)(П)</t>
  </si>
  <si>
    <t>ПРОИЗВОДСТВЕННЫЙ КОНТРОЛЬ МОЛОЧНОЙ ПРОДУКЦИИ, ИЗД.2</t>
  </si>
  <si>
    <t>Ганина В.И., Борисова Л.А., Морозова В.В.</t>
  </si>
  <si>
    <t>978-5-16-017659-8</t>
  </si>
  <si>
    <t>19.03.03, 19.04.03, 35.03.07</t>
  </si>
  <si>
    <t>Допущено Министерством образования Российской Федерации в качестве учебника для студентов высших учебных заведений, обучающихся по направлению подготовки бакалавров и магистрантов 19.03.03 «Продукты питания животного происхождения», а также аспирантов</t>
  </si>
  <si>
    <t>222300.06.01</t>
  </si>
  <si>
    <t>Производственный контроль молочной продукции: Уч. / В.И.Ганина.-М.:НИЦ ИНФРА-М,2021.-248 с.(ВО)(П)</t>
  </si>
  <si>
    <t>ПРОИЗВОДСТВЕННЫЙ КОНТРОЛЬ МОЛОЧНОЙ ПРОДУКЦИИ</t>
  </si>
  <si>
    <t>Ганина В. И., Борисова Л. А., Морозова В. В.</t>
  </si>
  <si>
    <t>978-5-16-008981-2</t>
  </si>
  <si>
    <t>Допущено Министерством образования Российской Федерации в качестве учебника для студентов высших учебных заведений,обучающихся по направлению подготовки бакалавров и магистрантов 19.03.03 «Продукты питания животного происхождения», а также аспирантов</t>
  </si>
  <si>
    <t>121100.13.01</t>
  </si>
  <si>
    <t>Производственный менедж.: орг. произв.: Уч. / М.И.Бухалков - 2 изд. - М.:НИЦ ИНФРА-М,2025 - 395 с.(ВО)(П)</t>
  </si>
  <si>
    <t>ПРОИЗВОДСТВЕННЫЙ МЕНЕДЖМЕНТ: ОРГАНИЗАЦИЯ ПРОИЗВОДСТВА, ИЗД.2</t>
  </si>
  <si>
    <t>978-5-16-009610-0</t>
  </si>
  <si>
    <t>Допущено Учебно-методическим объединением по образованию в области менеджмента в качестве учебника для студентов высших учебных заведений, обучающихся по направлению подготовки 38.03.02 «Менеджмент»</t>
  </si>
  <si>
    <t>361800.05.01</t>
  </si>
  <si>
    <t>Производственный менеджмент в строит.: Уч. /О.В.Михненков-М.:НИЦ ИНФРА-М,2023-352с.(ВО:Бакалавр.)(п)</t>
  </si>
  <si>
    <t>ПРОИЗВОДСТВЕННЫЙ МЕНЕДЖМЕНТ В СТРОИТЕЛЬСТВЕ</t>
  </si>
  <si>
    <t>МихненковО.В., ШемякинаТ.Ю., КоготковаИ.З. и др.</t>
  </si>
  <si>
    <t>978-5-16-010965-7</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</si>
  <si>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направления подготовки 38.03.02 «Менеджмент» (квалификация (степень) «бакалавр»)</t>
  </si>
  <si>
    <t>742730.01.01</t>
  </si>
  <si>
    <t>Производственный менеджмент предпр: Уч.: Т.2 / Д.Б.Симаков и др. - М.:НИЦ ИНФРА-М,2025. - 749 с.(ВО)(п)</t>
  </si>
  <si>
    <t>ПРОИЗВОДСТВЕННЫЙ МЕНЕДЖМЕНТ ПРЕДПРИЯТИЯ. В 2-Х Т., Т.2</t>
  </si>
  <si>
    <t>Симаков Д.Б., Якобсон З.В., Баскакова Н.Т.</t>
  </si>
  <si>
    <t>978-5-16-016743-5</t>
  </si>
  <si>
    <t>15.03.06, 21.04.01, 23.03.03, 24.05.03, 38.03.01, 38.03.02, 38.03.04, 38.04.06</t>
  </si>
  <si>
    <t>742729.01.01</t>
  </si>
  <si>
    <t>Производственный менеджмент предприятия: Уч.: Т.1 / З.В.Якобсон и др. - М.:НИЦ ИНФРА-М,2024.-424 с.(ВО)(п)</t>
  </si>
  <si>
    <t>ПРОИЗВОДСТВЕННЫЙ МЕНЕДЖМЕНТ ПРЕДПРИЯТИЯ. В 2-Х Т., Т.1</t>
  </si>
  <si>
    <t>Якобсон З.В., Симаков Д.Б., Баскакова Н.Т.</t>
  </si>
  <si>
    <t>978-5-16-016741-1</t>
  </si>
  <si>
    <t>407800.06.01</t>
  </si>
  <si>
    <t>Производственный менеджмент: упр. качества...:Уч.пос./ Т.Ю.Шемякина-М.:Альфа-М:НИЦ Инфра-М,2023-272с (п)</t>
  </si>
  <si>
    <t>ПРОИЗВОДСТВЕННЫЙ МЕНЕДЖМЕНТ: УПРАВЛЕНИЕ КАЧЕСТВОМ (В СТРОИТЕЛЬСТВЕ)</t>
  </si>
  <si>
    <t>Шемякина Т. Ю., Селивохин М. Ю.</t>
  </si>
  <si>
    <t>978-5-98281-321-3</t>
  </si>
  <si>
    <t>08.03.01, 38.03.02, 38.04.02</t>
  </si>
  <si>
    <t>412600.06.01</t>
  </si>
  <si>
    <t>Производственный менеджмент: Уч./В.Я.Поздняков.-2 изд.-М.:НИЦ ИНФРА-М,2024.-412 с.(ВО: Бакалавр.)(П)</t>
  </si>
  <si>
    <t>ПРОИЗВОДСТВЕННЫЙ МЕНЕДЖМЕНТ, ИЗД.2</t>
  </si>
  <si>
    <t>Поздняков В.Я., Поздняков В.Я., Прудников В.М.</t>
  </si>
  <si>
    <t>978-5-16-006203-7</t>
  </si>
  <si>
    <t>Рекомендовано Учебно-методическим объединением вузов России в качестве учебника для студентов, обучающихся по направлению 080100 «Экономика»</t>
  </si>
  <si>
    <t>460700.09.01</t>
  </si>
  <si>
    <t>Производство деталей летател. аппаратов: Уч. / В.В.Овчинников-М.:ИД ФОРУМ, НИЦ ИНФРА-М,2024.-367с (П)</t>
  </si>
  <si>
    <t>ПРОИЗВОДСТВО ДЕТАЛЕЙ ЛЕТАТЕЛЬНЫХ АППАРАТОВ</t>
  </si>
  <si>
    <t>Овчинников В.В.</t>
  </si>
  <si>
    <t>978-5-8199-0817-4</t>
  </si>
  <si>
    <t>12.02.01, 25.02.01, 25.02.03, 25.02.06, 25.02.07</t>
  </si>
  <si>
    <t>444600.10.01</t>
  </si>
  <si>
    <t>Производство и переработка продукции животноводства: Уч. / А.И.Чикалев - М.:КУРС, НИЦ ИНФРА-М,2025 - 188 с.(П)</t>
  </si>
  <si>
    <t>ПРОИЗВОДСТВО И ПЕРЕРАБОТКА ПРОДУКЦИИ ЖИВОТНОВОДСТВА</t>
  </si>
  <si>
    <t>978-5-906818-03-4</t>
  </si>
  <si>
    <t>35.03.07, 36.03.02, 36.04.02</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</si>
  <si>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35.03.07 "Технология производства и переработки сельскохозяйственной продукции" (квалификация (степень) "бакалавр")</t>
  </si>
  <si>
    <t>809267.01.01</t>
  </si>
  <si>
    <t>Производство продукции животноводства. Прак.: Уч.пос. / А.Г.Агейкин-М.:НИЦ ИНФРА-М,2024.-405 с.(ВО)(п)</t>
  </si>
  <si>
    <t>ПРОИЗВОДСТВО ПРОДУКЦИИ ЖИВОТНОВОДСТВА. ПРАКТИКУМ</t>
  </si>
  <si>
    <t>978-5-16-019396-0</t>
  </si>
  <si>
    <t>488250.10.01</t>
  </si>
  <si>
    <t>Производство сварных конструкций: Уч. /В.В. Овчинников -М.: ИД ФОРУМ, НИЦ ИНФРА-М, 2025-288с(ПО)(п)</t>
  </si>
  <si>
    <t>ПРОИЗВОДСТВО СВАРНЫХ КОНСТРУКЦИЙ</t>
  </si>
  <si>
    <t>978-5-8199-0622-4</t>
  </si>
  <si>
    <t>15.03.01, 15.05.01</t>
  </si>
  <si>
    <t>634154.12.01</t>
  </si>
  <si>
    <t>Производство сварных конструкций: Уч.пос. / В.В.Овчинников - М.:ИД ФОРУМ, НИЦ ИНФРА-М,2025 - 216 с.(СПО)</t>
  </si>
  <si>
    <t>ПРОИЗВОДСТВО СВАРНЫХ КОНСТРУКЦИЙ. СВАРНЫЕ СОЕДИНЕНИЯ С ПОЛИМЕРНЫМИ ПРОСЛОЙКАМИ И ПОКРЫТИЯМИ</t>
  </si>
  <si>
    <t>Овчинников В.В., Рязанцев В.И., Гуреева М.А.</t>
  </si>
  <si>
    <t>978-5-8199-0732-0</t>
  </si>
  <si>
    <t>15.01.36, 15.02.16, 15.02.19, 18.02.07, 18.02.13, 26.01.01, 26.02.02</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</si>
  <si>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</si>
  <si>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708904.05.01</t>
  </si>
  <si>
    <t>Производство ювелир. изд. из драг. металлов..: Уч. / С.Б.Сидельников - 2 изд.-М.:НИЦ ИНФРА-М,2024.-375 с.(П)</t>
  </si>
  <si>
    <t>ПРОИЗВОДСТВО ЮВЕЛИРНЫХ ИЗДЕЛИЙ ИЗ ДРАГОЦЕННЫХ МЕТАЛЛОВ И ИХ СПЛАВОВ, ИЗД.2</t>
  </si>
  <si>
    <t>Сидельников С.Б., Константинов И.Л., Довженко Н.Н. и др.</t>
  </si>
  <si>
    <t>978-5-16-015274-5</t>
  </si>
  <si>
    <t>22.01.06, 22.02.08, 54.01.02, 54.01.06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</si>
  <si>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(протокол № 8 от 22.06.2020)</t>
  </si>
  <si>
    <t>474200.06.01</t>
  </si>
  <si>
    <t>Производство ювелир.изделий из драг.металлов...: Уч. / С.Б.Сидельников-2 изд-М:НИЦ ИНФРА-М,2024-375с(п)</t>
  </si>
  <si>
    <t>978-5-16-019977-1</t>
  </si>
  <si>
    <t>22.03.02, 22.04.02, 29.03.04, 29.04.04</t>
  </si>
  <si>
    <t>Рекомендовано НИТУ «МИСиС» к использованию в качестве учебника в образовательных учреждениях, реализующих образовательные программы ВО, ДПО профессиональной подготовки по направлению 22.03.02 «Металлургия»</t>
  </si>
  <si>
    <t>709017.04.01</t>
  </si>
  <si>
    <t>Прокатно-прессово-волочильное произв.: Уч. / И.Л.Константинов-2 изд.-М.:НИЦ ИНФРА-М,2024-511с.(СПО)(П)</t>
  </si>
  <si>
    <t>ПРОКАТНО-ПРЕССОВО-ВОЛОЧИЛЬНОЕ ПРОИЗВОДСТВО, ИЗД.2</t>
  </si>
  <si>
    <t>Константинов И.Л., Сидельников С.Б., Иванов Е.В.</t>
  </si>
  <si>
    <t>978-5-16-017921-6</t>
  </si>
  <si>
    <t>22.02.08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</si>
  <si>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8 от 29.04.2019)</t>
  </si>
  <si>
    <t>281300.06.01</t>
  </si>
  <si>
    <t>Прокатно-прессово-волочильное производ.:Уч. / И.Л.Константинов - 2 изд. - М:ИНФРА-М - Краснояр.:СФУ,2025 - 512 с.(п)</t>
  </si>
  <si>
    <t>Константинов И. Л., Сидельников С. Б., Иванов Е. В.</t>
  </si>
  <si>
    <t>978-5-16-009848-7</t>
  </si>
  <si>
    <t>Рекомендовано Национальным исследовательским технологическим университетом «МИСиС» к использованию в образовательных учреждениях, реализующих образовательные программы ВПО, ДПО, профессиональной подготовки по направлению подготовки 22.04.02 (150400)</t>
  </si>
  <si>
    <t>647837.09.01</t>
  </si>
  <si>
    <t>Прокурорский надзор в РФ (в схемах): Уч.пос. / Под ред. Лазаревой В.А. - 2изд. - М.:НИЦ ИНФРА-М,2025 - 118 с.(ВО)(О)</t>
  </si>
  <si>
    <t>ПРОКУРОРСКИЙ НАДЗОР В РОССИЙСКОЙ ФЕДЕРАЦИИ (В СХЕМАХ), ИЗД.2</t>
  </si>
  <si>
    <t>Лобачев Д.А., Лазарева В.А.</t>
  </si>
  <si>
    <t>978-5-16-018465-4</t>
  </si>
  <si>
    <t>042150.24.01</t>
  </si>
  <si>
    <t>Прокурорский надзор: Уч. / Под ред. Сухарева А.Я. - 4 изд. - М.:Юр.Норма, НИЦ ИНФРА-М,2024 - 480 с.(П)</t>
  </si>
  <si>
    <t>ПРОКУРОРСКИЙ НАДЗОР, ИЗД.4</t>
  </si>
  <si>
    <t>Сухарев А.Я., Анкудинов О.Т., Викторов И.С. и др.</t>
  </si>
  <si>
    <t>978-5-91768-213-6</t>
  </si>
  <si>
    <t>40.03.01, 40.04.01, 40.05.02, 40.05.03, 40.05.04</t>
  </si>
  <si>
    <t>047960.16.01</t>
  </si>
  <si>
    <t>Прокурорский надзор: Уч.пос. / Н.В.Григорьева - 8 изд. - М.:ИЦ РИОР, НИЦ ИНФРА-М,2025 - 222 с.(ВО)(о)</t>
  </si>
  <si>
    <t>ПРОКУРОРСКИЙ НАДЗОР, ИЗД.8</t>
  </si>
  <si>
    <t>Григорьева Н.В.</t>
  </si>
  <si>
    <t>978-5-369-01955-9</t>
  </si>
  <si>
    <t>0824</t>
  </si>
  <si>
    <t>047960.14.01</t>
  </si>
  <si>
    <t>Прокурорский надзор: Уч.пос. / Н.В.Григорьева- 7 изд.-М.:ИЦ РИОР, НИЦ ИНФРА-М,2023-218с.(ВО)(о)</t>
  </si>
  <si>
    <t>ПРОКУРОРСКИЙ НАДЗОР, ИЗД.7</t>
  </si>
  <si>
    <t>Григорьева Н. В.</t>
  </si>
  <si>
    <t>978-5-369-01900-9</t>
  </si>
  <si>
    <t>0722</t>
  </si>
  <si>
    <t>047960.11.01</t>
  </si>
  <si>
    <t>Прокурорский надзор: Уч.пос./Н.В.Григорьева-6изд.-М.:ИЦ РИОР,НИЦ ИНФРА-М,2020-215с.(ВО:Бакалавр.)(о)</t>
  </si>
  <si>
    <t>ПРОКУРОРСКИЙ НАДЗОР, ИЗД.6</t>
  </si>
  <si>
    <t>978-5-369-01518-6</t>
  </si>
  <si>
    <t>104440.12.01</t>
  </si>
  <si>
    <t>Промышленная логистика: Уч.пос. / А.М. Афонин - М.: Форум,2024 - 304 с.(ПО)(П)</t>
  </si>
  <si>
    <t>ПРОМЫШЛЕННАЯ ЛОГИСТИКА</t>
  </si>
  <si>
    <t>Афонин А. М., Царегородцев Ю. Н., Петрова А. М.</t>
  </si>
  <si>
    <t>978-5-91134-283-8</t>
  </si>
  <si>
    <t>464050.07.01</t>
  </si>
  <si>
    <t>Промышленная экология. Практикум: Уч.пос. / С.С.Тимофеева - М.:Форум, НИЦ ИНФРА-М,2024. - 128 с.(ВО)(О)</t>
  </si>
  <si>
    <t>ПРОМЫШЛЕННАЯ ЭКОЛОГИЯ. ПРАКТИКУМ</t>
  </si>
  <si>
    <t>Тимофеева С.С., Тюкалова О.В.</t>
  </si>
  <si>
    <t>978-5-00091-733-6</t>
  </si>
  <si>
    <t>18.03.02</t>
  </si>
  <si>
    <t>Рекомендовано к изданию редакционно-издательским советом Иркутского государственного технического университета в качестве учебного пособия для студентов высших учебных заведений, обучающихся по направлению подготовки 20.03.01 «Техносферная безопасность»</t>
  </si>
  <si>
    <t>719236.03.01</t>
  </si>
  <si>
    <t>Промышленная экология. Практикум: Уч.пос. / С.С.Тимофеева - М.:Форум, НИЦ ИНФРА-М,2024.-128 с.(СПО)(О)</t>
  </si>
  <si>
    <t>978-5-00091-719-0</t>
  </si>
  <si>
    <t>15.01.29, 15.02.16, 18.02.02, 18.02.14, 18.02.15, 20.02.01, 23.02.04, 23.02.08, 27.02.03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</si>
  <si>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20.02.01 «Рациональное использование природохозяйственных комплексов», 20.02.03 «Природоохранное обустройство территорий» (протокол № 13 от 16.09.2019)</t>
  </si>
  <si>
    <t>140100.09.01</t>
  </si>
  <si>
    <t>Промышленная экология: Уч. / Ф.Ф.Брюхань - М.:Форум, НИЦ ИНФРА-М,2025 - 208 с.(ВО)(П)</t>
  </si>
  <si>
    <t>ПРОМЫШЛЕННАЯ ЭКОЛОГИЯ</t>
  </si>
  <si>
    <t>Брюхань Ф. Ф., Графкина М. В., Сдобнякова Е. Е.</t>
  </si>
  <si>
    <t>978-5-00091-762-6</t>
  </si>
  <si>
    <t>08.03.01, 08.04.01, 18.03.02</t>
  </si>
  <si>
    <t>Рекомендовано Учебно-методическим объединением вузов РФ по образованию в облати строительства в качестве учебника для студентов, обучающихся по направлению подготовки «Строительство»</t>
  </si>
  <si>
    <t>710012.05.01</t>
  </si>
  <si>
    <t>Промышленная экология: Уч. / Ф.Ф.Брюхань и др. - М.:Форум, НИЦ ИНФРА-М,2022 - 208 с.-(СПО)(П)</t>
  </si>
  <si>
    <t>Брюхань Ф.Ф., Графкина М.В., Сдобнякова Е.Е.</t>
  </si>
  <si>
    <t>978-5-00091-698-8</t>
  </si>
  <si>
    <t>05.02.02, 15.01.29, 20.02.01, 20.02.02, 23.02.08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</si>
  <si>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05.02.00 «Науки о Земле», 08.02.00 «Техника и технологии строительства», 20.02.00 «Техносферная безопасность и природообустройство» (протокол № 10 от 27.05.2019)</t>
  </si>
  <si>
    <t>434450.08.01</t>
  </si>
  <si>
    <t>Промышленная экология: Уч. пос./М.Г.Ясовеев - М.: НИЦ ИНФРА-М; Мн.: Нов. знание, 2024-292с.(ВО) (п)</t>
  </si>
  <si>
    <t>Ясовеев М. Г., Какарека Э. В., Шевцова Н. С., Шершнев О. В., Ясовеев М. Г.</t>
  </si>
  <si>
    <t>978-5-16-006692-9</t>
  </si>
  <si>
    <t>05.03.02, 05.04.02, 18.03.02, 20.03.01, 20.03.02, 20.04.01</t>
  </si>
  <si>
    <t>404450.10.01</t>
  </si>
  <si>
    <t>Промышленная экология: Уч.пос. / Б.С.Ксенофонтов - 2 изд. - М.:НИЦ ИНФРА-М,2023-193 с(ВО: Бакалавр.)(П)</t>
  </si>
  <si>
    <t>ПРОМЫШЛЕННАЯ ЭКОЛОГИЯ, ИЗД.2</t>
  </si>
  <si>
    <t>Ксенофонтов Б.С., Павлихин Г.П., Симакова Е.Н.</t>
  </si>
  <si>
    <t>978-5-16-015109-0</t>
  </si>
  <si>
    <t>05.03.06, 05.04.06</t>
  </si>
  <si>
    <t>Допущено Научно-методическим советом по безопасности жизнедеятельности в качестве учебного пособия для студентов высших учебных заведений, обучающихся по всем направлениям образовательной области техники и технологий (квалификация/степень — бакалавр)</t>
  </si>
  <si>
    <t>315700.07.01</t>
  </si>
  <si>
    <t>Промышленная экология: Уч.пос. / Л.Л.Никифоров - 2 изд. - М.:НИЦ ИНФРА-М,2022 - 322 с.(ВО: Бакалавр.)(П)</t>
  </si>
  <si>
    <t>Никифоров Л.Л.</t>
  </si>
  <si>
    <t>978-5-16-014983-7</t>
  </si>
  <si>
    <t>15.03.02, 19.03.01, 19.03.03</t>
  </si>
  <si>
    <t>Рекомендовано УМО по образованию в области технологии сырья и продуктов животного происхождения для студентов высших учебных заведений, обучающихся по направлению 19.03.03 «Продукты питания животного происхождения» для бакалавров по профилям: технология мяса и мясных продуктов; технология рыбы и рыбных продуктов; технология молока и молочных продуктов, а также по направлению 19.03.01 «Биотехнология» и направлению 15.03.02 «Технологические машины и оборудование»</t>
  </si>
  <si>
    <t>741393.03.01</t>
  </si>
  <si>
    <t>Промышленная экология: Уч.пос. / Л.Л.Никифоров - 2 изд. - М.:НИЦ ИНФРА-М,2024 - 322 с.-(СПО)(П)</t>
  </si>
  <si>
    <t>978-5-16-016376-5</t>
  </si>
  <si>
    <t>15.01.29, 20.02.01, 23.02.08, 27.02.03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</si>
  <si>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19.02.00 «Промышленная экология и биотехнологии» (протокол № 6 от 06.04.2020)</t>
  </si>
  <si>
    <t>315700.09.01</t>
  </si>
  <si>
    <t>Промышленная экология: Уч.пос. / Л.Л.Никифоров, - 3 изд. - М.:НИЦ ИНФРА-М,2024. - 383 с.-(ВО)(п)</t>
  </si>
  <si>
    <t>ПРОМЫШЛЕННАЯ ЭКОЛОГИЯ, ИЗД.3</t>
  </si>
  <si>
    <t>978-5-16-018860-7</t>
  </si>
  <si>
    <t>741393.04.01</t>
  </si>
  <si>
    <t>Промышленная экология: Уч.пос. / Л.Л.Никифоров, - 3 изд. - М.:НИЦ ИНФРА-М,2025. - 383 с.(СПО)(п)</t>
  </si>
  <si>
    <t>978-5-16-020145-0</t>
  </si>
  <si>
    <t>709946.02.01</t>
  </si>
  <si>
    <t>Промышленная экология: Уч.пос. / Под ред. Ясовеева М.Г.-М.:НИЦ ИНФРА-М, ,2023.-292 с..-(СПО)(П)</t>
  </si>
  <si>
    <t>Ясовеев М.Г., Какарека Э.В., Шевцова Н.С. и др.</t>
  </si>
  <si>
    <t>978-5-16-015301-8</t>
  </si>
  <si>
    <t>05.01.01, 05.02.01, 05.02.02, 05.02.03, 15.01.29, 20.01.01, 20.02.01, 20.02.02, 27.02.03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</si>
  <si>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05.02.00 «Науки о Земле», 20.02.00 «Техносферная безопасность и природообустройство» (протокол № 5 от 11.03.2019)</t>
  </si>
  <si>
    <t>776750.03.01</t>
  </si>
  <si>
    <t>Промышленное производ. крахмала и крахмалопрод.: Уч.пос. / А.А.Славянский - М.:НИЦ ИНФРА-М,2025 - 271 с.(СПО)(П)</t>
  </si>
  <si>
    <t>ПРОМЫШЛЕННОЕ ПРОИЗВОДСТВО КРАХМАЛА И КРАХМАЛОПРОДУКТОВ</t>
  </si>
  <si>
    <t>Славянский А.А., Лукин Н.Д., Лебедева Н.Н.</t>
  </si>
  <si>
    <t>978-5-16-017633-8</t>
  </si>
  <si>
    <t>19.01.18, 19.02.11, 19.02.12, 22.02.08, 35.02.18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</si>
  <si>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19.02.04 «Технология сахаристых продуктов» (протокол № 1 от 12.01.2022)</t>
  </si>
  <si>
    <t>648223.02.01</t>
  </si>
  <si>
    <t>Промышленное производ. крахмала и крахмалопродуктов: Уч.пос. / А.А.Славянский - М.:НИЦ ИНФРА-М,2023-271 с.(ВО)(П)</t>
  </si>
  <si>
    <t>978-5-16-016259-1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</si>
  <si>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1 от 12.01.2022)</t>
  </si>
  <si>
    <t>703983.07.01</t>
  </si>
  <si>
    <t>Пропедевтика (основы композиции): Уч. / Л.М.Тухбатуллина - М.:НИЦ ИНФРА-М,2023 - 116 с.(ВО)(О)</t>
  </si>
  <si>
    <t>ПРОПЕДЕВТИКА (ОСНОВЫ КОМПОЗИЦИИ)</t>
  </si>
  <si>
    <t>Тухбатуллина Л.М., Сафина Л.А., Хамматова В.В.</t>
  </si>
  <si>
    <t>978-5-16-018638-2</t>
  </si>
  <si>
    <t>44.03.01, 51.03.02, 54.03.01, 54.04.01</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</si>
  <si>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54.03.01 «Дизайн»</t>
  </si>
  <si>
    <t>839215.01.01</t>
  </si>
  <si>
    <t>Пропедевтика (основы композиции): Уч. / Л.М.Тухбатуллина и др. - М.:НИЦ ИНФРА-М,2025. - 116 с.(СПО)(о)</t>
  </si>
  <si>
    <t>978-5-16-020242-6</t>
  </si>
  <si>
    <t>29.01.09, 42.02.01, 54.01.02, 54.01.05, 54.01.13</t>
  </si>
  <si>
    <t>832221.01.01</t>
  </si>
  <si>
    <t>Пропедевтика внутренних болезней: Уч.пос. / А.Л.Калинин - М.:НИЦ ИНФРА-М, ГомГМУ,2025 - 1107 с.(ВО (ГомГМУ))(п)</t>
  </si>
  <si>
    <t>ПРОПЕДЕВТИКА ВНУТРЕННИХ БОЛЕЗНЕЙ</t>
  </si>
  <si>
    <t>Калинин А.Л., Друян Л.И., Кривелевич Н.Б. и др.</t>
  </si>
  <si>
    <t>978-5-16-020041-5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</si>
  <si>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«Лечебное дело», «Медико-профилактическое дело», «Медико-диагностическое дело»</t>
  </si>
  <si>
    <t>823415.02.01</t>
  </si>
  <si>
    <t>Противодействие преступл. в сфере информац. тех.: Уч. / Под ред. Калиниченко И.А.-М.:НИЦ ИНФРА-М,2025-806с(п)</t>
  </si>
  <si>
    <t>ПРОТИВОДЕЙСТВИЕ ПРЕСТУПЛЕНИЯМ В СФЕРЕ ИНФОРМАЦИОННЫХ ТЕХНОЛОГИЙ</t>
  </si>
  <si>
    <t>Андреев А.В., Галиев Д.В., Гончар В.В. и др.</t>
  </si>
  <si>
    <t>978-5-16-019807-1</t>
  </si>
  <si>
    <t>10.05.03, 10.05.04, 10.05.05, 40.05.01, 40.05.02, 40.05.03</t>
  </si>
  <si>
    <t>780076.03.01</t>
  </si>
  <si>
    <t>Противодействие преступл., совершаемым в сфере информац...: Уч. / А.В.Андреев.-М.:НИЦ ИНФРА-М,2024.-642 с.(П)</t>
  </si>
  <si>
    <t>ПРОТИВОДЕЙСТВИЕ ПРЕСТУПЛЕНИЯМ, СОВЕРШАЕМЫМ В СФЕРЕ ИНФОРМАЦИОННЫХ ТЕХНОЛОГИЙ</t>
  </si>
  <si>
    <t>Андреев А.В., Гончар В.В., Горач Н.Н. и др.</t>
  </si>
  <si>
    <t>978-5-16-017838-7</t>
  </si>
  <si>
    <t>10.05.05, 40.03.01, 40.04.01, 40.05.01, 40.05.02, 40.05.03, 40.05.04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</si>
  <si>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40.05.01 «Правовое обеспечение национальной безопасности», 40.05.02 «Правоохранительная деятельность» (квалификация «юрист»), 40.05.03 «Судебная экспертиза» (квалификация «судебный эксперт»), 10.05.01 «Компьютерная безопасность», 10.05.05 «Безопасность информационных технологий в правоохранительной сфере» (квалификация «специалист по защите информации») (протокол № 6 от 08.06.2022)</t>
  </si>
  <si>
    <t>776864.04.01</t>
  </si>
  <si>
    <t>Противодействие преступлениям, совер. в сфере...: Уч.пос. / Е.А.Русскевич.-М.:НИЦ ИНФРА-М,2023.-211 с.(П)</t>
  </si>
  <si>
    <t>ПРОТИВОДЕЙСТВИЕ ПРЕСТУПЛЕНИЯМ, СОВЕРШАЕМЫМ В СФЕРЕ ОБОРОТА КРИПТОВАЛЮТЫ</t>
  </si>
  <si>
    <t>Русскевич Е.А., Андреев А.В., Галиев Д.В. и др.</t>
  </si>
  <si>
    <t>978-5-16-017725-0</t>
  </si>
  <si>
    <t>40.04.01, 40.05.02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</si>
  <si>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3 от 09.03.2022)</t>
  </si>
  <si>
    <t>Московский университет Министерства внутренних дел Российской Федерации имени В.Я. Кикотя, Рязанский</t>
  </si>
  <si>
    <t>750716.08.01</t>
  </si>
  <si>
    <t>Противодействие экстремистской деят.: Уч.пос. / Отв.ред.А.М.Будаев-М.:Юр.Норма, НИЦ ИНФРА-М,2025.-128 с.(П)</t>
  </si>
  <si>
    <t>ПРОТИВОДЕЙСТВИЕ ЭКСТРЕМИСТСКОЙ ДЕЯТЕЛЬНОСТИ</t>
  </si>
  <si>
    <t>Будаев А.М.</t>
  </si>
  <si>
    <t>978-5-00156-146-0</t>
  </si>
  <si>
    <t>40.03.01, 40.04.01, 40.05.01, 40.05.02</t>
  </si>
  <si>
    <t>730830.03.01</t>
  </si>
  <si>
    <t>Противоречия медийной глобализации: Уч.пос. / В.И.Сапунов-М.:НИЦ ИНФРА-М,2023.-233 с.(ВО)(П)</t>
  </si>
  <si>
    <t>ПРОТИВОРЕЧИЯ МЕДИЙНОЙ ГЛОБАЛИЗАЦИИ: ПОЛИТЭКОНОМИЧЕСКИЕ И СОЦИОКУЛЬТУРНЫЕ АСПЕКТЫ</t>
  </si>
  <si>
    <t>Сапунов В.И., Хорольский В.В.</t>
  </si>
  <si>
    <t>978-5-16-018647-4</t>
  </si>
  <si>
    <t>42.04.02, 42.04.04, 42.04.05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</si>
  <si>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42.03.02 «Журналистика» (квалификация (степень) «бакалавр») (протокол № 7 от 21.09.2022)</t>
  </si>
  <si>
    <t>633402.06.01</t>
  </si>
  <si>
    <t>Профессиограмма социального работника: Уч. / С.Н.Козловская - 2 изд. - М.:НИЦ ИНФРА-М,2025 - 174 с.(ВО)</t>
  </si>
  <si>
    <t>ПРОФЕССИОГРАММА СОЦИАЛЬНОГО РАБОТНИКА, ИЗД.2</t>
  </si>
  <si>
    <t>978-5-16-012108-6</t>
  </si>
  <si>
    <t>39.03.02, 39.04.02</t>
  </si>
  <si>
    <t>Рекомендовано в качестве учебника для студентов высших учебных заведений, обучающихся по направлению подготовки 39.03.02 «Социальная работа» (квалификация (степень) «бакалавр»)</t>
  </si>
  <si>
    <t>675298.02.01</t>
  </si>
  <si>
    <t>Профессиология: психологический контент: Уч.пос. / Э.Ф.Зеер - М.:НИЦ ИНФРА-М,2020 - 194 с.(ВО)(П)</t>
  </si>
  <si>
    <t>ПРОФЕССИОЛОГИЯ: ПСИХОЛОГИЧЕСКИЙ КОНТЕНТ</t>
  </si>
  <si>
    <t>Зеер Э.Ф., Сыманюк Э.Э.</t>
  </si>
  <si>
    <t>978-5-16-014407-8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</si>
  <si>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44.04.00 «Образование и педагогические науки» (квалификация (степень) «магистр») (протокол № 12 от 24.06.2019)</t>
  </si>
  <si>
    <t>632296.09.01</t>
  </si>
  <si>
    <t>Профессиональная нейросенсорная тугоухость: Моногр. / С.А.Бабанов - М.:Вуз. уч., НИЦ ИНФРА-М,2025. - 98 с.(О)</t>
  </si>
  <si>
    <t>ПРОФЕССИОНАЛЬНАЯ НЕЙРОСЕНСОРНАЯ ТУГОУХОСТЬ</t>
  </si>
  <si>
    <t>Бабанов С.А., Лотков В.С., Вакурова Н.В. и др.</t>
  </si>
  <si>
    <t>978-5-9558-0501-6</t>
  </si>
  <si>
    <t>091650.15.01</t>
  </si>
  <si>
    <t>Профессиональная речь юриста: Уч.пос. / Н.Н.Ивакина - М.:Юр.Норма, НИЦ ИНФРА-М,2025. - 448 с.(П)</t>
  </si>
  <si>
    <t>ПРОФЕССИОНАЛЬНАЯ РЕЧЬ ЮРИСТА</t>
  </si>
  <si>
    <t>978-5-91768-374-4</t>
  </si>
  <si>
    <t>698270.06.01</t>
  </si>
  <si>
    <t>Профессиональная речь: культ., публичная, деловая: Уч. / А.К.Михальская - М.:НИЦ ИНФРА-М,2025 - 359 с.(п)</t>
  </si>
  <si>
    <t>ПРОФЕССИОНАЛЬНАЯ РЕЧЬ: КУЛЬТУРНАЯ, ПУБЛИЧНАЯ, ДЕЛОВАЯ</t>
  </si>
  <si>
    <t>978-5-16-014642-3</t>
  </si>
  <si>
    <t>00.02.34, 29.01.04, 32.02.01, 34.01.01, 35.01.23, 35.01.24, 38.01.01, 38.01.02, 54.01.02, 54.01.12, 54.01.14, 54.01.16, 54.01.17, 54.01.19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</si>
  <si>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укрупненным группам специальностей 38.02.00 «Экономика и управление», 40.02.00 «Юриспруденция», 42.02.00 «Средства массовой информации», 43.02.00 «Сервис и туризм», 44.02.00 «Образование и педагогические науки»</t>
  </si>
  <si>
    <t>095940.18.01</t>
  </si>
  <si>
    <t>Профессиональная этика и психология дел. общ.: Уч. пос. / И.П.Кошевая - М.:ФОРУМ: ИНФРА-М, 2025 - 304 с.(СПО)</t>
  </si>
  <si>
    <t>ПРОФЕССИОНАЛЬНАЯ ЭТИКА И ПСИХОЛОГИЯ ДЕЛОВОГО ОБЩЕНИЯ</t>
  </si>
  <si>
    <t>978-5-8199-0739-9</t>
  </si>
  <si>
    <t>00.02.15, 23.02.01, 38.02.02, 38.02.08, 39.02.01, 39.02.03, 40.02.02, 43.02.02, 43.02.06, 43.02.09, 43.02.11, 43.02.16, 44.02.01, 44.02.02, 44.02.03, 44.02.04, 46.02.01, 51.02.03</t>
  </si>
  <si>
    <t>437500.08.01</t>
  </si>
  <si>
    <t>Профессиональное обучение детей..: Уч.-мет. пос /М.В.Матвеева -НИЦ ИНФРА-М, 2024 -191с(ВО)(о)</t>
  </si>
  <si>
    <t>ПРОФЕССИОНАЛЬНОЕ ОБУЧЕНИЕ ДЕТЕЙ С ИНТЕЛЛЕКТУАЛЬНЫМИ НАРУШЕНИЯМИ В УСЛОВИЯХ ОБРАЗОВАТЕЛЬНОГО УЧРЕЖДЕНИЯ</t>
  </si>
  <si>
    <t>Матвеева М.В., Станпакова С.Д.</t>
  </si>
  <si>
    <t>978-5-16-016591-2</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</si>
  <si>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(бакалавриат),по профилю подготовки «Логопедия» и 44.04.03 «Специальное (дефектологическое) образование» (магистратура)</t>
  </si>
  <si>
    <t>249800.08.01</t>
  </si>
  <si>
    <t>Профессиональное общение: Уч.пос. / О.Н. Гарькуша. - М.: ИЦ РИОР: НИЦ ИНФРА-М, 2025 - 111 с.(ПО)(п)</t>
  </si>
  <si>
    <t>ПРОФЕССИОНАЛЬНОЕ ОБЩЕНИЕ</t>
  </si>
  <si>
    <t>Гарькуша О.Н.</t>
  </si>
  <si>
    <t>978-5-369-01311-3</t>
  </si>
  <si>
    <t>13.02.13, 15.02.07, 15.02.17, 15.02.18, 19.02.10, 19.02.11, 19.02.12</t>
  </si>
  <si>
    <t>424450.06.01</t>
  </si>
  <si>
    <t>Профессионально-личностные  ориент. в совр. выс. образ.: Уч.пос./В.В.Рубцов - ИНФРА-М,2024-304с.(ВО) (п)</t>
  </si>
  <si>
    <t>ПРОФЕССИОНАЛЬНО-ЛИЧНОСТНЫЕ  ОРИЕНТАЦИИ В СОВРЕМЕННОМ ВЫСШЕМ ОБРАЗОВАНИИ</t>
  </si>
  <si>
    <t>Рубцов В. В., Столяренко А. М., Пузанов Ю. П., Рубцов В. В.</t>
  </si>
  <si>
    <t>978-5-16-006583-0</t>
  </si>
  <si>
    <t>38.03.02, 38.04.02, 44.03.01, 44.03.04, 44.03.05, 44.04.01, 44.04.02, 44.04.04</t>
  </si>
  <si>
    <t>144850.10.01</t>
  </si>
  <si>
    <t>Профессиональные болезни: Уч. пос. / В.В. Косарев - М.: Вуз.уч.,2024 - 252 с. (п)</t>
  </si>
  <si>
    <t>ПРОФЕССИОНАЛЬНЫЕ БОЛЕЗНИ</t>
  </si>
  <si>
    <t>978-5-9558-0178-0</t>
  </si>
  <si>
    <t>31.05.01, 31.06.01, 31.07.01, 31.08.44, 32.05.01, 34.03.01</t>
  </si>
  <si>
    <t>Рекомендовано Учебно-методическим объединением по медицинскому и фармацевтическому образованию вузов России в качестве учебного пособия для системы послевузовского профессионального образования врачей</t>
  </si>
  <si>
    <t>227800.08.01</t>
  </si>
  <si>
    <t>Профессиональные забол. нерв. системы: Практ. рук. /В.В. Косарев - М.: НИЦ ИНФРА-М, 2024-142с. (о)</t>
  </si>
  <si>
    <t>ПРОФЕССИОНАЛЬНЫЕ ЗАБОЛЕВАНИЯ НЕРВНОЙ СИСТЕМЫ</t>
  </si>
  <si>
    <t>978-5-16-009027-6</t>
  </si>
  <si>
    <t>31.05.01, 31.05.02, 32.05.01, 34.03.01</t>
  </si>
  <si>
    <t>403250.08.01</t>
  </si>
  <si>
    <t>Профессиональные заболевания органов дыхания:Уч.пос. / В.В.Косарев-М.:НИЦ ИНФРА-М,2024.-112 с.(ВО)(О)</t>
  </si>
  <si>
    <t>ПРОФЕССИОНАЛЬНЫЕ ЗАБОЛЕВАНИЯ ОРГАНОВ ДЫХАНИЯ</t>
  </si>
  <si>
    <t>978-5-16-006221-1</t>
  </si>
  <si>
    <t>31.05.01, 31.06.01, 31.07.01, 31.08.44, 31.08.45</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</si>
  <si>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специальностям 060101 65 Лечебное дело 060103 65 Педиатрия 060105 060104 65 Медико-профилактическое дело</t>
  </si>
  <si>
    <t>820930.01.01</t>
  </si>
  <si>
    <t>Профессиональные навыки и этика юриста: Уч.пос. / О.Г.Иванова.-М.:НИЦ ИНФРА-М, СФУ,2024.-148 с.(ВО)(п)</t>
  </si>
  <si>
    <t>ПРОФЕССИОНАЛЬНЫЕ НАВЫКИ И ЭТИКА ЮРИСТА</t>
  </si>
  <si>
    <t>Иванова О.Г., Майорова Л.В., Назаров А.Д. и др.</t>
  </si>
  <si>
    <t>978-5-16-019599-5</t>
  </si>
  <si>
    <t>648389.10.01</t>
  </si>
  <si>
    <t>Профессиональные навыки юриста.: Уч.пос./Под ред. Рубинштейна Е.А.-М.:Юр.Норма,НИЦ ИНФРА-М,2025-112с.(О)</t>
  </si>
  <si>
    <t>ПРОФЕССИОНАЛЬНЫЕ НАВЫКИ ЮРИСТА В УГОЛОВНОМ СУДОПРОИЗВОДСТВЕ</t>
  </si>
  <si>
    <t>Максимова Т.Ю., Рубинштейн Е.А.</t>
  </si>
  <si>
    <t>978-5-91768-798-8</t>
  </si>
  <si>
    <t>837236.01.01</t>
  </si>
  <si>
    <t>Профессиональный англ. яз. для спец. горного дела...: Уч. / Т.С.Галич - М.:НИЦ ИНФРА-М, СФУ,2025. - 231 с.(ВО)(п)</t>
  </si>
  <si>
    <t>ПРОФЕССИОНАЛЬНЫЙ АНГЛИЙСКИЙ ЯЗЫК ДЛЯ СПЕЦИАЛИСТОВ ГОРНОГО ДЕЛА, ГЕОЛОГИИ И ГЕОЛОГОРАЗВЕДКИ</t>
  </si>
  <si>
    <t>Галич Т.С., Богданова А.И., Белова Е.Н. и др.</t>
  </si>
  <si>
    <t>978-5-16-020283-9</t>
  </si>
  <si>
    <t>21.03.01, 21.03.03, 21.04.01, 21.04.03, 21.05.01, 21.05.02, 21.05.03, 21.05.04, 21.05.05, 21.05.06</t>
  </si>
  <si>
    <t>Допущено учебно-методическим советом Сибирского федерального университета в качестве учебника для студентов, обучающихся по специальностям 21.05.02 «Прикладная геология», 21.05.04 «Горное дело», 21.05.03 «Технология геологической разведки», протокол № 1 от 24 января 2022 года</t>
  </si>
  <si>
    <t>805395.01.01</t>
  </si>
  <si>
    <t>Профессиональный англ. яз.: экономика и...: Уч. / М.В.Мельничук - М.:НИЦ ИНФРА-М,2024. - 217 с.(ВО)(п)</t>
  </si>
  <si>
    <t>ПРОФЕССИОНАЛЬНЫЙ АНГЛИЙСКИЙ ЯЗЫК: ЭКОНОМИКА И МЕНЕДЖМЕНТ</t>
  </si>
  <si>
    <t>Мельничук М.В., Белогаш М.А.</t>
  </si>
  <si>
    <t>978-5-16-019145-4</t>
  </si>
  <si>
    <t>688828.03.01</t>
  </si>
  <si>
    <t>Профилактика и лечение непроходимости пищевода после хим...:Уч.пос. / В.И.Белоконев-М.:НИЦ ИНФРА-М,2022-147с(П)</t>
  </si>
  <si>
    <t>ПРОФИЛАКТИКА И ЛЕЧЕНИЕ НЕПРОХОДИМОСТИ ПИЩЕВОДА ПОСЛЕ ХИМИЧЕСКИХ ОЖОГОВ КОРРОЗИВНЫМИ ЖИДКОСТЯМИ</t>
  </si>
  <si>
    <t>Белоконев В.И., Пушкин С.Ю., Никольский В.И. и др.</t>
  </si>
  <si>
    <t>978-5-16-014580-8</t>
  </si>
  <si>
    <t>31.05.01, 31.08.28</t>
  </si>
  <si>
    <t>479750.11.01</t>
  </si>
  <si>
    <t>Профилактика правонаруш. несовершеннолет.: Уч.пос. / А.А.Беженцев - М.:Вуз.уч.,НИЦ ИНФРА-М,2024-272с(ВО)(п)</t>
  </si>
  <si>
    <t>ПРОФИЛАКТИКА ПРАВОНАРУШЕНИЙ НЕСОВЕРШЕННОЛЕТНИХ</t>
  </si>
  <si>
    <t>Беженцев А. А.</t>
  </si>
  <si>
    <t>978-5-9558-0485-9</t>
  </si>
  <si>
    <t>39.03.02, 39.04.02, 40.03.01, 40.04.01, 40.05.01, 40.05.02, 40.05.03, 40.05.04, 44.03.05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</si>
  <si>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17 от 11.11.2019)</t>
  </si>
  <si>
    <t>798335.02.01</t>
  </si>
  <si>
    <t>Профилактика правонаруш. несовершеннолет.: Уч.пос. / А.А.Беженцев - М.:Вуз.уч.,НИЦ ИНФРА-М,2024-272с(п)</t>
  </si>
  <si>
    <t>978-5-9558-0656-3</t>
  </si>
  <si>
    <t>700701.05.01</t>
  </si>
  <si>
    <t>Профориентация и соц. обуч. со сложными наруш. развития: Уч.пос. / Ткачёва В.В.-М.:НИЦ ИНФРА-М,2024-198с(П)</t>
  </si>
  <si>
    <t>ПРОФОРИЕНТАЦИЯ И СОЦИАЛИЗАЦИЯ ОБУЧАЮЩИХСЯ СО СЛОЖНЫМИ НАРУШЕНИЯМИ РАЗВИТИЯ</t>
  </si>
  <si>
    <t>Ткачёва В.В., Евтушенко И.В., Жигорева М.В. и др.</t>
  </si>
  <si>
    <t>978-5-16-015004-8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</si>
  <si>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18 от 25.11.2019)</t>
  </si>
  <si>
    <t>741929.04.01</t>
  </si>
  <si>
    <t>Профориентация и соц. обучающ. со слож. наруш. развит.: Уч.пос. / Ткачёва В.В. - М.:НИЦ ИНФРА-М,2025. - 198 с.(П)</t>
  </si>
  <si>
    <t>978-5-16-016409-0</t>
  </si>
  <si>
    <t>39.02.01, 44.02.03, 44.02.04, 44.02.05, 44.02.06, 49.02.02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</si>
  <si>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дефектологического профиля (протокол № 5 от 16.03.2020)</t>
  </si>
  <si>
    <t>757840.03.01</t>
  </si>
  <si>
    <t>Процессы и аппараты биотехнологич. очистки сточных вод: Уч.пос. / А.В.Луканин - М.:НИЦ ИНФРА-М,2024-242 с.(П)</t>
  </si>
  <si>
    <t>ПРОЦЕССЫ И АППАРАТЫ БИОТЕХНОЛОГИЧЕСКОЙ ОЧИСТКИ СТОЧНЫХ ВОД</t>
  </si>
  <si>
    <t>978-5-16-016926-2</t>
  </si>
  <si>
    <t>08.02.04, 14.02.01, 15.02.01, 19.01.01, 19.02.15, 20.02.01, 20.02.03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</si>
  <si>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20.02.01 «Рациональное использование природохозяйственных комплексов», 20.02.03 «Природоохранное обустройство территорий» (протокол № 11 от 09.11.2020)</t>
  </si>
  <si>
    <t>436400.10.01</t>
  </si>
  <si>
    <t>Процессы и аппараты биотехнологич. очистки..: Уч.пос. / А.В.Луканин - М.:НИЦ ИНФРА-М,2025 - 242 с.(ВО)(П)</t>
  </si>
  <si>
    <t>978-5-16-020424-6</t>
  </si>
  <si>
    <t>20.03.01, 20.03.02, 20.04.01, 20.04.02</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</si>
  <si>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20.03.02 «Природообустройство и водопользование» (квалификация (степень) «бакалавр»)</t>
  </si>
  <si>
    <t>413550.11.01</t>
  </si>
  <si>
    <t>Процессы и аппараты переработки отходов: Уч..пос. / Б.Б.Бобович - М.:Форум, НИЦ ИНФРА-М,2025. - 287 с.(ВО)(п)</t>
  </si>
  <si>
    <t>ПРОЦЕССЫ И АППАРАТЫ ПЕРЕРАБОТКИ ОТХОДОВ</t>
  </si>
  <si>
    <t>978-5-91134-720-8</t>
  </si>
  <si>
    <t>797755.01.01</t>
  </si>
  <si>
    <t>Процессы и аппараты пищевых производств. Курс. проект: Уч.пос. / В.Тепляшин.-М.:НИЦ ИНФРА-М,2023.-273 с.(ВО)(п)</t>
  </si>
  <si>
    <t>ПРОЦЕССЫ И АППАРАТЫ ПИЩЕВЫХ ПРОИЗВОДСТВ. КУРСОВОЙ ПРОЕКТ</t>
  </si>
  <si>
    <t>Тепляшин В., Ченцова Л., Невзоров В.Н. и др.</t>
  </si>
  <si>
    <t>978-5-16-018414-2</t>
  </si>
  <si>
    <t>15.03.02, 19.03.02, 19.03.03, 19.03.04, 35.03.07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</si>
  <si>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15.03.02 «Технологические машины и оборудование», 19.03.02 «Продукты питания из растительного сырья», 19.03.03 «Продукты питания животного происхождения», 35.03.07 «Технология производства и переработки сельскохозяйственной продукции»</t>
  </si>
  <si>
    <t>664682.03.01</t>
  </si>
  <si>
    <t>Процессы и аппараты текстильных тех. в примерах..:Уч.пос. / М.К.Кошелева-М.:НИЦ ИНФРА-М,2023-321с(П)</t>
  </si>
  <si>
    <t>ПРОЦЕССЫ И АППАРАТЫ ТЕКСТИЛЬНЫХ ТЕХНОЛОГИЙ В ПРИМЕРАХ, ЛАБОРАТОРНЫХ РАБОТАХ И ТЕСТАХ</t>
  </si>
  <si>
    <t>978-5-16-014420-7</t>
  </si>
  <si>
    <t>18.03.01, 20.03.01, 29.03.01, 29.03.05</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</si>
  <si>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18.03.01 и 18.04.01 «Химическая технология», 20.03.01 и 20.04.01 «Техносферная безопасность»</t>
  </si>
  <si>
    <t>709014.03.01</t>
  </si>
  <si>
    <t>Процессы и аппараты текстильных технологий...: Уч.пос. / М.К.Кошелева-М.:НИЦ ИНФРА-М,2023.-321с.(П)</t>
  </si>
  <si>
    <t>978-5-16-015277-6</t>
  </si>
  <si>
    <t>18.02.02, 29.02.05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</si>
  <si>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18.02.02 «Химическая технология отделочного производства и обработки изделий», 29.02.05 «Технология текстильных изделий (по видам)» (протокол № 15 от 14.10.2019)</t>
  </si>
  <si>
    <t>449600.08.01</t>
  </si>
  <si>
    <t>Процессы и аппараты хим.технологий...: Уч.пос./Д.А.Макаренков - М:НИЦ ИНФРА-М,2025 - 211 с.(ВО.) (п)</t>
  </si>
  <si>
    <t>ПРОЦЕССЫ И АППАРАТЫ ХИМИЧЕСКИХ ТЕХНОЛОГИЙ. ОСНОВНЫЕ ПРОЦЕССЫ И ОБОРУДОВАНИЕ ПРОИЗВОДСТВА ПИГМЕНТОВ, СУСПЕНЗИЙ И ПАСТ В ЛАКОКРАСОЧНОЙ ПРОДУКЦИИ</t>
  </si>
  <si>
    <t>Макаренков Д.А., Назаров В.И., Баринский Е.А. и др.</t>
  </si>
  <si>
    <t>978-5-16-020426-0</t>
  </si>
  <si>
    <t>16.05.01, 18.03.01, 18.03.02, 18.04.01, 18.04.02</t>
  </si>
  <si>
    <t>Рекомендовано в качестве учебного пособия для студентов высших учебных заведений, обучающихся по направлениям подготовки 18.03.01 «Химические технологии» и 18.03.02 «Энерго- и ресурсосберегающие процессы в химической технологии, нефтехимии и биотехнологии» (степень бакалавр)</t>
  </si>
  <si>
    <t>452750.09.01</t>
  </si>
  <si>
    <t>Процессы и аппараты химической технологии...: Уч.пос. / К.Р.Таранцева - М.:НИЦ ИНФРА-М,2025 - 412 с.(П)</t>
  </si>
  <si>
    <t>ПРОЦЕССЫ И АППАРАТЫ ХИМИЧЕСКОЙ ТЕХНОЛОГИИ В ТЕХНИКЕ ЗАЩИТЫ ОКРУЖАЮЩЕЙ СРЕДЫ</t>
  </si>
  <si>
    <t>Таранцева К. Р., Таранцев К. В.</t>
  </si>
  <si>
    <t>978-5-16-009258-4</t>
  </si>
  <si>
    <t>18.03.01, 18.03.02, 18.04.01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</si>
  <si>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20.03.01 (280200)</t>
  </si>
  <si>
    <t>767432.02.01</t>
  </si>
  <si>
    <t>Процессы пригот. и подг. к реализ. горячих блюд....: Уч.пос. / Т.И.Медведь - М.:НИЦ ИНФРА-М,2025.-203 с.(СПО)(п)</t>
  </si>
  <si>
    <t>ПРОЦЕССЫ ПРИГОТОВЛЕНИЯ И ПОДГОТОВКИ К РЕАЛИЗАЦИИ ГОРЯЧИХ БЛЮД, КУЛИНАРНЫХ ИЗДЕЛИЙ, ЗАКУСОК СЛОЖНОГО АССОРТИМЕНТА</t>
  </si>
  <si>
    <t>Медведь Т.И.</t>
  </si>
  <si>
    <t>978-5-16-017889-9</t>
  </si>
  <si>
    <t>19.01.18, 19.02.10, 19.02.13, 35.01.23, 35.02.10, 43.01.04, 43.01.09, 43.02.15</t>
  </si>
  <si>
    <t>Севастопольский торгово-экономический техникум</t>
  </si>
  <si>
    <t>364000.05.01</t>
  </si>
  <si>
    <t>Процессы формообразования и инструменты: Уч. / А.А.Черепахин - М.:КУРС, НИЦ ИНФРА-М,2024 - 224 с(СПО)(П)</t>
  </si>
  <si>
    <t>ПРОЦЕССЫ ФОРМООБРАЗОВАНИЯ И ИНСТРУМЕНТЫ</t>
  </si>
  <si>
    <t>Черепахин А.А., Клепиков В.В.</t>
  </si>
  <si>
    <t>978-5-906818-43-0</t>
  </si>
  <si>
    <t>12.02.04, 15.02.01, 15.02.09, 15.02.16, 15.02.17, 15.02.18</t>
  </si>
  <si>
    <t>657075.01.01</t>
  </si>
  <si>
    <t>Процессы формообразования и инструменты: Уч./ М.А.Федоренко и др. - М.:НИЦ ИНФРА-М,2025. - 371 с.(ВО)(п)</t>
  </si>
  <si>
    <t>Федоренко М.А., Бондаренко Ю.А., Дуюн Т.А. и др.</t>
  </si>
  <si>
    <t>978-5-16-016684-1</t>
  </si>
  <si>
    <t>148900.10.01</t>
  </si>
  <si>
    <t>Психодиагностика ребенка: Уч. / В.Г.Каменская - 2 изд. - М.:НИЦ ИНФРА-М,2025. - 350 с.(ВО)(П)</t>
  </si>
  <si>
    <t>ПСИХОДИАГНОСТИКА РЕБЕНКА, ИЗД.2</t>
  </si>
  <si>
    <t>Каменская В.Г., Драганова О.А., Томанов Л.В.</t>
  </si>
  <si>
    <t>978-5-16-015132-8</t>
  </si>
  <si>
    <t>37.03.01, 37.04.01, 44.03.01, 44.03.02, 44.03.03, 44.03.04, 44.03.05, 44.04.02, 44.05.01</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</si>
  <si>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44.03.01 «Педагогическое образование»</t>
  </si>
  <si>
    <t>148900.04.01</t>
  </si>
  <si>
    <t>Психодиагностика ребенка: Уч. / В.Г.Каменская и др.-М.:НИЦ ИНФРА-М,2018.-400 с-(ВО: Бакалавриат)(П)</t>
  </si>
  <si>
    <t>ПСИХОДИАГНОСТИКА РЕБЕНКА</t>
  </si>
  <si>
    <t>Каменская В. Г., Томанов Л. В., Драганова О. А.</t>
  </si>
  <si>
    <t>978-5-16-013454-3</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</si>
  <si>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подготовки 44.03.01 «Педагогическое образование»</t>
  </si>
  <si>
    <t>638311.01.01</t>
  </si>
  <si>
    <t>Психокоррекционная работа с семьями детей с ограниченными возможностями  здоровья:Уч.мет.пос. / Под ред. Ткачева В.В.-М.:НИЦ ИНФРА-М,2</t>
  </si>
  <si>
    <t>ПСИХОКОРРЕКЦИОННАЯ РАБОТА С СЕМЬЯМИ ДЕТЕЙ С ОГРАНИЧЕННЫМИ ВОЗМОЖНОСТЯМИ  ЗДОРОВЬЯ</t>
  </si>
  <si>
    <t>Ткачева В.В., Устинова Е.В., Болотова Н.П. и др.</t>
  </si>
  <si>
    <t>978-5-16-012626-5</t>
  </si>
  <si>
    <t>725292.01.01</t>
  </si>
  <si>
    <t>Психолингвистика для дефектологов: Уч.пос. / О.Г.Ивановская-М.:НИЦ ИНФРА-М,2024.-279 с.(ВО: Бакалавр.)(п)</t>
  </si>
  <si>
    <t>ПСИХОЛИНГВИСТИКА ДЛЯ ДЕФЕКТОЛОГОВ</t>
  </si>
  <si>
    <t>Ивановская О.Г., Шулекина Ю.А.</t>
  </si>
  <si>
    <t>978-5-16-017371-9</t>
  </si>
  <si>
    <t>44.03.03, 45.03.03</t>
  </si>
  <si>
    <t>641123.04.01</t>
  </si>
  <si>
    <t>Психолог в материнской школе: Уч.пос. / Т.И.Чиркова - М.:Вуз. уч., НИЦ ИНФРА-М,2025 - 268 с.(П)</t>
  </si>
  <si>
    <t>ПСИХОЛОГ В МАТЕРИНСКОЙ ШКОЛЕ</t>
  </si>
  <si>
    <t>Чиркова Т.И.</t>
  </si>
  <si>
    <t>978-5-9558-0132-2</t>
  </si>
  <si>
    <t>37.03.01, 37.04.01, 44.03.01, 44.03.02, 44.03.03, 44.03.05, 44.04.01, 44.04.02</t>
  </si>
  <si>
    <t>683168.03.01</t>
  </si>
  <si>
    <t>Психологическая готовность к действ. в чрезв. ситуац.: Уч.пос. / В.Д.Ширшов-М.:НИЦ ИНФРА-М,2023.-329 с.(ВО)(П)</t>
  </si>
  <si>
    <t>ПСИХОЛОГИЧЕСКАЯ ГОТОВНОСТЬ К ДЕЙСТВИЯМ В ЧРЕЗВЫЧАЙНЫХ СИТУАЦИЯХ</t>
  </si>
  <si>
    <t>978-5-16-018634-4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</si>
  <si>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 (протокол № 2 от 03.02.2020)</t>
  </si>
  <si>
    <t>733609.02.01</t>
  </si>
  <si>
    <t>Психологическая помощь в кризисной ситуации: Уч.пос. / О.О.Андронникова - М.:НИЦ ИНФРА-М,2025 - 454 с.(ВО.Сп)(п)</t>
  </si>
  <si>
    <t>ПСИХОЛОГИЧЕСКАЯ ПОМОЩЬ В КРИЗИСНОЙ СИТУАЦИИ</t>
  </si>
  <si>
    <t>978-5-16-017134-0</t>
  </si>
  <si>
    <t>37.04.01, 44.03.01, 44.03.02</t>
  </si>
  <si>
    <t>391200.08.01</t>
  </si>
  <si>
    <t>Психологическая помощь в спец.обр.: Уч. / И.Ю.Левченко-М.:НИЦ ИНФРА-М,2024-314с.(ВО: Бакалавр.)(П)</t>
  </si>
  <si>
    <t>ПСИХОЛОГИЧЕСКАЯ ПОМОЩЬ В СПЕЦИАЛЬНОМ ОБРАЗОВАНИИ</t>
  </si>
  <si>
    <t>Левченко И.Ю., Волковская Т.Н., Ковалева Г.А.</t>
  </si>
  <si>
    <t>978-5-16-011199-5</t>
  </si>
  <si>
    <t>Рекомендовано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t>
  </si>
  <si>
    <t>645377.04.01</t>
  </si>
  <si>
    <t>Психологическая фасилит. раб. шк. учителя: Уч.пос./Р.В.Овчарова,-2изд.-М.:ИЦ РИОР, НИЦ ИНФРА-М,2023-275с</t>
  </si>
  <si>
    <t>ПСИХОЛОГИЧЕСКАЯ ФАСИЛИТАЦИЯ РАБОТЫ ШКОЛЬНОГО УЧИТЕЛЯ, ИЗД.2</t>
  </si>
  <si>
    <t>Овчарова Р.В.</t>
  </si>
  <si>
    <t>978-5-369-01647-3</t>
  </si>
  <si>
    <t>37.03.01, 37.04.01, 44.03.01, 44.03.05, 44.04.01</t>
  </si>
  <si>
    <t>Курганский государственный университет</t>
  </si>
  <si>
    <t>066460.11.01</t>
  </si>
  <si>
    <t>Психологическая экономика: Уч. пос. / Б.А. Райзберг - М.: ИНФРА-М, 2025 - 432 с. (П)</t>
  </si>
  <si>
    <t>ПСИХОЛОГИЧЕСКАЯ ЭКОНОМИКА</t>
  </si>
  <si>
    <t>5-16-002454-9</t>
  </si>
  <si>
    <t>698472.09.01</t>
  </si>
  <si>
    <t>Психологический профайлинг. Прак.: Уч.пос. / Т.В.Мальцева - М.:ИЦ РИОР, НИЦ ИНФРА-М,2025 - 95 с.(ВО)(О)</t>
  </si>
  <si>
    <t>ПСИХОЛОГИЧЕСКИЙ ПРОФАЙЛИНГ</t>
  </si>
  <si>
    <t>Мальцева Т.В., Петров В.Е.</t>
  </si>
  <si>
    <t>978-5-369-01856-9</t>
  </si>
  <si>
    <t>666975.07.01</t>
  </si>
  <si>
    <t>Психологическое консульт. личности...: Уч.пос. /Т.В.Мальцева - М.:ИЦ РИОР,НИЦ ИНФРА-М,2025-136с.(ВО)(О)</t>
  </si>
  <si>
    <t>ПСИХОЛОГИЧЕСКОЕ КОНСУЛЬТИРОВАНИЕ ЛИЧНОСТИ В ПРОЦЕССЕ ПРОФЕССИОНАЛИЗАЦИИ</t>
  </si>
  <si>
    <t>Мальцева Т.В., Реуцкая И.Е., Петров В.Е.</t>
  </si>
  <si>
    <t>978-5-369-01836-1</t>
  </si>
  <si>
    <t>37.05.02, 44.05.01</t>
  </si>
  <si>
    <t>849851.01.01</t>
  </si>
  <si>
    <t>Психология в деят. сотруд. правоохранит. органов: Уч. / Т.В.Мальцева - М.:ИЦ РИОР, НИЦ ИНФРА-М,2025. - 280 с.(п)</t>
  </si>
  <si>
    <t>ПСИХОЛОГИЯ В ДЕЯТЕЛЬНОСТИ СОТРУДНИКОВ ПРАВООХРАНИТЕЛЬНЫХ ОРГАНОВ</t>
  </si>
  <si>
    <t>Мальцева Т.В.</t>
  </si>
  <si>
    <t>978-5-369-01982-5</t>
  </si>
  <si>
    <t>665058.05.01</t>
  </si>
  <si>
    <t>Психология в медицине: Уч.пос. / Г.С.Абрамова - 2 изд. - М.:НИЦ ИНФРА-М,2024 - 273 с(ВО: Спец.)(П)</t>
  </si>
  <si>
    <t>ПСИХОЛОГИЯ В МЕДИЦИНЕ, ИЗД.2</t>
  </si>
  <si>
    <t>Абрамова Г.С., Юдчиц Ю.А.</t>
  </si>
  <si>
    <t>978-5-16-013836-7</t>
  </si>
  <si>
    <t>31.05.02, 34.03.01, 37.05.01</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</si>
  <si>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31.05.02 «Педиатрия» (квалификация  «врач-педиатр общей практики»), 37.05.01 «Клиническая психология» (квалификация «клинический психолог»)</t>
  </si>
  <si>
    <t>363400.08.01</t>
  </si>
  <si>
    <t>Психология воспитания стрес. поведения: Уч.пос./ Н.П.Фетискин-М.:Форум, НИЦ ИНФРА-М,2024-240с(ВО)(о)</t>
  </si>
  <si>
    <t>ПСИХОЛОГИЯ ВОСПИТАНИЯ СТРЕССОСОВЛАДАЮЩЕГО ПОВЕДЕНИЯ</t>
  </si>
  <si>
    <t>978-5-00091-483-0</t>
  </si>
  <si>
    <t>Рекомендовано в качестве учебного пособия для студентов высших учебных заведений, обучающихся по направлениям подготовки 37.03.01 «Психология», 37.03.02 «Конфликтология» (квалификация (степень) «бакалавр»)</t>
  </si>
  <si>
    <t>845607.02.01</t>
  </si>
  <si>
    <t>Психология воспитания стрессосовладающего поведения / Н.П.Фетискин - М.:Форум, НИЦ ИНФРА-М,2024. - 240 с.(п)</t>
  </si>
  <si>
    <t>978-5-00091-816-6</t>
  </si>
  <si>
    <t>37.03.02, 37.05.01</t>
  </si>
  <si>
    <t>712986.08.01</t>
  </si>
  <si>
    <t>Психология делового общения: Уч. / Г.В.Бороздина - 3 изд. - М.:НИЦ ИНФРА-М,2019 - 320 с.-(СПО)(П</t>
  </si>
  <si>
    <t>ПСИХОЛОГИЯ ДЕЛОВОГО ОБЩЕНИЯ, ИЗД.3</t>
  </si>
  <si>
    <t>Бороздина Г.В.</t>
  </si>
  <si>
    <t>978-5-16-015397-1</t>
  </si>
  <si>
    <t>00.01.04, 00.02.15, 24.02.01, 38.02.02, 38.02.08, 39.02.03, 43.02.02, 43.02.06, 43.02.16, 46.02.01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</si>
  <si>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6 от 25.03.2019)</t>
  </si>
  <si>
    <t>Белорусский государственный экономический университет</t>
  </si>
  <si>
    <t>011511.22.01</t>
  </si>
  <si>
    <t>Психология делового общения: Уч. / Г.В.Бороздина - 3 изд. - М.:НИЦ ИНФРА-М,2025 - 320 с.(ВО)(П)</t>
  </si>
  <si>
    <t>978-5-16-013292-1</t>
  </si>
  <si>
    <t>37.03.01, 37.03.02, 38.03.01, 38.03.02, 38.03.03, 40.03.01, 42.03.01, 42.03.02, 42.03.04, 42.03.05, 43.03.01, 43.03.02, 43.03.03, 44.03.01, 44.03.02</t>
  </si>
  <si>
    <t>Рекомендовано Учебно-методическим советом ВО в качестве учебника для студентов высших учебных заведений, обучающихся по укрупненным группам специальностей 38.00.00 «Экономика и управление», 40.00.00 «Юриспруденция» (квалификация (степень) «бакалавр»)</t>
  </si>
  <si>
    <t>666532.04.01</t>
  </si>
  <si>
    <t>Психология дошкольника: прак.: Уч.пос. / Г.А.Урунтаева - 4 изд. - М.:НИЦ ИНФРА-М,2025 - 401 с.(ВО)(п)</t>
  </si>
  <si>
    <t>ПСИХОЛОГИЯ ДОШКОЛЬНИКА: ПРАКТИКУМ, ИЗД.4</t>
  </si>
  <si>
    <t>978-5-16-019435-6</t>
  </si>
  <si>
    <t>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</si>
  <si>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44.03.02 «Психолого-педагогическое образование» (квалификация (степень) «бакалавр») (протокол № 10 от 12.10.2020)</t>
  </si>
  <si>
    <t>758048.05.01</t>
  </si>
  <si>
    <t>Психология дошкольника: практикум: Уч.пос. / Г.А.Урунтаева - 4 изд. - М.:НИЦ ИНФРА-М,2024 - 401 с.-(СПО)(П)</t>
  </si>
  <si>
    <t>978-5-16-016967-5</t>
  </si>
  <si>
    <t>39.02.01, 44.02.01, 44.02.03, 44.02.04, 44.02.05, 49.02.02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</si>
  <si>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12 от 14.12.2020)</t>
  </si>
  <si>
    <t>183300.12.01</t>
  </si>
  <si>
    <t>Психология зависимостей (аддиктология): Уч.пос. / Б.Р.Мандель, - 2 изд. - М.:НИЦ ИНФРА-М,2025 - 334 с.(ВО)(п)</t>
  </si>
  <si>
    <t>ПСИХОЛОГИЯ ЗАВИСИМОСТЕЙ (АДДИКТОЛОГИЯ), ИЗД.2</t>
  </si>
  <si>
    <t>978-5-16-019884-2</t>
  </si>
  <si>
    <t>37.03.01, 44.03.02, 44.03.03, 44.04.02, 44.04.03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</si>
  <si>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37.00.00 «Психологические науки», 44.00.00 «Образование и педагогические науки» (квалификация (степень) «бакалавр») и 31.05.00 «Клиническая медицина» (протокол № 19 от 09.12.2019)</t>
  </si>
  <si>
    <t>183300.06.01</t>
  </si>
  <si>
    <t>Психология зависимостей (аддиктология):Уч.пос. / Б.Р.Мандель-М.:Вузовский учебник, НИЦ ИНФРА-М,2019.-320 с.(п)</t>
  </si>
  <si>
    <t>ПСИХОЛОГИЯ ЗАВИСИМОСТЕЙ (АДДИКТОЛОГИЯ)</t>
  </si>
  <si>
    <t>978-5-9558-0406-4</t>
  </si>
  <si>
    <t>085750.12.01</t>
  </si>
  <si>
    <t>Психология и педагогика: Уч. / А.И.Кравченко-М.:НИЦ ИНФРА-М,2024.-352 с..-(ВО)(п)</t>
  </si>
  <si>
    <t>ПСИХОЛОГИЯ И ПЕДАГОГИКА</t>
  </si>
  <si>
    <t>Кравченко А. И.</t>
  </si>
  <si>
    <t>978-5-16-019278-9</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</si>
  <si>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39.03.01 "Социология"</t>
  </si>
  <si>
    <t>116750.08.01</t>
  </si>
  <si>
    <t>Психология и педагогика: Уч.пос. / А.И.Кравченко -М.:ИЦ РИОР,НИЦ ИНФРА-М,2024-112с.(ВО:Бакалавр.)(о)</t>
  </si>
  <si>
    <t>978-5-369-00544-6</t>
  </si>
  <si>
    <t>00.03.15, 00.05.15, 39.03.01</t>
  </si>
  <si>
    <t>Допущено УМО по классическому университетскому образованию в качестве учебного пособия для студентов вузов, обучающихся по направлению 040200 "Социология"</t>
  </si>
  <si>
    <t>405850.08.01</t>
  </si>
  <si>
    <t>Психология и педагогика: Уч.пос. / О.В.Пастюк - М.:НИЦ ИНФРА-М,2025 - 160 с.(ВО: Бакалавриат)(П)</t>
  </si>
  <si>
    <t>Пастюк О.В.</t>
  </si>
  <si>
    <t>978-5-16-006300-3</t>
  </si>
  <si>
    <t>00.03.15, 00.05.15, 38.03.02, 38.03.06, 39.03.02, 42.03.01</t>
  </si>
  <si>
    <t>Рекомендовано в качестве учебного пособия для студентов высших учебных заведений, обучающихся по направлениям подготовки 38.03.02 «Менеджмент», 42.03.01 «Реклама и связи с общественностью», 38.03.06 «Торговое дело» (квалификация (степень) «бакалавр»)</t>
  </si>
  <si>
    <t>061950.18.01</t>
  </si>
  <si>
    <t>Психология и педагогика: Уч.пос. / Э.В.Островский, - 2 изд. - М.:Вуз. уч., НИЦ ИНФРА-М,2025 - 368 с.(п)</t>
  </si>
  <si>
    <t>ПСИХОЛОГИЯ И ПЕДАГОГИКА, ИЗД.2</t>
  </si>
  <si>
    <t>Островский Э. В., Чернышова Л. И.</t>
  </si>
  <si>
    <t>978-5-9558-0538-2</t>
  </si>
  <si>
    <t>Допущено Мин. обр. и науки РФ в качестве учебного пособия для студентов высших учебных заведений, обучающихся по экономическим специальностям</t>
  </si>
  <si>
    <t>471900.07.01</t>
  </si>
  <si>
    <t>Психология и психопат. познав. деят.: Уч.пос. /Г.Н.Носачев -М.: Форум, НИЦ ИНФРА-М, 2024-240с(ВО)(О)</t>
  </si>
  <si>
    <t>ПСИХОЛОГИЯ И ПСИХОПАТОЛОГИЯ ПОЗНАВАТЕЛЬНОЙ ДЕЯТЕЛЬНОСТИ (ОСНОВНЫЕ СИМПТОМЫ И СИНДРОМЫ)</t>
  </si>
  <si>
    <t>Носачев Г.Н., Носачев И.Г.</t>
  </si>
  <si>
    <t>978-5-00091-609-4</t>
  </si>
  <si>
    <t>31.05.01, 37.03.01, 37.05.01</t>
  </si>
  <si>
    <t>Рекомендовано в качестве учебного пособия для студентов высших учебных заведений, обучающихся по направлению подготовки «Психология»</t>
  </si>
  <si>
    <t>Национальный медицинский исследовательский центр психиатрии и наркологии им. В.П. Сербского</t>
  </si>
  <si>
    <t>172350.10.01</t>
  </si>
  <si>
    <t>Психология и социология в рекламе: Уч.пос. / В.Л.Музыкант - М.:ИЦ РИОР, НИЦ ИНФРА-М,2025. - 218 с.(ВО)(п)</t>
  </si>
  <si>
    <t>ПСИХОЛОГИЯ И СОЦИОЛОГИЯ В РЕКЛАМЕ</t>
  </si>
  <si>
    <t>978-5-369-00990-1</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</si>
  <si>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 032401-Реклама, 080111-Маркетинг и по напр 100700-Торг. дело</t>
  </si>
  <si>
    <t>487500.05.01</t>
  </si>
  <si>
    <t>Психология личности и деятел. педагога: Уч.пос. / С.В.Духновский-М.:ИЦ РИОР,НИЦ ИНФРА-М,2024-300(ВО)</t>
  </si>
  <si>
    <t>ПСИХОЛОГИЯ ЛИЧНОСТИ И ДЕЯТЕЛЬНОСТИ ПЕДАГОГА</t>
  </si>
  <si>
    <t>Духновский С.В.</t>
  </si>
  <si>
    <t>978-5-369-01537-7</t>
  </si>
  <si>
    <t>37.03.01, 44.04.02</t>
  </si>
  <si>
    <t>271900.10.01</t>
  </si>
  <si>
    <t>Психология личности: Уч. / П.С.Гуревич, - 2 изд. - М.:НИЦ ИНФРА-М,2025. - 479 с.(ВО)(п)</t>
  </si>
  <si>
    <t>ПСИХОЛОГИЯ ЛИЧНОСТИ, ИЗД.2</t>
  </si>
  <si>
    <t>978-5-16-019349-6</t>
  </si>
  <si>
    <t>Рекомендовано в качестве учебника для студентов высших учебных заведений, обучающихся по направлениям подготовки 37.03.01 «Психология», 47.03.01 «Философия» (квалификация (степень) «бакалавр»)</t>
  </si>
  <si>
    <t>651246.07.01</t>
  </si>
  <si>
    <t>Психология массовых коммуникаций: Уч. / А.М.Руденко - М.:ИЦ РИОР, НИЦ ИНФРА-М,2023 - 303 с.(ВО)(п)</t>
  </si>
  <si>
    <t>ПСИХОЛОГИЯ МАССОВЫХ КОММУНИКАЦИЙ</t>
  </si>
  <si>
    <t>Руденко А.М., Литвинова А.В.</t>
  </si>
  <si>
    <t>978-5-369-01663-3</t>
  </si>
  <si>
    <t>639469.07.01</t>
  </si>
  <si>
    <t>Психология межнациональных отношений: Курс лекций / В.Г.Крысько - 2 изд. - М.:Вуз.уч.,НИЦ ИНФРА-М,2025-228 с.(П)</t>
  </si>
  <si>
    <t>ПСИХОЛОГИЯ МЕЖНАЦИОНАЛЬНЫХ ОТНОШЕНИЙ, ИЗД.2</t>
  </si>
  <si>
    <t>978-5-16-020191-7</t>
  </si>
  <si>
    <t>37.03.01, 37.04.01, 41.04.01, 51.03.02</t>
  </si>
  <si>
    <t>240200.07.01</t>
  </si>
  <si>
    <t>Психология менеджмента: Уч. пос. / Э.В. Островский - М.: Вуз. уч.:  НИЦ ИНФРА-М, 2023 - 240 с. (П)</t>
  </si>
  <si>
    <t>ПСИХОЛОГИЯ МЕНЕДЖМЕНТА</t>
  </si>
  <si>
    <t>978-5-9558-0340-1</t>
  </si>
  <si>
    <t>37.03.01, 37.04.01, 38.03.02, 38.04.02, 41.03.06, 42.03.01, 44.03.02, 44.04.02</t>
  </si>
  <si>
    <t>071870.20.01</t>
  </si>
  <si>
    <t>Психология общения. Практ.по психолог.: Уч.пос. / Н.С.Ефимова - М.:ИД ФОРУМ,НИЦ ИНФРА-М,2025 - 192 с.(СПО)(П)</t>
  </si>
  <si>
    <t>ПСИХОЛОГИЯ ОБЩЕНИЯ. ПРАКТИКУМ ПО ПСИХОЛОГИИ</t>
  </si>
  <si>
    <t>978-5-8199-0693-4</t>
  </si>
  <si>
    <t>00.01.04, 00.02.15, 39.02.01, 44.02.01, 44.02.02, 44.02.03, 44.02.04, 44.02.05, 44.02.06</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</si>
  <si>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"Образование и педагогические науки"</t>
  </si>
  <si>
    <t>705966.08.01</t>
  </si>
  <si>
    <t>Психология общения. Практ.по психолог.: Уч.пос. / Н.С.Ефимова-М.:ИД ФОРУМ, НИЦ ИНФРА-М,2024-192с(ВО)</t>
  </si>
  <si>
    <t>978-5-8199-0957-7</t>
  </si>
  <si>
    <t>01.03.02, 07.03.01, 08.03.01, 19.03.03, 37.03.01, 37.04.01, 37.05.02, 38.03.01, 38.03.02, 38.03.03, 38.03.04, 38.03.06, 38.04.01, 38.04.02, 38.04.03, 38.04.04, 38.04.06, 38.05.02, 39.03.01, 39.03.02, 42.03.01, 42.04.01, 43.04.01, 44.03.05, 46.03.02, 51.03.03, 51.04.03</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</si>
  <si>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t>
  </si>
  <si>
    <t>639844.05.01</t>
  </si>
  <si>
    <t>Психология познавательных процессов: Уч.пос./ З.А.Киреева-М.:ИЦ РИОР, НИЦ ИНФРА-М,2023.-137 с.(О)</t>
  </si>
  <si>
    <t>ПСИХОЛОГИЯ ПОЗНАВАТЕЛЬНЫХ ПРОЦЕССОВ</t>
  </si>
  <si>
    <t>Киреева З.А.</t>
  </si>
  <si>
    <t>978-5-369-01613-8</t>
  </si>
  <si>
    <t>37.03.01, 44.03.04, 44.03.05</t>
  </si>
  <si>
    <t>275000.08.01</t>
  </si>
  <si>
    <t>Психология потребител. поведения...: Уч.пос. / Н.В.Антонова - М.:НИЦ ИНФРА-М,2025. - 325 с.(ВО)(п)</t>
  </si>
  <si>
    <t>ПСИХОЛОГИЯ ПОТРЕБИТЕЛЬСКОГО ПОВЕДЕНИЯ, РЕКЛАМЫ И PR</t>
  </si>
  <si>
    <t>Антонова Н.В., Патоша О.И.</t>
  </si>
  <si>
    <t>978-5-16-020792-6</t>
  </si>
  <si>
    <t>37.03.01, 37.04.01, 38.03.02, 38.04.02, 42.03.01, 42.04.01</t>
  </si>
  <si>
    <t>Рекомендовано в качестве учебного пособия для студентов высших учебных заведений, обучающихся по направлениям подготовки 37.04.01 «Психология», 42.04.01 «Реклама и связи с общественностью», 38.04.02 «Менеджмент» (квалификация (степень) «магистр»)</t>
  </si>
  <si>
    <t>657341.05.01</t>
  </si>
  <si>
    <t>Психология развит. и возраст. психология: Уч.пос. / Е.Е.Сапогова - 2 изд.-М.:НИЦ ИНФРА-М,2025-638с(ВО)(п)</t>
  </si>
  <si>
    <t>ПСИХОЛОГИЯ РАЗВИТИЯ И ВОЗРАСТНАЯ ПСИХОЛОГИЯ, ИЗД.2</t>
  </si>
  <si>
    <t>978-5-16-020453-6</t>
  </si>
  <si>
    <t>37.03.01, 37.05.01, 37.05.02, 44.03.01, 44.03.05, 44.04.01</t>
  </si>
  <si>
    <t>727258.01.01</t>
  </si>
  <si>
    <t>Психология разрушения: Уч.пос. / Т.И.Чиркова - М.:НИЦ ИНФРА-М,2021 - 230 с.(ВО: Магистратура)(П)</t>
  </si>
  <si>
    <t>ПСИХОЛОГИЯ РАЗРУШЕНИЯ</t>
  </si>
  <si>
    <t>978-5-16-016099-3</t>
  </si>
  <si>
    <t>37.04.01, 37.05.01, 37.05.02, 47.04.01</t>
  </si>
  <si>
    <t>083840.11.01</t>
  </si>
  <si>
    <t>Психология рекламы: Уч. пос./ М.И. Тимофеев. - 2 изд. - М.: РИОР: ИНФРА-М, 2024. - 224 с. (ВПО)(о к/ф)</t>
  </si>
  <si>
    <t>ПСИХОЛОГИЯ РЕКЛАМЫ, ИЗД.2</t>
  </si>
  <si>
    <t>Тимофеев М. И.</t>
  </si>
  <si>
    <t>978-5-369-01373-1</t>
  </si>
  <si>
    <t>38.03.02, 38.03.06, 38.04.02, 41.03.06, 42.03.01, 42.03.05, 42.04.01, 42.04.05</t>
  </si>
  <si>
    <t>239100.08.01</t>
  </si>
  <si>
    <t>Психология рекламы: Уч.пос. / Е.В.Маркова - М.:Форум, НИЦ ИНФРА-М,2024 - 152 с.(О)</t>
  </si>
  <si>
    <t>ПСИХОЛОГИЯ РЕКЛАМЫ</t>
  </si>
  <si>
    <t>Маркова Е.В.</t>
  </si>
  <si>
    <t>978-5-91134-815-1</t>
  </si>
  <si>
    <t>37.03.01, 38.03.01, 38.03.02, 42.03.01, 42.03.04, 42.03.05</t>
  </si>
  <si>
    <t>Рекомендовано в качестве учебного пособия для студентов высших учебных заведений, обучающихся по специальностям «Организационная психология и менеджмент», «Консультационная психология», «Социальная и политическая психология»</t>
  </si>
  <si>
    <t>117970.16.01</t>
  </si>
  <si>
    <t>Психология современного терроризма: Уч.пос. / В.А.Соснин - 2 изд.-М.:Форум, НИЦ ИНФРА-М,2024 - 160 с.(ВО)(О)</t>
  </si>
  <si>
    <t>ПСИХОЛОГИЯ СОВРЕМЕННОГО ТЕРРОРИЗМА, ИЗД.2</t>
  </si>
  <si>
    <t>Соснин В. А.</t>
  </si>
  <si>
    <t>978-5-00091-523-3</t>
  </si>
  <si>
    <t>37.03.01, 37.03.02, 37.05.01, 37.05.02, 39.03.01, 39.03.02, 39.03.03</t>
  </si>
  <si>
    <t>Рекомендовано в качестве учебного пособия для студентов высших учебных заведений, обучающихся по направлениям подготовки 37.03.01 «Психология», 39.03.01 «Социология» (квалификация (степень) «бакалавр»)</t>
  </si>
  <si>
    <t>Институт психологии Российской академии наук</t>
  </si>
  <si>
    <t>814943.01.01</t>
  </si>
  <si>
    <t>Психология стрессоуст. поведения в схемах и рисунках: Уч.пос./М.А.Мадоян-М.:НИЦ ИНФРА-М,2025-185 с.(ВО)(п)</t>
  </si>
  <si>
    <t>ПСИХОЛОГИЯ СТРЕССОУСТОЙЧИВОГО ПОВЕДЕНИЯ В СХЕМАХ И РИСУНКАХ</t>
  </si>
  <si>
    <t>Мадоян М.А., Мадоян С.М.</t>
  </si>
  <si>
    <t>978-5-16-019327-4</t>
  </si>
  <si>
    <t>37.03.01, 37.03.02, 37.04.01, 37.04.02, 37.05.01, 37.05.02, 40.03.01, 40.04.01, 40.05.01, 40.05.02, 40.05.04, 44.05.01</t>
  </si>
  <si>
    <t>642517.06.01</t>
  </si>
  <si>
    <t>Психология творческого мышления: Уч.пос. / М.М.Кашапов-М.:НИЦ ИНФРА-М,2023.-436 с.(ВО)(п)</t>
  </si>
  <si>
    <t>ПСИХОЛОГИЯ ТВОРЧЕСКОГО МЫШЛЕНИЯ</t>
  </si>
  <si>
    <t>Кашапов М.М.</t>
  </si>
  <si>
    <t>978-5-16-019262-8</t>
  </si>
  <si>
    <t>37.03.01, 37.04.01, 44.03.01, 44.03.02, 44.03.04, 44.03.05, 44.04.01, 44.04.02, 44.04.04</t>
  </si>
  <si>
    <t>Рекомендовано в качестве учебного пособия для студентов высших учебных заведений, обучающихся по направлениям подготовки 37.03.01 «Психология» (квалификация (степень) «бакалавр»), 44.04.04 «Профессиональное обучение» (квалификация (степень) «магистр»)</t>
  </si>
  <si>
    <t>185800.12.01</t>
  </si>
  <si>
    <t>Психология эмоции. Классические..: Уч.пос. / Ю.Е.Кравченко - М.:Форум, НИЦ ИНФРА-М,2025. - 544 с.(ВО)(п)</t>
  </si>
  <si>
    <t>ПСИХОЛОГИЯ ЭМОЦИИ. КЛАССИЧЕСКИЕ И СОВРЕМЕННЫЕ ТЕОРИИ И ИССЛЕДОВАНИЯ</t>
  </si>
  <si>
    <t>Кравченко Ю.Е.</t>
  </si>
  <si>
    <t>978-5-00091-799-2</t>
  </si>
  <si>
    <t>37.03.01, 37.03.02, 37.04.01, 37.04.02, 37.05.01, 37.05.02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</si>
  <si>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37.00.00 «Психологические науки» (квалификация (степень) «бакалавр») (протокол № 5 от 11.03.2019)</t>
  </si>
  <si>
    <t>407300.10.01</t>
  </si>
  <si>
    <t>Психология. Курс лекций: Уч.пос. / В.Г.Крысько - М.:Вуз. уч.,НИЦ ИНФРА-М,2023 - 251 с.(П)</t>
  </si>
  <si>
    <t>ПСИХОЛОГИЯ. КУРС ЛЕКЦИЙ</t>
  </si>
  <si>
    <t>978-5-9558-0249-7</t>
  </si>
  <si>
    <t>719348.03.01</t>
  </si>
  <si>
    <t>Психология. Курс лекций: Уч.пос. / В.Г.Крысько-М.:Вуз. уч., НИЦ ИНФРА-М,2023-251 с.(СПО)(П)</t>
  </si>
  <si>
    <t>978-5-9558-0638-9</t>
  </si>
  <si>
    <t>00.01.04, 00.02.15</t>
  </si>
  <si>
    <t>270400.10.01</t>
  </si>
  <si>
    <t>Психология: Уч. / П.С. Гуревич. - 2 изд. - М.: НИЦ ИНФРА-М, 2025. - 332 с.(ВО:Бакалавр.)(п)</t>
  </si>
  <si>
    <t>ПСИХОЛОГИЯ, ИЗД.2</t>
  </si>
  <si>
    <t>978-5-16-009651-3</t>
  </si>
  <si>
    <t>646175.04.01</t>
  </si>
  <si>
    <t>Психология: Уч. пос. / Т.В.Мальцева-М.:ИЦ РИОР, НИЦ ИНФРА-М,2024.-275 с..-(ВО)(п)</t>
  </si>
  <si>
    <t>ПСИХОЛОГИЯ</t>
  </si>
  <si>
    <t>978-5-369-01639-8</t>
  </si>
  <si>
    <t>640360.06.01</t>
  </si>
  <si>
    <t>Психолого-педагог. поддержка  семьи ребенка с...: Уч. / Е.А.Стребелева - М.:НИЦ ИНФРА-М,2025. - 184 с.(ВО)(п)</t>
  </si>
  <si>
    <t>ПСИХОЛОГО-ПЕДАГОГИЧЕСКАЯ ПОДДЕРЖКА  СЕМЬИ РЕБЕНКА С ОГРАНИЧЕННЫМИ ВОЗМОЖНОСТЯМИ ЗДОРОВЬЯ</t>
  </si>
  <si>
    <t>Стребелева Е.А., Мишина Г.А.</t>
  </si>
  <si>
    <t>978-5-16-018799-0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</si>
  <si>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 (протокол № 13 от 16.09.2019)</t>
  </si>
  <si>
    <t>479400.07.01</t>
  </si>
  <si>
    <t>Психолого-педагог. сопровожд. образ. процесса:Уч.пос./Б.Р.Мандель -М.:НИЦ ИНФРА-М,2024-152 с.(О)</t>
  </si>
  <si>
    <t>ПСИХОЛОГО-ПЕДАГОГИЧЕСКОЕ СОПРОВОЖДЕНИЕ ОБРАЗОВАТЕЛЬНОГО ПРОЦЕССА</t>
  </si>
  <si>
    <t>978-5-16-018892-8</t>
  </si>
  <si>
    <t>44.04.02</t>
  </si>
  <si>
    <t>695781.02.01</t>
  </si>
  <si>
    <t>Психолого-педагог. теории и технологии нач. обр.: Уч.метод. пос. / С.В.Пазухина-М.:НИЦ ИНФРА-М,2023-231 с.(ВО)(П)</t>
  </si>
  <si>
    <t>ПСИХОЛОГО-ПЕДАГОГИЧЕСКИЕ ТЕОРИИ И ТЕХНОЛОГИИ НАЧАЛЬНОГО ОБРАЗОВАНИЯ</t>
  </si>
  <si>
    <t>Пазухина С.В., Шайденкова Т.Н.</t>
  </si>
  <si>
    <t>978-5-16-014737-6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</si>
  <si>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 (протокол № 11 от 26.10.2020)</t>
  </si>
  <si>
    <t>Тульский государственный университет</t>
  </si>
  <si>
    <t>729725.05.01</t>
  </si>
  <si>
    <t>Психолого-педагогич. поддержка семьи ребенка с огранич....: Уч. / Е.А.Стребелева-М.:НИЦ ИНФРА-М,2025.-178с(П)</t>
  </si>
  <si>
    <t>ПСИХОЛОГО-ПЕДАГОГИЧЕСКАЯ ПОДДЕРЖКА СЕМЬИ РЕБЕНКА С ОГРАНИЧЕННЫМИ ВОЗМОЖНОСТЯМИ ЗДОРОВЬЯ</t>
  </si>
  <si>
    <t>978-5-16-015921-8</t>
  </si>
  <si>
    <t>39.02.01, 44.02.01, 44.02.02, 44.02.03, 44.02.04, 44.02.05, 44.02.06, 49.02.01, 49.02.02, 51.02.01, 53.02.01, 54.02.06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</si>
  <si>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14 от 30.09.2019)</t>
  </si>
  <si>
    <t>642420.10.01</t>
  </si>
  <si>
    <t>Психофизиология проф. деят.: умственный труд: Уч.пос. / Е.В.Сухова - М.:НИЦ ИНФРА-М,2025 - 155 с.(ВО)(О)</t>
  </si>
  <si>
    <t>ПСИХОФИЗИОЛОГИЯ ПРОФЕССИОНАЛЬНОЙ ДЕЯТЕЛЬНОСТИ: УМСТВЕННЫЙ ТРУД</t>
  </si>
  <si>
    <t>Сухова Е.В.</t>
  </si>
  <si>
    <t>978-5-16-012389-9</t>
  </si>
  <si>
    <t>Рекомендовано в качестве учебного пособия для студентов высших учебных заведений, обучающихся по направлениям подготовки 38.03.03 «Управление персоналом», 38.03.02 «Менеджмент» (квалификация (степень) «бакалавр»)</t>
  </si>
  <si>
    <t>Медицинский университет "Реавиз"</t>
  </si>
  <si>
    <t>346500.13.01</t>
  </si>
  <si>
    <t>Психофизиология: общая, возрастная, дифференц...: Уч. / Т.М.Марютина - М.:НИЦ ИНФРА-М,2025 - 436 с.(ВО)(п)</t>
  </si>
  <si>
    <t>ПСИХОФИЗИОЛОГИЯ: ОБЩАЯ, ВОЗРАСТНАЯ, ДИФФЕРЕНЦИАЛЬНАЯ, КЛИНИЧЕСКАЯ</t>
  </si>
  <si>
    <t>Марютина Т.М.</t>
  </si>
  <si>
    <t>978-5-16-018805-8</t>
  </si>
  <si>
    <t>Рекомендовано в качестве учебника для студентов высших учебных заведений, обучающихся по направлению подготовки 37.03.01 «Психология» (квалификация (степень) «бакалавр»)</t>
  </si>
  <si>
    <t>464650.10.01</t>
  </si>
  <si>
    <t>Психофизиология: Уч.пос. / С.Г.Кривощеков - М.:НИЦ ИНФРА-М,2023 - 249 с.-(ВО)(П)</t>
  </si>
  <si>
    <t>ПСИХОФИЗИОЛОГИЯ</t>
  </si>
  <si>
    <t>С.Г.Кривощеков, Р.И.Айзман</t>
  </si>
  <si>
    <t>978-5-16-009649-0</t>
  </si>
  <si>
    <t>31.05.01, 31.05.02, 32.04.01, 32.05.01, 33.05.01, 34.03.01, 37.03.01, 37.03.02, 37.05.01, 37.05.02, 44.03.01, 44.04.01</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</si>
  <si>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педагогического направления 44.03.01, 44.04.01, профилей «Безопасность жизнедеятельности», «Биология» и «Психология»</t>
  </si>
  <si>
    <t>227900.14.01</t>
  </si>
  <si>
    <t>Психофизиология: Уч.пос. / Ю.Н.Самко - М.:НИЦ ИНФРА-М,2025 - 155 с.(ВО)(П)</t>
  </si>
  <si>
    <t>978-5-16-011402-6</t>
  </si>
  <si>
    <t>06.03.01, 06.04.01, 30.05.02, 31.05.01, 31.05.02, 37.03.01, 37.04.01, 37.05.01</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</si>
  <si>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06.03.01 «Биология», 37.03.01 «Психология» (квалификация (степень) «бакалавр»)</t>
  </si>
  <si>
    <t>689984.05.01</t>
  </si>
  <si>
    <t>Птицеводство: Уч. / Под общ. ред. В.А.Реймера - М.:НИЦ ИНФРА-М,2024 - 389 с.(ВО)(П)</t>
  </si>
  <si>
    <t>ПТИЦЕВОДСТВО</t>
  </si>
  <si>
    <t>Реймер В.А.</t>
  </si>
  <si>
    <t>978-5-16-020063-7</t>
  </si>
  <si>
    <t>35.03.07, 36.03.02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</si>
  <si>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36.03.02 «Зоотехния», 35.03.07 «Технология производства и переработки сельскохозяйственной продукции» (квалификация (степень) «бакалавр») (протокол № 11 от 10.06.2019)</t>
  </si>
  <si>
    <t>664198.02.01</t>
  </si>
  <si>
    <t>Публичные доходы в РФ: фин.-прав.аспект: Моногр. / Н.В.Васильева-М.:Юр.Норма, НИЦ ИНФРА-М,2019-304с.</t>
  </si>
  <si>
    <t>ПУБЛИЧНЫЕ ДОХОДЫ В РФ: ФИНАНСОВО-ПРАВОВОЙ АСПЕКТ</t>
  </si>
  <si>
    <t>Васильева Н.В., Грачева Е.Ю.</t>
  </si>
  <si>
    <t>978-5-91768-851-0</t>
  </si>
  <si>
    <t>38.04.01, 38.04.02, 38.04.04, 38.04.08, 40.04.01</t>
  </si>
  <si>
    <t>306900.09.01</t>
  </si>
  <si>
    <t>Пчеловодство: Уч. / Н.Н.Харченко - 2 изд. - М.:НИЦ ИНФРА-М,2025 - 383 с.(ВО:Бакалавриат)(П)</t>
  </si>
  <si>
    <t>ПЧЕЛОВОДСТВО, ИЗД.2</t>
  </si>
  <si>
    <t>Н.Н.Харченко, В.Е.Рындин</t>
  </si>
  <si>
    <t>978-5-16-010266-5</t>
  </si>
  <si>
    <t>Рекомендовано в качестве учебника для студентов высших учебных заведений, обучающихся по направлениям подготовки 35.03.03 «Агрохимия и почвоведение", 35.03.05 «Агрохимия», 35.03.06 «Садоводство", 35.03.01 «Лесное дело", 05.03.06 «Экология и природопо</t>
  </si>
  <si>
    <t>828958.01.01</t>
  </si>
  <si>
    <t>Работа номеров расчета Д-30 при подг. матер. части..: Уч.пос. / В.А.Мельничук - М.:НИЦ ИНФРА-М,2025 - 140 с.(ВО)(п)</t>
  </si>
  <si>
    <t>РАБОТА НОМЕРОВ РАСЧЕТА Д-30 ПРИ ПОДГОТОВКЕ МАТЕРИАЛЬНОЙ ЧАСТИ ГАУБИЦЫ И БОЕПРИПАСОВ К БОЕВОМУ ПРИМЕНЕНИЮ</t>
  </si>
  <si>
    <t>978-5-16-019959-7</t>
  </si>
  <si>
    <t>56.04.02, 56.04.03, 56.04.04, 56.07.01</t>
  </si>
  <si>
    <t>153750.08.01</t>
  </si>
  <si>
    <t>Работа психолога в многонациональной школе: Уч. пос. / О.В.Хухлаева - М.: Форум, 2025 - 176 с. (ВО) (О)</t>
  </si>
  <si>
    <t>РАБОТА ПСИХОЛОГА В МНОГОНАЦИОНАЛЬНОЙ ШКОЛЕ</t>
  </si>
  <si>
    <t>Хухлаева О. В., Чибисова М. Ю.</t>
  </si>
  <si>
    <t>978-5-91134-537-2</t>
  </si>
  <si>
    <t>37.03.01, 37.04.01, 44.03.02, 44.03.04, 44.03.05, 44.04.02</t>
  </si>
  <si>
    <t>243900.07.01</t>
  </si>
  <si>
    <t>Рабочая тетр. по первой, общей части технич. графики: Уч. пос. / Е.А.Василенко - М:ИНФРА-М,2024-112с.(СПО)(О)</t>
  </si>
  <si>
    <t>РАБОЧАЯ ТЕТРАДЬ ПО ПЕРВОЙ, ОБЩЕЙ ЧАСТИ ТЕХНИЧЕСКОЙ ГРАФИКИ</t>
  </si>
  <si>
    <t>Василенко Е. А., Перегуд М. В., Чекмарев А. А.</t>
  </si>
  <si>
    <t>978-5-16-009273-7</t>
  </si>
  <si>
    <t>00.02.31, 26.02.04, 54.02.01</t>
  </si>
  <si>
    <t>073770.06.01</t>
  </si>
  <si>
    <t>Рабочая тетрадь по курсу макроэкономики / Р.М.Нуреев-М.:НОРМА, НИЦ ИНФРА-М,2024.-112 с.(о)</t>
  </si>
  <si>
    <t>РАБОЧАЯ ТЕТРАДЬ ПО КУРСУ МАКРОЭКОНОМИКИ</t>
  </si>
  <si>
    <t>Нуреев Р.М., Нуреева Н.А.</t>
  </si>
  <si>
    <t>978-5-468-00008-3</t>
  </si>
  <si>
    <t>073740.09.01</t>
  </si>
  <si>
    <t>Рабочая тетрадь по курсу микроэкономики / Р.М.Нуреев - М.:Юр.Норма, НИЦ ИНФРА-М,2024.-176 с.(О)</t>
  </si>
  <si>
    <t>РАБОЧАЯ ТЕТРАДЬ ПО КУРСУ МИКРОЭКОНОМИКИ</t>
  </si>
  <si>
    <t>978-5-91768-563-2</t>
  </si>
  <si>
    <t>701970.09.01</t>
  </si>
  <si>
    <t>Радиационная, химическая и биолог. защита: Уч.пос. / И.Ю.Лепешинский - М.:НИЦ ИНФРА-М,2025 - 242 с.(П)</t>
  </si>
  <si>
    <t>РАДИАЦИОННАЯ, ХИМИЧЕСКАЯ И БИОЛОГИЧЕСКАЯ ЗАЩИТА</t>
  </si>
  <si>
    <t>Лепешинский И.Ю., Кутепов В.А., Погодаев В.П.</t>
  </si>
  <si>
    <t>978-5-16-014997-4</t>
  </si>
  <si>
    <t>32.05.01, 56.05.01, 56.05.02, 56.05.03, 56.05.05, 57.05.01, 57.05.02, 57.05.03</t>
  </si>
  <si>
    <t>795714.04.01</t>
  </si>
  <si>
    <t>Радиационная, химическая и биологическая защита: Уч. / Ю.Б.Байрамуков-М.:НИЦ ИНФРА-М,2025.-224 с.(п)</t>
  </si>
  <si>
    <t>Байрамуков Ю.Б., Анакин М.Ф., Янович В.С. и др.</t>
  </si>
  <si>
    <t>978-5-16-018093-9</t>
  </si>
  <si>
    <t>20.03.01, 23.04.02, 56.05.01, 56.05.02, 56.05.03, 56.05.04, 56.05.05, 57.05.01, 57.05.02, 57.05.03</t>
  </si>
  <si>
    <t>Рекомендуется федеральным государственным казенным военным образовательным учреждением высшего профессионального образования Военным учебно-научным центром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военно-учетным специальностям 444000 и 445000</t>
  </si>
  <si>
    <t>398400.10.01</t>
  </si>
  <si>
    <t>Радиоавтоматика: Уч. / Г.Н.Арсеньев - 2 изд. - М.:ИД Форум, НИЦ ИНФРА-М,2025 - 592 с.(ВО)(П)</t>
  </si>
  <si>
    <t>РАДИОАВТОМАТИКА, ИЗД.2</t>
  </si>
  <si>
    <t>Арсеньев Г.Н., Замуруев С.Н.</t>
  </si>
  <si>
    <t>978-5-8199-0823-5</t>
  </si>
  <si>
    <t>11.03.01, 11.03.02, 11.03.03</t>
  </si>
  <si>
    <t>Допущено Министерством обороны Российской Федерации в качестве учебника для курсантов и слушателей высших военно-учебных заведений Космических войск, обучающихся по направлению подготовки «Радиотехника»</t>
  </si>
  <si>
    <t>658927.10.01</t>
  </si>
  <si>
    <t>Радиолокационные системы: Уч. / В.П.Бердышев.-М.:НИЦ ИНФРА-М, СФУ,2024.-400 с.(Военное обр. (СФУ))(П)</t>
  </si>
  <si>
    <t>РАДИОЛОКАЦИОННЫЕ СИСТЕМЫ</t>
  </si>
  <si>
    <t>Бердышев В.П., Гарин Е.Н., Фомин А.Н. и др.</t>
  </si>
  <si>
    <t>978-5-16-016103-7</t>
  </si>
  <si>
    <t>11.03.01, 11.03.04</t>
  </si>
  <si>
    <t>Допущено Министерством обороны Российской Федерации в качестве учебника для студентов военных кафедр и курсантов учебных военных центров Военно-воздушных сил, обучающихся по военно-учетной специальности «Эксплуатация и ремонт радиолокационных комплексов противовоздушной обороны Военно-воздушных сил»</t>
  </si>
  <si>
    <t>843790.01.01</t>
  </si>
  <si>
    <t>Радионавигационные сис. аэропортов и воздушных трасс: Уч. / О.Н.Скрыпник - М.:НИЦ ИНФРА-М,2025. - 325 с.(СПО)(п)</t>
  </si>
  <si>
    <t>РАДИОНАВИГАЦИОННЫЕ СИСТЕМЫ АЭРОПОРТОВ И ВОЗДУШНЫХ ТРАСС</t>
  </si>
  <si>
    <t>Скрыпник О.Н.</t>
  </si>
  <si>
    <t>978-5-16-020402-4</t>
  </si>
  <si>
    <t>11.02.06, 11.02.07, 11.02.18, 12.02.03, 25.02.03, 25.02.04, 25.02.05</t>
  </si>
  <si>
    <t>Белорусская государственная академия авиации</t>
  </si>
  <si>
    <t>687325.05.01</t>
  </si>
  <si>
    <t>Радионавигационные сис. аэропортов и воздушных трасс: Уч. / О.Н.Скрыпник-М.:НИЦ ИНФРА-М,2023.-325с(ВО)(П)</t>
  </si>
  <si>
    <t>978-5-16-015400-8</t>
  </si>
  <si>
    <t>11.03.01, 11.04.01, 11.05.01, 25.05.03</t>
  </si>
  <si>
    <t>203600.12.01</t>
  </si>
  <si>
    <t>Радионавигационные системы воздушных судов: Уч. / О.Н.Скрыпник-М.:НИЦ ИНФРА-М,2024.-348с(ВО)(П)</t>
  </si>
  <si>
    <t>РАДИОНАВИГАЦИОННЫЕ СИСТЕМЫ ВОЗДУШНЫХ СУДОВ</t>
  </si>
  <si>
    <t>Скрыпник О. Н.</t>
  </si>
  <si>
    <t>978-5-16-018826-3</t>
  </si>
  <si>
    <t>25.03.02, 25.03.03, 25.04.03, 25.05.03</t>
  </si>
  <si>
    <t>Рекомендовано советом УМО вузов по образованию в области эксплуатации авиационной и космической техники для межвузовского использования в качестве учебного пособия для студентов высших учебных заведений по специальности 25.05.03  «Техническая эксплуатация транспортного радиооборудования»</t>
  </si>
  <si>
    <t>842822.01.01</t>
  </si>
  <si>
    <t>Радиотехника: от истоков до наших дней: Уч.пос. / В.И.Каганов - М.:Форум, НИЦ ИНФРА-М,2025 - 352 с.(СПО)(п)</t>
  </si>
  <si>
    <t>РАДИОТЕХНИКА: ОТ ИСТОКОВ ДО НАШИХ ДНЕЙ</t>
  </si>
  <si>
    <t>Каганов В.И.</t>
  </si>
  <si>
    <t>978-5-00091-813-5</t>
  </si>
  <si>
    <t>11.02.07, 12.02.03</t>
  </si>
  <si>
    <t>361400.08.01</t>
  </si>
  <si>
    <t>Радиотехника: от истоков до наших дней: Уч.пос. / В.И.Каганов-М.:Форум, НИЦ ИНФРА-М,2024-352с(ВО)(П)</t>
  </si>
  <si>
    <t>978-5-00091-495-3</t>
  </si>
  <si>
    <t>Рекомендовано Региональным отделением УрФО учебно-методического объединения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направлениям подготовки 11.03.01, 11.04.01 «Радиотехника» и 11.05.01 «Радиоэлектронные системы и комплексы»</t>
  </si>
  <si>
    <t>057700.14.01</t>
  </si>
  <si>
    <t>Радиотехнические цепи и сигналы...: Уч. пос. / В.И.Каганов - 4 изд. - М:Форум: ИНФРА-М, 2025 - 498 с.(П)</t>
  </si>
  <si>
    <t>РАДИОТЕХНИЧЕСКИЕ ЦЕПИ И СИГНАЛЫ. КОМПЬЮТЕРИЗИРОВАННЫЙ КУРС, ИЗД.4</t>
  </si>
  <si>
    <t>978-5-00091-447-2</t>
  </si>
  <si>
    <t>Допущено Министерством образования  и науки РФ в качестве учебного пособия для студентов высших учебных заведений, обучающихся по направлению "Радиотехника"</t>
  </si>
  <si>
    <t>057700.08.01</t>
  </si>
  <si>
    <t>Радиотехнические цепи и сигналы...: Уч. пос. /В.И.Каганов -3 изд. - М:Форум: ИНФРА-М, 2017-432с.(п)</t>
  </si>
  <si>
    <t>РАДИОТЕХНИЧЕСКИЕ ЦЕПИ И СИГНАЛЫ. КОМПЬЮТЕРИЗИРОВАННЫЙ КУРС, ИЗД.3</t>
  </si>
  <si>
    <t>Каганов В. И.</t>
  </si>
  <si>
    <t>978-5-91134-913-4</t>
  </si>
  <si>
    <t>733667.04.01</t>
  </si>
  <si>
    <t>Радиотехническое обеспеч. полетов воздуш. судов...: Уч.пос. / Под ред. Кудрякова С.А. - М.:НИЦ ИНФРА-М,2025. - 299 с.(П)</t>
  </si>
  <si>
    <t>РАДИОТЕХНИЧЕСКОЕ ОБЕСПЕЧЕНИЕ ПОЛЕТОВ ВОЗДУШНЫХ СУДОВ И АВИАЦИОННАЯ ЭЛЕКТРОСВЯЗЬ</t>
  </si>
  <si>
    <t>Кудряков С.А., Кульчицкий В.К., Поваренкин Н.В. и др.</t>
  </si>
  <si>
    <t>978-5-16-016820-3</t>
  </si>
  <si>
    <t>25.03.04, 25.04.03, 25.04.04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</si>
  <si>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25.05.05 «Эксплуатация воздушных судов и организация воздушного движения» (квалификация  «инженер») (протокол № 11 от 09.11.2020)</t>
  </si>
  <si>
    <t>Санкт-Петербургский государственный университет гражданской авиации</t>
  </si>
  <si>
    <t>480100.06.01</t>
  </si>
  <si>
    <t>Радиоэлектронные методы и средства исп..: Уч.пос. /М.Д.Мосесов-М:Форум,НИЦ ИНФРА-М,2023-160с(ВО)(о)</t>
  </si>
  <si>
    <t>РАДИОЭЛЕКТРОННЫЕ МЕТОДЫ И СРЕДСТВА ИСПЫТАНИЙ СТРОИТЕЛЬНЫХ КОНСТРУКЦИЙ И СООРУЖЕНИЙ</t>
  </si>
  <si>
    <t>978-5-00091-186-0</t>
  </si>
  <si>
    <t>Рекомендовано в качестве учебного пособия для студентов высших учебных заведений, обучающихся по специальностям 08.06.01 «Техника и технология строительства», 08.04.01 «Строительство» и 06.06.01 «Метрология, стандартизация и сертификация»</t>
  </si>
  <si>
    <t>661456.04.01</t>
  </si>
  <si>
    <t>Разведение с основами частной зоотехнии: Уч. / А.И.Чикалев - 2 изд.-М.:КУРС,НИЦ ИНФРА-М,2023-256с(П)</t>
  </si>
  <si>
    <t>РАЗВЕДЕНИЕ С ОСНОВАМИ ЧАСТНОЙ ЗООТЕХНИИ, ИЗД.2</t>
  </si>
  <si>
    <t>Чикалев А.И., Юлдашбаев Ю.А., Фейзуллаев Ф.Р.</t>
  </si>
  <si>
    <t>978-5-906923-50-9</t>
  </si>
  <si>
    <t>810184.01.01</t>
  </si>
  <si>
    <t>Развертывание функции качества: Уч.пос. / А.А.Попов - М.:НИЦ ИНФРА-М,2024. - 255 с.(ВО)(п)</t>
  </si>
  <si>
    <t>РАЗВЕРТЫВАНИЕ ФУНКЦИИ КАЧЕСТВА</t>
  </si>
  <si>
    <t>Попов А.А.</t>
  </si>
  <si>
    <t>978-5-16-019291-8</t>
  </si>
  <si>
    <t>27.03.02, 27.03.03, 27.03.04, 27.03.05, 27.04.02, 27.04.03, 27.04.04, 27.04.05, 27.04.06, 27.04.07</t>
  </si>
  <si>
    <t>664713.08.01</t>
  </si>
  <si>
    <t>Развиваем соц. умения: родителям детей с ОВЗ: Уч.прак.пос. / А.В.Закрепина - М.:НИЦ ИНФРА-М,2024-162с(П)</t>
  </si>
  <si>
    <t>РАЗВИВАЕМ СОЦИАЛЬНЫЕ УМЕНИЯ: РОДИТЕЛЯМ ДЕТЕЙ С ОВЗ</t>
  </si>
  <si>
    <t>Закрепина А.В.</t>
  </si>
  <si>
    <t>978-5-16-014382-8</t>
  </si>
  <si>
    <t>44.02.01, 44.02.04, 44.03.03, 44.04.03, 44.05.01</t>
  </si>
  <si>
    <t>2024</t>
  </si>
  <si>
    <t>766912.01.01</t>
  </si>
  <si>
    <t>Развитие бизнеса в странах Азиатско-Тихоокеанского региона: уч. / Г.В.Подбиралина - М.:НИЦ ИНФРА-М,2024. - 253 с.-(ВО)(п)</t>
  </si>
  <si>
    <t>РАЗВИТИЕ БИЗНЕСА В СТРАНАХ АЗИАТСКО-ТИХООКЕАНСКОГО РЕГИОНА</t>
  </si>
  <si>
    <t>Подбиралина Г.В., Ромашкина В.А.</t>
  </si>
  <si>
    <t>978-5-16-018328-2</t>
  </si>
  <si>
    <t>38.03.01, 38.03.02, 38.03.06, 38.04.01, 38.04.02, 38.04.06, 38.04.08, 38.05.01</t>
  </si>
  <si>
    <t>651322.07.01</t>
  </si>
  <si>
    <t>Развитие конструкций, параметры и режимы мощных..: Уч.пос. / Ф.Л.Коган-М.:НИЦ ИНФРА-М,2024.-325 с.(ВО)(п)</t>
  </si>
  <si>
    <t>РАЗВИТИЕ КОНСТРУКЦИЙ, ПАРАМЕТРЫ И РЕЖИМЫ МОЩНЫХ ТУРБОГЕНЕРАТОРОВ</t>
  </si>
  <si>
    <t>Коган Ф.Л.</t>
  </si>
  <si>
    <t>978-5-16-019268-0</t>
  </si>
  <si>
    <t>13.03.02, 13.03.03, 13.04.02</t>
  </si>
  <si>
    <t>668701.04.01</t>
  </si>
  <si>
    <t>Развитие логического мышления у дошк.: Уч.пос. / А.В.Белошистая - 2 изд. - М.:НИЦ ИНФРА-М,2024 - 300 с(ВО)</t>
  </si>
  <si>
    <t>РАЗВИТИЕ ЛОГИЧЕСКОГО МЫШЛЕНИЯ У ДОШКОЛЬНИКОВ, ИЗД.2</t>
  </si>
  <si>
    <t>978-5-16-018921-5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</si>
  <si>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</si>
  <si>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720106.05.01</t>
  </si>
  <si>
    <t>Развитие логического мышления у дошк.: Уч.пос. / А.В.Белошистая, - 2 изд. - М.:НИЦ ИНФРА-М,2025. - 300 с.(П)</t>
  </si>
  <si>
    <t>978-5-16-015664-4</t>
  </si>
  <si>
    <t>111880.11.01</t>
  </si>
  <si>
    <t>Развитие мыслит. деят.детей дошк.возраста: Уч.пос. / Л.Н. Вахрушева - 2изд. - М.:Форум,ИНФРА-М,2025 - 197 с.(П)</t>
  </si>
  <si>
    <t>РАЗВИТИЕ МЫСЛИТЕЛЬНОЙ ДЕЯТЕЛЬНОСТИ ДЕТЕЙ ДОШКОЛЬНОГО ВОЗРАСТА, ИЗД.2</t>
  </si>
  <si>
    <t>Вахрушева Л.Н.</t>
  </si>
  <si>
    <t>978-5-16-016281-2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</si>
  <si>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10 от 12.10.2020)</t>
  </si>
  <si>
    <t>757648.06.01</t>
  </si>
  <si>
    <t>Развитие осязания и мелкой моторики у детей с наруш. зрения: Уч.мет.пос. / Л.Б.Осипова - М.:НИЦ ИНФРА-М,2024. - 248 с.(П)</t>
  </si>
  <si>
    <t>РАЗВИТИЕ ОСЯЗАНИЯ И МЕЛКОЙ МОТОРИКИ У ДЕТЕЙ С НАРУШЕНИЯМИ ЗРЕНИЯ</t>
  </si>
  <si>
    <t>Осипова Л.Б.</t>
  </si>
  <si>
    <t>978-5-16-016904-0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</si>
  <si>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44.02.04 «Специальное дошкольное образование» (протокол № 10 от 12.10.2020)</t>
  </si>
  <si>
    <t>714355.03.01</t>
  </si>
  <si>
    <t>Развитие осязания и мелкой моторики у детей...: Уч.мет.пос. / Л.Б.Осипова - М.:НИЦ ИНФРА-М,2025. - 248 с.(ВО)(П)</t>
  </si>
  <si>
    <t>978-5-16-020641-7</t>
  </si>
  <si>
    <t>44.03.01, 44.03.02, 44.03.03, 44.04.03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</si>
  <si>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8 от 22.06.2020)</t>
  </si>
  <si>
    <t>732707.05.01</t>
  </si>
  <si>
    <t>Развитие предметных представл. у детей дош. возраста: Уч.мет.пос. / Л.Б.Осипова - М.:НИЦ ИНФРА-М,2025 - 158 с.(П)</t>
  </si>
  <si>
    <t>РАЗВИТИЕ ПРЕДМЕТНЫХ ПРЕДСТАВЛЕНИЙ У ДЕТЕЙ ДОШКОЛЬНОГО ВОЗРАСТА С НАРУШЕНИЯМИ ЗРЕНИЯ В ПРОЦЕССЕ ТВОРЧЕСКОГО КОНСТРУИРОВАНИЯ В УСЛОВИЯХ ИНКЛЮЗИВНОГО ОБРАЗОВАНИЯ</t>
  </si>
  <si>
    <t>Осипова Л.Б., Дружинина Л.А., Власова О.И. и др.</t>
  </si>
  <si>
    <t>978-5-16-015916-4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</si>
  <si>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8 от 28.09.2020)</t>
  </si>
  <si>
    <t>714353.05.01</t>
  </si>
  <si>
    <t>Развитие предметных представлений у детей дошк. возраста... / Л.Б.Осипова-М.:ИНФРА-М,2024-158с.(ВО)(П)</t>
  </si>
  <si>
    <t>978-5-16-015676-7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</si>
  <si>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15 от 14.10.2019)</t>
  </si>
  <si>
    <t>419500.05.01</t>
  </si>
  <si>
    <t>Развитие саморегулируемых орг-ций в РФ: Уч. пос./А.Г.Чернявский - М: Альфа-М: НИЦ Инфра-М, 2024-224с (п)</t>
  </si>
  <si>
    <t>РАЗВИТИЕ САМОРЕГУЛИРУЕМЫХ ОРГАНИЗАЦИЙ В РОССИЙСКОЙ ФЕДЕРАЦИИ</t>
  </si>
  <si>
    <t>Чернявский А. Г.</t>
  </si>
  <si>
    <t>978-5-98281-316-9</t>
  </si>
  <si>
    <t>775289.01.01</t>
  </si>
  <si>
    <t>Развитие сис. финанс. контроля внешнеэкономич...: Моногр. / В.А.Якимова -М.:ИЦ РИОР, НИЦ ИНФРА-М,2022.-345с(П)</t>
  </si>
  <si>
    <t>РАЗВИТИЕ СИСТЕМЫ ФИНАНСОВОГО КОНТРОЛЯ ВНЕШНЕЭКОНОМИЧЕСКОЙ ДЕЯТЕЛЬНОСТИ ОРГАНИЗАЦИЙ</t>
  </si>
  <si>
    <t>Якимова В.А., Панкова С.В., Хмура С.В.</t>
  </si>
  <si>
    <t>978-5-369-01906-1</t>
  </si>
  <si>
    <t>38.02.06, 38.04.01, 38.04.06</t>
  </si>
  <si>
    <t>375300.01.01</t>
  </si>
  <si>
    <t>Развитие труд. потенциала: Уч. пос./ А.М.Асалиев-М.: НИЦ ИНФРА-М,2016.-281 с..-(ВО: Бакалавриат) (п)</t>
  </si>
  <si>
    <t>РАЗВИТИЕ ТРУДОВОГО ПОТЕНЦИАЛА</t>
  </si>
  <si>
    <t>Асалиев А.М., Мирзабалаева Ф.И., Алиева П.Р.</t>
  </si>
  <si>
    <t>978-5-16-011074-5</t>
  </si>
  <si>
    <t>Рекомендовано в качестве учебного пособия для студентов высших учебных заведений, обучающихся по направлениям подготовки 38.03.01 «Экономика», 38.03.03 «Управление персоналом» (квалификация (степень) «бакалавр»)</t>
  </si>
  <si>
    <t>375300.04.01</t>
  </si>
  <si>
    <t>Развитие труд. потенциала: Уч.пос. / А.М.Асалиев - 2 изд. - М.:НИЦ ИНФРА-М,2023 - 281 с.-(ВО) (П)</t>
  </si>
  <si>
    <t>РАЗВИТИЕ ТРУДОВОГО ПОТЕНЦИАЛА, ИЗД.2</t>
  </si>
  <si>
    <t>978-5-16-013470-3</t>
  </si>
  <si>
    <t>331800.08.01</t>
  </si>
  <si>
    <t>Разговорный китайский: практикум по устной речи: Уч.пос. / Я.Лисинь - М.:НИЦ ИНФРА-М,2025 - 115 с.(ВО)(О)</t>
  </si>
  <si>
    <t>РАЗГОВОРНЫЙ КИТАЙСКИЙ: ПРАКТИКУМ ПО УСТНОЙ РЕЧИ</t>
  </si>
  <si>
    <t>Лисинь Я., Цайхун Ч., Комендровская Ю.Г. и др.</t>
  </si>
  <si>
    <t>978-5-16-018665-8</t>
  </si>
  <si>
    <t>00.03.02, 00.05.02, 45.03.02, 45.03.03, 45.03.04, 45.05.01</t>
  </si>
  <si>
    <t>756467.03.01</t>
  </si>
  <si>
    <t>Разграничение предметов ведения и полномоч. в сис..: Уч.пос. / А.М.Осавелюк.-М.:Юр.Норма, НИЦ ИНФРА-М,2025.-184 с.(П)</t>
  </si>
  <si>
    <t>РАЗГРАНИЧЕНИЕ ПРЕДМЕТОВ ВЕДЕНИЯ И ПОЛНОМОЧИЙ В СИСТЕМЕ ПУБЛИЧНОЙ ВЛАСТИ</t>
  </si>
  <si>
    <t>Осавелюк А.М., Забелина Е.П., Невинский В.В. и др.</t>
  </si>
  <si>
    <t>978-5-00156-172-9</t>
  </si>
  <si>
    <t>060300.14.01</t>
  </si>
  <si>
    <t>Разработка баз данных в сис. Microsoft Access: Уч. / А.В.Кузин - 4 изд. - М.:Форум, НИЦ ИНФРА-М,2025 - 224с(П)</t>
  </si>
  <si>
    <t>РАЗРАБОТКА БАЗ ДАННЫХ В СИСТЕМЕ MICROSOFT ACCESS, ИЗД.4</t>
  </si>
  <si>
    <t>Кузин А. В., Демин В. М.</t>
  </si>
  <si>
    <t>978-5-00091-752-7</t>
  </si>
  <si>
    <t>00.02.03, 09.01.03, 09.02.03, 09.02.07</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</si>
  <si>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специальностям «Автоматизированные системы обработки информации и управления (по отраслям)», «Программное обеспечение вычислительной техники и автоматизированных систем»</t>
  </si>
  <si>
    <t>845218.01.01</t>
  </si>
  <si>
    <t>Разработка бизнес-плана проекта: Уч.пос./ Т.С.Бронникова, - 2 изд. - М.:НИЦ ИНФРА-М,2025. - 215 с.(СПО)(п)</t>
  </si>
  <si>
    <t>РАЗРАБОТКА БИЗНЕС-ПЛАНА ПРОЕКТА, ИЗД.2</t>
  </si>
  <si>
    <t>Бронникова Т.С.</t>
  </si>
  <si>
    <t>978-5-16-020455-0</t>
  </si>
  <si>
    <t>08.02.01, 09.02.04, 09.02.07, 18.02.13, 19.02.13, 24.02.02, 43.02.02, 43.02.16</t>
  </si>
  <si>
    <t>171350.08.01</t>
  </si>
  <si>
    <t>Разработка бизнес-плана...: Уч.пос. / Т.С.Бронникова, - 2 изд. - М.:НИЦ ИНФРА-М,2025 - 215 с.(ВО)(П)</t>
  </si>
  <si>
    <t>978-5-16-020613-4</t>
  </si>
  <si>
    <t>38.03.01, 38.03.02, 38.03.04, 38.04.02, 38.04.04, 41.03.06, 44.03.01</t>
  </si>
  <si>
    <t>Допущено УМО по образованию в области производственного менеджмента в качестве учебного пособия для бакалавров высших учебных заведений, обучающихся по направлению подготовки 38.03.02 «Менеджмент»</t>
  </si>
  <si>
    <t>307200.12.01</t>
  </si>
  <si>
    <t>Разработка бизнес-прил. на платф."1С:Предпр.": Уч.пос. / Э.Г.Дадян - 2 изд. - М.:НИЦ ИНФРА-М,2024-305с(ВО)(п)</t>
  </si>
  <si>
    <t>РАЗРАБОТКА БИЗНЕС-ПРИЛОЖЕНИЙ НА ПЛАТФОРМЕ "1С:ПРЕДПРИЯТИЕ", ИЗД.2</t>
  </si>
  <si>
    <t>978-5-16-019434-9</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</si>
  <si>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подготовки 38.03.01 «Экономика» (квалификация (степень) «бакалавр)</t>
  </si>
  <si>
    <t>682798.04.01</t>
  </si>
  <si>
    <t>Разработка бизнес-приложений на платформе "1С: Предпр.": Уч.пос. / Э.Г.Дадян-М.:НИЦ ИНФРА-М,2024.-305 с(П)</t>
  </si>
  <si>
    <t>РАЗРАБОТКА БИЗНЕС-ПРИЛОЖЕНИЙ НА ПЛАТФОРМЕ "1С: ПРЕДПРИЯТИЕ"</t>
  </si>
  <si>
    <t>978-5-16-016648-3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</si>
  <si>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22.06.2020)</t>
  </si>
  <si>
    <t>082200.17.01</t>
  </si>
  <si>
    <t>Разработка и эксплуат. автомат. информ. систем: Уч.пос./Л.Г.Гагарина,- 2 изд.-М.:НИЦ ИНФРА-М,2025-358 с.(СПО)(п)</t>
  </si>
  <si>
    <t>РАЗРАБОТКА И ЭКСПЛУАТАЦИЯ АВТОМАТИЗИРОВАННЫХ ИНФОРМАЦИОННЫХ СИСТЕМ, ИЗД.2</t>
  </si>
  <si>
    <t>978-5-16-018360-2</t>
  </si>
  <si>
    <t>09.01.03, 09.01.04, 09.02.01, 09.02.02, 09.02.04, 09.02.05, 09.02.06, 09.02.08, 10.02.03, 10.02.05</t>
  </si>
  <si>
    <t>082200.15.01</t>
  </si>
  <si>
    <t>Разработка и эксплуат. автомат.информ.систем: Уч.пос./Л.Г.Гагарина-М.:ИД ФОРУМ,НИЦ ИНФРА-М,2021-384с</t>
  </si>
  <si>
    <t>РАЗРАБОТКА И ЭКСПЛУАТАЦИЯ АВТОМАТИЗИРОВАННЫХ ИНФОРМАЦИОННЫХ СИСТЕМ</t>
  </si>
  <si>
    <t>Гагарина Л.Г.</t>
  </si>
  <si>
    <t>978-5-8199-0735-1</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</si>
  <si>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</si>
  <si>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767206.01.01</t>
  </si>
  <si>
    <t>Разработка информац. контента (по отраслям): Уч.пос. / В.Н.Шитов-М.:НИЦ ИНФРА-М,2022.-178 с.(СПО)(П)</t>
  </si>
  <si>
    <t>РАЗРАБОТКА ИНФОРМАЦИОННОГО КОНТЕНТА (ПО ОТРАСЛЯМ)</t>
  </si>
  <si>
    <t>978-5-16-017434-1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</si>
  <si>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2 от 09.02.2022)</t>
  </si>
  <si>
    <t>845299.01.01</t>
  </si>
  <si>
    <t>Разработка месторождений полезных ископаемых: Уч. пос. / В.И.Голик - М.: НИЦ ИНФРА-М, 2025 - 136 с.(СПО)(о)</t>
  </si>
  <si>
    <t>РАЗРАБОТКА МЕСТОРОЖДЕНИЙ ПОЛЕЗНЫХ ИСКОПАЕМЫХ</t>
  </si>
  <si>
    <t>978-5-16-020460-4</t>
  </si>
  <si>
    <t>21.02.12</t>
  </si>
  <si>
    <t>438950.09.01</t>
  </si>
  <si>
    <t>Разработка месторождений полезных ископаемых: Уч. пос./В.И.Голик - М.: НИЦ ИНФРА-М, 2024 - 136с.(ВО) (о)</t>
  </si>
  <si>
    <t>978-5-16-018781-5</t>
  </si>
  <si>
    <t>05.03.01, 05.04.01, 21.05.04, 21.05.05</t>
  </si>
  <si>
    <t>126600.13.01</t>
  </si>
  <si>
    <t>Разработка рекламного продукта: Уч.пос. / А.А.Романов. - М.:Вуз. уч., ИНФРА-М ,2025. - 256 с.(п)</t>
  </si>
  <si>
    <t>РАЗРАБОТКА РЕКЛАМНОГО ПРОДУКТА</t>
  </si>
  <si>
    <t>Романов А.А., Васильев Г.А., Поляков В.А.</t>
  </si>
  <si>
    <t>978-5-9558-0124-7</t>
  </si>
  <si>
    <t>42.03.01</t>
  </si>
  <si>
    <t>Допущено УМО по образованию в области коммерции в качестве доп. литературы для студентов высших учебных заведений, обучающихся по специальности 032401 "Реклама"</t>
  </si>
  <si>
    <t>657057.02.01</t>
  </si>
  <si>
    <t>Разработка технологич. процес. в машиностроении: Уч.пос. / И.В.Шрубченко - 2изд.-М.:НИЦ ИНФРА-М,2025-176с(П)</t>
  </si>
  <si>
    <t>РАЗРАБОТКА ТЕХНОЛОГИЧЕСКИХ ПРОЦЕССОВ В МАШИНОСТРОЕНИИ, ИЗД.2</t>
  </si>
  <si>
    <t>978-5-16-017159-3</t>
  </si>
  <si>
    <t>Допущено Учебно-методическим объединением вузов по образованию в области автоматизированного машиностроения (УМО AM) в качестве учебного пособиядля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</si>
  <si>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167250.11.01</t>
  </si>
  <si>
    <t>Разработка управленческих решений: Уч. пос. / Е.В. Строева - М.: НИЦ ИНФРА-М, 2025-128с.(ВО) (о)</t>
  </si>
  <si>
    <t>РАЗРАБОТКА УПРАВЛЕНЧЕСКИХ РЕШЕНИЙ</t>
  </si>
  <si>
    <t>Строева Е. В., Лаврова Е. В.</t>
  </si>
  <si>
    <t>978-5-16-005222-9</t>
  </si>
  <si>
    <t>38.03.02, 38.03.04, 38.04.04, 41.03.06, 46.04.02</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</si>
  <si>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высшего профессионального образования, обучающихся по специальности 080507 «Менеджмент организации», дисципл</t>
  </si>
  <si>
    <t>362000.14.01</t>
  </si>
  <si>
    <t>Разработка,внедр.и адаптация программного...: Уч.пос. / Г.Н.Федорова - М.:КУРС,НИЦ ИНФРА-М,2025 - 336с.(П)</t>
  </si>
  <si>
    <t>РАЗРАБОТКА, ВНЕДРЕНИЕ И АДАПТАЦИЯ ПРОГРАММНОГО ОБЕСПЕЧЕНИЯ ОТРАСЛЕВОЙ НАПРАВЛЕННОСТИ</t>
  </si>
  <si>
    <t>Федорова Г.Н.</t>
  </si>
  <si>
    <t>978-5-906818-41-6</t>
  </si>
  <si>
    <t>09.02.05, 09.02.07, 09.02.10</t>
  </si>
  <si>
    <t>Рекомендовано Экспертным советом при Государственном бюджетном образовательном учреждении дополнительного профессионального образования (повышения квалификации) специалистов города Москвы учебно-методический центр по профессиональному образованию Департамента образования города Москвы в качестве учебного пособия (09.02.05 Прикладная информатика (по отраслям), ПМ "Разработка, внедрение и адаптация программного обеспечения отраслевой направленности) для профессиональных образовательных организаций</t>
  </si>
  <si>
    <t>Белебеевский Медицинский колледж</t>
  </si>
  <si>
    <t>733549.02.01</t>
  </si>
  <si>
    <t>Разрешение споров в международном и европ. праве: Уч.пос. / Ю.В.Самович-М.:ИЦ РИОР, НИЦ ИНФРА-М,2022-148 с.(ВО)(О)</t>
  </si>
  <si>
    <t>РАЗРЕШЕНИЕ СПОРОВ В МЕЖДУНАРОДНОМ И ЕВРОПЕЙСКОМ ПРАВЕ</t>
  </si>
  <si>
    <t>978-5-369-01842-2</t>
  </si>
  <si>
    <t>466250.04.01</t>
  </si>
  <si>
    <t>Разрушение горных пород при бурении скважин: Уч. пос. / В.В.Нескоромных-М.:НИЦ ИНФРА-М,2023.-336 с(ВО)(П)</t>
  </si>
  <si>
    <t>РАЗРУШЕНИЕ ГОРНЫХ ПОРОД ПРИ БУРЕНИИ СКВАЖИН</t>
  </si>
  <si>
    <t>978-5-16-009729-9</t>
  </si>
  <si>
    <t>05.03.01, 05.04.01, 21.03.01, 21.04.01, 21.05.04, 21.05.05</t>
  </si>
  <si>
    <t>395800.05.01</t>
  </si>
  <si>
    <t>Разрушение горных пород при проведении..: Уч.пос. / В.В.Нескоромных - 2 изд. - М.:НИЦ ИНФРА-М,2025 - 392 с.(ВО)(п)</t>
  </si>
  <si>
    <t>РАЗРУШЕНИЕ ГОРНЫХ ПОРОД ПРИ ПРОВЕДЕНИИ ГЕОЛОГОРАЗВЕДОЧНЫХ РАБОТ, ИЗД.2</t>
  </si>
  <si>
    <t>В.В.Нескоромных</t>
  </si>
  <si>
    <t>978-5-16-011235-0</t>
  </si>
  <si>
    <t>21.03.01</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</si>
  <si>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высших учебных заведений, обучаюши</t>
  </si>
  <si>
    <t>813118.01.01</t>
  </si>
  <si>
    <t>Распознавание образов. Нач. курс теории: Уч.пос. / Н.С.Бондаренко - М.:НИЦ ИНФРА-М,2025. - 185 с.(ВО)(п)</t>
  </si>
  <si>
    <t>РАСПОЗНАВАНИЕ ОБРАЗОВ. НАЧАЛЬНЫЙ КУРС ТЕОРИИ</t>
  </si>
  <si>
    <t>Бондаренко Н.С.</t>
  </si>
  <si>
    <t>978-5-16-019365-6</t>
  </si>
  <si>
    <t>09.04.01, 09.04.02, 09.04.03, 09.04.04, 09.05.01</t>
  </si>
  <si>
    <t>798673.04.01</t>
  </si>
  <si>
    <t>Расследование налоговых преступлений: Уч.пос. / Е.Г.Быкова - 3 изд.-М.:НИЦ ИНФРА-М,2025. - 322 с.(ВО)(п)</t>
  </si>
  <si>
    <t>РАССЛЕДОВАНИЕ НАЛОГОВЫХ ПРЕСТУПЛЕНИЙ, ИЗД.3</t>
  </si>
  <si>
    <t>Быкова Е.Г., Вахмянина Н.Б., Вдовцев П.В. и др.</t>
  </si>
  <si>
    <t>978-5-16-018252-0</t>
  </si>
  <si>
    <t>40.03.01, 40.05.01, 40.05.02, 40.05.04, 44.03.05</t>
  </si>
  <si>
    <t>765066.01.01</t>
  </si>
  <si>
    <t>Рассмотрение споров, вытекающих из.... Практ.: Уч.пос. / Е.А.Позднякова-М.:НИЦ ИНФРА-М,2023.-210 с(п)</t>
  </si>
  <si>
    <t>РАССМОТРЕНИЕ СПОРОВ, ВЫТЕКАЮЩИХ ИЗ ЗЕМЕЛЬНЫХ ПРАВООТНОШЕНИЙ. ПРАКТИКУМ</t>
  </si>
  <si>
    <t>Позднякова Е.А., Тарнавский О.А.</t>
  </si>
  <si>
    <t>978-5-16-017718-2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</si>
  <si>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юридическим направлениям подготовки (квалификация (степень) «магистр») (протокол № 8 от 19.10.2022)</t>
  </si>
  <si>
    <t>244800.12.01</t>
  </si>
  <si>
    <t>Расстройства шизофренического спектра: Уч.пос. / Л.М.Барденштейн - М.:НИЦ ИНФРА-М,2025 -112 с.(ВО)(О)</t>
  </si>
  <si>
    <t>РАССТРОЙСТВА ШИЗОФРЕНИЧЕСКОГО СПЕКТРА</t>
  </si>
  <si>
    <t>Барденштейн Л.М., Щербакова И.В., Алешкина Г.А.</t>
  </si>
  <si>
    <t>978-5-16-019031-0</t>
  </si>
  <si>
    <t>31.05.01, 34.03.01</t>
  </si>
  <si>
    <t>Рекомендовано к изданию Ученым советом ГБОУ ВПО «Московский государственный медико-стоматологический университет имени А.И. Евдокимова» Министерства здравоохранения РФ</t>
  </si>
  <si>
    <t>473950.07.01</t>
  </si>
  <si>
    <t>Растениеводство: практикум: Уч.пос. / Г.С.Посыпанов - М.:НИЦ ИНФРА-М,2024 - 255 с.(ВО)(п)</t>
  </si>
  <si>
    <t>РАСТЕНИЕВОДСТВО: ПРАКТИКУМ</t>
  </si>
  <si>
    <t>Посыпанов Г.С.</t>
  </si>
  <si>
    <t>978-5-16-019451-6</t>
  </si>
  <si>
    <t>РекомендованоМинистерством сельского хозяйства Российской Федерации в качестве учебного пособия для студентов высших учебных заведений по агрономическим специальностям</t>
  </si>
  <si>
    <t>469700.06.01</t>
  </si>
  <si>
    <t>Растениеводство: Уч. / Под ред. Гатаулина Г.Г. - М.:НИЦ ИНФРА-М,2023 - 608 с.-(ВО: Бакалавриат)(П)</t>
  </si>
  <si>
    <t>РАСТЕНИЕВОДСТВО</t>
  </si>
  <si>
    <t>Гатаулина Г.Г., Бугаев П.Д., Долгодворов В.Е. и др.</t>
  </si>
  <si>
    <t>978-5-16-011564-1</t>
  </si>
  <si>
    <t>Рекомендовано в качестве учебника для студентов высших учебных заведений, обучающихся по направлению подготовки 35.03.04 «Агрономия» (квалификация (степень) «бакалавр»)</t>
  </si>
  <si>
    <t>329500.08.01</t>
  </si>
  <si>
    <t>Растениеводство: Уч. / Под ред. Посыпанова Г.С. - М.:НИЦ ИНФРА-М,2025 - 612 с.(ВО)(п)</t>
  </si>
  <si>
    <t>Посыпанов Г.С., Долгодворов В.Е., Жеруков Б.Х. и др.</t>
  </si>
  <si>
    <t>978-5-16-018475-3</t>
  </si>
  <si>
    <t>656348.07.01</t>
  </si>
  <si>
    <t>Расчет и основы конструир. деталей машин: Уч.: В 2 т.Т.1 / Ю.Е.Гуревич-М.:КУРС,НИЦ ИНФРА-М,2024-240с(П)</t>
  </si>
  <si>
    <t>РАСЧЕТ И ОСНОВЫ КОНСТРУИРОВАНИЯ ДЕТАЛЕЙ МАШИН. В 2 ТОМАХ, Т.1</t>
  </si>
  <si>
    <t>Гуревич Ю.Е., Схиртладзе А.Г.</t>
  </si>
  <si>
    <t>978-5-906923-29-5</t>
  </si>
  <si>
    <t>668065.06.01</t>
  </si>
  <si>
    <t>Расчет и основы конструир. деталей машин: Уч.: В 2т.Т.2 / Ю.Е.Гуревич-М.:КУРС,НИЦ ИНФРА-М,2024-248с(п)</t>
  </si>
  <si>
    <t>РАСЧЕТ И ОСНОВЫ КОНСТРУИРОВАНИЯ ДЕТАЛЕЙ МАШИН, Т.2</t>
  </si>
  <si>
    <t>978-5-906923-60-8</t>
  </si>
  <si>
    <t>044540.21.01</t>
  </si>
  <si>
    <t>Расчет и проект.схем электроснаб..: Уч.пос. / В.П.Шеховцов - 3-изд. - М.:НИЦ ИНФРА-М,2024-214с.(СПО)(О)</t>
  </si>
  <si>
    <t>РАСЧЕТ И ПРОЕКТИРОВАНИЕ СХЕМ ЭЛЕКТРОСНАБЖЕНИЯ. МЕТОДИЧЕСКОЕ ПОСОБИЕ ДЛЯ КУРСОВОГО ПРОЕКТИРОВАНИЯ, ИЗД.3</t>
  </si>
  <si>
    <t>Шеховцов В.П.</t>
  </si>
  <si>
    <t>978-5-16-018405-0</t>
  </si>
  <si>
    <t>08.02.09, 13.02.07, 13.02.13, 15.01.26, 15.01.27, 15.01.35, 15.01.36, 15.01.38, 15.02.07, 15.02.16, 15.02.18</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</si>
  <si>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13.02.11 «Техническая эксплуатация и обслуживание электрического и электромеханического оборудования (по отраслям)»</t>
  </si>
  <si>
    <t>820924.01.01</t>
  </si>
  <si>
    <t>Расчет и проектир. сис. обеспеч. безопас.: Уч.пос. / В.В.Коростовенко-М.:НИЦ ИНФРА-М, СФУ,2024.-108 с.(ВО)(о)</t>
  </si>
  <si>
    <t>РАСЧЕТ И ПРОЕКТИРОВАНИЕ СИСТЕМ ОБЕСПЕЧЕНИЯ БЕЗОПАСНОСТИ</t>
  </si>
  <si>
    <t>Коростовенко В.В., Стрекалова Т.А., Гронь В.А. и др.</t>
  </si>
  <si>
    <t>978-5-16-019592-6</t>
  </si>
  <si>
    <t>120500.11.01</t>
  </si>
  <si>
    <t>Расчет и проектирование ОУ...: Уч.пос. / В.П.Шеховцов - 2 изд. - М.:Форум, НИЦ ИНФРА-М,2025 - 352 с.(СПО)(П)</t>
  </si>
  <si>
    <t>РАСЧЕТ И ПРОЕКТИРОВАНИЕ ОУ И ЭЛЕКТРОУСТАНОВОК ПРОМЫШЛЕННЫХ МЕХАНИЗМОВ, ИЗД.2</t>
  </si>
  <si>
    <t>978-5-00091-652-0</t>
  </si>
  <si>
    <t>08.01.31, 13.02.12, 13.02.13, 15.01.26, 15.01.27, 15.01.35, 15.01.36, 15.01.38, 15.02.07, 15.02.16, 15.02.18, 23.01.03, 23.02.06</t>
  </si>
  <si>
    <t>435750.06.01</t>
  </si>
  <si>
    <t>Расчет и проектирование технолог. оснаст. в машиностр.: Уч.пос. / И.С.Иванов - ИНФРА-М,2025 - 198 с.(ВО)</t>
  </si>
  <si>
    <t>РАСЧЕТ И ПРОЕКТИРОВАНИЕ ТЕХНОЛОГИЧЕСКОЙ ОСНАСТКИ В МАШИНОСТРОЕНИИ</t>
  </si>
  <si>
    <t>Иванов И.С.</t>
  </si>
  <si>
    <t>978-5-16-006705-6</t>
  </si>
  <si>
    <t>15.03.02, 15.03.05, 15.04.01, 15.04.02, 15.04.05</t>
  </si>
  <si>
    <t>405050.09.01</t>
  </si>
  <si>
    <t>Расчет источ. втор. питания элект. уст.: Уч.пос. / О.Н.Остапенкова, 2изд.-М.:Форум, НИЦ ИНФРА-М,2024.-95 с(О)</t>
  </si>
  <si>
    <t>РАСЧЕТ ИСТОЧНИКОВ ВТОРИЧНОГО ПИТАНИЯ ЭЛЕКТРОННЫХ УСТРОЙСТВ, ИЗД.2</t>
  </si>
  <si>
    <t>Остапенкова О.Н.</t>
  </si>
  <si>
    <t>978-5-00091-748-0</t>
  </si>
  <si>
    <t>11.02.06, 11.02.14, 11.02.17, 13.02.07, 15.01.26, 15.01.27, 15.01.35, 15.01.36, 15.01.38, 15.02.07, 15.02.16, 15.02.18, 23.01.03, 23.02.06</t>
  </si>
  <si>
    <t>Рекомендовано Учебно-методическим советом Учебно-методического центра по профессиональному образованию Департамента образования г. Москвы в качестве учебного пособия для студентов образовательных учреждений среднего профессионального образования</t>
  </si>
  <si>
    <t>Политехнический колледж им. Н.Н. Годовикова</t>
  </si>
  <si>
    <t>694920.03.01</t>
  </si>
  <si>
    <t>Расчет кинематики и динамики рядных поршневых двиг.: Уч.пос. / М.П.Вальехо-М.:НИЦ ИНФРА-М,2024.-259с(ВО)(п)</t>
  </si>
  <si>
    <t>РАСЧЕТ КИНЕМАТИКИ И ДИНАМИКИ РЯДНЫХ ПОРШНЕВЫХ ДВИГАТЕЛЕЙ</t>
  </si>
  <si>
    <t>978-5-16-019265-9</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</si>
  <si>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«бакалавриат»)</t>
  </si>
  <si>
    <t>775682.01.01</t>
  </si>
  <si>
    <t>Расчет тепл. схем парогазовых установок...: Уч.пос. / А.А.Кудинов.-М.:НИЦ ИНФРА-М,2024.-256 с-(ВО)(п)</t>
  </si>
  <si>
    <t>РАСЧЕТ ТЕПЛОВЫХ СХЕМ ПАРОГАЗОВЫХ УСТАНОВОК ТЕПЛОВЫХ ЭЛЕКТРОСТАНЦИЙ</t>
  </si>
  <si>
    <t>Кудинов А.А., Зиганшина С.К., Хусаинов К.Р.</t>
  </si>
  <si>
    <t>978-5-16-017660-4</t>
  </si>
  <si>
    <t>13.03.01, 13.03.03</t>
  </si>
  <si>
    <t>063050.18.01</t>
  </si>
  <si>
    <t>Расчет электр. и магн. цепей...: Уч.пос./ Е.А.Лоторейчук,-2 изд.,-М.:ИД ФОРУМ, НИЦ ИНФРА-М,2024-272с.(СПО)(П)</t>
  </si>
  <si>
    <t>РАСЧЕТ ЭЛЕКТРИЧЕСКИХ И МАГНИТНЫХ ЦЕПЕЙ И ПОЛЕЙ. РЕШЕНИЕ ЗАДАЧ, ИЗД.2</t>
  </si>
  <si>
    <t>Лоторейчук Е.А.</t>
  </si>
  <si>
    <t>978-5-8199-0821-1</t>
  </si>
  <si>
    <t>00.02.39, 08.02.02, 11.02.03, 12.02.04, 13.02.02, 13.02.07, 15.02.18, 23.02.02, 23.02.05, 23.02.07, 35.02.16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</si>
  <si>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«Энергетика», «Электротехника»,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</si>
  <si>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326500.05.01</t>
  </si>
  <si>
    <t>Расчетно-кредитные отношения во внешнеэкономич..: Уч.пос. / Ю.Г.Вешкин - М.:Магистр:ИНФРА-М,2025 - 272 с.(о)</t>
  </si>
  <si>
    <t>РАСЧЕТНО-КРЕДИТНЫЕ ОТНОШЕНИЯ ВО ВНЕШНЕЭКОНОМИЧЕСКОЙ ДЕЯТЕЛЬНОСТИ</t>
  </si>
  <si>
    <t>Вешкин Ю. Г., Авагян Г. Л.</t>
  </si>
  <si>
    <t>978-5-9776-0347-8</t>
  </si>
  <si>
    <t>438050.05.01</t>
  </si>
  <si>
    <t>Расчеты на прочность деталей ДВС при напряж..: Уч.пос. /А.Н.Гоц -3изд -М:Форум: НИЦ ИНФРА-М, 2023 -208с (ВО) (о)</t>
  </si>
  <si>
    <t>РАСЧЕТЫ НА ПРОЧНОСТЬ ДЕТАЛЕЙ ДВС ПРИ НАПРЯЖЕНИЯХ, ПЕРЕМЕННЫХ ВО ВРЕМЕНИ, ИЗД.3</t>
  </si>
  <si>
    <t>978-5-91134-746-8</t>
  </si>
  <si>
    <t>13.03.03, 23.03.02</t>
  </si>
  <si>
    <t>427800.07.01</t>
  </si>
  <si>
    <t>Расчеты на прочность и жесткость статич. опред...: Уч. пос./Н.А.Дроздова - ИНФРА-М;СФУ,2024-224с(ВО) (п)</t>
  </si>
  <si>
    <t>РАСЧЕТЫ НА ПРОЧНОСТЬ И ЖЕСТКОСТЬ СТАТИЧЕСКИ ОПРЕДЕЛИМЫХ И СТАТИЧЕСКИ  НЕОПРЕДЕЛИМЫХ  СИСТЕМ</t>
  </si>
  <si>
    <t>Дроздова Н. А., Какурина С. К.</t>
  </si>
  <si>
    <t>978-5-16-006368-3</t>
  </si>
  <si>
    <t>15.04.01, 15.04.02, 15.04.03, 15.04.04, 15.04.05</t>
  </si>
  <si>
    <t>Допущено Учебно-методическим объединением по образованию в области металлургии в качестве учебного пособия для студентов вузов, обучающихся по специальности 150404 «Металлургические машины и оборудование» направления 150400 «Технологические машины и</t>
  </si>
  <si>
    <t>683104.02.01</t>
  </si>
  <si>
    <t>Рациональное исп. натур. меха на швейных предпр..:Уч.пос. / И.Н.Каграманова-М.:ИД ФОРУМ,2023.-160 с</t>
  </si>
  <si>
    <t>РАЦИОНАЛЬНОЕ ИСПОЛЬЗОВАНИЕ НАТУРАЛЬНОГО МЕХА НА ШВЕЙНЫХ ПРЕДПРИЯТИЯХ. ТЕХНОЛОГИЧЕСКИЕ ПРОЦЕССЫ В СЕРВИСЕ</t>
  </si>
  <si>
    <t>Каграманова И.Н.</t>
  </si>
  <si>
    <t>978-5-8199-0942-3</t>
  </si>
  <si>
    <t>29.00.00, 29.01.31, 54.02.03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</si>
  <si>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29.02.03 «Конструирование, моделирование и технология изделий из меха», 29.02.02 «Технология кожи и меха», 38.02.05 «Товароведение и экспертиза качества потребительских товаров», 54.02.01 «Дизайн (по отраслям)», 54.02.02 «Декоративно-прикладное искусство и народные промыслы (по видам)»</t>
  </si>
  <si>
    <t>072230.07.01</t>
  </si>
  <si>
    <t>Рациональное использ.натурал.меха...: Уч.пос./И.Н.Каграманова -М.:ИД ФОРУМ,ИНФРА-М,2024-160с.(ВО)(П)</t>
  </si>
  <si>
    <t>978-5-8199-0861-7</t>
  </si>
  <si>
    <t>Допущено Министерством образования Российской Федерации в качестве учебного пособия для студентов высших учебных заведений, обучающихся по специальности 43.03.01 «Сервис»</t>
  </si>
  <si>
    <t>762030.03.01</t>
  </si>
  <si>
    <t>Реализация конституц. прав и свобод чел. и...: Уч.пос. / С.В.Нарутто - М.:Юр.Норма, НИЦ ИНФРА-М,2025 - 360 с.(П)</t>
  </si>
  <si>
    <t>РЕАЛИЗАЦИЯ КОНСТИТУЦИОННЫХ ПРАВ И СВОБОД ЧЕЛОВЕКА И ГРАЖДАНИНА</t>
  </si>
  <si>
    <t>Нарутто С.В., Колмаков С.Ю.</t>
  </si>
  <si>
    <t>978-5-00156-189-7</t>
  </si>
  <si>
    <t>00.03.08, 40.03.01, 40.05.04, 44.03.05</t>
  </si>
  <si>
    <t>797599.03.01</t>
  </si>
  <si>
    <t>Реализация образоват. процесса в вузах: Уч.пос. / С.Е.Прокофьев.-М.:НИЦ ИНФРА-М,2024.-267 с.(П)</t>
  </si>
  <si>
    <t>РЕАЛИЗАЦИЯ ОБРАЗОВАТЕЛЬНОГО ПРОЦЕССА В ВУЗАХ: ПРАКТИКА РАЗРЕШЕНИЯ СУДЕБНЫХ СПОРОВ. КОММЕНТАРИЙ</t>
  </si>
  <si>
    <t>Прокофьев С.Е., Ручкина Г.Ф., Горохова С.С. и др.</t>
  </si>
  <si>
    <t>978-5-16-018217-9</t>
  </si>
  <si>
    <t>40.03.01, 40.04.01, 40.06.01, 44.03.01, 44.03.05</t>
  </si>
  <si>
    <t>653105.03.01</t>
  </si>
  <si>
    <t>Реальные инвестиции: Уч.пос. / М.В.Чараева-М.:НИЦ ИНФРА-М,2023.-265 с..-(ВО: Бакалавриат)(П)</t>
  </si>
  <si>
    <t>РЕАЛЬНЫЕ ИНВЕСТИЦИИ</t>
  </si>
  <si>
    <t>978-5-16-013086-6</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</si>
  <si>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</si>
  <si>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753691.01.01</t>
  </si>
  <si>
    <t>Ревизионные и экспертно-аналитич. методы выявления наруш...: Уч.пос. / Н.Г.Гаджиев-М.:НИЦ ИНФРА-М,2022.-218 с.(П)</t>
  </si>
  <si>
    <t>РЕВИЗИОННЫЕ И ЭКСПЕРТНО-АНАЛИТИЧЕСКИЕ МЕТОДЫ ВЫЯВЛЕНИЯ НАРУШЕНИЙ В УЧЕТЕ И ОТЧЕТНОСТИ ОРГАНИЗАЦИЙ</t>
  </si>
  <si>
    <t>Гаджиев Н.Г., Коноваленко С.А.</t>
  </si>
  <si>
    <t>978-5-16-016993-4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</si>
  <si>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38.05.01 «Экономическая безопасность» (квалификация «экономист»), 40.05.03 Судебная экспертиза (квалификация «судебный эксперт») (протокол № 1 от 12.01.2022)</t>
  </si>
  <si>
    <t>657635.01.01</t>
  </si>
  <si>
    <t>Революция 1917 года в России и литература США: Моногр. / Б.А.Гиленсон-М.:НИЦ ИНФРА-М,2018-172с.(О)</t>
  </si>
  <si>
    <t>РЕВОЛЮЦИЯ 1917 ГОДА В РОССИИ И ЛИТЕРАТУРА США: ПРОБЛЕМЫ, УРОКИ, ИТОГИ</t>
  </si>
  <si>
    <t>978-5-16-012842-9</t>
  </si>
  <si>
    <t>45.03.01, 45.04.01, 45.05.01, 45.06.01</t>
  </si>
  <si>
    <t>102600.07.01</t>
  </si>
  <si>
    <t>Региональная и национальная безопасность: Уч.пос. / А.Б.Логунов - 4 изд. - М.:НИЦ ИНФРА-М,2025 - 481 с.(П)</t>
  </si>
  <si>
    <t>РЕГИОНАЛЬНАЯ И НАЦИОНАЛЬНАЯ БЕЗОПАСНОСТЬ, ИЗД.4</t>
  </si>
  <si>
    <t>Логунов А.Б.</t>
  </si>
  <si>
    <t>978-5-16-020715-5</t>
  </si>
  <si>
    <t>38.03.04, 38.04.04, 38.05.01, 41.03.02, 41.04.02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</si>
  <si>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41.00.00 «Политические науки и регионоведение» (квалификация (степень) «бакалавр») (протокол № 6 от 08.06.2022)</t>
  </si>
  <si>
    <t>815052.01.01</t>
  </si>
  <si>
    <t>Региональная эконом. и упр. соц.-экономич. развит..: Уч.пос. / К.Ю.Коновалова - М.:НИЦ ИНФРА-М,2025 - 258 с.(п)</t>
  </si>
  <si>
    <t>РЕГИОНАЛЬНАЯ ЭКОНОМИКА И УПРАВЛЕНИЕ СОЦИАЛЬНО-ЭКОНОМИЧЕСКИМ РАЗВИТИЕМ ТЕРРИТОРИЙ</t>
  </si>
  <si>
    <t>Коновалова К.Ю.</t>
  </si>
  <si>
    <t>978-5-16-019307-6</t>
  </si>
  <si>
    <t>05.03.02, 05.04.02, 38.03.01, 38.03.02, 38.03.04, 38.04.01, 38.04.02, 38.04.04, 38.04.09, 38.05.01, 38.05.02, 41.03.02, 41.04.02</t>
  </si>
  <si>
    <t>114550.11.01</t>
  </si>
  <si>
    <t>Региональная экономика и упр.: Уч.пос. / О.С.Белокрылова, - 2 изд. - М:НИЦ ИНФРА-М,2025 - 289 с.(ВО)(П)</t>
  </si>
  <si>
    <t>РЕГИОНАЛЬНАЯ ЭКОНОМИКА И УПРАВЛЕНИЕ, ИЗД.2</t>
  </si>
  <si>
    <t>Белокрылова О.С., Киселева Н.Н., Хубулова В.В.</t>
  </si>
  <si>
    <t>978-5-16-010877-3</t>
  </si>
  <si>
    <t>38.03.01, 38.03.04, 38.04.01, 38.04.04, 44.03.01</t>
  </si>
  <si>
    <t>Допущено Советом Учебно-методического объединения по образованию в области менеджмента в качестве учебного пособия по направлению подготовки "Государственное и муниципальное управление"</t>
  </si>
  <si>
    <t>700577.05.01</t>
  </si>
  <si>
    <t>Региональная экономика. Уч. и прак.: Уч. / А.А.Урунов - М.:НИЦ ИНФРА-М,2025. - 366 с.(ВО)(п)</t>
  </si>
  <si>
    <t>РЕГИОНАЛЬНАЯ ЭКОНОМИКА</t>
  </si>
  <si>
    <t>Урунов А.А.</t>
  </si>
  <si>
    <t>978-5-16-020155-9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</si>
  <si>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18 от 25.11.2019)</t>
  </si>
  <si>
    <t>335900.08.01</t>
  </si>
  <si>
    <t>Региональная экономика: Уч. / Т.А.Селищева - М.:НИЦ ИНФРА-М,2024.-469 с..-(ВО)(п)</t>
  </si>
  <si>
    <t>Селищева Т.А.</t>
  </si>
  <si>
    <t>978-5-16-019099-0</t>
  </si>
  <si>
    <t>Рекомендовано Учебно-методическим объединением по образованию в области экономики и экономической теории, национальной экономики в качестве учебника для студентов высших учебных заведений, обучающихся по направлению 38.03.01 «Экономика» (квалификация (степень) «бакалавр»)</t>
  </si>
  <si>
    <t>269500.07.01</t>
  </si>
  <si>
    <t>Региональная экономика: Уч. пос. / А.Л. Полтарыхин - М.:Альфа-М:  НИЦ ИНФРА-М, 2025. - 400 с. (п)</t>
  </si>
  <si>
    <t>Полтарыхин А. Л., Сычева И. Н.</t>
  </si>
  <si>
    <t>978-5-98281-388-6</t>
  </si>
  <si>
    <t>38.03.01, 38.03.04, 44.03.01</t>
  </si>
  <si>
    <t>Рекомендовано уполномоченным учреждением ФГБОУ «Государственный университет управления» в качестве учебного пособия для студентов высших учебных заведений, обучающихся по направлению подготовки 080100.62 «Эконом ика» (квалификация (степень) «бакалавр</t>
  </si>
  <si>
    <t>480900.03.01</t>
  </si>
  <si>
    <t>Региональная экономика: Уч.пос. / В.Д.Никифорова-М.:ИЦ РИОР, НИЦ ИНФРА-М,2020-304с.(ВО:Бакалавр.)(П)</t>
  </si>
  <si>
    <t>Никифорова В.Д., Путихин Ю.Е., Никифоров А.А.</t>
  </si>
  <si>
    <t>978-5-369-01553-7</t>
  </si>
  <si>
    <t>Финансовый университет при Правительстве Российской Федерации, Санкт-Петербургский ф-л</t>
  </si>
  <si>
    <t>646501.05.01</t>
  </si>
  <si>
    <t>Региональное природопользование: Уч.пос. / П.В.Большаник - 2 изд. - М.:НИЦ ИНФРА-М,2025 - 177 с.(ВО)(П)</t>
  </si>
  <si>
    <t>РЕГИОНАЛЬНОЕ ПРИРОДОПОЛЬЗОВАНИЕ, ИЗД.2</t>
  </si>
  <si>
    <t>978-5-16-013085-9</t>
  </si>
  <si>
    <t>Рекомендовано в качестве учебного пособия для студентов высших учебных заведений, обучающихся по направлению подготовки 05.03.06 «Экология и природопользование» (квалификация (степень) «бакалавр»)</t>
  </si>
  <si>
    <t>203900.07.01</t>
  </si>
  <si>
    <t>Региональное упр. и территор.планирование: Уч. / Р.А.Попов - М.:НИЦ ИНФРА-М,2022-288с.(ВО:Бакалавр.)(п)</t>
  </si>
  <si>
    <t>РЕГИОНАЛЬНОЕ УПРАВЛЕНИЕ И ТЕРРИТОРИАЛЬНОЕ ПЛАНИРОВАНИЕ</t>
  </si>
  <si>
    <t>Попов Р. А.</t>
  </si>
  <si>
    <t>978-5-16-005662-3</t>
  </si>
  <si>
    <t>38.03.01, 38.03.02, 38.03.04, 38.04.01, 38.04.02, 38.04.04, 41.03.06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</si>
  <si>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38.03.04 (081100.62) «Государственное и муниципальное управление» (квалификация (степень) - "бакалавр")</t>
  </si>
  <si>
    <t>203900.08.01</t>
  </si>
  <si>
    <t>Региональное управ. и территориал. планир.: Уч. / Р.А.Попов, - 2 изд. - М.:НИЦ ИНФРА-М,2025. - 305 с.(ВО)(п)</t>
  </si>
  <si>
    <t>РЕГИОНАЛЬНОЕ УПРАВЛЕНИЕ И ТЕРРИТОРИАЛЬНОЕ ПЛАНИРОВАНИЕ, ИЗД.2</t>
  </si>
  <si>
    <t>978-5-16-019933-7</t>
  </si>
  <si>
    <t>Утвержден методическим советом ФГБОУ ВО «Кубанский государственный технологический университет» в качестве учебника для обучающихся по направлению подготовки 38.03.04 «Государственное и муниципальное управление»</t>
  </si>
  <si>
    <t>729119.02.01</t>
  </si>
  <si>
    <t>Региональное управление и терр. планирование: Практ.: Уч.пос. / Р.Н.Шпакова - М.:Магистр, НИЦ ИНФРА-М,2022-128 с.(О)</t>
  </si>
  <si>
    <t>Шпакова Р.Н.</t>
  </si>
  <si>
    <t>978-5-9776-0516-8</t>
  </si>
  <si>
    <t>642207.08.01</t>
  </si>
  <si>
    <t>Региональное управление и территор. планир.: Уч.пос. / Н.А.Каменских-М.:НИЦ ИНФРА-М,2023-127с(ВО)(О)</t>
  </si>
  <si>
    <t>РЕГИОНАЛЬНОЕ УПРАВЛЕНИЕ И ТЕРРИТОРИАЛЬНОЕ ПЛАНИРОВАНИЕ: СТРАТЕГИЧЕСКОЕ ПАРТНЁРСТВО В  СИСТЕМЕ  РЕГИОНАЛЬНОГО РАЗВИТИЯ</t>
  </si>
  <si>
    <t>Каменских Н.А.</t>
  </si>
  <si>
    <t>978-5-16-012400-1</t>
  </si>
  <si>
    <t>38.03.01, 38.03.02, 38.03.04, 44.03.05</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</si>
  <si>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</si>
  <si>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Государственный гуманитарно-технологический университет</t>
  </si>
  <si>
    <t>344700.07.01</t>
  </si>
  <si>
    <t>Региональное управление и территор. планирование: Уч.пос. / Г.А.Хмелева - М.:НИЦ ИНФРА-М,2025 - 224 с.(ВО)</t>
  </si>
  <si>
    <t>Г.А. Хмелева, В.К. Семенычев</t>
  </si>
  <si>
    <t>978-5-16-010788-2</t>
  </si>
  <si>
    <t>Рекомендовано Советом Учебно-методического объединения по образованию в области менеджмента в качестве учебного пособия для обучающихся в высших учебных заведениях по направлению подготовки 38.03.04 «Государственное и муниципальное управление» (квалификация (степень) «бакалавр»)</t>
  </si>
  <si>
    <t>666944.03.01</t>
  </si>
  <si>
    <t>Регистрационное производство: Уч.пос. / М.Ю.Шамрин-М.:Юр.Норма, НИЦ ИНФРА-М,2024.-240 с.(П)</t>
  </si>
  <si>
    <t>РЕГИСТРАЦИОННОЕ ПРОИЗВОДСТВО</t>
  </si>
  <si>
    <t>Шамрин М.Ю.</t>
  </si>
  <si>
    <t>978-5-91768-864-0</t>
  </si>
  <si>
    <t>38.05.01, 38.05.02, 40.03.01, 40.04.01, 40.05.01, 40.05.02, 40.05.03, 40.05.04</t>
  </si>
  <si>
    <t>245200.09.01</t>
  </si>
  <si>
    <t>Регламентация  и нормирование труда: Уч. пос. / В.Б. Бычин - М.:НИЦ ИНФРА-М, 2025 - 188 с.(ВО) (П)</t>
  </si>
  <si>
    <t>РЕГЛАМЕНТАЦИЯ  И НОРМИРОВАНИЕ ТРУДА</t>
  </si>
  <si>
    <t>Бычин В. Б., Шубенкова Е. В.</t>
  </si>
  <si>
    <t>978-5-16-009283-6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</si>
  <si>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«Экономика» (квалификация (степень) «бакалавр»)</t>
  </si>
  <si>
    <t>699350.02.01</t>
  </si>
  <si>
    <t>Регламентация и нормир. совр. труд. процессов: Уч.пос. / Е.А.Савельева-М.:НИЦ ИНФРА-М,2021.-383 с.(ВО)(П)</t>
  </si>
  <si>
    <t>РЕГЛАМЕНТАЦИЯ И НОРМИРОВАНИЕ СОВРЕМЕННЫХ ТРУДОВЫХ ПРОЦЕССОВ</t>
  </si>
  <si>
    <t>978-5-16-014766-6</t>
  </si>
  <si>
    <t>38.03.01, 38.03.02, 38.03.03, 38.03.04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</si>
  <si>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 (протокол № 8 от 22.06.2020)</t>
  </si>
  <si>
    <t>747583.01.01</t>
  </si>
  <si>
    <t>Регулирование межд. торговли объектами интеллект....: Моногр. / Д.М. Солдатенко-Таллин: EurAsian Scientific Editions OÜ; М.: ИНФРА-М,2020-206(П)</t>
  </si>
  <si>
    <t>РЕГУЛИРОВАНИЕ МЕЖДУНАРОДНОЙ ТОРГОВЛИ ОБЪЕКТАМИ ИНТЕЛЛЕКТУАЛЬНОЙ СОБСТВЕННОСТИ В УСЛОВИЯХ ГЛОБАЛЬНОЙ ЭКОНОМИКИ</t>
  </si>
  <si>
    <t>Солдатенко Д.М.</t>
  </si>
  <si>
    <t>EurAsian Scientific Editions</t>
  </si>
  <si>
    <t>978-9949-7201-7-0</t>
  </si>
  <si>
    <t>38.03.01, 38.04.01, 38.05.01, 38.06.01, 41.04.05</t>
  </si>
  <si>
    <t>168500.06.01</t>
  </si>
  <si>
    <t>Режущий инструмент.Эксплуатация:Уч.пос./Е.Э.Фельдштейн - М:НИЦ ИНФРА-М,2024-256с.(ВО) (п)</t>
  </si>
  <si>
    <t>РЕЖУЩИЙ ИНСТРУМЕНТ. ЭКСПЛУАТАЦИЯ</t>
  </si>
  <si>
    <t>Фельдштейн Е. Э., Корниевич М. А.</t>
  </si>
  <si>
    <t>978-5-16-005287-8</t>
  </si>
  <si>
    <t>15.03.01, 15.03.02, 15.03.03, 15.03.04, 15.03.05, 15.03.06, 15.04.01, 15.04.02, 15.04.03, 15.04.04, 15.04.05, 15.04.06, 15.05.01</t>
  </si>
  <si>
    <t>Допущено Министерством образования Республики Беларусь в качестве учебного пособия для студентов вузов по машиностроительным специальностям</t>
  </si>
  <si>
    <t>084611.13.01</t>
  </si>
  <si>
    <t>Резание металлов и режущие инструменты: Уч.пос. / В.Г.Солоненко - М.:НИЦ ИНФРА-М,2025. - 415 с.(ВО)(П)</t>
  </si>
  <si>
    <t>РЕЗАНИЕ МЕТАЛЛОВ И РЕЖУЩИЕ ИНСТРУМЕНТЫ</t>
  </si>
  <si>
    <t>Солоненко В.Г., Рыжкин А.А.</t>
  </si>
  <si>
    <t>978-5-16-004719-5</t>
  </si>
  <si>
    <t>15.03.01, 15.03.05, 15.04.05</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</si>
  <si>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заведений,обучающихся по направлениям подготовки бакалавров и магистров 15.03.05, 15.04.05 «Конструкторско-технологическое обеспечение машиностроительных производств»</t>
  </si>
  <si>
    <t>Дагестанский государственный технический университет</t>
  </si>
  <si>
    <t>708388.03.01</t>
  </si>
  <si>
    <t>Резание металлов и режущие инструменты: Уч.пос. / В.Г.Солоненко-М.:НИЦ ИНФРА-М,2022.-415 с.-(СПО)(П)</t>
  </si>
  <si>
    <t>978-5-16-015247-9</t>
  </si>
  <si>
    <t>12.02.04, 15.01.22, 15.01.35, 15.01.37, 15.02.01, 15.02.16, 15.02.17, 15.02.18, 27.02.02, 27.02.07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</si>
  <si>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5 от 11.03.2019)</t>
  </si>
  <si>
    <t>175100.10.01</t>
  </si>
  <si>
    <t>Реклама в туризме: Уч. / Под ред. Богданова Е.И. - М.:НИЦ ИНФРА-М,2022 - 170 с.-(ВО: Бакалавриат)(П)</t>
  </si>
  <si>
    <t>РЕКЛАМА В ТУРИЗМЕ</t>
  </si>
  <si>
    <t>978-5-16-004905-2</t>
  </si>
  <si>
    <t>43.03.02, 43.03.03, 49.03.03</t>
  </si>
  <si>
    <t>Рекомендовано Учебно-методическим объединением по образованию в области производственного менеджмента Министерства образования и науки Российской Федерации в качестве учебника для студентов высших учебных заведений, обучающихся по специальности «Экономика и управление на предприятии туризма» и направлению 38.03.02 «Менеджмент» (профиль «Производственный менеджмент в туризме»)</t>
  </si>
  <si>
    <t>027756.17.01</t>
  </si>
  <si>
    <t>Реклама в туризме: Уч.пос. / А.П.Дурович - 5 изд. - М.:НИЦ ИНФРА-М,2024 - 158 с.-(ВО)(п)</t>
  </si>
  <si>
    <t>РЕКЛАМА В ТУРИЗМЕ, ИЗД.5</t>
  </si>
  <si>
    <t>978-5-16-019702-9</t>
  </si>
  <si>
    <t>43.03.01, 43.03.02, 43.03.03, 43.04.01, 43.04.02, 43.04.03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</si>
  <si>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специальности 100103 «Социально-культурный сервис и туризм»</t>
  </si>
  <si>
    <t>0510</t>
  </si>
  <si>
    <t>152650.08.01</t>
  </si>
  <si>
    <t>Реклама: Уч.пос. / В.Л.Музыкант-М.:ИЦ РИОР, НИЦ ИНФРА-М,2019-208с.(ВО:Бакалавриат.Азбука рекламы)(П)</t>
  </si>
  <si>
    <t>РЕКЛАМА</t>
  </si>
  <si>
    <t>978-5-369-00780-8</t>
  </si>
  <si>
    <t>38.03.02, 38.03.04, 38.03.06, 38.04.02, 38.04.04, 38.04.06, 41.03.06, 43.03.01, 43.03.03, 43.04.01, 43.04.03</t>
  </si>
  <si>
    <t>Допущено УМО по образованию в области коммерции в качестве учебного пособия для студентов вузов, обучающихся по специальностям 032401 - "Реклама" и 080111 - "Маркетинг"</t>
  </si>
  <si>
    <t>421800.06.01</t>
  </si>
  <si>
    <t>Рекламная деятельность в торговле: Уч. / В.Н.Хапенков. - М.: ИД ФОРУМ:НИЦ ИНФРА-М, 2024-368с.(ВО) (п)</t>
  </si>
  <si>
    <t>РЕКЛАМНАЯ ДЕЯТЕЛЬНОСТЬ В ТОРГОВЛЕ</t>
  </si>
  <si>
    <t>Хапенков В. Н., Иванов Г. Г., Федюнин Д. В.</t>
  </si>
  <si>
    <t>978-5-8199-0533-3</t>
  </si>
  <si>
    <t>38.03.06, 42.03.01</t>
  </si>
  <si>
    <t>842133.01.01</t>
  </si>
  <si>
    <t>Рекламная деятельность: Уч. / Под ред. В.Д. Секерина. - М.: НИЦ ИНФРА-М, 2025 - 282 с.(СПО)(п)</t>
  </si>
  <si>
    <t>РЕКЛАМНАЯ ДЕЯТЕЛЬНОСТЬ</t>
  </si>
  <si>
    <t>Секерин В.Д., Измайлова М.А., Матвеев Э.Ю. и др.</t>
  </si>
  <si>
    <t>978-5-16-020314-0</t>
  </si>
  <si>
    <t>29.02.05, 38.02.08, 42.02.01</t>
  </si>
  <si>
    <t>204500.08.01</t>
  </si>
  <si>
    <t>Рекламная деятельность: Уч. / Под ред. Секерина В.Д. - М.:НИЦ ИНФРА-М,2025 - 282 с.(ВО: Бакалавр.)(п)</t>
  </si>
  <si>
    <t>978-5-16-005684-5</t>
  </si>
  <si>
    <t>38.03.01, 38.03.06, 38.04.01, 41.03.06, 42.03.01, 42.04.01</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</si>
  <si>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080200.68 «Менеджмент» (квалификация (степень) — «магистр»)</t>
  </si>
  <si>
    <t>205700.08.01</t>
  </si>
  <si>
    <t>Рекламная деятельность: Уч. / Ю.В.Гусаров - М.: НИЦ ИНФРА-М, 2024 - 313 с.(ВО:Бакалавр.) (П)</t>
  </si>
  <si>
    <t>Гусаров Ю. В., Гусарова Л. Ф.</t>
  </si>
  <si>
    <t>978-5-16-005525-1</t>
  </si>
  <si>
    <t>38.03.01, 38.03.02, 38.03.06, 38.04.01, 38.04.02, 41.03.06</t>
  </si>
  <si>
    <t>Рекомендовано ФГБОУ ВПО «Санкт-Петербургский государственный университет сервиса и экономики» в качестве учебника для студентов высших учебных заведений, обучающихся по направлению 100700.62 «Торговое дело».</t>
  </si>
  <si>
    <t>766719.01.01</t>
  </si>
  <si>
    <t>Рекламная и PR-деят. гостиничного предпр.: Уч.пос. / И.С.Ключевская-М.:НИЦ ИНФРА-М,2023.-359 с.(ВО)(п)</t>
  </si>
  <si>
    <t>РЕКЛАМНАЯ И PR-ДЕЯТЕЛЬНОСТЬ ГОСТИНИЧНОГО ПРЕДПРИЯТИЯ</t>
  </si>
  <si>
    <t>978-5-16-017423-5</t>
  </si>
  <si>
    <t>806129.02.01</t>
  </si>
  <si>
    <t>Рекламная и PR-деят. гостиничного предпр.: Уч.пос. / И.С.Ключевская-М.:НИЦ ИНФРА-М,2024.-359 с.(СПО)(п)</t>
  </si>
  <si>
    <t>978-5-16-018645-0</t>
  </si>
  <si>
    <t>42.02.01, 43.02.11, 43.02.16</t>
  </si>
  <si>
    <t>174050.13.01</t>
  </si>
  <si>
    <t>Рекламный менеджмент: Уч.пос. / В.А.Поляков - М.:КУРС, НИЦ ИНФРА-М,2024 - 352 с.(П)</t>
  </si>
  <si>
    <t>РЕКЛАМНЫЙ МЕНЕДЖМЕНТ</t>
  </si>
  <si>
    <t>Поляков В. А., Романов А. А.</t>
  </si>
  <si>
    <t>978-5-905554-07-0</t>
  </si>
  <si>
    <t>38.03.02, 38.03.06</t>
  </si>
  <si>
    <t>Рекомендовано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направлению «Статистика» и другим экономическим специальностям (Бакалавр)</t>
  </si>
  <si>
    <t>Финансовый университет при Правительстве Российской Федерации, Тульский ф-л</t>
  </si>
  <si>
    <t>666948.07.01</t>
  </si>
  <si>
    <t>Реконструкция зданий и коммун. сооруж. в системе...: Уч.пос. / В.М.Лебедев - М.:НИЦ ИНФРА-М,2025 - 191с.(ВО)(П)</t>
  </si>
  <si>
    <t>РЕКОНСТРУКЦИЯ ЗДАНИЙ И КОММУНАЛЬНЫХ СООРУЖЕНИЙ В СИСТЕМЕ ГОРОДСКОЙ ЗАСТРОЙКИ (УПРАВЛЕНИЕ ПРОЕКТАМИ)</t>
  </si>
  <si>
    <t>Лебедев В.М.</t>
  </si>
  <si>
    <t>978-5-16-013561-8</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</si>
  <si>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t>
  </si>
  <si>
    <t>089890.15.01</t>
  </si>
  <si>
    <t>Реконструкция зданий, сооруж. и город.застр.: Уч.пос. / В.В.Федоров-М.:НИЦ ИНФРА-М,2024-224с(ВО)(п)</t>
  </si>
  <si>
    <t>РЕКОНСТРУКЦИЯ ЗДАНИЙ, СООРУЖЕНИЙ И ГОРОДСКОЙ ЗАСТРОЙКИ</t>
  </si>
  <si>
    <t>Федоров В. В., Федорова Н. Н., Сухарев Ю. В.</t>
  </si>
  <si>
    <t>978-5-16-019282-6</t>
  </si>
  <si>
    <t>Рекомендовано УМО в области строительства в качестве учебного пособия для студентов высших учебных заведений, обучающихся по строительным специальностям</t>
  </si>
  <si>
    <t>707356.05.01</t>
  </si>
  <si>
    <t>Реконструкция зданий, сооружений и городской застройки: Уч.пос. / В.В.Федоров - М.:НИЦ ИНФРА-М,2025 - 224 с.(П)</t>
  </si>
  <si>
    <t>Федоров В.В., Федорова Н.Н., Сухарев Ю.В.</t>
  </si>
  <si>
    <t>978-5-16-015155-7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</si>
  <si>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5 от 11.03.2019)</t>
  </si>
  <si>
    <t>047460.22.01</t>
  </si>
  <si>
    <t>Реконструкция и реставрация зданий: Уч. / В.В.Федоров - М.:НИЦ ИНФРА-М,2025. - 208 с.-(СПО)(П)</t>
  </si>
  <si>
    <t>РЕКОНСТРУКЦИЯ И РЕСТАВРАЦИЯ ЗДАНИЙ</t>
  </si>
  <si>
    <t>Федоров В.В.</t>
  </si>
  <si>
    <t>978-5-16-009091-7</t>
  </si>
  <si>
    <t>08.02.01, 08.02.02, 08.02.04, 08.02.08, 08.02.09, 08.02.13, 08.02.14</t>
  </si>
  <si>
    <t>Допущено Государственным комитетом РФ по строительству и жилищно-коммунальному комплексу в качестве учебника для учащихся средних специальных учебных заведений, обучающихся по специальности 08.02.01 «Строительство и эксплуатация зданий и сооружений»</t>
  </si>
  <si>
    <t>718179.07.01</t>
  </si>
  <si>
    <t>Реконструкция и реставрация зданий: Уч. / В.В.Федоров-М.:НИЦ ИНФРА-М,2024.-208 с.(ВО)(п)</t>
  </si>
  <si>
    <t>978-5-16-018621-4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</si>
  <si>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08.03.00 «Техника и технологии строительства» (квалификация (степень) «бакалавр») (протокол № 10 от 27.05.2019)</t>
  </si>
  <si>
    <t>085860.15.01</t>
  </si>
  <si>
    <t>Реконструкция трубопровод. инженер. сетей и сооруж.: Уч.пос. / В.И.Краснов-М.:НИЦ ИНФРА-М,2024.-238 с.(П)</t>
  </si>
  <si>
    <t>РЕКОНСТРУКЦИЯ ТРУБОПРОВОДНЫХ ИНЖЕНЕРНЫХ СЕТЕЙ И СООРУЖЕНИЙ</t>
  </si>
  <si>
    <t>978-5-16-009263-8</t>
  </si>
  <si>
    <t>08.01.02, 08.01.29, 08.02.01, 08.02.02, 08.02.04, 08.02.08, 18.01.27, 19.01.01, 21.01.17</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</si>
  <si>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специальности 08.02.01 «Строительство и эксплуатация зданий и сооружений»</t>
  </si>
  <si>
    <t>798139.01.01</t>
  </si>
  <si>
    <t>Рекреационное природопользование: Уч.пос. / Г.А.Демиденко-М.:НИЦ ИНФРА-М,2024.-280 с.(ВО (КрГАУ))(п)</t>
  </si>
  <si>
    <t>РЕКРЕАЦИОННОЕ ПРИРОДОПОЛЬЗОВАНИЕ</t>
  </si>
  <si>
    <t>Демиденко Г.А.</t>
  </si>
  <si>
    <t>978-5-16-018997-0</t>
  </si>
  <si>
    <t>05.03.06, 05.04.06, 06.03.01</t>
  </si>
  <si>
    <t>783576.01.01</t>
  </si>
  <si>
    <t>Рекреационный туризм: крымские перспективы: Уч.пос. / В.В.Селиванов-М.:НИЦ ИНФРА-М,2023.-207 с.(П)</t>
  </si>
  <si>
    <t>РЕКРЕАЦИОННЫЙ ТУРИЗМ: КРЫМСКИЕ ПЕРСПЕКТИВЫ</t>
  </si>
  <si>
    <t>Селиванов В.В.</t>
  </si>
  <si>
    <t>978-5-16-017887-5</t>
  </si>
  <si>
    <t>43.03.02, 43.03.03, 43.04.02, 49.03.03</t>
  </si>
  <si>
    <t>Крымский федеральный университет им. В.И. Вернадского, ф-л Гуманитарно-педагогическая академия</t>
  </si>
  <si>
    <t>788018.01.01</t>
  </si>
  <si>
    <t>Рекрутинг персонала: Уч.пос. / В.А.Виниченко и др.-М.:НИЦ ИНФРА-М,2024.-245 с.(ВО:Магистр)(п)</t>
  </si>
  <si>
    <t>РЕКРУТИНГ ПЕРСОНАЛА</t>
  </si>
  <si>
    <t>Виниченко В.А., Борисова А.А., Озерникова Т.Г.</t>
  </si>
  <si>
    <t>978-5-16-018379-4</t>
  </si>
  <si>
    <t>721773.09.01</t>
  </si>
  <si>
    <t>Релейная защита и автоматизация электоэнергетич. сис.: Уч.пос. / В.И.Бирюлин - М.:НИЦ ИНФРА-М,2025 - 197 с.(П)</t>
  </si>
  <si>
    <t>РЕЛЕЙНАЯ ЗАЩИТА И АВТОМАТИЗАЦИЯ ЭЛЕКТРОЭНЕРГЕТИЧЕСКИХ СИСТЕМ</t>
  </si>
  <si>
    <t>Бирюлин В.И., Горлов А.Н., Куделина Д.В. и др.</t>
  </si>
  <si>
    <t>978-5-16-018834-8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</si>
  <si>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18 от 25.11.2019)</t>
  </si>
  <si>
    <t>712505.08.01</t>
  </si>
  <si>
    <t>Релейная защита и автоматизация электроэнергетич. сис.: Уч.пос. / С.А.Горемыкин-М.:НИЦ ИНФРА-М,2025.-191 с.(ВО)(п)</t>
  </si>
  <si>
    <t>Горемыкин С.А.</t>
  </si>
  <si>
    <t>978-5-16-019240-6</t>
  </si>
  <si>
    <t>13.03.02, 35.03.06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</si>
  <si>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13.03.02 ≪Электроэнергетика и электротехника≫, 35.03.06 ≪Агроинженерия≫ (квалификация (степень) «бакалавр») (протокол № 10 от 12.10.2020)</t>
  </si>
  <si>
    <t>109455.09.01</t>
  </si>
  <si>
    <t>Религиоведение: Уч. / О.Г.Данильян, - 2-е изд.-М.:НИЦ ИНФРА-М,2024.-335 с..-(ВО: Бакалавриат)(п)</t>
  </si>
  <si>
    <t>РЕЛИГИОВЕДЕНИЕ, ИЗД.2</t>
  </si>
  <si>
    <t>978-5-16-010564-2</t>
  </si>
  <si>
    <t>37.03.01, 44.03.05, 47.03.01, 47.03.03</t>
  </si>
  <si>
    <t>345900.08.01</t>
  </si>
  <si>
    <t>Религиоведение: Уч.пос. / К.А.Соловьев-М.:НИЦ ИНФРА-М,2024.-370 с.(ВО)(п)</t>
  </si>
  <si>
    <t>РЕЛИГИОВЕДЕНИЕ</t>
  </si>
  <si>
    <t>СоловьевК.А.</t>
  </si>
  <si>
    <t>978-5-16-019149-2</t>
  </si>
  <si>
    <t>44.03.05, 47.03.03</t>
  </si>
  <si>
    <t>Рекомендовано в качестве учебного пособия для студентов высших учебных заведений, обучающихся по направлениям подготовки 47.03.03 «Религиоведение», 50.03.03 «История искусств» (квалификация (степень) "бакалавр")</t>
  </si>
  <si>
    <t>675150.01.01</t>
  </si>
  <si>
    <t>Религия и мифология Древней Греции: Уч.пос. / Ю.Б.Циркин-М.:НИЦ ИНФРА-М,2024.-188 с..-(ВО)(п)</t>
  </si>
  <si>
    <t>РЕЛИГИЯ И МИФОЛОГИЯ ДРЕВНЕЙ ГРЕЦИИ</t>
  </si>
  <si>
    <t>978-5-16-016675-9</t>
  </si>
  <si>
    <t>45.03.01, 46.03.01, 46.04.01, 51.03.02</t>
  </si>
  <si>
    <t>684799.05.01</t>
  </si>
  <si>
    <t>Ремонт автомобилей и двигателей: Уч.пос. / К.А.Давдиев - М.:НИЦ ИНФРА-М,2025. - 358 с.(СПО)(П)</t>
  </si>
  <si>
    <t>РЕМОНТ АВТОМОБИЛЕЙ И ДВИГАТЕЛЕЙ: ВЫПУСКНАЯ КВАЛИФИКАЦИОННАЯ РАБОТА</t>
  </si>
  <si>
    <t>978-5-16-014999-8</t>
  </si>
  <si>
    <t>23.02.02, 23.02.03, 23.02.07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</si>
  <si>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23.02.03 «Техническое обслуживание и ремонт автомобильного транспорта» (протокол № 2 от 09.02.2022)</t>
  </si>
  <si>
    <t>148450.09.01</t>
  </si>
  <si>
    <t>Ремонт автомобилей. Курс. проектир.: Уч.пос. / С.А.Скепьян - ИНФРА-М ,2024-235с(СПО)(п)</t>
  </si>
  <si>
    <t>РЕМОНТ АВТОМОБИЛЕЙ. КУРСОВОЕ ПРОЕКТИРОВАНИЕ</t>
  </si>
  <si>
    <t>Скепьян С. А.</t>
  </si>
  <si>
    <t>978-5-16-004759-1</t>
  </si>
  <si>
    <t>Рекомендовано учреждением образования «Республиканский институт профессионального образования» в качестве пособия для учащихся учреждений, обеспечивающих получение среднего специального образования по специальности «Техническая эксплуатация автомобилей»</t>
  </si>
  <si>
    <t>Республиканский институт профессионального образования, ф-л Минский государственный автомеханический</t>
  </si>
  <si>
    <t>705277.03.01</t>
  </si>
  <si>
    <t>Ремонт бронетанковой техники. Практикум: Уч.пос. / И.Ю.Лепешинский.-М.:НИЦ ИНФРА-М,2024.-102 с.(О)</t>
  </si>
  <si>
    <t>РЕМОНТ БРОНЕТАНКОВОЙ ТЕХНИКИ. ПРАКТИКУМ</t>
  </si>
  <si>
    <t>978-5-16-017992-6</t>
  </si>
  <si>
    <t>15.02.04, 23.03.01, 56.04.04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</si>
  <si>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учебных заведений, обучающихся по направлению подготовки «Транспортные машины и транспортно-технологические комплексы»</t>
  </si>
  <si>
    <t>701962.08.01</t>
  </si>
  <si>
    <t>Ремонт бронетанковой техники: Уч. / И.Ю.Лепешинский - М.:НИЦ ИНФРА-М,2025 - 320 с.(Военное обр.)(П)</t>
  </si>
  <si>
    <t>РЕМОНТ БРОНЕТАНКОВОЙ ТЕХНИКИ</t>
  </si>
  <si>
    <t>Лепешинский И.Ю., Костин К.В., Ануфриев Е.В. и др.</t>
  </si>
  <si>
    <t>978-5-16-015061-1</t>
  </si>
  <si>
    <t>15.02.04, 23.03.03, 23.04.03, 23.05.01, 23.05.02</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</si>
  <si>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 обучающихся по направлению подготовки «Транспортные машины и транспортно-технологические комплексы»</t>
  </si>
  <si>
    <t>690028.07.01</t>
  </si>
  <si>
    <t>Ремонт военной автомобильной техники..: Уч.пос. / Под ред. Ефремова В.В.-М.:НИЦ ИНФРА-М,2024-184с(П)</t>
  </si>
  <si>
    <t>РЕМОНТ ВОЕННОЙ АВТОМОБИЛЬНОЙ ТЕХНИКИ. ВОЙСКОВЫЕ РЕМОНТНО-ВОССТАНОВИТЕЛЬНЫЕ ОРГАНЫ АВТОМОБИЛЬНОЙ ТЕХНИКИ</t>
  </si>
  <si>
    <t>Ухалин А.С., Яркин В.Р., Латыфов Х.Х. и др.</t>
  </si>
  <si>
    <t>978-5-16-014524-2</t>
  </si>
  <si>
    <t>Рекомендуется федеральным государственным казенным военным образовательным учреждением высшего профессионального образования «Военный учебно-научный центр Сухопутных войск "Общевойсковая академия Вооруженных Сил Российской Федерации”» в качестве учебного пособия для курсантов Рязанского высшего воздушно-десантного командного училища имени генерала армии В.Ф. Маргелова, обучающихся по специальностям «Техническое обслуживание и ремонт автомобильного транспорта», «Автомобили и автомобильное хозяйство»</t>
  </si>
  <si>
    <t>655204.02.01</t>
  </si>
  <si>
    <t>Ремонт и утилизация наземных транспортно-технологич...: Уч. / Н.Н.Митрохин-М.:НИЦ ИНФРА-М,2023.-264 с.(П)</t>
  </si>
  <si>
    <t>РЕМОНТ И УТИЛИЗАЦИЯ НАЗЕМНЫХ ТРАНСПОРТНО-ТЕХНОЛОГИЧЕСКИХ СРЕДСТВ</t>
  </si>
  <si>
    <t>Митрохин Н.Н., Павлов А.П.</t>
  </si>
  <si>
    <t>978-5-16-014871-7</t>
  </si>
  <si>
    <t>15.03.01, 23.03.03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</si>
  <si>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23.03.03 «Эксплуатация транспортно-технологических машин и комплексов», 15.03.01 «Машиностроение» (квалификация (степень) «бакалавр») (протокол № 2 от 03.02.2020)</t>
  </si>
  <si>
    <t>188700.10.01</t>
  </si>
  <si>
    <t>Ремонт кузовов легковых автомобилей: Уч.пос. / Е.Л.Савич - М.:НИЦ ИНФРА-М,2025. - 320 с.(ВО)(п)</t>
  </si>
  <si>
    <t>РЕМОНТ КУЗОВОВ ЛЕГКОВЫХ АВТОМОБИЛЕЙ</t>
  </si>
  <si>
    <t>Савич Е. Л., Ивашко В. С., Савич А. С., под. общ.ред. Савич Е. Л.</t>
  </si>
  <si>
    <t>978-5-16-006027-9</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</si>
  <si>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«Техническая эксплуатация автомобилей», «Профессиональное обучение», «Автосервис»</t>
  </si>
  <si>
    <t>791516.03.01</t>
  </si>
  <si>
    <t>Ремонт основных сис., узлов и агрегатов..: Уч.пос. / И.Ю.Лепешинский - М.:НИЦ ИНФРА-М,2025. - 187 с.(п)</t>
  </si>
  <si>
    <t>РЕМОНТ ОСНОВНЫХ СИСТЕМ, УЗЛОВ И АГРЕГАТОВ БРОНЕТРАНСПОРТЕРА БТР-80</t>
  </si>
  <si>
    <t>Лепешинский И.Ю., Пепеляев А.В., Герасимов С.Д. и др.</t>
  </si>
  <si>
    <t>978-5-16-017999-5</t>
  </si>
  <si>
    <t>23.03.03, 23.04.03, 56.04.04</t>
  </si>
  <si>
    <t>791517.03.01</t>
  </si>
  <si>
    <t>Ремонт основных систем, узлов и агрегатов танка Т-72: Уч.пос.-М.:НИЦ ИНФРА-М,2023.-275 с.(п)</t>
  </si>
  <si>
    <t>РЕМОНТ ОСНОВНЫХ СИСТЕМ, УЗЛОВ И АГРЕГАТОВ ТАНКА Т-72</t>
  </si>
  <si>
    <t>Герасимов С.Д., Ядров В.И., Кульша А.Н. и др.</t>
  </si>
  <si>
    <t>978-5-16-018000-7</t>
  </si>
  <si>
    <t>674750.05.01</t>
  </si>
  <si>
    <t>Ремонт технологического оборудования: Уч. / А.Г.Схиртладзе - М.:КУРС,НИЦ ИНФРА-М,2024 - 352 с.(П)</t>
  </si>
  <si>
    <t>РЕМОНТ ТЕХНОЛОГИЧЕСКОГО ОБОРУДОВАНИЯ</t>
  </si>
  <si>
    <t>Схиртладзе А.Г., Скрябин В.А.</t>
  </si>
  <si>
    <t>978-5-906923-80-6</t>
  </si>
  <si>
    <t>15.03.05, 21.02.12</t>
  </si>
  <si>
    <t>806676.01.01</t>
  </si>
  <si>
    <t>Ремонт электрооборудования: Уч.пос. / А.А.Василенко-М.:НИЦ ИНФРА-М,2024.-164 с.(ВО (КрГАУ))(п)</t>
  </si>
  <si>
    <t>РЕМОНТ ЭЛЕКТРООБОРУДОВАНИЯ</t>
  </si>
  <si>
    <t>Василенко А.А.</t>
  </si>
  <si>
    <t>978-5-16-019140-9</t>
  </si>
  <si>
    <t>Рекомендовано Научно-методическим советом по технологиям, средствам механизации и энергетическому оборудованию в сельском хозяйстве Федерального УМО по сельскому, лесному и рыбному хозяйству для использования в учебном процессе при подготовке бакалавров по направлению «Агроинженерия»</t>
  </si>
  <si>
    <t>704978.03.01</t>
  </si>
  <si>
    <t>Ремонт электроспецоборуд. бронетанковой техники..: Уч.пос. /И.Ю.Лепешинский-М.:НИЦ ИНФРА-М,2023-360с</t>
  </si>
  <si>
    <t>РЕМОНТ ЭЛЕКТРОСПЕЦОБОРУДОВАНИЯ БРОНЕТАНКОВОЙ ТЕХНИКИ И ВООРУЖЕНИЯ</t>
  </si>
  <si>
    <t>Лепешинский И.Ю., Погодаев В.П.</t>
  </si>
  <si>
    <t>978-5-16-015060-4</t>
  </si>
  <si>
    <t>15.02.04, 17.05.02, 56.04.04</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</si>
  <si>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</si>
  <si>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162900.07.01</t>
  </si>
  <si>
    <t>Ресурсо- и энергосбережение в литейном произв.: Уч. / Г.Я.Вагин - 2 изд. - М.:Форум,НИЦ ИНФРА-М,2025 - 254 с.(ВО)(П)</t>
  </si>
  <si>
    <t>РЕСУРСО- И ЭНЕРГОСБЕРЕЖЕНИЕ В ЛИТЕЙНОМ ПРОИЗВОДСТВЕ, ИЗД.2</t>
  </si>
  <si>
    <t>Вагин Г.Я., Коровин В.А., Леушин И.О. и др.</t>
  </si>
  <si>
    <t>978-5-00091-625-4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</si>
  <si>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22.03.02 «Металлургия» (квалификация (степень) «бакалавр») (протокол № 13 от 16.09.2019)</t>
  </si>
  <si>
    <t>162900.05.01</t>
  </si>
  <si>
    <t>Ресурсо- и энергосбережение в литейном производстве: Уч. / Г.Я.Вагин - М.:Форум,2019 - 272 с.(П)</t>
  </si>
  <si>
    <t>РЕСУРСО- И ЭНЕРГОСБЕРЕЖЕНИЕ В ЛИТЕЙНОМ ПРОИЗВОДСТВЕ</t>
  </si>
  <si>
    <t>978-5-91134-517-4</t>
  </si>
  <si>
    <t>Допущено учебно-методическим объединением по образованию в области металлургии в качестве учебнка для студентов высших учебных заведений, обучающихся по направлению  "Металлургия"</t>
  </si>
  <si>
    <t>675030.03.01</t>
  </si>
  <si>
    <t>Реферирование и аннотир. науч. текстов на англ. яз.: Уч.пос./З.В.Маньковская-М:НИЦ ИНФРА-М,2023-144с</t>
  </si>
  <si>
    <t>РЕФЕРИРОВАНИЕ И АННОТИРОВАНИЕ НАУЧНЫХ ТЕКСТОВ НА АНГЛИЙСКОМ ЯЗЫКЕ</t>
  </si>
  <si>
    <t>978-5-16-014472-6</t>
  </si>
  <si>
    <t>00.03.02, 00.04.16, 00.05.02, 44.04.01, 45.03.02, 45.04.02, 51.03.06</t>
  </si>
  <si>
    <t>Рекомендовано Учебно-методическим советом ВО в качестве учебного пособия для студентов высших учебных заведений, обучающихся по техническим направлениям подготовки бакалавриата</t>
  </si>
  <si>
    <t>729914.03.01</t>
  </si>
  <si>
    <t>Реферирование иноязычных текстов: Уч.пос. / Л.В.Дудник - М.:НИЦ ИНФРА-М,2025 - 153 с.(ВО: Магистр.)(П)</t>
  </si>
  <si>
    <t>РЕФЕРИРОВАНИЕ ИНОЯЗЫЧНЫХ ТЕКСТОВ</t>
  </si>
  <si>
    <t>Дудник Л.В.</t>
  </si>
  <si>
    <t>978-5-16-016011-5</t>
  </si>
  <si>
    <t>27.04.05, 38.04.01, 38.04.02, 38.04.03, 38.04.04, 39.04.01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</si>
  <si>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«магистр») (протокол № 6 от 16.06.2021)</t>
  </si>
  <si>
    <t>838147.01.01</t>
  </si>
  <si>
    <t>Реформа образ. в России и ее результаты: Моногр. / Н.А.Сальков - М.:НИЦ ИНФРА-М,2025. - 230 с.(Науч.мысль)(п)</t>
  </si>
  <si>
    <t>РЕФОРМА ОБРАЗОВАНИЯ В РОССИИ И ЕЕ РЕЗУЛЬТАТЫ</t>
  </si>
  <si>
    <t>978-5-16-020448-2</t>
  </si>
  <si>
    <t>44.06.01</t>
  </si>
  <si>
    <t>108100.10.01</t>
  </si>
  <si>
    <t>Реформы в России XVIII-XX вв.: опыт и уроки: Уч. пос. / С.Л.Анохина - 3 изд. - М.:Вуз.уч..: ИНФРА-М,2025 - 512 с. (п)</t>
  </si>
  <si>
    <t>РЕФОРМЫ В РОССИИ XVIII-XX ВВ.: ОПЫТ И УРОКИ, ИЗД.3</t>
  </si>
  <si>
    <t>Анохина С. Л., Нестеренко Е. И., Петухова Н. Е., Пляйс Я. А.</t>
  </si>
  <si>
    <t>978-5-9558-0339-5</t>
  </si>
  <si>
    <t>003000.25.01</t>
  </si>
  <si>
    <t>Речевая коммуникация: Уч. / О.Я.Гойхман - 3 изд. - М.:НИЦ ИНФРА-М,2023 - 286 с.(ВО)(П)</t>
  </si>
  <si>
    <t>РЕЧЕВАЯ КОММУНИКАЦИЯ, ИЗД.3</t>
  </si>
  <si>
    <t>Гойхман О.Я., Надеина Т.М.</t>
  </si>
  <si>
    <t>978-5-16-018500-2</t>
  </si>
  <si>
    <t>Допущено Мин. обр. и науки РФ в качестве учебника для студентов высших учебных заведений, обучающихся по специальностям сервиса</t>
  </si>
  <si>
    <t>758050.03.01</t>
  </si>
  <si>
    <t>Речевая коммуникация: Уч. / О.Я.Гойхман - 3 изд. - М.:НИЦ ИНФРА-М,2024 - 286 с.(СПО)(П)</t>
  </si>
  <si>
    <t>978-5-16-016969-9</t>
  </si>
  <si>
    <t>00.02.15, 00.02.34, 38.02.02, 43.02.17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</si>
  <si>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(протокол № 12 от 14.12.2020)</t>
  </si>
  <si>
    <t>719748.06.01</t>
  </si>
  <si>
    <t>Речевое и предречевое разв. детей раннего возраста: Уч.мет.пос. / Т.А.Титова - М.:НИЦ ИНФРА-М,2025 - 192 с.(СПО)</t>
  </si>
  <si>
    <t>РЕЧЕВОЕ И ПРЕДРЕЧЕВОЕ РАЗВИТИЕ ДЕТЕЙ РАННЕГО ВОЗРАСТА</t>
  </si>
  <si>
    <t>Титова Т.А., Елецкая О.В., Матвеева М.В. и др.</t>
  </si>
  <si>
    <t>978-5-16-015652-1</t>
  </si>
  <si>
    <t>44.02.01, 44.02.02, 44.02.04</t>
  </si>
  <si>
    <t>Рекомендовано Межрегиональным учебно-методическим советом профессионального образования в качестве учебно-методического пособия для учебных заведений, реализующих программу среднего профессионального образования по специальности 44.02.04 «Специальное дошкольное образование» (протокол № 12 от 24.06.2019)</t>
  </si>
  <si>
    <t>383200.08.01</t>
  </si>
  <si>
    <t>Речевое и псих.развитие детей ран. возраста: Уч.-мет. пос. / Т.А.Титова - М.:Форум,НИЦ ИНФРА-М,2025 - 192 с.(ВО)(о)</t>
  </si>
  <si>
    <t>РЕЧЕВОЕ И ПСИХИЧЕСКОЕ РАЗВИТИЕ ДЕТЕЙ РАННЕГО ВОЗРАСТА</t>
  </si>
  <si>
    <t>978-5-00091-769-5</t>
  </si>
  <si>
    <t>37.03.01, 37.04.01, 44.03.01, 44.03.02, 44.03.03, 44.03.04, 44.03.05, 44.04.02, 44.04.03</t>
  </si>
  <si>
    <t>Рекомендовано кафедрой логопедии Ленинградского государственного университета им. А.С. Пушкина для студентов образовательных учреждений высшего образования, обучающихся по направлениям 44.04.03 «Специальное (дефектологическое) образование» (магистратура) и 44.03.03 «Специальное (дефектологическое) образование (бакалавриат) по профилю подготовки «Логопедия»</t>
  </si>
  <si>
    <t>788002.01.01</t>
  </si>
  <si>
    <t>Речные наносы: Уч./ С.Р.Чалов - М.:НИЦ ИНФРА-М,2024. - 473 с.(ВО)(п)</t>
  </si>
  <si>
    <t>РЕЧНЫЕ НАНОСЫ</t>
  </si>
  <si>
    <t>Чалов С.Р.</t>
  </si>
  <si>
    <t>978-5-16-018358-9</t>
  </si>
  <si>
    <t>05.04.02, 05.04.04, 05.04.06</t>
  </si>
  <si>
    <t>Допущено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направлениям «Гидрометеорология» и «География»</t>
  </si>
  <si>
    <t>654703.04.01</t>
  </si>
  <si>
    <t>Решение деловых проблем на англ. языке: Уч.пос. / Л.В.Дудник - М.:НИЦ ИНФРА-М,2022 - 127 с.-(ВО)(П)</t>
  </si>
  <si>
    <t>РЕШЕНИЕ ДЕЛОВЫХ ПРОБЛЕМ НА АНГЛИЙСКОМ ЯЗЫКЕ (КОММУНИКАТИВНЫЙ АСПЕКТ)</t>
  </si>
  <si>
    <t>Дудник Л.В., Путиловская Т.С.</t>
  </si>
  <si>
    <t>978-5-16-013733-9</t>
  </si>
  <si>
    <t>00.03.02, 00.05.02, 27.04.05, 38.04.01, 38.04.02, 38.04.03, 38.04.04, 38.04.05, 38.04.08, 38.04.09, 39.04.01, 43.04.03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</si>
  <si>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38.04.01 «Экономика», 38.04.02 «Менеджмент», 38.04.03 «Управление персоналом», 38.04.04 «Государственное и муниципальное управление» (квалификация (степень) «магистр»)</t>
  </si>
  <si>
    <t>326800.07.01</t>
  </si>
  <si>
    <t>Решения задач по теоретической механике: Уч.пос. / М.Н.Кирсанов, - 2 изд.-М.:НИЦ ИНФРА-М,2024.-222 с.(о)</t>
  </si>
  <si>
    <t>РЕШЕНИЯ ЗАДАЧ ПО ТЕОРЕТИЧЕСКОЙ МЕХАНИКЕ, ИЗД.2</t>
  </si>
  <si>
    <t>978-5-16-016344-4</t>
  </si>
  <si>
    <t>01.03.01, 02.03.01, 03.03.02</t>
  </si>
  <si>
    <t>326800.03.01</t>
  </si>
  <si>
    <t>Решения задач по теоретической механике: Уч.пос. / М.Н.Кирсанов-М.:НИЦ ИНФРА-М,2019.-216с(ВО)(о)</t>
  </si>
  <si>
    <t>РЕШЕНИЯ ЗАДАЧ ПО ТЕОРЕТИЧЕСКОЙ МЕХАНИКЕ</t>
  </si>
  <si>
    <t>978-5-16-010558-1</t>
  </si>
  <si>
    <t>Рекомендовано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</si>
  <si>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108400.12.01</t>
  </si>
  <si>
    <t>Римское частное право: Практ. курс / Д.В. Дождев. - М.: НОРМА, 2025. - 576 с. (п)</t>
  </si>
  <si>
    <t>РИМСКОЕ ЧАСТНОЕ ПРАВО</t>
  </si>
  <si>
    <t>Дождев Д. В.</t>
  </si>
  <si>
    <t>978-5-468-00251-3</t>
  </si>
  <si>
    <t>002023.24.01</t>
  </si>
  <si>
    <t>Римское частное право: Уч. / Д.В.Дождев - 3 изд. - М.:НОРМА, НИЦ ИНФРА-М,2025 - 784 с.(П)</t>
  </si>
  <si>
    <t>РИМСКОЕ ЧАСТНОЕ ПРАВО, ИЗД.3</t>
  </si>
  <si>
    <t>Дождев Д. В., Нерсесянц В. С.</t>
  </si>
  <si>
    <t>978-5-91768-506-9</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</si>
  <si>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t>
  </si>
  <si>
    <t>416050.05.01</t>
  </si>
  <si>
    <t>Риски хозяйствующих субъектов..: Уч.пос./ В.И.Авдийский-М:Альфа-М:НИЦ ИНФРА-М,2024-368с(Магистр.) (п)</t>
  </si>
  <si>
    <t>РИСКИ ХОЗЯЙСТВУЮЩИХ СУБЪЕКТОВ: ТЕОРЕТИЧЕСКИЕ ОСНОВЫ, МЕТОДОЛОГИИ АНАЛИЗА, ПРОГНОЗИРОВАНИЯ И УПРАВЛЕНИЯ</t>
  </si>
  <si>
    <t>Авдийский В. И., Безденежных В. М.</t>
  </si>
  <si>
    <t>978-5-98281-333-6</t>
  </si>
  <si>
    <t>38.03.01, 38.03.02, 38.03.03, 38.04.01, 38.04.02, 38.04.03, 41.03.06</t>
  </si>
  <si>
    <t>689167.04.01</t>
  </si>
  <si>
    <t>Риск-менеджмент - основа устойч. бизнеса: Уч.пос./ А.Н.Ряховская-М.:Магистр,НИЦ ИНФРА-М,2024-256с(П)</t>
  </si>
  <si>
    <t>РИСК-МЕНЕДЖМЕНТ - ОСНОВА УСТОЙЧИВОСТИ БИЗНЕСА</t>
  </si>
  <si>
    <t>Ряховская А.Н., Крюкова О.Г., Кузнецова М.О.</t>
  </si>
  <si>
    <t>978-5-9776-0487-1</t>
  </si>
  <si>
    <t>786991.01.01</t>
  </si>
  <si>
    <t>Рискология: Уч.пос. / А.В.Сигал и др.-М.:НИЦ ИНФРА-М,2024.-463 с.(ВО)(п)</t>
  </si>
  <si>
    <t>РИСКОЛОГИЯ</t>
  </si>
  <si>
    <t>Сигал А.В., Бакуменко М.А., Ремесник Е.С.</t>
  </si>
  <si>
    <t>978-5-16-017989-6</t>
  </si>
  <si>
    <t>38.03.01, 38.03.02, 38.03.04, 38.03.05, 38.04.01, 38.04.02, 38.04.05, 38.04.06, 38.05.01</t>
  </si>
  <si>
    <t>189750.07.01</t>
  </si>
  <si>
    <t>Рисунок в Московской архитектурной школе... : Уч.пос. / З.В. Жилкина -М.:КУРС:НИЦ ИНФРА-М,2023-112с.(О)</t>
  </si>
  <si>
    <t>РИСУНОК В МОСКОВСКОЙ АРХИТЕКТУРНОЙ ШКОЛЕ. ИСТОРИЯ. ТЕОРИЯ. ПРАКТИКА</t>
  </si>
  <si>
    <t>Жилкина З.В.</t>
  </si>
  <si>
    <t>978-5-905554-18-6</t>
  </si>
  <si>
    <t>07.03.01, 07.04.01, 44.03.01, 50.03.03, 50.04.03, 51.03.02, 54.03.03, 54.04.02</t>
  </si>
  <si>
    <t>Допущено УМО по образованию в области архитектуры Министерства образования и науки РФ в качестве учебного пособия для студентов вузов, обучающихся по направлению "Архитектура"</t>
  </si>
  <si>
    <t>074240.22.01</t>
  </si>
  <si>
    <t>Рисунок: Уч.пос. / В.И.Жабинский - М.:НИЦ ИНФРА-М,2025 - 256 с(СПО)(П)</t>
  </si>
  <si>
    <t>РИСУНОК</t>
  </si>
  <si>
    <t>Жабинский В.И., Винтова А.В.</t>
  </si>
  <si>
    <t>978-5-16-002693-0</t>
  </si>
  <si>
    <t>07.02.01, 08.01.28, 29.01.04, 29.01.09, 29.01.33, 43.01.11, 43.02.02, 43.02.04, 53.02.09, 54.01.01, 54.01.05, 54.01.06, 54.01.08, 54.01.12, 54.01.16, 54.01.20, 54.02.01, 54.02.02, 54.02.04, 54.02.05, 54.02.06, 54.02.07, 54.02.08, 55.02.03</t>
  </si>
  <si>
    <t>Допущено Государственным комитетом Российской Федерации по строительству в качестве учебного пособия для студентов средних специальных заведений, обучающихся по специальности 07.02.01 «Архитектура»</t>
  </si>
  <si>
    <t>653171.10.01</t>
  </si>
  <si>
    <t>Риторика: Уч. / А.К.Михальская - М.:НИЦ ИНФРА-М,2025 - 480 с.(ВО)(п)</t>
  </si>
  <si>
    <t>РИТОРИКА</t>
  </si>
  <si>
    <t>978-5-16-019373-1</t>
  </si>
  <si>
    <t>37.03.01, 38.03.02, 38.03.03, 38.03.04, 40.03.01, 42.03.01, 42.03.02, 42.03.04, 42.03.05, 44.03.01, 44.03.05, 45.03.01, 45.03.02</t>
  </si>
  <si>
    <t>Рекомендовано Учебно-методическим советом ВО в качестве учебника для студентов высших учебных заведений, обучающихся по направлениям подготовки 45.03.01 «Филолгия», 42.03.02 «Журналистика», 38.03.02 «Менеджмент» (квалификация (степень) «бакалавр»)</t>
  </si>
  <si>
    <t>668726.03.01</t>
  </si>
  <si>
    <t>Роль моделей в теории познания: Уч.пос. / Н.С.Дуреева-М.:НИЦ ИНФРА-М, СФУ,2023.-192 с.(ВО)(П)</t>
  </si>
  <si>
    <t>РОЛЬ МОДЕЛЕЙ В ТЕОРИИ ПОЗНАНИЯ</t>
  </si>
  <si>
    <t>Дуреева Н.С., Галиахметов М.Р.</t>
  </si>
  <si>
    <t>978-5-16-013311-9</t>
  </si>
  <si>
    <t>845815.02.01</t>
  </si>
  <si>
    <t>Российская геральдика: научно-поп. изд. / А.А.Корников - М.:НИЦ ИНФРА-М,2025. - 196 с. [16+](п)</t>
  </si>
  <si>
    <t>РОССИЙСКАЯ ГЕРАЛЬДИКА</t>
  </si>
  <si>
    <t>Корников А.А.</t>
  </si>
  <si>
    <t>978-5-16-020486-4</t>
  </si>
  <si>
    <t>767186.01.01</t>
  </si>
  <si>
    <t>Российская геральдика: Уч.пос. / А.А.Корников-М.:НИЦ ИНФРА-М,2024.-212 с.:цв.ил.-(ВО: Бакалавриат)(п)</t>
  </si>
  <si>
    <t>978-5-16-017419-8</t>
  </si>
  <si>
    <t>46.03.01, 46.03.02, 46.04.01</t>
  </si>
  <si>
    <t>835309.01.01</t>
  </si>
  <si>
    <t>Российское мировоззрение и ценности рос. цивилизации: Уч.пос./Е.Е.Несмеянов -М.:ИЦ РИОР, НИЦ ИНФРА-М,2025-184 с.(п)</t>
  </si>
  <si>
    <t>РОССИЙСКОЕ МИРОВОЗЗРЕНИЕ И ЦЕННОСТИ РОССИЙСКОЙ ЦИВИЛИЗАЦИИ</t>
  </si>
  <si>
    <t>Несмеянов Е.Е., Сорокин Г.В., Петрова Ю.А. и др.</t>
  </si>
  <si>
    <t>978-5-369-01963-4</t>
  </si>
  <si>
    <t>751025.01.01</t>
  </si>
  <si>
    <t>Россия в глобальной политике: Уч. / Н.Р.Балынская.-М.:НИЦ ИНФРА-М,2023.-254 с..-(ВО: Бакалавр.)(П)</t>
  </si>
  <si>
    <t>РОССИЯ В ГЛОБАЛЬНОЙ ПОЛИТИКЕ</t>
  </si>
  <si>
    <t>Балынская Н.Р., Гафурова В.М., Зиновьева Е.Г. и др.</t>
  </si>
  <si>
    <t>978-5-16-017026-8</t>
  </si>
  <si>
    <t>38.05.01, 39.03.01, 41.03.01, 41.03.04, 41.03.05, 41.03.06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</si>
  <si>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социальным и политическим направлениям подготовки (квалификация (степень) «бакалавр») (протокол № 9 от 17.11.2022)</t>
  </si>
  <si>
    <t>Южно-Уральский государственный институт искусств имени П.И. Чайковского</t>
  </si>
  <si>
    <t>486350.08.01</t>
  </si>
  <si>
    <t>Руководство по микробиол.и иммунол.: Уч.пос. /Н.М.Колычев - М.:НИЦ ИНФРА-М,2024 - 230 с.(ВО)(О)</t>
  </si>
  <si>
    <t>РУКОВОДСТВО ПО МИКРОБИОЛОГИИ И ИММУНОЛОГИИ, ИЗД.2</t>
  </si>
  <si>
    <t>Колычев Н.М., Кисленко В.Н., Белов Л.Г. и др.</t>
  </si>
  <si>
    <t>978-5-16-019978-8</t>
  </si>
  <si>
    <t>06.03.01, 34.03.01, 35.03.04, 35.03.08, 36.03.01, 36.03.02, 38.03.07, 44.03.05</t>
  </si>
  <si>
    <t>Допущено Министерством сельского хозяйства в качестве учебного пособия для студентов высших учебных заведений, обучающихся по специальностям «Ветеринария», «Ветеринарно-санитарная экспертиза»</t>
  </si>
  <si>
    <t>233200.15.01</t>
  </si>
  <si>
    <t>Руководство по суд. медицине: Практ.пос. / Под ред. Буромского И.В. - М.:Юр.Норма,НИЦ ИНФРА-М,2025 - 656 с.(п)</t>
  </si>
  <si>
    <t>РУКОВОДСТВО ПО СУДЕБНОЙ МЕДИЦИНЕ</t>
  </si>
  <si>
    <t>Крюков В.Н., Буромский И.В., Ардашкин А.П. и др.</t>
  </si>
  <si>
    <t>978-5-91768-420-8</t>
  </si>
  <si>
    <t>31.05.01, 40.02.02, 40.02.04, 40.03.01, 40.04.01, 40.05.01, 40.05.02, 40.05.03, 40.05.04</t>
  </si>
  <si>
    <t>Рекомендовано Учебно-методической комиссией по судебной медицине Учебно-методического объединения по медицинскому и фармацевтическому образованию вузов России в качестве учебного пособия по специальности 14.03.05 «Судебно-медицинская экспертиза»</t>
  </si>
  <si>
    <t>733507.04.01</t>
  </si>
  <si>
    <t>Рукопашный бой в условиях огранич. пространства: Уч.пос. / А.А.Тарасенко - М.:НИЦ ИНФРА-М,2024 - 178 с.(П)</t>
  </si>
  <si>
    <t>РУКОПАШНЫЙ БОЙ В УСЛОВИЯХ ОГРАНИЧЕННОГО ПРОСТРАНСТВА</t>
  </si>
  <si>
    <t>Тарасенко А.А., Войнов П.Н.</t>
  </si>
  <si>
    <t>978-5-16-016203-4</t>
  </si>
  <si>
    <t>00.01.05, 00.02.14, 40.02.02, 40.03.01, 40.05.01, 40.05.02</t>
  </si>
  <si>
    <t>371700.07.01</t>
  </si>
  <si>
    <t>Русловые процессы (русловедение): Уч. / Р.С.Чалов - М.:НИЦ ИНФРА-М,2023 - 569 с.()(П)</t>
  </si>
  <si>
    <t>РУСЛОВЫЕ ПРОЦЕССЫ (РУСЛОВЕДЕНИЕ)</t>
  </si>
  <si>
    <t>Чалов Р.С.</t>
  </si>
  <si>
    <t>978-5-16-011036-3</t>
  </si>
  <si>
    <t>Допущено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направлениям 05.03.04, 05.04.04 "Гидрометеорология» и 05.03.02, 05.04.02 «География»</t>
  </si>
  <si>
    <t>157500.15.01</t>
  </si>
  <si>
    <t>Русская и зарубежная литература: Уч. / Под ред. Сигова В.К. - М.:НИЦ ИНФРА-М,2025 - 512 с.(СПО)(п)</t>
  </si>
  <si>
    <t>РУССКАЯ И ЗАРУБЕЖНАЯ ЛИТЕРАТУРА</t>
  </si>
  <si>
    <t>Сигов В.К.</t>
  </si>
  <si>
    <t>978-5-16-010582-6</t>
  </si>
  <si>
    <t>00.02.09, 51.02.03</t>
  </si>
  <si>
    <t>450150.08.01</t>
  </si>
  <si>
    <t>Русская классика в мировом литерат. процессе...: Уч. пос./Б.А.Гиленсон-Вуз. уч.:ИНФРА-М,2024-395с.(о)</t>
  </si>
  <si>
    <t>РУССКАЯ КЛАССИКА В МИРОВОМ ЛИТЕРАТУРНОМ ПРОЦЕССЕ: ХIX - НАЧАЛО ХХ ВЕКОВ</t>
  </si>
  <si>
    <t>Гиленсон Б. А.</t>
  </si>
  <si>
    <t>978-5-9558-0333-3</t>
  </si>
  <si>
    <t>41.03.06, 42.03.02, 42.03.03, 42.04.02, 45.03.01, 45.04.02, 50.04.01, 50.04.03, 51.04.01</t>
  </si>
  <si>
    <t>333500.04.01</t>
  </si>
  <si>
    <t>Русская социология: Уч.пос. / В.В.Афанасьев - М.:НИЦ ИНФРА-М,2025 - 199 с.(ВО: Бакалавр.)(о)</t>
  </si>
  <si>
    <t>РУССКАЯ СОЦИОЛОГИЯ</t>
  </si>
  <si>
    <t>978-5-16-010645-8</t>
  </si>
  <si>
    <t>304300.05.01</t>
  </si>
  <si>
    <t>Русская социология: Уч.пос. /В.В.Афанасьев - М.:НИЦ ИНФРА-М,2024. - 159 с.(ВО:Бакалавр.)(о)</t>
  </si>
  <si>
    <t>В.В.Афанасьев</t>
  </si>
  <si>
    <t>978-5-16-010236-8</t>
  </si>
  <si>
    <t>720049.01.01</t>
  </si>
  <si>
    <t>Русский яз. и культура речи для сотруд. полиции: Уч.пос. / Ю.А.Воронцова-М.:НИЦ ИНФРА-М,2024-225 с.(СПО)(п)</t>
  </si>
  <si>
    <t>РУССКИЙ ЯЗЫК И КУЛЬТУРА РЕЧИ ДЛЯ СОТРУДНИКОВ ПОЛИЦИИ</t>
  </si>
  <si>
    <t>Воронцова Ю.А., Хорошко Е.Ю.</t>
  </si>
  <si>
    <t>978-5-16-019800-2</t>
  </si>
  <si>
    <t>845810.02.01</t>
  </si>
  <si>
    <t>Русский язык в деловой документации / М.В.Марьева - М.:НИЦ ИНФРА-М,2025. - 323 с.(Интересно знать) (п)</t>
  </si>
  <si>
    <t>РУССКИЙ ЯЗЫК В ДЕЛОВОЙ ДОКУМЕНТАЦИИ</t>
  </si>
  <si>
    <t>Марьева М.В.</t>
  </si>
  <si>
    <t>978-5-16-020483-3</t>
  </si>
  <si>
    <t>00.02.34, 31.02.01, 40.02.02, 40.02.04</t>
  </si>
  <si>
    <t>745706.05.01</t>
  </si>
  <si>
    <t>Русский язык в деловой документации: Уч. / М.В.Марьева - М.:НИЦ ИНФРА-М,2023 - 323 с(ВО: Спец.)(П)</t>
  </si>
  <si>
    <t>978-5-16-016549-3</t>
  </si>
  <si>
    <t>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</si>
  <si>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40.05.00 «Юриспруденция», 38.05.00 «Экономика и управление»  (протокол № 8 от 22.06.2020)</t>
  </si>
  <si>
    <t>683405.07.01</t>
  </si>
  <si>
    <t>Русский язык в деловой документации: Уч. / М.В.Марьева - М.:НИЦ ИНФРА-М,2025 - 323 с.(СПО)(П)</t>
  </si>
  <si>
    <t>978-5-16-014047-6</t>
  </si>
  <si>
    <t>00.02.34, 31.02.01, 40.02.02, 40.02.04, 44.02.01, 44.02.02, 44.02.03, 44.02.04, 44.02.05, 44.02.06, 46.02.01, 46.02.02, 49.02.02, 51.02.03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</si>
  <si>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</si>
  <si>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473700.08.01</t>
  </si>
  <si>
    <t>Русский язык в деловой документации: Уч. / М.В.Марьева - М.:НИЦ ИНФРА-М,2025-323 с.-(ВО: Бакалавр.)(П)</t>
  </si>
  <si>
    <t>978-5-16-011621-1</t>
  </si>
  <si>
    <t>38.05.02, 40.03.01, 40.05.02</t>
  </si>
  <si>
    <t>Рекомендовано в качестве учебника для студентов высших учебных заведений, обучающихся по направлениям подготовки 38.05.02 «Таможенное дело» (квалификация «специалист таможенного дела»), 40.03.01 «Юриспруденция» (квалификация (степень) «бакалавр»), 40.05.02 «Правоохранительная деятельность» (квалификация «юрист»)</t>
  </si>
  <si>
    <t>673693.03.01</t>
  </si>
  <si>
    <t>Русский язык и культура речи с основами стилистики: Уч.пос./ И.В.Волосков-М.:НИЦ ИНФРА-М,2024-56с(О)</t>
  </si>
  <si>
    <t>РУССКИЙ ЯЗЫК И КУЛЬТУРА РЕЧИ С ОСНОВАМИ СТИЛИСТИКИ</t>
  </si>
  <si>
    <t>978-5-16-019109-6</t>
  </si>
  <si>
    <t>Рекомендовано Учебно-методическим советом ВО в качестве учебного пособия для студентов высших учебных заведений, обучающихся по всем направлениям подготовки бакалавриата</t>
  </si>
  <si>
    <t>685716.01.01</t>
  </si>
  <si>
    <t>Русский язык и культура речи. Практикум: Уч.пос. / Л.Я.Ковадло-М.:НИЦ ИНФРА-М,2023.-630 с.(СПО)(П)</t>
  </si>
  <si>
    <t>РУССКИЙ ЯЗЫК И КУЛЬТУРА РЕЧИ. ПРАКТИКУМ</t>
  </si>
  <si>
    <t>Ковадло Л.Я.</t>
  </si>
  <si>
    <t>978-5-16-015036-9</t>
  </si>
  <si>
    <t>00.02.09, 00.02.34, 44.02.01, 44.02.02, 44.02.03, 44.02.04, 44.02.05, 44.02.06, 46.02.01, 46.02.02, 49.02.02, 51.02.03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</si>
  <si>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6 от 08.06.2022)</t>
  </si>
  <si>
    <t>654515.02.01</t>
  </si>
  <si>
    <t>Русский язык и культура речи. Теория: Уч. / Л.Я.Ковадло-М.:НИЦ ИНФРА-М,2023.- 823 с.(СПО)(П)</t>
  </si>
  <si>
    <t>РУССКИЙ ЯЗЫК И КУЛЬТУРА РЕЧИ. ТЕОРИЯ</t>
  </si>
  <si>
    <t>978-5-16-014980-6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</si>
  <si>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(протокол № 6 от 08.06.2022)</t>
  </si>
  <si>
    <t>719923.02.01</t>
  </si>
  <si>
    <t>Русский язык и культура речи: ист...: Уч.пос. / Б.Р.Мандель - М.:Вуз.уч.,НИЦ ИНФРА-М,2023-267 с.(П)</t>
  </si>
  <si>
    <t>РУССКИЙ ЯЗЫК И КУЛЬТУРА РЕЧИ: ИСТОРИЯ, ТЕОРИЯ, ПРАКТИКА</t>
  </si>
  <si>
    <t>978-5-9558-0646-4</t>
  </si>
  <si>
    <t>00.02.09, 00.02.34, 44.02.01, 46.02.01, 46.02.02, 51.02.03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</si>
  <si>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12 от 24.06.2019)</t>
  </si>
  <si>
    <t>100050.11.01</t>
  </si>
  <si>
    <t>Русский язык и культура речи: история...: Уч. пос. /Б.Р.Мандель - М.: Вуз.уч.,ИНФРА-М,2024-267с.(ВО)(п)</t>
  </si>
  <si>
    <t>978-5-9558-0079-0</t>
  </si>
  <si>
    <t>169750.10.01</t>
  </si>
  <si>
    <t>Русский язык и культура речи: Практ. / Т.В. Губернская. - М.: Форум, 2025 - 256 с. (о)</t>
  </si>
  <si>
    <t>РУССКИЙ ЯЗЫК И КУЛЬТУРА РЕЧИ</t>
  </si>
  <si>
    <t>Губернская Т. В.</t>
  </si>
  <si>
    <t>978-5-91134-598-3</t>
  </si>
  <si>
    <t>066400.20.01</t>
  </si>
  <si>
    <t>Русский язык и культура речи: Уч. / Н.В.Кузнецова, - 3 изд. - М.:НИЦ ИНФРА-М,2025 - 368 с.(СПО)(п)</t>
  </si>
  <si>
    <t>РУССКИЙ ЯЗЫК И КУЛЬТУРА РЕЧИ, ИЗД.3</t>
  </si>
  <si>
    <t>Кузнецова Н.В.</t>
  </si>
  <si>
    <t>978-5-16-016335-2</t>
  </si>
  <si>
    <t>00.02.34, 44.02.01, 44.02.02, 44.02.03, 44.02.04, 44.02.05, 44.02.06, 46.02.01, 46.02.02, 49.02.02, 51.02.03</t>
  </si>
  <si>
    <t>Допущено Министерством образования Российской Федерации в качестве учебника для студентов учреждений среднего профессионального образования</t>
  </si>
  <si>
    <t>034270.26.01</t>
  </si>
  <si>
    <t>Русский язык и культура речи: Уч. / Под ред. Гойхмана О.Я. - 2 изд. - М.:НИЦ ИНФРА-М,2023-240с.(ВО)</t>
  </si>
  <si>
    <t>РУССКИЙ ЯЗЫК И КУЛЬТУРА РЕЧИ, ИЗД.2</t>
  </si>
  <si>
    <t>Гойхман О.Я., Гончарова Л.М., Лапшина О.Н. и др.</t>
  </si>
  <si>
    <t>978-5-16-009929-3</t>
  </si>
  <si>
    <t>00.03.09, 00.05.09, 43.03.01, 43.03.02, 43.03.03</t>
  </si>
  <si>
    <t>Рекомендовано Учебно-методическим объединением учебных заведений Российской Федерации по образованию в области сервиса в качестве учебника для студентов высших учебных заведений, обучающихся по сервисным специальностям 43.00.00 «Сервис и туризм»</t>
  </si>
  <si>
    <t>719359.07.01</t>
  </si>
  <si>
    <t>Русский язык и культура речи: Уч. / Под ред. Гойхмана О.Я. -2 изд. -М.:НИЦ ИНФРА-М,2024-240с.(СПО)(П)</t>
  </si>
  <si>
    <t>978-5-16-015627-9</t>
  </si>
  <si>
    <t>00.02.34, 38.02.01, 44.02.01, 44.02.02, 44.02.03, 44.02.04, 44.02.05, 44.02.06, 46.02.01, 46.02.02, 49.02.02, 51.02.03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</si>
  <si>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11 от 10.06.2019)</t>
  </si>
  <si>
    <t>751086.04.01</t>
  </si>
  <si>
    <t>Русский язык и культура речи: Уч. и практикум / Ф.В.Авджан - М.:НИЦ ИНФРА-М,2025. - 373 с.(ВО)(П)</t>
  </si>
  <si>
    <t>Авджан Ф.В.</t>
  </si>
  <si>
    <t>978-5-16-017369-6</t>
  </si>
  <si>
    <t>Белгородский государственный технологический университет им. В.Г. Шухова, Новороссийский ф-л</t>
  </si>
  <si>
    <t>108450.12.01</t>
  </si>
  <si>
    <t>Русский язык и культура речи: Уч.пос. / Е.А.Самойлова - М.:ИД ФОРУМ,НИЦ ИНФРА-М,2025 - 144 с.(ПО)(П)</t>
  </si>
  <si>
    <t>Самойлова Е. А.</t>
  </si>
  <si>
    <t>978-5-8199-0802-0</t>
  </si>
  <si>
    <t>00.02.34, 20.02.05, 44.02.01, 44.02.02, 44.02.03, 44.02.04, 44.02.05, 44.02.06, 46.02.01, 46.02.02, 49.02.02, 51.02.03</t>
  </si>
  <si>
    <t>Допущено Государственным университетом гуманитарных наук в качестве учебного пособия для студентов учреждений среднего профессионального образования</t>
  </si>
  <si>
    <t>719412.03.01</t>
  </si>
  <si>
    <t>Русский язык и культура речи: Уч.пос. / О.Ю.Машина - М.:ИЦ РИОР, НИЦ ИНФРА-М,2024. - 168 с.-(СПО)(п)</t>
  </si>
  <si>
    <t>Машина О. Ю.</t>
  </si>
  <si>
    <t>978-5-369-01825-5</t>
  </si>
  <si>
    <t>00.02.34, 44.02.01, 44.02.02, 44.02.03, 44.02.05, 44.02.06, 46.02.01, 46.02.02, 51.02.03</t>
  </si>
  <si>
    <t>155350.07.01</t>
  </si>
  <si>
    <t>Русский язык и культура речи: Уч.пос. / О.Ю.Машина, - 2 изд.-М.:ИЦ РИОР, ИНФРА-М Изд. Дом,2024.-168 с.(ВО)(п)</t>
  </si>
  <si>
    <t>978-5-369-00784-6</t>
  </si>
  <si>
    <t>Допущено Министерством образования Российской Федерации в качестве учебного пособия для студентов высших учебных заведений</t>
  </si>
  <si>
    <t>683170.05.01</t>
  </si>
  <si>
    <t>Русский язык и литература: Практикум: В 2 ч.Ч.1 / Под ред. Алексеева А.В. - М.:НИЦ ИНФРА-М,2024 - 195 с.(СПО)(П)</t>
  </si>
  <si>
    <t>РУССКИЙ ЯЗЫК И ЛИТЕРАТУРА</t>
  </si>
  <si>
    <t>Алексеев А.В., Лапутина Т.В., Михайлова И.Д. и др.</t>
  </si>
  <si>
    <t>978-5-16-014498-6</t>
  </si>
  <si>
    <t>00.02.09, 31.02.01, 46.02.01, 46.02.02, 51.02.03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</si>
  <si>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6 от 25.03.2019)</t>
  </si>
  <si>
    <t>641800.04.01</t>
  </si>
  <si>
    <t>Русский язык и литература: Уч.: Ч. 1: Рус. яз./ Под ред. Алексеев А.В.-М.:НИЦ ИНФРА-М,2024.-363 с.(СПО)(П)</t>
  </si>
  <si>
    <t>978-5-16-014499-3</t>
  </si>
  <si>
    <t>00.02.09, 46.02.01, 46.02.02, 51.02.03</t>
  </si>
  <si>
    <t>652141.05.01</t>
  </si>
  <si>
    <t>Русский язык и литература: Уч.: Ч.2: Литература / В.К.Сигов и др. - М.:НИЦ ИНФРА-М,2024-491с(СПО)(П)</t>
  </si>
  <si>
    <t>Сигов В.К., Иванова Е.В., Колядич Т.М. и др.</t>
  </si>
  <si>
    <t>978-5-16-013325-6</t>
  </si>
  <si>
    <t>681866.04.01</t>
  </si>
  <si>
    <t>Русский язык: Уч.пос. / А.В.Сухотинская - М.:НИЦ ИНФРА-М,2024 - 215 с.(СПО)(П)</t>
  </si>
  <si>
    <t>РУССКИЙ ЯЗЫК</t>
  </si>
  <si>
    <t>Сухотинская А.В.</t>
  </si>
  <si>
    <t>978-5-16-014533-4</t>
  </si>
  <si>
    <t>00.02.34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</si>
  <si>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5 от 19.05.2021)</t>
  </si>
  <si>
    <t>185200.14.01</t>
  </si>
  <si>
    <t>Русское искусство XIX в.: Уч. пос. / И.Е. Печенкин. - М.: КУРС:НИЦ Инфра-М, 2024. - 360 с.(П)</t>
  </si>
  <si>
    <t>РУССКОЕ ИСКУССТВО XIX ВЕКА</t>
  </si>
  <si>
    <t>Печенкин И. Е.</t>
  </si>
  <si>
    <t>978-5-905554-11-7</t>
  </si>
  <si>
    <t>07.03.01, 07.04.01, 50.03.04, 50.04.04, 51.04.04, 53.04.05, 54.03.01, 54.03.04, 54.04.01, 54.04.04</t>
  </si>
  <si>
    <t>Допущено УМО по образованию в области архитектуры в качестве учебного пособия для студентов вузов, обучающихся по направлению "Архитектура"</t>
  </si>
  <si>
    <t>667638.05.01</t>
  </si>
  <si>
    <t>Русское искусство конца XIX - нач. XX в.: Уч.пос./ М.В.Москалюк-М.:НИЦ ИНФРА-М, СФУ,2023-257с(ВО)(П)</t>
  </si>
  <si>
    <t>РУССКОЕ ИСКУССТВО КОНЦА XIX - НАЧАЛА XX ВЕКА</t>
  </si>
  <si>
    <t>Москалюк М.В.</t>
  </si>
  <si>
    <t>978-5-16-018521-7</t>
  </si>
  <si>
    <t>50.03.03, 50.03.04, 50.04.03, 50.04.04, 51.03.01, 51.04.01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</si>
  <si>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50.03.03 «История искусства»</t>
  </si>
  <si>
    <t>Сибирский Государственный Институт Искусств имени Дмитрия Хворостовского</t>
  </si>
  <si>
    <t>633162.07.01</t>
  </si>
  <si>
    <t>Рынки информационно-коммуникац. тех. и орг.продаж: Уч. / В.Н.Наумов - М.:НИЦ ИНФРА-М,2025 - 404 с.(ВО)(п)</t>
  </si>
  <si>
    <t>РЫНКИ ИНФОРМАЦИОННО-КОММУНИКАЦИОННЫХ ТЕХНОЛОГИЙ И ОРГАНИЗАЦИЯ ПРОДАЖ</t>
  </si>
  <si>
    <t>978-5-16-012042-3</t>
  </si>
  <si>
    <t>09.03.02, 38.03.02, 38.03.05</t>
  </si>
  <si>
    <t>Рекомендовано Научно-методическим советом федерального государственного бюджетного образовательного учреждения высшего образования «Санкт-Петербургский государственный экономический университет» в качестве учебника для студентов, обучающихся по направлению подготовки 38.03.05 «Бизнес-информатика» (квалификация (степень) «бакалавр»)</t>
  </si>
  <si>
    <t>072100.21.01</t>
  </si>
  <si>
    <t>Рынок ценных бумаг: Уч. / В.А.Галанов - 2 изд. - М.:НИЦ ИНФРА-М,2025 - 414 с.-(ВО)(п)</t>
  </si>
  <si>
    <t>РЫНОК ЦЕННЫХ БУМАГ, ИЗД.2</t>
  </si>
  <si>
    <t>978-5-16-018868-3</t>
  </si>
  <si>
    <t>842464.01.01</t>
  </si>
  <si>
    <t>Садово-парковое искусство: Уч.пос. / Н.В.Кригер - М.:НИЦ ИНФРА-М,2025. - 376 с.-(СПО (КрГАУ))(п)</t>
  </si>
  <si>
    <t>САДОВО-ПАРКОВОЕ ИСКУССТВО</t>
  </si>
  <si>
    <t>Кригер Н.В., Фомина Н.В.</t>
  </si>
  <si>
    <t>978-5-16-020347-8</t>
  </si>
  <si>
    <t>782290.01.01</t>
  </si>
  <si>
    <t>Садово-парковое искусство: Уч.пос.-М.:НИЦ ИНФРА-М,2023.-376 с..-(ВО: Бакалавриат)(п)</t>
  </si>
  <si>
    <t>978-5-16-018079-3</t>
  </si>
  <si>
    <t>35.03.05, 35.03.10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</si>
  <si>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t>
  </si>
  <si>
    <t>640857.05.01</t>
  </si>
  <si>
    <t>Садово-парковый и ландшаф. дизайн на англ. яз.: Уч.пос.. / В.Н.Новикова-М.:КУРС, НИЦ ИНФРА-М,2024-112с(О)</t>
  </si>
  <si>
    <t>САДОВО-ПАРКОВЫЙ И ЛАНДШАФТНЫЙ ДИЗАЙН НА АНГЛИЙСКОМ ЯЗЫКЕ = HORTICULURAL AND LANDSCAPE DESIGN IN ENGLISH</t>
  </si>
  <si>
    <t>Новикова В.Н.</t>
  </si>
  <si>
    <t>978-5-906818-89-8</t>
  </si>
  <si>
    <t>132700.08.01</t>
  </si>
  <si>
    <t>Санаторно-курортное дело: Уч. / Г.И.Молчанов, Н.Г.Бондаренко - М.: Альфа-М:  ИНФРА-М, 2024-400с. (п)</t>
  </si>
  <si>
    <t>САНАТОРНО-КУРОРТНОЕ ДЕЛО</t>
  </si>
  <si>
    <t>Молчанов Г. И., Бондаренко Н. Г., Дегтярева И. Н., Кубалова Л. М., Молчанов А. А.</t>
  </si>
  <si>
    <t>978-5-98281-171-4</t>
  </si>
  <si>
    <t>43.03.03, 49.03.03</t>
  </si>
  <si>
    <t>Северо-Осетинский государственный университет им. К.Л. Хетагурова</t>
  </si>
  <si>
    <t>683107.02.01</t>
  </si>
  <si>
    <t>Санаторно-курортное дело: Уч. / Под ред. Молчанова Г.И. - М.:НИЦ ИНФРА-М,2023 - 397 с.(СПО)(П)</t>
  </si>
  <si>
    <t>Молчанов Г.И., Бондаренко Н.Г., Дегтярева И.Н. и др.</t>
  </si>
  <si>
    <t>978-5-16-016935-4</t>
  </si>
  <si>
    <t>43.02.01, 43.02.11, 43.02.16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</si>
  <si>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43.02.10 «Туризм», 43.02.11 «Гостиничный сервис» (протокол № 11 от 09.11.2020)</t>
  </si>
  <si>
    <t>686658.07.01</t>
  </si>
  <si>
    <t>Санитария и гигиена парикмахерских услуг: Уч.пос. / И.С.Тундалева - М.:НИЦ ИНФРА-М,2024 - 205 с.-(СПО)(П)</t>
  </si>
  <si>
    <t>САНИТАРИЯ И ГИГИЕНА ПАРИКМАХЕРСКИХ УСЛУГ</t>
  </si>
  <si>
    <t>978-5-16-014391-0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</si>
  <si>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43.02.13 «Технология парикмахерского искусства» (протокол № 8 от 22.06.2020)</t>
  </si>
  <si>
    <t>681885.08.01</t>
  </si>
  <si>
    <t>Санитария и гигиена питания: Уч. / Т.А.Джум и др. - М.:Магистр, НИЦ ИНФРА-М,2024 - 544 с.(П)</t>
  </si>
  <si>
    <t>САНИТАРИЯ И ГИГИЕНА ПИТАНИЯ</t>
  </si>
  <si>
    <t>Джум Т.А., Тамова М.Ю., Букалова М.В.</t>
  </si>
  <si>
    <t>978-5-9776-0475-8</t>
  </si>
  <si>
    <t>19.03.04, 19.04.04</t>
  </si>
  <si>
    <t>062300.19.01</t>
  </si>
  <si>
    <t>Санитарно-техническое оборудование зданий: Уч. / Ю.М.Варфоломеев - М.:НИЦ ИНФРА-М,2024 -249с(СПО)(п)</t>
  </si>
  <si>
    <t>САНИТАРНО-ТЕХНИЧЕСКОЕ ОБОРУДОВАНИЕ ЗДАНИЙ</t>
  </si>
  <si>
    <t>Варфоломеев Ю.М., Орлов В.А., Варфоломеев Ю.М.</t>
  </si>
  <si>
    <t>978-5-16-012602-9</t>
  </si>
  <si>
    <t>08.01.29, 08.02.04, 08.02.13, 08.02.14, 38.01.02</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</si>
  <si>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08.02.08 «Монтаж и эксплуатация оборудования и систем газоснабжения»</t>
  </si>
  <si>
    <t>339500.07.01</t>
  </si>
  <si>
    <t>САПР конструктора машиностроителя /Э.М.Берлинер-М.:Форум, НИЦ ИНФРА-М,2024.-288 с.(ВО)</t>
  </si>
  <si>
    <t>САПР КОНСТРУКТОРА МАШИНОСТРОИТЕЛЯ</t>
  </si>
  <si>
    <t>Э.М.Берлинер, О.В.Таратынов</t>
  </si>
  <si>
    <t>978-5-00091-042-9</t>
  </si>
  <si>
    <t>683108.08.01</t>
  </si>
  <si>
    <t>САПР конструктора машиностроителя: Уч. / Э.М.Берлинер - М.:Форум, НИЦ ИНФРА-М,2025 - 288 с.-(СПО)(П)</t>
  </si>
  <si>
    <t>Берлинер Э.М., Таратынов О.В.</t>
  </si>
  <si>
    <t>978-5-00091-558-5</t>
  </si>
  <si>
    <t>15.02.03, 15.02.16, 15.02.17, 15.02.18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</si>
  <si>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15.02.00 «Машиностроение»</t>
  </si>
  <si>
    <t>339600.08.01</t>
  </si>
  <si>
    <t>САПР технолога машиностроителя: Уч. /Э.М.Берлинер - М.:Форум, НИЦ ИНФРА-М,2022 - 336 с.-(ВО) (П)</t>
  </si>
  <si>
    <t>САПР ТЕХНОЛОГА МАШИНОСТРОИТЕЛЯ</t>
  </si>
  <si>
    <t>978-5-00091-043-6</t>
  </si>
  <si>
    <t>15.03.01, 15.03.03, 15.04.01, 15.04.06</t>
  </si>
  <si>
    <t>843813.01.01</t>
  </si>
  <si>
    <t>САПР технолога-машиностроителя: Уч. /Э.М.Берлинер - М.:Форум, НИЦ ИНФРА-М,2025 - 336 с.(СПО)(п)</t>
  </si>
  <si>
    <t>САПР ТЕХНОЛОГА-МАШИНОСТРОИТЕЛЯ</t>
  </si>
  <si>
    <t>978-5-00091-815-9</t>
  </si>
  <si>
    <t>15.02.04, 15.02.09, 15.02.16, 15.02.18, 15.02.19</t>
  </si>
  <si>
    <t>689678.05.01</t>
  </si>
  <si>
    <t>Сборник алгоритмов стоматолог. манипуляций к итог.гос. аттестации: Уч.пос. / К.А.Колесник-М.:НИЦ ИНФРА-М,2024-199с</t>
  </si>
  <si>
    <t>СБОРНИК АЛГОРИТМОВ СТОМАТОЛОГИЧЕСКИХ МАНИПУЛЯЦИЙ К ИТОГОВОЙ ГОСУДАРСТВЕННОЙ АТТЕСТАЦИИ</t>
  </si>
  <si>
    <t>Колесник К.А., Райда А.И., Каладзе Н.Н. и др.</t>
  </si>
  <si>
    <t>978-5-16-017327-6</t>
  </si>
  <si>
    <t>Рекомендовано Межрегиональным учебно-методическим советом профессионального образования для использования в учебном процессе в качестве учебного пособия для студентов высших учебных заведений, обучающихся по специальности 31.05.03 Стоматология» (квалификация «врач-стоматолог») (протокол № 6 от 16.06.2021)</t>
  </si>
  <si>
    <t>253200.08.01</t>
  </si>
  <si>
    <t>Сборник заданий по технической графике: Уч. пос. / Е.А. Василенко - М.: НИЦ ИНФРА-М, 2022-392с.(СПО)</t>
  </si>
  <si>
    <t>СБОРНИК ЗАДАНИЙ ПО ТЕХНИЧЕСКОЙ ГРАФИКЕ</t>
  </si>
  <si>
    <t>Василенко Е. А., Чекмарев А. А.</t>
  </si>
  <si>
    <t>978-5-16-009402-1</t>
  </si>
  <si>
    <t>08.01.22, 08.01.23, 08.01.29, 08.01.32, 09.02.08, 10.02.04, 11.02.09, 11.02.11, 11.02.18, 13.01.03, 13.01.04, 13.01.06, 13.01.07, 13.01.13, 15.01.13, 15.01.17, 15.01.18, 15.01.22, 15.01.29, 15.01.35, 15.01.36, 15.01.37, 15.01.38, 18.01.06, 18.01.08, 18.01.26, 18.01.27, 18.02.13, 21.01.01, 21.01.02, 21.01.03, 21.01.04, 21.01.17, 23.01.07, 23.01.13, 23.01.14, 23.01.15, 24.01.01, 29.01.28, 35.01.05, 35.01.06, 35.01.15, 35.01.28, 35.01.30</t>
  </si>
  <si>
    <t>633379.04.01</t>
  </si>
  <si>
    <t>Сборник задач и вопросов по агрометеорологии: Уч.пос. / А.П.Лосев-М.:НИЦ ИНФРА-М,2023.-170 с.(ВО)(П)</t>
  </si>
  <si>
    <t>СБОРНИК ЗАДАЧ И ВОПРОСОВ ПО АГРОМЕТЕОРОЛОГИИ</t>
  </si>
  <si>
    <t>Лосев А.П.</t>
  </si>
  <si>
    <t>978-5-16-012065-2</t>
  </si>
  <si>
    <t>083410.10.01</t>
  </si>
  <si>
    <t>Сборник задач и упр. по информатике: Уч.пос. / Под ред. Гагариной Л.Г. - М.:ИД Форум, НИЦ ИНФРА-М,2025. - 255 с.(П)</t>
  </si>
  <si>
    <t>СБОРНИК ЗАДАЧ И УПРАЖНЕНИЙ ПО ИНФОРМАТИКЕ</t>
  </si>
  <si>
    <t>В.Д.Колдаев, Л.Г.Гагарина</t>
  </si>
  <si>
    <t>978-5-8199-0928-7</t>
  </si>
  <si>
    <t>09.02.05, 10.02.04, 10.02.05, 11.02.06, 12.02.07, 12.02.09, 12.02.10, 15.02.09, 25.02.01, 25.02.02, 25.02.03, 25.02.04, 25.02.06, 25.02.07, 26.02.02, 26.02.03, 26.02.05, 26.02.06, 27.02.03</t>
  </si>
  <si>
    <t>390300.07.01</t>
  </si>
  <si>
    <t>Сборник задач и упр. по орг. химии: Уч. пос. / В.Г.Иванов - 3 изд. - М.:НИЦ ИНФРА-М,2024-319c(ВО)(п)</t>
  </si>
  <si>
    <t>СБОРНИК ЗАДАЧ И УПРАЖНЕНИЙ ПО ОРГАНИЧЕСКОЙ ХИМИИ, ИЗД.3</t>
  </si>
  <si>
    <t>Иванов В.Г, Гева О.Н, Гаверова Ю.Г.</t>
  </si>
  <si>
    <t>978-5-16-019154-6</t>
  </si>
  <si>
    <t>Рекомендуется для студентов высших учебных заведений, обучающихся по направлению подготовки 44.03.01 «Педагогическое образование"</t>
  </si>
  <si>
    <t>400250.09.01</t>
  </si>
  <si>
    <t>Сборник задач по курсу начертательной геометрии: Уч.пос. / Н.А.Сальков -М:НИЦ Инфра-М,2023-127с.(ВО)</t>
  </si>
  <si>
    <t>СБОРНИК ЗАДАЧ ПО КУРСУ НАЧЕРТАТЕЛЬНОЙ ГЕОМЕТРИИ</t>
  </si>
  <si>
    <t>978-5-16-005772-9</t>
  </si>
  <si>
    <t>845365.01.01</t>
  </si>
  <si>
    <t>Сборник задач по курсу начертательной геометрии: Уч.пос. / Н.А.Сальков, - 2 изд. - М.:НИЦ ИНФРА-М,2025-127 с.(СПО)(П)</t>
  </si>
  <si>
    <t>СБОРНИК ЗАДАЧ ПО КУРСУ НАЧЕРТАТЕЛЬНОЙ ГЕОМЕТРИИ, ИЗД.2</t>
  </si>
  <si>
    <t>978-5-16-020466-6</t>
  </si>
  <si>
    <t>400250.10.01</t>
  </si>
  <si>
    <t>Сборник задач по курсу начертательной..: Уч.пос. / Н.А.Сальков - 2 изд. - М.:НИЦ ИНФРА-М,2025. - 127 с.(о)</t>
  </si>
  <si>
    <t>978-5-16-020800-8</t>
  </si>
  <si>
    <t>Допущено УМО по образованию в области архитектуры в качестве учебного пособия для студентов вузов, обучающихся по направлению подготовки 07.03.01 «Архитектура»</t>
  </si>
  <si>
    <t>449800.05.01</t>
  </si>
  <si>
    <t>Сборник задач по матем. логике и теории алгор.: Уч.пос. / В.И.Игошин - М.:КУРС, НИЦ ИНФРА-М,2025. - 392 с.(П)</t>
  </si>
  <si>
    <t>СБОРНИК ЗАДАЧ ПО МАТЕМАТИЧЕСКОЙ ЛОГИКЕ И ТЕОРИИ АЛГОРИТМОВ</t>
  </si>
  <si>
    <t>978-5-906818-08-9</t>
  </si>
  <si>
    <t>09.03.03, 09.04.03, 44.03.01, 44.03.04, 44.04.01, 44.04.04</t>
  </si>
  <si>
    <t>063100.16.01</t>
  </si>
  <si>
    <t>Сборник задач по математике: Уч. пос. / А.А.Дадаян - 3 изд. - М.:Форум, ИНФРА-М,2025. - 352 с.(П)</t>
  </si>
  <si>
    <t>СБОРНИК ЗАДАЧ ПО МАТЕМАТИКЕ, ИЗД.3</t>
  </si>
  <si>
    <t>978-5-91134-803-8</t>
  </si>
  <si>
    <t>Рекомендововно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</si>
  <si>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034180.19.01</t>
  </si>
  <si>
    <t>Сборник задач по микроэконом.: К "Курсу микроэк."Р. М.Нуреева /Р.М.Нуреев -М:Норма:ИНФРА-М,2023-432с(П)</t>
  </si>
  <si>
    <t>СБОРНИК ЗАДАЧ ПО МИКРОЭКОНОМИКЕ</t>
  </si>
  <si>
    <t>Нуреев Р.М., Латов Ю.В., Пястолов С.М. и др.</t>
  </si>
  <si>
    <t>978-5-91768-252-5</t>
  </si>
  <si>
    <t>0102</t>
  </si>
  <si>
    <t>328200.04.01</t>
  </si>
  <si>
    <t>Сборник задач по сопротивл. материалов: Уч.пос. / А.Н.Муморцев-М.:Форум, НИЦ ИНФРА-М,2023.-112 с.(ВО)(О)</t>
  </si>
  <si>
    <t>СБОРНИК ЗАДАЧ ПО СОПРОТИВЛЕНИЮ МАТЕРИАЛОВ</t>
  </si>
  <si>
    <t>Муморцев А.Н., Фролов Е.А.</t>
  </si>
  <si>
    <t>978-5-00091-022-1</t>
  </si>
  <si>
    <t>07.03.04, 08.03.01</t>
  </si>
  <si>
    <t>664842.03.01</t>
  </si>
  <si>
    <t>Сборник задач по сопротивлению материалов: Уч.пос. / А.М.Лукьянов-М.:НИЦ ИНФРА-М,2023.-546 с-(ВО)(П)</t>
  </si>
  <si>
    <t>Лукьянов А.М., Лукьянов М.А.</t>
  </si>
  <si>
    <t>978-5-16-014537-2</t>
  </si>
  <si>
    <t>08.05.01, 08.05.02, 08.05.03, 23.05.03, 23.05.04, 23.05.05, 23.05.06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</si>
  <si>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23.05.03 «Подвижной состав железных дорог», 23.05.04 «Эксплуатация железных дорог», 23.05.05 «Системы обеспечения движения поездов», 23.05.06 «Строительство железных дорог, мостов и транспортных тоннелей» (квалификация «инженер путей сообщения») (протокол № 3 от 17.02.2020)</t>
  </si>
  <si>
    <t>060860.21.01</t>
  </si>
  <si>
    <t>Сборник задач по строительным конструкциям: Уч.пос. / А.И.Павлова - М.:НИЦ ИНФРА-М,2025 - 143 с.(СПО)(П)</t>
  </si>
  <si>
    <t>СБОРНИК ЗАДАЧ ПО СТРОИТЕЛЬНЫМ КОНСТРУКЦИЯМ</t>
  </si>
  <si>
    <t>Павлова А.И.</t>
  </si>
  <si>
    <t>978-5-16-005374-5</t>
  </si>
  <si>
    <t>08.02.01, 08.02.02, 08.02.03</t>
  </si>
  <si>
    <t>Допущено Государственным комитетом Российской Федерации по строительству и жилищно-коммунальному комплексу в качестве учебного пособия для студентов средних специальных учебных заведений, обучающихся по направлению 08.02.01 «Строительство и эксплуатация зданий и сооружений»</t>
  </si>
  <si>
    <t>804833.01.01</t>
  </si>
  <si>
    <t>Сборник задач по химии: Уч.пос. / Н.Л.Багнавец и др.-М.:НИЦ ИНФРА-М,2024.-238 с.(ВО)(п)</t>
  </si>
  <si>
    <t>СБОРНИК ЗАДАЧ ПО ХИМИИ</t>
  </si>
  <si>
    <t>Багнавец Н.Л., Дмитревская И.И., Осипова А.В. и др.</t>
  </si>
  <si>
    <t>978-5-16-018812-6</t>
  </si>
  <si>
    <t>03.03.02, 05.03.01, 05.03.02, 05.03.04, 05.03.06, 06.03.01, 06.03.02, 06.05.01, 08.03.01, 09.03.02, 10.05.04, 11.03.01, 11.03.03, 11.03.04, 12.03.01, 12.03.02, 12.03.03, 12.03.04, 12.03.05, 13.03.02, 13.03.03, 14.03.01, 15.03.01, 15.03.03, 15.03.05, 15.03.06, 16.03.01, 16.03.02, 16.03.03, 20.03.01, 20.03.02, 21.05.06, 22.03.01, 24.03.01, 24.03.02, 24.03.04, 24.03.05, 26.05.01, 26.05.02, 27.03.01, 28.03.01, 29.03.02, 35.03.01, 35.03.02, 35.03.03, 35.03.10</t>
  </si>
  <si>
    <t>Учебное пособие содержит сведения, необходимые для формирования профессиональных компетенций при подготовке бакалавров по направлениям 35.03.03 «Агрохимия и агропочвоведение», 35.03.04 «Агрономия» и рекомендуется Федеральным УМО для использования в учебном процессе</t>
  </si>
  <si>
    <t>661024.02.01</t>
  </si>
  <si>
    <t>Сборник прикладных задач по математ.: Уч.пос. / В.А.Шершнева - 2изд.-М.:НИЦ ИНФРА-М,СФУ,2019-220(ВО)</t>
  </si>
  <si>
    <t>СБОРНИК ПРИКЛАДНЫХ ЗАДАЧ ПО МАТЕМАТИКЕ, ИЗД.2</t>
  </si>
  <si>
    <t>Шершнева В.А., Карнаухова О.А.</t>
  </si>
  <si>
    <t>978-5-16-012967-9</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</si>
  <si>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машиностроительным и приборостроительным направлениям подготовки</t>
  </si>
  <si>
    <t>795892.01.01</t>
  </si>
  <si>
    <t>Сварка и методология научных исслед.: лаб. прак.: Уч.пос. / Р.А.Мейстер-М.:НИЦ ИНФРА-М,2023.-146 с.(ВО(п)</t>
  </si>
  <si>
    <t>СВАРКА И МЕТОДОЛОГИЯ НАУЧНЫХ ИССЛЕДОВАНИЙ: ЛАБОРАТОРНЫЙ ПРАКТИКУМ</t>
  </si>
  <si>
    <t>Мейстер Р.А., Мейстер А.Р.</t>
  </si>
  <si>
    <t>978-5-16-018092-2</t>
  </si>
  <si>
    <t>15.03.01, 15.04.01, 15.05.01, 22.03.02, 24.05.01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</si>
  <si>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7 от 21.09.2022)</t>
  </si>
  <si>
    <t>272800.09.01</t>
  </si>
  <si>
    <t>Сварка и резка цветных металлов: Уч.пос./О.Г.Быковский-М.:Альфа-М,НИЦ ИНФРА-М,2024-336(Бакалавр.)(п)</t>
  </si>
  <si>
    <t>СВАРКА И РЕЗКА ЦВЕТНЫХ МЕТАЛЛОВ</t>
  </si>
  <si>
    <t>Быковский О.Г., Фролов В.А., Пешков В.В.</t>
  </si>
  <si>
    <t>978-5-98281-392-3</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</si>
  <si>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бакалавров 150100 "Материаловедение и технологии материалов"</t>
  </si>
  <si>
    <t>741932.07.01</t>
  </si>
  <si>
    <t>Сварка: введение в специальность: Уч.пос. / М.П.Шалимов - М.:НИЦ ИНФРА-М,2025 - 309 с.-(СПО)(П)</t>
  </si>
  <si>
    <t>СВАРКА: ВВЕДЕНИЕ В СПЕЦИАЛЬНОСТЬ</t>
  </si>
  <si>
    <t>Шалимов М.П., Панов В.И., Вотинова Е.Б.</t>
  </si>
  <si>
    <t>978-5-16-016700-8</t>
  </si>
  <si>
    <t>15.00.00, 12.02.04, 15.01.05, 15.01.06, 15.01.07, 15.01.29, 15.01.35, 15.01.36, 15.01.37, 15.02.01, 15.02.04, 15.02.16, 15.02.17, 15.02.18, 15.02.19, 23.01.03, 26.01.01, 26.02.02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</si>
  <si>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15.00.00 «Машиностроение» (протокол № 9 от 28.09.2020)</t>
  </si>
  <si>
    <t>706358.04.01</t>
  </si>
  <si>
    <t>Сварка: введение в специальность: Уч.пос. / М.П.Шалимов - М.:НИЦ ИНФРА-М,2025. - 309 с.(ВО)(П)</t>
  </si>
  <si>
    <t>978-5-16-020213-6</t>
  </si>
  <si>
    <t>Рекомендовано методическим советом УрФУ для студентов направлений 15.03.01 «Машиностроение», 12.03.05 «Лазерная техника и лазерные технологии и специальности», 15.05.01 «Проектирование технологических машин и комплексов»</t>
  </si>
  <si>
    <t>432050.09.01</t>
  </si>
  <si>
    <t>Свободные эконом.и офшорные зоны: Уч.пос. / В.И.Баронов-М.:Магистр,НИЦ ИНФРА-М,2024-560с(Магистр.)(п)</t>
  </si>
  <si>
    <t>СВОБОДНЫЕ ЭКОНОМИЧЕСКИЕ И ОФШОРНЫЕ ЗОНЫ (ЭКОНОМИКО-ПРАВОВЫЕ ВОПРОСЫ ЗАРУБЕЖНОЙ И РОССИЙСКОЙ ПРАКТИКИ)</t>
  </si>
  <si>
    <t>Баронов В.И., Костюнина Г.М.</t>
  </si>
  <si>
    <t>978-5-9776-0267-9</t>
  </si>
  <si>
    <t>414100.08.01</t>
  </si>
  <si>
    <t>Связи с общественностью в органах власти: Уч./ А.А. Марков. - М.: НИЦ ИНФРА-М, 2024. - 190 с. (ВО)(о)</t>
  </si>
  <si>
    <t>СВЯЗИ С ОБЩЕСТВЕННОСТЬЮ В ОРГАНАХ ВЛАСТИ</t>
  </si>
  <si>
    <t>Марков А. А.</t>
  </si>
  <si>
    <t>978-5-16-006212-9</t>
  </si>
  <si>
    <t>38.03.04, 38.04.04, 41.03.06, 42.03.01, 42.04.01</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</si>
  <si>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направлению подготовки (специальности) «Реклама и связи с общественн</t>
  </si>
  <si>
    <t>780325.01.01</t>
  </si>
  <si>
    <t>Сельскохозяйственная микробиология...: Уч.пос. / О.Д.Сидоренко-М.:НИЦ ИНФРА-М,2024.-245 с.(ВО)(п)</t>
  </si>
  <si>
    <t>СЕЛЬСКОХОЗЯЙСТВЕННАЯ МИКРОБИОЛОГИЯ. ВВЕДЕНИЕ В СПЕЦИАЛЬНОСТЬ</t>
  </si>
  <si>
    <t>978-5-16-018057-1</t>
  </si>
  <si>
    <t>35.03.03, 35.03.04, 35.03.05, 35.03.07</t>
  </si>
  <si>
    <t>806678.01.01</t>
  </si>
  <si>
    <t>Сельскохозяйственная экология: Уч.пос. / Г.А.Демиденко-М.:НИЦ ИНФРА-М,2024.-330 с.(ВО (КрГАУ))(п)</t>
  </si>
  <si>
    <t>СЕЛЬСКОХОЗЯЙСТВЕННАЯ ЭКОЛОГИЯ</t>
  </si>
  <si>
    <t>Демиденко Г.А., Фомина Н.В.</t>
  </si>
  <si>
    <t>978-5-16-019231-4</t>
  </si>
  <si>
    <t>05.04.05, 05.04.06, 35.03.03, 35.03.04, 35.03.05, 35.03.06, 35.03.07, 35.04.04</t>
  </si>
  <si>
    <t>Рекомендовано Научно-методическим советом по сельскому хозяйству Федерального УМО по сельскому, лесному и рыбному хозяйству для использования в учебном процессе при подготовке бакалавров по направлению 35.03.03 «Агрохимия и агропочвоведение»</t>
  </si>
  <si>
    <t>818375.01.01</t>
  </si>
  <si>
    <t>Сельскохозяйственное водоснабжение и...: Уч.пос. / А.И.Матюшенко-М.:НИЦ ИНФРА-М, СФУ,2024.-152 с.(ВО)(п)</t>
  </si>
  <si>
    <t>СЕЛЬСКОХОЗЯЙСТВЕННОЕ ВОДОСНАБЖЕНИЕ И ОБВОДНЕНИЕ ТЕРРИТОРИЙ</t>
  </si>
  <si>
    <t>Матюшенко А.И., Пазенко Т.Я., Курилина Т.А.</t>
  </si>
  <si>
    <t>978-5-16-019510-0</t>
  </si>
  <si>
    <t>480150.10.01</t>
  </si>
  <si>
    <t>Сельскохозяйственные машины: Уч. пос. / В.П.Капустин - М.:НИЦ ИНФРА-М,2025-280с.(ВО: Бакалавриат)(п)</t>
  </si>
  <si>
    <t>СЕЛЬСКОХОЗЯЙСТВЕННЫЕ МАШИНЫ</t>
  </si>
  <si>
    <t>Капустин В.П., Глазков Ю.Е.</t>
  </si>
  <si>
    <t>978-5-16-010345-7</t>
  </si>
  <si>
    <t>Допущено Учебно-методическим объединением вузов России по агроинженерному образованию в качестве учебного пособия для студентов высших учебных заведений, обучающихся по направлению подготовки 35.03.06 «Агроинженерия»</t>
  </si>
  <si>
    <t>732744.05.01</t>
  </si>
  <si>
    <t>Семейная педагогика и домашнее воспитание: Уч. / Под ред. Сергеевой В.П. - М.:НИЦ ИНФРА-М,2025. - 197 с.(СПО)(П)</t>
  </si>
  <si>
    <t>СЕМЕЙНАЯ ПЕДАГОГИКА И ДОМАШНЕЕ ВОСПИТАНИЕ</t>
  </si>
  <si>
    <t>Сергеева В.П., Никитина Э.К., Недвецкая М.Н. и др.</t>
  </si>
  <si>
    <t>978-5-16-016178-5</t>
  </si>
  <si>
    <t>44.02.01, 44.02.03, 44.02.04, 44.02.06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</si>
  <si>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44.02.00 «Образование и педагогические науки»  (протокол № 10 от 12.10.2020)</t>
  </si>
  <si>
    <t>758603.01.01</t>
  </si>
  <si>
    <t>Семейная педагогика: Уч.пос. /  Е.Н.Приступа - М.:НИЦ ИНФРА-М,2025. - 235 с.(ВО)(п)</t>
  </si>
  <si>
    <t>СЕМЕЙНАЯ ПЕДАГОГИКА</t>
  </si>
  <si>
    <t>Приступа Е.Н.</t>
  </si>
  <si>
    <t>978-5-16-017971-1</t>
  </si>
  <si>
    <t>127900.10.01</t>
  </si>
  <si>
    <t>Семейное право: Уч. / Под ред. Демичева А.А. - 2 изд. - М.:ИД ФОРУМ, НИЦ ИНФРА-М,2019 - 301 с.(П)</t>
  </si>
  <si>
    <t>СЕМЕЙНОЕ ПРАВО, ИЗД.2</t>
  </si>
  <si>
    <t>Демичев А.А., Голованова О.В., Карпычев М.В. и др.</t>
  </si>
  <si>
    <t>978-5-8199-0761-0</t>
  </si>
  <si>
    <t>Рекомендовано в качестве учебника для студентов высших и средних специальных учебных заведений, обучающихся по специальностям «Юриспруденция» и «Правоохранительная деятельность»</t>
  </si>
  <si>
    <t>683109.05.01</t>
  </si>
  <si>
    <t>Семейное право: Уч. / Под ред. Демичева А.А. - 2 изд.-М.:ИД Форум, НИЦ ИНФРА-М,2023-301 с.-(СПО)(П)</t>
  </si>
  <si>
    <t>978-5-8199-0803-7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</si>
  <si>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</si>
  <si>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683109.06.01</t>
  </si>
  <si>
    <t>Семейное право: Уч. / Под ред. Демичева А.А. - 3 изд.-М.:ИД Форум, НИЦ ИНФРА-М,2024-291 с.-(СПО)(п)</t>
  </si>
  <si>
    <t>СЕМЕЙНОЕ ПРАВО, ИЗД.3</t>
  </si>
  <si>
    <t>978-5-16-019393-9</t>
  </si>
  <si>
    <t>127900.13.01</t>
  </si>
  <si>
    <t>Семейное право: Уч. / Под ред. Демичева А.А., - 3 изд.-М.:НИЦ ИНФРА-М,2024.-291 с..-(ВО)(п)</t>
  </si>
  <si>
    <t>Демичев А.А., Грачева О.С., Демичев К.А. и др.</t>
  </si>
  <si>
    <t>978-5-16-018794-5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</si>
  <si>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40.00.00 «Юриспруденция» (квалификация (степень) «бакалавр») (протокол № 8 от 22.06.2020)</t>
  </si>
  <si>
    <t>741389.06.01</t>
  </si>
  <si>
    <t>Семейное право: Уч. / Под ред. Тагаевой С.Н. - М.:НИЦ ИНФРА-М,2024 - 501 с. - (ВО: Бакалавриат)(П)</t>
  </si>
  <si>
    <t>СЕМЕЙНОЕ ПРАВО</t>
  </si>
  <si>
    <t>Аблятипова Н.А., Аминова Ф.М., Бодурова Г.Г. и др.</t>
  </si>
  <si>
    <t>978-5-16-016629-2</t>
  </si>
  <si>
    <t>Российский государственный университет правосудия, Крымский ф-л</t>
  </si>
  <si>
    <t>710097.03.01</t>
  </si>
  <si>
    <t>Семейное право: Уч./ С.А.Муратова - 6 изд. - М.:Юр.Норма,НИЦ ИНФРА-М,2023 - 368 с.(П)</t>
  </si>
  <si>
    <t>СЕМЕЙНОЕ ПРАВО, ИЗД.6</t>
  </si>
  <si>
    <t>Муратова С.А.</t>
  </si>
  <si>
    <t>978-5-00156-000-5</t>
  </si>
  <si>
    <t>710097.04.01</t>
  </si>
  <si>
    <t>Семейное право: Уч./ С.А.Муратова - 7 изд. - М.:Юр.Норма,НИЦ ИНФРА-М,2024 - 384 с.(П)</t>
  </si>
  <si>
    <t>СЕМЕЙНОЕ ПРАВО, ИЗД.7</t>
  </si>
  <si>
    <t>978-5-00156-372-3</t>
  </si>
  <si>
    <t>0724</t>
  </si>
  <si>
    <t>832852.01.01</t>
  </si>
  <si>
    <t>Семейно-правовая политика РФ: традиц. ценности..: Уч.пос. / А.А.Бердникова - М.:НИЦ ИНФРА-М,2025 - 203 с.(ВО)(п)</t>
  </si>
  <si>
    <t>СЕМЕЙНО-ПРАВОВАЯ ПОЛИТИКА РОССИЙСКОЙ ФЕДЕРАЦИИ: ТРАДИЦИОННЫЕ ЦЕННОСТИ И НРАВСТВЕННЫЕ НОРМЫ</t>
  </si>
  <si>
    <t>Бердникова А.А., Бочкова С.С., Васильева О.Н. и др.</t>
  </si>
  <si>
    <t>978-5-16-020226-6</t>
  </si>
  <si>
    <t>40.05.02, 40.05.04, 44.03.05, 44.05.01</t>
  </si>
  <si>
    <t>430200.10.01</t>
  </si>
  <si>
    <t>Семейные трад. восп. детей в культ. и быту народ. России: Уч.мет.пос. / Г.И.Репринцева - М.:Форум,2025 - 304 с.(О)</t>
  </si>
  <si>
    <t>СЕМЕЙНЫЕ ТРАДИЦИИ ВОСПИТАНИЯ ДЕТЕЙ В КУЛЬТУРЕ И БЫТУ НАРОДОВ РОССИИ</t>
  </si>
  <si>
    <t>Репринцева Г.И., Азизова Н.Р.</t>
  </si>
  <si>
    <t>978-5-91134-714-7</t>
  </si>
  <si>
    <t>39.03.02, 39.04.02, 44.03.01, 44.03.02, 44.04.02</t>
  </si>
  <si>
    <t>Рекомендовано к изданию Ученым и Экспертно-редакционным советами ФГНУ «Институт социальной педагогики» Российской академии образования в качестве учебно-методического пособия</t>
  </si>
  <si>
    <t>Институт Экономики и Управления в промышленности</t>
  </si>
  <si>
    <t>780861.02.01</t>
  </si>
  <si>
    <t>Семеноводство картофеля: Уч.пос. / А.И.Усков и др. - М.:НИЦ ИНФРА-М,2025. - 162 с.(ВО)(п)</t>
  </si>
  <si>
    <t>СЕМЕНОВОДСТВО КАРТОФЕЛЯ</t>
  </si>
  <si>
    <t>Усков А.И., Овэс Е.В., Ускова Л.Б. и др.</t>
  </si>
  <si>
    <t>978-5-16-017803-5</t>
  </si>
  <si>
    <t>06.04.01, 35.03.04</t>
  </si>
  <si>
    <t>372300.04.01</t>
  </si>
  <si>
    <t>Семиотика псих.заболеваний. Общая психопатол.: Уч.пос./ Г.Н.Носачев-Форум,НИЦ ИНФРА-М,2019-336с.(ВО)</t>
  </si>
  <si>
    <t>СЕМИОТИКА ПСИХИЧЕСКИХ ЗАБОЛЕВАНИЙ. ОБЩАЯ ПСИХОПАТОЛОГИЯ</t>
  </si>
  <si>
    <t>Носачев Г.Н., Романов Д.В., Носачев И.Г.</t>
  </si>
  <si>
    <t>978-5-00091-086-3</t>
  </si>
  <si>
    <t>31.05.01, 37.03.01, 37.04.01</t>
  </si>
  <si>
    <t>Рекомендовано в качестве учебного пособия для студентов высших учебных заведений, обучающихся по направлению подготовки 31.05.01 «Лечебное дело» (квалификация (степень) «врач общей практики»)</t>
  </si>
  <si>
    <t>372300.10.01</t>
  </si>
  <si>
    <t>Семиотика психич. заболеваний: Уч.пос. / Г.Н.Носачев - 2 изд. - М.:Форум, НИЦ ИНФРА-М,2025 - 420 с.(ВО)(п)</t>
  </si>
  <si>
    <t>СЕМИОТИКА ПСИХИЧЕСКИХ ЗАБОЛЕВАНИЙ. ОБЩАЯ ПСИХОПАТОЛОГИЯ, ИЗД.2</t>
  </si>
  <si>
    <t>978-5-00091-819-7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</si>
  <si>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медицинским и психологическим специальностям (протокол № 6 от 16.06.2021)</t>
  </si>
  <si>
    <t>655201.03.01</t>
  </si>
  <si>
    <t>Семьеведение: Уч.пос. / Е.П.Агапов и др. - М.:ИЦ РИОР, НИЦ ИНФРА-М,2025 - 224 с.(П)</t>
  </si>
  <si>
    <t>СЕМЬЕВЕДЕНИЕ</t>
  </si>
  <si>
    <t>Агапов Е.П., Пендюрина Л.П., Нор-Аревян О.А.</t>
  </si>
  <si>
    <t>978-5-369-01732-6</t>
  </si>
  <si>
    <t>39.03.02, 39.03.03</t>
  </si>
  <si>
    <t>112550.08.01</t>
  </si>
  <si>
    <t>Семьеведение: Уч.пос. / И.Е.Лукьянова, - 2 изд. - М.:НИЦ ИНФРА-М,2025. - 242 с.(ВО: Бакалавр.)(п)</t>
  </si>
  <si>
    <t>СЕМЬЕВЕДЕНИЕ, ИЗД.2</t>
  </si>
  <si>
    <t>Лукьянова И.Е., Утенкова С.Н.</t>
  </si>
  <si>
    <t>978-5-16-020737-7</t>
  </si>
  <si>
    <t>39.03.01, 39.03.02, 39.03.03, 39.04.02, 44.03.01, 44.03.02, 44.03.03, 44.03.04, 44.04.03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</si>
  <si>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39.00.00 «Социология и социальная работа» и 44.00.00 «Образование и педагогические науки» (квалификация (степень) «бакалавр») (протокол № 6 от 08.06.2022)</t>
  </si>
  <si>
    <t>112550.06.01</t>
  </si>
  <si>
    <t>Семьеведение: Уч.пос. / Под ред. Сигиды Е.А. - М.:НИЦ ИНФРА-М,2017 - 265 с.-(ВО: Бакалавриат)(П)</t>
  </si>
  <si>
    <t>Лукьянова И.Е., Прохорова Э.М., Шиповская Л.П. и др.</t>
  </si>
  <si>
    <t>978-5-16-003602-1</t>
  </si>
  <si>
    <t>Допущено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и специальности "Социальная работа"</t>
  </si>
  <si>
    <t>428400.07.01</t>
  </si>
  <si>
    <t>Сенсорика. Совр. технологии микро- и...:Уч.пос. / Т.Н.Патрушева-М.:НИЦ ИНФРА-М, СФУ,2024.-260 с.(П)</t>
  </si>
  <si>
    <t>СЕНСОРИКА. СОВРЕМЕННЫЕ ТЕХНОЛОГИИ МИКРО- И НАНОЭЛЕКТРОНИКИ</t>
  </si>
  <si>
    <t>Патрушева Т. Н.</t>
  </si>
  <si>
    <t>978-5-16-006376-8</t>
  </si>
  <si>
    <t>11.03.03, 11.04.03, 12.03.01, 12.03.02, 12.03.05, 28.03.02, 28.04.01, 28.04.02</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</si>
  <si>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вузов по направлению 210200</t>
  </si>
  <si>
    <t>367000.10.01</t>
  </si>
  <si>
    <t>Сенсорный анализ продовольсв. товаров на предпр..: Уч. / Н.В.Заворохина-2 изд-М: ИНФРА-М, 2023-172с.(ВО)(п)</t>
  </si>
  <si>
    <t>СЕНСОРНЫЙ АНАЛИЗ ПРОДОВОЛЬСТВЕННЫХ ТОВАРОВ НА ПРЕДПРИЯТИЯХ ПИЩЕВОЙ ПРОМЫШЛЕННОСТИ, ТОРГОВЛИ И ОБЩЕСТВЕННОГО ПИТАНИЯ, ИЗД.2</t>
  </si>
  <si>
    <t>Заворохина Н.В., Голуб О.В., Позняковский В.М.</t>
  </si>
  <si>
    <t>978-5-16-017965-0</t>
  </si>
  <si>
    <t>19.03.04, 19.04.04, 38.03.06, 38.03.07, 38.04.07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</si>
  <si>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38.03.07 «Товароведение», 19.03.04 «Технология продукции и организация общественного питания», 38.03.06 «Торговое дело», 19.03.01 «Пищевая биотехнология» (квалификация (степень) «бакалавр») (протокол № 7 от 21.09.2022)</t>
  </si>
  <si>
    <t>367000.07.01</t>
  </si>
  <si>
    <t>Сенсорный анализ продовольств. товаров на предпр.: Уч. / Н.В.Заворохина - М.:НИЦ ИНФРА-М,2022-144с(ВО)(О)</t>
  </si>
  <si>
    <t>СЕНСОРНЫЙ АНАЛИЗ ПРОДОВОЛЬСТВЕННЫХ ТОВАРОВ НА ПРЕДПРИЯТИЯХ ПИЩЕВОЙ ПРОМЫШЛЕННОСТИ, ТОРГОВЛИ И ОБЩЕСТВЕННОГО ПИТАНИЯ</t>
  </si>
  <si>
    <t>978-5-16-011493-4</t>
  </si>
  <si>
    <t>Рекомендовано в качестве учебника для студентов высших учебных заведений, обучающихся по направлениям подготовки 38.03.07 «Товароведение», 19.03.04 «Технология продукции и организация общественного питания», 38.03.06 «Торговое дело» (квалификация (степень) «бакалавр»)</t>
  </si>
  <si>
    <t>736523.06.01</t>
  </si>
  <si>
    <t>Сервисная деятельность: Уч. / Г.А.Резник - М.:НИЦ ИНФРА-М,2025 - 202 с.(СПО)(П)</t>
  </si>
  <si>
    <t>СЕРВИСНАЯ ДЕЯТЕЛЬНОСТЬ</t>
  </si>
  <si>
    <t>Резник Г.А., Маскаева А.И., Пономаренко Ю.С.</t>
  </si>
  <si>
    <t>978-5-16-016211-9</t>
  </si>
  <si>
    <t>08.02.14, 42.02.08, 42.02.12, 43.02.02, 43.02.04, 43.02.06, 43.02.07, 43.02.16, 43.02.17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</si>
  <si>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43.02.00 «Сервис и туризм» (протокол № 3 от 17.02.2020)</t>
  </si>
  <si>
    <t>426700.08.01</t>
  </si>
  <si>
    <t>Сервисная деятельность: Уч. / Г.А.Резник и др. - М.:НИЦ ИНФРА-М,2024 - 202 с.-(ВО: Бакалавриат)(П)</t>
  </si>
  <si>
    <t>978-5-16-005710-1</t>
  </si>
  <si>
    <t>38.03.02, 38.04.02, 41.03.06, 43.03.01, 43.03.03, 43.04.01</t>
  </si>
  <si>
    <t>Рекомендуется в качестве учебника для студентов высших учебных заведений, обучающихся по направлению подготовки 43.03.01 «Сервис»</t>
  </si>
  <si>
    <t>132550.19.01</t>
  </si>
  <si>
    <t>Сервисное обслуж. автомоб. транспорта: Уч.пос. / В.А.Стуканов - М.:ИД Форум, НИЦ ИНФРА-М,2025 - 207 с.(СПО)(п)</t>
  </si>
  <si>
    <t>СЕРВИСНОЕ ОБСЛУЖИВАНИЕ АВТОМОБИЛЬНОГО ТРАНСПОРТА</t>
  </si>
  <si>
    <t>978-5-8199-0838-9</t>
  </si>
  <si>
    <t>23.01.03, 23.01.17, 23.02.03, 23.02.07, 43.02.06</t>
  </si>
  <si>
    <t>Рекомендовано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</si>
  <si>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100100.16.01</t>
  </si>
  <si>
    <t>Сестринское дело в терапии с курсом первич..: Уч.пос. / В.Г.Лычев - 3 изд. - Форум:ИНФРА-М, 2025 - 432 с.(П)</t>
  </si>
  <si>
    <t>СЕСТРИНСКОЕ ДЕЛО В ТЕРАПИИ С КУРСОМ ПЕРВИЧНОЙ МЕДИЦИНСКОЙ ПОМОЩИ. РУКОВОДСТВО ПО ПРОВЕДЕНИЮ ПРАКТИЧЕСКИХ ЗАНЯТИЙ, ИЗД.3</t>
  </si>
  <si>
    <t>978-5-00091-755-8</t>
  </si>
  <si>
    <t>31.02.01, 31.02.02, 34.01.01, 34.02.01, 34.02.02</t>
  </si>
  <si>
    <t>083350.12.01</t>
  </si>
  <si>
    <t>Сестринское дело в терапии. С курсом...: Уч. пос. / В.Г.Лычев - 2 изд.- Форум: Инфра-М, 2025 - 544 с.(ПО) (П)</t>
  </si>
  <si>
    <t>СЕСТРИНСКОЕ ДЕЛО В ТЕРАПИИ. С КУРСОМ ПЕРВИЧНОЙ МЕДИЦИНСКОЙ ПОМОЩИ, ИЗД.2</t>
  </si>
  <si>
    <t>Лычев В. Г., Карманов В. К.</t>
  </si>
  <si>
    <t>978-5-91134-628-7</t>
  </si>
  <si>
    <t>210400.08.01</t>
  </si>
  <si>
    <t>Сестринское дело при инфекц. забол.: Уч.пос. / И.В.Колмаков-М.:ИЦ РИОР:НИЦ ИНФРА-М,2024-256с(ПО) (п)</t>
  </si>
  <si>
    <t>СЕСТРИНСКОЕ ДЕЛО ПРИ ИНФЕКЦИОННЫХ ЗАБОЛЕВАНИЯХ</t>
  </si>
  <si>
    <t>Колмаков И.В.</t>
  </si>
  <si>
    <t>978-5-369-01219-2</t>
  </si>
  <si>
    <t>31.02.01, 31.02.02, 32.02.01</t>
  </si>
  <si>
    <t>Рекомендовано в качестве учебного пособия для студентов, обучающихся в учебных заведениях, рализующих программы среднего профессионального образования по специальностям 060501 «Сестринское дело», 060101 «Лечебное дело» (повышенный уровень), 060102 «А</t>
  </si>
  <si>
    <t>768437.01.01</t>
  </si>
  <si>
    <t>Сигналы и процессы в радиоэлектронике: Уч. / Ю.Б.Гимпилевич-М.:НИЦ ИНФРА-М,2024.-245 с.(ВО (СевГУ))(п)</t>
  </si>
  <si>
    <t>СИГНАЛЫ И ПРОЦЕССЫ В РАДИОЭЛЕКТРОНИКЕ</t>
  </si>
  <si>
    <t>Гимпилевич Ю.Б.</t>
  </si>
  <si>
    <t>978-5-16-017413-6</t>
  </si>
  <si>
    <t>11.03.01, 11.03.02, 11.03.03, 11.03.04, 11.05.01</t>
  </si>
  <si>
    <t>Рекомендовано Учебно-методическим объединением для бакалавров высших учебных заведений, обучающихся по направлениям и специальностям УГСН 11.00.00 «Электроника, радиотехника и системы связи»</t>
  </si>
  <si>
    <t>377800.10.01</t>
  </si>
  <si>
    <t>Силовая электроника...: Уч.поc. / Г.Б.Онищенко - М.:НИЦ ИНФРА-М,2025 - 122 c.(ВО:Бакалавр.)(о)</t>
  </si>
  <si>
    <t>СИЛОВАЯ ЭЛЕКТРОНИКА: СИЛОВЫЕ ПОЛУПРОВОДНИКОВЫЕ ПРЕОБРАЗОВАТЕЛИ ДЛЯ ЭЛЕКТРОПРИВОДА И ЭЛЕКТРОСНАБЖЕНИЯ</t>
  </si>
  <si>
    <t>Онищенко Г.Б., Соснин О.М.</t>
  </si>
  <si>
    <t>978-5-16-011120-9</t>
  </si>
  <si>
    <t>Рекомендовано в качестве учебного пособия для бакалавров и магистров, обучающихся по направлениям 13.03.02 и 13.04.02 «Электроэнергетика и электротехника»</t>
  </si>
  <si>
    <t>723348.04.01</t>
  </si>
  <si>
    <t>Силовая электроника: Уч.пос. / Г.Б.Онищенко - М.:НИЦ ИНФРА-М,2025 - 122 c.(О)</t>
  </si>
  <si>
    <t>978-5-16-015776-4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</si>
  <si>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8 от 22.06.2020)</t>
  </si>
  <si>
    <t>051900.17.01</t>
  </si>
  <si>
    <t>Синдромная патология, дифференц. диагност...: Уч.пос. / Г.Д.Тобулток - 3 изд. - М.:НИЦ ИНФРА-М,2025 - 336 с.(П)</t>
  </si>
  <si>
    <t>СИНДРОМНАЯ ПАТОЛОГИЯ, ДИФФЕРЕНЦИАЛЬНАЯ ДИАГНОСТИКА И ФАРМАКОТЕРАПИЯ, ИЗД.3</t>
  </si>
  <si>
    <t>Тобулток Г. Д., Иванова Н. А.</t>
  </si>
  <si>
    <t>978-5-16-016861-6</t>
  </si>
  <si>
    <t>31.02.01, 31.02.02, 31.02.03, 32.02.01, 33.02.01, 34.02.01</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</si>
  <si>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31.02.01 «Лечебное дело»</t>
  </si>
  <si>
    <t>180400.09.01</t>
  </si>
  <si>
    <t>Синтаксис современного рус. языка: Уч. пос. / М.Ю. Федосюк. - М.: НИЦ Инфра-М, 2024-245с.(ВО) (п)</t>
  </si>
  <si>
    <t>СИНТАКСИС СОВРЕМЕННОГО РУССКОГО ЯЗЫКА</t>
  </si>
  <si>
    <t>Федосюк М. Ю.</t>
  </si>
  <si>
    <t>978-5-16-004872-7</t>
  </si>
  <si>
    <t>00.03.09, 44.03.01, 44.03.05, 45.03.01</t>
  </si>
  <si>
    <t>Рекомендовано УМО по образованию в области подготовки педагогических  кадров в качестве учебного пособия для студентов вузов, обучающихся по направлению 050100 "Педагогическое образование" и специальности 050301 "Русский язык и литература"</t>
  </si>
  <si>
    <t>664258.03.01</t>
  </si>
  <si>
    <t>Синтез дискретно-логических систем упр.: Уч.пос. / Н.Г.Чикуров - М.:НИЦ ИНФРА-М,2023 - 229 с.(ВО)(о)</t>
  </si>
  <si>
    <t>СИНТЕЗ ДИСКРЕТНО-ЛОГИЧЕСКИХ СИСТЕМ УПРАВЛЕНИЯ</t>
  </si>
  <si>
    <t>978-5-16-018031-1</t>
  </si>
  <si>
    <t>15.03.01, 15.03.04, 15.03.06</t>
  </si>
  <si>
    <t>Рекомендовано в качестве учебного пособия для студентов высших учебных заведений, обучающихся по направлениям подготовки 15.03.04 «Автоматизация технологических процессов и производств», 15.03.06 «Механотроника и робототехника» (квалификация (степень) «бакалавр»)</t>
  </si>
  <si>
    <t>090600.08.01</t>
  </si>
  <si>
    <t>Система гос. и муниц. управления: Уч. / В.Е.Чиркин - 5 изд. - М.:Юр.Норма,НИЦ ИНФРА-М,2018-432с.(П)</t>
  </si>
  <si>
    <t>СИСТЕМА ГОСУДАРСТВЕННОГО И МУНИЦИПАЛЬНОГО УПРАВЛЕНИЯ, ИЗД.5</t>
  </si>
  <si>
    <t>978-5-91768-365-2</t>
  </si>
  <si>
    <t>38.04.04, 40.03.01, 40.04.01</t>
  </si>
  <si>
    <t>Допущено Советом Учебно-методического объединения вузов России по образованию в области менеджмента в качестве учебника по специальности "Государственное и муниципальное управление"</t>
  </si>
  <si>
    <t>090600.14.01</t>
  </si>
  <si>
    <t>Система гос. и муниц. управления: Уч. / В.Е.Чиркин - 6 изд. - М.:Юр.Норма,НИЦ ИНФРА-М,2025 - 400 с.(П)</t>
  </si>
  <si>
    <t>СИСТЕМА ГОСУДАРСТВЕННОГО И МУНИЦИПАЛЬНОГО УПРАВЛЕНИЯ, ИЗД.6</t>
  </si>
  <si>
    <t>978-5-91768-612-7</t>
  </si>
  <si>
    <t>646247.03.01</t>
  </si>
  <si>
    <t>Система гос. и муниципального управления: Уч. / А.А.Акмалова - М.:НИЦ ИНФРА-М,2025 - 414 с.(П)</t>
  </si>
  <si>
    <t>СИСТЕМА ГОСУДАРСТВЕННОГО И МУНИЦИПАЛЬНОГО УПРАВЛЕНИЯ</t>
  </si>
  <si>
    <t>978-5-16-014417-7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</si>
  <si>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 8 от 22.06.2020)</t>
  </si>
  <si>
    <t>161150.10.01</t>
  </si>
  <si>
    <t>Система менеджм.качества организации: Уч.пос. / С.М.Вдовин - М.:НИЦ ИНФРА-М,2024 - 299 с.(ВО)(п)</t>
  </si>
  <si>
    <t>СИСТЕМА МЕНЕДЖМЕНТА КАЧЕСТВА ОРГАНИЗАЦИИ</t>
  </si>
  <si>
    <t>Вдовин С.М., Салимова Т.А., Бирюкова Л.И.</t>
  </si>
  <si>
    <t>978-5-16-019496-7</t>
  </si>
  <si>
    <t>27.03.01, 27.03.02, 27.04.01, 27.04.02, 27.04.05, 38.04.04</t>
  </si>
  <si>
    <t>Рекомендовано в качестве учебного пособия для студентов высших учебных заведений, обучающихся по направлениям  38.03.02 «Менеджмент», 27.03.02 «Управление качеством»</t>
  </si>
  <si>
    <t>837078.01.01</t>
  </si>
  <si>
    <t>Система сбора и подготовки скважин. продук.: Уч.пос.: Ч.1 / Н.В.Чухарева-М.:НИЦ ИНФРА-М, СФУ,2025.-188 с.(ВО)(п)</t>
  </si>
  <si>
    <t>СИСТЕМА СБОРА И ПОДГОТОВКИ СКВАЖИННОЙ ПРОДУКЦИИ: В 2 Ч.Ч.1. ОБЕСПЕЧЕНИЕ СБОРА, ПОДГОТОВКИ, ТРАНСПОРТА И ХРАНЕНИЯ УГЛЕВОДОРОДОВ НА МЕСТОРОЖДЕНИЯХ НЕФТИ, Т.1</t>
  </si>
  <si>
    <t>Чухарева Н.В., Квеско Н.Г.</t>
  </si>
  <si>
    <t>978-5-16-020173-3</t>
  </si>
  <si>
    <t>837069.01.01</t>
  </si>
  <si>
    <t>Система сбора и подготовки скважинной прод.: Уч.пос. Ч.2 / Н.В.Чухарева - М.:НИЦ ИНФРА-М, СФУ,2025-190с(п)</t>
  </si>
  <si>
    <t>СИСТЕМА СБОРА И ПОДГОТОВКИ СКВАЖИННОЙ ПРОДУКЦИИ: В 2 Ч. Ч. 2. ПОДГОТОВКА НЕФТИ И ГАЗА С УТИЛИЗАЦИЕЙ ОТХОДОВ ПРОИЗВОДСТВА, Т.2</t>
  </si>
  <si>
    <t>978-5-16-020174-0</t>
  </si>
  <si>
    <t>21.03.01, 21.04.01, 21.05.06</t>
  </si>
  <si>
    <t>776555.01.01</t>
  </si>
  <si>
    <t>Система управ. рисками в таможенном деле: Уч. / В.И.Бережной.-М.:НИЦ ИНФРА-М,2024.-213 с.(ВО.Сп)(п)</t>
  </si>
  <si>
    <t>СИСТЕМА УПРАВЛЕНИЯ РИСКАМИ В ТАМОЖЕННОМ ДЕЛЕ</t>
  </si>
  <si>
    <t>Бережной В.И., Марцева Т.Г., Бережная О.В. и др.</t>
  </si>
  <si>
    <t>978-5-16-018152-3</t>
  </si>
  <si>
    <t>474800.06.01</t>
  </si>
  <si>
    <t>Система формир. уч. деят. мл. школ.: Уч.пос. /Г.И.Вергелес -3 изд. -М.: НИЦ ИНФРА-М, 2023 -174с(П)</t>
  </si>
  <si>
    <t>СИСТЕМА ФОРМИРОВАНИЯ УЧЕБНОЙ ДЕЯТЕЛЬНОСТИ МЛАДШИХ ШКОЛЬНИКОВ, ИЗД.3</t>
  </si>
  <si>
    <t>Вергелес Г.И.</t>
  </si>
  <si>
    <t>978-5-16-011636-5</t>
  </si>
  <si>
    <t>Допущено Учебно-методическим объединением по направлению «Педагогическое образование» Министерства образования и науки Российской Федерации в качестве учебного пособия для высших учебных заведений, ведущих подготовку по направлению 44.03.01 «Педагогическое образование»</t>
  </si>
  <si>
    <t>706848.03.01</t>
  </si>
  <si>
    <t>Система формир. учебной деят. младших шк.:Уч.пос. / Г.И.Вергелес- 3 изд.-М.:НИЦ ИНФРА-М,2023-174с(П)</t>
  </si>
  <si>
    <t>978-5-16-015122-9</t>
  </si>
  <si>
    <t>44.02.02, 44.02.03, 44.02.04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</si>
  <si>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44.02.02 «Преподавание в начальных классах» (протокол № 12 от 24.06.2019)</t>
  </si>
  <si>
    <t>398700.07.01</t>
  </si>
  <si>
    <t>Система экол. восп. дошкольников: Уч.пос. / С.Н.Николаева - 2 изд.-М.:НИЦ ИНФРА-М,2022-255 с.(ВО)(П)</t>
  </si>
  <si>
    <t>СИСТЕМА ЭКОЛОГИЧЕСКОГО ВОСПИТАНИЯ ДОШКОЛЬНИКОВ, ИЗД.2</t>
  </si>
  <si>
    <t>Николаева С.Н.</t>
  </si>
  <si>
    <t>978-5-16-011275-6</t>
  </si>
  <si>
    <t>Рекомендовано в качестве учебного пособия студентам высших учебных заведений, обучающимся по направлению подготовки 44.03.01 «Педагогическое образование» (квалификация (степень) «бакалавр»)</t>
  </si>
  <si>
    <t>398700.08.01</t>
  </si>
  <si>
    <t>Система экол. воспит. дошкольников: Уч.пос. / С.Н.Николаева-3 изд-М.:НИЦ ИНФРА-М,2024-247 с.(ВО:Магистр)(п)</t>
  </si>
  <si>
    <t>СИСТЕМА ЭКОЛОГИЧЕСКОГО ВОСПИТАНИЯ ДОШКОЛЬНИКОВ, ИЗД.3</t>
  </si>
  <si>
    <t>978-5-16-017537-9</t>
  </si>
  <si>
    <t>827990.02.01</t>
  </si>
  <si>
    <t>Система экономич. безопасности организации: Уч.пос. / Н.Г.Гаджиев. - М.:НИЦ ИНФРА-М,2025. - 300 с.(ВО)(п)</t>
  </si>
  <si>
    <t>СИСТЕМА ЭКОНОМИЧЕСКОЙ БЕЗОПАСНОСТИ ОРГАНИЗАЦИИ</t>
  </si>
  <si>
    <t>Гаджиев Н.Г., Коноваленко С.А., Торженова Т.В. и др.</t>
  </si>
  <si>
    <t>978-5-16-020018-7</t>
  </si>
  <si>
    <t>10.05.04, 38.03.01, 38.04.01, 38.05.01, 38.05.02</t>
  </si>
  <si>
    <t>801692.01.01</t>
  </si>
  <si>
    <t>Системная поддержка творческой деятельности...: Уч./ Э.А.Соснин - М.:НИЦ ИНФРА-М,2025. - 390 с.(ВО)(п)</t>
  </si>
  <si>
    <t>СИСТЕМНАЯ ПОДДЕРЖКА ТВОРЧЕСКОЙ ДЕЯТЕЛЬНОСТИ: ЗАДАЧИ, ИНСТРУМЕНТЫ, МЕТОДОЛОГИЯ</t>
  </si>
  <si>
    <t>978-5-16-018478-4</t>
  </si>
  <si>
    <t>270600.08.01</t>
  </si>
  <si>
    <t>Системное управ. качеством и экологич. аспектами: Уч. / И.Т.Заика - М.:Вуз. уч.:ИНФРА-М,2025 - 384 с. (п)</t>
  </si>
  <si>
    <t>СИСТЕМНОЕ УПРАВЛЕНИЕ КАЧЕСТВОМ И ЭКОЛОГИЧЕСКИМИ АСПЕКТАМИ</t>
  </si>
  <si>
    <t>Заика И. Т., Смоленцев В. М., Федулов Ю. П.</t>
  </si>
  <si>
    <t>978-5-9558-0364-7</t>
  </si>
  <si>
    <t>27.04.02, 27.04.05, 38.03.02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</si>
  <si>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080200.68 «Менеджмент» (квалификация (степень) «Магистр»)</t>
  </si>
  <si>
    <t>035389.02.01</t>
  </si>
  <si>
    <t>Системный анализ в управлении: Уч.пос. / А.А.Кукушкин - 3 изд. - М.:НИЦ ИНФРА-М,2025 - 298 с.(ВО: Магистр.)(п)</t>
  </si>
  <si>
    <t>СИСТЕМНЫЙ АНАЛИЗ В УПРАВЛЕНИИ, ИЗД.3</t>
  </si>
  <si>
    <t>Кукушкин А.А.</t>
  </si>
  <si>
    <t>978-5-16-017968-1</t>
  </si>
  <si>
    <t>09.04.01</t>
  </si>
  <si>
    <t>Рекомендовано учебно-методическим советом по направлению подготовки «Прикладная информатика» Федерального УМО по образованию в области Информатики и вычислительной техники для студентов направления «Прикладная информатика» с профилем «Экономика и управление»</t>
  </si>
  <si>
    <t>634142.05.01</t>
  </si>
  <si>
    <t>Системный анализ, оптимизация и принятие реш.: Уч. / В.А.Кузнецов -М.:КУРС, НИЦ ИНФРА-М,2024-256с(П)</t>
  </si>
  <si>
    <t>СИСТЕМНЫЙ АНАЛИЗ, ОПТИМИЗАЦИЯ И ПРИНЯТИЕ РЕШЕНИЙ.</t>
  </si>
  <si>
    <t>Кузнецов В.А., Черепахин А.А.</t>
  </si>
  <si>
    <t>978-5-906818-95-9</t>
  </si>
  <si>
    <t>27.03.03, 27.03.05</t>
  </si>
  <si>
    <t>351000.06.01</t>
  </si>
  <si>
    <t>Системный анализ: Уч. / А.В.Антонов - 4 изд. - М.:НИЦ ИНФРА-М,2024 - 366 с.(ВО)(п)</t>
  </si>
  <si>
    <t>СИСТЕМНЫЙ АНАЛИЗ, ИЗД.4</t>
  </si>
  <si>
    <t>Антонов А.В.</t>
  </si>
  <si>
    <t>978-5-16-019847-7</t>
  </si>
  <si>
    <t>09.03.01, 09.03.03, 09.04.01, 09.04.03, 09.04.04, 10.04.01</t>
  </si>
  <si>
    <t>Рекомендовано в качестве учебника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</si>
  <si>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Национальный исследовательский ядерный университет "МИФИ", ф-л Обнинский институт атомной энергетики</t>
  </si>
  <si>
    <t>477100.04.01</t>
  </si>
  <si>
    <t>Системный анализ: Уч. / Г.Н.Корнев-М.:ИЦ РИОР, НИЦ ИНФРА-М,2023.-308 с.(ВО: Бакалавр.)(п)</t>
  </si>
  <si>
    <t>СИСТЕМНЫЙ АНАЛИЗ</t>
  </si>
  <si>
    <t>Корнев Г.Н., Яковлев В.Б.</t>
  </si>
  <si>
    <t>978-5-369-01532-2</t>
  </si>
  <si>
    <t>09.03.03, 10.04.01, 12.03.04, 20.04.01, 27.03.05</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</si>
  <si>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«Экономика и управление»</t>
  </si>
  <si>
    <t>Верхневолжский государственный агробиотехнологический университет</t>
  </si>
  <si>
    <t>820927.01.01</t>
  </si>
  <si>
    <t>Системы автоматизир. проектир. авто. и..: Уч. / Д.Л.Окладников-М.:НИЦ ИНФРА-М, СФУ,2024.-274 с.(ВО)(п)</t>
  </si>
  <si>
    <t>СИСТЕМЫ АВТОМАТИЗИРОВАННОГО ПРОЕКТИРОВАНИЯ АВТОМОБИЛЕЙ И ТРАКТОРОВ</t>
  </si>
  <si>
    <t>Окладников Д.Л., Гражданцев Е.В., Ахпашев А.Ю.</t>
  </si>
  <si>
    <t>978-5-16-019598-8</t>
  </si>
  <si>
    <t>23.03.02, 23.03.03, 23.04.02, 23.05.01, 27.04.07</t>
  </si>
  <si>
    <t>Допущено Учебно-методическим советом Сибирского федерального университета в качестве учебника для студентов, обучающихся по направлениям подготовки бакалавров 23.03.02 «Наземные транспортно-технологические комплексы»¶и специалистов 23.05.01 «Наземные транспортно-технологические средства»</t>
  </si>
  <si>
    <t>049550.18.01</t>
  </si>
  <si>
    <t>Системы автоматизир. управ. электропривода: Уч. / В.В.Москаленко-М.:НИЦ ИНФРА-М,2024.-208 с.(СПО)(П)</t>
  </si>
  <si>
    <t>СИСТЕМЫ АВТОМАТИЗИРОВАННОГО УПРАВЛЕНИЯ ЭЛЕКТРОПРИВОДА</t>
  </si>
  <si>
    <t>Москаленко В. В.</t>
  </si>
  <si>
    <t>978-5-16-005116-1</t>
  </si>
  <si>
    <t>08.02.09, 08.02.13, 13.01.10, 13.02.13, 15.01.37, 15.02.01, 15.02.03, 15.02.04, 15.02.06, 15.02.07, 15.02.17, 15.02.18</t>
  </si>
  <si>
    <t>Рекомендовано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«Монтаж, наладка и эксплуатация электрооборудования промышленных и гражданских зданий»</t>
  </si>
  <si>
    <t>353000.10.01</t>
  </si>
  <si>
    <t>Системы безопасности автомобилей: Уч.пос. / Е.Л.Савич - М.:НИЦ ИНФРА-М,2023 - 445 с.(ВО: Бакалавр.)(П)</t>
  </si>
  <si>
    <t>СИСТЕМЫ БЕЗОПАСНОСТИ АВТОМОБИЛЕЙ</t>
  </si>
  <si>
    <t>Савич Е.Л., Капустин В.В.</t>
  </si>
  <si>
    <t>978-5-16-019151-5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</si>
  <si>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t>
  </si>
  <si>
    <t>663945.05.01</t>
  </si>
  <si>
    <t>Системы борьбы с шумом и вибрацией: Уч.пос. / А.Ю.Курмышева - М.:НИЦ ИНФРА-М,2022 - 211 с(ВО(П)</t>
  </si>
  <si>
    <t>СИСТЕМЫ БОРЬБЫ С ШУМОМ И ВИБРАЦИЕЙ</t>
  </si>
  <si>
    <t>Курмышева А.Ю., Рязанцева А.В.</t>
  </si>
  <si>
    <t>978-5-16-013799-5</t>
  </si>
  <si>
    <t>13.03.01, 20.03.01, 20.04.01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</si>
  <si>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13.03.01 «Теплоэнергетика и теплотехника» (квалификация (степень) «бакалавр») (протокол № 6 от 25.03.2019)</t>
  </si>
  <si>
    <t>134550.05.01</t>
  </si>
  <si>
    <t>Системы документальной электросвязи: Уч.пос. / В.С.Тоискин - М.:ИЦ РИОР, НИЦ ИНФРА-М,2021 - 352 с.(ВО)(П)</t>
  </si>
  <si>
    <t>СИСТЕМЫ ДОКУМЕНТАЛЬНОЙ ЭЛЕКТРОСВЯЗИ</t>
  </si>
  <si>
    <t>Тоискин В.С., Жук А.П.</t>
  </si>
  <si>
    <t>978-5-369-00609-2</t>
  </si>
  <si>
    <t>Рекомендовано УМО по образованию в области телекоммуникации в качестве учебного пособия для студентов высших учебных заведений, обучающихся по направлению подготовки дипломированных специалистов 210400 "Телекоммуникации"</t>
  </si>
  <si>
    <t>402350.09.01</t>
  </si>
  <si>
    <t>Системы защиты среды обитания: Уч.пос. / Л.Ю.Фирсова-М.:Форум, НИЦ ИНФРА-М,2024-80с-(ВО:Бакалавр)(о)</t>
  </si>
  <si>
    <t>СИСТЕМЫ ЗАЩИТЫ СРЕДЫ ОБИТАНИЯ. СХЕМЫ, СООРУЖЕНИЯ И АППАРАТЫ ДЛЯ ОЧИСТКИ ГАЗОВЫХ ВЫБРОСОВ И СТОЧНЫХ ВОД</t>
  </si>
  <si>
    <t>Фирсова Л. Ю.</t>
  </si>
  <si>
    <t>978-5-00091-689-6</t>
  </si>
  <si>
    <t>Рекомендовано Дальневосточным региональным учебно-методическим центром в качестве учебного пособия для студентов направления подготовки 20.03.01 «Техносферная безопасность»</t>
  </si>
  <si>
    <t>085550.17.01</t>
  </si>
  <si>
    <t>Системы и оборуд. для созд. микроклим. помещ.: Уч. / О.Я.Кокорин - 2 изд. - НИЦ ИНФРА-М,2025 - 218 с.(СПО)(п)</t>
  </si>
  <si>
    <t>СИСТЕМЫ И ОБОРУДОВАНИЕ ДЛЯ СОЗДАНИЯ МИКРОКЛИМАТА ПОМЕЩЕНИЙ, ИЗД.2</t>
  </si>
  <si>
    <t>Кокорин О.Я.</t>
  </si>
  <si>
    <t>978-5-16-006509-0</t>
  </si>
  <si>
    <t>08.01.29, 08.02.01, 08.02.02, 08.02.13, 08.02.14, 15.02.06</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</si>
  <si>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и вентиляции»</t>
  </si>
  <si>
    <t>766527.01.01</t>
  </si>
  <si>
    <t>Системы и оборуд. для созд. микроклимата помещений: Уч. / О.Я.Кокорин - 2 изд.-М.:НИЦ ИНФРА-М,2022.-219 с.(ВО)(П)</t>
  </si>
  <si>
    <t>978-5-16-017234-7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</si>
  <si>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строительным направлениям подготовки (квалификация (степень) «бакалавр») (протокол № 6 от 16.06.2021)</t>
  </si>
  <si>
    <t>450400.08.01</t>
  </si>
  <si>
    <t>Системы обесп. эколог. безоп. природопол.: Уч.пос. / В.П.Селедец - М.:Форум, НИЦ ИНФРА-М,2024-311с.(ВО)(О)</t>
  </si>
  <si>
    <t>СИСТЕМЫ ОБЕСПЕЧЕНИЯ ЭКОЛОГИЧЕСКОЙ БЕЗОПАСНОСТИ ПРИРОДОПОЛЬЗОВАНИЯ</t>
  </si>
  <si>
    <t>Селедец В.П.</t>
  </si>
  <si>
    <t>978-5-00091-765-7</t>
  </si>
  <si>
    <t>05.03.06, 13.04.01, 20.03.01, 21.03.01</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</si>
  <si>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бакалавров 20.03.01 «Техносферная безопасность»</t>
  </si>
  <si>
    <t>Тихоокеанский институт географии Дальневосточного отделения Российской Академии Наук</t>
  </si>
  <si>
    <t>484500.06.01</t>
  </si>
  <si>
    <t>Системы органов животных: Уч.пос. / Л.Н.Ердаков - 2 изд. - М.:НИЦ ИНФРА-М,2024 - 162 с.(ВО.)(О)</t>
  </si>
  <si>
    <t>СИСТЕМЫ ОРГАНОВ ЖИВОТНЫХ. СРАВНИТЕЛЬНАЯ МОРФОЛОГИЯ ОТДЕЛЬНЫХ СИСТЕМ ОРГАНОВ У РАЗЛИЧНЫХ ТИПОВ ЖИВОТНЫХ, ИЗД.2</t>
  </si>
  <si>
    <t>Ердаков Л.Н., Прусевич Н.А.</t>
  </si>
  <si>
    <t>978-5-16-019979-5</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</si>
  <si>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36.03.02 «Зоотехния»</t>
  </si>
  <si>
    <t>777410.01.01</t>
  </si>
  <si>
    <t>Системы радионавигации и посадки: Уч./ О.Н.Скрыпник - М.:НИЦ ИНФРА-М,2025 - 491 с.(ВО)(п)</t>
  </si>
  <si>
    <t>СИСТЕМЫ РАДИОНАВИГАЦИИ И ПОСАДКИ</t>
  </si>
  <si>
    <t>978-5-16-017772-4</t>
  </si>
  <si>
    <t>11.03.01, 11.04.01, 11.05.01, 25.03.03, 25.04.03, 25.05.03, 25.05.05</t>
  </si>
  <si>
    <t>703552.04.01</t>
  </si>
  <si>
    <t>Системы счисления, алгоритмизация и программир.: Уч.пос. / Е.П.Игнашева-М.:НИЦ ИНФРА-М,2023.-224с(П)</t>
  </si>
  <si>
    <t>СИСТЕМЫ СЧИСЛЕНИЯ, АЛГОРИТМИЗАЦИЯ И ПРОГРАММИРОВАНИЕ</t>
  </si>
  <si>
    <t>Игнашева Е.П.</t>
  </si>
  <si>
    <t>978-5-16-015295-0</t>
  </si>
  <si>
    <t>768834.01.01</t>
  </si>
  <si>
    <t>Ситология и лактотерапия: Уч.пос. / О.Д.Сидоренко-М.:НИЦ ИНФРА-М,2022.-218 с.(ВО: Бакалавриат)(п)</t>
  </si>
  <si>
    <t>СИТОЛОГИЯ И ЛАКТОТЕРАПИЯ</t>
  </si>
  <si>
    <t>Сидоренко О.Д., Жукова Е.В.</t>
  </si>
  <si>
    <t>978-5-16-017421-1</t>
  </si>
  <si>
    <t>Прочие издания</t>
  </si>
  <si>
    <t>19.03.04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</si>
  <si>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19.00.00 «Промышленная экология и биотехнологии» (квалификация (степень) «бакалавр») (протокол № 6 от 08.06.2022)</t>
  </si>
  <si>
    <t>800820.01.01</t>
  </si>
  <si>
    <t>Скетчи и спектакли на английском яз.: Уч.пос. / З.В.Маньковская - М.:НИЦ ИНФРА-М,2025. - 225 с.(ВО)(п)</t>
  </si>
  <si>
    <t>СКЕТЧИ И СПЕКТАКЛИ НА АНГЛИЙСКОМ ЯЗЫКЕ</t>
  </si>
  <si>
    <t>978-5-16-018346-6</t>
  </si>
  <si>
    <t>470600.09.01</t>
  </si>
  <si>
    <t>Складская логистика: Уч. / Г.Г.Иванов - М.:ИД ФОРУМ,НИЦ ИНФРА-М,2025 - 192 с.(ВО)(о)</t>
  </si>
  <si>
    <t>СКЛАДСКАЯ ЛОГИСТИКА</t>
  </si>
  <si>
    <t>Иванов Г.Г., Киреева Н.С.</t>
  </si>
  <si>
    <t>978-5-8199-0712-2</t>
  </si>
  <si>
    <t>15.04.04, 23.03.01, 29.04.02, 38.03.01, 42.03.03</t>
  </si>
  <si>
    <t>Рекомендовано УМС УМО по направлению «Торговое дело» в качестве учебника для студентов, обучающихся по направлению «Торговое дело»</t>
  </si>
  <si>
    <t>842370.01.01</t>
  </si>
  <si>
    <t>Складская логистика: Уч. / Г.Г.Иванов - М.:ИД ФОРУМ,НИЦ ИНФРА-М,2025 - 192 с.(СПО)(о)</t>
  </si>
  <si>
    <t>978-5-8199-0964-5</t>
  </si>
  <si>
    <t>08.02.01, 38.02.03, 38.02.08</t>
  </si>
  <si>
    <t>705356.06.01</t>
  </si>
  <si>
    <t>Следственные действия: Уч.пос. для бакалавр. / В.Ю.Стельмах - М.:Юр.Норма, НИЦ ИНФРА-М,2025 - 208 с.(П)</t>
  </si>
  <si>
    <t>СЛЕДСТВЕННЫЕ ДЕЙСТВИЯ</t>
  </si>
  <si>
    <t>Стельмах В.Ю.</t>
  </si>
  <si>
    <t>978-5-91768-629-5</t>
  </si>
  <si>
    <t>Уральский юридический институт Министерства внутренних дел Российской Федерации</t>
  </si>
  <si>
    <t>696632.03.01</t>
  </si>
  <si>
    <t>Словарь правовой аналитической графики: Уч.пос. / В.Б.Исаков - М.:Юр.Норма,НИЦ ИНФРА-М,2024-272с.(П)</t>
  </si>
  <si>
    <t>СЛОВАРЬ ПРАВОВОЙ АНАЛИТИЧЕСКОЙ ГРАФИКИ</t>
  </si>
  <si>
    <t>978-5-91768-978-4</t>
  </si>
  <si>
    <t>098050.11.01</t>
  </si>
  <si>
    <t>Словарь терминов по акушерству, гинекологии..../ Г.Д.Некрасов - М.:Форум, НИЦ ИНФРА-М,2025 -112с.(О)</t>
  </si>
  <si>
    <t>СЛОВАРЬ ТЕРМИНОВ ПО АКУШЕРСТВУ, ГИНЕКОЛОГИИ И БИОТЕХНИКЕ РАЗМНОЖЕНИЯ ЖИВОТНЫХ</t>
  </si>
  <si>
    <t>978-5-91134-288-3</t>
  </si>
  <si>
    <t>19.02.11, 19.02.12, 36.01.01, 36.02.01, 36.02.03</t>
  </si>
  <si>
    <t>Рекомендовано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специальности 110401 "Зоотехния"</t>
  </si>
  <si>
    <t>251700.05.01</t>
  </si>
  <si>
    <t>Словацкий экспрессионизм: Уч.пос. / А.Ю.Пескова-М.:НИЦ ИНФРА-М,2024.-143 с.(ВО: Бакалавриат)(о)</t>
  </si>
  <si>
    <t>СЛОВАЦКИЙ ЭКСПРЕССИОНИЗМ</t>
  </si>
  <si>
    <t>Пескова А. Ю.</t>
  </si>
  <si>
    <t>978-5-16-009374-1</t>
  </si>
  <si>
    <t>44.03.05, 45.03.01, 45.04.01</t>
  </si>
  <si>
    <t>405300.04.01</t>
  </si>
  <si>
    <t>Словацко-русские межлитературные связи..: Уч.пос. / А.Г.Машкова-М.:НИЦ ИНФРА-М,2019.-268 с..-(ВО)(О)</t>
  </si>
  <si>
    <t>СЛОВАЦКО-РУССКИЕ МЕЖЛИТЕРАТУРНЫЕ СВЯЗИ: СТРАНИЦЫ ИСТОРИИ</t>
  </si>
  <si>
    <t>Машкова А. Г.</t>
  </si>
  <si>
    <t>978-5-16-005763-7</t>
  </si>
  <si>
    <t>45.04.01</t>
  </si>
  <si>
    <t>489700.04.01</t>
  </si>
  <si>
    <t>Служебное право: Уч. / А.Г.Чернявский - 2 изд. - М.:НИЦ ИНФРА-М,2021 - 418 с.(ВО: Бакалавриат)(П)</t>
  </si>
  <si>
    <t>СЛУЖЕБНОЕ ПРАВО, ИЗД.2</t>
  </si>
  <si>
    <t>Чернявский А.Г.</t>
  </si>
  <si>
    <t>978-5-16-015936-2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</si>
  <si>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40.03.01 «Юриспруденция» (квалификация (степень) «бакалавр») (протокол № 18 от 25.11.2019)</t>
  </si>
  <si>
    <t>489700.02.01</t>
  </si>
  <si>
    <t>Служебное право: Уч. / А.Г.Чернявский - М.:НИЦ ИНФРА-М,2018-376с.(ВО:Бакалавр.)(п)</t>
  </si>
  <si>
    <t>СЛУЖЕБНОЕ ПРАВО</t>
  </si>
  <si>
    <t>978-5-16-011930-4</t>
  </si>
  <si>
    <t>722093.08.01</t>
  </si>
  <si>
    <t>Служители языческого культа в религиозной и...: Моногр. / М.Н.Козлов - М.:НИЦ ИНФРА-М,2025 - 173с(О)</t>
  </si>
  <si>
    <t>СЛУЖИТЕЛИ ЯЗЫЧЕСКОГО КУЛЬТА В РЕЛИГИОЗНОЙ И ПОЛИТИЧЕСКОЙ ЖИЗНИ ВОСТОЧНЫХ СЛАВЯН (IX-XI ВЕКА)</t>
  </si>
  <si>
    <t>Козлов М.Н.</t>
  </si>
  <si>
    <t>Научная мысль (СевГУ)</t>
  </si>
  <si>
    <t>978-5-16-015799-3</t>
  </si>
  <si>
    <t>00.03.04, 00.05.04, 46.03.01, 46.04.01, 46.06.01</t>
  </si>
  <si>
    <t>771268.05.01</t>
  </si>
  <si>
    <t>Снабжение и сбыт: Уч. / Г.Д.Антонов и др. - М.:НИЦ ИНФРА-М,2025 - 298 с.(ВО: Бакалавр.)(П)</t>
  </si>
  <si>
    <t>СНАБЖЕНИЕ И СБЫТ</t>
  </si>
  <si>
    <t>978-5-16-020741-4</t>
  </si>
  <si>
    <t>820888.01.01</t>
  </si>
  <si>
    <t>Совмещенные и комбинир. техн. в литейном производ.: Уч.пос. / С.В.Беляев-М.:НИЦ ИНФРА-М, СФУ,2024-140с(ВО)(п)</t>
  </si>
  <si>
    <t>СОВМЕЩЕННЫЕ И КОМБИНИРОВАННЫЕ ТЕХНОЛОГИИ В ЛИТЕЙНОМ ПРОИЗВОДСТВЕ</t>
  </si>
  <si>
    <t>Беляев С.В., Баранов В.Н., Лесив Е.М. и др.</t>
  </si>
  <si>
    <t>978-5-16-019578-0</t>
  </si>
  <si>
    <t>15.03.01, 15.05.01, 22.03.02, 22.04.02, 24.04.01</t>
  </si>
  <si>
    <t>750932.02.01</t>
  </si>
  <si>
    <t>Совр. демограф. процессы: здоровье и здравоохр.: Уч.пос. / А.А.Шабунова - изд.-М.:НИЦ ИНФРА-М,2024.-223 с(п)</t>
  </si>
  <si>
    <t>СОВРЕМЕННЫЕ ДЕМОГРАФИЧЕСКИЕ ПРОЦЕССЫ: ЗДОРОВЬЕ И ЗДРАВООХРАНЕНИЕ, ИЗД.2</t>
  </si>
  <si>
    <t>Шабунова А.А., Калачикова О.Н., Груздева М.А. и др.</t>
  </si>
  <si>
    <t>978-5-16-017290-3</t>
  </si>
  <si>
    <t>31.05.01, 31.05.02, 32.04.01, 32.05.01, 38.04.01, 39.04.01</t>
  </si>
  <si>
    <t>Вологодский научный центр Российской академии наук</t>
  </si>
  <si>
    <t>425900.16.01</t>
  </si>
  <si>
    <t>Современная автоматика в сис. упр. техн. процес.: Уч./ В.П.Ившин, - 4 изд., - М.:НИЦ ИНФРА-М,2025 - 391 с.(ВО)(П)</t>
  </si>
  <si>
    <t>СОВРЕМЕННАЯ АВТОМАТИКА В СИСТЕМАХ УПРАВЛЕНИЯ ТЕХНОЛОГИЧЕСКИМИ ПРОЦЕССАМИ, ИЗД.4</t>
  </si>
  <si>
    <t>Ившин В.П., Перухин М.Ю.</t>
  </si>
  <si>
    <t>978-5-16-019112-6</t>
  </si>
  <si>
    <t>13.03.01, 13.04.01, 15.03.04, 15.03.06, 15.04.04, 15.04.06, 18.03.01, 18.03.02, 18.04.01, 19.03.03, 19.04.03, 27.03.04, 27.04.04</t>
  </si>
  <si>
    <t>425900.18.01</t>
  </si>
  <si>
    <t>Современная автоматика в сист. упр. техн. процес.: Уч. / В.П.Ившин - 3 изд. - М.:НИЦ Инфра-М,2024-407с.(ВО)(П)</t>
  </si>
  <si>
    <t>СОВРЕМЕННАЯ АВТОМАТИКА В СИСТЕМАХ УПРАВЛЕНИЯ ТЕХНОЛОГИЧЕСКИМИ ПРОЦЕССАМИ, ИЗД.3</t>
  </si>
  <si>
    <t>978-5-16-016698-8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</si>
  <si>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18.05.01 «Химическая технология энергонасыщенных материалов и изделий» (квалификация «специалист») (протокол № 11 от 09.11.2020)</t>
  </si>
  <si>
    <t>425900.11.01</t>
  </si>
  <si>
    <t>Современная автоматика в сист. упр. техн. процес.: Уч./ В.П.Ившин -М.:НИЦ Инфра-М,2020-402с.(ВО)</t>
  </si>
  <si>
    <t>СОВРЕМЕННАЯ АВТОМАТИКА В СИСТЕМАХ УПРАВЛЕНИЯ ТЕХНОЛОГИЧЕСКИМИ ПРОЦЕССАМИ</t>
  </si>
  <si>
    <t>978-5-16-013335-5</t>
  </si>
  <si>
    <t>Рекомендовано в качестве учебника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(квалификация (степень) «бакалавр»)</t>
  </si>
  <si>
    <t>425900.07.01</t>
  </si>
  <si>
    <t>Современная автоматика в сист. упр. техн. процес.: Уч.пос./ В.П.Ившин -М.:НИЦ Инфра-М,2018-400с.(ВО)</t>
  </si>
  <si>
    <t>СОВРЕМЕННАЯ АВТОМАТИКА В СИСТЕМАХ УПРАВЛЕНИЯ ТЕХНОЛОГИЧЕСКИМИ ПРОЦЕССАМИ, ИЗД.2</t>
  </si>
  <si>
    <t>978-5-16-012096-6</t>
  </si>
  <si>
    <t>Рекомендовано в качестве учебного пособия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(квалификация (степень) «бакалавр»)</t>
  </si>
  <si>
    <t>701073.05.01</t>
  </si>
  <si>
    <t>Современная британская, ирландская и американская лит..: Уч.пос. / Г.И.Лушникова-М.:НИЦ ИНФРА-М,2024.-211с(ВО)(П)</t>
  </si>
  <si>
    <t>СОВРЕМЕННАЯ БРИТАНСКАЯ, ИРЛАНДСКАЯ И АМЕРИКАНСКАЯ ЛИТЕРАТУРА: КАЛЕЙДОСКОП ЖАНРОВ, ТЕМ, СТИЛЕЙ</t>
  </si>
  <si>
    <t>978-5-16-016095-5</t>
  </si>
  <si>
    <t>44.03.05, 45.03.01, 45.03.99, 45.04.01, 51.03.01, 51.03.06, 52.03.04, 52.03.05</t>
  </si>
  <si>
    <t>632781.03.01</t>
  </si>
  <si>
    <t>Современная теоретическая социология: Уч.пос. / В.Г.Немировский-М.:НИЦ ИНФРА-М,2024.-304 с..-(ВО)(п)</t>
  </si>
  <si>
    <t>СОВРЕМЕННАЯ ТЕОРЕТИЧЕСКАЯ СОЦИОЛОГИЯ</t>
  </si>
  <si>
    <t>Немировский В.Г.</t>
  </si>
  <si>
    <t>978-5-16-019574-2</t>
  </si>
  <si>
    <t>39.03.01, 39.04.01</t>
  </si>
  <si>
    <t>677734.03.01</t>
  </si>
  <si>
    <t>Современная этика: Уч. / В.А.Канке - 2 изд. - М.:НИЦ ИНФРА-М,2024 - 277 с.(ВО)(п)</t>
  </si>
  <si>
    <t>СОВРЕМЕННАЯ ЭТИКА, ИЗД.2</t>
  </si>
  <si>
    <t>978-5-16-018852-2</t>
  </si>
  <si>
    <t>07.03.03, 21.05.04, 37.05.01, 44.03.01, 44.03.05, 47.03.01, 47.03.02, 47.03.03, 47.04.01, 47.04.02, 47.04.03, 51.03.01, 51.03.04</t>
  </si>
  <si>
    <t>396900.08.01</t>
  </si>
  <si>
    <t>Современное правопонимание: Курс лекций / М.Н.Марченко - М.:Юр.Норма, НИЦ ИНФРА-М,2024 - 368с.(п)</t>
  </si>
  <si>
    <t>СОВРЕМЕННОЕ ПРАВОПОНИМАНИЕ</t>
  </si>
  <si>
    <t>Марченко М.Н., Ершов В.В., Ершова Е.А. и др.</t>
  </si>
  <si>
    <t>978-5-91768-656-1</t>
  </si>
  <si>
    <t>395400.08.01</t>
  </si>
  <si>
    <t>Современное православие: Уч.пос. / Т.Л.Белкина - М.:ИЦ РИОР,НИЦ ИНФРА-М,2024 -108с.(ВО:Бакалавр.)(о)</t>
  </si>
  <si>
    <t>СОВРЕМЕННОЕ ПРАВОСЛАВИЕ</t>
  </si>
  <si>
    <t>БелкинаТ.Л.</t>
  </si>
  <si>
    <t>978-5-369-01487-5</t>
  </si>
  <si>
    <t>47.03.03, 47.04.03</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</si>
  <si>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033300(47.03.03) «Религиоведение» (бакалавриат)</t>
  </si>
  <si>
    <t>694363.02.01</t>
  </si>
  <si>
    <t>Современное технологич. оборуд. кож. производ.: Уч.пос. / В.И.Чурсин-М.:НИЦ ИНФРА-М,2023.-185 с.(ВО)(П)</t>
  </si>
  <si>
    <t>СОВРЕМЕННОЕ ТЕХНОЛОГИЧЕСКОЕ ОБОРУДОВАНИЕ КОЖЕВЕННОГО ПРОИЗВОДСТВА</t>
  </si>
  <si>
    <t>Чурсин В.И., Хаустов В.Д.</t>
  </si>
  <si>
    <t>978-5-16-015542-5</t>
  </si>
  <si>
    <t>29.03.01, 29.03.02, 29.03.05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</si>
  <si>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29.03.01 «Технология изделий легкой промышленности» (квалификация (степень) «бакалавр») (протокол № 8 от 22.06.2020)</t>
  </si>
  <si>
    <t>465350.08.01</t>
  </si>
  <si>
    <t>Современные вопросы клинической фармакологии: Уч.пос. / Н.Б.Сидоренко - М: ИНФРА-М,2024 - 217с.(ВО)</t>
  </si>
  <si>
    <t>СОВРЕМЕННЫЕ ВОПРОСЫ КЛИНИЧЕСКОЙ ФАРМАКОЛОГИИ</t>
  </si>
  <si>
    <t>Сидоренко Н.Б., Терентьева Н.В., Титова З.А. и др.</t>
  </si>
  <si>
    <t>978-5-16-009499-1</t>
  </si>
  <si>
    <t>31.05.01, 31.05.02, 31.05.03, 34.03.01</t>
  </si>
  <si>
    <t>636338.06.01</t>
  </si>
  <si>
    <t>Современные информ. технологии в упр..: Уч.пос. / Б.Е.Одинцов и др. - М.:Вуз.уч.,НИЦ ИНФРА-М,2024-373с(П)</t>
  </si>
  <si>
    <t>СОВРЕМЕННЫЕ ИНФОРМАЦИОННЫЕ ТЕХНОЛОГИИ В УПРАВЛЕНИИ ЭКОНОМИЧЕСКОЙ ДЕЯТЕЛЬНОСТЬЮ (ТЕОРИЯ И ПРАКТИКА)</t>
  </si>
  <si>
    <t>Одинцов Б.Е., Романов А.Н., Догучаева С.М.</t>
  </si>
  <si>
    <t>978-5-9558-0517-7</t>
  </si>
  <si>
    <t>09.02.03, 09.03.01, 09.03.02, 09.03.03, 09.04.03, 38.03.01, 38.03.02, 38.03.05, 38.04.05, 40.03.01</t>
  </si>
  <si>
    <t>657127.03.01</t>
  </si>
  <si>
    <t>Современные концепции бух.учета и отчетности: Уч. / А.М.Петров-М.:Вуз.уч., НИЦ ИНФРА-М,2023-228с(ВО)</t>
  </si>
  <si>
    <t>СОВРЕМЕННЫЕ КОНЦЕПЦИИ БУХГАЛТЕРСКОГО УЧЕТА И ОТЧЕТНОСТИ</t>
  </si>
  <si>
    <t>978-5-9558-0573-3</t>
  </si>
  <si>
    <t>25.04.03, 38.04.01, 38.04.02, 38.04.04, 38.04.05, 38.04.06, 38.04.07, 38.04.08, 38.04.09, 38.05.01, 38.05.02</t>
  </si>
  <si>
    <t>818405.01.01</t>
  </si>
  <si>
    <t>Современные методы исслед. свойств продовольств...: Уч.пос. / Л.В.Наймушина-М.:НИЦ ИНФРА-М, СФУ,2024-116с(о)</t>
  </si>
  <si>
    <t>СОВРЕМЕННЫЕ МЕТОДЫ ИССЛЕДОВАНИЙ СВОЙСТВ ПРОДОВОЛЬСТВЕННОГО СЫРЬЯ, ПИЩЕВЫХ МАКРО- И МИКРОИНГРЕДИЕНТОВ, ТЕХНОЛОГИЧЕСКИХ ДОБАВОК И ПИЩЕВОЙ ПРОДУКЦИИ</t>
  </si>
  <si>
    <t>Наймушина Л.В., Зыкова И.Д.</t>
  </si>
  <si>
    <t>978-5-16-019511-7</t>
  </si>
  <si>
    <t>19.03.02, 19.04.04, 32.05.01, 35.03.07</t>
  </si>
  <si>
    <t>466500.03.01</t>
  </si>
  <si>
    <t>Современные методы орг. предприним.деят. в строит.: Уч./М.Н.Юденко-М.:ИЦ РИОР, НИЦ ИНФРА-М,2020-296с(ВО)(О)</t>
  </si>
  <si>
    <t>СОВРЕМЕННЫЕ МЕТОДЫ ОРГАНИЗАЦИИ ПРЕДПРИНИМАТЕЛЬСКОЙ ДЕЯТЕЛЬНОСТИ В СТРОИТЕЛЬСТВЕ</t>
  </si>
  <si>
    <t>Юденко М.Н.</t>
  </si>
  <si>
    <t>978-5-369-01492-9</t>
  </si>
  <si>
    <t>Допущено УМО по образованию в области производственного менеджмента в качестве учебника для студентов, обучающихся по направлению подготовки «Менеджмент» по магистерской программе «Производственный менеджмент»</t>
  </si>
  <si>
    <t>Санкт-Петербургский гуманитарный университет профсоюзов</t>
  </si>
  <si>
    <t>489850.07.01</t>
  </si>
  <si>
    <t>Современные методы упр. жилищ. строит.: Уч.пос. /В.В.Бузырев -М.: Вуз.уч., НИЦ ИНФРА-М, 2023-240с(П)</t>
  </si>
  <si>
    <t>СОВРЕМЕННЫЕ МЕТОДЫ УПРАВЛЕНИЯ ЖИЛИЩНЫМ СТРОИТЕЛЬСТВОМ</t>
  </si>
  <si>
    <t>БузыревВ.В., Селютина Л.Г., МартыновВ.Ф.</t>
  </si>
  <si>
    <t>978-5-9558-0428-6</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</si>
  <si>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по  магистерской программе «Предпринимательство и  управление строительством»</t>
  </si>
  <si>
    <t>451250.05.01</t>
  </si>
  <si>
    <t>Современные пробл. менедж. в междун. бизнесе: Моногр./В.И.Королев - Магистр: ИНФРА-М, 2023-400с.(п)</t>
  </si>
  <si>
    <t>СОВРЕМЕННЫЕ ПРОБЛЕМЫ МЕНЕДЖМЕНТА В МЕЖДУНАРОДНОМ БИЗНЕСЕ</t>
  </si>
  <si>
    <t>Королев В. И., Зайцев Л. Г., Заикин А. Д., Королев В. И.</t>
  </si>
  <si>
    <t>978-5-9776-0291-4</t>
  </si>
  <si>
    <t>07.03.03, 19.03.04, 23.03.01, 27.03.02, 29.03.02, 35.03.03, 35.03.04, 35.03.09, 38.03.01, 38.03.02, 38.04.01, 38.04.02, 41.03.06, 42.03.01, 44.03.01, 44.03.05, 45.03.01, 45.03.03, 51.03.01, 51.03.02</t>
  </si>
  <si>
    <t>664231.06.01</t>
  </si>
  <si>
    <t>Современные системы упр. деятельностью: Уч. / Р.А.Попов - М.:НИЦ ИНФРА-М,2022-309 с.-(ВО: Магистратура)(П)</t>
  </si>
  <si>
    <t>СОВРЕМЕННЫЕ СИСТЕМЫ УПРАВЛЕНИЯ ДЕЯТЕЛЬНОСТЬЮ</t>
  </si>
  <si>
    <t>978-5-16-016191-4</t>
  </si>
  <si>
    <t>08.04.01, 38.04.01, 38.04.02, 38.04.04, 40.03.01</t>
  </si>
  <si>
    <t>Рекомендовано в качестве учебника для студентов высших учебных заведений, обучающихся по направлениям подготовки 08.04.01 «Строительство», 38.04.01 «Экономика», 38.04.02 «Менеджмент» (квалификация (степень) «магистр»)</t>
  </si>
  <si>
    <t>667069.05.01</t>
  </si>
  <si>
    <t>Современные средства реал. авт.сис. Раб. с Google табл.: Уч.пос. / Н.В.Бильфельд-М.:ИЦ РИОР, НИЦ ИНФРА-М,2024-171с.(О)</t>
  </si>
  <si>
    <t>СОВРЕМЕННЫЕ СРЕДСТВА РЕАЛИЗАЦИИ АВТОМАТИЗИРОВАННЫХ СИСТЕМ. РАБОТА С GOOGLE ТАБЛИЦАМИ</t>
  </si>
  <si>
    <t>Бильфельд Н.В., Володина Ю.И.</t>
  </si>
  <si>
    <t>978-5-369-01721-0</t>
  </si>
  <si>
    <t>02.03.02, 03.03.02, 04.03.02, 09.03.01, 23.03.01, 23.03.03</t>
  </si>
  <si>
    <t>698700.03.01</t>
  </si>
  <si>
    <t>Современные тенденции и инновац. методы...: Уч.пос. / Ш.Ф.Фарахутдинов-М.:НИЦ ИНФРА-М,2023.-231с(П)</t>
  </si>
  <si>
    <t>СОВРЕМЕННЫЕ ТЕНДЕНЦИИ И ИННОВАЦИОННЫЕ МЕТОДЫ В МАРКЕТИНГОВЫХ ИССЛЕДОВАНИЯХ</t>
  </si>
  <si>
    <t>Фарахутдинов Ш.Ф.</t>
  </si>
  <si>
    <t>978-5-16-018721-1</t>
  </si>
  <si>
    <t>38.03.01, 38.03.02, 38.03.03, 38.03.04, 38.03.06, 38.04.03, 39.03.01, 39.03.02, 39.03.03, 39.04.01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</si>
  <si>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направлениям подготовки 38.00.00 «Экономика и управление», 39.00.00 «Социология и социальная работа» (квалификация (степень) «бакалавр») (протокол № 8 от 22.06.2020)</t>
  </si>
  <si>
    <t>Тюменский индустриальный университет</t>
  </si>
  <si>
    <t>177900.13.01</t>
  </si>
  <si>
    <t>Современные технол. и технич.средства информатизации: Уч. /О.В.Шишов -М.:НИЦ ИНФРА-М,2024-462с.(ВО)(п)</t>
  </si>
  <si>
    <t>СОВРЕМЕННЫЕ ТЕХНОЛОГИИ И ТЕХНИЧЕСКИЕ СРЕДСТВА ИНФОРМАТИЗАЦИИ</t>
  </si>
  <si>
    <t>978-5-16-019029-7</t>
  </si>
  <si>
    <t>43.03.01, 43.03.02, 47.03.01, 47.04.01</t>
  </si>
  <si>
    <t>Рекомендовано УМО по образованию в качестве учебника для студентов вузов, обучающихся по направлению 02.03.02 "Фундаментальная информатика и информационные технологии" (квалификация (степень) "бакалавр")</t>
  </si>
  <si>
    <t>769775.01.01</t>
  </si>
  <si>
    <t>Современные технологии бурения на твердые полез. ископ.: Уч. / В.В.Нескоромных-М.:НИЦ ИНФРА-М, СФУ,2022-340 с.-(ВО)(П)</t>
  </si>
  <si>
    <t>СОВРЕМЕННЫЕ ТЕХНОЛОГИИ БУРЕНИЯ НА ТВЕРДЫЕ ПОЛЕЗНЫЕ ИСКОПАЕМЫЕ</t>
  </si>
  <si>
    <t>Нескоромных В.В., Попова М.С., Петенев П.Г. и др.</t>
  </si>
  <si>
    <t>978-5-16-017385-6</t>
  </si>
  <si>
    <t>21.05.02, 21.05.03</t>
  </si>
  <si>
    <t>Допущено учебно-методическим советом Сибирского федерального университета в качестве учебника для студентов, обучающихся по направлению подготовки 21.05.03 «Технология геологической разведки», специализация 21.05.03.00.03 «Технология и техника разведки месторождений полезных ископаемых» (протокол № 11 от 21.05.2019)</t>
  </si>
  <si>
    <t>708172.03.01</t>
  </si>
  <si>
    <t>Современные технологии дош. обр.: Уч.пос. / Под ред. Захаровой Л.М. - М.:НИЦ ИНФРА-М,2024-251с.(ВО)(п)</t>
  </si>
  <si>
    <t>СОВРЕМЕННЫЕ ТЕХНОЛОГИИ ДОШКОЛЬНОГО ОБРАЗОВАНИЯ</t>
  </si>
  <si>
    <t>Андрианова Е.И., Богомолова М.И., Гришина А.А. и др.</t>
  </si>
  <si>
    <t>978-5-16-019436-3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</si>
  <si>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17 от 11.11.2019)</t>
  </si>
  <si>
    <t>Ульяновский государственный педагогический университет им. И.Н. Ульянова</t>
  </si>
  <si>
    <t>741958.06.01</t>
  </si>
  <si>
    <t>Современные технологии дошк.обр.: Уч.пос. / Под ред. Захаровой Л.М. - М.:НИЦ ИНФРА-М,2025 - 251с (СПО)(П)</t>
  </si>
  <si>
    <t>978-5-16-016398-7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</si>
  <si>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(протокол № 8 от 22.06.2020)</t>
  </si>
  <si>
    <t>763411.02.01</t>
  </si>
  <si>
    <t>Современные технологии и технич. средства информатизации: Уч. / О.В.Шишов - М.:НИЦ ИНФРА-М,2025 - 462 с.(П)</t>
  </si>
  <si>
    <t>978-5-16-017112-8</t>
  </si>
  <si>
    <t>00.02.03, 09.01.04, 09.01.05, 09.02.07, 46.02.01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</si>
  <si>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в области информационных технологий и техническим специальностям (протокол № 4 от 21.04.2021)</t>
  </si>
  <si>
    <t>174600.08.01</t>
  </si>
  <si>
    <t>Современные технологии менеджмента: Уч. / В.И.Королев - М.: Магистр: НИЦ Инфра-М, 2025 - 640 с.(п)</t>
  </si>
  <si>
    <t>СОВРЕМЕННЫЕ ТЕХНОЛОГИИ МЕНЕДЖМЕНТА</t>
  </si>
  <si>
    <t>Королев В. И., Уваров В. В., Заикин А. Д., Кочетков В. В., Королев В. И.</t>
  </si>
  <si>
    <t>978-5-9776-0218-1</t>
  </si>
  <si>
    <t>38.03.02, 38.03.05, 38.04.05, 41.03.06, 42.03.01, 44.03.01</t>
  </si>
  <si>
    <t>Рекомендовано ФГБОУ ВПО "Государственный университет управления" в качестве учебника для студентов вузов, обучающихся по специальности 080500 "Менеджмент"</t>
  </si>
  <si>
    <t>764804.04.01</t>
  </si>
  <si>
    <t>Современные технологии обуч. ин. яз. в сис. ВО: Уч.пос. / Т.А.Дмитренко - М.:НИЦ ИНФРА-М,2023-164с.(ВО)(П)</t>
  </si>
  <si>
    <t>СОВРЕМЕННЫЕ ТЕХНОЛОГИИ ОБУЧЕНИЯ ИНОСТРАННОМУ ЯЗЫКУ В СИСТЕМЕ ВЫСШЕГО ОБРАЗОВАНИЯ</t>
  </si>
  <si>
    <t>Дмитренко Т.А.</t>
  </si>
  <si>
    <t>978-5-16-017201-9</t>
  </si>
  <si>
    <t>764804.02.01</t>
  </si>
  <si>
    <t>Современные технологии обуч. ин. яз. в сис. ВО: Уч.пос. / Т.А.Дмитренко-2изд.- М.:НИЦ ИНФРА-М,2024-188с.(ВО)(П)</t>
  </si>
  <si>
    <t>СОВРЕМЕННЫЕ ТЕХНОЛОГИИ ОБУЧЕНИЯ ИНОСТРАННОМУ ЯЗЫКУ В СИСТЕМЕ ВЫСШЕГО ИНОЯЗЫЧНОГО ОБРАЗОВАНИЯ, ИЗД.2</t>
  </si>
  <si>
    <t>978-5-16-017455-6</t>
  </si>
  <si>
    <t>633958.05.01</t>
  </si>
  <si>
    <t>Современные технологии политичес...: Уч.пос. / С.Н.Федорченко-М.:НИЦ ИНФРА-М,2023.-200 с.(ВО)(п)</t>
  </si>
  <si>
    <t>СОВРЕМЕННЫЕ ТЕХНОЛОГИИ ПОЛИТИЧЕСКОГО МЕНЕДЖМЕНТА</t>
  </si>
  <si>
    <t>Федорченко С.Н.</t>
  </si>
  <si>
    <t>978-5-16-018728-0</t>
  </si>
  <si>
    <t>Рекомендовано в качестве учебного пособия для студентов высших учебных заведений, обучающихся по направлениям подготовки 41.03.04 «Политология», 41.03.06 «Публичная политика и социальные науки» (квалификация (степень) «бакалавр»)</t>
  </si>
  <si>
    <t>641227.11.01</t>
  </si>
  <si>
    <t>Современные технологии программир. Яз. 1С 8.3: Уч. / Э.Г.Дадян - М.:НИЦ ИНФРА-М,2025 - 173 с.(ВО)(П)</t>
  </si>
  <si>
    <t>СОВРЕМЕННЫЕ ТЕХНОЛОГИИ ПРОГРАММИРОВАНИЯ. ЯЗЫК 1С 8.3</t>
  </si>
  <si>
    <t>978-5-16-019499-8</t>
  </si>
  <si>
    <t>09.03.03, 38.03.01, 38.03.02, 38.03.03, 38.03.04, 38.03.05, 38.03.06, 38.03.07, 38.03.10</t>
  </si>
  <si>
    <t>742703.03.01</t>
  </si>
  <si>
    <t>Современные технологии программир. Язык С#: Уч.: Т.1 / Э.Г.Дадян - М.:НИЦ ИНФРА-М,2025 - 312 с.(П)</t>
  </si>
  <si>
    <t>СОВРЕМЕННЫЕ ТЕХНОЛОГИИ ПРОГРАММИРОВАНИЯ. ЯЗЫК С#. В ДВУХ ТОМАХ, Т.1</t>
  </si>
  <si>
    <t>978-5-16-020578-6</t>
  </si>
  <si>
    <t>09.03.03, 09.04.03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</si>
  <si>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09.03.03 «Прикладная информатика» (квалификация (степень) «бакалавр») (протокол № 2 от 17.02.2021)</t>
  </si>
  <si>
    <t>757947.01.01</t>
  </si>
  <si>
    <t>Современные технологии программир. Язык С#: Уч.: Т.2 / Э.Г.Дадян - М.:НИЦ ИНФРА-М,2021 - 335 с.(П)</t>
  </si>
  <si>
    <t>СОВРЕМЕННЫЕ ТЕХНОЛОГИИ ПРОГРАММИРОВАНИЯ. ЯЗЫК С#., Т.2</t>
  </si>
  <si>
    <t>978-5-16-016997-2</t>
  </si>
  <si>
    <t>766634.01.01</t>
  </si>
  <si>
    <t>Современные технологии управ. персоналом: Уч. / А.А.Литвинюк.-М.:НИЦ ИНФРА-М,2023.-220 с.(ВО (РЭУ))(п)</t>
  </si>
  <si>
    <t>СОВРЕМЕННЫЕ ТЕХНОЛОГИИ УПРАВЛЕНИЯ ПЕРСОНАЛОМ</t>
  </si>
  <si>
    <t>Литвинюк А.А., Бабынина Л.С., Иванова-Швец Л.Н. и др.</t>
  </si>
  <si>
    <t>978-5-16-017618-5</t>
  </si>
  <si>
    <t>38.03.02, 38.03.03, 38.04.01, 38.04.02</t>
  </si>
  <si>
    <t>706585.02.01</t>
  </si>
  <si>
    <t>Современные технологии формообразования: Уч.пос. / В.А.Лебедев  - 2 изд.-М.:НИЦ ИНФРА-М,2023-320с(П)</t>
  </si>
  <si>
    <t>СОВРЕМЕННЫЕ ТЕХНОЛОГИИ ФОРМООБРАЗОВАНИЯ, ИЗД.2</t>
  </si>
  <si>
    <t>Лебедев В.А., Болдырев А.И., Тамаркин М.А. и др.</t>
  </si>
  <si>
    <t>978-5-16-015252-3</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</si>
  <si>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</si>
  <si>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782293.01.01</t>
  </si>
  <si>
    <t>Современные требования и принципы нормир. кормл...: Уч.пос. / А.Н.Лазаревич-М.:НИЦ ИНФРА-М,2023.-478 с.(П)</t>
  </si>
  <si>
    <t>СОВРЕМЕННЫЕ ТРЕБОВАНИЯ И ПРИНЦИПЫ НОРМИРОВАННОГО КОРМЛЕНИЯ ПРИ ВЫРАЩИВАНИИ И ОТКОРМЕ СВИНЕЙ</t>
  </si>
  <si>
    <t>Лазаревич А.Н., Пыжикова Н.И., Козина Е.А. и др.</t>
  </si>
  <si>
    <t>978-5-16-018202-5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</si>
  <si>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36.00.00 «Ветеринария и зоотехния» (квалификация (степень) «бакалавр») (протокол № 8 от 19.10.2022)</t>
  </si>
  <si>
    <t>813801.01.01</t>
  </si>
  <si>
    <t>Современные упаковочные материалы и тара: Уч.пос. / А.И.Машанов.-М.:НИЦ ИНФРА-М,2024.-168 с.(ВО (КрГАУ))(п)</t>
  </si>
  <si>
    <t>СОВРЕМЕННЫЕ УПАКОВОЧНЫЕ МАТЕРИАЛЫ И ТАРА</t>
  </si>
  <si>
    <t>Машанов А.И., Величко Н.А., Речкина Е.А. и др.</t>
  </si>
  <si>
    <t>978-5-16-019671-8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</si>
  <si>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19.04.03 «Продукты питания животного происхождения», 19.04.02 «Продукты питания из растительного сырья»</t>
  </si>
  <si>
    <t>354100.09.01</t>
  </si>
  <si>
    <t>Современные формы обслуживания..: Уч. пос. / Т.А. Джум - М.: Магистр, НИЦ ИНФРА-М, 2024. - 528 с.(П)</t>
  </si>
  <si>
    <t>СОВРЕМЕННЫЕ ФОРМЫ ОБСЛУЖИВАНИЯ В РЕСТОРАННОМ БИЗНЕСЕ</t>
  </si>
  <si>
    <t>Т.А.Джум, Г.М.Зайко</t>
  </si>
  <si>
    <t>978-5-9776-0369-0</t>
  </si>
  <si>
    <t>19.03.04, 19.04.04, 43.03.01, 43.04.01</t>
  </si>
  <si>
    <t>670732.04.01</t>
  </si>
  <si>
    <t>Современные электрические подстанции: Уч.пос. / Ю.Д.Сибикин - 2 изд. - М.:НИЦ ИНФРА-М,2025 - 417 с.(ВО)(п)</t>
  </si>
  <si>
    <t>СОВРЕМЕННЫЕ ЭЛЕКТРИЧЕСКИЕ ПОДСТАНЦИИ, ИЗД.2</t>
  </si>
  <si>
    <t>978-5-16-020064-4</t>
  </si>
  <si>
    <t>766525.03.01</t>
  </si>
  <si>
    <t>Современные электромонтажные изделия и устройства... / Ю.Д.Сибикин, - 2 изд.,-М.:НИЦ ИНФРА-М,2025.-510 с.</t>
  </si>
  <si>
    <t>СОВРЕМЕННЫЕ ЭЛЕКТРОМОНТАЖНЫЕ ИЗДЕЛИЯ И УСТРОЙСТВА НА НАПРЯЖЕНИЕ ДО 1000 ВОЛЬТ, ИЗД.2</t>
  </si>
  <si>
    <t>978-5-16-017538-6</t>
  </si>
  <si>
    <t>08.01.31</t>
  </si>
  <si>
    <t>781591.05.01</t>
  </si>
  <si>
    <t>Современный рус. яз.. Лексикология..: Уч.пос. / А.Ф.Пантелеев-М.:ИЦ РИОР, НИЦ ИНФРА-М,2025.-318 с.(ВО)(п)</t>
  </si>
  <si>
    <t>СОВРЕМЕННЫЙ РУССКИЙ ЯЗЫК. ЛЕКСИКОЛОГИЯ. ФРАЗЕОЛОГИЯ</t>
  </si>
  <si>
    <t>Пантелеев А.Ф., Богуславская В.В., Белик Н.А.</t>
  </si>
  <si>
    <t>978-5-369-01912-2</t>
  </si>
  <si>
    <t>00.03.09, 41.03.06, 42.03.02, 42.03.03, 42.03.04, 45.03.01, 45.05.01, 56.05.05</t>
  </si>
  <si>
    <t>667540.05.01</t>
  </si>
  <si>
    <t>Современный русский язык. Актуал.вопросы..: Уч.пос. / И.В.Евсеева - М.:НИЦ ИНФРА-М, СФУ,2023-201с(П)</t>
  </si>
  <si>
    <t>СОВРЕМЕННЫЙ РУССКИЙ ЯЗЫК. АКТУАЛЬНЫЕ ВОПРОСЫ МОРФЕМИКИ, МОРФОНОЛОГИИ И СЛОВООБРАЗОВАНИЯ</t>
  </si>
  <si>
    <t>Евсеева И.В.</t>
  </si>
  <si>
    <t>978-5-16-016865-4</t>
  </si>
  <si>
    <t>45.03.01, 45.03.02, 45.03.99</t>
  </si>
  <si>
    <t>Рекомендовано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 А.И. Герцена» к использованию в образовательных учреждениях, реализующих образовательные программы по дисциплине «Современный русский язык. Словообразование» по направлениям бакалавриата «Филология», «Филологическое образование», «Педагогическое образование»</t>
  </si>
  <si>
    <t>460750.09.01</t>
  </si>
  <si>
    <t>Современный русский язык. Лексикология: Уч.пос. / Л.Н.Чурилина - М.:ИЦ РИОР, НИЦ ИНФРА-М,2024-163с.(О)</t>
  </si>
  <si>
    <t>СОВРЕМЕННЫЙ РУССКИЙ ЯЗЫК. ЛЕКСИКОЛОГИЯ: ЛЕКСИЧЕСКАЯ СЕМАНТИКА</t>
  </si>
  <si>
    <t>Чурилина Л. Н., Деревскова Е. Н.</t>
  </si>
  <si>
    <t>978-5-369-01320-5</t>
  </si>
  <si>
    <t>45.03.01, 45.03.02, 45.03.03, 45.04.01, 45.04.02, 45.04.03</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</si>
  <si>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540300(050300) "Филологическое образование»</t>
  </si>
  <si>
    <t>704226.07.01</t>
  </si>
  <si>
    <t>Современный русский язык. Морфемика..: Уч.пос. / А.Ф.Пантелеев - М.:ИЦ РИОР,НИЦ ИНФРА-М,2024-140с(ВО)(О)</t>
  </si>
  <si>
    <t>СОВРЕМЕННЫЙ РУССКИЙ ЯЗЫК. МОРФЕМИКА. СЛОВООБРАЗОВАНИЕ</t>
  </si>
  <si>
    <t>Пантелеев А.Ф., Ковтуненко И.В.</t>
  </si>
  <si>
    <t>978-5-369-01805-7</t>
  </si>
  <si>
    <t>42.03.02, 42.03.03, 44.03.01, 44.03.05, 45.03.01</t>
  </si>
  <si>
    <t>741548.02.01</t>
  </si>
  <si>
    <t>Современный русский язык. Морфология: Уч.пос. / А.Ф.Пантелеев - М.:ИЦ РИОР, НИЦ ИНФРА-М,2025. - 352 с.(ВО)(П)</t>
  </si>
  <si>
    <t>СОВРЕМЕННЫЙ РУССКИЙ ЯЗЫК. МОРФОЛОГИЯ</t>
  </si>
  <si>
    <t>978-5-369-01859-0</t>
  </si>
  <si>
    <t>42.03.03, 45.03.01, 45.04.01</t>
  </si>
  <si>
    <t>645038.08.01</t>
  </si>
  <si>
    <t>Современный русский язык. Фонетика..: Уч.пос. / А.Ф.Пантелеев - М:ИЦ РИОР,НИЦ ИНФРА-М,2025 - 132 с.(ВО)(О)</t>
  </si>
  <si>
    <t>СОВРЕМЕННЫЙ РУССКИЙ ЯЗЫК. ФОНЕТИКА. ФОНОЛОГИЯ. ГРАФИКА. ОРФОГРАФИЯ</t>
  </si>
  <si>
    <t>Пантелеев А.Ф., Шейко Е.В., Белик Н.А.</t>
  </si>
  <si>
    <t>978-5-369-01623-7</t>
  </si>
  <si>
    <t>41.03.06, 42.03.02, 42.03.03, 42.03.04, 44.03.05, 45.03.01, 45.03.03</t>
  </si>
  <si>
    <t>109000.11.01</t>
  </si>
  <si>
    <t>Современный социоэкономический словарь /Б.А. Райзберг. -ИНФРА-М, 2019-629с.(Б-ка слов. "ИНФРА-М")(П)</t>
  </si>
  <si>
    <t>СОВРЕМЕННЫЙ СОЦИОЭКОНОМИЧЕСКИЙ СЛОВАРЬ</t>
  </si>
  <si>
    <t>978-5-16-003670-0</t>
  </si>
  <si>
    <t>38.03.01, 38.03.02, 39.03.01</t>
  </si>
  <si>
    <t>798638.01.01</t>
  </si>
  <si>
    <t>Современный стратегический анализ: Уч. / И.В.Зенкина - М.:НИЦ ИНФРА-М,2024. - 288 с.(ВО)(п)</t>
  </si>
  <si>
    <t>СОВРЕМЕННЫЙ СТРАТЕГИЧЕСКИЙ АНАЛИЗ</t>
  </si>
  <si>
    <t>Зенкина И.В.</t>
  </si>
  <si>
    <t>978-5-16-019484-4</t>
  </si>
  <si>
    <t>38.04.02, 38.04.06, 38.05.01</t>
  </si>
  <si>
    <t>418400.09.01</t>
  </si>
  <si>
    <t>Современный стратегический анализ: Уч./Л.Е.Басовский - М.: ИНФРА-М, 2024 - 256 с. (ВО: Магистратура)</t>
  </si>
  <si>
    <t>978-5-16-005655-5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</si>
  <si>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080200.68 «Менеджмент» (магистратура)</t>
  </si>
  <si>
    <t>002238.25.01</t>
  </si>
  <si>
    <t>Современный эконом. словарь / Б.А.Райзберг - 6 изд. -М.:НИЦ ИНФРА-М,2024 -512с(Б-ка сл."ИНФРА-М")(П)</t>
  </si>
  <si>
    <t>СОВРЕМЕННЫЙ ЭКОНОМИЧЕСКИЙ СЛОВАРЬ, ИЗД.6</t>
  </si>
  <si>
    <t>Райзберг Б.А., Лозовский Л.Ш., Стародубцева Е.Б. и др.</t>
  </si>
  <si>
    <t>978-5-16-009966-8</t>
  </si>
  <si>
    <t>00.03.13, 00.05.13, 38.03.01, 38.03.02, 38.03.03, 38.03.04, 38.03.05, 38.03.06, 38.03.07, 38.03.10, 38.04.08, 38.04.09, 38.05.01, 38.05.02</t>
  </si>
  <si>
    <t>0608</t>
  </si>
  <si>
    <t>821016.01.01</t>
  </si>
  <si>
    <t>Создание флорист. изд. из живых срезанных цветов..: Уч.пос. / И.С.Тундалева - М.:НИЦ ИНФРА-М,2025. - 201 с.(п)</t>
  </si>
  <si>
    <t>СОЗДАНИЕ ФЛОРИСТИЧЕСКИХ ИЗДЕЛИЙ ИЗ ЖИВЫХ СРЕЗАННЫХ ЦВЕТОВ, СУХОЦВЕТОВ, ИСКУССТВЕННЫХ ЦВЕТОВ И ДРУГИХ МАТЕРИАЛОВ</t>
  </si>
  <si>
    <t>978-5-16-019674-9</t>
  </si>
  <si>
    <t>001458.10.01</t>
  </si>
  <si>
    <t>Сократ: Моногр/ / В.С. Нерсесянц. - 2 изд. - М.: Норма:  НИЦ Инфра-М, 2025. - 240 с. (о)</t>
  </si>
  <si>
    <t>СОКРАТ</t>
  </si>
  <si>
    <t>978-5-91768-305-8</t>
  </si>
  <si>
    <t>47.03.01, 47.03.02, 47.03.03, 47.04.01, 47.04.02, 47.04.03</t>
  </si>
  <si>
    <t>0196</t>
  </si>
  <si>
    <t>842043.01.01</t>
  </si>
  <si>
    <t>Сольфеджио и теория музыки: Практ.: Уч.пос. / М.В.Сиксимова - М.:НИЦ ИНФРА-М,2025. - 164 с.(СПО)(п)</t>
  </si>
  <si>
    <t>СОЛЬФЕДЖИО И ТЕОРИЯ МУЗЫКИ: ПРАКТИКУМ</t>
  </si>
  <si>
    <t>Сиксимова М.В.</t>
  </si>
  <si>
    <t>978-5-16-020302-7</t>
  </si>
  <si>
    <t>Музыка. Нотные издания</t>
  </si>
  <si>
    <t>52.02.02, 53.01.01, 53.02.01, 53.02.02, 53.02.03, 53.02.04, 53.02.05, 53.02.07, 53.02.08</t>
  </si>
  <si>
    <t>Волгоградский государственный институт искусств и культуры</t>
  </si>
  <si>
    <t>797201.02.01</t>
  </si>
  <si>
    <t>Сольфеджио и теория музыки: практикум: Уч.пос. / М.В.Сиксимова - М.:НИЦ ИНФРА-М,2024. - 164 с.(ВО)(п)</t>
  </si>
  <si>
    <t>978-5-16-018309-1</t>
  </si>
  <si>
    <t>44.03.01, 44.03.05, 53.03.01, 53.03.02, 53.03.03, 53.03.04, 53.03.05, 53.03.06, 53.05.01, 53.05.02, 53.05.03, 53.05.04, 53.05.05, 53.05.06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</si>
  <si>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53.03.03 «Вокальное искусство», 53.03.04 «Искусство народного пения» (квалификация (степень) «бакалавр») (протокол № 10 от 21.12.2022)</t>
  </si>
  <si>
    <t>651688.08.01</t>
  </si>
  <si>
    <t>Сооружения и оборуд. для хранения сельскохоз. прод.: Уч. / Под ред.Зимнякова В.М. -М.:НИЦ ИНФРА-М,2023-202 с.(ВО)(п)</t>
  </si>
  <si>
    <t>СООРУЖЕНИЯ И ОБОРУДОВАНИЕ ДЛЯ ХРАНЕНИЯ СЕЛЬСКОХОЗЯЙСТВЕННОЙ ПРОДУКЦИИ</t>
  </si>
  <si>
    <t>Зимняков В.М., Курочкин А.А., Милюткин В.А. и др.</t>
  </si>
  <si>
    <t>978-5-16-019352-6</t>
  </si>
  <si>
    <t>Рекомендовано Научно-методическим советом по сельскому хозяйству Федерального учебно-методического объединения по сельскому, лесному и рыбному хозяйству в системе высшего образования в качестве учебника для студентов, обучающихся по направлению подготовки 35.03.07 «Технология производства и переработки сельскохозяйственной продукции» (квалификация (степень) «бакалавр»)</t>
  </si>
  <si>
    <t>146300.12.01</t>
  </si>
  <si>
    <t>Сопротивление мат. с прим. реш.зад. в сист.Microsoft Excel: Уч.пос. / А.В.Коргин - М:ИНФРА-М,2024-389с(П)</t>
  </si>
  <si>
    <t>СОПРОТИВЛЕНИЕ МАТЕРИАЛОВ С ПРИМЕРАМИ РЕШЕНИЯ ЗАДАЧ В СИСТЕМЕ MICROSOFT EXCEL</t>
  </si>
  <si>
    <t>Коргин А.В.</t>
  </si>
  <si>
    <t>978-5-16-004840-6</t>
  </si>
  <si>
    <t>07.03.03, 08.03.01, 08.04.01, 15.03.05, 15.04.05, 23.03.02, 23.04.02</t>
  </si>
  <si>
    <t>Рекомендовано УМО по образованию в области строительства в качестве учебного пособия для студентов вузов, обучающихся по направлениям  270100 - "Строительство" и 190200 - "Транспортные машины и транспортно-технологические комплексы"</t>
  </si>
  <si>
    <t>128050.14.01</t>
  </si>
  <si>
    <t>Сопротивление матер. в пример. и задачах: Уч.пос. / Н.М.Атаров, - 2 изд.-М.:НИЦ ИНФРА-М,2024.-428с.(ВО)(п)</t>
  </si>
  <si>
    <t>СОПРОТИВЛЕНИЕ МАТЕРИАЛОВ В ПРИМЕРАХ И ЗАДАЧАХ, ИЗД.2</t>
  </si>
  <si>
    <t>Атаров Н.М.</t>
  </si>
  <si>
    <t>978-5-16-018387-9</t>
  </si>
  <si>
    <t>07.03.03, 08.03.01, 08.04.01</t>
  </si>
  <si>
    <t>Рекомендовано Учебно-методическим объединением вузов России по образованию в области строительства в качестве учебного пособия для студентов, обучающихся по направлению «Строительство»</t>
  </si>
  <si>
    <t>660981.04.01</t>
  </si>
  <si>
    <t>Сопротивление матер.Расчёты при сл..: Уч.пос./Под ред. Шатохиной Л.П.-М.:НИЦ ИНФРА-М,СФУ,2023-140(П)</t>
  </si>
  <si>
    <t>СОПРОТИВЛЕНИЕ МАТЕРИАЛОВ. РАСЧЁТЫ ПРИ СЛОЖНОМ СОПРОТИВЛЕНИИ</t>
  </si>
  <si>
    <t>Шатохина Л.П., Сигова Е.М., Белозёрова Я.Ю. и др.</t>
  </si>
  <si>
    <t>978-5-16-012961-7</t>
  </si>
  <si>
    <t>00.03.37</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</si>
  <si>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техническим направлениям и специальностям</t>
  </si>
  <si>
    <t>694096.03.01</t>
  </si>
  <si>
    <t>Сопротивление материалов авиац. конструкций: Уч. / П.И.Чумак - М.:НИЦ ИНФРА-М,2025. - 420 с.(ВО)(П)</t>
  </si>
  <si>
    <t>СОПРОТИВЛЕНИЕ МАТЕРИАЛОВ АВИАЦИОННЫХ КОНСТРУКЦИЙ</t>
  </si>
  <si>
    <t>Чумак П.И., Кононова О.П.</t>
  </si>
  <si>
    <t>978-5-16-016614-8</t>
  </si>
  <si>
    <t>25.03.01, 25.03.02, 25.03.03, 25.03.04, 25.04.01, 25.04.02, 25.04.03, 25.04.04, 25.05.01, 25.05.02, 25.05.03, 25.05.04, 25.05.05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</si>
  <si>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25.05.00 «Аэронавигация и эксплуатация авиационной и ракетно-космической техники» (квалификация «инженер») (протокол № 2 от 09.02.2022)</t>
  </si>
  <si>
    <t>128050.13.01</t>
  </si>
  <si>
    <t>Сопротивление материалов в примерах и задачах: Уч.пос. / Н.М.Атаров - М.:НИЦ ИНФРА-М,2023 - 407 с.(ВО)(П)</t>
  </si>
  <si>
    <t>СОПРОТИВЛЕНИЕ МАТЕРИАЛОВ В ПРИМЕРАХ И ЗАДАЧАХ</t>
  </si>
  <si>
    <t>978-5-16-003871-1</t>
  </si>
  <si>
    <t>Рекомендовано Учебно-методическим объединением вузов России по образованию в области строительства в качестве учебного пособия для студентов, обучающихся по направлению 08.03.01 «Строительство» (квалификация (степень) «бакалавр»)</t>
  </si>
  <si>
    <t>047300.16.01</t>
  </si>
  <si>
    <t>Сопротивление материалов с основами строит.мех.: Уч. / Г.С. Варданян - 2 изд. - М.:НИЦ ИНФРА-М,2025 - 416 с.(п)</t>
  </si>
  <si>
    <t>СОПРОТИВЛЕНИЕ МАТЕРИАЛОВ С ОСНОВАМИ СТРОИТЕЛЬНОЙ МЕХАНИКИ, ИЗД.2</t>
  </si>
  <si>
    <t>Варданян Г. С., Атаров Н. М., Горшков А. А., Варданян Г. С.</t>
  </si>
  <si>
    <t>978-5-16-010220-7</t>
  </si>
  <si>
    <t>07.03.03, 08.03.01, 54.03.04</t>
  </si>
  <si>
    <t>Допущено Министерством образования РФ в качестве учебника для студентов вузов, обуч. по напр. "Строительство"  и спец."Производство строит. материалов, изд. и конструкций",  "Теплогазоснабжение и вентилиция", "Водоснабжение и водоотведение"</t>
  </si>
  <si>
    <t>045477.12.01</t>
  </si>
  <si>
    <t>Сопротивление материалов с основами теории....: Уч. / В.И.Андреев - 2 изд. - М:ИНФРА-М,2023-512с.(ВО) (П)</t>
  </si>
  <si>
    <t>СОПРОТИВЛЕНИЕ МАТЕРИАЛОВ С ОСНОВАМИ ТЕОРИИ УПРУГОСТИ И ПЛАСТИЧНОСТИ, ИЗД.2</t>
  </si>
  <si>
    <t>Варданян Г. С., Андреев В. И., Горшков А. А., Варданян Г. С., Атаров Н. М.</t>
  </si>
  <si>
    <t>978-5-16-009587-5</t>
  </si>
  <si>
    <t>Рекомендовано ГОУ ВПО "Московский государственный строительный университет" в качестве учебника для студентов высших учебных заведений, обучающихся по направлению подготовки 270100 "Строительство" (рег. № рецензии 1100 от 09.11.10, МГУП)</t>
  </si>
  <si>
    <t>343400.04.01</t>
  </si>
  <si>
    <t>Сопротивление материалов..: Уч.пос. / Г.В.Пачурин и др. - М.:Форум, НИЦ ИНФРА-М,2023.-128с.(ВО)(о)</t>
  </si>
  <si>
    <t>СОПРОТИВЛЕНИЕ МАТЕРИАЛОВ. УСТАЛОСТЬ И ПОЛЗУЧЕСТЬ МАТЕРИАЛОВ ПРИ ВЫСОКИХ ТЕМПЕРАТУРАХ</t>
  </si>
  <si>
    <t>Пачурин Г.В., Шевченко С.М., Дубинский В.Н. и др.</t>
  </si>
  <si>
    <t>978-5-00091-053-5</t>
  </si>
  <si>
    <t>15.03.01, 15.03.03, 15.03.05, 15.04.01, 22.03.01, 22.04.01, 23.03.01, 23.03.02, 23.03.03</t>
  </si>
  <si>
    <t>Допущено УМО высших заведений РФ по образованию в области материаловедения, технологии материалов и покрытий в качестве учебного пособия для академических и прикладных бакалавров, магистрантов и специалистов, обучающихся по направлениям подготовки (у</t>
  </si>
  <si>
    <t>653220.05.01</t>
  </si>
  <si>
    <t>Сопротивление материалов..: Уч.пос. / С.Г.Сидорин - 2 изд.-М.:ИЦ РИОР, НИЦ ИНФРА-М,2023.-191 с.(ВО)(П)</t>
  </si>
  <si>
    <t>СОПРОТИВЛЕНИЕ МАТЕРИАЛОВ: ТЕОРИЯ, ТЕСТОВЫЕ ЗАДАНИЯ, ПРИМЕРЫ РЕШЕНИЯ, ИЗД.2</t>
  </si>
  <si>
    <t>Сидорин С.Г., Хайруллин Ф.С.</t>
  </si>
  <si>
    <t>978-5-369-01916-0</t>
  </si>
  <si>
    <t>245500.08.01</t>
  </si>
  <si>
    <t>Сопротивление материалов: Сб..: Уч.пос./ С.И.Евтушенко- 2изд.-М.:ИЦ РИОР, НИЦ ИНФРА-М,2023-344с.(ВО)(П)</t>
  </si>
  <si>
    <t>СОПРОТИВЛЕНИЕ МАТЕРИАЛОВ: СБОРНИК ЗАДАЧ С РЕШЕНИЯМИ, ИЗД.2</t>
  </si>
  <si>
    <t>Евтушенко С.И., Вильбицкая Н.А., Дукмасова Т.А.</t>
  </si>
  <si>
    <t>978-5-369-01659-6</t>
  </si>
  <si>
    <t>01.03.03, 01.04.03, 02.03.03, 03.03.03, 07.03.03, 15.03.03, 15.03.05, 16.03.03, 23.03.01, 23.03.02, 23.03.03, 24.03.01, 24.03.03, 24.03.04, 24.03.05, 35.03.02, 54.03.04</t>
  </si>
  <si>
    <t>653220.03.01</t>
  </si>
  <si>
    <t>Сопротивление материалов: теория, тестовые..: Уч.пос. /С.Г.Сидорин-М.:ИЦ РИОР, НИЦ ИНФРА-М,2020-184с(СПО)(П)</t>
  </si>
  <si>
    <t>СОПРОТИВЛЕНИЕ МАТЕРИАЛОВ: ТЕОРИЯ, ТЕСТОВЫЕ ЗАДАНИЯ, ПРИМЕРЫ РЕШЕНИЯ</t>
  </si>
  <si>
    <t>978-5-369-01694-7</t>
  </si>
  <si>
    <t>205500.07.01</t>
  </si>
  <si>
    <t>Сопротивление материалов: Уч. / В.А.Волосухин, - 5 изд. - М.:ИЦ РИОР, НИЦ ИНФРА-М, 2025 - 543 с.(ВО)(П)</t>
  </si>
  <si>
    <t>СОПРОТИВЛЕНИЕ МАТЕРИАЛОВ, ИЗД.5</t>
  </si>
  <si>
    <t>Волосухин В.А., Логвинов В.Б., Евтушенко С.И.</t>
  </si>
  <si>
    <t>978-5-369-01159-1</t>
  </si>
  <si>
    <t>05.03.06, 05.04.06, 20.03.02, 20.04.02</t>
  </si>
  <si>
    <t>Допущено Министерством сельского хозяйства Российской Федерации в качестве учебника для студентов высших учебных заведений, обучающихся по направлению 280100 «Природоустройство и водопользование»</t>
  </si>
  <si>
    <t>667728.06.01</t>
  </si>
  <si>
    <t>Сопротивление материалов: Уч.: В 2 ч.Ч.1 / А.Г.Схиртладзе и др. - М.:КУРС, НИЦ ИНФРА-М,2025 - 272 с.(П)</t>
  </si>
  <si>
    <t>СОПРОТИВЛЕНИЕ МАТЕРИАЛОВ, Т.1</t>
  </si>
  <si>
    <t>Схиртладзе А.Г., Чеканин А.В., Волков В.В.</t>
  </si>
  <si>
    <t>978-5-906923-65-3</t>
  </si>
  <si>
    <t>667729.04.01</t>
  </si>
  <si>
    <t>Сопротивление материалов: Уч.: В 2 ч.Ч.2 / А.Г.Схиртладзе и др. - М.:КУРС, НИЦ ИНФРА-М,2023-192с(П)</t>
  </si>
  <si>
    <t>СОПРОТИВЛЕНИЕ МАТЕРИАЛОВ, Т.2</t>
  </si>
  <si>
    <t>978-5-906923-67-7</t>
  </si>
  <si>
    <t>736719.04.01</t>
  </si>
  <si>
    <t>Сопротивление материалов: Уч.пос. / Е.В.Кондратова - М.:НИЦ ИНФРА-М,2024 - 185 с.(П)</t>
  </si>
  <si>
    <t>СОПРОТИВЛЕНИЕ МАТЕРИАЛОВ</t>
  </si>
  <si>
    <t>Кондратова Е.В.</t>
  </si>
  <si>
    <t>978-5-16-016340-6</t>
  </si>
  <si>
    <t>Рекомендовано экспертным советом ЧВВМУ имени П.С. Нахимова в качестве учебного пособия для курсантов и студентов ЧВВМУ</t>
  </si>
  <si>
    <t>443250.06.01</t>
  </si>
  <si>
    <t>Сопротивление материалов: Уч.пос./В.Б.Логвинов-4изд.-М.:ИЦ РИОР,НИЦ ИНФРА-М,2019-212с.(ВО:Бакалавр.)</t>
  </si>
  <si>
    <t>СОПРОТИВЛЕНИЕ МАТЕРИАЛОВ. ЛАБОРАТОРНЫЕ РАБОТЫ, ИЗД.4</t>
  </si>
  <si>
    <t>Логвинов В.Б., Волосухин В.А., Евтушенко С.И.</t>
  </si>
  <si>
    <t>978-5-369-01528-5</t>
  </si>
  <si>
    <t>07.03.03, 15.03.03, 15.03.05, 16.03.03, 23.03.01, 23.03.02, 23.03.03, 24.03.01, 24.03.03, 24.03.04, 24.03.05, 35.03.02, 54.03.04</t>
  </si>
  <si>
    <t>736687.02.01</t>
  </si>
  <si>
    <t>Сортиментная заготовка древесины: Уч.пос. / В.А.Азаренок-М.:НИЦ ИНФРА-М,2023.-140 с.(ВО)(П)</t>
  </si>
  <si>
    <t>СОРТИМЕНТНАЯ ЗАГОТОВКА ДРЕВЕСИНЫ</t>
  </si>
  <si>
    <t>Азаренок В.А., Герц Э.Ф., Мехренцев А.В. и др.</t>
  </si>
  <si>
    <t>978-5-16-018506-4</t>
  </si>
  <si>
    <t>Допущено УМО по образованию в области лесного дела в качестве учебного пособия для студентов высших учебных заведений, обучающихся по направлениям подготовки бакалавров и магистров 35.03.02, 35.04.02 «Технология лесозаготовительных и деревоперерабатывающих производств», 35.03.01, 35.04.01 «Лесное дело»</t>
  </si>
  <si>
    <t>775774.01.01</t>
  </si>
  <si>
    <t>Составление и использование бух. (финанс.) отчет.: Уч. / М.Н.Ермакова - М.:НИЦ ИНФРА-М,2025. - 302 с.(СПО)(п)</t>
  </si>
  <si>
    <t>СОСТАВЛЕНИЕ И ИСПОЛЬЗОВАНИЕ БУХГАЛТЕРСКОЙ (ФИНАНСОВОЙ) ОТЧЕТНОСТИ</t>
  </si>
  <si>
    <t>Ермакова М.Н.</t>
  </si>
  <si>
    <t>978-5-16-019367-0</t>
  </si>
  <si>
    <t>693972.03.01</t>
  </si>
  <si>
    <t>Состязательный гражданский процесс в прав. соц. гос.: Моногр. / М.А.Алиэскеров-М.:Юр.Норма, НИЦ ИНФРА-М,2022.-240 с.(П)</t>
  </si>
  <si>
    <t>СОСТЯЗАТЕЛЬНЫЙ ГРАЖДАНСКИЙ ПРОЦЕСС В ПРАВОВОМ СОЦИАЛЬНОМ ГОСУДАРСТВЕ</t>
  </si>
  <si>
    <t>Алиэскеров М.А.</t>
  </si>
  <si>
    <t>978-5-91768-971-5</t>
  </si>
  <si>
    <t>Калужский областной суд</t>
  </si>
  <si>
    <t>059400.13.01</t>
  </si>
  <si>
    <t>Социальная антропология: Уч. / В.И.Добреньков - М.:НИЦ ИНФРА-М,2023.-688 с.(ВО)(п)</t>
  </si>
  <si>
    <t>СОЦИАЛЬНАЯ АНТРОПОЛОГИЯ</t>
  </si>
  <si>
    <t>978-5-16-018612-2</t>
  </si>
  <si>
    <t>39.03.01, 39.04.01, 44.03.05, 46.03.01, 51.03.01</t>
  </si>
  <si>
    <t>Рекомендовано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специальности 020300 "Социология"</t>
  </si>
  <si>
    <t>171250.12.01</t>
  </si>
  <si>
    <t>Социальная геронтология: Уч.пос. / Г.Б.Хасанова - М.:НИЦ ИНФРА-М,2024. - 171 с. (ВО)</t>
  </si>
  <si>
    <t>СОЦИАЛЬНАЯ ГЕРОНТОЛОГИЯ</t>
  </si>
  <si>
    <t>Хасанова Г. Б.</t>
  </si>
  <si>
    <t>978-5-16-004950-2</t>
  </si>
  <si>
    <t>39.03.01, 39.03.02, 39.04.01, 39.04.02</t>
  </si>
  <si>
    <t>Допущено Министерством образования РФ в качестве учебного пособия для студентов высших учебных заведений, обучающихся по специальности "Социальная работа"</t>
  </si>
  <si>
    <t>389100.05.01</t>
  </si>
  <si>
    <t>Социальная информатика: Уч.пос. / Е.П.Агапов - М.:ИЦ РИОР, НИЦ ИНФРА-М,2022.-144 с.(ВО: Бакалавр.)(П)</t>
  </si>
  <si>
    <t>СОЦИАЛЬНАЯ ИНФОРМАТИКА</t>
  </si>
  <si>
    <t>978-5-369-01456-1</t>
  </si>
  <si>
    <t>439600.08.01</t>
  </si>
  <si>
    <t>Социальная педагогика: Уч. / М.А.Галагузова и др. - М.:НИЦ ИНФРА-М,2023 - 319 с.-(ВО: Бакалавриат)(П)</t>
  </si>
  <si>
    <t>СОЦИАЛЬНАЯ ПЕДАГОГИКА</t>
  </si>
  <si>
    <t>ГалагузоваМ.А., БеляеваМ.А., ГалагузоваЮ.Н. и др.</t>
  </si>
  <si>
    <t>978-5-16-011362-3</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</si>
  <si>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</si>
  <si>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661025.04.01</t>
  </si>
  <si>
    <t>Социальная педагогика: Уч.пос. / А.К.Лукина -М.:НИЦ ИНФРА-М, СФУ,2024-306с.(ВО(СФУ))(п)</t>
  </si>
  <si>
    <t>Лукина А.К.</t>
  </si>
  <si>
    <t>978-5-16-019446-2</t>
  </si>
  <si>
    <t>39.03.02, 44.03.03</t>
  </si>
  <si>
    <t>Допущено Учебно-методическим объединением по направлениям педагогического образования и науки РФ в качестве учебно-методического пособия для преподавателей и студентов педагогических вузов</t>
  </si>
  <si>
    <t>110500.14.01</t>
  </si>
  <si>
    <t>Социальная политика: Уч.пос. / Г.А.Ахинов. - М.: НИЦ ИНФРА-М, 2024. - 272 с. (ВО)(п)</t>
  </si>
  <si>
    <t>СОЦИАЛЬНАЯ ПОЛИТИКА</t>
  </si>
  <si>
    <t>Ахинов Г.А., Калашников С.В.</t>
  </si>
  <si>
    <t>978-5-16-019333-5</t>
  </si>
  <si>
    <t>38.03.01, 38.03.02, 38.03.03, 38.03.04, 38.04.01, 38.04.02, 38.04.03, 38.04.04, 38.04.08, 38.04.09, 44.03.05</t>
  </si>
  <si>
    <t>Рекомендовано УМО вузов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экономические специальности</t>
  </si>
  <si>
    <t>405900.05.01</t>
  </si>
  <si>
    <t>Социальная политика: Уч.пос. / Е.П.Тавокин - М.:НИЦ ИНФРА-М,2020 - 157 с.(ВО)(П)</t>
  </si>
  <si>
    <t>978-5-16-006151-1</t>
  </si>
  <si>
    <t>38.03.01, 38.03.02, 38.03.03, 38.03.04, 38.04.01, 38.04.02, 38.04.03, 38.04.04, 39.03.02, 39.04.02, 41.03.06, 44.03.05</t>
  </si>
  <si>
    <t>Рекомендуется студентам высших учебных заведений, обучающихся по направлениям «Экономика», «Менеджмент», «Управление персоналом», «Социология»</t>
  </si>
  <si>
    <t>405900.07.01</t>
  </si>
  <si>
    <t>Социальная политика: Уч.пос. / Е.П.Тавокин, - 2 изд.-М.:НИЦ ИНФРА-М,2024.-184 с.(ВО)(п)</t>
  </si>
  <si>
    <t>СОЦИАЛЬНАЯ ПОЛИТИКА, ИЗД.2</t>
  </si>
  <si>
    <t>978-5-16-019183-6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</si>
  <si>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39.03.01 «Социология» (квалификация (степень) «бакалавр») (протокол № 11 от 09.11.2020)</t>
  </si>
  <si>
    <t>374600.06.01</t>
  </si>
  <si>
    <t>Социальная психология в схемах и коммент.: Уч.пос. / В.Г.Крысько - 4 изд.- М.:НИЦ ИНФРА-М,2024-227 с.(П)</t>
  </si>
  <si>
    <t>СОЦИАЛЬНАЯ ПСИХОЛОГИЯ В СХЕМАХ И КОММЕНТАРИЯХ, ИЗД.4</t>
  </si>
  <si>
    <t>978-5-16-019718-0</t>
  </si>
  <si>
    <t>37.03.01, 37.03.02, 37.05.01, 37.05.02, 39.03.01, 39.03.02, 39.03.03, 42.03.01, 42.03.02, 44.03.01, 44.03.02, 44.03.03, 44.03.04, 44.03.05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</si>
  <si>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37.00.00 «Психологические науки», 38.00.00 «Экономика и управление», 39.00.00 «Социология и социальные науки» (квалификация (степень) «бакалавр») (протокол № 10 от 15.12.2021)</t>
  </si>
  <si>
    <t>632184.06.01</t>
  </si>
  <si>
    <t>Социальная психология детства: Уч. / В.В.Абраменкова - 2 изд. - М.:НИЦ ИНФРА-М,2023 - 511 с.(ВО)(П)</t>
  </si>
  <si>
    <t>СОЦИАЛЬНАЯ ПСИХОЛОГИЯ ДЕТСТВА, ИЗД.2</t>
  </si>
  <si>
    <t>Абраменкова В.В.</t>
  </si>
  <si>
    <t>978-5-16-012279-3</t>
  </si>
  <si>
    <t>37.03.01, 44.03.01, 44.03.02, 44.03.05</t>
  </si>
  <si>
    <t>Рекомендовано в качестве учебного пособия  для студентов высших учебных заведений, обучающихся по направлениям подготовки 37.03.01 «Психология», 44.03.01 «Педагогическое образование», 44.03.02 «Психолого-педагогическое образование» (квалификация (степень) «бакалавр»)</t>
  </si>
  <si>
    <t>285300.06.01</t>
  </si>
  <si>
    <t>Социальная психология обр.: Уч. пос. / Под. ред.О.Б.Крушельницкой.-М.:Вуз. уч.,НИЦ ИНФРА-М,2023-320с(П)</t>
  </si>
  <si>
    <t>СОЦИАЛЬНАЯ ПСИХОЛОГИЯ ОБРАЗОВАНИЯ</t>
  </si>
  <si>
    <t>Крушельницкая О.Б., Крушельницкая О.Б., Сачкова М.Е. и др.</t>
  </si>
  <si>
    <t>978-5-9558-0376-0</t>
  </si>
  <si>
    <t>37.03.01, 37.04.01, 39.03.01, 39.03.02, 39.04.01, 39.04.02, 44.03.01, 44.03.02, 44.03.05, 44.04.01, 44.04.02</t>
  </si>
  <si>
    <t>693433.04.01</t>
  </si>
  <si>
    <t>Социальная психология образования. Практикум: Уч.пос. / Под ред. Крушельницкой О.Б.-М.:НИЦ ИНФРА-М,2022.-262 с(П)</t>
  </si>
  <si>
    <t>СОЦИАЛЬНАЯ ПСИХОЛОГИЯ ОБРАЗОВАНИЯ. ПРАКТИКУМ</t>
  </si>
  <si>
    <t>Кожухарь Г.С., Кочетков Н.В., Красило Д.А. и др.</t>
  </si>
  <si>
    <t>978-5-16-015003-1</t>
  </si>
  <si>
    <t>37.03.01, 44.03.01, 44.03.02, 44.03.03, 44.03.04, 44.03.05, 44.04.02, 44.05.01</t>
  </si>
  <si>
    <t>Рекомендовано Ученым советом ФГБОУ ВО МГППУ в качестве учебного пособия для студентов бакалавриата, обучающихся по направлениям «Психология» и «Психолого-педагогическое образование»</t>
  </si>
  <si>
    <t>043364.18.01</t>
  </si>
  <si>
    <t>Социальная психология. Курс лекций: Уч.пос / В.Г.Крысько - 4 изд. - М.:Вуз.уч., НИЦ ИНФРА-М,2025 - 256 с.(П)</t>
  </si>
  <si>
    <t>СОЦИАЛЬНАЯ ПСИХОЛОГИЯ. КУРС ЛЕКЦИЙ, ИЗД.4</t>
  </si>
  <si>
    <t>978-5-9558-0382-1</t>
  </si>
  <si>
    <t>37.03.01, 37.03.02, 37.05.01, 37.05.02, 38.03.02, 38.03.03, 39.03.01, 39.03.02, 39.03.03, 42.03.01, 42.03.02, 44.03.01, 44.03.02, 44.03.03, 44.03.04, 44.03.05</t>
  </si>
  <si>
    <t>Допущено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031000 - Педагогика и психология</t>
  </si>
  <si>
    <t>049850.20.01</t>
  </si>
  <si>
    <t>Социальная психология: Уч. / В.А.Соснин - 3 изд. - М.:Форум, ИНФРА-М Изд. Дом,2025 - 335 с.(СПО)(П)</t>
  </si>
  <si>
    <t>СОЦИАЛЬНАЯ ПСИХОЛОГИЯ, ИЗД.3</t>
  </si>
  <si>
    <t>Соснин В.А., Красникова Е.А.</t>
  </si>
  <si>
    <t>978-5-00091-492-2</t>
  </si>
  <si>
    <t>00.01.04, 00.02.15, 34.02.01, 39.02.01, 39.02.02, 39.02.03, 43.02.17, 44.02.06, 51.02.02, 51.02.03, 54.02.01, 49.02.03</t>
  </si>
  <si>
    <t>381400.06.01</t>
  </si>
  <si>
    <t>Социальная психология: Уч. / Ю.П.Платонов - М.:НИЦ ИНФРА-М,2023 - 336с.(ВО:Бакалавр.)(П)</t>
  </si>
  <si>
    <t>СОЦИАЛЬНАЯ ПСИХОЛОГИЯ</t>
  </si>
  <si>
    <t>ПлатоновЮ.П.</t>
  </si>
  <si>
    <t>978-5-16-011147-6</t>
  </si>
  <si>
    <t>37.03.01, 44.03.01, 44.03.05</t>
  </si>
  <si>
    <t>Санкт-Петербургский государственный институт психологии и социальной работы</t>
  </si>
  <si>
    <t>074200.11.01</t>
  </si>
  <si>
    <t>Социальная психология: Уч. пос. / А.Л.Журавлев, В.А.Соснин - 2 изд.- М.: Форум, 2020-496с.(ВО) (п)</t>
  </si>
  <si>
    <t>СОЦИАЛЬНАЯ ПСИХОЛОГИЯ, ИЗД.2</t>
  </si>
  <si>
    <t>Журавлев А. Л., Соснин В. А., Красников М. А.</t>
  </si>
  <si>
    <t>978-5-91134-494-8</t>
  </si>
  <si>
    <t>Рекомендовано Советом по психологии УМО по классическому университетскому образованию в качестве учебного пособия для студентов вузов, обучающихся по направлению и специальностям "Психология"</t>
  </si>
  <si>
    <t>095240.20.01</t>
  </si>
  <si>
    <t>Социальная психология: Уч.пос. / Н.С.Ефимова - М.:ИД ФОРУМ, НИЦ ИНФРА-М,2025 - 192 с.(СПО)(П)</t>
  </si>
  <si>
    <t>978-5-8199-0723-8</t>
  </si>
  <si>
    <t>44.02.01, 44.02.02, 44.02.06, 52.02.01, 52.02.02, 52.02.05</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</si>
  <si>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</si>
  <si>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074200.13.01</t>
  </si>
  <si>
    <t>Социальная психология: Уч.пос. / Под ред. Журавлева А.Л., - 3 изд. - М.:НИЦ ИНФРА-М,2025. - 544 с.(ВО)(п)</t>
  </si>
  <si>
    <t>Грачев А.А., Емельянова Т.П., Журавлев А.Л. и др.</t>
  </si>
  <si>
    <t>978-5-16-016375-8</t>
  </si>
  <si>
    <t>Рекомендовано Советом по психологии УМО по классическому университетскому образованию в качестве учебного пособия для студентов высших учебных заведений, обучающихся по направлению и специальностям психологии</t>
  </si>
  <si>
    <t>327800.05.01</t>
  </si>
  <si>
    <t>Социальная раб. и подготовка соц. раб. за рубежом: Уч.пос. / В.А.Фокин-М.:Форум, НИЦ ИНФРА-М,2024.-272 с.(О)</t>
  </si>
  <si>
    <t>СОЦИАЛЬНАЯ РАБОТА И ПОДГОТОВКА СОЦИАЛЬНЫХ РАБОТНИКОВ ЗА РУБЕЖОМ</t>
  </si>
  <si>
    <t>Фокин В.А.</t>
  </si>
  <si>
    <t>978-5-00091-019-1</t>
  </si>
  <si>
    <t>Допущено УМО по образованию в области социальной работы в качестве дополнительного учебного пособия для студентов высших учебных заведений, обучающихся по направлению подготовки 39.03.02 «Социальная работа» (бакалавриат)</t>
  </si>
  <si>
    <t>684802.11.01</t>
  </si>
  <si>
    <t>Социальная работа с лицами с огран.. возм. здоровья: Уч.пос. / Е.Н.Приступа - М.:НИЦ ИНФРА-М,2025. - 159 с (П)</t>
  </si>
  <si>
    <t>СОЦИАЛЬНАЯ РАБОТА С ЛИЦАМИ С ОГРАНИЧЕННЫМИ ВОЗМОЖНОСТЯМИ ЗДОРОВЬЯ</t>
  </si>
  <si>
    <t>978-5-16-016386-4</t>
  </si>
  <si>
    <t>Рекомендовано в качестве учебного пособия для студентов учебных заведений, реализующих программу среднего профессионального образования по специальности 39.02.01 «Социальная работа»</t>
  </si>
  <si>
    <t>314100.11.01</t>
  </si>
  <si>
    <t>Социальная работа с лицами с огранич. возмож. здор.: Уч.пос. / Е.Н.Приступа- 2 изд.-М.:НИЦ ИНФРА-М,2024-191с.(ВО)(о)</t>
  </si>
  <si>
    <t>СОЦИАЛЬНАЯ РАБОТА С ЛИЦАМИ С ОГРАНИЧЕННЫМИ ВОЗМОЖНОСТЯМИ ЗДОРОВЬЯ, ИЗД.2</t>
  </si>
  <si>
    <t>978-5-16-019575-9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</si>
  <si>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2 от 17.02.2021)</t>
  </si>
  <si>
    <t>314100.07.01</t>
  </si>
  <si>
    <t>Социальная работа с лицами с огранич. возмож. здор.: Уч.пос. / Е.Н.Приступа-М.:НИЦ ИНФРА-М,2020-159 с.(ВО)(П)</t>
  </si>
  <si>
    <t>978-5-16-015567-8</t>
  </si>
  <si>
    <t>Рекомендовано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t>
  </si>
  <si>
    <t>085450.11.01</t>
  </si>
  <si>
    <t>Социальная работа с мигрантами и..: Уч пос. / Акмалова А.А. и др.-М.:НИЦ ИНФРА-М,2024-220-(ВО)</t>
  </si>
  <si>
    <t>СОЦИАЛЬНАЯ РАБОТА С МИГРАНТАМИ И БЕЖЕНЦАМИ, ИЗД.2</t>
  </si>
  <si>
    <t>Акмалова А. А., Капицын В. М.</t>
  </si>
  <si>
    <t>978-5-16-009919-4</t>
  </si>
  <si>
    <t>Рекомендовано Учебно-методическим объединением вузов России по образованию в области социальной работы Мин. обр. и науки РФ в качестве учебного пособия для студентов, обучающихся по направлению и специальности "Социальная работа"</t>
  </si>
  <si>
    <t>175200.12.01</t>
  </si>
  <si>
    <t>Социальная реабилитация: Уч. / Под ред. Валеевой Н.Ш. - М.:НИЦ ИНФРА-М,2024 - 320 с.(ВО: Бакалавр.)(П)</t>
  </si>
  <si>
    <t>СОЦИАЛЬНАЯ РЕАБИЛИТАЦИЯ</t>
  </si>
  <si>
    <t>Берецкая Е.А., Валеева Н.Ш., Валеева Э.Р. и др.</t>
  </si>
  <si>
    <t>978-5-16-005151-2</t>
  </si>
  <si>
    <t>Рекомендовано ФГОУ ВПО "Российским гос. универ. туризма и сервиса"  к использов. в образов. учрежд., реализ. обр. программы высшего проф. образов. по дисц. "Социальная реабилитология" по напр. подготовки "Социальная работа" и спец. "Социальная работ"</t>
  </si>
  <si>
    <t>159250.09.01</t>
  </si>
  <si>
    <t>Социальная реклама: Уч.пос. / Б.Р.Мандель - М.:Вуз. уч.,ИНФРА-М,2025 - 302 с.(п)</t>
  </si>
  <si>
    <t>СОЦИАЛЬНАЯ РЕКЛАМА</t>
  </si>
  <si>
    <t>978-5-9558-0177-3</t>
  </si>
  <si>
    <t>38.03.06, 38.04.06, 39.03.01, 39.03.02, 39.04.01, 39.04.02, 41.03.06, 42.03.01</t>
  </si>
  <si>
    <t>Допущено Уебно-методическим объединением вузов России по образованию в области коммерции в качестве учебного пособия для студентов высших учебных заведений, обучающихся по специальности 03401 "Реклама"</t>
  </si>
  <si>
    <t>667047.04.01</t>
  </si>
  <si>
    <t>Социальная философия и философия истории: Уч.пос./ Под ред. Момджян К.Х.-М.:НИЦ ИНФРА-М,2024-478с(П)</t>
  </si>
  <si>
    <t>СОЦИАЛЬНАЯ ФИЛОСОФИЯ И ФИЛОСОФИЯ ИСТОРИИ</t>
  </si>
  <si>
    <t>Антоновский А.Ю., Бойцова О.Ю., Брызгалина Е.В. и др.</t>
  </si>
  <si>
    <t>978-5-16-013641-7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</si>
  <si>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47.04.01 «Философия» (протокол № 11 от 10.06.2019)</t>
  </si>
  <si>
    <t>703678.03.01</t>
  </si>
  <si>
    <t>Социальная экология: Уч. / В.В.Стрельников-М.:НИЦ ИНФРА-М,2023.-214 с.(ВО: Бакалавр.)(П)</t>
  </si>
  <si>
    <t>СОЦИАЛЬНАЯ ЭКОЛОГИЯ</t>
  </si>
  <si>
    <t>Стрельников В.В., Францева Т.П.</t>
  </si>
  <si>
    <t>978-5-16-015184-7</t>
  </si>
  <si>
    <t>05.03.06, 39.03.02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</si>
  <si>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05.03.06 «Экология и природопользование» (квалификация (степень) «бакалавр») (протокол № 11 от 26.10.2020)</t>
  </si>
  <si>
    <t>778243.01.01</t>
  </si>
  <si>
    <t>Социальная экология: Уч. / Л.О.Терновая - М.:НИЦ ИНФРА-М,2025. - 280 с.(ВО)(п)</t>
  </si>
  <si>
    <t>978-5-16-017714-4</t>
  </si>
  <si>
    <t>213200.05.01</t>
  </si>
  <si>
    <t>Социальное партнер. и соц. защ. работ.: Уч.пос. / Л.С.Морозова - М:Альфа-М:ИНФРА-М,2022-272с.(Бакалавр.) (п)</t>
  </si>
  <si>
    <t>СОЦИАЛЬНОЕ ПАРТНЕРСТВО И СОЦИАЛЬНАЯ ЗАЩИТА РАБОТНИКОВ</t>
  </si>
  <si>
    <t>Морозова Л. С., Мурашова Ю. В., Панова А. Г., Хаванова Н. В., Шестакова С. В.</t>
  </si>
  <si>
    <t>978-5-98281-351-0</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</si>
  <si>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080400.62 «Управление персоналом» (квалификация (степень)</t>
  </si>
  <si>
    <t>185850.12.01</t>
  </si>
  <si>
    <t>Социальное прогнозир. и проектир.: Уч.пос. / Р.В.Леньков, - 3 изд. - М:НИЦ ИНФРА-М,2025 - 189 с.(ВО)(О)</t>
  </si>
  <si>
    <t>СОЦИАЛЬНОЕ ПРОГНОЗИРОВАНИЕ И ПРОЕКТИРОВАНИЕ, ИЗД.3</t>
  </si>
  <si>
    <t>Леньков Р.В.</t>
  </si>
  <si>
    <t>978-5-16-015828-0</t>
  </si>
  <si>
    <t>38.03.02, 38.03.03, 38.03.04, 39.03.01, 39.03.02, 39.03.03, 42.03.01, 42.03.02, 42.03.05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</si>
  <si>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3 от 17.02.2020)</t>
  </si>
  <si>
    <t>185850.05.01</t>
  </si>
  <si>
    <t>Социальное прогнозир. и проектир.: Уч.пос. /Р.В.Леньков,-2изд. -М:Форум,НИЦ ИНФРА-М,2019-192с(ВО)(О)</t>
  </si>
  <si>
    <t>СОЦИАЛЬНОЕ ПРОГНОЗИРОВАНИЕ И ПРОЕКТИРОВАНИЕ, ИЗД.2</t>
  </si>
  <si>
    <t>Леньков Р. В.</t>
  </si>
  <si>
    <t>978-5-91134-877-9</t>
  </si>
  <si>
    <t>Рекомендовано ФГВОУ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040100 «Социология»</t>
  </si>
  <si>
    <t>238300.07.01</t>
  </si>
  <si>
    <t>Социальное проектир. в социальной работе: Уч.пос. / А.В.Морозов - М.:НИЦ ИНФРА-М,2025 - 208 с.(ВО)(п)</t>
  </si>
  <si>
    <t>СОЦИАЛЬНОЕ ПРОЕКТИРОВАНИЕ В СОЦИАЛЬНОЙ РАБОТЕ</t>
  </si>
  <si>
    <t>Морозов А. В.</t>
  </si>
  <si>
    <t>978-5-16-018729-7</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</si>
  <si>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(040400) "Социальная работа" (квалификация (степень) «бакалавр")</t>
  </si>
  <si>
    <t>706234.04.01</t>
  </si>
  <si>
    <t>Социальное управ. процес. конвергенции в совр. медиасфере / О.И.Молчанова - М.:НИЦ ИНФРА-М,2024-241с(О)</t>
  </si>
  <si>
    <t>СОЦИАЛЬНОЕ УПРАВЛЕНИЕ ПРОЦЕССАМИ КОНВЕРГЕНЦИИ В СОВРЕМЕННОЙ МЕДИАСФЕРЕ</t>
  </si>
  <si>
    <t>Молчанова О.И.</t>
  </si>
  <si>
    <t>978-5-16-015086-4</t>
  </si>
  <si>
    <t>38.04.02, 38.04.04, 39.04.01, 41.03.06, 42.04.01, 42.04.02, 42.04.04, 42.04.05</t>
  </si>
  <si>
    <t>633961.07.01</t>
  </si>
  <si>
    <t>Социально-трудовые отношения: Уч.пос. / Н.М.Воловская, - 3 изд.-М.:НИЦ ИНФРА-М,2023.-185 с..-(ВО)(О)</t>
  </si>
  <si>
    <t>СОЦИАЛЬНО-ТРУДОВЫЕ ОТНОШЕНИЯ, ИЗД.3</t>
  </si>
  <si>
    <t>Воловская Н.М.</t>
  </si>
  <si>
    <t>978-5-16-012090-4</t>
  </si>
  <si>
    <t>38.03.01, 38.03.03, 38.03.04, 38.04.03, 38.04.04, 39.03.01, 39.04.01, 41.03.06, 42.03.01, 42.04.01</t>
  </si>
  <si>
    <t>Для студентов очной и заочной форм обучения по направлениям подготовки 39.03.01 «Социология», 38.03.03 «Управление персоналом», 42.03.01 «Реклама и связи с общественностью», 38.03.04 «Государственное и муниципальное управление» (квалификация (степень) «бакалавр»)</t>
  </si>
  <si>
    <t>785547.01.01</t>
  </si>
  <si>
    <t>Социально-философские теории в немецком идеализме: Уч.пос. / П.А.Горохов - М.:НИЦ ИНФРА-М,2025. - 219 с.(ВО)(п)</t>
  </si>
  <si>
    <t>СОЦИАЛЬНО-ФИЛОСОФСКИЕ ТЕОРИИ В НЕМЕЦКОМ ИДЕАЛИЗМЕ</t>
  </si>
  <si>
    <t>Горохов П.А.</t>
  </si>
  <si>
    <t>978-5-16-018714-3</t>
  </si>
  <si>
    <t>00.03.11, 39.03.01, 46.04.01, 47.03.01, 47.06.01</t>
  </si>
  <si>
    <t>Российская академия народного хозяйства и государственной службы при Президенте РФ, Оренбургский ф-л</t>
  </si>
  <si>
    <t>292900.05.01</t>
  </si>
  <si>
    <t>Социально-эконом. история России: Уч.пос. / Под ред. Худокормова А.Г. - 2 изд. - М.:НИЦ ИНФРА-М,2023 - 600 с.(п)</t>
  </si>
  <si>
    <t>СОЦИАЛЬНО-ЭКОНОМИЧЕСКАЯ ИСТОРИЯ РОССИИ, ИЗД.2</t>
  </si>
  <si>
    <t>Худокормов А.Г., Розинская Н.А., Слудковская М.А. и др.</t>
  </si>
  <si>
    <t>978-5-16-010070-8</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</si>
  <si>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t>
  </si>
  <si>
    <t>718599.02.01</t>
  </si>
  <si>
    <t>Социально-экономическая история Франции: Уч. / А.Г.Худокормов - М.:НИЦ ИНФРА-М,2022 - 286 с.(ВО: Бак.)(П)</t>
  </si>
  <si>
    <t>СОЦИАЛЬНО-ЭКОНОМИЧЕСКАЯ ИСТОРИЯ ФРАНЦИИ</t>
  </si>
  <si>
    <t>Худокормов А.Г.</t>
  </si>
  <si>
    <t>978-5-16-015769-6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</si>
  <si>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«Экономика» (квалификация (степень) «бакалавр») (протокол № 15 от 14.10.2019)</t>
  </si>
  <si>
    <t>087700.18.01</t>
  </si>
  <si>
    <t>Социально-экономическая статистика: Уч.пос. / Я.С.Мелкумов - 2 изд. - М.:НИЦ ИНФРА-М,2025 - 186 с.(ВО)</t>
  </si>
  <si>
    <t>СОЦИАЛЬНО-ЭКОНОМИЧЕСКАЯ СТАТИСТИКА, ИЗД.2</t>
  </si>
  <si>
    <t>978-5-16-005424-7</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</si>
  <si>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</si>
  <si>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641915.03.01</t>
  </si>
  <si>
    <t>Социальные конфликты современности: Уч. / М.Ю.Зеленков - М.:НИЦ ИНФРА-М,2023 - 233 с.(ВО: Бакалавр.)(П)</t>
  </si>
  <si>
    <t>СОЦИАЛЬНЫЕ КОНФЛИКТЫ СОВРЕМЕННОСТИ</t>
  </si>
  <si>
    <t>978-5-16-016257-7</t>
  </si>
  <si>
    <t>37.04.02, 38.03.03, 38.03.04, 39.03.01, 39.03.02, 39.03.03, 40.03.01, 41.03.01, 41.03.02, 41.03.03, 41.03.04, 41.03.05, 41.03.06, 42.03.02, 43.03.01, 43.03.02, 43.03.03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</si>
  <si>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направлений  «Науки об обществе» (квалификация (степень) «бакалавр») (протокол № 8 от 22.06.2020)</t>
  </si>
  <si>
    <t>087200.06.01</t>
  </si>
  <si>
    <t>Социальные основания права: Монография / Г.В.Мальцев - М.: Юр.Норма, ИНФРА-М, 2017.-800 с.(П)</t>
  </si>
  <si>
    <t>СОЦИАЛЬНЫЕ ОСНОВАНИЯ ПРАВА</t>
  </si>
  <si>
    <t>978-5-91768-175-7</t>
  </si>
  <si>
    <t>39.03.01, 40.03.01, 40.04.01, 40.05.01, 40.05.02, 40.05.03, 44.03.05</t>
  </si>
  <si>
    <t>837239.01.01</t>
  </si>
  <si>
    <t>Социальные практики взросления ребенка: Уч. пос. / А.К.Лукина - М.:НИЦ ИНФРА-М, СФУ,2025. - 208 с.(ВО (СФУ))(п)</t>
  </si>
  <si>
    <t>СОЦИАЛЬНЫЕ ПРАКТИКИ ВЗРОСЛЕНИЯ РЕБЕНКА</t>
  </si>
  <si>
    <t>978-5-16-020282-2</t>
  </si>
  <si>
    <t>39.03.01, 39.03.03, 39.04.03</t>
  </si>
  <si>
    <t>641155.06.01</t>
  </si>
  <si>
    <t>Социокультурная антропология: Уч. / А.И.Кравченко - М.:НИЦ ИНФРА-М,2025 - 333 с.(ВО: Бакалавриат)(П)</t>
  </si>
  <si>
    <t>СОЦИОКУЛЬТУРНАЯ АНТРОПОЛОГИЯ</t>
  </si>
  <si>
    <t>Кравченко А.И.</t>
  </si>
  <si>
    <t>978-5-16-012944-0</t>
  </si>
  <si>
    <t>44.03.05, 46.03.01, 50.03.01, 51.03.01</t>
  </si>
  <si>
    <t>Рекомендовано ученым советом социологического факультета Московского государственного университета им. М.В. Ломоносова в качестве учебника для студентов гуманитарных направлений и специальностей</t>
  </si>
  <si>
    <t>786076.02.01</t>
  </si>
  <si>
    <t>Социолингвистика: хрестоматия: Уч.пос. / Т.М.Надеина - М.:Юр. НОРМА, НИЦ ИНФРА-М,2025. - 488 с.(П)</t>
  </si>
  <si>
    <t>СОЦИОЛИНГВИСТИКА: ХРЕСТОМАТИЯ</t>
  </si>
  <si>
    <t>978-5-00156-260-3</t>
  </si>
  <si>
    <t>40.05.03, 45.04.01, 45.04.03</t>
  </si>
  <si>
    <t>352800.08.01</t>
  </si>
  <si>
    <t>Социологические и психол.мет.исслед.в соц.работе: Уч.пос. / С.С.Новикова - М.:НИЦ ИНФРА-М,2025 - 496 с.(П)</t>
  </si>
  <si>
    <t>СОЦИОЛОГИЧЕСКИЕ И ПСИХОЛОГИЧЕСКИЕ МЕТОДЫ ИССЛЕДОВАНИЙ В СОЦИАЛЬНОЙ РАБОТЕ</t>
  </si>
  <si>
    <t>978-5-16-010885-8</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</si>
  <si>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«Социальная работа»</t>
  </si>
  <si>
    <t>636226.04.01</t>
  </si>
  <si>
    <t>Социология безопасности: Уч. / Под ред. Волков Ю.Г.-М.:ИЦ РИОР, НИЦ ИНФРА-М,2023.-264 с..-(П)</t>
  </si>
  <si>
    <t>СОЦИОЛОГИЯ БЕЗОПАСНОСТИ</t>
  </si>
  <si>
    <t>Верещагина А.В., Самыгин С.И., Гафиатулина Н.Х. и др.</t>
  </si>
  <si>
    <t>978-5-369-01582-7</t>
  </si>
  <si>
    <t>39.03.02, 39.03.03, 39.04.01, 39.04.02, 39.04.03</t>
  </si>
  <si>
    <t>Рекомендовано Российской социологической ассоциацией в качестве учебника для студентов высших учебных заведений, обучающихся по направлению «Социология»</t>
  </si>
  <si>
    <t>747746.05.01</t>
  </si>
  <si>
    <t>Социология для юристов: Уч. / О.Ю.Рыбаков и др. - М.:Юр.Норма, НИЦ ИНФРА-М,2025. - 400 с.(П)</t>
  </si>
  <si>
    <t>СОЦИОЛОГИЯ ДЛЯ ЮРИСТОВ</t>
  </si>
  <si>
    <t>Рыбаков О.Ю., Беляев М.А., Гунибский М.Ш. и др.</t>
  </si>
  <si>
    <t>978-5-00156-138-5</t>
  </si>
  <si>
    <t>333800.05.01</t>
  </si>
  <si>
    <t>Социология истории: Уч.пос. / В.В.Афанасьев - М.:НИЦ ИНФРА-М,2024 - 237 с.(ВО)(п)</t>
  </si>
  <si>
    <t>СОЦИОЛОГИЯ ИСТОРИИ</t>
  </si>
  <si>
    <t>978-5-16-019280-2</t>
  </si>
  <si>
    <t>39.03.01, 44.03.01, 44.03.05, 46.03.01, 46.04.01</t>
  </si>
  <si>
    <t>439250.05.01</t>
  </si>
  <si>
    <t>Социология коммуникации: Уч. пос. / А.С. Чамкин. - М.: НИЦ ИНФРА-М, 2023. - 295 с.(ВО: Бакалавр.) (п)</t>
  </si>
  <si>
    <t>СОЦИОЛОГИЯ КОММУНИКАЦИИ</t>
  </si>
  <si>
    <t>978-5-16-005544-2</t>
  </si>
  <si>
    <t>38.03.01, 38.03.02, 38.03.03, 38.04.01, 38.04.02, 38.04.03, 41.03.05, 41.03.06, 41.04.04, 41.04.05, 42.03.01, 42.03.02, 42.04.01, 42.04.02, 46.04.02</t>
  </si>
  <si>
    <t>117450.10.01</t>
  </si>
  <si>
    <t>Социология массовой коммуникации: Уч. /В.И.Гостенина- 2изд.-М:Альфа-М:НИЦ ИНФРА-М,2024-336с(Бакалавр.) (П)</t>
  </si>
  <si>
    <t>СОЦИОЛОГИЯ МАССОВОЙ КОММУНИКАЦИИ, ИЗД.2</t>
  </si>
  <si>
    <t>Гостенина В. И., Киселев А. Г.</t>
  </si>
  <si>
    <t>978-5-98281-338-1</t>
  </si>
  <si>
    <t>41.03.06, 42.03.01, 42.03.02, 42.03.04, 42.03.05</t>
  </si>
  <si>
    <t>Брянский государственный университет им. академика И.Г. Петровского</t>
  </si>
  <si>
    <t>655200.10.01</t>
  </si>
  <si>
    <t>Социология молодежи: Уч. / К.В.Воденко - М.:ИЦ РИОР,НИЦ ИНФРА-М,2025 - 189 с.(ВО: Бакалавр.)(О)</t>
  </si>
  <si>
    <t>СОЦИОЛОГИЯ МОЛОДЕЖИ</t>
  </si>
  <si>
    <t>Воденко К.В.</t>
  </si>
  <si>
    <t>978-5-369-01939-9</t>
  </si>
  <si>
    <t>418100.07.01</t>
  </si>
  <si>
    <t>Социология морали: Уч. / Т.Ю.Кирилина. - М.: НИЦ ИНФРА-М, 2024. - 190 с.(ВО: Бакалавр.)(о)</t>
  </si>
  <si>
    <t>СОЦИОЛОГИЯ МОРАЛИ</t>
  </si>
  <si>
    <t>Кирилина Т. Ю.</t>
  </si>
  <si>
    <t>978-5-16-006257-0</t>
  </si>
  <si>
    <t>39.03.01, 39.04.01, 47.03.02</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</si>
  <si>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в бакалавриате по направлению «Социология»</t>
  </si>
  <si>
    <t>632255.05.01</t>
  </si>
  <si>
    <t>Социология образования: Уч. / Е.В.Тихонова - М.:НИЦ ИНФРА-М,2024.-231 с..-(ВО)(п)</t>
  </si>
  <si>
    <t>СОЦИОЛОГИЯ ОБРАЗОВАНИЯ</t>
  </si>
  <si>
    <t>Тихонова Е.В., Мишина Г.Н.</t>
  </si>
  <si>
    <t>978-5-16-018948-2</t>
  </si>
  <si>
    <t>39.03.01, 39.03.03, 39.04.01, 39.04.03, 44.03.01, 44.03.02, 44.03.03, 44.03.04, 44.03.05, 44.04.01, 44.04.02, 44.04.03, 44.04.04</t>
  </si>
  <si>
    <t>Рекомендовано в качестве учебника для студентов высших учебных заведений, обучающихся по направлениям подготовки 39.03.01 «Социология», 44.03.01 «Педагогическое образование» (квалификация (степень) «бакалавр»)</t>
  </si>
  <si>
    <t>632256.05.01</t>
  </si>
  <si>
    <t>Социология общественного мнения: Уч. / Е.В.Тихонова - М.:НИЦ ИНФРА-М,2023-274с.-(ВО)(п)</t>
  </si>
  <si>
    <t>СОЦИОЛОГИЯ ОБЩЕСТВЕННОГО МНЕНИЯ</t>
  </si>
  <si>
    <t>Тихонова Е.В., Бунов Е.Г.</t>
  </si>
  <si>
    <t>978-5-16-018586-6</t>
  </si>
  <si>
    <t>38.03.04, 39.03.01, 39.04.01, 41.03.04, 41.03.06</t>
  </si>
  <si>
    <t>Рекомендовано в качестве учебника для студентов высших учебных заведений, обучающихся по направлениям подготовки 39.03.01 «Социология», 42.03.01 «Реклама и связи с общественностью» (квалификация (степень) «бакалавр»)</t>
  </si>
  <si>
    <t>293400.07.01</t>
  </si>
  <si>
    <t>Социология общественного мнения: Уч. пос. / Г.И.Козырев - М.: ИД ФОРУМ:  НИЦ ИНФРА-М, 2022-224с.(ВО)</t>
  </si>
  <si>
    <t>978-5-8199-0607-1</t>
  </si>
  <si>
    <t>634156.07.01</t>
  </si>
  <si>
    <t>Социология общественного мнения: Уч.пос. / Г.И.Козырев-М.:ИД Форум, НИЦ ИНФРА-М,2023.-254 с.(ВО)(П)</t>
  </si>
  <si>
    <t>СОЦИОЛОГИЯ ОБЩЕСТВЕННОГО МНЕНИЯ: ОБРАЗ ВРАГА В ИСТОРИИ, ТЕОРИИ И ОБЩЕСТВЕННОМ СОЗНАНИИ</t>
  </si>
  <si>
    <t>978-5-8199-0918-8</t>
  </si>
  <si>
    <t>39.03.02, 39.03.03, 39.04.01, 39.04.03, 44.03.01, 44.03.05</t>
  </si>
  <si>
    <t>Рекомендовано учебно-методическими комиссиями кафедры социологии РХТУ им. Д.И. Менделеева и кафедры политической социологии РГГУ в качестве учебного пособия для студентов высших учебных заведений, обучающихся по специальности 39.03.01 и 39.04.01 «Социология» (бакалавриат, магистратура)</t>
  </si>
  <si>
    <t>025770.10.01</t>
  </si>
  <si>
    <t>Социология права: Уч.пос. / В.В.Лапаева, - 2 изд. - М.:НОРМА, НИЦ ИНФРА-М,2025. - 336 с.(О)</t>
  </si>
  <si>
    <t>СОЦИОЛОГИЯ ПРАВА, ИЗД.2</t>
  </si>
  <si>
    <t>Лапаева В. В.</t>
  </si>
  <si>
    <t>978-5-91768-519-9</t>
  </si>
  <si>
    <t>39.03.01, 40.03.01, 40.04.01, 40.05.01, 40.05.02, 40.05.03, 40.05.04</t>
  </si>
  <si>
    <t>172600.07.01</t>
  </si>
  <si>
    <t>Социология рекламной деятельности: Уч. / А.Б.Оришев - М:ИЦ РИОР:НИЦ Инфра-М,2025 - 235 с.(ВО:Бакалавр.) (п)</t>
  </si>
  <si>
    <t>СОЦИОЛОГИЯ РЕКЛАМНОЙ ДЕЯТЕЛЬНОСТИ</t>
  </si>
  <si>
    <t>978-5-369-01064-8</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</si>
  <si>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высших учебных заведений, обучающихся по специальностям 032401 - Реклама, 080111 - Маркетинг и по нап</t>
  </si>
  <si>
    <t>135950.09.01</t>
  </si>
  <si>
    <t>Социология рекламы в социал.-культ. сервисе и туризме: Уч.пос. / О.С.Бухтерева - ИНФРА-М, 2025 - 128 с.(ВО) (о)</t>
  </si>
  <si>
    <t>СОЦИОЛОГИЯ РЕКЛАМЫ В СОЦИАЛЬНО-КУЛЬТУРНОМ СЕРВИСЕ И ТУРИЗМЕ</t>
  </si>
  <si>
    <t>Бухтерева О. С.</t>
  </si>
  <si>
    <t>978-5-16-004409-5</t>
  </si>
  <si>
    <t>42.03.01, 43.03.03, 43.04.03</t>
  </si>
  <si>
    <t>059010.13.01</t>
  </si>
  <si>
    <t>Социология религии: Уч.пос. / В.И.Гараджа - 4 изд. - М.:НИЦ ИНФРА-М,2024 - 304 с.(П)</t>
  </si>
  <si>
    <t>СОЦИОЛОГИЯ РЕЛИГИИ, ИЗД.4</t>
  </si>
  <si>
    <t>Гараджа В.И.</t>
  </si>
  <si>
    <t>978-5-16-003765-3</t>
  </si>
  <si>
    <t>39.03.01, 39.04.01, 47.03.03, 48.03.01</t>
  </si>
  <si>
    <t>Рекомендовано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020300 "Социология"</t>
  </si>
  <si>
    <t>395300.06.01</t>
  </si>
  <si>
    <t>Социология семьи: любовь и расчет в брачно-семейных ...: Уч.пос. /Г.И.Козырев -М.:ИД ФОРУМ,НИЦ ИНФРА-М,2024-192с.-(ВО)(о)</t>
  </si>
  <si>
    <t>СОЦИОЛОГИЯ СЕМЬИ: ЛЮБОВЬ И РАСЧЕТ В БРАЧНО-СЕМЕЙНЫХ ОТНОШЕНИЯХ И НЕ ТОЛЬКО..</t>
  </si>
  <si>
    <t>978-5-8199-0636-1</t>
  </si>
  <si>
    <t>39.03.01, 39.03.03, 39.04.01, 39.04.03</t>
  </si>
  <si>
    <t>060200.09.01</t>
  </si>
  <si>
    <t>Социология семьи: Уч. / Под ред. Антонова А.И. - 2 изд., испр. - М.:НИЦ ИНФРА-М,2023 - 637 с.(ВО)(П)</t>
  </si>
  <si>
    <t>СОЦИОЛОГИЯ СЕМЬИ, ИЗД.2</t>
  </si>
  <si>
    <t>Антонов А.И., Дорохина О.В., Медков В.М. и др.</t>
  </si>
  <si>
    <t>978-5-16-014214-2</t>
  </si>
  <si>
    <t>Допущено Советом по социологии, антропологии и организации работы с молодежью учебно-методического обучения по классическому университетскому образованию в качестве учебника для студентов высших учебных заведений, обучающихся по направлению подготовки 39.03.01 «Социология»</t>
  </si>
  <si>
    <t>672656.02.01</t>
  </si>
  <si>
    <t>Социология социальных структур: Уч.пос. / И.И.Подойницына -М.:НИЦ ИНФРА-М,2023-265с.(ВО:Магистр.)(П)</t>
  </si>
  <si>
    <t>СОЦИОЛОГИЯ СОЦИАЛЬНЫХ СТРУКТУР</t>
  </si>
  <si>
    <t>Подойницына И.И.</t>
  </si>
  <si>
    <t>978-5-16-014293-7</t>
  </si>
  <si>
    <t>39.04.01, 41.04.04, 51.04.01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</si>
  <si>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39.04.01 «Социология», 41.04.01. «Политология», 51.04.01 «Культурология» (квалификация (степень) «магистр») (протокол № 9 от 13.05.2019)</t>
  </si>
  <si>
    <t>Северо-Восточный федеральный университет им. М.К. Аммосова</t>
  </si>
  <si>
    <t>449950.06.01</t>
  </si>
  <si>
    <t>Социология труда: Уч. пос. / К.Э. Оксинойд. - М.: НИЦ ИНФРА-М, 2025. - 350 с.(ВО) (п)</t>
  </si>
  <si>
    <t>СОЦИОЛОГИЯ ТРУДА</t>
  </si>
  <si>
    <t>Оксинойд К. Э.</t>
  </si>
  <si>
    <t>978-5-16-005498-8</t>
  </si>
  <si>
    <t>38.03.01, 38.03.02, 38.03.03, 38.04.02, 38.04.03, 41.03.06</t>
  </si>
  <si>
    <t>Допущено Советом учебно-методического объединения по образованию в области менеджмента в качестве учебного пособия по направлению «Менеджмент»</t>
  </si>
  <si>
    <t>801714.01.01</t>
  </si>
  <si>
    <t>Социология управ. в транзитивном обществе: теория...: Уч.пос. / В.И.Гостенина-М.:НИЦ ИНФРА-М,2025.-289 с.(ВО)(п)</t>
  </si>
  <si>
    <t>СОЦИОЛОГИЯ УПРАВЛЕНИЯ В ТРАНЗИТИВНОМ ОБЩЕСТВЕ: ТЕОРИЯ И ОПЫТ ЭМПИРИЧЕСКИХ ИССЛЕДОВАНИЙ</t>
  </si>
  <si>
    <t>Гостенина В.И.</t>
  </si>
  <si>
    <t>978-5-16-019093-8</t>
  </si>
  <si>
    <t>39.04.01</t>
  </si>
  <si>
    <t>646273.07.01</t>
  </si>
  <si>
    <t>Социология управления: Уч. / А.А.Николаев - М.:НИЦ ИНФРА-М,2024 - 317 с.-(ВО)(п)</t>
  </si>
  <si>
    <t>СОЦИОЛОГИЯ УПРАВЛЕНИЯ</t>
  </si>
  <si>
    <t>Николаев А.А.</t>
  </si>
  <si>
    <t>978-5-16-019252-9</t>
  </si>
  <si>
    <t>38.03.02, 38.03.04, 39.03.01</t>
  </si>
  <si>
    <t>Рекомендовано в качестве учебника  для студентов высших учебных заведений, обучающихся по направлениям подготовки 38.03.02 «Менеджмент», 38.03.04 «Государственное и муниципальное управление», 39.03.01 «Социология» (квалификация (степень) «бакалавр»)</t>
  </si>
  <si>
    <t>009152.13.01</t>
  </si>
  <si>
    <t>Социология управления: Уч. / М.В.Удальцова - 2 изд. - М.:НИЦ ИНФРА-М,НГАЭиУ,2025 - 150 с.(ВО)(о)</t>
  </si>
  <si>
    <t>СОЦИОЛОГИЯ УПРАВЛЕНИЯ, ИЗД.2</t>
  </si>
  <si>
    <t>Удальцова М. В.</t>
  </si>
  <si>
    <t>978-5-16-011285-5</t>
  </si>
  <si>
    <t>27.04.07, 37.03.02, 38.03.02, 38.03.03, 38.03.04, 39.03.01, 41.03.06, 41.04.04, 42.03.01</t>
  </si>
  <si>
    <t>Рекомендовано в качестве учебника для студентов высших учебных заведений, обучающихся по направлению подготовки 38.03.02 «Менеджмент», (квалификация (степень) «бакалавр»)</t>
  </si>
  <si>
    <t>376300.04.01</t>
  </si>
  <si>
    <t>Социология управления: Уч.пос. / Е.П.Тавокин - М.:НИЦ ИНФРА-М,2023 - 202с.(ВО:Бакалавр.)(п)</t>
  </si>
  <si>
    <t>ТавокинЕ.П.</t>
  </si>
  <si>
    <t>978-5-16-011094-3</t>
  </si>
  <si>
    <t>38.03.02, 38.03.03, 38.03.04, 39.03.01</t>
  </si>
  <si>
    <t>Рекомендовано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39.03.01 «Социология» (квалификация (степень) «бакалавр»)</t>
  </si>
  <si>
    <t>815046.01.01</t>
  </si>
  <si>
    <t>Социология управления: Уч.пос. / Р.В.Леньков - М.:НИЦ ИНФРА-М,2024. - 201 с.(ВО)(п)</t>
  </si>
  <si>
    <t>978-5-16-019343-4</t>
  </si>
  <si>
    <t>27.04.07, 37.03.02, 39.03.01, 41.03.06, 41.04.04</t>
  </si>
  <si>
    <t>054840.13.01</t>
  </si>
  <si>
    <t>Социология. Общий курс: Уч. / В.И. Кондауров, А.С. Страданченков - М.: НИЦ Инфра-М, 2018-332с(ВО)(п)</t>
  </si>
  <si>
    <t>СОЦИОЛОГИЯ. ОБЩИЙ КУРС</t>
  </si>
  <si>
    <t>Кондауров В. И., Страданченков А. С., Багдасарова Н. В., Коханов Е. Ф., Ионцева М. В., Куртиков Н. А., Симоненко С. И., Захаров М. Ю.</t>
  </si>
  <si>
    <t>978-5-16-005720-0</t>
  </si>
  <si>
    <t>00.03.10, 00.05.10, 38.03.01, 38.03.02, 38.03.04</t>
  </si>
  <si>
    <t>Допущено Министерством образования РФ в качестве учебника для студентов высших учебных заведений</t>
  </si>
  <si>
    <t>054840.20.01</t>
  </si>
  <si>
    <t>Социология. Общий курс: Уч. / Под ред. Страданченкова А.С., - 2 изд.-М.:НИЦ ИНФРА-М,2024.-391с(П)</t>
  </si>
  <si>
    <t>СОЦИОЛОГИЯ. ОБЩИЙ КУРС, ИЗД.2</t>
  </si>
  <si>
    <t>Багдасарова Н.В., Захаров М.Ю., Ионцева М.В. и др.</t>
  </si>
  <si>
    <t>978-5-16-018631-3</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</si>
  <si>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</si>
  <si>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035700.16.01</t>
  </si>
  <si>
    <t>Социология. Основы общей теории: Уч. / Отв. ред. Г.В.Осипов -2 изд. -М.: НОРМА: НИЦ ИНФРА-М, 2024 -912с.(П)</t>
  </si>
  <si>
    <t>СОЦИОЛОГИЯ. ОСНОВЫ ОБЩЕЙ ТЕОРИИ, ИЗД.2</t>
  </si>
  <si>
    <t>Осипов Г.В., Москвичев Л.Н.</t>
  </si>
  <si>
    <t>978-5-91768-597-7</t>
  </si>
  <si>
    <t>374000.05.01</t>
  </si>
  <si>
    <t>Социология: соц. институты, структура...: Уч. / С.И.Самыгин - М.:ИЦ РИОР,НИЦ ИНФРА-М,2024 - 252 с.(ВО)(П)</t>
  </si>
  <si>
    <t>СОЦИОЛОГИЯ: СОЦИАЛЬНЫЕ ИНСТИТУТЫ, СТРУКТУРА И ПРОЦЕССЫ</t>
  </si>
  <si>
    <t>Самыгин С.И., Воденко К.В.</t>
  </si>
  <si>
    <t>978-5-369-01535-3</t>
  </si>
  <si>
    <t>00.03.10, 39.03.01, 39.03.02, 39.03.03, 39.04.01, 39.04.02, 39.04.03, 44.03.01, 44.03.05</t>
  </si>
  <si>
    <t>Рекомендовано У МО РАЕ по классичеекому университетскому и техническому образованию в качестве учебника для социально-экономических направлений подготовки (бакалавриат)</t>
  </si>
  <si>
    <t>657559.06.01</t>
  </si>
  <si>
    <t>Социология: теория, методолог., практ.: Уч. /Под ред. Кального И.И.-М.:Вуз.уч.,НИЦ ИНФРА-М,2023-348с</t>
  </si>
  <si>
    <t>СОЦИОЛОГИЯ: ТЕОРИЯ, МЕТОДОЛОГИЯ, ПРАКТИКА</t>
  </si>
  <si>
    <t>Чигрин В.А., Сурмин Ю.П., Щербина В.Н. и др.</t>
  </si>
  <si>
    <t>978-5-9558-0572-6</t>
  </si>
  <si>
    <t>050500.20.01</t>
  </si>
  <si>
    <t>Социология: Уч. / В.И.Добреньков - М.:НИЦ ИНФРА-М,2025 - 624 с.(ВО: Бакалавриат)(п)</t>
  </si>
  <si>
    <t>СОЦИОЛОГИЯ</t>
  </si>
  <si>
    <t>Добреньков В.И., Кравченко А.И.</t>
  </si>
  <si>
    <t>978-5-16-003522-2</t>
  </si>
  <si>
    <t>Допущено Министерством образования Российской Федерации в качестве учебника для студентов высших учебных заведений, обучающихся по социологическим специальностям</t>
  </si>
  <si>
    <t>120600.09.01</t>
  </si>
  <si>
    <t>Социология: Уч. / Ю.Г.Волков, - 5 изд.-М.:Альфа-М, НИЦ ИНФРА-М,2024.-512 с.(Бакалавриат)(п)</t>
  </si>
  <si>
    <t>СОЦИОЛОГИЯ, ИЗД.5</t>
  </si>
  <si>
    <t>Волков Ю. Г.</t>
  </si>
  <si>
    <t>978-5-98281-415-9</t>
  </si>
  <si>
    <t>Рекомендовано УМО по классическому университетскому образованию к изданию в качестве учебника для студентов высших учебных заведений, обучающихся по направлению "Социология"</t>
  </si>
  <si>
    <t>186200.10.01</t>
  </si>
  <si>
    <t>Социология: Уч. пос. / Ф.А.Игебаева-М.:НИЦ ИНФРА-М,2024.-236 с.(ВО)(п)</t>
  </si>
  <si>
    <t>Игебаева Ф. А.</t>
  </si>
  <si>
    <t>978-5-16-019026-6</t>
  </si>
  <si>
    <t>Допущено Учебно-методическим объединением по классическому университетскому образованию к изданию в качестве учебного пособия для студентов высших учебных заведений, обучающихся по специальности 39.03.01 (040200) "Социология"</t>
  </si>
  <si>
    <t>Башкирский государственный аграрный университет</t>
  </si>
  <si>
    <t>446650.04.01</t>
  </si>
  <si>
    <t>Социология: Уч.пос. / А.Б.Оришев - 2 изд. - М.:ИЦ РИОР, НИЦ ИНФРА-М,2018.-224 с.(ВО: Бакалавриат)</t>
  </si>
  <si>
    <t>СОЦИОЛОГИЯ, ИЗД.2</t>
  </si>
  <si>
    <t>Оришев А.Б.</t>
  </si>
  <si>
    <t>978-5-369-01457-8</t>
  </si>
  <si>
    <t>00.03.10, 00.05.10, 38.03.01, 38.03.02, 38.03.03, 39.03.01, 39.03.02, 39.03.03</t>
  </si>
  <si>
    <t>Допущено в качестве учебного пособия для студентов-бакалавров, обучающихся по направлениям подготовки 081100 «Государственное и муниципальное управление", 080400 «Управление персоналом», 080200 «Менеджмент», 040400 «Социальная работа», 040700 «Органи</t>
  </si>
  <si>
    <t>446650.08.01</t>
  </si>
  <si>
    <t>Социология: Уч.пос. / А.Б.Оришев, - 3 изд. - М.:ИЦ РИОР, НИЦ ИНФРА-М,2025. - 260 с.(ВО)(П)</t>
  </si>
  <si>
    <t>СОЦИОЛОГИЯ, ИЗД.3</t>
  </si>
  <si>
    <t>978-5-369-01863-7</t>
  </si>
  <si>
    <t>745707.04.01</t>
  </si>
  <si>
    <t>Социология: Уч.пос. / Г.А.Ельникова - 2 изд. - М.:НИЦ ИНФРА-М,2023 - 211 с.(ВО: Специалитет)(П)</t>
  </si>
  <si>
    <t>Ельникова Г.А., Лаамарти Ю.А.</t>
  </si>
  <si>
    <t>978-5-16-016550-9</t>
  </si>
  <si>
    <t>00.05.10, 38.05.01, 38.05.02, 40.05.01, 40.05.02, 40.05.03, 40.05.04</t>
  </si>
  <si>
    <t>640223.08.01</t>
  </si>
  <si>
    <t>Социология: Уч.пос. / Г.А.Ельникова - 2 изд. - М.:НИЦ ИНФРА-М,2025 - 211 с.(ВО)(П)</t>
  </si>
  <si>
    <t>978-5-16-016199-0</t>
  </si>
  <si>
    <t>00.03.10, 00.05.10, 39.03.02, 39.03.03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</si>
  <si>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несоциологическим направлениям подготовки (квалификация (степень) «бакалавр») (протокол № 5 от 16.03.2020)</t>
  </si>
  <si>
    <t>640223.04.01</t>
  </si>
  <si>
    <t>Социология: Уч.пос. / Г.А.Ельникова - М.:НИЦ ИНФРА-М,2020 - 181 с.-(ВО: Бакалавриат)(О)</t>
  </si>
  <si>
    <t>Ельникова Г.А.</t>
  </si>
  <si>
    <t>978-5-16-010442-3</t>
  </si>
  <si>
    <t>Рекомендовано в качестве учебного пособия для студентов высших учебных заведений, обучающихся по несоциологическим направлениям подготовки (квалификация (степень) «бакалавр»)</t>
  </si>
  <si>
    <t>118150.08.01</t>
  </si>
  <si>
    <t>Социология: Уч.пос. / Г.И.Козырев, - 2 изд. - М.:ИД ФОРУМ, НИЦ ИНФРА-М,2025. - 320 с.-(ВО)(П)</t>
  </si>
  <si>
    <t>978-5-8199-0405-3</t>
  </si>
  <si>
    <t>Допущено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"Социология" и  "Социальная антропология"</t>
  </si>
  <si>
    <t>428600.08.01</t>
  </si>
  <si>
    <t>Социология: Уч.пос. / Е.П.Тавокин - М.:НИЦ ИНФРА-М,2025. - 202 с.(ВО: Бакалавриат)(П)</t>
  </si>
  <si>
    <t>978-5-16-006379-9</t>
  </si>
  <si>
    <t>38.03.01, 38.03.02, 38.03.03, 38.03.04, 39.03.01, 39.03.02, 39.03.03, 39.04.01, 44.03.01, 44.03.05</t>
  </si>
  <si>
    <t>094350.09.01</t>
  </si>
  <si>
    <t>Социология: Уч.пос. / С.В.Соколов - М.:Форум,2025. - 400 с.-(ВО)(п)</t>
  </si>
  <si>
    <t>Соколов С. В.</t>
  </si>
  <si>
    <t>978-5-91134-219-7</t>
  </si>
  <si>
    <t>00.03.10, 44.03.01, 44.03.05</t>
  </si>
  <si>
    <t>Рекомендовано социологическим факультетом Российского гуманитарного универститета в качестве учебного пособия для студентов высших учебных заведений</t>
  </si>
  <si>
    <t>381300.09.01</t>
  </si>
  <si>
    <t>Специализированный подвиж. состав автотранс.и... Практ. / А.О.Харченко -М.: Вуз.уч., НИЦ ИНФРА-М,2023-127с(о)</t>
  </si>
  <si>
    <t>СПЕЦИАЛИЗИРОВАННЫЙ ПОДВИЖНОЙ СОСТАВ АВТОТРАНСПОРТА И ПОГРУЗОЧНО-РАЗГРУЗОЧНЫЕ УСТРОЙСТВА. ПРАКТИКУМ</t>
  </si>
  <si>
    <t>Харченко А.О., Кияшко Л.А., Соустова Л.И.</t>
  </si>
  <si>
    <t>978-5-9558-0455-2</t>
  </si>
  <si>
    <t>318200.13.01</t>
  </si>
  <si>
    <t>Специальная инженерная геология: Уч. / В.П.Ананьев.-М.:НИЦ ИНФРА-М,2024.-263с(ВО)(o)</t>
  </si>
  <si>
    <t>СПЕЦИАЛЬНАЯ ИНЖЕНЕРНАЯ ГЕОЛОГИЯ</t>
  </si>
  <si>
    <t>Ананьев В.П., Потапов А.Д., Филькин Н.А.</t>
  </si>
  <si>
    <t>978-5-16-018843-0</t>
  </si>
  <si>
    <t>Рекомендовано Учебно-методическим объединением вузов РФ в области строительства в качестве учебника для студентов, обучающихся по направлению 08.03.01 «Строительство»</t>
  </si>
  <si>
    <t>795938.01.01</t>
  </si>
  <si>
    <t>Специальная педагогика: Уч.: В 3 т.Т. 2 / Н.М.Назарова - М.:НИЦ ИНФРА-М,2025. - 385 с.(ВО)(п)</t>
  </si>
  <si>
    <t>СПЕЦИАЛЬНАЯ ПЕДАГОГИКА В 3 Т., Т.2</t>
  </si>
  <si>
    <t>Назарова Н.М., Богданова Т.Г., Морозов С.А. и др.</t>
  </si>
  <si>
    <t>978-5-16-019243-7</t>
  </si>
  <si>
    <t>44.03.03, 44.03.05, 44.04.03, 49.03.02</t>
  </si>
  <si>
    <t>633717.05.01</t>
  </si>
  <si>
    <t>Специальная педагогика: Уч.: В 3 т.Т.1 / Под ред. Назаровой Н.М. - 2 изд.-М.:НИЦ ИНФРА-М,2023-357 с.(ВО)(П)</t>
  </si>
  <si>
    <t>СПЕЦИАЛЬНАЯ ПЕДАГОГИКА, Т.1, ИЗД.2</t>
  </si>
  <si>
    <t>Пенин Г.Н., Назарова Н.М., Назарова Н.М.</t>
  </si>
  <si>
    <t>978-5-16-018786-0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</si>
  <si>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№9 от 28.09.2020)</t>
  </si>
  <si>
    <t>825879.03.01</t>
  </si>
  <si>
    <t>Специальная подготовка сотруд. органов внутр. дел: Уч.пос. / Г.И.Плохих - М.:НИЦ ИНФРА-М,2024. - 235 с.(п)</t>
  </si>
  <si>
    <t>СПЕЦИАЛЬНАЯ ПОДГОТОВКА СОТРУДНИКОВ ОРГАНОВ ВНУТРЕННИХ ДЕЛ</t>
  </si>
  <si>
    <t>Плохих Г.И.</t>
  </si>
  <si>
    <t>978-5-16-019831-6</t>
  </si>
  <si>
    <t>783418.01.01</t>
  </si>
  <si>
    <t>Специальная подготовка: Уч.пос. / А.Н.Ковальчук-М.:НИЦ ИНФРА-М,2023.-368 с.(ВО: Спец. (КрГАУ))(п)</t>
  </si>
  <si>
    <t>СПЕЦИАЛЬНАЯ ПОДГОТОВКА</t>
  </si>
  <si>
    <t>978-5-16-018064-9</t>
  </si>
  <si>
    <t>37.05.02, 38.05.01, 40.05.01, 40.05.02, 40.05.03, 40.05.04, 56.05.01</t>
  </si>
  <si>
    <t>833331.02.01</t>
  </si>
  <si>
    <t>Специальная техника правоохран. органов: Уч.пос. / В.В.Горовой - М.:НИЦ ИНФРА-М,2025. - 337 с.(СПО)(п)</t>
  </si>
  <si>
    <t>СПЕЦИАЛЬНАЯ ТЕХНИКА ПРАВООХРАНИТЕЛЬНЫХ ОРГАНОВ</t>
  </si>
  <si>
    <t>Горовой В.В., Горовая Е.Ю.</t>
  </si>
  <si>
    <t>978-5-16-020034-7</t>
  </si>
  <si>
    <t>785765.04.01</t>
  </si>
  <si>
    <t>Специальная техника правоохранит. органов: Уч.пос. / В.В.Горовой - М.:НИЦ ИНФРА-М,2025. - 337 с.(ВО.Сп)(п)</t>
  </si>
  <si>
    <t>978-5-16-018228-5</t>
  </si>
  <si>
    <t>664183.02.01</t>
  </si>
  <si>
    <t>Специальные налог. режимы и особые экономич.зоны: Уч.пос. / Под ред.Малис Н.И.-М.:Магистр,НИЦ ИНФРА-М,2023-120с</t>
  </si>
  <si>
    <t>СПЕЦИАЛЬНЫЕ НАЛОГОВЫЕ РЕЖИМЫ И ОСОБЫЕ ЭКОНОМИЧЕСКИЕ ЗОНЫ</t>
  </si>
  <si>
    <t>978-5-9776-0465-9</t>
  </si>
  <si>
    <t>38.02.01, 38.02.03, 38.02.07, 38.03.01, 44.03.01, 44.03.05</t>
  </si>
  <si>
    <t>702813.04.01</t>
  </si>
  <si>
    <t>Специальные налоговые режимы: Уч.пос. / О.А.Ногина - М.:Юр.Норма,НИЦ ИНФРА-М,2023 - 144 с.(П)</t>
  </si>
  <si>
    <t>СПЕЦИАЛЬНЫЕ НАЛОГОВЫЕ РЕЖИМЫ</t>
  </si>
  <si>
    <t>Ногина О.А.</t>
  </si>
  <si>
    <t>978-5-91768-997-5</t>
  </si>
  <si>
    <t>429200.11.01</t>
  </si>
  <si>
    <t>Специальные пробл.психолог.консульт.: Уч.пос. / О.О.Андронникова - 2 изд. - М.:Вуз.уч.,НИЦ ИНФРА-М,2025 - 352 с.(П)</t>
  </si>
  <si>
    <t>СПЕЦИАЛЬНЫЕ ПРОБЛЕМЫ  ПСИХОЛОГИЧЕСКОГО КОНСУЛЬТИРОВАНИЯ, ИЗД.2</t>
  </si>
  <si>
    <t>978-5-16-020593-9</t>
  </si>
  <si>
    <t>37.03.01, 37.04.01, 37.05.01, 44.03.01, 44.03.02, 44.03.05, 44.04.01, 44.04.02</t>
  </si>
  <si>
    <t>429200.06.01</t>
  </si>
  <si>
    <t>Специальные пробл.психолог.консульт.:Уч.пос./О.О.Андронникова-Вуз.уч.,НИЦ ИНФРА-М,2019-348с(Вуз.уч.)</t>
  </si>
  <si>
    <t>СПЕЦИАЛЬНЫЕ ПРОБЛЕМЫ ПСИХОЛОГИЧЕСКОГО КОНСУЛЬТИРОВАНИЯ</t>
  </si>
  <si>
    <t>978-5-9558-0254-1</t>
  </si>
  <si>
    <t>632778.04.01</t>
  </si>
  <si>
    <t>Специальные разделы математики: Практикум / В.А.Крамарь.-М.:Вуз. уч., НИЦ ИНФРА-М,2019.-123 с.(О) (ВО)</t>
  </si>
  <si>
    <t>СПЕЦИАЛЬНЫЕ РАЗДЕЛЫ МАТЕМАТИКИ</t>
  </si>
  <si>
    <t>Крамарь В.А., Карапетьян В.А., Альчаков В.В.</t>
  </si>
  <si>
    <t>978-5-9558-0504-7</t>
  </si>
  <si>
    <t>01.04.04, 27.03.01</t>
  </si>
  <si>
    <t>443550.07.01</t>
  </si>
  <si>
    <t>Специальные способы разраб.и месторожд.: Уч.пос. / В.И.Голик-М.:НИЦ ИНФРА-М,2024-132с(ВО:Бакалавр.)(О)</t>
  </si>
  <si>
    <t>СПЕЦИАЛЬНЫЕ СПОСОБЫ РАЗРАБОТКИ МЕСТОРОЖДЕНИЙ</t>
  </si>
  <si>
    <t>978-5-16-005551-0</t>
  </si>
  <si>
    <t>21.03.01, 21.04.01, 21.05.04</t>
  </si>
  <si>
    <t>Допущено Учебно-методическим объединением вузов России по образованию в области горного дела в качестве учебного пособия для студентов высших учебных заведений, обучающихся по направлению подготовки «Горное дело» и по направлению подготовки «Физическ</t>
  </si>
  <si>
    <t>666693.03.01</t>
  </si>
  <si>
    <t>Специальные технологии худ. обр. матер..: Уч.мет.пос. / В.Г.Березюк-М.:НИЦ ИНФРА-М, СФУ,2023-167с</t>
  </si>
  <si>
    <t>СПЕЦИАЛЬНЫЕ ТЕХНОЛОГИИ ХУДОЖЕСТВЕННОЙ ОБРАБОТКИ МАТЕРИАЛОВ (ПО ЛИТЕЙНЫМ МАТЕРИАЛАМ)</t>
  </si>
  <si>
    <t>Березюк В.Г., Синичкин А.М., Лыткина С.И. и др.</t>
  </si>
  <si>
    <t>978-5-16-018215-5</t>
  </si>
  <si>
    <t>29.03.04</t>
  </si>
  <si>
    <t>Рекомендовано УМО РАЕ по классическому университетскому и техническому образованию в качестве учебно-методического пособия для студентов высших учебных заведений, обучающихся по направлению подготовки 29.03.04 «Технология художественной обработки материалов»</t>
  </si>
  <si>
    <t>263000.06.01</t>
  </si>
  <si>
    <t>Спортивная экология: уч. / С.А.Полиевский-М.:НИЦ ИНФРА-М,2024.-254 с..-(ВО)(п)</t>
  </si>
  <si>
    <t>СПОРТИВНАЯ ЭКОЛОГИЯ</t>
  </si>
  <si>
    <t>Полиевский С.А.</t>
  </si>
  <si>
    <t>978-5-16-019102-7</t>
  </si>
  <si>
    <t>Рекомендовано в качестве учебника для студентов высших учебных заведений, обучающихся по направлениям подготовки 49.03.01 «Физическая культура» и 49.03.02 «Физическая культура для лиц с отклонениями в состоянии здоровья (адаптивная физическая культура)» (квалификация (степень) «бакалавр»)</t>
  </si>
  <si>
    <t>837249.01.01</t>
  </si>
  <si>
    <t>Спортивно-оздоровительный туризм: Уч.пос. / С.В.Соболев. - М.:НИЦ ИНФРА-М,2025. - 178 с.(ВО (СФУ))(п)</t>
  </si>
  <si>
    <t>СПОРТИВНО-ОЗДОРОВИТЕЛЬНЫЙ ТУРИЗМ</t>
  </si>
  <si>
    <t>Соболев С.В., Пашкевич В.М., Соболева Н.В. и др.</t>
  </si>
  <si>
    <t>978-5-16-020277-8</t>
  </si>
  <si>
    <t>49.03.03, 49.03.04, 49.04.03</t>
  </si>
  <si>
    <t>470450.06.01</t>
  </si>
  <si>
    <t>Способы восполнения пробелов в праве: Моногр. /С.А.Дробышевский -М.:Юр.Норма, НИЦ ИНФРА-М, 2022.-176с.(о)</t>
  </si>
  <si>
    <t>СПОСОБЫ ВОСПОЛНЕНИЯ ПРОБЕЛОВ В ПРАВЕ</t>
  </si>
  <si>
    <t>Дробышевский С. А., Тихонравов Е. Ю.</t>
  </si>
  <si>
    <t>978-5-91768-508-3</t>
  </si>
  <si>
    <t>40.04.01, 40.05.01, 40.05.02, 40.05.03, 40.06.01</t>
  </si>
  <si>
    <t>118500.13.01</t>
  </si>
  <si>
    <t>Справочник монтажника водяных тепловых сетей: Уч.пос. / В.И.Краснов-М.:НИЦ ИНФРА-М,2024-334с(СПО)(п)</t>
  </si>
  <si>
    <t>СПРАВОЧНИК МОНТАЖНИКА ВОДЯНЫХ ТЕПЛОВЫХ СЕТЕЙ</t>
  </si>
  <si>
    <t>Краснов В. И.</t>
  </si>
  <si>
    <t>978-5-16-010796-7</t>
  </si>
  <si>
    <t>08.02.13</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</si>
  <si>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«Теплогазоснабжение и вентиляция»</t>
  </si>
  <si>
    <t>319100.11.01</t>
  </si>
  <si>
    <t>Справочник по машиностроительному черчению / А.А.Чекмарев, - 11 изд. - М.:НИЦ ИНФРА-М,2025. - 494 с.(п)</t>
  </si>
  <si>
    <t>СПРАВОЧНИК ПО МАШИНОСТРОИТЕЛЬНОМУ ЧЕРЧЕНИЮ, ИЗД.11</t>
  </si>
  <si>
    <t>Чекмарев А.А., Осипов В.К.</t>
  </si>
  <si>
    <t>978-5-16-010417-1</t>
  </si>
  <si>
    <t>15.01.13, 15.01.17, 15.01.18, 15.01.22, 15.01.29, 15.01.35, 15.01.36, 15.01.37, 15.01.38, 15.02.01, 15.02.03, 15.02.04, 15.02.06, 15.02.07, 15.02.09, 15.02.10, 15.02.16, 15.02.17, 15.02.18, 15.02.19, 15.03.01, 15.03.02, 15.03.03, 15.03.04, 15.03.05, 15.03.06</t>
  </si>
  <si>
    <t>1114</t>
  </si>
  <si>
    <t>462750.11.01</t>
  </si>
  <si>
    <t>Справочник по финансовой математике: Уч. пос. / П.Н. Брусов - М.: НИЦ ИНФРА-М, 2025. - 239 с.(ВО) (п)</t>
  </si>
  <si>
    <t>СПРАВОЧНИК ПО ФИНАНСОВОЙ МАТЕМАТИКЕ</t>
  </si>
  <si>
    <t>Брусов П. Н., Филатова Т. В., Орехова Н. П.</t>
  </si>
  <si>
    <t>978-5-16-009577-6</t>
  </si>
  <si>
    <t>38.03.01, 38.03.02, 38.03.04, 38.03.05, 38.04.08</t>
  </si>
  <si>
    <t>Рекомендовано в качестве учебного пособия для студентов высших учебных заведений, обучающихся по направлению подготовки 38.00.00 «Экономика и управление"</t>
  </si>
  <si>
    <t>458850.11.01</t>
  </si>
  <si>
    <t>Справочник по эксплуатации электроустановок..: Уч.пос. / Ю.Д.Сибикин - 7 изд. - Форум:ИНФРА-М,2025-400с(п)</t>
  </si>
  <si>
    <t>СПРАВОЧНИК ПО ЭКСПЛУАТАЦИИ ЭЛЕКТРОУСТАНОВОК ПРОМЫШЛЕННЫХ ПРЕДПРИЯТИЙ, ИЗД.7</t>
  </si>
  <si>
    <t>Сибикин Ю. Д., Сибикин М. Ю.</t>
  </si>
  <si>
    <t>978-5-91134-844-1</t>
  </si>
  <si>
    <t>00.02.39, 08.02.09, 11.01.02, 11.01.05, 11.02.16, 13.01.07, 13.01.10, 13.02.07, 13.02.09, 13.02.12, 13.02.13, 18.01.28, 21.01.15, 26.01.05, 26.02.04, 26.02.05, 26.02.06, 35.01.15</t>
  </si>
  <si>
    <t>0714</t>
  </si>
  <si>
    <t>273600.15.01</t>
  </si>
  <si>
    <t>Справочник техника-сварщика: Уч.пос. / В.В.Овчинников - М.:ИД Форум, НИЦ ИНФРА-М,2025. - 304 с.(СПО)(П)</t>
  </si>
  <si>
    <t>СПРАВОЧНИК ТЕХНИКА-СВАРЩИКА</t>
  </si>
  <si>
    <t>978-5-8199-0895-2</t>
  </si>
  <si>
    <t>15.01.05, 15.01.06, 15.01.07, 15.01.29, 15.02.16, 15.02.19, 26.01.01</t>
  </si>
  <si>
    <t>670735.05.01</t>
  </si>
  <si>
    <t>Справочник электрика по ремонту электрооборуд.../ М.Ю.Сибикин, - 2 изд. - М.:НИЦ ИНФРА-М,2025. - 262 с.(п)</t>
  </si>
  <si>
    <t>СПРАВОЧНИК ЭЛЕКТРИКА ПО РЕМОНТУ ЭЛЕКТРООБОРУДОВАНИЯ ПРОМЫШЛЕННЫХ ПРЕДПРИЯТИЙ, ИЗД.2</t>
  </si>
  <si>
    <t>Сибикин М.Ю.</t>
  </si>
  <si>
    <t>978-5-16-017615-4</t>
  </si>
  <si>
    <t>00.02.39, 08.02.09, 11.01.02, 11.01.05, 11.01.06, 11.01.07, 11.02.14, 11.02.16, 12.02.04, 13.01.07, 13.01.10, 13.02.07, 13.02.09, 13.02.12, 13.02.13, 18.01.28, 21.01.15, 26.01.05, 26.02.04, 26.02.05, 26.02.06, 35.01.15</t>
  </si>
  <si>
    <t>646045.11.01</t>
  </si>
  <si>
    <t>Справочник электромонтажника: Уч.пос. / Ю.Д.Сибикин - 6 изд. - М.:НИЦ ИНФРА-М,2025 - 412 с.(СПО)(П)</t>
  </si>
  <si>
    <t>СПРАВОЧНИК ЭЛЕКТРОМОНТАЖНИКА, ИЗД.6</t>
  </si>
  <si>
    <t>978-5-16-012526-8</t>
  </si>
  <si>
    <t>08.01.22, 08.01.23, 08.01.30, 08.01.31, 13.02.12, 15.01.37, 15.02.07, 15.02.17, 23.01.03, 23.01.11, 23.01.13, 23.01.18, 23.02.06, 27.02.03, 27.02.05</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</si>
  <si>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программы начального профессионального образования</t>
  </si>
  <si>
    <t>077160.19.01</t>
  </si>
  <si>
    <t>Справочное пос. по электрооборуд. и электроснаб.: Уч.пос. / В.П.Шеховцов-3 изд.-М.:НИЦ ИНФРА-М,2024-136с.(О)</t>
  </si>
  <si>
    <t>СПРАВОЧНОЕ ПОСОБИЕ ПО ЭЛЕКТРООБОРУДОВАНИЮ И ЭЛЕКТРОСНАБЖЕНИЮ, ИЗД.3</t>
  </si>
  <si>
    <t>978-5-16-013424-6</t>
  </si>
  <si>
    <t>08.02.01, 11.02.15, 13.02.07, 13.02.12, 13.02.13</t>
  </si>
  <si>
    <t>Допущено Министерством образования и науки Российской Федерации для студентов учреждений среднего профессионального образования, обучающихся по специальности 13.02.11 «Техническая эксплуатация и обслуживание электрического и электромеханического оборудования»</t>
  </si>
  <si>
    <t>807641.03.01</t>
  </si>
  <si>
    <t>Сравнительная ист. зарубеж. права: В 2 т.Т.2 : Уч. / Д.Ю.Полдников - М.:Юр. НОРМА, НИЦ ИНФРА-М,2025 - 624 с.(п)</t>
  </si>
  <si>
    <t>СРАВНИТЕЛЬНАЯ ИСТОРИЯ ЗАРУБЕЖНОГО ПРАВА, Т.2</t>
  </si>
  <si>
    <t>Полдников Д.Ю.</t>
  </si>
  <si>
    <t>978-5-00156-317-4</t>
  </si>
  <si>
    <t>806116.03.01</t>
  </si>
  <si>
    <t>Сравнительная ист. зарубежного права: Уч. Т.1 / Д.Ю.Полдников - М.:Юр. НОРМА, НИЦ ИНФРА-М,2025. - 544 с.(п)</t>
  </si>
  <si>
    <t>СРАВНИТЕЛЬНАЯ ИСТОРИЯ ЗАРУБЕЖНОГО ПРАВА В 2-Х ТТ., Т.1</t>
  </si>
  <si>
    <t>978-5-00156-308-2</t>
  </si>
  <si>
    <t>142200.14.01</t>
  </si>
  <si>
    <t>Сравнительное государствоведение: Уч.пос. / В.Е.Чиркин - М.:Юр.Норма, ИНФРА-М,2024.-448 с.(П)</t>
  </si>
  <si>
    <t>СРАВНИТЕЛЬНОЕ ГОСУДАРСТВОВЕДЕНИЕ</t>
  </si>
  <si>
    <t>Чиркин В.Е.</t>
  </si>
  <si>
    <t>978-5-91768-144-3</t>
  </si>
  <si>
    <t>718658.05.01</t>
  </si>
  <si>
    <t>Сравнительное правоведение: Уч. / А.Х.Саидов-М.:Юр.Норма, НИЦ ИНФРА-М,2024.-320 с.(П)</t>
  </si>
  <si>
    <t>СРАВНИТЕЛЬНОЕ ПРАВОВЕДЕНИЕ</t>
  </si>
  <si>
    <t>Саидов А.Х.</t>
  </si>
  <si>
    <t>978-5-00156-021-0</t>
  </si>
  <si>
    <t>357400.13.01</t>
  </si>
  <si>
    <t>Сравнительное правоведение: Уч. для магистр. / В.Е.Чиркин - 2 изд. - М.:Юр.Норма,НИЦ ИНФРА-М,2025-320с(П)</t>
  </si>
  <si>
    <t>СРАВНИТЕЛЬНОЕ ПРАВОВЕДЕНИЕ, ИЗД.2</t>
  </si>
  <si>
    <t>978-5-91768-618-9</t>
  </si>
  <si>
    <t>092850.10.01</t>
  </si>
  <si>
    <t>Сравнительное правоведение: Уч.-мет. комплекс / А.А.Малько-М.:НОРМА, НИЦ ИНФРА-М,2024.-352 с.(п)</t>
  </si>
  <si>
    <t>Малько А. В., Саломатин А. Ю.</t>
  </si>
  <si>
    <t>Серия учебно-методических комплексов</t>
  </si>
  <si>
    <t>978-5-468-00186-8</t>
  </si>
  <si>
    <t>662953.03.01</t>
  </si>
  <si>
    <t>Сравнительно-историческая риторика: Уч. / А.К.Михальская, - 2 изд.-М.:НИЦ ИНФРА-М,2024-294с(ВО)(П)</t>
  </si>
  <si>
    <t>СРАВНИТЕЛЬНО-ИСТОРИЧЕСКАЯ РИТОРИКА, ИЗД.2</t>
  </si>
  <si>
    <t>978-5-16-013862-6</t>
  </si>
  <si>
    <t>37.03.01, 44.03.05, 45.03.01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</si>
  <si>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52.05.04 «Литературное творчество» (квалификация «литературный работник») (протокол № 4 от 25.02.2019)</t>
  </si>
  <si>
    <t>436150.05.01</t>
  </si>
  <si>
    <t>Сравнительно-историческая риторика: Уч.пос. / А.К.Михальская-М.:Форум, НИЦ ИНФРА-М,2023.-320 с.(ВО)(О)</t>
  </si>
  <si>
    <t>СРАВНИТЕЛЬНО-ИСТОРИЧЕСКАЯ РИТОРИКА</t>
  </si>
  <si>
    <t>Михальская А. К.</t>
  </si>
  <si>
    <t>978-5-91134-740-6</t>
  </si>
  <si>
    <t>208700.08.01</t>
  </si>
  <si>
    <t>Средства и методы управления качеством: Уч. пос. / Л.В.Виноградов - М.: ИНФРА-М, 2024-220с.(ВО: Бакалавр.) (п)</t>
  </si>
  <si>
    <t>СРЕДСТВА И МЕТОДЫ УПРАВЛЕНИЯ КАЧЕСТВОМ</t>
  </si>
  <si>
    <t>Виноградов Л. В., Семенов В. П., Бурылов В. С.</t>
  </si>
  <si>
    <t>978-5-16-005584-8</t>
  </si>
  <si>
    <t>27.03.02, 27.04.02, 38.03.02, 38.04.02, 41.03.06</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</si>
  <si>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(профиль «Производственный менеджмент»)</t>
  </si>
  <si>
    <t>458900.03.01</t>
  </si>
  <si>
    <t>Стабильность элементов конструкций...: Уч.пос.: Ч.1: Стержни / М.Н.Кирсанов-М.:НИЦ ИНФРА-М,2020-184с(П)</t>
  </si>
  <si>
    <t>СТАБИЛЬНОСТЬ ЭЛЕМЕНТОВ КОНСТРУКЦИЙ В УСЛОВИИ ПОЛЗУЧЕСТИ</t>
  </si>
  <si>
    <t>978-5-16-011492-7</t>
  </si>
  <si>
    <t>15.03.01, 15.03.03</t>
  </si>
  <si>
    <t>Рекомендовано в качестве учебного пособия для студентов высших учебных заведений, обучающихся по направлениям подготовки 15.04.01 «Машиностроение», 15.04.03 «Прикладная механика» (квалификация (степень) «магистр»)</t>
  </si>
  <si>
    <t>635931.03.01</t>
  </si>
  <si>
    <t>Стадиальный анализ литогенеза: Уч.пос. / О.В.Япаскурт - 2изд. - М.:НИЦ ИНФРА-М,2022 - 161с.(ВО)(П)</t>
  </si>
  <si>
    <t>СТАДИАЛЬНЫЙ АНАЛИЗ ЛИТОГЕНЕЗА, ИЗД.2</t>
  </si>
  <si>
    <t>Япаскурт О.В., Карпова Е.В.</t>
  </si>
  <si>
    <t>978-5-16-012218-2</t>
  </si>
  <si>
    <t>Рекомендовано УМС геологического факультета МГУ имени М.В. Ломоносова в качестве учебного пособия для студентов, обучающихся по направлению 05.03.01 «Геология»</t>
  </si>
  <si>
    <t>313300.08.01</t>
  </si>
  <si>
    <t>Стандартизация и контроль качества турист.услуг: Уч.пос./О.М.Пахомова-НИЦ ИНФРА-М,2024-135с(ВО:Бак.)</t>
  </si>
  <si>
    <t>СТАНДАРТИЗАЦИЯ И КОНТРОЛЬ КАЧЕСТВА ТУРИСТСКИХ УСЛУГ</t>
  </si>
  <si>
    <t>Пахомова О.М.</t>
  </si>
  <si>
    <t>978-5-16-010354-9</t>
  </si>
  <si>
    <t>Рекомендуется ФГБОУ ВПО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образовательную программу высшего профессионального образования по направлению 43.03.02 «Туризм» (регистрационный номер 3056 от 17.06.2015 МГУП)</t>
  </si>
  <si>
    <t>Санкт-Петербургский национальный исследовательский Академический университет имени Ж.И. Алфёрова</t>
  </si>
  <si>
    <t>126300.11.01</t>
  </si>
  <si>
    <t>Стандартизация, метрология и подтвер...: Уч. / М.А.Николаева - 3 изд.-М.:НИЦ ИНФРА-М,2024-297с(п)</t>
  </si>
  <si>
    <t>СТАНДАРТИЗАЦИЯ, МЕТРОЛОГИЯ И ПОДТВЕРЖДЕНИЕ СООТВЕТСТВИЯ, ИЗД.3</t>
  </si>
  <si>
    <t>978-5-16-018897-3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</si>
  <si>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18 от 25.11.2019)</t>
  </si>
  <si>
    <t>683126.02.01</t>
  </si>
  <si>
    <t>Стандартизация, метрология и подтверждение соответствия: Уч. / М.А.Николаева - 3 изд.-М.:НИЦ ИНФРА-М,2022-297 с.(П)</t>
  </si>
  <si>
    <t>978-5-16-017008-4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</si>
  <si>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12 от 14.12.2020)</t>
  </si>
  <si>
    <t>126300.07.01</t>
  </si>
  <si>
    <t>Стандартизация, метрология и подтверждение соответствия: уч. / М.А.Николаева, - 2-е изд.-М.:ИД Форум, НИЦ ИНФРА-М,2019.-352 с..-(Высш</t>
  </si>
  <si>
    <t>СТАНДАРТИЗАЦИЯ, МЕТРОЛОГИЯ И ПОДТВЕРЖДЕНИЕ СООТВЕТСТВИЯ, ИЗД.2</t>
  </si>
  <si>
    <t>Николаева М. А., Карташова Л. В.</t>
  </si>
  <si>
    <t>978-5-8199-0623-1</t>
  </si>
  <si>
    <t>Допущено Учебно-методическим объединением по образованию в области коммерции и маркетинга в качестве учебника  для студентов высших учебных заведений, обучающихся по специальности 080301 - Коммерция (торговое дело) и 080111 - Маркетинг</t>
  </si>
  <si>
    <t>452550.06.01</t>
  </si>
  <si>
    <t>Стандартизация, метрология и... Прак.: Уч.пос. / М.А.Николаева - 2 изд.-М.:НИЦ ИНФРА-М,2024.-115с(О)</t>
  </si>
  <si>
    <t>СТАНДАРТИЗАЦИЯ, МЕТРОЛОГИЯ И ПОДТВЕРЖДЕНИЕ СООТВЕТСТВИЯ. ПРАКТИУМ, ИЗД.2</t>
  </si>
  <si>
    <t>Николаева М.А., Карташова Л.В., Лебедева Т.П.</t>
  </si>
  <si>
    <t>978-5-16-019643-5</t>
  </si>
  <si>
    <t>27.03.01, 38.03.06, 38.03.07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</si>
  <si>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7 от 22.09.2021)</t>
  </si>
  <si>
    <t>317800.08.01</t>
  </si>
  <si>
    <t>Стандартизация, метрология, подтв. соотв.: Уч. / Б.П.Боларев, - 2 изд. - М.:НИЦ ИНФРА-М,2025. - 365 с.(П)(ВО)</t>
  </si>
  <si>
    <t>СТАНДАРТИЗАЦИЯ, МЕТРОЛОГИЯ, ПОДТВЕРЖДЕНИЕ СООТВЕТСТВИЯ, ИЗД.2</t>
  </si>
  <si>
    <t>Боларев Б.П.</t>
  </si>
  <si>
    <t>978-5-16-020850-3</t>
  </si>
  <si>
    <t>38.03.06</t>
  </si>
  <si>
    <t>Допущен УМО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38.03.06 «Торговое дело»</t>
  </si>
  <si>
    <t>410600.09.01</t>
  </si>
  <si>
    <t>Стандартизация, метрология, подтв. соответствия: Уч.пос. / Б.П.Боларев - 3 изд. - М.:НИЦ ИНФРА-М,2025 - 239 с.(П)</t>
  </si>
  <si>
    <t>СТАНДАРТИЗАЦИЯ, МЕТРОЛОГИЯ, ПОДТВЕРЖДЕНИЕ СООТВЕТСТВИЯ, ИЗД.3</t>
  </si>
  <si>
    <t>978-5-16-015956-0</t>
  </si>
  <si>
    <t>27.03.01, 38.03.06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</si>
  <si>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19.03.02 «Продукты питания из растительного сырья», 19.03.03 «Продукты питания животного происхождения» (квалификация (степень) «бакалавр») (протокол № 4 от 02.03.2020)</t>
  </si>
  <si>
    <t>410600.05.01</t>
  </si>
  <si>
    <t>Стандартизация, метрология, подтв. соответствия: Уч.пос. / Б.П.Боларев-М.:НИЦ ИНФРА-М,2019-219с.(П)</t>
  </si>
  <si>
    <t>978-5-16-009799-2</t>
  </si>
  <si>
    <t>317800.04.01</t>
  </si>
  <si>
    <t>Стандартизация, метрология, подтв.соотв.: Уч. / Б.П.Боларев-М.:НИЦ ИНФРА-М,2020-304с.(ВО:Бакалавр.)(п)</t>
  </si>
  <si>
    <t>СТАНДАРТИЗАЦИЯ, МЕТРОЛОГИЯ, ПОДТВЕРЖДЕНИЕ СООТВЕТСТВИЯ</t>
  </si>
  <si>
    <t>БоларевБ.П.</t>
  </si>
  <si>
    <t>978-5-16-010398-3</t>
  </si>
  <si>
    <t>Допущен УМО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38.03.06 (100700) «Торговое дело»</t>
  </si>
  <si>
    <t>703554.07.01</t>
  </si>
  <si>
    <t>Стандартизация, сертификация и упр. качест..: Уч.пос./ Т.Н.Ананьева-М.:НИЦ ИНФРА-М,2025-232 с.(СПО)(П)</t>
  </si>
  <si>
    <t>СТАНДАРТИЗАЦИЯ, СЕРТИФИКАЦИЯ И УПРАВЛЕНИЕ КАЧЕСТВОМ ПРОГРАММНОГО ОБЕСПЕЧЕНИЯ</t>
  </si>
  <si>
    <t>Ананьева Т.Н., Новикова Н.Г., Исаев Г.Н.</t>
  </si>
  <si>
    <t>978-5-16-014887-8</t>
  </si>
  <si>
    <t>482300.07.01</t>
  </si>
  <si>
    <t>Стандартизация, сертификация и управ..: Уч.пос. / Т.Н.Ананьева - М.:НИЦ ИНФРА-М,2025 - 232 с.(ВО)(П)</t>
  </si>
  <si>
    <t>978-5-16-011711-9</t>
  </si>
  <si>
    <t>02.03.02, 09.03.01, 09.03.02, 09.03.03, 09.03.04, 38.03.05</t>
  </si>
  <si>
    <t>Рекомендовано в качестве учебного пособия для студентов высших учебным заведений, обучающихся по направлению подготовки 38.03.05 «Бизнес-информатика» (квалификация (степень) «бакалавр»)</t>
  </si>
  <si>
    <t>452550.03.01</t>
  </si>
  <si>
    <t>Стандартизация,метрология и...:Уч.пос.Практ./ М.А.Николаева-М.:ИД ФОРУМ,НИЦ ИНФРА-М,2017-64с.(ВО)(О)</t>
  </si>
  <si>
    <t>СТАНДАРТИЗАЦИЯ, МЕТРОЛОГИЯ И ПОДТВЕРЖДЕНИЕ СООТВЕТСТВИЯ</t>
  </si>
  <si>
    <t>978-5-8199-0570-8</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</si>
  <si>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специальностям 080301 «Коммерция» и 080111 «Маркетинг»</t>
  </si>
  <si>
    <t>778189.03.01</t>
  </si>
  <si>
    <t>Стандарты аудита ислам. финанс. учреж. и Кодекс этики ...: Уч.пос. / Ф.И.Харисова.-М.:НИЦ ИНФРА-М,2024.-217 с.(ВО)(п)</t>
  </si>
  <si>
    <t>СТАНДАРТЫ АУДИТА ИСЛАМСКИХ ФИНАНСОВЫХ УЧРЕЖДЕНИЙ И КОДЕКС ЭТИКИ ДЛЯ СПЕЦИАЛИСТОВ ПО ИСЛАМСКИМ ФИНАНСАМ (ААОИФИ - AAOIFI)</t>
  </si>
  <si>
    <t>Харисова Ф.И., Дерзаева Г.Г., Харисов И.К. и др.</t>
  </si>
  <si>
    <t>978-5-16-017779-3</t>
  </si>
  <si>
    <t>459050.05.01</t>
  </si>
  <si>
    <t>Стандарты и качество продукции: Уч.- практ. пос. / Ю.Н. Берновский -М.: Форум,НИЦ ИНФРА-М,2023-256с.(ВО(о)</t>
  </si>
  <si>
    <t>СТАНДАРТЫ И КАЧЕСТВО ПРОДУКЦИИ</t>
  </si>
  <si>
    <t>Берновский Ю. Н.</t>
  </si>
  <si>
    <t>978-5-91134-838-0</t>
  </si>
  <si>
    <t>Рекомендовано кафедрой «Стандартизация, метрология и сертификация» Московского государственного технического университета (МЛМИ) в качестве учебно-практического пособия для студентов высших учебных заведений, обучающихся по специальности «Стандартизация, метрология и сертификация»</t>
  </si>
  <si>
    <t>684713.04.01</t>
  </si>
  <si>
    <t>Стандарты информац. безоп. Защита и обраб...: Уч.пос. / Ю.Н.Сычев-2 изд-М.:НИЦ ИНФРА-М,2024-602 с.(ВО)(п)</t>
  </si>
  <si>
    <t>СТАНДАРТЫ ИНФОРМАЦИОННОЙ БЕЗОПАСНОСТИ. ЗАЩИТА И ОБРАБОТКА КОНФИДЕНЦИАЛЬНЫХ ДОКУМЕНТОВ, ИЗД.2</t>
  </si>
  <si>
    <t>978-5-16-019904-7</t>
  </si>
  <si>
    <t>10.03.01, 10.04.01, 10.05.01, 10.05.02, 10.05.03, 10.05.04, 10.05.05</t>
  </si>
  <si>
    <t>721001.04.01</t>
  </si>
  <si>
    <t>Стандарты информац. безоп. Защита и обработка...: Уч.пос. / Ю.Н.Сычев, - 2 изд.-М.:НИЦ ИНФРА-М,2024.-602 с.(п)</t>
  </si>
  <si>
    <t>978-5-16-018253-7</t>
  </si>
  <si>
    <t>10.02.01, 10.02.02, 10.02.03, 10.02.04, 10.02.05, 51.02.03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</si>
  <si>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10.02.00 «Информационная безопасность» (протокол № 12 от 24.06.2019)</t>
  </si>
  <si>
    <t>745641.04.01</t>
  </si>
  <si>
    <t>Стандарты информац. безоп. Защита...: Уч.пос. / Ю.Н.Сычев, - 2 изд.-М.:НИЦ ИНФРА-М,2024.-602 с.(ВО)(п)</t>
  </si>
  <si>
    <t>978-5-16-019905-4</t>
  </si>
  <si>
    <t>721001.05.01</t>
  </si>
  <si>
    <t>Стандарты информац. безопас. Защита и обработка..: Уч.пос. / Ю.Н.Сычев - М.:НИЦ ИНФРА-М,2023 - 223 с.(П)</t>
  </si>
  <si>
    <t>СТАНДАРТЫ ИНФОРМАЦИОННОЙ БЕЗОПАСНОСТИ. ЗАЩИТА И ОБРАБОТКА КОНФИДЕНЦИАЛЬНЫХ ДОКУМЕНТОВ</t>
  </si>
  <si>
    <t>978-5-16-015718-4</t>
  </si>
  <si>
    <t>684713.03.01</t>
  </si>
  <si>
    <t>Стандарты информационной безопасности...: Уч.пос. / Ю.Н.Сычев - М.:НИЦ ИНФРА-М,2023 - 223 с.-(П)</t>
  </si>
  <si>
    <t>978-5-16-014397-2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</si>
  <si>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10.03.00 «Информационная безопасность» (протокол № 7 от 15.04.2019)</t>
  </si>
  <si>
    <t>745641.03.01</t>
  </si>
  <si>
    <t>Стандарты информационной безопасности...: Уч.пос. / Ю.Н.Сычев - М.:НИЦ ИНФРА-М,2024 - 223 с.(П)</t>
  </si>
  <si>
    <t>978-5-16-016533-2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</si>
  <si>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</si>
  <si>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329200.05.01</t>
  </si>
  <si>
    <t>Стандарты качества проведения экскурсий: Уч.пос./ Л.В.Баумгартен-М.:Вуз. уч.,НИЦ ИНФРА-М,2023-96с(О)</t>
  </si>
  <si>
    <t>СТАНДАРТЫ КАЧЕСТВА ПРОВЕДЕНИЯ ЭКСКУРСИЙ</t>
  </si>
  <si>
    <t>978-5-9558-0412-5</t>
  </si>
  <si>
    <t>43.03.01, 43.03.02, 49.03.03</t>
  </si>
  <si>
    <t>301400.08.01</t>
  </si>
  <si>
    <t>Становление информационного общества в России...: Уч. пос. / Г.В.Осипов - Норма: ИНФРА-М, 2024-304с.(п)</t>
  </si>
  <si>
    <t>СТАНОВЛЕНИЕ ИНФОРМАЦИОННОГО ОБЩЕСТВА В РОССИИ И ЗА РУБЕЖОМ</t>
  </si>
  <si>
    <t>Осипов Г.В., Лисичкин В.А., Вирин М.М. и др.</t>
  </si>
  <si>
    <t>978-5-91768-534-2</t>
  </si>
  <si>
    <t>38.03.01, 38.03.02, 38.03.03, 38.03.04, 38.03.05, 38.03.06, 38.03.07, 38.04.01, 38.04.02, 38.04.03, 38.04.04, 38.04.05, 38.04.06, 38.04.07, 38.05.01, 38.05.02, 46.03.02</t>
  </si>
  <si>
    <t>397800.08.01</t>
  </si>
  <si>
    <t>Станочные приспособления: Уч. / В.В.Клепиков - М.:Форум, НИЦ ИНФРА-М,2025 - 319 с.(ВО:Бакалавр.)(П)</t>
  </si>
  <si>
    <t>СТАНОЧНЫЕ ПРИСПОСОБЛЕНИЯ</t>
  </si>
  <si>
    <t>978-5-00091-672-8</t>
  </si>
  <si>
    <t>15.03.01, 15.03.02, 15.03.03, 15.03.04, 15.03.05, 15.04.01, 15.04.04, 15.04.05</t>
  </si>
  <si>
    <t>Допущено Учебно-методическим объединением вузов по образованию в области автоматизированного машиностроения (УМОАМ) в качестве учебника для студентов высших учебных заведений, обучающихся по направлениям подготовки 15.03.05 «Конструкторско-технологическое обеспечение машиностроительных производств», 15.03.04 «Автоматизация технологических процессов и производств»</t>
  </si>
  <si>
    <t>684801.06.01</t>
  </si>
  <si>
    <t>Станочные приспособления: Уч. / В.В.Клепиков и др. - М.:Форум, НИЦ ИНФРА-М,2025 - 319 с.(СПО)(П)</t>
  </si>
  <si>
    <t>978-5-00091-583-7</t>
  </si>
  <si>
    <t>15.02.04, 15.02.07, 15.02.16, 15.02.18, 27.02.01, 27.02.02, 27.02.07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</si>
  <si>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15.02.08 «Технология машиностроения», 15.02.07 «Автоматизация технологических процессов и производств (по отраслям)»</t>
  </si>
  <si>
    <t>777260.01.01</t>
  </si>
  <si>
    <t>Старославянский язык: Уч.пос. / Е.Н.Соколова-М.:НИЦ ИНФРА-М,2024.-189 с.(ВО)(п)</t>
  </si>
  <si>
    <t>СТАРОСЛАВЯНСКИЙ ЯЗЫК</t>
  </si>
  <si>
    <t>Соколова Е.Н., Ушакова А.П.</t>
  </si>
  <si>
    <t>978-5-16-017720-5</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</si>
  <si>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45.03.01 «Филология»</t>
  </si>
  <si>
    <t>344400.05.01</t>
  </si>
  <si>
    <t>Статистика в примерах и задачах: Уч.пос. / В.И.Бережной - 2 изд. - М.:НИЦ ИНФРА-М,2025. - 290 с.(ВО)(п)</t>
  </si>
  <si>
    <t>СТАТИСТИКА В ПРИМЕРАХ И ЗАДАЧАХ, ИЗД.2</t>
  </si>
  <si>
    <t>Бережная Е.В., Бережная О.В., Бережной В.И.</t>
  </si>
  <si>
    <t>978-5-16-018154-7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</si>
  <si>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Регистрационный номер рецензии 021 от 29 января 2015 г. (ФГАУ ФИРО)</t>
  </si>
  <si>
    <t>344400.03.01</t>
  </si>
  <si>
    <t>Статистика в примерах и задачах:Уч.пос./В.И.Бережной-М.:НИЦ ИНФРА-М,2023-288с.(ВО:Бакалавриат)(П)</t>
  </si>
  <si>
    <t>СТАТИСТИКА В ПРИМЕРАХ И ЗАДАЧАХ</t>
  </si>
  <si>
    <t>Бережной В.И., Бигдай О.Б., Бережная О.В., Киселева О.А.</t>
  </si>
  <si>
    <t>978-5-16-010785-1</t>
  </si>
  <si>
    <t>636188.03.01</t>
  </si>
  <si>
    <t>Статистика в управлении соц.-эконом.процессами: Уч.пос. / О.А.Гужова-М.:НИЦ ИНФРА-М,2024-172с(ВО)(о)</t>
  </si>
  <si>
    <t>СТАТИСТИКА В УПРАВЛЕНИИ СОЦИАЛЬНО-ЭКОНОМИЧЕСКИМИ ПРОЦЕССАМИ</t>
  </si>
  <si>
    <t>Гужова О.А., Токарев Ю.А.</t>
  </si>
  <si>
    <t>978-5-16-012151-2</t>
  </si>
  <si>
    <t>Рекомендовано в качестве учебного пособия для студентов высших учебных заведений, обучающихся по направлениям подготовки 38.03.01 «Экономика», 38.03.02 «Мереджмент», 38.03.03 «Управление персоналом» (квалификация (степень) «бакалавр»)</t>
  </si>
  <si>
    <t>474450.05.01</t>
  </si>
  <si>
    <t>Статистика природопользования: Уч.пос. / Л.И. Егоренков - М.:Форум:НИЦ ИНФРА-М, 2025 - 176 с.(ВО) (о)</t>
  </si>
  <si>
    <t>СТАТИСТИКА ПРИРОДОПОЛЬЗОВАНИЯ</t>
  </si>
  <si>
    <t>978-5-91134-949-3</t>
  </si>
  <si>
    <t>Рекомендовано в качестве учебного пособия для студентов и бакалавров высших учебных заведений, обучающихся по направлению подготовки 02200.62 «Экология и природопользование»</t>
  </si>
  <si>
    <t>689284.04.01</t>
  </si>
  <si>
    <t>Статистика природопользования: Уч.пос. / Л.И.Егоренков - М.:Форум, НИЦ ИНФРА-М,2025. - 174 с.(СПО)(П)</t>
  </si>
  <si>
    <t>978-5-00091-617-9</t>
  </si>
  <si>
    <t>05.02.02, 05.02.03, 20.02.01, 20.02.03, 20.02.04, 38.02.01, 38.02.02, 38.02.08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</si>
  <si>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05.02.00 «Науки о Земле»</t>
  </si>
  <si>
    <t>711186.02.01</t>
  </si>
  <si>
    <t>Статистика туризма: Уч.пос. / А.В.Панова - М.:НИЦ ИНФРА-М,2021 - 248 с.-(СПО)(П)</t>
  </si>
  <si>
    <t>СТАТИСТИКА ТУРИЗМА</t>
  </si>
  <si>
    <t>Панова А.В.</t>
  </si>
  <si>
    <t>978-5-16-015326-1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</si>
  <si>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43.02.14 «Гостиничное дело» (протокол № 5 от 11.03.2019)</t>
  </si>
  <si>
    <t>276000.12.01</t>
  </si>
  <si>
    <t>Статистика туризма: Уч.пос. / А.В.Панова, - 2 изд.-М.:НИЦ ИНФРА-М,2024.-287 с.(ВО)(П)</t>
  </si>
  <si>
    <t>СТАТИСТИКА ТУРИЗМА, ИЗД.2</t>
  </si>
  <si>
    <t>978-5-16-015481-7</t>
  </si>
  <si>
    <t>43.03.02, 43.03.03, 43.04.02, 43.04.03, 49.03.03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</si>
  <si>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7 от 08.06.2020)</t>
  </si>
  <si>
    <t>276000.05.01</t>
  </si>
  <si>
    <t>Статистика туризма: Уч.пос. / А.В.Панова-М.:НИЦ ИНФРА-М,2020.-248 с..-(ВО: Бакалавриат)(П)</t>
  </si>
  <si>
    <t>978-5-16-011796-6</t>
  </si>
  <si>
    <t>455550.06.01</t>
  </si>
  <si>
    <t>Статистика финансов: Уч. пос. / Е.А.Саблина-М.:НИЦ ИНФРА-М,2023.-288 с..-(ВО: Бакалавриат)(п)</t>
  </si>
  <si>
    <t>СТАТИСТИКА ФИНАНСОВ</t>
  </si>
  <si>
    <t>Саблина Е. А.</t>
  </si>
  <si>
    <t>978-5-16-009092-4</t>
  </si>
  <si>
    <t>Рекомендовано Учебно-методическим объединением по образованию в области статистики и математических методов в экономике в качестве учебного пособия для студентов высших учебных заведений, обучающихся по направлению «Экономика»</t>
  </si>
  <si>
    <t>Московский международный университет</t>
  </si>
  <si>
    <t>112190.13.01</t>
  </si>
  <si>
    <t>Статистика. Краткий курс лекций..: Уч.пос. / Е.М.Мусина - 2 изд. - М.:Форум, НИЦ ИНФРА-М,2024. - 72 с.(СПО)(О)</t>
  </si>
  <si>
    <t>СТАТИСТИКА. КРАТКИЙ КУРС ЛЕКЦИЙ И ТЕСТОВЫЕ ЗАДАНИЯ, ИЗД.2</t>
  </si>
  <si>
    <t>Мусина Е.М.</t>
  </si>
  <si>
    <t>978-5-00091-747-3</t>
  </si>
  <si>
    <t>842470.01.01</t>
  </si>
  <si>
    <t>Статистика: Уч. / В.В.Глинский - 5 изд. - М.:НИЦ ИНФРА-М,2025. - 372 с.(СПО)(п)</t>
  </si>
  <si>
    <t>СТАТИСТИКА, ИЗД.5</t>
  </si>
  <si>
    <t>Глинский В.В., Серга Л.К., Ионин В.Г. и др.</t>
  </si>
  <si>
    <t>978-5-16-020348-5</t>
  </si>
  <si>
    <t>38.02.03, 38.02.06</t>
  </si>
  <si>
    <t>027380.13.01</t>
  </si>
  <si>
    <t>Статистика: Уч. / В.В.Глинский - 5-е изд.-М.:НИЦ ИНФРА-М,2024.-372 с.(ВО: Бакалавриат)(п)</t>
  </si>
  <si>
    <t>978-5-16-018343-5</t>
  </si>
  <si>
    <t>Допущено Учебно-методическим объединением по образованию в области учреждений высшего образования в качестве учебника для студентов, обучающихся по экономическим специальностям и направлениям «Статистика», «Экономика» и «Менеджмент»</t>
  </si>
  <si>
    <t>758831.01.01</t>
  </si>
  <si>
    <t>Статистика: Уч. / В.Н.Едронова-М.:НИЦ ИНФРА-М,2024.-231 с.(ВО: Бакалавриат)(П)</t>
  </si>
  <si>
    <t>СТАТИСТИКА</t>
  </si>
  <si>
    <t>Едронова В.Н.</t>
  </si>
  <si>
    <t>978-5-16-017050-3</t>
  </si>
  <si>
    <t>00.03.13, 38.03.01, 38.03.02</t>
  </si>
  <si>
    <t>072660.18.01</t>
  </si>
  <si>
    <t>Статистика: Уч. / И.И.Сергеева - 2 изд. - М.:ИД ФОРУМ,НИЦ ИНФРА-М,2024 - 304 с.-(СПО)(П)</t>
  </si>
  <si>
    <t>СТАТИСТИКА, ИЗД.2</t>
  </si>
  <si>
    <t>Сергеева И. И., Чекулина Т. А., Тимофеева С. А.</t>
  </si>
  <si>
    <t>978-5-8199-0888-4</t>
  </si>
  <si>
    <t>31.02.01, 51.02.03</t>
  </si>
  <si>
    <t>027380.15.01</t>
  </si>
  <si>
    <t>Статистика: Уч. / Под ред. Ионина В.Г. - 4 изд. - М.:НИЦ ИНФРА-М,2023 - 355 с.(ВО: Бакалавр.)(П)</t>
  </si>
  <si>
    <t>СТАТИСТИКА, ИЗД.4</t>
  </si>
  <si>
    <t>Глинский В.В., Ионин В.Г., Серга Л.К. и др.</t>
  </si>
  <si>
    <t>978-5-16-012070-6</t>
  </si>
  <si>
    <t>176400.07.01</t>
  </si>
  <si>
    <t>Статистика: Уч. пос. / О.А.Шумак - М.:ИЦ РИОР, НИЦ ИНФРА-М,2025 - 311 с.(ВО: Бакалавр.)(п)</t>
  </si>
  <si>
    <t>Шумак О. А., Гераськин А. В.</t>
  </si>
  <si>
    <t>978-5-369-01048-8</t>
  </si>
  <si>
    <t>Рекомендовано Министерством образования РФ в качестве учебника для студентов высших учебных заведений, обучающихся по экономическим специальностям</t>
  </si>
  <si>
    <t>141800.05.01</t>
  </si>
  <si>
    <t>Статистика: Уч. пос. / Ю.С. Ивченко. - М.: ИЦ РИОР:  ИНФРА-М, 2020. - 375 с. (ВО) (п)</t>
  </si>
  <si>
    <t>Ивченко Ю. С.</t>
  </si>
  <si>
    <t>978-5-369-00636-8</t>
  </si>
  <si>
    <t>38.03.01, 38.03.03, 38.03.04, 38.04.01, 41.03.06</t>
  </si>
  <si>
    <t>175800.10.01</t>
  </si>
  <si>
    <t>Статистика: Уч.пос. / Е.В.Иода - М.:Вуз. уч., НИЦ ИНФРА-М,2025 - 303 с.(П)</t>
  </si>
  <si>
    <t>Иода Е. В.</t>
  </si>
  <si>
    <t>978-5-9558-0144-5</t>
  </si>
  <si>
    <t>38.03.01, 38.03.02, 38.03.03, 38.03.04, 38.04.01, 41.03.06</t>
  </si>
  <si>
    <t>085170.09.01</t>
  </si>
  <si>
    <t>Статистика: Уч.пос. / М.Г.Сидоренко - М.:Форум,2025. - 160 с.(о)(Проф.обр.)</t>
  </si>
  <si>
    <t>Сидоренко М. Г.</t>
  </si>
  <si>
    <t>978-5-91134-160-2</t>
  </si>
  <si>
    <t>31.02.03, 38.02.01, 38.02.02, 38.02.03, 38.02.06, 38.02.07, 38.02.08, 39.02.01, 40.02.04</t>
  </si>
  <si>
    <t>Допущено Мин. обр. и науки РФ в качестве учебного пособия для студентов учреждений среднего профессионального образования, обучаюищхся по экономическим специальностям</t>
  </si>
  <si>
    <t>223800.06.01</t>
  </si>
  <si>
    <t>Статистическая метод. в системе..: Уч. / Под ред. Едроновой В.Н. - М.:Магистр, НИЦ ИНФРА-М,2022-464с(П)</t>
  </si>
  <si>
    <t>СТАТИСТИЧЕСКАЯ МЕТОДОЛОГИЯ В СИСТЕМЕ НАУЧНЫХ МЕТОДОВ ФИНАНСОВЫХ И ЭКОНОМИЧЕСКИХ ИССЛЕДОВАНИЙ</t>
  </si>
  <si>
    <t>Едронова В. Н., Овчаров А. О., Едронова В. Н.</t>
  </si>
  <si>
    <t>978-5-9776-0283-9</t>
  </si>
  <si>
    <t>165750.09.01</t>
  </si>
  <si>
    <t>Статистическая обработка данных в уч.-исслед.: Уч.пос. /П.А.Волкова-М.:Форум,НИЦ ИНФРА-М,2024-96с(О)</t>
  </si>
  <si>
    <t>СТАТИСТИЧЕСКАЯ ОБРАБОТКА ДАННЫХ В УЧЕБНО-ИССЛЕДОВАТЕЛЬСКИХ РАБОТАХ</t>
  </si>
  <si>
    <t>Волкова П.А., Шипунов А.Б.</t>
  </si>
  <si>
    <t>978-5-00091-710-7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</si>
  <si>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(протокол № 6 от 25.03.2019)</t>
  </si>
  <si>
    <t>633745.04.01</t>
  </si>
  <si>
    <t>Статистические методы анализа дан.: Уч. /Под ред. Ниворожкиной Л.И.-М.:ИЦ РИОР,НИЦ ИНФРА-М,2023-333с</t>
  </si>
  <si>
    <t>СТАТИСТИЧЕСКИЕ МЕТОДЫ АНАЛИЗА ДАННЫХ</t>
  </si>
  <si>
    <t>Ниворожкина Л.И., Арженовский С.В., Рудяга А.А. и др.</t>
  </si>
  <si>
    <t>978-5-369-01612-1</t>
  </si>
  <si>
    <t>364200.07.01</t>
  </si>
  <si>
    <t>Статистические методы обработки эксперим.дан.с исп.:Уч.пос/Ф.И.Карманов-КУРС,НИЦ ИНФРА-М,2019-208с.</t>
  </si>
  <si>
    <t>СТАТИСТИЧЕСКИЕ МЕТОДЫ ОБРАБОТКИ ЭКСПЕРИМЕНТАЛЬНЫХ ДАННЫХ С ИСПОЛЬЗОВАНИЕМ ПАКЕТА MATHCAD</t>
  </si>
  <si>
    <t>Карманов Ф.И., Острейковский В.А.</t>
  </si>
  <si>
    <t>978-5-905554-96-4</t>
  </si>
  <si>
    <t>01.03.02, 01.04.02, 02.03.02, 02.04.02, 03.03.02, 09.03.01, 09.03.03, 09.04.01, 09.04.03</t>
  </si>
  <si>
    <t>Рекомендовано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09.03.01 (230100) «Информатика и вычислительная техника», направлениям и специальн</t>
  </si>
  <si>
    <t>160850.15.01</t>
  </si>
  <si>
    <t>Статистический анализ данных в MS Excel: Уч.пос. / А.Ю.Козлов - М.:НИЦ ИНФРА-М,2025 - 320с.(ВО)(П)</t>
  </si>
  <si>
    <t>СТАТИСТИЧЕСКИЙ АНАЛИЗ ДАННЫХ В MS EXCEL</t>
  </si>
  <si>
    <t>Козлов А.Ю., Мхитарян В.С., Шишов В.Ф.</t>
  </si>
  <si>
    <t>978-5-16-004579-5</t>
  </si>
  <si>
    <t>Рекомендовано УМО по образованию в области статистики в качестве учебного пособия для студентов высших учебных заведений, обучающихся по экономическим специальностям</t>
  </si>
  <si>
    <t>412950.06.01</t>
  </si>
  <si>
    <t>Стилистика и культура русской речи: Уч./Т.Я.Анохина - М.: Форум:  НИЦ ИНФРА-М, 2023-320с.(ВО) (п)</t>
  </si>
  <si>
    <t>СТИЛИСТИКА И КУЛЬТУРА РУССКОЙ РЕЧИ</t>
  </si>
  <si>
    <t>Анохина Т. Я., Гонтарева О. П., Дашевская Е. И., Змазнева О. А., Анохина Т. Я.</t>
  </si>
  <si>
    <t>978-5-91134-717-8</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</si>
  <si>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печати имени Ивана Федорова» в качестве учебника для студентов высших учебных заведений, обучающихся по нефилологическим специальностям</t>
  </si>
  <si>
    <t>800894.01.01</t>
  </si>
  <si>
    <t>Стилистика служебных документов: Уч.пос. / Т.Н.Зайцева - М.:НИЦ ИНФРА-М,2025. - 254 с.(ВО (СТАНКИН))(п)</t>
  </si>
  <si>
    <t>СТИЛИСТИКА СЛУЖЕБНЫХ ДОКУМЕНТОВ</t>
  </si>
  <si>
    <t>Зайцева Т.Н., Ковина Т.П.</t>
  </si>
  <si>
    <t>978-5-16-019292-5</t>
  </si>
  <si>
    <t>842943.01.01</t>
  </si>
  <si>
    <t>Стилистика служебных документов: Уч.пос. / Т.Н.Зайцева - М.:НИЦ ИНФРА-М,2025. - 254 с.(СПО))(п)</t>
  </si>
  <si>
    <t>978-5-16-020369-0</t>
  </si>
  <si>
    <t>10.02.01, 46.01.01, 51.02.03</t>
  </si>
  <si>
    <t>454950.07.01</t>
  </si>
  <si>
    <t>Стимулирование продаж: принципы, методы, оценка: Уч. пос./О.А.Шальнова - ИНФРА-М, 2023-107с.(ВО) (о)</t>
  </si>
  <si>
    <t>СТИМУЛИРОВАНИЕ ПРОДАЖ: ПРИНЦИПЫ, МЕТОДЫ, ОЦЕНКА</t>
  </si>
  <si>
    <t>Шальнова О. А.</t>
  </si>
  <si>
    <t>978-5-16-009345-1</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</si>
  <si>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100700-62 — «Торговое дело" 1 по специал</t>
  </si>
  <si>
    <t>813937.02.01</t>
  </si>
  <si>
    <t>Сто знаменитых дефектологов: биографиче. сл. / Т.А.Соловьева. - М.:НИЦ ИНФРА-М,2025. - 292 с [12+](п)</t>
  </si>
  <si>
    <t>СТО ЗНАМЕНИТЫХ ДЕФЕКТОЛОГОВ</t>
  </si>
  <si>
    <t>Соловьева Т.А., Коробейников И.А., Тимофеев М.А. и др.</t>
  </si>
  <si>
    <t>978-5-16-019320-5</t>
  </si>
  <si>
    <t>Биографический словарь</t>
  </si>
  <si>
    <t>44.04.03, 44.06.01</t>
  </si>
  <si>
    <t>781987.04.01</t>
  </si>
  <si>
    <t>Стратегии организаций: Уч. / Под ред. Ивановой О.П. - М.:НИЦ ИНФРА-М,2025. - 340 с.(ВО)(п)</t>
  </si>
  <si>
    <t>СТРАТЕГИИ ОРГАНИЗАЦИЙ</t>
  </si>
  <si>
    <t>978-5-16-018428-9</t>
  </si>
  <si>
    <t>27.04.02, 27.04.03, 38.03.01, 38.03.02, 38.04.01, 38.04.02, 38.04.03</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</si>
  <si>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а также для подготовки студентов технологических направлений и специальностей по дисциплинам экономико-организационного и управленческого циклов</t>
  </si>
  <si>
    <t>437150.05.01</t>
  </si>
  <si>
    <t>Стратегии управления компаниями: Уч. пос. / В.И.Грушенко -М.: НИЦ ИНФРА-М, 2023. -336 с -(ВО) (п)</t>
  </si>
  <si>
    <t>СТРАТЕГИИ УПРАВЛЕНИЯ КОМПАНИЯМИ. ОТ ТЕОРИИ К ПРАКТИЧЕСКОЙ РАЗРАБОТКЕ И РЕАЛИЗАЦИИ</t>
  </si>
  <si>
    <t>978-5-16-006721-6</t>
  </si>
  <si>
    <t>27.04.05, 38.03.02, 38.04.02, 41.03.06, 44.03.05</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</si>
  <si>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t>
  </si>
  <si>
    <t>429300.06.01</t>
  </si>
  <si>
    <t>Стратегический контроллинг: Уч. пос. / В.Б. Ивашкевич - М.: Магистр: НИЦ Инфра-М, 2025-216с.(О)</t>
  </si>
  <si>
    <t>СТРАТЕГИЧЕСКИЙ КОНТРОЛЛИНГ</t>
  </si>
  <si>
    <t>978-5-9776-0260-0</t>
  </si>
  <si>
    <t>357800.07.01</t>
  </si>
  <si>
    <t>Стратегический маркетинг для магистров: Уч. / О.Н.Жильцова - М.: Вуз.уч., НИЦ ИНФРА-М, 2025 -354 с.(п)</t>
  </si>
  <si>
    <t>СТРАТЕГИЧЕСКИЙ МАРКЕТИНГ ДЛЯ МАГИСТРОВ</t>
  </si>
  <si>
    <t>ЖильцоваО.Н.</t>
  </si>
  <si>
    <t>978-5-9558-0434-7</t>
  </si>
  <si>
    <t>240400.10.01</t>
  </si>
  <si>
    <t>Стратегический маркетинг: Уч. / В.Н.Наумов - 2 изд. - М.:НИЦ ИНФРА-М,2024 - 356 с.(ВО: Магистр.)(П)</t>
  </si>
  <si>
    <t>СТРАТЕГИЧЕСКИЙ МАРКЕТИНГ, ИЗД.2</t>
  </si>
  <si>
    <t>978-5-16-015270-7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</si>
  <si>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38.00.00 «Экономика и управление» (квалификация (степень) «магистр») (протокол № 13 от 16.09.2019)</t>
  </si>
  <si>
    <t>240400.06.01</t>
  </si>
  <si>
    <t>Стратегический маркетинг: Уч. / В.Н.Наумов - М.:НИЦ ИНФРА-М,2019 - 272 с.-(ВО: Магистр.)(П)</t>
  </si>
  <si>
    <t>СТРАТЕГИЧЕСКИЙ МАРКЕТИНГ</t>
  </si>
  <si>
    <t>978-5-16-009232-4</t>
  </si>
  <si>
    <t>Рекомендовано Учебно-методическим объединением вузов России по образованию в области экономики, товароведения и торгового дела в качестве учебника для студентов высших учебных заведений, обучающихся по направлению 38.04.06 ( 100700) «Торговое дело» (</t>
  </si>
  <si>
    <t>402800.07.01</t>
  </si>
  <si>
    <t>Стратегический менеджм. в инновацион. орг...: Уч./А.В.Андрейчиков-М.:Вуз.уч:Инфра-М,2023-396с (п)</t>
  </si>
  <si>
    <t>СТРАТЕГИЧЕСКИЙ МЕНЕДЖМЕНТ В ИННОВАЦИОННЫХ ОРГАНИЗАЦИЯХ. СИСТЕМНЫЙ АНАЛИЗ И ПРИНЯТИЕ РЕШЕНИЙ</t>
  </si>
  <si>
    <t>Андрейчиков А. В., Андрейчикова О. Н.</t>
  </si>
  <si>
    <t>978-5-9558-0225-1</t>
  </si>
  <si>
    <t>09.03.03, 09.04.03, 27.03.02, 27.03.05, 27.04.02, 27.04.04, 27.04.05, 27.04.07</t>
  </si>
  <si>
    <t>Рекомендовано Учебно-методическим объединением по университетскому политехническому образованию в качестве учебника для студентов высших учебных заведений, обучающихся по направлению «Инноватика» и специальности «Управление инновациями»</t>
  </si>
  <si>
    <t>761289.01.01</t>
  </si>
  <si>
    <t>Стратегический менеджмент в гостинично-ресторан. сервисе.: Уч.пос. / Н.Н.Крупина-М.:НИЦ ИНФРА-М,2023.-211с(П)</t>
  </si>
  <si>
    <t>СТРАТЕГИЧЕСКИЙ МЕНЕДЖМЕНТ В ГОСТИНИЧНО-РЕСТОРАННОМ СЕРВИСЕ.</t>
  </si>
  <si>
    <t>978-5-16-017232-3</t>
  </si>
  <si>
    <t>43.03.01, 43.03.03, 43.04.01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</si>
  <si>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8 от 19.10.2022)</t>
  </si>
  <si>
    <t>757596.01.01</t>
  </si>
  <si>
    <t>Стратегический менеджмент в орган. проф. образования: Уч./С.Н.Рыжиков-М.:НИЦ ИНФРА-М,2025-471 с.(ВО:Магистр)(п)</t>
  </si>
  <si>
    <t>СТРАТЕГИЧЕСКИЙ МЕНЕДЖМЕНТ В ОРГАНИЗАЦИЯХ ПРОФЕССИОНАЛЬНОГО ОБРАЗОВАНИЯ</t>
  </si>
  <si>
    <t>Рыжиков С.Н., Патрахина Т.Н.</t>
  </si>
  <si>
    <t>978-5-16-018411-1</t>
  </si>
  <si>
    <t>44.03.05, 44.04.04</t>
  </si>
  <si>
    <t>Нижневартовский государственный университет</t>
  </si>
  <si>
    <t>425450.05.01</t>
  </si>
  <si>
    <t>Стратегический менеджмент на..: Уч.пос. / С.А.Сироткин-М.:НИЦ ИНФРА-М, Изд-во Урал. ун-та,2023.-246 с.(П)</t>
  </si>
  <si>
    <t>СТРАТЕГИЧЕСКИЙ МЕНЕДЖМЕНТ НА ПРЕДПРИЯТИИ</t>
  </si>
  <si>
    <t>Сироткин С. А., Кельчевская Н. Р.</t>
  </si>
  <si>
    <t>978-5-16-006589-2</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</si>
  <si>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080200.62 «Менеджмент» (квалификация (степень) «бака</t>
  </si>
  <si>
    <t>019226.20.01</t>
  </si>
  <si>
    <t>Стратегический менеджмент. Курс лекций: Уч. пос. / В.Д.Маркова - М:НИЦ Инфра-М,2025 - 288 с.(ВО:Бакалавр.) (о)</t>
  </si>
  <si>
    <t>СТРАТЕГИЧЕСКИЙ МЕНЕДЖМЕНТ. КУРС ЛЕКЦИЙ</t>
  </si>
  <si>
    <t>Маркова В. Д., Кузнецова С. А.</t>
  </si>
  <si>
    <t>978-5-16-002298-7</t>
  </si>
  <si>
    <t>38.03.01, 38.03.02, 38.03.03, 38.03.04, 38.03.05, 38.03.06, 38.03.07, 38.05.01, 38.05.02, 44.03.05</t>
  </si>
  <si>
    <t>Рекомендовано Министерством образования РФ в качестве учебного пособия для студентов высших учебных заведений, обучающихся по экономическим специальностям</t>
  </si>
  <si>
    <t>652880.04.01</t>
  </si>
  <si>
    <t>Стратегический менеджмент: Уч. / А.П.Егоршин - 2 изд. - М.:НИЦ ИНФРА-М,2023 - 290 с.-(ВО)(П)</t>
  </si>
  <si>
    <t>СТРАТЕГИЧЕСКИЙ МЕНЕДЖМЕНТ, ИЗД.2</t>
  </si>
  <si>
    <t>Егоршин А.П., Гуськова И.В.</t>
  </si>
  <si>
    <t>978-5-16-018619-1</t>
  </si>
  <si>
    <t>38.03.01, 38.03.02, 38.03.03, 38.03.04, 38.03.05, 38.03.06, 38.03.07, 41.03.06, 44.03.05</t>
  </si>
  <si>
    <t>Допущено Советом Учебно-методического объединения вузов России по образованию в области менеджмента в качестве учебника для студентов вузов, обучающихся по направлениям «Менеджмент» и «Управление персоналом»</t>
  </si>
  <si>
    <t>675083.02.01</t>
  </si>
  <si>
    <t>Стратегический менеджмент: Уч. / Г.Н.Степанова-М.:НИЦ ИНФРА-М,2023.-261 с.(ВО: Бакалавриат)(П)</t>
  </si>
  <si>
    <t>СТРАТЕГИЧЕСКИЙ МЕНЕДЖМЕНТ</t>
  </si>
  <si>
    <t>Степанова Г.Н., Бирюков В.А., Ливсон М.В.</t>
  </si>
  <si>
    <t>978-5-16-017616-1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</si>
  <si>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6 от 08.06.2022)</t>
  </si>
  <si>
    <t>171000.12.01</t>
  </si>
  <si>
    <t>Стратегический менеджмент: Уч. / Л.Е. Басовский. - М.: НИЦ Инфра-М, 2025. - 365 с.(ВО) (п)</t>
  </si>
  <si>
    <t>978-5-16-005115-4</t>
  </si>
  <si>
    <t>38.03.01, 38.03.02, 38.03.04, 38.04.02, 38.04.04, 41.03.06, 44.03.05</t>
  </si>
  <si>
    <t>Рекомендовано Советом Учебно-методического объединения ВУЗов России по образованию в области менеджмента в качестве учебника по направлению "Менеджмент"</t>
  </si>
  <si>
    <t>176700.11.01</t>
  </si>
  <si>
    <t>Стратегический менеджмент: Уч. / Н.А. Казакова - М.: НИЦ Инфра-М, 2025 - 320 с.(ВО) (п)</t>
  </si>
  <si>
    <t>Казакова Н. А., Александрова А. В., Курашова С. А., Кондрашева Н. Н., Казакова Н. А.</t>
  </si>
  <si>
    <t>978-5-16-005028-7</t>
  </si>
  <si>
    <t>38.03.01, 38.03.02, 38.03.03, 38.03.04, 38.03.05, 38.03.06, 38.03.07, 38.04.01, 38.04.02, 38.04.03, 38.04.04, 38.04.05, 38.04.06, 38.04.07, 38.04.08, 38.04.09, 38.05.01, 38.05.02, 41.03.06, 44.03.05</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</si>
  <si>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080200 "Менеджмент" и специальности 080507 "Менеджмент организации"</t>
  </si>
  <si>
    <t>661011.02.01</t>
  </si>
  <si>
    <t>Стратегический менеджмент: Уч. / С.А.Сироткин-М.:НИЦ ИНФРА-М,2023.-263 с.(ВО: Бакалавр. (УрФУ))(П)</t>
  </si>
  <si>
    <t>978-5-16-013815-2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</si>
  <si>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</si>
  <si>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Университетская книга 2024-2024, Победитель</t>
  </si>
  <si>
    <t>155250.06.01</t>
  </si>
  <si>
    <t>Стратегический менеджмент: Уч. / Ю.В.Гуськов - М.:НИЦ ИНФРА-М,2024 - 271 с.(ВО: Бакалавриат)(П)</t>
  </si>
  <si>
    <t>Гуськов Ю.В., Гуськова Т.В.</t>
  </si>
  <si>
    <t>978-5-16-016310-9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</si>
  <si>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6 от 16.06.2021)</t>
  </si>
  <si>
    <t>175750.10.01</t>
  </si>
  <si>
    <t>Стратегический менеджмент: Уч. пос. / Е.В. Романов. - 2 изд. - М.: НИЦ Инфра-М, 2025 - 160 с.(ВО) (п)</t>
  </si>
  <si>
    <t>Романов Е. В.</t>
  </si>
  <si>
    <t>978-5-16-005135-2</t>
  </si>
  <si>
    <t>38.03.02, 38.03.04, 38.04.01, 38.04.02, 38.04.04, 41.03.06, 44.03.05</t>
  </si>
  <si>
    <t>Допущено Советом Учебно-методическим объединением в области менеджмента в качестве учебного пособия для студентов вузов, обучающихся по направлению "Менеджмент"</t>
  </si>
  <si>
    <t>078850.10.01</t>
  </si>
  <si>
    <t>Стратегический менеджмент: Уч. пос./ Ю.Н. Лапыгин. - 2 изд. - М.: НИЦ ИНФРА-М, 2024. - 208 с.(ВО)(П)</t>
  </si>
  <si>
    <t>Лапыгин Ю. Н.</t>
  </si>
  <si>
    <t>978-5-16-006592-2</t>
  </si>
  <si>
    <t>38.03.01, 38.03.02, 38.03.03, 38.03.04, 38.04.01, 38.04.02, 38.04.03, 38.04.04, 41.03.06, 42.04.01, 43.03.01, 44.03.05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</si>
  <si>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081100 «Государственное и м</t>
  </si>
  <si>
    <t>Российская академия народного хозяйства и государственной службы при Президенте РФ, Владимирский ф-л</t>
  </si>
  <si>
    <t>417850.04.01</t>
  </si>
  <si>
    <t>Стратегический менеджмент: Уч. пос./А.В.Курлыкова - М.: ИЦ РИОР: ИНФРА-М, 2020-176с.(ВО: Бакалавр.) (п)</t>
  </si>
  <si>
    <t>Курлыкова А. В.</t>
  </si>
  <si>
    <t>978-5-369-01143-0</t>
  </si>
  <si>
    <t>38.03.01, 38.03.02, 38.03.03, 38.03.04, 38.04.01, 38.04.02, 38.04.04, 38.05.01, 38.05.02, 41.03.06, 44.03.05</t>
  </si>
  <si>
    <t>Рекомендовано ФГБОУ ВПО «Государственный университет управлений" в качестве учебного пособия для студентов высших учебных заведений, обучающихся по направлению 080200.62 -Менеджмент» (квалификация (степень) «бакалавр»)</t>
  </si>
  <si>
    <t>249100.05.01</t>
  </si>
  <si>
    <t>Стратегический менеджмент: уч.пос. / А.Б.Савченко-М.:ИЦ РИОР, НИЦ ИНФРА-М,2024.-228 с..-(ВО: Бакалавриат)(о)</t>
  </si>
  <si>
    <t>Савченко А.Б.</t>
  </si>
  <si>
    <t>978-5-369-01305-2</t>
  </si>
  <si>
    <t>38.03.01, 38.03.02, 38.03.04, 38.04.01, 38.04.02, 38.04.04, 44.03.05</t>
  </si>
  <si>
    <t>074500.14.01</t>
  </si>
  <si>
    <t>Стратегический менеджмент: Уч.пос. / В.А.Баринов- 2 изд.-М.:НИЦ ИНФРА-М,2024.-294 с.(ВО: Бакалавр.)(П)</t>
  </si>
  <si>
    <t>Баринов В.А., Бусалов Д.Ю.</t>
  </si>
  <si>
    <t>978-5-16-016936-1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</si>
  <si>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6 от 16.06.2021)</t>
  </si>
  <si>
    <t>074500.11.01</t>
  </si>
  <si>
    <t>Стратегический менеджмент: уч.пос. / В.А.Баринов-М.:ИНФРА-М Издательский Дом,2019.-285 с..-(ВО)(П 7БЦ)</t>
  </si>
  <si>
    <t>Баринов В. А., Харченко В. Л.</t>
  </si>
  <si>
    <t>978-5-16-002589-6</t>
  </si>
  <si>
    <t>Рекомендовано УМО в области менеджмента в качестве учебного пособия по специальности 080507 "Менеджмент организации", 080503 "Антикризисное управление" и другим экономическим специальностям</t>
  </si>
  <si>
    <t>045080.11.01</t>
  </si>
  <si>
    <t>Стратегический менеджмент: Уч.пос. / В.Н.Родионова - 3 изд. - М.:ИЦ РИОР,НИЦ ИНФРА-М,2024 - 106с.(О)</t>
  </si>
  <si>
    <t>СТРАТЕГИЧЕСКИЙ МЕНЕДЖМЕНТ, ИЗД.3</t>
  </si>
  <si>
    <t>Родионова В. Н.</t>
  </si>
  <si>
    <t>978-5-369-01643-5</t>
  </si>
  <si>
    <t>17.03.01, 20.03.02, 23.03.03, 26.03.02, 27.04.05, 29.03.03, 35.03.02, 38.03.01, 38.03.02, 38.03.03, 38.03.04, 38.03.06, 38.03.07, 38.04.01, 38.04.02, 38.04.03, 38.04.04, 38.04.06, 38.05.01, 41.03.06, 44.03.01, 44.03.05</t>
  </si>
  <si>
    <t>140350.07.01</t>
  </si>
  <si>
    <t>Стратегический менеджмент: Уч.пос. / М.М.Купцов-3 изд.-М.:ИЦ РИОР, ИНФРА-М Издательский Дом,2024.-184 с.(ВО)(п)</t>
  </si>
  <si>
    <t>Купцов М. М.</t>
  </si>
  <si>
    <t>978-5-369-00634-4</t>
  </si>
  <si>
    <t>38.03.01, 38.03.02, 38.03.03, 38.03.04, 38.04.02, 38.04.03, 38.04.04, 41.03.06, 44.03.01, 44.03.05</t>
  </si>
  <si>
    <t>214600.09.01</t>
  </si>
  <si>
    <t>Стратегический управленческий учет для бизнеса: Уч. /  Л.В.Юрьева - М:НИЦ ИНФРА-М,2025 - 336 с.(ВО:Магистр.) (п)</t>
  </si>
  <si>
    <t>СТРАТЕГИЧЕСКИЙ УПРАВЛЕНЧЕСКИЙ УЧЕТ ДЛЯ БИЗНЕСА</t>
  </si>
  <si>
    <t>Юрьева Л. В., Илышева Н. Н., Караваева А. В., Быстрова А. Н.</t>
  </si>
  <si>
    <t>978-5-16-005513-8</t>
  </si>
  <si>
    <t>38.03.01, 38.03.02, 38.04.01, 38.04.08, 41.03.06</t>
  </si>
  <si>
    <t>763303.01.01</t>
  </si>
  <si>
    <t>Стратегический учет и анализ: Уч.пос. / С.А.Бороненкова-М.:НИЦ ИНФРА-М,2023.-272 с.(ВО: Магистр.)(П)</t>
  </si>
  <si>
    <t>СТРАТЕГИЧЕСКИЙ УЧЕТ И АНАЛИЗ</t>
  </si>
  <si>
    <t>Бороненкова С.А., Чепулянис А.В.</t>
  </si>
  <si>
    <t>978-5-16-017313-9</t>
  </si>
  <si>
    <t>38.04.02, 38.05.01</t>
  </si>
  <si>
    <t>Рекомендовано Методическим советом по учебно-методическим вопросам и качеству образования Уральского государственного экономического университета в качестве учебного пособия для обучающихся в высших учебных заведениях по направлениям подготовки УГСН 38.00.00 «Экономика и управление»</t>
  </si>
  <si>
    <t>689199.02.01</t>
  </si>
  <si>
    <t>Стратегическое рук. глобальным бизнесом: Уч. / А.Г.Дементьева - М.:Магистр,НИЦ ИНФРА-М,2020-608с(П)</t>
  </si>
  <si>
    <t>СТРАТЕГИЧЕСКОЕ РУКОВОДСТВО ГЛОБАЛЬНЫМ БИЗНЕСОМ</t>
  </si>
  <si>
    <t>Дементьева А.Г., Соколова М.И.</t>
  </si>
  <si>
    <t>978-5-9776-0477-2</t>
  </si>
  <si>
    <t>799030.01.01</t>
  </si>
  <si>
    <t>Стратегическое управ. развит. соц. сис.: Уч.пос. / А.В.Брыкин-М.:НИЦ ИНФРА-М,2025.-459 с.(ВО: Магистр.)(п)</t>
  </si>
  <si>
    <t>СТРАТЕГИЧЕСКОЕ УПРАВЛЕНИЕ РАЗВИТИЕМ СОЦИАЛЬНЫХ СИСТЕМ</t>
  </si>
  <si>
    <t>Брыкин А.В., Перемибеда П.А., Тюриков А.Г.</t>
  </si>
  <si>
    <t>978-5-16-018881-2</t>
  </si>
  <si>
    <t>656555.02.01</t>
  </si>
  <si>
    <t>Стратегическое управление изменениями: Уч. / О.В.Кожевина - М.:НИЦ ИНФРА-М,2024 - 465 с.(ВО)(п)</t>
  </si>
  <si>
    <t>СТРАТЕГИЧЕСКОЕ УПРАВЛЕНИЕ ИЗМЕНЕНИЯМИ</t>
  </si>
  <si>
    <t>Кожевина О.В., Салиенко Н.В.</t>
  </si>
  <si>
    <t>978-5-16-019213-0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</si>
  <si>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 (протокол № 7 от 22.09.2021)</t>
  </si>
  <si>
    <t>449850.07.01</t>
  </si>
  <si>
    <t>Стратегия и эконом. политика государства: Уч.пос. / Е.Н.Ведута-2 изд.-М.:НИЦ ИНФРА-М,2023-320 с.(ВО)(П)</t>
  </si>
  <si>
    <t>СТРАТЕГИЯ И ЭКОНОМИЧЕСКАЯ ПОЛИТИКА ГОСУДАРСТВА, ИЗД.2</t>
  </si>
  <si>
    <t>Ведута Е. Н.</t>
  </si>
  <si>
    <t>978-5-16-009120-4</t>
  </si>
  <si>
    <t>665070.06.01</t>
  </si>
  <si>
    <t>Стратегия кадрового менеджмента: Уч.пос. / О.А.Вдовина и др. - М.:НИЦ ИНФРА-М,2020 - 210 с.-(ВО)(П)</t>
  </si>
  <si>
    <t>СТРАТЕГИЯ КАДРОВОГО МЕНЕДЖМЕНТА</t>
  </si>
  <si>
    <t>Вдовина О.А., Резник С.Д., Сазыкина О.А. и др.</t>
  </si>
  <si>
    <t>978-5-16-013089-7</t>
  </si>
  <si>
    <t>37.04.02, 38.03.01, 38.03.02, 38.03.03, 38.04.04, 41.03.06</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</si>
  <si>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по направлению подготовки 38.04.02 «Менеджмент» (квалификация (степень) «магистр»)</t>
  </si>
  <si>
    <t>665070.09.01</t>
  </si>
  <si>
    <t>Стратегия кадрового менеджмента: Уч.пос. / С.Д.Резник - 2 изд. - М.:НИЦ ИНФРА-М,2025. - 211 с.(ВО: Магистр.)(П)</t>
  </si>
  <si>
    <t>СТРАТЕГИЯ КАДРОВОГО МЕНЕДЖМЕНТА, ИЗД.2</t>
  </si>
  <si>
    <t>Резник С.Д., Вдовина О.А., Сазыкина О.А. и др.</t>
  </si>
  <si>
    <t>978-5-16-017835-6</t>
  </si>
  <si>
    <t>679811.08.01</t>
  </si>
  <si>
    <t>Стратегия сложных переговоров: Уч.пос. / А.Г.Рыбкин - М.:НИЦ ИНФРА-М,2024-260 с.(ВО: Магистратура)(П)</t>
  </si>
  <si>
    <t>СТРАТЕГИЯ СЛОЖНЫХ ПЕРЕГОВОРОВ</t>
  </si>
  <si>
    <t>Рыбкин А.Г., Эмих О.К.</t>
  </si>
  <si>
    <t>978-5-16-014922-6</t>
  </si>
  <si>
    <t>38.03.01, 38.03.02, 38.03.03, 38.03.04, 38.03.05, 38.03.06, 38.03.07, 38.04.01, 38.04.02, 38.04.03, 38.04.04, 38.04.05, 38.04.06, 38.04.07</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</si>
  <si>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38.04.04 «Государственное и муниципальное управление» (квалификация (степень) «магистр»)</t>
  </si>
  <si>
    <t>Международный институт менеджмента ЛИНК</t>
  </si>
  <si>
    <t>795893.01.01</t>
  </si>
  <si>
    <t>Страхование: Уч.пос. / Л.В.Каячева.-М.:НИЦ ИНФРА-М,2023.-148 с.(ВО: Бакалавр. (СФУ))(о)</t>
  </si>
  <si>
    <t>СТРАХОВАНИЕ</t>
  </si>
  <si>
    <t>Каячева Л.В., Черных М.Н., Каячев Г.Ф.</t>
  </si>
  <si>
    <t>978-5-16-018084-7</t>
  </si>
  <si>
    <t>38.03.01, 38.03.02, 38.04.01, 38.05.01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</si>
  <si>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специальностям и направлениям подготовки (протокол № 7 от 21.09.2022)</t>
  </si>
  <si>
    <t>036600.21.01</t>
  </si>
  <si>
    <t>Страхование: Уч.пос. / Ю.А.Сплетухов - 2 изд. - М.:НИЦ ИНФРА-М,2025 - 357 с. - (ВО: Бакалавриат)(п)</t>
  </si>
  <si>
    <t>СТРАХОВАНИЕ, ИЗД.2</t>
  </si>
  <si>
    <t>Сплетухов Ю.А., Дюжиков Е.Ф.</t>
  </si>
  <si>
    <t>978-5-16-003575-8</t>
  </si>
  <si>
    <t>Рекомендовано Государственным университетом управления в качестве учебного пособия для студ. вузов, обуч. по спец. 080109.65 "Бухгалтерский учет, анализ и аудит" и 080105.65 "Финансы" и 080107.65Налоги и налогообл. Р.н.р. 252 от 5 марта 2009г. МГУП</t>
  </si>
  <si>
    <t>777081.04.01</t>
  </si>
  <si>
    <t>Страхование: Уч.пос. / Ю.А.Сплетухов, - 2 изд.-М.:НИЦ ИНФРА-М,2024.-357 с.(СПО)(П)</t>
  </si>
  <si>
    <t>978-5-16-017747-2</t>
  </si>
  <si>
    <t>38.02.02, 38.02.07, 42.02.02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</si>
  <si>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38.02.02 «Страховое дело (по отраслям)» (протокол № 2 от 09.02.2022)</t>
  </si>
  <si>
    <t>636919.05.01</t>
  </si>
  <si>
    <t>Страховой маркетинг: Уч. / Под ред. Синяева В.В.-М.:Вуз. уч., НИЦ ИНФРА-М,2023 - 380 с.(П)</t>
  </si>
  <si>
    <t>СТРАХОВОЙ МАРКЕТИНГ</t>
  </si>
  <si>
    <t>Жильцова О.Н., Жильцов Д.А., Земляк С.В. и др.</t>
  </si>
  <si>
    <t>978-5-9558-0537-5</t>
  </si>
  <si>
    <t>38.03.01, 38.03.02, 38.04.02, 44.03.01, 44.03.05</t>
  </si>
  <si>
    <t>678848.04.01</t>
  </si>
  <si>
    <t>Страховой надзор в РФ: Уч.пос. / А.А.Ситник - 2 изд. - М.:Юр.Норма, НИЦ ИНФРА-М,2023 - 176 с.(П)</t>
  </si>
  <si>
    <t>СТРАХОВОЙ НАДЗОР В РФ, ИЗД.2</t>
  </si>
  <si>
    <t>Ситник А.А., Рождественская Т.Э., Гузнов А.Г.</t>
  </si>
  <si>
    <t>978-5-00156-133-0</t>
  </si>
  <si>
    <t>678848.01.01</t>
  </si>
  <si>
    <t>Страховой надзор в РФ: Уч.пос. для магистр. / А.А.Ситник - М.:Юр.Норма,НИЦ ИНФРА-М,2018 - 160 с.(П)</t>
  </si>
  <si>
    <t>СТРАХОВОЙ НАДЗОР В РФ</t>
  </si>
  <si>
    <t>978-5-91768-898-5</t>
  </si>
  <si>
    <t>803692.07.01</t>
  </si>
  <si>
    <t>Строевой устав Вооруженных Сил РФ - М.:НИЦ ИНФРА-М,2025. - 101 с.(о)</t>
  </si>
  <si>
    <t>СТРОЕВОЙ УСТАВ ВООРУЖЕННЫХ СИЛ РОССИЙСКОЙ ФЕДЕРАЦИИ</t>
  </si>
  <si>
    <t>978-5-16-018485-2</t>
  </si>
  <si>
    <t>460150.07.01</t>
  </si>
  <si>
    <t>Строительная механика плоских стерж.: Уч.пос. / Под ред. Трушина С.И. - 2 изд. - М.:НИЦ ИНФРА-М,2025 - 278 с.(п)</t>
  </si>
  <si>
    <t>СТРОИТЕЛЬНАЯ МЕХАНИКА ПЛОСКИХ СТЕРЖНЕВЫХ СИСТЕМ, ИЗД.2</t>
  </si>
  <si>
    <t>Ступишин Л.Ю., Трушин С.И., Трушин С.И.</t>
  </si>
  <si>
    <t>978-5-16-009451-9</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</si>
  <si>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строительный университет» в качестве учебного пособия для студентов ВПО, обучающихся по направлению подг</t>
  </si>
  <si>
    <t>449700.08.01</t>
  </si>
  <si>
    <t>Строительная механика: метод конечных элем.: Уч.пос. / С.И.Трушин - М.:НИЦ ИНФРА-М,2024-305с.(ВО)(П)</t>
  </si>
  <si>
    <t>СТРОИТЕЛЬНАЯ МЕХАНИКА: МЕТОД КОНЕЧНЫХ ЭЛЕМЕНТОВ</t>
  </si>
  <si>
    <t>Трушин С.И.</t>
  </si>
  <si>
    <t>978-5-16-011428-6</t>
  </si>
  <si>
    <t>Рекомендовано Учебно-методическим объединением вузов РФ по образованию в области строительства в качестве учебного пособия для подготовки бакалавров по направлению 08.03.01 «Строительство», магистров по направлению 08.04.01 «Строительство» и специалистов по направлению 08.05.01 «Строительство уникальных зданий и сооружений»</t>
  </si>
  <si>
    <t>406050.09.01</t>
  </si>
  <si>
    <t>Строительная теплофизика: Уч. пос. / А.А.Кудинов - М.:НИЦ ИНФРА-М,2024. - 262 с.(ВО)(п)</t>
  </si>
  <si>
    <t>СТРОИТЕЛЬНАЯ ТЕПЛОФИЗИКА</t>
  </si>
  <si>
    <t>Кудинов А. А.</t>
  </si>
  <si>
    <t>978-5-16-019184-3</t>
  </si>
  <si>
    <t>Рекомендовано в качестве учебного пособия для студентов высших учебных заведений, обучающихся по направлению подготовки 08.03.01 «Строительство»</t>
  </si>
  <si>
    <t>057200.14.01</t>
  </si>
  <si>
    <t>Строительные конструкции. Расчет и проектир.: Уч. / В.И.Сетков- 3-изд.-М.:НИЦ ИНФРА-М,2018-444с(П)</t>
  </si>
  <si>
    <t>СТРОИТЕЛЬНЫЕ КОНСТРУКЦИИ. РАСЧЕТ И ПРОЕКТИРОВАНИЕ, ИЗД.3</t>
  </si>
  <si>
    <t>Сетков В.И., Сербин Е.П.</t>
  </si>
  <si>
    <t>978-5-16-003989-3</t>
  </si>
  <si>
    <t>08.02.01, 08.02.02, 08.02.03, 08.02.15, 35.02.12</t>
  </si>
  <si>
    <t>Пермский государственный профессионально-педагогический колледж</t>
  </si>
  <si>
    <t>057200.23.01</t>
  </si>
  <si>
    <t>Строительные конструкции. Расчет и проектир.: Уч. / Е.П.Сербин, - 4 изд.-М.:НИЦ ИНФРА-М,2025.-447 с.(П)</t>
  </si>
  <si>
    <t>СТРОИТЕЛЬНЫЕ КОНСТРУКЦИИ. РАСЧЕТ И ПРОЕКТИРОВАНИЕ, ИЗД.4</t>
  </si>
  <si>
    <t>Сербин Е.П., Сетков В.И.</t>
  </si>
  <si>
    <t>978-5-16-015382-7</t>
  </si>
  <si>
    <t>Санкт-Петербургский техникум отраслевых технологий, финансов и права</t>
  </si>
  <si>
    <t>073930.16.01</t>
  </si>
  <si>
    <t>Строительные конструкции: Уч.пос. / Е.П.Сербин - М.:ИЦ РИОР, НИЦ ИНФРА-М,2025 - 236 с.-(СПО)(о)</t>
  </si>
  <si>
    <t>СТРОИТЕЛЬНЫЕ КОНСТРУКЦИИ</t>
  </si>
  <si>
    <t>978-5-369-00011-3</t>
  </si>
  <si>
    <t>08.02.01, 08.02.02, 35.02.12</t>
  </si>
  <si>
    <t>Допущено Госстроем России в качестве учебного пособия для студентов средних специальных учебных заведений, обучающихся по специальности 2902 "Строительство и эксплуатация зданий и сооружений"</t>
  </si>
  <si>
    <t>430600.09.01</t>
  </si>
  <si>
    <t>Строительные материалы..: Уч.-мет.пос. / Я.Н.Ковалев - М.:НИЦ ИНФРА-М.,2025 - 633 с.(ВО)(п)</t>
  </si>
  <si>
    <t>СТРОИТЕЛЬНЫЕ МАТЕРИАЛЫ. ЛАБОРАТОРНЫЙ ПРАКТИКУМ</t>
  </si>
  <si>
    <t>Ковалев Я. Н., Галузо Г. С., Змачинский А. Э., Чистова Т. А., Ковалев Я. Н.</t>
  </si>
  <si>
    <t>978-5-16-006406-2</t>
  </si>
  <si>
    <t>Рекомендовано Учебно-методическим объединением по образованию в области строительства и архитектуры в качестве учебно-методического пособия для студентов специальностей 1-70 03 01 «Автомобильные дороги» и 1-70 01 02 «Мосты, транспортные тоннели и метрополитены»</t>
  </si>
  <si>
    <t>406300.12.01</t>
  </si>
  <si>
    <t>Строительные материалы: Уч.пос. / П.С.Красовский - М.:Форум, НИЦ ИНФРА-М,2025 - 256 с.(ВО) (П)</t>
  </si>
  <si>
    <t>СТРОИТЕЛЬНЫЕ МАТЕРИАЛЫ</t>
  </si>
  <si>
    <t>Красовский П.С.</t>
  </si>
  <si>
    <t>978-5-00091-665-0</t>
  </si>
  <si>
    <t>08.03.01, 08.04.01, 20.03.02, 35.03.10</t>
  </si>
  <si>
    <t>Рекомендовано в качестве учебного пособия для бакалавров, магистров и специалистов, обучающихся по группе направлений подготовки 08.00.00 «Техника и технологии строительства»</t>
  </si>
  <si>
    <t>Дальневосточный государственный университет путей сообщения</t>
  </si>
  <si>
    <t>707352.08.01</t>
  </si>
  <si>
    <t>Строительные материалы: Уч.пос. / П.С.Красовский - М.:Форум, НИЦ ИНФРА-М,2025 - 256 с.(СПО)(П)</t>
  </si>
  <si>
    <t>978-5-00091-683-4</t>
  </si>
  <si>
    <t>07.02.01, 08.02.01, 08.02.02, 08.02.08, 08.02.12, 08.02.13, 08.02.14, 23.02.08, 35.02.12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</si>
  <si>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3 от 17.02.2020)</t>
  </si>
  <si>
    <t>687867.11.01</t>
  </si>
  <si>
    <t>Строительные машины: Уч. / А.И.Доценко - М.:НИЦ ИНФРА-М,2025 - 533 с.-(СПО)(П)</t>
  </si>
  <si>
    <t>СТРОИТЕЛЬНЫЕ МАШИНЫ</t>
  </si>
  <si>
    <t>Доценко А.И., Дронов В.Г.</t>
  </si>
  <si>
    <t>978-5-16-014250-0</t>
  </si>
  <si>
    <t>08.01.30, 08.02.01, 08.02.02, 08.02.03, 08.02.04, 08.02.09, 08.02.12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</si>
  <si>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08.02.00 «Строительство»</t>
  </si>
  <si>
    <t>144000.16.01</t>
  </si>
  <si>
    <t>Строительные машины: Уч. / А.И.Доценко, - 2 изд. - М.:НИЦ ИНФРА-М,2025. - 400 с.(ВО: Бакалавриат)(П)</t>
  </si>
  <si>
    <t>СТРОИТЕЛЬНЫЕ МАШИНЫ, ИЗД.2</t>
  </si>
  <si>
    <t>Доценко А.И.</t>
  </si>
  <si>
    <t>978-5-16-013631-8</t>
  </si>
  <si>
    <t>Рекомендовано Учебно-методическим объединением вузов РФ по образованию в области строительства в качестве учебника для студентов, обучающихся по направлению 08.03.01 «Строительство»</t>
  </si>
  <si>
    <t>144000.07.01</t>
  </si>
  <si>
    <t>Строительные машины: Уч. для строит. вузов / А.И.Доценко - М.:НИЦ ИНФРА-М,2018-533с(ВО:Бакалавр.)(П)</t>
  </si>
  <si>
    <t>Доценко А. И., Дронов В. Г.</t>
  </si>
  <si>
    <t>978-5-16-004826-0</t>
  </si>
  <si>
    <t>264600.05.01</t>
  </si>
  <si>
    <t>Строительство автодор.и город.тоннел.: Уч. / Под ред. Маковского Л.В. - М.:ИЦ РИОР,НИЦ ИНФРА-М,2022 - 397с(О)</t>
  </si>
  <si>
    <t>СТРОИТЕЛЬСТВО АВТОДОРОЖНЫХ И ГОРОДСКИХ ТОННЕЛЕЙ</t>
  </si>
  <si>
    <t>Маковский Л.В., Щекудов Е.В., Петрова Е.Н. и др.</t>
  </si>
  <si>
    <t>978-5-369-01331-1</t>
  </si>
  <si>
    <t>Допущено УМО вузов РФ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специальностям «Автомобильные дороги и аэродромы» направления подготовки «Транспортное ст</t>
  </si>
  <si>
    <t>703455.06.01</t>
  </si>
  <si>
    <t>Строительство городских объектов озеленения: Уч. / М.М.Фатиев - М.:Форум,НИЦ ИНФРА-М,2025 - 205 с.(СПО)(П)</t>
  </si>
  <si>
    <t>СТРОИТЕЛЬСТВО ГОРОДСКИХ ОБЪЕКТОВ ОЗЕЛЕНЕНИЯ</t>
  </si>
  <si>
    <t>Фатиев М.М.</t>
  </si>
  <si>
    <t>978-5-00091-662-9</t>
  </si>
  <si>
    <t>07.02.01, 35.02.12</t>
  </si>
  <si>
    <t>Рекомендовано Учебно-методическим объединением по образованию в области лесного дела по специальности «Садово-парковое и ландшафтное строительство»</t>
  </si>
  <si>
    <t>403700.14.01</t>
  </si>
  <si>
    <t>Строительство городских объектов озеленения: Уч./М.М.Фатиев - М.: Форум: НИЦ Инфра-М, 2024-208с.(ВО) (п)</t>
  </si>
  <si>
    <t>978-5-91134-682-9</t>
  </si>
  <si>
    <t>08.03.01, 35.03.10, 35.04.09</t>
  </si>
  <si>
    <t>372000.08.01</t>
  </si>
  <si>
    <t>Строительство земл.полотна автом.дорог: Уч.пос. / Ю.Г.Бабаскин - М.:НИЦ ИНФРА-М,2025 - 333 с.(ВО(п)</t>
  </si>
  <si>
    <t>СТРОИТЕЛЬСТВО ЗЕМЛЯНОГО ПОЛОТНА АВТОМОБИЛЬНЫХ ДОРОГ</t>
  </si>
  <si>
    <t>Бабаскин Ю.Г.</t>
  </si>
  <si>
    <t>978-5-16-011884-0</t>
  </si>
  <si>
    <t>07.03.04, 08.03.01, 08.04.01, 08.05.01, 08.05.02, 08.05.03</t>
  </si>
  <si>
    <t>140950.12.01</t>
  </si>
  <si>
    <t>Строительство и экспл. объектов гор. озеленения: Уч.пос. / М.М.Фатиев - М.:НИЦ ИНФРА-М,2024-238 с.(ВО)(П)</t>
  </si>
  <si>
    <t>СТРОИТЕЛЬСТВО И ЭКСПЛУАТАЦИЯ ОБЪЕКТОВ ГОРОДСКОГО ОЗЕЛЕНЕНИЯ</t>
  </si>
  <si>
    <t>Фатиев М. М., Теодоронский В. С.</t>
  </si>
  <si>
    <t>978-5-16-019962-7</t>
  </si>
  <si>
    <t>07.03.01, 07.04.01, 35.03.01, 35.03.10, 35.04.09</t>
  </si>
  <si>
    <t>Рекомендовано Учебно-методическим объединением по образованию в области лесного дела по направлению подготовки 35.03.10 «Ландшафтная архитектура» (квалификация (степень) «бакалавр»)</t>
  </si>
  <si>
    <t>080250.18.01</t>
  </si>
  <si>
    <t>Строительство, реконструкция и ремонт водопровод...: Уч.пос. / В.А.Орлов - М.:НИЦ ИНФРА-М,2025-221с(П)</t>
  </si>
  <si>
    <t>СТРОИТЕЛЬСТВО, РЕКОНСТРУКЦИЯ И РЕМОНТ ВОДОПРОВОДНЫХ И ВОДООТВОДЯЩИХ СЕТЕЙ БЕСТРАНШЕЙНЫМИ МЕТОДАМИ</t>
  </si>
  <si>
    <t>Орлов В.А., Орлов Е.В.</t>
  </si>
  <si>
    <t>978-5-16-012603-6</t>
  </si>
  <si>
    <t>08.01.29, 08.02.02, 08.02.04, 08.02.14, 18.01.27, 19.01.01</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</si>
  <si>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направлению (специальности) 08.02.04 «Водоснабжение и водоотведение»</t>
  </si>
  <si>
    <t>324800.04.01</t>
  </si>
  <si>
    <t>Структура и свойства неметал. материалов: Уч.пос. / Г.В.Пачурин-М.:Форум, НИЦ ИНФРА-М,2024.-104 с.(ВО)(о)</t>
  </si>
  <si>
    <t>СТРУКТУРА И СВОЙСТВА НЕМЕТАЛЛИЧЕСКИХ МАТЕРИАЛОВ</t>
  </si>
  <si>
    <t>Пачурин Г.В., Горшкова Т.А., Шевченко С.М. и др.</t>
  </si>
  <si>
    <t>978-5-00091-010-8</t>
  </si>
  <si>
    <t>15.03.01, 15.03.05, 20.03.01</t>
  </si>
  <si>
    <t>706118.02.01</t>
  </si>
  <si>
    <t>Структура и функции Центр. банка РФ: Уч. / А.А.Казимагомедов - М.:НИЦ ИНФРА-М,2023 - 204 с.(СПО)(П)</t>
  </si>
  <si>
    <t>СТРУКТУРА И ФУНКЦИИ ЦЕНТРАЛЬНОГО БАНКА РОССИЙСКОЙ ФЕДЕРАЦИИ</t>
  </si>
  <si>
    <t>978-5-16-015228-8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</si>
  <si>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38.02.06 «Финансы», 38.02.07 «Банковское дело» (протокол № 19 от 09.12.2019)</t>
  </si>
  <si>
    <t>647306.03.01</t>
  </si>
  <si>
    <t>Структура машин, механизмов и конструкций: Уч.пос. / А.И.Смелягин - М.:НИЦ ИНФРА-М,2025. - 387 с.(ВО)(П)</t>
  </si>
  <si>
    <t>СТРУКТУРА МАШИН, МЕХАНИЗМОВ И КОНСТРУКЦИЙ</t>
  </si>
  <si>
    <t>Смелягин А.И.</t>
  </si>
  <si>
    <t>978-5-16-013674-5</t>
  </si>
  <si>
    <t>11.03.03, 12.03.01, 12.03.02, 12.03.04, 12.03.05, 15.03.01, 15.03.05, 15.03.06, 16.03.02, 18.03.01, 18.03.02, 19.03.02, 21.05.04, 23.03.02, 23.03.03, 24.03.01, 24.03.05, 28.03.01, 28.03.02, 29.03.02, 29.03.03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</si>
  <si>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бакалавриата и специалитета (протокол № 9 от 13.05.2019)</t>
  </si>
  <si>
    <t>365900.07.01</t>
  </si>
  <si>
    <t>Структурная геология: Уч. / А.В.Тевелев, - 2 изд. - М.:НИЦ ИНФРА-М,2025 - 342 с.(ВО:Бакалавр.)(П)</t>
  </si>
  <si>
    <t>СТРУКТУРНАЯ ГЕОЛОГИЯ, ИЗД.2</t>
  </si>
  <si>
    <t>Тевелев А.В.</t>
  </si>
  <si>
    <t>978-5-16-011004-2</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</si>
  <si>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05.03.01 «Геология»</t>
  </si>
  <si>
    <t>464900.06.01</t>
  </si>
  <si>
    <t>Структурно-планиров. реорганиз.совр. городов: Уч.пос./Д.Б.Веретенников -М:НИЦ ИНФРА-М,2024-88с(ВО)(о)</t>
  </si>
  <si>
    <t>СТРУКТУРНО-ПЛАНИРОВОЧНАЯ РЕОРГАНИЗАЦИЯ СОВРЕМЕННЫХ ГОРОДОВ</t>
  </si>
  <si>
    <t>978-5-16-018883-6</t>
  </si>
  <si>
    <t>Рекомендовано в качестве учебного пособия для студентов высших учебных заведений, обучающихся по направлению подготовки 07.03.01 «Архитектура»</t>
  </si>
  <si>
    <t>341300.06.01</t>
  </si>
  <si>
    <t>Структурообразование в системах при производстве..: Уч.пос. / Л.Н.Попов - М.:НИЦ ИНФРА-М,2025 - 61 с.(О)</t>
  </si>
  <si>
    <t>СТРУКТУРООБРАЗОВАНИЕ В СИСТЕМАХ ПРИ ПРОИЗВОДСТВЕ СТРОИТЕЛЬНЫХ МАТЕРИАЛОВ</t>
  </si>
  <si>
    <t>Попов Л.Н., Аликина И.Б., Усов Б.А.</t>
  </si>
  <si>
    <t>978-5-16-010755-4</t>
  </si>
  <si>
    <t>465100.07.01</t>
  </si>
  <si>
    <t>Структуроформирование мегаполисов: Уч.пос. / Д.Б.Веретенников - М.:НИЦ ИНФРА-М,2025 -112 с.(ВО)(о)</t>
  </si>
  <si>
    <t>СТРУКТУРОФОРМИРОВАНИЕ МЕГАПОЛИСОВ</t>
  </si>
  <si>
    <t>978-5-16-016115-0</t>
  </si>
  <si>
    <t>Рекомендовано в качестве учебного пособия для студентов высших учебных заведений, обучающихся по специальности 07.04.01 «Архитектура»</t>
  </si>
  <si>
    <t>226500.10.01</t>
  </si>
  <si>
    <t>Структуры и алгоритмы обработки данных: Уч. пос. / В.Д. Колдаев. - ИЦ РИОР: ИНФРА-М, 2023-296с.(ВО) (п)</t>
  </si>
  <si>
    <t>СТРУКТУРЫ И АЛГОРИТМЫ ОБРАБОТКИ ДАННЫХ</t>
  </si>
  <si>
    <t>978-5-369-01264-2</t>
  </si>
  <si>
    <t>09.03.01, 09.03.03, 09.03.04, 09.04.01, 09.04.03</t>
  </si>
  <si>
    <t>Рекомендовано Научно-методическим советом Национальното исследовательского университета Московского института электронной техники в качестве учебного пособия для студентов, обучающихся по специальностям: 230105 «Программное обеспечение вычислительной техники и автоматизированных систем</t>
  </si>
  <si>
    <t>298800.04.01</t>
  </si>
  <si>
    <t>Студент вуза: технологии и орг. обуч. в вузе: Уч. / С.Д.Резник - 4 изд.-М.:НИЦ ИНФРА-М,2019-366с(ВО)</t>
  </si>
  <si>
    <t>СТУДЕНТ ВУЗА: ТЕХНОЛОГИИ И ОРГАНИЗАЦИЯ ОБУЧЕНИЯ В ВУЗЕ, ИЗД.4</t>
  </si>
  <si>
    <t>Резник С.Д., Резник С.Д.</t>
  </si>
  <si>
    <t>978-5-16-010134-7</t>
  </si>
  <si>
    <t>298800.08.01</t>
  </si>
  <si>
    <t>Студент вуза: технологии и орг. обуч: Уч. / С.Д.Резник - 5 изд.-М.:НИЦ ИНФРА-М,2024-391с(ВО)</t>
  </si>
  <si>
    <t>СТУДЕНТ ВУЗА: ТЕХНОЛОГИИ И ОРГАНИЗАЦИЯ ОБУЧЕНИЯ, ИЗД.5</t>
  </si>
  <si>
    <t>978-5-16-014782-6</t>
  </si>
  <si>
    <t>Допущено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обучающихся по направлению подготовки 38.03.02 «Менеджмент» (квалификация (степень) «Бакалавр»)</t>
  </si>
  <si>
    <t>298800.09.01</t>
  </si>
  <si>
    <t>Студент вуза: технологии успешного обучения: Уч. / С.Д.Резник - 6 изд. - М.:НИЦ ИНФРА-М,2025. - 341 с.(ВО)(п)</t>
  </si>
  <si>
    <t>СТУДЕНТ ВУЗА: ТЕХНОЛОГИИ УСПЕШНОГО ОБУЧЕНИЯ, ИЗД.6</t>
  </si>
  <si>
    <t>Резник С.Д., Игошина И.А., Сазыкина О.А.</t>
  </si>
  <si>
    <t>978-5-16-020326-3</t>
  </si>
  <si>
    <t>782711.02.01</t>
  </si>
  <si>
    <t>Судебная автороведческая экспертиза: Уч.пос. / Т.П.Соколова - М.:Юр. НОРМА, НИЦ ИНФРА-М,2025. - 380 с.(п)</t>
  </si>
  <si>
    <t>СУДЕБНАЯ АВТОРОВЕДЧЕСКАЯ ЭКСПЕРТИЗА</t>
  </si>
  <si>
    <t>Соколова Т.П., Чубина Е.А.</t>
  </si>
  <si>
    <t>978-5-00156-251-1</t>
  </si>
  <si>
    <t>781791.01.01</t>
  </si>
  <si>
    <t>Судебная баллистика: рус.-англ. и англ.-рус. сл.: Словарь / А.В.Кокин-М.:НИЦ ИНФРА-М,2024.-486 с.(п)</t>
  </si>
  <si>
    <t>СУДЕБНАЯ БАЛЛИСТИКА: РУССКО-АНГЛИЙСКИЙ И АНГЛО-РУССКИЙ СЛОВАРЬ</t>
  </si>
  <si>
    <t>Кокин А.В.</t>
  </si>
  <si>
    <t>978-5-16-017798-4</t>
  </si>
  <si>
    <t>40.03.01, 40.04.01, 40.05.03</t>
  </si>
  <si>
    <t>692964.04.01</t>
  </si>
  <si>
    <t>Судебная лингвист. экспертиза рекламы: Моногр. / Е.А.Чубина - М.:Юр.Норма,НИЦ ИНФРА-М,2022 - 192 с(П)</t>
  </si>
  <si>
    <t>СУДЕБНАЯ ЛИНГВИСТИЧЕСКАЯ ЭКСПЕРТИЗА РЕКЛАМЫ</t>
  </si>
  <si>
    <t>Чубина Е.А.</t>
  </si>
  <si>
    <t>978-5-91768-962-3</t>
  </si>
  <si>
    <t>079700.19.01</t>
  </si>
  <si>
    <t>Судебная медицина и психиатрия: Уч. / А.В.Датий - 3 изд. - М.:ИЦ РИОР, НИЦ ИНФРА-М,2025 - 294 с.(ВО)(П)</t>
  </si>
  <si>
    <t>СУДЕБНАЯ МЕДИЦИНА И ПСИХИАТРИЯ, ИЗД.3</t>
  </si>
  <si>
    <t>Датий А. В.</t>
  </si>
  <si>
    <t>978-5-369-01091-4</t>
  </si>
  <si>
    <t>31.05.01, 31.05.02, 32.04.01, 32.05.01, 40.03.01, 40.04.01, 40.05.01, 40.05.02, 40.05.03, 40.05.04</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</si>
  <si>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 и направлению "Юриспруденция"</t>
  </si>
  <si>
    <t>061240.09.01</t>
  </si>
  <si>
    <t>Судебная медицина и психиатрия: Уч. пос. / А.В.Датий - 2 изд. - М.:ИЦ РИОР,НИЦ ИНФРА-М,2022-152с(ВО)(о)</t>
  </si>
  <si>
    <t>СУДЕБНАЯ МЕДИЦИНА И ПСИХИАТРИЯ, ИЗД.2</t>
  </si>
  <si>
    <t>978-5-369-01530-8</t>
  </si>
  <si>
    <t>31.05.01, 31.05.02, 32.05.01, 40.03.01, 40.05.01, 40.05.02, 40.05.03, 40.05.04</t>
  </si>
  <si>
    <t>185550.07.01</t>
  </si>
  <si>
    <t>Судебная медицина: Лекции / В.С. Пауков. - М.: Норма:  НИЦ Инфра-М, 2023. - 288 с (о)</t>
  </si>
  <si>
    <t>СУДЕБНАЯ МЕДИЦИНА: ЛЕКЦИИ</t>
  </si>
  <si>
    <t>Пауков В. С.</t>
  </si>
  <si>
    <t>978-5-91768-288-4</t>
  </si>
  <si>
    <t>31.05.01, 31.05.02, 32.05.01, 40.03.01, 40.04.01, 40.05.01, 40.05.02, 40.05.03, 40.05.04</t>
  </si>
  <si>
    <t>Московская академия экономики и права</t>
  </si>
  <si>
    <t>717483.11.01</t>
  </si>
  <si>
    <t>Судебная медицина: Уч. / И.В.Буромский - 2 изд. - М.:Юр. НОРМА, НИЦ ИНФРА-М,2025 - 632 с.(п)</t>
  </si>
  <si>
    <t>СУДЕБНАЯ МЕДИЦИНА, ИЗД.2</t>
  </si>
  <si>
    <t>Буромский И.В., Макаров И.Ю., Кильдюшов Е.М. и др.</t>
  </si>
  <si>
    <t>978-5-00156-375-4</t>
  </si>
  <si>
    <t>717483.09.01</t>
  </si>
  <si>
    <t>Судебная медицина: Уч. / И.В.Буромский и др. - М.:Юр.Норма, НИЦ ИНФРА-М,2023 - 688 с.(П)</t>
  </si>
  <si>
    <t>СУДЕБНАЯ МЕДИЦИНА</t>
  </si>
  <si>
    <t>978-5-00156-015-9</t>
  </si>
  <si>
    <t>049200.18.01</t>
  </si>
  <si>
    <t>Судебная медицина: Уч. / Под ред. В.Н. Крюкова. - 2 изд. - М.: Норма: НИЦ ИНФРА-М, 2025. - 432 с.(п)</t>
  </si>
  <si>
    <t>Крюков В.Н.</t>
  </si>
  <si>
    <t>978-5-91768-248-8</t>
  </si>
  <si>
    <t>Рекомендовано Учебно-методическим объединением образовательных учреждений профессионального образования в области судебной экспертизы в качестве учебника для студентов высших учебных заведений, обучающихся по специальности "Судебная экспертиза"</t>
  </si>
  <si>
    <t>648390.10.01</t>
  </si>
  <si>
    <t>Судебная почерковедческая экспертиза: Уч.пос. / И.Н.Подволоцкий - М.:Юр.Норма, НИЦ ИНФРА-М,2025-272с.(П)</t>
  </si>
  <si>
    <t>СУДЕБНАЯ ПОЧЕРКОВЕДЧЕСКАЯ ЭКСПЕРТИЗА</t>
  </si>
  <si>
    <t>Подволоцкий И.Н.</t>
  </si>
  <si>
    <t>978-5-91768-799-5</t>
  </si>
  <si>
    <t>003921.23.01</t>
  </si>
  <si>
    <t>Судебная психиатрия: Уч. для вузов / Н.М. Жариков - 6 изд. - М.: Норма:НИЦ ИНФРА-М, 2025 - 632с.(п)</t>
  </si>
  <si>
    <t>СУДЕБНАЯ ПСИХИАТРИЯ, ИЗД.6</t>
  </si>
  <si>
    <t>Хритинин Д.Ф., Котов В.П., Полубинская С.В.</t>
  </si>
  <si>
    <t>978-5-91768-607-3</t>
  </si>
  <si>
    <t>31.05.01, 31.08.10, 31.08.20, 31.08.24, 33.05.01, 40.03.01, 40.04.01, 40.05.01, 40.05.02, 40.05.03, 40.05.04</t>
  </si>
  <si>
    <t>Рекомендовано Учебно-методическим объединением по медицинскому и фармацевтическому образованию в качестве учебника для студентов медицинских вузов</t>
  </si>
  <si>
    <t>650832.10.01</t>
  </si>
  <si>
    <t>Судебная фотография и видеозапись: Уч. / Г.П.Шамаев - М.:Юр.Норма, НИЦ ИНФРА-М,2023 - 528 с.(П)</t>
  </si>
  <si>
    <t>СУДЕБНАЯ ФОТОГРАФИЯ И ВИДЕОЗАПИСЬ</t>
  </si>
  <si>
    <t>Шамаев Г.П.</t>
  </si>
  <si>
    <t>978-5-91768-811-4</t>
  </si>
  <si>
    <t>766865.02.01</t>
  </si>
  <si>
    <t>Судебная экономическая экспертиза. Сб. задач.. Прак.: Уч.пос. / Н.Г.Гаджиев - М.:НИЦ ИНФРА-М,2024-167 с.(ВО)(П)</t>
  </si>
  <si>
    <t>СУДЕБНАЯ ЭКОНОМИЧЕСКАЯ ЭКСПЕРТИЗА. СБОРНИК ЗАДАЧ, СИТУАЦИЙ, ТЕСТОВ</t>
  </si>
  <si>
    <t>Гаджиев Н.Г., Киселева О.В., Коноваленко С.А. и др.</t>
  </si>
  <si>
    <t>978-5-16-017335-1</t>
  </si>
  <si>
    <t>Рекомендовано Межрегиональным учебно-методическим советом профессионального образования в качестве учебного пособия для курсантов, студентов, обучающихся в высших учебных заведениях по специальностям 38.05.01 «Экономическая безопасность» (квалификация «экономист»), 40.05.03 «Судебная экспертиза» (квалификация «судебный эксперт») (протокол № 1 от 12.01.2022)</t>
  </si>
  <si>
    <t>734289.06.01</t>
  </si>
  <si>
    <t>Судебная экономическая экспертиза: Уч. / Н.Г.Гаджиев. - М.:НИЦ ИНФРА-М,2025. - 200 с.(ВО: Спец.)(П)</t>
  </si>
  <si>
    <t>СУДЕБНАЯ ЭКОНОМИЧЕСКАЯ ЭКСПЕРТИЗА</t>
  </si>
  <si>
    <t>Гаджиев Н.Г., Скрипкина О.В., Киселева О.В. и др.</t>
  </si>
  <si>
    <t>978-5-16-016407-6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</si>
  <si>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38.05.01 «Экономическая безопасность» (квалификация «экономист»), 40.05.03 «Судебная экспертиза» (квалификация «судебный эксперт») (протокол № 2 от 17.02.2021)</t>
  </si>
  <si>
    <t>777231.01.01</t>
  </si>
  <si>
    <t>Судебная экономическая экспертиза: Уч.пос. / Е.В.Батурина-М.:НИЦ ИНФРА-М,2024.-515 с.(ВО.Сп)(п)</t>
  </si>
  <si>
    <t>Батурина Е.В.</t>
  </si>
  <si>
    <t>978-5-16-018089-2</t>
  </si>
  <si>
    <t>789310.01.01</t>
  </si>
  <si>
    <t>Судебная экспертиза контролируемых веществ: Уч. / Под ред. Ивановой Е.В.-М.:НИЦ ИНФРА-М,2023.-377 с.(ВО)(п)</t>
  </si>
  <si>
    <t>СУДЕБНАЯ ЭКСПЕРТИЗА КОНТРОЛИРУЕМЫХ ВЕЩЕСТВ</t>
  </si>
  <si>
    <t>Иванова Е.В., Майорова Е.И., Антихович О.К. и др.</t>
  </si>
  <si>
    <t>978-5-16-018018-2</t>
  </si>
  <si>
    <t>40.05.01, 40.05.03</t>
  </si>
  <si>
    <t>072260.15.01</t>
  </si>
  <si>
    <t>Судебная экспертиза: Курс общей теории: Моногр. / Т.В.Аверьянова - М.:Юр.Норма, НИЦ ИНФРА-М,2025 - 480 с.(П)</t>
  </si>
  <si>
    <t>СУДЕБНАЯ ЭКСПЕРТИЗА: КУРС ОБЩЕЙ ТЕОРИИ</t>
  </si>
  <si>
    <t>Аверьянова Т. В.</t>
  </si>
  <si>
    <t>978-5-91768-013-2</t>
  </si>
  <si>
    <t>Рекомендовано Учебно-методическим объединением образовательных учреждений профессионального образования в области судебной экспертизы для использования в учебном процессе по специальности  "Судебная экспертиза"</t>
  </si>
  <si>
    <t>771489.03.01</t>
  </si>
  <si>
    <t>Судебно-бухгалтерская экспертиза: Уч. / В.А.Тимченко-М.:НИЦ ИНФРА-М,2023.-244 с.(ВО: Спец.)(П)</t>
  </si>
  <si>
    <t>СУДЕБНО-БУХГАЛТЕРСКАЯ ЭКСПЕРТИЗА</t>
  </si>
  <si>
    <t>Тимченко В.А.</t>
  </si>
  <si>
    <t>978-5-16-017469-3</t>
  </si>
  <si>
    <t>717492.05.01</t>
  </si>
  <si>
    <t>Судебное речеведение: Уч. / Е.И.Галяшина - М.:Юр. НОРМА, НИЦ ИНФРА-М,2025. - 320 с.(П)</t>
  </si>
  <si>
    <t>СУДЕБНОЕ РЕЧЕВЕДЕНИЕ</t>
  </si>
  <si>
    <t>Галяшина Е.И.</t>
  </si>
  <si>
    <t>978-5-00156-016-6</t>
  </si>
  <si>
    <t>682623.02.01</t>
  </si>
  <si>
    <t>Судебно-экологическая экспертиза: Уч.пос. / Е.И.Майорова-М.:НИЦ ИНФРА-М,2020.-197 с.(ВО: Бакалавр.)(П)</t>
  </si>
  <si>
    <t>СУДЕБНО-ЭКОЛОГИЧЕСКАЯ ЭКСПЕРТИЗА</t>
  </si>
  <si>
    <t>Майорова Е.И.</t>
  </si>
  <si>
    <t>978-5-16-015412-1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</si>
  <si>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направлениям подготовки (квалификация (степень) «бакалавр») (протокол № 19 от 09.12.2019)</t>
  </si>
  <si>
    <t>645480.08.01</t>
  </si>
  <si>
    <t>Судебно-экспертная деят.: правовое, теор...: Уч. / Е.Р.Россинская - М.:Юр.Норма, НИЦ ИНФРА-М,2025 - 400 с.(П)</t>
  </si>
  <si>
    <t>СУДЕБНО-ЭКСПЕРТНАЯ ДЕЯТЕЛЬНОСТЬ: ПРАВОВОЕ, ТЕОРЕТИЧЕСКОЕ И ОРГАНИЗАЦИОННОЕ ОБЕСПЕЧЕНИЕ</t>
  </si>
  <si>
    <t>978-5-91768-790-2</t>
  </si>
  <si>
    <t>37.05.01, 40.03.01, 40.04.01, 40.05.01, 40.05.02, 40.05.03, 40.05.04</t>
  </si>
  <si>
    <t>670760.06.01</t>
  </si>
  <si>
    <t>Судебные системы зарубежных стран: Уч.пос. / А.Т.Гольцов и др.-М.:Юр.Норма, НИЦ ИНФРА-М,2024-160с(П)</t>
  </si>
  <si>
    <t>СУДЕБНЫЕ СИСТЕМЫ ЗАРУБЕЖНЫХ СТРАН</t>
  </si>
  <si>
    <t>Гольцов А.Т., Сушина Т.Е., Осипов А.Л. и др.</t>
  </si>
  <si>
    <t>978-5-91768-871-8</t>
  </si>
  <si>
    <t>275600.05.01</t>
  </si>
  <si>
    <t>Судейское сообщество в России и других гос. СНГ / М.И.Клеандров-М:Юр.Норма, НИЦ ИНФРА-М,2019-256с(П)</t>
  </si>
  <si>
    <t>СУДЕЙСКОЕ СООБЩЕСТВО В РОССИИ И ДРУГИХ ГОСУДАРСТВАХ СНГ</t>
  </si>
  <si>
    <t>Клеандров М. И., Краснов Д. А.</t>
  </si>
  <si>
    <t>978-5-91768-488-8</t>
  </si>
  <si>
    <t>38.03.04, 40.02.02, 40.02.04, 40.03.01, 40.04.01, 40.05.01, 40.05.02, 40.05.03, 44.03.05</t>
  </si>
  <si>
    <t>266600.06.01</t>
  </si>
  <si>
    <t>Судейское сообщество: структура, организ.-прав...: Моногр./М.И.Клеандров - М:Норма:ИНФРА-М,2021-352с</t>
  </si>
  <si>
    <t>СУДЕЙСКОЕ СООБЩЕСТВО: СТРУКТУРА, ОРГАНИЗАЦИОННО-ПРАВОВОЕ РАЗВИТИЕ</t>
  </si>
  <si>
    <t>Клеандров М. И.</t>
  </si>
  <si>
    <t>978-5-91768-464-2</t>
  </si>
  <si>
    <t>702852.03.01</t>
  </si>
  <si>
    <t>Судовой механик: уровень эксплуатации и упр.: Уч.пос. / Ю.Г.Дейнего - М.:НИЦ ИНФРА-М,2025. - 111 с.(п)</t>
  </si>
  <si>
    <t>СУДОВОЙ МЕХАНИК: УРОВЕНЬ ЭКСПЛУАТАЦИИ И УПРАВЛЕНИЯ</t>
  </si>
  <si>
    <t>Дейнего Ю.Г.</t>
  </si>
  <si>
    <t>978-5-16-017715-1</t>
  </si>
  <si>
    <t>15.02.16, 26.01.01, 26.01.02, 26.01.03, 26.01.05, 26.01.07, 26.01.09, 26.02.02, 26.02.03, 26.02.04, 26.05.06, 35.01.32, 35.02.11</t>
  </si>
  <si>
    <t>Рекомендовано экспертным советом ЧВВМУ имени П.С. Нахимова в качестве учебного пособия по дисциплине «Эксплуатация судовых энергетических установок»</t>
  </si>
  <si>
    <t>724403.06.01</t>
  </si>
  <si>
    <t>Судовые газотурбинные установки: Уч.пос. / А.Л.Кирюхин - М.:НИЦ ИНФРА-М,2023 - 256 с.-(ВО)(П)</t>
  </si>
  <si>
    <t>СУДОВЫЕ ГАЗОТУРБИННЫЕ УСТАНОВКИ</t>
  </si>
  <si>
    <t>Кирюхин А.Л.</t>
  </si>
  <si>
    <t>978-5-16-015858-7</t>
  </si>
  <si>
    <t>18.01.28, 26.01.01, 26.01.03, 26.01.05, 26.01.07, 26.01.09, 26.02.01, 26.02.03, 26.02.04, 26.02.05, 26.02.06, 35.01.32</t>
  </si>
  <si>
    <t>Допущено Ученым советом Черноморского высшего военно-морского училища имени П.С. Нахимова в качестве учебного пособия для студентов факультета судовождения и энергетики судов по дисциплинам «Судовые турбомашины», «Судовые пропульсивные комплексы» и «Эксплуатация СЭУ»</t>
  </si>
  <si>
    <t>723701.03.01</t>
  </si>
  <si>
    <t>Судовые котельные и паропроизв. установки..: Уч.пос. / В.В.Ажимов - М.:НИЦ ИНФРА-М,2025. - 49 с.(О)</t>
  </si>
  <si>
    <t>СУДОВЫЕ КОТЕЛЬНЫЕ И ПАРОПРОИЗВОДЯЩИЕ УСТАНОВКИ. ТЕПЛОВОЙ РАСЧЕТ ПАРОВОГО КОТЛА</t>
  </si>
  <si>
    <t>Ажимов В.В., Семенов В.Г., ЧВВМУ имени П.С Нахимова</t>
  </si>
  <si>
    <t>978-5-16-016449-6</t>
  </si>
  <si>
    <t>01.03.04, 18.01.28, 26.01.01, 26.01.03, 26.01.05, 26.01.07, 26.01.09, 26.02.01, 26.02.03, 26.02.04, 26.02.05, 26.02.06, 26.05.05, 26.05.06, 26.05.07, 35.01.32</t>
  </si>
  <si>
    <t>Рекомендовано экспертным советом ЧВВМУ имени П.С. Нахимова в качестве учебного пособия по дисциплинам «Судовые котельные и паропроизводящие установки», «Вспомогательные механизмы и системы» для студентов специальности 25.05.06 «Эксплуатация судовых энергетических установок»</t>
  </si>
  <si>
    <t>723714.02.01</t>
  </si>
  <si>
    <t>Судовые турбомашины. Основы теории судовых турбомашин: Уч.пос. / В.В.Кузнецов-М.:НИЦ ИНФРА-М,2021-176 с.-(П)</t>
  </si>
  <si>
    <t>СУДОВЫЕ ТУРБОМАШИНЫ. ОСНОВЫ ТЕОРИИ СУДОВЫХ ТУРБОМАШИН</t>
  </si>
  <si>
    <t>Кузнецов В.В., Польский Е.В.</t>
  </si>
  <si>
    <t>978-5-16-015859-4</t>
  </si>
  <si>
    <t>18.01.28, 26.01.01, 26.01.03, 26.01.05, 26.01.07, 26.01.09, 26.02.01, 26.02.03, 26.02.04, 26.02.05, 26.02.06, 26.05.06, 35.01.32</t>
  </si>
  <si>
    <t>Рекомендовано экспертным советом ЧВВМУ имени П.С. Нахимова в качестве учебного пособия по дисциплине «Судовые турбомашины». Может быть использовано в процессе выполнения курсового и дипломного проектирования студентами факультета судовождения и энергетики судов по специальности 26.05.06 «Эксплуатация судовых энергетических установок»</t>
  </si>
  <si>
    <t>756607.01.01</t>
  </si>
  <si>
    <t>Судовые холодильные установки и их эксплуатация: Уч.мет.пос. / Э.Н.Романов-М.:НИЦ ИНФРА-М,2024.-227 с.(п)</t>
  </si>
  <si>
    <t>СУДОВЫЕ ХОЛОДИЛЬНЫЕ УСТАНОВКИ И ИХ ЭКСПЛУАТАЦИЯ. СПРАВОЧНЫЕ МАТЕРИАЛЫ</t>
  </si>
  <si>
    <t>Романов Э.</t>
  </si>
  <si>
    <t>978-5-16-018446-3</t>
  </si>
  <si>
    <t>01.03.04, 18.01.28, 26.01.01, 26.01.03, 26.01.05, 26.01.07, 26.01.09, 26.02.01, 26.02.03, 26.02.04, 26.02.05, 26.02.06, 26.03.02, 26.05.02, 26.05.06, 35.01.32</t>
  </si>
  <si>
    <t>734793.08.01</t>
  </si>
  <si>
    <t>Судоустройство и правоохр. органы РФ в схемах: Уч.пос. / И.А.Даниленко - 2 изд. - М.:Юр.Норма, НИЦ ИНФРА-М,2025 - 108 с.(О)</t>
  </si>
  <si>
    <t>СУДОУСТРОЙСТВО И ПРАВООХРАНИТЕЛЬНЫЕ ОРГАНЫ РОССИЙСКОЙ ФЕДЕРАЦИИ В СХЕМАХ, ИЗД.2</t>
  </si>
  <si>
    <t>Даниленко И.А.</t>
  </si>
  <si>
    <t>978-5-00156-289-4</t>
  </si>
  <si>
    <t>734793.03.01</t>
  </si>
  <si>
    <t>Судоустройство и правоохранит. органы РФ в схемах: Уч.пос. / И.А.Даниленко - М.:Юр.Норма, НИЦ ИНФРА-М,2022-80с(О)</t>
  </si>
  <si>
    <t>СУДОУСТРОЙСТВО И ПРАВООХРАНИТЕЛЬНЫЕ ОРГАНЫ РОССИЙСКОЙ ФЕДЕРАЦИИ В СХЕМАХ</t>
  </si>
  <si>
    <t>978-5-00156-065-4</t>
  </si>
  <si>
    <t>724595.05.01</t>
  </si>
  <si>
    <t>Судоустройство и правоохранительные органы / Л.А.Воскобитова - М.:Юр.Норма, НИЦ ИНФРА-М,2025. - 80 с.(О)</t>
  </si>
  <si>
    <t>СУДОУСТРОЙСТВО И ПРАВООХРАНИТЕЛЬНЫЕ ОРГАНЫ</t>
  </si>
  <si>
    <t>Воскобитова Л.А., Сушина Т.Е.</t>
  </si>
  <si>
    <t>978-5-00156-035-7</t>
  </si>
  <si>
    <t>695294.02.01</t>
  </si>
  <si>
    <t>США в новое время: общество, гос. и право: Уч.пос.: Ч.1 / Т.В.Алентьева-М.:НИЦ ИНФРА-М,2022.-235 с.(П)</t>
  </si>
  <si>
    <t>США В НОВОЕ ВРЕМЯ: ОБЩЕСТВО, ГОСУДАРСТВО И ПРАВО: ЧАСТЬ 1: XVII-XVIII ВЕКА</t>
  </si>
  <si>
    <t>Алентьева Т.В., Филимонова М.А.</t>
  </si>
  <si>
    <t>978-5-16-014591-4</t>
  </si>
  <si>
    <t>40.03.01, 41.03.01, 41.03.05, 44.03.01, 44.03.05, 45.03.02, 46.03.01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</si>
  <si>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40.03.01 «Юриспруденция», 41.03.05 «Международные отношения», 46.03.01 «История» (квалификация (степень) «бакалавр») (протокол № 11 от 09.11.2020)</t>
  </si>
  <si>
    <t>694971.01.01</t>
  </si>
  <si>
    <t>США в Новое время: общество, гос. и право: Уч.пос.: Ч.2 / Т.В.Алентьева - М.:НИЦ ИНФРА-М,2022 - 355 с.(П)</t>
  </si>
  <si>
    <t>США В НОВОЕ ВРЕМЯ: ОБЩЕСТВО, ГОСУДАРСТВО И ПРАВО. ЧАСТЬ 2. 1800-1877 ГОДЫ</t>
  </si>
  <si>
    <t>978-5-16-014590-7</t>
  </si>
  <si>
    <t>40.03.01, 41.03.01, 41.03.05, 46.03.01</t>
  </si>
  <si>
    <t>775007.07.01</t>
  </si>
  <si>
    <t>Тактика и тактико-специальная подготовка..: Уч.пос. / С.А.Савенко - М: ИНФРА-М,2025 - 224 с.(ВО)(п)</t>
  </si>
  <si>
    <t>ТАКТИКА И ТАКТИКО-СПЕЦИАЛЬНАЯ ПОДГОТОВКА. ВСЕСТОРОННЕЕ ОБЕСПЕЧЕНИЕ БОЕВЫХ ДЕЙСТВИЙ АРТИЛЛЕРИЙСКИХ ПОДРАЗДЕЛЕНИЙ (В СХЕМАХ И ТАБЛИЦАХ)</t>
  </si>
  <si>
    <t>Савенко С.А., Ахметов М.Г., Гниленко В.Г.</t>
  </si>
  <si>
    <t>978-5-16-018527-9</t>
  </si>
  <si>
    <t>40.05.01</t>
  </si>
  <si>
    <t>161800.14.01</t>
  </si>
  <si>
    <t>Тактика мед. сестры при неотложных...: Уч.пос. / В.Г.Лычев - 3 изд. - М.:НИЦ ИНФРА-М,2025. - 318 с.(П)</t>
  </si>
  <si>
    <t>ТАКТИКА МЕДИЦИНСКОЙ СЕСТРЫ ПРИ НЕОТЛОЖНЫХ ЗАБОЛЕВАНИЯХ И СОСТОЯНИЯХ, ИЗД.3</t>
  </si>
  <si>
    <t>Лычев В.Г., Савельев В.М., Карманов В.К.</t>
  </si>
  <si>
    <t>978-5-16-014327-9</t>
  </si>
  <si>
    <t>Рекомендовано Методическим советом ГОУ ДПО «Учебно-методический центр по профессиональному образованию» Департамента образования города Москвы в качестве учебного пособия для студентов и учащихся образовательных учреждений среднего профессионального образования</t>
  </si>
  <si>
    <t>161800.06.01</t>
  </si>
  <si>
    <t>Тактика мед.сестры при неотложных...: Уч.пос./В.Г.Лычев-2изд.-М.:Форум,НИЦ ИНФРА-М,2018-352с.(ПО)(П)</t>
  </si>
  <si>
    <t>ТАКТИКА МЕДИЦИНСКОЙ СЕСТРЫ ПРИ НЕОТЛОЖНЫХ ЗАБОЛЕВАНИЯХ И СОСТОЯНИЯХ, ИЗД.2</t>
  </si>
  <si>
    <t>Лычев В. Г., Савельев В. М., Карманов В. К.</t>
  </si>
  <si>
    <t>978-5-00091-471-7</t>
  </si>
  <si>
    <t>Рекомендовано Методическим советом ГОУ ДПО Учебно-методический центр по профессиональному образованию Департамента образования города Москвы в качестве учебного пособия для студентов и учащихся образовательных учреждений среднего профессионального образования</t>
  </si>
  <si>
    <t>244700.12.01</t>
  </si>
  <si>
    <t>Тактика психиатрич.обслед.и алгоритм...: Уч.пос. / Л.М.Барденштейн - М.:НИЦ ИНФРА-М,2025 - 76 с.(ВО)(О)</t>
  </si>
  <si>
    <t>ТАКТИКА ПСИХИАТРИЧЕСКОГО ОБСЛЕДОВАНИЯ И АЛГОРИТМ НАПИСАНИЯ ИСТОРИИ БОЛЕЗНИ</t>
  </si>
  <si>
    <t>Барденштейн Л.М., Алешкина Г.А.</t>
  </si>
  <si>
    <t>978-5-16-020594-6</t>
  </si>
  <si>
    <t>31.05.01, 31.08.20</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</si>
  <si>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31.08.20 «Психиатрия» (квалификация «врач-психиатр»)</t>
  </si>
  <si>
    <t>756767.04.01</t>
  </si>
  <si>
    <t>Тактико-криминалистич. обеспеч. следств. деят.: практ.: Уч.пос. / Е.В.Шишкина-М.:НИЦ ИНФРА-М,2023.-223 с.(ВО)(П)</t>
  </si>
  <si>
    <t>ТАКТИКО-КРИМИНАЛИСТИЧЕСКОЕ ОБЕСПЕЧЕНИЕ СЛЕДСТВЕННОЙ ДЕЯТЕЛЬНОСТИ: ПРАКТИКУМ</t>
  </si>
  <si>
    <t>978-5-16-017034-3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</si>
  <si>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6 от 16.06.2021)</t>
  </si>
  <si>
    <t>753351.05.01</t>
  </si>
  <si>
    <t>Тактико-криминалистич. обеспеч. следств. деят.: Уч.пос. / Е.В.Шишкина - М.:НИЦ ИНФРА-М,2025. - 199 с.(ВО)(П)</t>
  </si>
  <si>
    <t>ТАКТИКО-КРИМИНАЛИСТИЧЕСКОЕ ОБЕСПЕЧЕНИЕ СЛЕДСТВЕННОЙ ДЕЯТЕЛЬНОСТИ</t>
  </si>
  <si>
    <t>978-5-16-020720-9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</si>
  <si>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40.05.01 "Правовое обеспечение национальной безопасности", 40.05.04 "Судебная и прокурорская деятельность" (квалификация «юрист») (протокол № 2 от 09.02.2022)</t>
  </si>
  <si>
    <t>810794.01.01</t>
  </si>
  <si>
    <t>Тактико-спец. подготовка подразд. автотехн. и...: Уч.пос. / И.А.Кудрявцев-М.:НИЦ ИНФРА-М,2024.-128 с(п)</t>
  </si>
  <si>
    <t>ТАКТИКО-СПЕЦИАЛЬНАЯ ПОДГОТОВКА ПОДРАЗДЕЛЕНИЙ АВТОТЕХНИЧЕСКОГО И ТАНКОТЕХНИЧЕСКОГО ОБЕСПЕЧЕНИЯ</t>
  </si>
  <si>
    <t>Кудрявцев И.А., Погодаев Д.В., Тенчурин А.Ю. и др.</t>
  </si>
  <si>
    <t>978-5-16-019017-4</t>
  </si>
  <si>
    <t>23.03.03, 56.05.01</t>
  </si>
  <si>
    <t>763266.04.01</t>
  </si>
  <si>
    <t>Тактико-специальная подготовка: Уч. / В.Л.Михайликов и др. - М.:НИЦ ИНФРА-М,2024 - 573 с.-(СПО)(П)</t>
  </si>
  <si>
    <t>ТАКТИКО-СПЕЦИАЛЬНАЯ ПОДГОТОВКА</t>
  </si>
  <si>
    <t>Михайликов В.Л., Войнов П.Н., Тарасенко А.А. и др.</t>
  </si>
  <si>
    <t>978-5-16-017102-9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</si>
  <si>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5 от 19.05.2021)</t>
  </si>
  <si>
    <t>733508.08.01</t>
  </si>
  <si>
    <t>Тактико-специальная подготовка: Уч. / В.Л.Михайликов и др. - М.:НИЦ ИНФРА-М,2025. - 573 с.-(ВО)(п)</t>
  </si>
  <si>
    <t>978-5-16-020701-8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</si>
  <si>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40.05.01 «Правовое обеспечение национальной безопасности», 40.05.02 «Правоохранительная деятельность» (квалификация «юрист») (протокол № 2 от 17.02.2021)</t>
  </si>
  <si>
    <t>733504.08.01</t>
  </si>
  <si>
    <t>Тактико-специальная подготовка: Уч.пос. / Г.В.Осетров - М.:НИЦ ИНФРА-М,2025 - 277 с.(ВО: Спец.)(П)</t>
  </si>
  <si>
    <t>Осетров Г.В.</t>
  </si>
  <si>
    <t>978-5-16-016185-3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</si>
  <si>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8 от 22.06.2020)</t>
  </si>
  <si>
    <t>658936.11.01</t>
  </si>
  <si>
    <t>Тактическая подг. курсантов уч. воен.центр.: Уч. / Ю.Б.Байрамуков - М.:НИЦ ИНФРА-М, СФУ,2025 - 518 с.(П)</t>
  </si>
  <si>
    <t>ТАКТИЧЕСКАЯ ПОДГОТОВКА КУРСАНТОВ УЧЕБНЫХ ВОЕННЫХ ЦЕНТРОВ</t>
  </si>
  <si>
    <t>Байрамуков Ю.Б., Янович В.С., Драбатулин Е.А. и др.</t>
  </si>
  <si>
    <t>978-5-16-016653-7</t>
  </si>
  <si>
    <t>Рекомендовано федеральным государственным казенным военным образовательным учреждением высшего образования «Военный учебно-научный центр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специальностям «Автоматизированные системы обработки информации и управления», «Радиотехника», «Радиоэлектронные системы»</t>
  </si>
  <si>
    <t>441100.04.01</t>
  </si>
  <si>
    <t>Таможенное оформ. морских контейн..: Уч.пос./Т.Н.Тимченко-2 изд.-М.:ИЦ РИОР,НИЦ ИНФРА-М,2018-123с(о)</t>
  </si>
  <si>
    <t>ТАМОЖЕННОЕ ОФОРМЛЕНИЕ МОРСКИХ КОНТЕЙНЕРНЫХ ПЕРЕВОЗОК, ИЗД.2</t>
  </si>
  <si>
    <t>Тимченко Т.Н., Филатова Е.В.</t>
  </si>
  <si>
    <t>978-5-369-01669-5</t>
  </si>
  <si>
    <t>441100.08.01</t>
  </si>
  <si>
    <t>Таможенное оформ. морских контейнер..: Уч.пос. / Т.Н.Тимченко -3изд.-М.:ИЦ РИОР, НИЦ ИНФРА-М,2025-134с(ВО)(О)</t>
  </si>
  <si>
    <t>ТАМОЖЕННОЕ ОФОРМЛЕНИЕ МОРСКИХ КОНТЕЙНЕРНЫХ ПЕРЕВОЗОК, ИЗД.3</t>
  </si>
  <si>
    <t>978-5-369-01886-6</t>
  </si>
  <si>
    <t>786376.01.01</t>
  </si>
  <si>
    <t>Таможенное право: Уч. / А.В.Зубач и др.-М.:НИЦ ИНФРА-М,2024.-522 с..-(ВО.Сп)(п)</t>
  </si>
  <si>
    <t>ТАМОЖЕННОЕ ПРАВО</t>
  </si>
  <si>
    <t>Зубач А.В., Вахитов А.К., Веретенцева И.В. и др.</t>
  </si>
  <si>
    <t>978-5-16-018117-2</t>
  </si>
  <si>
    <t>38.05.02, 40.03.01, 40.05.01, 40.05.02, 40.05.03</t>
  </si>
  <si>
    <t>202100.07.01</t>
  </si>
  <si>
    <t>Таможенное право: Уч. / В.Г. Свинухов, С.В. Сенотрусова. - М.: Магистр:  НИЦ ИНФРА-М, 2022. - 368 с. (п)</t>
  </si>
  <si>
    <t>Свинухов В. Г., Сенотрусова С. В.</t>
  </si>
  <si>
    <t>978-5-9776-0262-4</t>
  </si>
  <si>
    <t>38.05.02, 40.03.01, 40.04.01, 40.05.01, 40.05.02, 40.05.03</t>
  </si>
  <si>
    <t>092700.14.01</t>
  </si>
  <si>
    <t>Таможенное право: Уч.пос. / О.Ю.Бакаева - 3 изд., - М.:Юр.Норма, НИЦ ИНФРА-М,2023 - 592 с.(П)</t>
  </si>
  <si>
    <t>ТАМОЖЕННОЕ ПРАВО, ИЗД.3</t>
  </si>
  <si>
    <t>Бакаева О.Ю., Лайченкова Н.Н., Бакаева О.Ю.</t>
  </si>
  <si>
    <t>978-5-91768-641-7</t>
  </si>
  <si>
    <t>38.05.02, 40.03.01, 40.04.01, 40.05.01, 40.05.02, 40.05.03, 40.05.04</t>
  </si>
  <si>
    <t>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обучающихсяпо специальности и направлению подготовки «Юриспруденция»</t>
  </si>
  <si>
    <t>092700.08.01</t>
  </si>
  <si>
    <t>Таможенное право: Уч.пос. / Отв.ред. О.Ю.Бакаева и др. - 2 изд. - М.:Юр.Норма,НИЦ ИНФРА-М,2016-512с.(О)</t>
  </si>
  <si>
    <t>ТАМОЖЕННОЕ ПРАВО, ИЗД.2</t>
  </si>
  <si>
    <t>Бакаева О. Ю., Голубь О. В., Коваленко Е. П., Лайченкова Н. Н., Бакаева О. Ю.</t>
  </si>
  <si>
    <t>978-5-91768-245-7</t>
  </si>
  <si>
    <t>666692.05.01</t>
  </si>
  <si>
    <t>Тампонажные смеси: Уч.пос. / В.И.Зварыгин-М.:НИЦ ИНФРА-М, СФУ,2023.-216 с..-(ВО)(П)</t>
  </si>
  <si>
    <t>ТАМПОНАЖНЫЕ СМЕСИ</t>
  </si>
  <si>
    <t>978-5-16-018209-4</t>
  </si>
  <si>
    <t>21.05.03</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</si>
  <si>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специальности 21.05.03  «Технология геологической разведки» специализации «Технология и техника разведки месторождений полезных ископаемых»</t>
  </si>
  <si>
    <t>791518.01.01</t>
  </si>
  <si>
    <t>Танкотехническое обеспечение: Уч.пос. / В.А.Кутепов-М.:НИЦ ИНФРА-М,2023.-260 с.(Военное образ.(ОмГТУ))(п)</t>
  </si>
  <si>
    <t>ТАНКОТЕХНИЧЕСКОЕ ОБЕСПЕЧЕНИЕ</t>
  </si>
  <si>
    <t>Кутепов В.А., Лепешинский И.Ю., Шмаков Е.А. и др.</t>
  </si>
  <si>
    <t>978-5-16-017997-1</t>
  </si>
  <si>
    <t>23.03.02, 23.03.03, 23.04.02, 23.04.03, 56.04.03, 56.04.04</t>
  </si>
  <si>
    <t>699334.03.01</t>
  </si>
  <si>
    <t>Театральная школа: современные смыслы: Уч.пос. / А.С.Кузин - М.:НИЦ ИНФРА-М,2024 - 284 с.(П)</t>
  </si>
  <si>
    <t>ТЕАТРАЛЬНАЯ ШКОЛА: СОВРЕМЕННЫЕ СМЫСЛЫ</t>
  </si>
  <si>
    <t>Кузин А.С.</t>
  </si>
  <si>
    <t>978-5-16-014959-2</t>
  </si>
  <si>
    <t>52.05.01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</si>
  <si>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52.00.00 «Сценические искусства и литературное творчество» (протокол № 5 от 11.03.2019)</t>
  </si>
  <si>
    <t>Ярославский государственный театральный институт</t>
  </si>
  <si>
    <t>731119.02.01</t>
  </si>
  <si>
    <t>Текстильное материаловедение и упр. качеством: Уч. / Ю.С.Шустов - М.:НИЦ ИНФРА-М,2025. - 386 с.(ВО)(П)</t>
  </si>
  <si>
    <t>ТЕКСТИЛЬНОЕ МАТЕРИАЛОВЕДЕНИЕ И УПРАВЛЕНИЕ КАЧЕСТВОМ</t>
  </si>
  <si>
    <t>Шустов Ю.С., Кирюхин С.М.</t>
  </si>
  <si>
    <t>978-5-16-020410-9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</si>
  <si>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29.03.02 «Технологии и проектирование текстильных изделий» (квалификация (степень) «бакалавр») (протокол № 4 от 13.04.2022)</t>
  </si>
  <si>
    <t>483800.06.01</t>
  </si>
  <si>
    <t>Текстильное материаловедение: лаб. прак.: Уч.пос. / Ю.С.Шустов - 4 изд. - М.:НИЦ ИНФРА-М,2025. - 357 с.(П)</t>
  </si>
  <si>
    <t>ТЕКСТИЛЬНОЕ МАТЕРИАЛОВЕДЕНИЕ: ЛАБОРАТОРНЫЙ ПРАКТИКУМ, ИЗД.4</t>
  </si>
  <si>
    <t>Шустов Ю.С., Кирюхин С.М., Давыдов А.Ф. и др.</t>
  </si>
  <si>
    <t>978-5-16-016514-1</t>
  </si>
  <si>
    <t>29.03.01, 29.03.05, 54.03.03, 54.04.03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</si>
  <si>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29.03.02 «Технологии и проектирование текстильных изделий», 29.03.05 «Конструирование изделий легкой промышленности» (квалификация (степень) «бакалавр») (протокол № 12 от 14.12.2020)</t>
  </si>
  <si>
    <t>483800.04.01</t>
  </si>
  <si>
    <t>Текстильное материаловедение: лабор. практ.: Уч.пос. /Ю.С.Шустов -3 изд. -М.:НИЦ ИНФРА-М,2020-341(П)</t>
  </si>
  <si>
    <t>ТЕКСТИЛЬНОЕ МАТЕРИАЛОВЕДЕНИЕ: ЛАБОРАТОРНЫЙ ПРАКТИКУМ, ИЗД.3</t>
  </si>
  <si>
    <t>978-5-16-011720-1</t>
  </si>
  <si>
    <t>Рекомендовано в качестве учебного пособия для студентов высших учебных заведений, обучающихся по направлениям подготовки 29.03.05 «Конструирование изделий легкой промышленности», 29.03.01 «Технология изделий легкой промышленности» (квалификация (степень) «бакалавр»)</t>
  </si>
  <si>
    <t>773011.02.01</t>
  </si>
  <si>
    <t>Текстильные материалы: Терминологический сл.-справ. / А.В.Куличенко - М.:НИЦ ИНФРА-М,2025. - 176 с.(п)</t>
  </si>
  <si>
    <t>ТЕКСТИЛЬНЫЕ МАТЕРИАЛЫ</t>
  </si>
  <si>
    <t>Куличенко А.В.</t>
  </si>
  <si>
    <t>978-5-16-017830-1</t>
  </si>
  <si>
    <t>29.03.01, 29.03.05, 29.04.01, 29.04.02, 29.04.05</t>
  </si>
  <si>
    <t>Санкт-Петербургский государственный университет промышленных технологий и дизайна</t>
  </si>
  <si>
    <t>477650.04.01</t>
  </si>
  <si>
    <t>Телевизионная индустрия США: Уч.пос. / А.С.Зубок - М.:Вуз.учеб., НИЦ ИНФРА-М,2023 - 256 с.(о)</t>
  </si>
  <si>
    <t>ТЕЛЕВИЗИОННАЯ ИНДУСТРИЯ США</t>
  </si>
  <si>
    <t>Зубок А.С.</t>
  </si>
  <si>
    <t>978-5-9558-0392-0</t>
  </si>
  <si>
    <t>35.03.01, 38.03.02, 38.04.02, 41.03.04, 41.03.05, 41.03.06, 41.04.04, 41.04.05, 42.03.01, 42.03.02, 42.03.04, 42.04.01, 42.04.02, 42.04.04, 46.03.01, 46.04.01, 51.03.01, 51.04.01</t>
  </si>
  <si>
    <t>НТС</t>
  </si>
  <si>
    <t>741580.03.01</t>
  </si>
  <si>
    <t>Тематический коммент. к Закону РФ О ПОПРАВКЕ К КОНСТИТУЦИИ.... / Т.Я.Хабриeва — М.: Норма : ИНФРА-М, 2022-240с(П)</t>
  </si>
  <si>
    <t>ТЕМАТИЧЕСКИЙ КОММЕНТАРИЙ К ЗАКОНУ РОССИЙСКОЙ ФЕДЕРАЦИИ О ПОПРАВКЕ К КОНСТИТУЦИИ РОССИЙСКОЙ ФЕДЕРАЦИИ ОТ 14 МАРТА 2020 Г. № 1-ФКЗ</t>
  </si>
  <si>
    <t>Хабриева Т.Я., Клишас А.А.</t>
  </si>
  <si>
    <t>978-5-00156-090-6</t>
  </si>
  <si>
    <t>129500.14.01</t>
  </si>
  <si>
    <t>Теневая эконом. и эконом. безоп. гос.: Уч.пос. / В.И.Авдийский.-3 изд.-М:НИЦ ИНФРА-М,2024 - 538с(П)</t>
  </si>
  <si>
    <t>ТЕНЕВАЯ ЭКОНОМИКА И ЭКОНОМИЧЕСКАЯ БЕЗОПАСНОСТЬ ГОСУДАРСТВА, ИЗД.3</t>
  </si>
  <si>
    <t>978-5-16-016905-7</t>
  </si>
  <si>
    <t>683914.04.01</t>
  </si>
  <si>
    <t>Теоретико-методологич. аспекты использования информац...: Уч.пос. / В.Д.Колдаев - М.:НИЦ ИНФРА-М,2025. - 333 с.(П)</t>
  </si>
  <si>
    <t>ТЕОРЕТИКО-МЕТОДОЛОГИЧЕСКИЕ АСПЕКТЫ ИСПОЛЬЗОВАНИЯ ИНФОРМАЦИОННЫХ ТЕХНОЛОГИЙ В ОБРАЗОВАНИИ</t>
  </si>
  <si>
    <t>978-5-16-015020-8</t>
  </si>
  <si>
    <t>00.03.03, 00.03.16, 00.05.03, 00.05.16, 44.03.05</t>
  </si>
  <si>
    <t>Рекомендовано научно-методическим советом Национального исследовательского университета «Московский институт электронной техники» в качестве учебного пособия для аспирантов, магистрантов и студентов любых направлений подготовки и специальностей</t>
  </si>
  <si>
    <t>158650.03.01</t>
  </si>
  <si>
    <t>Теоретическая механика. Кинематика. Практикум: Уч.пос. / В.А.Акимов - М.:ИНФРА-М, 2022 - 635 с.-(ВО)(п)</t>
  </si>
  <si>
    <t>ТЕОРЕТИЧЕСКАЯ МЕХАНИКА. КИНЕМАТИКА. ПРАКТИКУМ</t>
  </si>
  <si>
    <t>Акимов В. А., Скляр О. Н., Федута А. А., Чигарев А. В.</t>
  </si>
  <si>
    <t>978-5-16-005064-5</t>
  </si>
  <si>
    <t>01.03.03, 01.04.03, 02.03.03, 03.03.03, 08.03.01, 13.03.03, 15.03.01, 15.03.03</t>
  </si>
  <si>
    <t>Рекомендовано  Учебно-методическим центром "Профессиональный учебник" в качестве учебного пособия для студентов высших учебных заведений</t>
  </si>
  <si>
    <t>650088.05.01</t>
  </si>
  <si>
    <t>Теоретическая механика. Практ.: Уч.пос. / О.В.Мкртычев - М.:Вуз.уч.,НИЦ ИНФРА-М,2023 - 337 с.(П)</t>
  </si>
  <si>
    <t>ТЕОРЕТИЧЕСКАЯ МЕХАНИКА. ПРАКТИКУМ</t>
  </si>
  <si>
    <t>Мкртычев О.В.</t>
  </si>
  <si>
    <t>978-5-9558-0547-4</t>
  </si>
  <si>
    <t>15.03.03, 23.03.01, 23.03.03</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</si>
  <si>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учебного пособия для реализации основных профессиональных образовательных программ высшего образования по направлению подготовки бакалавров 15.03.02 «Технологические машины и оборудование»</t>
  </si>
  <si>
    <t>470750.07.01</t>
  </si>
  <si>
    <t>Теоретическая механика. Сб. задач: Уч.пос. / М.Н.Кирсанов-М.:НИЦ ИНФРА-М,2023.-430 с.(ВО)(п)</t>
  </si>
  <si>
    <t>ТЕОРЕТИЧЕСКАЯ МЕХАНИКА. СБОРНИК ЗАДАЧ</t>
  </si>
  <si>
    <t>Кирсанов М. Н.</t>
  </si>
  <si>
    <t>978-5-16-010026-5</t>
  </si>
  <si>
    <t>01.03.01, 01.03.02, 01.03.03, 01.04.03, 01.05.01, 02.03.01, 02.03.03, 03.03.02, 03.03.03, 03.05.01, 03.05.02, 04.05.01, 05.03.04, 05.03.05, 07.03.03, 08.03.01, 08.05.01, 08.05.02, 12.03.05, 13.03.03, 14.03.02, 14.05.01, 14.05.02, 15.03.01, 15.03.03, 15.03.05, 15.03.06, 15.05.01, 16.03.01, 16.03.02, 16.03.03, 16.05.01, 17.05.01, 17.05.02, 20.03.01, 20.03.02, 21.03.01, 21.05.03, 21.05.04, 23.03.01, 23.03.02, 23.03.03, 23.05.01, 23.05.02, 23.05.03, 23.05.04, 23.05.06, 24.03.01, 24.03.03, 24.03.04, 24.03.05, 24.05.01, 24.05.02, 24.05.03, 24.05.04, 24.05.05, 24.05.06, 24.05.07, 25.03.01, 26.03.01, 26.03.02, 26.05.01, 26.05.02, 26.05.03, 26.05.07, 27.03.04, 27.05.01, 28.03.01, 28.03.02, 28.03.03, 29.03.01, 29.03.02, 35.03.02, 35.03.06, 54.03.04</t>
  </si>
  <si>
    <t>255900.14.01</t>
  </si>
  <si>
    <t>Теоретическая механика: Уч. / В.Л.Цывильский - 5 изд. - М.:КУРС,НИЦ ИНФРА-М,2024 - 368 с.(п)</t>
  </si>
  <si>
    <t>ТЕОРЕТИЧЕСКАЯ МЕХАНИКА, ИЗД.5</t>
  </si>
  <si>
    <t>Цывильский В.Л.</t>
  </si>
  <si>
    <t>978-5-906923-71-4</t>
  </si>
  <si>
    <t>01.03.01, 02.03.01, 03.03.02, 08.03.01, 13.03.03, 15.03.01, 15.03.03, 15.03.05, 16.03.02, 16.03.03, 23.03.03, 24.03.01, 24.03.03, 24.03.04, 24.03.05, 25.03.01, 27.03.04, 29.03.02, 35.03.02</t>
  </si>
  <si>
    <t>Рекомендовано Министерством образования и науки РФ в качестве учебника для студентов высших технических учебных заведений</t>
  </si>
  <si>
    <t>Институт искусства реставрации</t>
  </si>
  <si>
    <t>650086.03.01</t>
  </si>
  <si>
    <t>Теоретическая механика: Уч. / О.В.Мкртычев - М.:Вуз.уч., НИЦ ИНФРА-М,2023-359 с.-(ВО:Бакалавр.)(П)</t>
  </si>
  <si>
    <t>ТЕОРЕТИЧЕСКАЯ МЕХАНИКА</t>
  </si>
  <si>
    <t>978-5-9558-0546-7</t>
  </si>
  <si>
    <t>08.03.01, 15.03.02</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</si>
  <si>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учебника для реализации основных профессиональных образовательных программ высшего образования по направлению подготовки бакалавров 15.03.02 «Технологические машины и оборудование»</t>
  </si>
  <si>
    <t>464550.07.01</t>
  </si>
  <si>
    <t>Теоретическая механика: Уч.пос. / Г.П.Бурчак-М.:НИЦ ИНФРА-М,2023.-271 с..-(ВО: Бакалавриат)(П)</t>
  </si>
  <si>
    <t>Бурчак Г.П., Винник Л.В.</t>
  </si>
  <si>
    <t>978-5-16-009648-3</t>
  </si>
  <si>
    <t>632506.07.01</t>
  </si>
  <si>
    <t>Теоретическая механика: Уч.пос. / М.И.Белов - 2 изд. - М.:ИЦ РИОР,НИЦ ИНФРА-М,2024-335с.(ВО:Бакалавр.)(П)</t>
  </si>
  <si>
    <t>ТЕОРЕТИЧЕСКАЯ МЕХАНИКА, ИЗД.2</t>
  </si>
  <si>
    <t>Белов М.И., Пылаев Б.В.</t>
  </si>
  <si>
    <t>978-5-369-01574-2</t>
  </si>
  <si>
    <t>728008.01.01</t>
  </si>
  <si>
    <t>Теоретическая фонетика англ. языка: Уч.пос. / Е.Н.Митрофанова - М.:НИЦ ИНФРА-М,2025. - 212 с.(ВО)(п)</t>
  </si>
  <si>
    <t>ТЕОРЕТИЧЕСКАЯ ФОНЕТИКА АНГЛИЙСКОГО ЯЗЫКА</t>
  </si>
  <si>
    <t>Митрофанова Е.Н.</t>
  </si>
  <si>
    <t>978-5-16-016676-6</t>
  </si>
  <si>
    <t>682851.06.01</t>
  </si>
  <si>
    <t>Теоретические и метод. осн. физ.восп..: Уч.пос./Под ред.Козловой С.А.-2изд.-М.:НИЦ ИНФРА-М,2024-508(СПО)</t>
  </si>
  <si>
    <t>ТЕОРЕТИЧЕСКИЕ И МЕТОДИЧЕСКИЕ ОСНОВЫ ФИЗИЧЕСКОГО ВОСПИТАНИЯ И РАЗВИТИЯ ДЕТЕЙ РАННЕГО И ДОШКОЛЬНОГО ВОЗРАСТА, ИЗД.2</t>
  </si>
  <si>
    <t>978-5-16-013905-0</t>
  </si>
  <si>
    <t>44.02.01, 49.02.01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</si>
  <si>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44.02.04 «Специальное дошкольное образование»</t>
  </si>
  <si>
    <t>471100.03.01</t>
  </si>
  <si>
    <t>Теоретические и прикл.основы автоматиз.упр...: Уч.пос. /В.Я.Хорольский-М:Форум,НИЦ ИНФРА-М,2023-112с(О)</t>
  </si>
  <si>
    <t>ТЕОРЕТИЧЕСКИЕ И ПРИКЛАДНЫЕ ОСНОВЫ АВТОМАТИЗИРОВАННОГО УПРАВЛЕНИЯ ДЕЯТЕЛЬНОСТЬЮ ЭНЕРГЕТИЧЕСКИХ СЛУЖБ СЕЛЬСКОХОЗЯЙСТВЕННЫХ ПРЕДПРИЯТИЙ</t>
  </si>
  <si>
    <t>978-5-00091-167-9</t>
  </si>
  <si>
    <t>Допущено Министерством сельского хозяйства Российской Федерации в качестве учебного пособия для студентов высших учебных заведений, орбучающихся по направлению подготовки 35.03.06 «Агроинженерия»</t>
  </si>
  <si>
    <t>798605.01.01</t>
  </si>
  <si>
    <t>Теоретические осн. технологии производ. ракет.-космич. тех.: Уч.пос. / А.Л.Галиновский-М.:НИЦ ИНФРА-М,2024-286с(п)</t>
  </si>
  <si>
    <t>ТЕОРЕТИЧЕСКИЕ ОСНОВЫ ТЕХНОЛОГИИ ПРОИЗВОДСТВА РАКЕТНО-КОСМИЧЕСКОЙ ТЕХНИКИ</t>
  </si>
  <si>
    <t>Галиновский А.Л., Бочкарев С.В., Абашин М.И.</t>
  </si>
  <si>
    <t>978-5-16-018290-2</t>
  </si>
  <si>
    <t>17.05.02, 24.04.03, 24.05.01, 24.05.02, 24.05.06</t>
  </si>
  <si>
    <t>060600.14.01</t>
  </si>
  <si>
    <t>Теоретические основы анализа хоз. деят.: Уч.пос. / Г.В.Савицкая, - 3 изд. - М.:НИЦ ИНФРА-М,2025. - 217 с.(ВО)(П)</t>
  </si>
  <si>
    <t>ТЕОРЕТИЧЕСКИЕ ОСНОВЫ АНАЛИЗА ХОЗЯЙСТВЕННОЙ ДЕЯТЕЛЬНОСТИ, ИЗД.3</t>
  </si>
  <si>
    <t>978-5-16-013157-3</t>
  </si>
  <si>
    <t>836383.01.01</t>
  </si>
  <si>
    <t>Теоретические основы бух. учета: Уч. / Е.А.Мизиковский - М.:Магистр, НИЦ ИНФРА-М,2024. - 268 с.(п)</t>
  </si>
  <si>
    <t>ТЕОРЕТИЧЕСКИЕ ОСНОВЫ БУХГАЛТЕРСКОГО УЧЕТА</t>
  </si>
  <si>
    <t>Мизиковский Е.А., Мизиковский И.Е., Мельник М.В.</t>
  </si>
  <si>
    <t>978-5-9776-0564-9</t>
  </si>
  <si>
    <t>648868.05.01</t>
  </si>
  <si>
    <t>Теоретические основы здоровья человека...: Уч.пос. / Н.Н.Каргин-М.:НИЦ ИНФРА-М,2024.-243 с.(П)</t>
  </si>
  <si>
    <t>ТЕОРЕТИЧЕСКИЕ ОСНОВЫ ЗДОРОВЬЯ ЧЕЛОВЕКА И ЕГО ФОРМИРОВАНИЯ СРЕДСТВАМИ ФИЗИЧЕСКОЙ КУЛЬТУРЫ И СПОРТА</t>
  </si>
  <si>
    <t>Каргин Н.Н., Лаамарти Ю.А.</t>
  </si>
  <si>
    <t>978-5-16-015939-3</t>
  </si>
  <si>
    <t>32.04.01, 32.05.01, 44.03.01, 49.03.01, 49.03.03, 49.04.01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</si>
  <si>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направлениям подготовки 49.03.00 «Физическая культура и спорт», 43.03.00 «Сервис и туризм», 44.03.00 «Образование и педагогические науки» (квалификация (степень) «бакалавр») (протокол № 5 от 26.03.2020)</t>
  </si>
  <si>
    <t>270100.07.01</t>
  </si>
  <si>
    <t>Теоретические основы и технол.перераб.пласт.масс: Уч. / В.Г.Бортников - 3 изд. - М.:ИНФРА-М,2025. - 480с.-(ВО)</t>
  </si>
  <si>
    <t>ТЕОРЕТИЧЕСКИЕ ОСНОВЫ И ТЕХНОЛОГИЯ ПЕРЕРАБОТКИ ПЛАСТИЧЕСКИХ МАСС, ИЗД.3</t>
  </si>
  <si>
    <t>Бортников В.Г.</t>
  </si>
  <si>
    <t>978-5-16-009639-1</t>
  </si>
  <si>
    <t>04.03.02, 18.03.01</t>
  </si>
  <si>
    <t>147800.09.01</t>
  </si>
  <si>
    <t>Теоретические основы кадастра: Уч.пос. / В.А.Свитин - М.:НИЦ ИНФРА-М,2020 - 256 с.(ВО)(П)</t>
  </si>
  <si>
    <t>ТЕОРЕТИЧЕСКИЕ ОСНОВЫ КАДАСТРА</t>
  </si>
  <si>
    <t>Свитин В. А.</t>
  </si>
  <si>
    <t>978-5-16-009975-0</t>
  </si>
  <si>
    <t>21.03.02, 21.04.02, 40.05.01, 40.05.02, 40.05.03, 40.05.04</t>
  </si>
  <si>
    <t>Допущено Министерством образования Республики Беларусь в качестве учебного пособия для студентов высших учебных заведений  по специальности «Земельный кадастр»</t>
  </si>
  <si>
    <t>794686.01.01</t>
  </si>
  <si>
    <t>Теоретические основы квалификации преступлений: Уч.пос. / Д.Ж.Гостькова-М.:НИЦ ИНФРА-М,2024.-230 с.(ВО)(п)</t>
  </si>
  <si>
    <t>ТЕОРЕТИЧЕСКИЕ ОСНОВЫ КВАЛИФИКАЦИИ ПРЕСТУПЛЕНИЙ</t>
  </si>
  <si>
    <t>Гостькова Д.Ж.</t>
  </si>
  <si>
    <t>978-5-16-018479-1</t>
  </si>
  <si>
    <t>277500.07.01</t>
  </si>
  <si>
    <t>Теоретические основы обеспеч.  работоспособ...: Уч. пос. / Н.А.Кузьмин - М:Форум:ИНФРА-М,2023 - 272 с. (П)</t>
  </si>
  <si>
    <t>ТЕОРЕТИЧЕСКИЕ ОСНОВЫ ОБЕСПЕЧЕНИЯ  РАБОТОСПОСОБНОСТИ АВТОМОБИЛЕЙ</t>
  </si>
  <si>
    <t>Кузьмин Н. А.</t>
  </si>
  <si>
    <t>978-5-91134-881-6</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</si>
  <si>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пи направлению подготовки бакалавров и магистров «Эксплуатация транспортных средств» и направлению подгото</t>
  </si>
  <si>
    <t>742953.02.01</t>
  </si>
  <si>
    <t>Теоретические основы разработки и моделир. сис..: Уч.пос. / А.М.Афонин - М.:НИЦ ИНФРА-М,2022 - 191 с.(ВО)(П)</t>
  </si>
  <si>
    <t>ТЕОРЕТИЧЕСКИЕ ОСНОВЫ РАЗРАБОТКИ И МОДЕЛИРОВАНИЯ СИСТЕМ АВТОМАТИЗАЦИИ</t>
  </si>
  <si>
    <t>Афонин А.М., Царегородцев Ю.Н., Петрова А.М. и др.</t>
  </si>
  <si>
    <t>978-5-16-016467-0</t>
  </si>
  <si>
    <t>15.03.01, 15.03.02, 15.03.03, 15.03.04, 38.03.05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</si>
  <si>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15.03.00 «Машиностроение», 38.03.05 «Бизнес-информатика» (квалификация (степень) «бакалавр») (протокол № 8 от 22.06.2020)</t>
  </si>
  <si>
    <t>147100.08.01</t>
  </si>
  <si>
    <t>Теоретические основы разработки и моделир..: Уч.пос. /А.М.Афонин -М.:Форум:ИНФРА-М,2024 -192с(СПО)(П)</t>
  </si>
  <si>
    <t>978-5-00091-678-0</t>
  </si>
  <si>
    <t>15.01.26, 15.01.27, 15.01.35, 15.01.36, 15.01.38, 15.02.07, 15.02.09, 15.02.10, 15.02.16, 15.02.18</t>
  </si>
  <si>
    <t>632300.05.01</t>
  </si>
  <si>
    <t>Теоретические основы реструкт. орг.: Уч.пос. / А.П.Балашов- 2изд.-М.:Вуз.уч.,НИЦ ИНФРА-М,2023.-254с.</t>
  </si>
  <si>
    <t>ТЕОРЕТИЧЕСКИЕ ОСНОВЫ РЕСТРУКТУРИЗАЦИИ ОРГАНИЗАЦИИ, ИЗД.2</t>
  </si>
  <si>
    <t>978-5-9558-0502-3</t>
  </si>
  <si>
    <t>38.03.01, 38.04.01, 38.04.02, 38.05.01, 40.03.01</t>
  </si>
  <si>
    <t>650517.08.01</t>
  </si>
  <si>
    <t>Теоретические основы судебной власти: Уч. / Л.А.Воскобитова-М.:Юр.Норма,НИЦ ИНФРА-М,2024.-288 с.(П)</t>
  </si>
  <si>
    <t>ТЕОРЕТИЧЕСКИЕ ОСНОВЫ СУДЕБНОЙ ВЛАСТИ</t>
  </si>
  <si>
    <t>Воскобитова Л.А.</t>
  </si>
  <si>
    <t>978-5-91768-810-7</t>
  </si>
  <si>
    <t>333100.06.01</t>
  </si>
  <si>
    <t>Теоретические основы теплотехники / В.И.Ляшков - М.:КУРС, НИЦ ИНФРА-М,2023. - 328 с.(п)</t>
  </si>
  <si>
    <t>ТЕОРЕТИЧЕСКИЕ ОСНОВЫ ТЕПЛОТЕХНИКИ</t>
  </si>
  <si>
    <t>978-5-905554-85-8</t>
  </si>
  <si>
    <t>13.03.01, 13.04.01, 25.04.02</t>
  </si>
  <si>
    <t>271200.08.01</t>
  </si>
  <si>
    <t>Теоретические основы товаровед..: Уч.: В 2 ч.Ч.2 /М.А.Николаева-М.:Юр.Норма,НИЦ ИНФРА-М,2022-192с(П)</t>
  </si>
  <si>
    <t>ТЕОРЕТИЧЕСКИЕ ОСНОВЫ ТОВАРОВЕДЕНИЯ И ЭКСПЕРТИЗЫ ТОВАРОВ, Т.2</t>
  </si>
  <si>
    <t>Николаева М.А.</t>
  </si>
  <si>
    <t>978-5-91768-477-2</t>
  </si>
  <si>
    <t>38.03.01, 38.03.06, 38.03.07, 38.04.01, 38.04.06, 38.04.07, 38.06.01</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</si>
  <si>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высших учебных заведений, обучающихся по направлению 100700.62 — Торговое дело</t>
  </si>
  <si>
    <t>271100.09.01</t>
  </si>
  <si>
    <t>Теоретические основы товароведения...: Уч.: В 2 ч.Ч.1 / М.А.Николаева -М.:Юр.Норма: ИНФРА-М,2023 -368с (п)</t>
  </si>
  <si>
    <t>ТЕОРЕТИЧЕСКИЕ ОСНОВЫ ТОВАРОВЕДЕНИЯ И ЭКСПЕРТИЗЫ ТОВАРОВ, Т.1</t>
  </si>
  <si>
    <t>978-5-91768-476-5</t>
  </si>
  <si>
    <t>067000.08.01</t>
  </si>
  <si>
    <t>Теоретические основы товароведения: Уч. / М.А.Николаева - М.:Юр.Норма, НИЦ ИНФРА-М,2015.-448 с.</t>
  </si>
  <si>
    <t>ТЕОРЕТИЧЕСКИЕ ОСНОВЫ ТОВАРОВЕДЕНИЯ</t>
  </si>
  <si>
    <t>Николаева М. А.</t>
  </si>
  <si>
    <t>978-5-91768-426-0</t>
  </si>
  <si>
    <t>Рекомендовано УМО по образованию в области товароведения и экспертизы товаров и УМО по образованию в области коммерции в качестве учебника для студентов вузов, обучающихся по специальности "Товароведение и экспертиза товаров" и "Коммерция"</t>
  </si>
  <si>
    <t>067000.11.01</t>
  </si>
  <si>
    <t>Теоретические основы товароведения: Уч. / М.А.Николаева, - 2 изд.-М.:Юр.Норма, НИЦ ИНФРА-М,2024.-424 с.(П)</t>
  </si>
  <si>
    <t>ТЕОРЕТИЧЕСКИЕ ОСНОВЫ ТОВАРОВЕДЕНИЯ, ИЗД.2</t>
  </si>
  <si>
    <t>978-5-00156-186-6</t>
  </si>
  <si>
    <t>754376.01.01</t>
  </si>
  <si>
    <t>Теоретические основы товароведения: Уч. / С.И.Жулидов - М.:НИЦ ИНФРА-М,2025. - 213 с.(СПО)(п)</t>
  </si>
  <si>
    <t>978-5-16-017796-0</t>
  </si>
  <si>
    <t>19.01.18, 19.01.19, 19.02.10, 19.02.13, 38.02.01, 38.02.08, 43.01.01, 43.01.04, 43.01.09, 43.02.15, 43.02.16</t>
  </si>
  <si>
    <t>795894.01.01</t>
  </si>
  <si>
    <t>Теоретические основы электротехники...: Уч.пос. / Е.А.Карпов.-М.:НИЦ ИНФРА-М,2023.-182 с.(П)</t>
  </si>
  <si>
    <t>ТЕОРЕТИЧЕСКИЕ ОСНОВЫ ЭЛЕКТРОТЕХНИКИ. ОСНОВЫ НЕЛИНЕЙНОЙ ЭЛЕКТРОТЕХНИКИ В УПРАЖНЕНИЯХ И ЗАДАЧАХ</t>
  </si>
  <si>
    <t>Карпов Е.А., Тимофеев В.Н., Хацаюк М.Ю.</t>
  </si>
  <si>
    <t>978-5-16-018085-4</t>
  </si>
  <si>
    <t>11.03.01, 11.05.01, 12.03.03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</si>
  <si>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электротехническим и радиотехническим направлениям подготовки (квалификация (степень) «бакалавр») (протокол № 7 от 21.09.2022)</t>
  </si>
  <si>
    <t>035580.28.01</t>
  </si>
  <si>
    <t>Теоретические основы электротехники: Уч. / Е.А.Лоторейчук - М.:ИД ФОРУМ, НИЦ ИНФРА-М,2025 - 317с(СПО)(п)</t>
  </si>
  <si>
    <t>ТЕОРЕТИЧЕСКИЕ ОСНОВЫ ЭЛЕКТРОТЕХНИКИ</t>
  </si>
  <si>
    <t>978-5-8199-0764-1</t>
  </si>
  <si>
    <t>00.02.39, 08.02.04, 08.02.08, 08.02.12, 08.02.13, 11.02.06, 11.02.15, 12.02.10, 13.02.02, 13.02.07, 13.02.08, 13.02.12, 13.02.13, 15.02.01, 15.02.03, 15.02.06, 15.02.09, 15.02.10, 15.02.17, 15.02.19, 18.02.04, 19.02.14, 21.02.03, 23.02.03, 23.02.05, 23.02.07, 25.02.02, 26.02.04, 26.02.05, 29.02.11, 35.02.08, 35.02.16</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</si>
  <si>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специальностям технического профиля</t>
  </si>
  <si>
    <t>432900.06.01</t>
  </si>
  <si>
    <t>Теоретические полож. и тест. баз. знан.: Уч.пос. /А.В.Чесноков -М.:Форум, НИЦ ИНФРА-М, 2023 -164с (ВО:Бакалавр.)(о)</t>
  </si>
  <si>
    <t>ТЕОРЕТИЧЕСКИЕ ПОЛОЖЕНИЯ И ТЕСТИРОВАНИЕ БАЗОВЫХ ЗНАНИЙ ПО ЭЛЕКТРОТЕХНИКЕ</t>
  </si>
  <si>
    <t>Чесноков А.В., Поляков А.Е., Филимонова Е.М.</t>
  </si>
  <si>
    <t>978-5-00091-124-2</t>
  </si>
  <si>
    <t>12.03.01, 12.03.02, 12.03.05, 13.03.02, 13.04.02, 15.03.05, 15.03.06, 21.03.01, 25.03.02, 25.03.04, 28.03.01, 28.03.02</t>
  </si>
  <si>
    <t>Допущено УМО по образованию в области технологии и проектирования текстильных изделий в качестве учебного пособия для студентов высших учебных заведений, обучающихся по направлениям подготовки 29.03.02 «Технологии и проектирование текстильных изделий», 15.03.04 «Автоматизация технологических процессов и производств», 13.03.01 «Теплоэнергетика и теплотехника», 15.03.02 «Технологические машины и оборудование», 09.03.01 «Информатика и вычислительная техника», 09.03.02 «Информационные системы и технологии»</t>
  </si>
  <si>
    <t>658462.03.01</t>
  </si>
  <si>
    <t>Теоретический  курс  англ. яз. Грамматика: Уч. / А.А.Джиоева-М.:НИЦ ИНФРА-М,2024.-146 с.(ВО)(п)</t>
  </si>
  <si>
    <t>ТЕОРЕТИЧЕСКИЙ  КУРС  АНГЛИЙСКОГО ЯЗЫКА. ГРАММАТИКА</t>
  </si>
  <si>
    <t>Джиоева А.А.</t>
  </si>
  <si>
    <t>978-5-16-019866-8</t>
  </si>
  <si>
    <t>45.03.01, 45.03.02, 45.03.03, 45.03.04, 45.03.99, 45.04.04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</si>
  <si>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филологическим направлениям подготовки (квалификация (степень) «бакалавр») (протокол № 6 от 16.06.2021)</t>
  </si>
  <si>
    <t>832549.01.01</t>
  </si>
  <si>
    <t>Теория  дет. лит. и практика читательской деят.: Уч. / Г.М.Первова - М.:НИЦ ИНФРА-М,2025. - 443 с.(ВО)(п)</t>
  </si>
  <si>
    <t>ТЕОРИЯ ДЕТСКОЙ ЛИТЕРАТУРЫ И ПРАКТИКА ЧИТАТЕЛЬСКОЙ ДЕЯТЕЛЬНОСТИ</t>
  </si>
  <si>
    <t>978-5-16-020072-9</t>
  </si>
  <si>
    <t>44.03.01, 44.03.05, 52.05.04</t>
  </si>
  <si>
    <t>699377.03.01</t>
  </si>
  <si>
    <t>Теория автомат. управления. Линейные...: Уч. / А.И.Сеславин - М.:НИЦ ИНФРА-М,2023 - 314 с.(ВО: Бакалавр.)(П)</t>
  </si>
  <si>
    <t>ТЕОРИЯ АВТОМАТИЧЕСКОГО УПРАВЛЕНИЯ. ЛИНЕЙНЫЕ, НЕПРЕРЫВНЫЕ СИСТЕМЫ</t>
  </si>
  <si>
    <t>Сеславин А.И.</t>
  </si>
  <si>
    <t>978-5-16-015022-2</t>
  </si>
  <si>
    <t>15.03.01, 15.03.04, 15.03.05, 15.03.06, 15.04.04, 15.04.06, 15.05.01, 27.03.03, 27.03.04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</si>
  <si>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направлениям подготовки 23.00.00 «Управление в технических системах»,  15.00.00 «Машиностроение» (квалификация (степень) «бакалавр») (протокол №9 от 28.09.2020)</t>
  </si>
  <si>
    <t>060830.11.01</t>
  </si>
  <si>
    <t>Теория автомобилей и двигателей: Уч.пос. / В.П.Тарасик, - 2 изд. - М.:НИЦ ИНФРА-М,2025. - 448 с.(ВО)(П)</t>
  </si>
  <si>
    <t>ТЕОРИЯ АВТОМОБИЛЕЙ И ДВИГАТЕЛЕЙ, ИЗД.2</t>
  </si>
  <si>
    <t>Тарасик В.П., Бренч М.П.</t>
  </si>
  <si>
    <t>978-5-16-006210-5</t>
  </si>
  <si>
    <t>23.03.02, 23.03.03, 23.04.02, 23.04.03, 23.05.02</t>
  </si>
  <si>
    <t>163100.12.01</t>
  </si>
  <si>
    <t>Теория алгоритмов: Уч. пос. / В.И. Игошин. - М.: ИНФРА-М, 2024. - 318 с.(ВО) (п)</t>
  </si>
  <si>
    <t>ТЕОРИЯ АЛГОРИТМОВ</t>
  </si>
  <si>
    <t>Игошин В. И.</t>
  </si>
  <si>
    <t>978-5-16-005205-2</t>
  </si>
  <si>
    <t>01.03.01, 01.04.01, 02.03.01, 44.03.01, 44.03.05, 44.04.01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</si>
  <si>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специальности 050201.65 - математика</t>
  </si>
  <si>
    <t>068200.09.01</t>
  </si>
  <si>
    <t>Теория бухгалтерского учета: Уч. / В.И. Щербакова. - М.: ИД ФОРУМ:НИЦ ИНФРА-М, 2024 - 352 с.(ПО) (п)</t>
  </si>
  <si>
    <t>ТЕОРИЯ БУХГАЛТЕРСКОГО УЧЕТА</t>
  </si>
  <si>
    <t>Щербакова В.И.</t>
  </si>
  <si>
    <t>978-5-8199-0229-5</t>
  </si>
  <si>
    <t>Допущено Министерством образования РФ в качестве учебника для студентов образовательных учреждений среднего профессионального образования обучающихся по группе специальностей "Экономика и управление"</t>
  </si>
  <si>
    <t>235200.07.01</t>
  </si>
  <si>
    <t>Теория бухгалтерского учета: Уч. пос. / Ю.И. Сигидов - 3 изд. - М.: НИЦ ИНФРА-М, 2025 - 326 с.(ВО) (п)</t>
  </si>
  <si>
    <t>ТЕОРИЯ БУХГАЛТЕРСКОГО УЧЕТА, ИЗД.3</t>
  </si>
  <si>
    <t>Сигидов Ю. И., Трубилин А. И.</t>
  </si>
  <si>
    <t>978-5-16-009143-3</t>
  </si>
  <si>
    <t>028438.18.01</t>
  </si>
  <si>
    <t>Теория бухгалтерского учета: Уч./ И.Е. Мизиковский - 2 изд. - М.: Магистр: ИНФРА-М, 2024. - 384 с.</t>
  </si>
  <si>
    <t>ТЕОРИЯ БУХГАЛТЕРСКОГО УЧЕТА, ИЗД.2</t>
  </si>
  <si>
    <t>Мизиковский И. Е., Кемаева С. А., Ясенев В. Н., Мизиковский Е. А., Мельник М. В.</t>
  </si>
  <si>
    <t>978-5-9776-0088-0</t>
  </si>
  <si>
    <t>Допущено Мин. обр. и науки РФ в качестве учебника для студентов учреждений среднего профессионального образования, обучающихся по финансово-экономическим специальностям</t>
  </si>
  <si>
    <t>075080.10.01</t>
  </si>
  <si>
    <t>Теория вероятн. и матем. статистика: Уч. пос. / С.В. Павлов - М.: РИОР,ИНФРА-М, 2025. - 186 с.(о.к/ф)</t>
  </si>
  <si>
    <t>ТЕОРИЯ ВЕРОЯТНОСТЕЙ И МАТЕМАТИЧЕСКАЯ СТАТИСТИКА</t>
  </si>
  <si>
    <t>Павлов С. В.</t>
  </si>
  <si>
    <t>978-5-369-00679-5</t>
  </si>
  <si>
    <t>01.03.01, 01.03.02, 01.03.03, 01.03.04, 02.03.01, 02.03.02, 02.03.03, 03.03.02, 03.03.03, 04.03.02, 09.03.03, 09.03.04, 09.04.03, 11.03.02, 11.04.02, 38.03.01, 39.03.03, 45.03.04</t>
  </si>
  <si>
    <t>777837.03.01</t>
  </si>
  <si>
    <t>Теория вероятностей в примерах и задачах на языке R: Уч. / С.Я.Криволапов - М.:НИЦ ИНФРА-М,2025. - 412 с.(п)</t>
  </si>
  <si>
    <t>ТЕОРИЯ ВЕРОЯТНОСТЕЙ В ПРИМЕРАХ И ЗАДАЧАХ НА ЯЗЫКЕ R</t>
  </si>
  <si>
    <t>978-5-16-017941-4</t>
  </si>
  <si>
    <t>666735.04.01</t>
  </si>
  <si>
    <t>Теория вероятностей и матем. статистика: Уч. / Е.А.Коган - М.:НИЦ ИНФРА-М,2023 - 250 с.(ВО)(П)</t>
  </si>
  <si>
    <t>Коган Е.А., Юрченко А.А.</t>
  </si>
  <si>
    <t>978-5-16-014235-7</t>
  </si>
  <si>
    <t>15.03.01, 38.03.01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</si>
  <si>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15.03.01 «Машиностроение», 38.03.01 «Экономика» (протокол № 8 от 29.04.2019)</t>
  </si>
  <si>
    <t>719853.02.01</t>
  </si>
  <si>
    <t>Теория вероятностей и матем. статистика: Уч. / Е.А.Коган-М.:НИЦ ИНФРА-М,2024.-250 с.(СПО)(П)</t>
  </si>
  <si>
    <t>978-5-16-015649-1</t>
  </si>
  <si>
    <t>10.02.05, 21.02.02, 21.02.09, 21.02.10, 21.02.19, 21.02.20, 35.02.09, 35.02.10, 35.02.11, 35.02.17, 38.02.06, 43.02.06, 43.02.07, 49.02.02, 51.02.03, 52.02.01, 52.02.02, 53.02.02, 53.02.03, 53.02.04, 53.02.05, 53.02.07, 53.02.09, 54.02.01, 54.02.03, 49.02.03, 09.02.10, 35.02.19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</si>
  <si>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гуманитарным и естественно-научным специальностям (протокол № 12 от 24.06.2019)</t>
  </si>
  <si>
    <t>151300.07.01</t>
  </si>
  <si>
    <t>Теория вероятностей и матем. статистика: Уч.пос. / И.А.Палий, - 2-е изд.-М.:НИЦ ИНФРА-М,2021.-334 с.(ВО)(П)</t>
  </si>
  <si>
    <t>ТЕОРИЯ ВЕРОЯТНОСТЕЙ И МАТЕМАТИЧЕСКАЯ СТАТИСТИКА, ИЗД.2</t>
  </si>
  <si>
    <t>Палий И.А.</t>
  </si>
  <si>
    <t>978-5-16-015892-1</t>
  </si>
  <si>
    <t>01.03.01, 01.04.01, 02.03.01, 38.03.01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</si>
  <si>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10 от 12.10.2020)</t>
  </si>
  <si>
    <t>Сибирский государственный автомобильно-дорожный университет</t>
  </si>
  <si>
    <t>151300.11.01</t>
  </si>
  <si>
    <t>Теория вероятностей и матем. статистика: Уч.пос. / И.А.Палий, - 3 изд. - М.:НИЦ ИНФРА-М,2025 . -426 с.(П)</t>
  </si>
  <si>
    <t>ТЕОРИЯ ВЕРОЯТНОСТЕЙ И МАТЕМАТИЧЕСКАЯ СТАТИСТИКА, ИЗД.3</t>
  </si>
  <si>
    <t>978-5-16-017505-8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</si>
  <si>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4 от 13.04.2022)</t>
  </si>
  <si>
    <t>052100.09.01</t>
  </si>
  <si>
    <t>Теория вероятностей и матем. статистика: Уч.пос. / Под ред. Матвеева В.И., - 2 изд.-М.:НИЦ ИНФРА-М,2024.-289 с.(ВО)(п)</t>
  </si>
  <si>
    <t>Бирюкова Л.Г., Бобрик Г.И., Сагитов Р.В. и др.</t>
  </si>
  <si>
    <t>978-5-16-018751-8</t>
  </si>
  <si>
    <t>02.03.02, 03.03.02, 09.03.03, 09.03.04, 11.03.02, 38.03.01</t>
  </si>
  <si>
    <t>Рекомендовано УМО по образованию в области экономики и экономической теории в качестве учебного пособия для студентов, обучающихся по направлению 521600 "Экономика" и др. экономическим специальностям</t>
  </si>
  <si>
    <t>720909.01.01</t>
  </si>
  <si>
    <t>Теория вероятностей и матем. статистика:Уч.пос. / Матвеев В.И. - 2 изд. -М.:НИЦ ИНФРА-М,2020-289с.(П)</t>
  </si>
  <si>
    <t>978-5-16-015712-2</t>
  </si>
  <si>
    <t>08.02.15, 11.02.03, 11.02.06, 13.02.07, 13.02.12, 15.02.03, 15.02.10, 15.02.16, 15.02.17, 15.02.18, 18.02.04, 18.02.10, 18.02.14, 18.02.15, 20.02.01, 21.02.02, 21.02.09, 21.02.10, 21.02.19, 21.02.20, 24.02.01, 24.02.02, 25.02.09, 35.02.09, 35.02.16, 35.02.17, 09.02.10, 35.02.19</t>
  </si>
  <si>
    <t>767008.01.01</t>
  </si>
  <si>
    <t>Теория вероятностей с элементами матем. статистики...: Уч.пос. / А.В.Сигал-М.:НИЦ ИНФРА-М,2023.-385 с.(п)</t>
  </si>
  <si>
    <t>ТЕОРИЯ ВЕРОЯТНОСТЕЙ С ЭЛЕМЕНТАМИ МАТЕМАТИЧЕСКОЙ СТАТИСТИКИ, ТЕОРИИ СЛУЧАЙНЫХ ПРОЦЕССОВ И ЭКОНОМЕТРИКИ</t>
  </si>
  <si>
    <t>978-5-16-017314-6</t>
  </si>
  <si>
    <t>01.03.02, 38.03.05</t>
  </si>
  <si>
    <t>488800.06.01</t>
  </si>
  <si>
    <t>Теория вероятностей, матем. статистика...: Уч. пос. / И.В.Белько - М.:НИЦ ИНФРА-М, Нов.зн.,2025 - 299 с(ВО)(п)</t>
  </si>
  <si>
    <t>ТЕОРИЯ ВЕРОЯТНОСТЕЙ, МАТЕМАТИЧЕСКАЯ СТАТИСТИКА, МАТЕМАТИЧЕСКОЕ ПРОГРАММИРОВАНИЕ</t>
  </si>
  <si>
    <t>Белько И.В., Морозова И.М., Криштапович Е.А.</t>
  </si>
  <si>
    <t>978-5-16-020397-3</t>
  </si>
  <si>
    <t>01.03.02, 02.03.02, 03.03.02, 04.03.02, 09.03.03, 09.03.04, 11.03.02, 38.03.01</t>
  </si>
  <si>
    <t>631778.07.01</t>
  </si>
  <si>
    <t>Теория вероятностей, матем.статистика...: Уч.пос.. / П.Н.Сапожников - М.:КУРС,НИЦ ИНФРА-М,2023-496с(П)</t>
  </si>
  <si>
    <t>ТЕОРИЯ ВЕРОЯТНОСТЕЙ, МАТЕМАТИЧЕСКАЯ СТАТИСТИКА В ПРИМЕРАХ, ЗАДАЧАХ И ТЕСТАХ</t>
  </si>
  <si>
    <t>Сапожников П.Н., Макаров А.А., Радионова М.В.</t>
  </si>
  <si>
    <t>Бакалавриат и магистратура</t>
  </si>
  <si>
    <t>978-5-906818-47-8</t>
  </si>
  <si>
    <t>01.03.02, 02.03.02, 02.03.03, 03.03.02, 04.03.02, 09.02.03, 09.03.03, 09.03.04, 11.03.02, 38.03.01</t>
  </si>
  <si>
    <t>Допущено НМС по математике Минобрнаут РФ в качестве учебного пособия для студентов высших учебных заведений, обучающихся по направлениям подготовки: 01.03.04,01.04.04 «Прикладная математика» (квалификация «Бакалавры», «Магистры» соответственно), 38.03.01,38.04.01 «Экономика» (квалификация «Бакалавры», «Магистры» соответственно)</t>
  </si>
  <si>
    <t>777836.02.01</t>
  </si>
  <si>
    <t>Теория вероятностей. Прак.: Уч.пос. / Т.Г.Апалькова.-М.:НИЦ ИНФРА-М,2024.-385 с.(ВО (Финанс.универ.))(п)</t>
  </si>
  <si>
    <t>ТЕОРИЯ ВЕРОЯТНОСТЕЙ. ПРАКТИКУМ</t>
  </si>
  <si>
    <t>978-5-16-017962-9</t>
  </si>
  <si>
    <t>38.04.01, 38.04.02, 38.04.08, 38.05.01, 38.05.02</t>
  </si>
  <si>
    <t>215900.07.01</t>
  </si>
  <si>
    <t>Теория вероятностей: Уч. / Р.Ш. Хуснутдинов. - М.: ИНФРА-М, 2025. - 175 с.(ВО: Бакалавриат) (о)</t>
  </si>
  <si>
    <t>ТЕОРИЯ ВЕРОЯТНОСТЕЙ</t>
  </si>
  <si>
    <t>Хуснутдинов Р. Ш.</t>
  </si>
  <si>
    <t>978-5-16-005312-7</t>
  </si>
  <si>
    <t>151300.06.01</t>
  </si>
  <si>
    <t>Теория вероятностей: Уч.пос. / И.А.Палий - М.:ИНФРА-М Изд.Дом,2019 - 236 с.-(ВО)(П)</t>
  </si>
  <si>
    <t>Палий И. А.</t>
  </si>
  <si>
    <t>978-5-16-004940-3</t>
  </si>
  <si>
    <t>166900.15.01</t>
  </si>
  <si>
    <t>Теория горения и взрыва: Прак.: Уч.пос. / В.А.Девисилов - 3 изд. - М.:НИЦ ИНФРА-М,2025. -  403 с.(ВО)(п)</t>
  </si>
  <si>
    <t>ТЕОРИЯ ГОРЕНИЯ И ВЗРЫВА: ПРАКТИКУМ, ИЗД.3</t>
  </si>
  <si>
    <t>Девисилов В.А., Дроздова Т.И., Тимофеева С.С.</t>
  </si>
  <si>
    <t>978-5-16-019651-0</t>
  </si>
  <si>
    <t>Рекомендовано федеральным учебно-методическим объединением по укрупненной группе специальностей и направлений 20.00.00 — «Техносферная безопасность и природообустройство» в качестве учебного пособия для студентов высших учебных заведений, обучающихся по направлению «Техносферная безопасность» и специальности «Пожарная безопасность»</t>
  </si>
  <si>
    <t>166900.14.01</t>
  </si>
  <si>
    <t>Теория горения и взрыва: практ.: Уч пос. / В.А.Девисилов - 2изд -М.Форум: НИЦ ИНФРА-М,2024-384с(ВО)(п)</t>
  </si>
  <si>
    <t>ТЕОРИЯ ГОРЕНИЯ И ВЗРЫВА: ПРАКТИКУМ, ИЗД.2</t>
  </si>
  <si>
    <t>978-5-00091-006-1</t>
  </si>
  <si>
    <t>Рекомендовано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«Техносферная безопасность»</t>
  </si>
  <si>
    <t>321800.08.01</t>
  </si>
  <si>
    <t>Теория горения и взрыва: Уч. / В.А.Девисилов и др. - М.:НИЦ ИНФРА-М,2023 -262 с.(ВО: Бакалавриат)(П)</t>
  </si>
  <si>
    <t>ТЕОРИЯ ГОРЕНИЯ И ВЗРЫВА</t>
  </si>
  <si>
    <t>Девисилов В.А., Дроздова Т.И., Скушникова А.И.</t>
  </si>
  <si>
    <t>978-5-16-010477-5</t>
  </si>
  <si>
    <t>20.03.01, 20.05.01, 21.05.04, 21.05.05</t>
  </si>
  <si>
    <t>Рекомендовано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«Техносферная безопасность» (20.03.01 и 20.04.01)</t>
  </si>
  <si>
    <t>806621.01.01</t>
  </si>
  <si>
    <t>Теория горения и взрыва: Уч.пос. / С.Н.Орловский-М.:НИЦ ИНФРА-М,2024.-318 с..-(ВО (КрГАУ))(п)</t>
  </si>
  <si>
    <t>978-5-16-019141-6</t>
  </si>
  <si>
    <t>20.03.01, 20.05.01, 27.03.01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</si>
  <si>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20.03.01 «Техносферная безопасность», профиль «Безопасность технологических процессов и производств в АПК»</t>
  </si>
  <si>
    <t>484750.06.01</t>
  </si>
  <si>
    <t>Теория гос. и права. Практикум: Уч.пос. / В.Я.Любашиц - 3 изд.-М.:ИЦ РИОР, НИЦ ИНФРА-М,2023.-242 с.(П)</t>
  </si>
  <si>
    <t>ТЕОРИЯ ГОСУДАРСТВА И ПРАВА. ПРАКТИКУМ, ИЗД.3</t>
  </si>
  <si>
    <t>В.Я.Любашиц, А.Ю.Мордовцев, А.Ю.Мамычев</t>
  </si>
  <si>
    <t>978-5-369-01437-0</t>
  </si>
  <si>
    <t>40.03.01, 40.05.01, 40.05.02, 40.05.03, 40.05.04, 41.03.01, 41.03.06, 44.03.05</t>
  </si>
  <si>
    <t>Допущено УМО по юридическому образованию вузов Российской Федерации в качестве учебного пособия для студентов высших учебных заведений, обучающихся по направлению "Юриспруденция» и специальности «Юриспруденция»</t>
  </si>
  <si>
    <t>085620.14.01</t>
  </si>
  <si>
    <t>Теория гос. и права. Элемент. курс: Уч.пос./М.Н.Марченко-3 изд.-М.:Юр.Норма,НИЦ ИНФРА-М,2024-304с(П)</t>
  </si>
  <si>
    <t>ТЕОРИЯ ГОСУДАРСТВА И ПРАВА. ЭЛЕМЕНТАРНЫЙ КУРС, ИЗД.3</t>
  </si>
  <si>
    <t>978-5-91768-696-7</t>
  </si>
  <si>
    <t>40.02.02, 40.02.04, 40.03.01, 40.04.01, 40.05.01, 40.05.02, 40.05.03, 40.05.04, 41.03.01, 41.03.06, 44.03.05</t>
  </si>
  <si>
    <t>431050.08.01</t>
  </si>
  <si>
    <t>Теория гос. и права: Уч.пос. / А.В.Малько-3изд.-М.:ИЦ РИОР,НИЦ ИНФРА-М,2024-213с.(ВО:Бакалавр.)(п)</t>
  </si>
  <si>
    <t>ТЕОРИЯ ГОСУДАРСТВА И ПРАВА, ИЗД.3</t>
  </si>
  <si>
    <t>МалькоА.В., СаломатинА.Ю.,</t>
  </si>
  <si>
    <t>978-5-369-01366-3</t>
  </si>
  <si>
    <t>40.03.01, 40.04.01, 40.05.01, 40.05.02, 40.05.03, 41.03.01, 41.03.06, 44.03.05</t>
  </si>
  <si>
    <t>Рекомендованно в качестве учебного пособия для студентов высших учебных заведений, обучающихся по направлению "Юриспруденция" (квалификация (степень)- бакалавр)</t>
  </si>
  <si>
    <t>377500.06.01</t>
  </si>
  <si>
    <t>Теория государства и права. Практ. / Е.В.Сафронова - М.:ИЦ РИОР, НИЦ ИНФРА-М,2025 - 195 с.(ВО:Бакалавр.)</t>
  </si>
  <si>
    <t>ТЕОРИЯ ГОСУДАРСТВА И ПРАВА. ПРАКТИКУМ</t>
  </si>
  <si>
    <t>Е.В.Сафронова, А.Ю.Кузубова, Л.Л.Соловьева</t>
  </si>
  <si>
    <t>978-5-369-01446-2</t>
  </si>
  <si>
    <t>Рекомендовано Научно-исследовательским институтом образования и науки в качестве учебного пособия для студентов высших учебных заведений, обучающихся по направлению подготовки "Юриспруденция'- (квалификация (степень) «бакалавр»)</t>
  </si>
  <si>
    <t>293600.08.01</t>
  </si>
  <si>
    <t>Теория государства и права. Углубл. курс: Уч. / Л.П.Рассказов, - 2 изд.-М.:РИОР, НИЦ ИНФРА-М,2025.-577 с.(П)</t>
  </si>
  <si>
    <t>ТЕОРИЯ ГОСУДАРСТВА И ПРАВА. УГЛУБЛЕННЫЙ КУРС, ИЗД.2</t>
  </si>
  <si>
    <t>978-5-369-01915-3</t>
  </si>
  <si>
    <t>293600.05.01</t>
  </si>
  <si>
    <t>Теория государства и права. Углубленный курс: Уч. / Л.П.Рассказов - М.:РИОР, НИЦ ИНФРА-М,2021 - 560 с.(П)</t>
  </si>
  <si>
    <t>ТЕОРИЯ ГОСУДАРСТВА И ПРАВА. УГЛУБЛЕННЫЙ КУРС</t>
  </si>
  <si>
    <t>РИОР</t>
  </si>
  <si>
    <t>978-5-369-01369-4</t>
  </si>
  <si>
    <t>720665.05.01</t>
  </si>
  <si>
    <t>Теория государства и права: игропрактикум / В.Б.Исаков - М.:Юр.Норма, НИЦ ИНФРА-М,2024 - 544 с.(П)</t>
  </si>
  <si>
    <t>ТЕОРИЯ ГОСУДАРСТВА И ПРАВА: ИГРОПРАКТИКУМ</t>
  </si>
  <si>
    <t>978-5-00156-032-6</t>
  </si>
  <si>
    <t>40.03.01, 40.05.01, 40.05.02, 40.05.03, 40.05.04, 41.03.01, 41.03.06</t>
  </si>
  <si>
    <t>005504.22.01</t>
  </si>
  <si>
    <t>Теория государства и права: Курс лекций / Под ред. Матузова Н.И., - 3 изд.-М.:Юр. НОРМА, НИЦ ИНФРА-М,2025.-640 с.(п)</t>
  </si>
  <si>
    <t>Матузов Н. И., Воротников А. А., Кулапов В. Л., Матузов Н. И., Малько А. В.</t>
  </si>
  <si>
    <t>978-5-91768-271-6</t>
  </si>
  <si>
    <t>Рекомендовано УМО по юридическому образованию высших учебных заведений в качестве учебника для студентов вузов, обучающихся по специальности и направлению подготовки "Юриспруденция"</t>
  </si>
  <si>
    <t>726676.06.01</t>
  </si>
  <si>
    <t>Теория государства и права: Практикум / В.Б.Исаков - М.:Юр.Норма, НИЦ ИНФРА-М,2025 - 488 с.(П)</t>
  </si>
  <si>
    <t>ТЕОРИЯ ГОСУДАРСТВА И ПРАВА</t>
  </si>
  <si>
    <t>978-5-00156-043-2</t>
  </si>
  <si>
    <t>724597.05.01</t>
  </si>
  <si>
    <t>Теория государства и права: программа курса / В.Б.Исаков - М.:Юр.Норма,НИЦ ИНФРА-М,2024 - 176 с.(П)</t>
  </si>
  <si>
    <t>ТЕОРИЯ ГОСУДАРСТВА И ПРАВА: ПРОГРАММА КУРСА</t>
  </si>
  <si>
    <t>978-5-00156-037-1</t>
  </si>
  <si>
    <t>724616.08.01</t>
  </si>
  <si>
    <t>Теория государства и права: Уч. / В.Б.Исаков - М.:Юр.Норма, НИЦ ИНФРА-М,2025 - 656 с.(П)</t>
  </si>
  <si>
    <t>Исаков В.Б. и др.</t>
  </si>
  <si>
    <t>978-5-00156-036-4</t>
  </si>
  <si>
    <t>003533.29.01</t>
  </si>
  <si>
    <t>Теория государства и права: Уч. / В.Д.Перевалов - 5 изд. - М.:Юр.Норма, НИЦ ИНФРА-М,2025 - 552 с.(П)</t>
  </si>
  <si>
    <t>ТЕОРИЯ ГОСУДАРСТВА И ПРАВА, ИЗД.5</t>
  </si>
  <si>
    <t>Перевалов В.Д., Архипов С.И., Белканов Е.А. и др.</t>
  </si>
  <si>
    <t>978-5-00156-149-1</t>
  </si>
  <si>
    <t>089900.13.01</t>
  </si>
  <si>
    <t>Теория государства и права: Уч. / В.Л.Кулапов - М.:Юр.Норма, НИЦ ИНФРА-М,2024 - 384 с.(П)</t>
  </si>
  <si>
    <t>Кулапов В. Л., Малько А. В.</t>
  </si>
  <si>
    <t>978-5-91768-192-4</t>
  </si>
  <si>
    <t>774605.03.01</t>
  </si>
  <si>
    <t>Теория государства и права: Уч. / Г.С.Працко - М.:ИЦ РИОР, НИЦ ИНФРА-М,2023 - 540 с.(ВО)(П)</t>
  </si>
  <si>
    <t>978-5-369-01899-6</t>
  </si>
  <si>
    <t>20.03.02, 38.05.01, 40.02.02, 40.02.04, 40.03.01, 40.05.01, 40.05.02, 40.05.03, 40.05.04, 41.03.01, 41.03.02, 41.03.06, 44.03.05</t>
  </si>
  <si>
    <t>732732.05.01</t>
  </si>
  <si>
    <t>Теория государства и права: Уч. / Е.Г.Лукьянова - М.:Юр.Норма, НИЦ ИНФРА-М,2025 - 232 с.(П)</t>
  </si>
  <si>
    <t>978-5-00156-053-1</t>
  </si>
  <si>
    <t>649060.06.01</t>
  </si>
  <si>
    <t>Теория государства и права: Уч. / И.Л.Честнов - М.:НИЦ ИНФРА-М,2025. - 233 с.(ВО)(п)</t>
  </si>
  <si>
    <t>978-5-16-018425-8</t>
  </si>
  <si>
    <t>Рекомендовано в качестве учебника для студентов высших учебных заведений, обучающихся по направлениям подготовки 40.03.01 «Юриспруденция» (квалификация (степень) «бакалавр»)</t>
  </si>
  <si>
    <t>086550.09.01</t>
  </si>
  <si>
    <t>Теория государства и права: Уч. / К.Р.Мурсалимов, - 5 изд. - М.:НИЦ ИНФРА-М,2025. - 623 с.(ВО)(п)</t>
  </si>
  <si>
    <t>Мурсалимов К.Р., Хабибулин А.Г.</t>
  </si>
  <si>
    <t>978-5-16-017342-9</t>
  </si>
  <si>
    <t>839636.01.01</t>
  </si>
  <si>
    <t>Теория государства и права: Уч. / К.Р.Мурсалимов, - 5 изд. - М.:НИЦ ИНФРА-М,2025. - 623 с.(СПО)(п)</t>
  </si>
  <si>
    <t>978-5-16-020248-8</t>
  </si>
  <si>
    <t>085065.21.01</t>
  </si>
  <si>
    <t>Теория государства и права: Уч. / Л.А.Морозова, - 6 изд.-М.:Юр.Норма, НИЦ ИНФРА-М,2021-464с(П)</t>
  </si>
  <si>
    <t>ТЕОРИЯ ГОСУДАРСТВА И ПРАВА, ИЗД.6</t>
  </si>
  <si>
    <t>Морозова Л. А.</t>
  </si>
  <si>
    <t>978-5-91768-844-2</t>
  </si>
  <si>
    <t>201600.10.01</t>
  </si>
  <si>
    <t>Теория государства и права: Уч. / М.Б. Смоленский. - М.:НИЦ ИНФРА-М, 2025. - 272 с.(ВО: Бакалавр.) (п)</t>
  </si>
  <si>
    <t>978-5-16-006508-3</t>
  </si>
  <si>
    <t>Рекомендовано Министерством образования Российской Федерации в качестве учебника для студентов высших учебных заведений, обучающихся по специальности «Юриспруденция»</t>
  </si>
  <si>
    <t>683129.06.01</t>
  </si>
  <si>
    <t>Теория государства и права: Уч. / М.Б.Смоленский - М.:НИЦ ИНФРА-М,2023 - 272 с.-(СПО)(П)</t>
  </si>
  <si>
    <t>978-5-16-014006-3</t>
  </si>
  <si>
    <t>086550.08.01</t>
  </si>
  <si>
    <t>Теория государства и права: Уч. / Под ред.  А.Г.Хабибулина - М.:ИД ФОРУМ, НИЦ ИНФРА-М,2022 - 512 с.-(ВО)(П)</t>
  </si>
  <si>
    <t>ТЕОРИЯ ГОСУДАРСТВА И ПРАВА, ИЗД.4</t>
  </si>
  <si>
    <t>978-5-8199-0562-3</t>
  </si>
  <si>
    <t>088850.15.01</t>
  </si>
  <si>
    <t>Теория государства и права: Уч. для вузов / Л.П.Рассказов - 8 изд. - М.:ИЦ РИОР, НИЦ ИНФРА-М,2025 - 488 с.(п)</t>
  </si>
  <si>
    <t>ТЕОРИЯ ГОСУДАРСТВА И ПРАВА, ИЗД.8</t>
  </si>
  <si>
    <t>Рассказов Л. П.</t>
  </si>
  <si>
    <t>978-5-369-01914-6</t>
  </si>
  <si>
    <t>0823</t>
  </si>
  <si>
    <t>110850.19.01</t>
  </si>
  <si>
    <t>Теория государства и права: Уч./ А.В. Малько - М.: Норма: НИЦ ИНФРА-М, 2025. - 432 с. (Ab ovo) (П)</t>
  </si>
  <si>
    <t>Малько А. В., Нырков В. В., Шундиков К. В.</t>
  </si>
  <si>
    <t>978-5-91768-425-3</t>
  </si>
  <si>
    <t>088850.10.01</t>
  </si>
  <si>
    <t>Теория государства и права: Уч./ Л.П.Рассказов, - 7 изд.-М.:ИЦ РИОР, НИЦ ИНФРА-М,2020.-475 с.(ВО)(П)</t>
  </si>
  <si>
    <t>ТЕОРИЯ ГОСУДАРСТВА И ПРАВА, ИЗД.7</t>
  </si>
  <si>
    <t>978-5-369-01494-3</t>
  </si>
  <si>
    <t>646036.04.01</t>
  </si>
  <si>
    <t>Теория государства и права: Уч.пос. / А.А.Акмалова - 2 изд. - М.:НИЦ ИНФРА-М,2023 - 322 с.(П)</t>
  </si>
  <si>
    <t>ТЕОРИЯ ГОСУДАРСТВА И ПРАВА, ИЗД.2</t>
  </si>
  <si>
    <t>978-5-16-018449-4</t>
  </si>
  <si>
    <t>Рекомендовано в качестве учебного пособия для студентов высших учебных заведений, обучающихся по направлениям подготовки 40.03.01 «Юриспруденция», 38.03.04 «Государственное и муниципальное управление», 41.03.06 «Публичная политика и социальные науки» (квалификация (степень) «бакалавр»)</t>
  </si>
  <si>
    <t>654952.05.01</t>
  </si>
  <si>
    <t>Теория государства и права: Уч.пос. / А.В.Попова - М.:НИЦ ИНФРА-М,2025 - 365 с.-(ВО: Бакалавр.)(П)</t>
  </si>
  <si>
    <t>Попова А.В.</t>
  </si>
  <si>
    <t>978-5-16-014069-8</t>
  </si>
  <si>
    <t>845366.01.01</t>
  </si>
  <si>
    <t>Теория государства и права: Уч.пос. / А.В.Попова - М.:НИЦ ИНФРА-М,2025 - 365 с.-(СПО)(п)</t>
  </si>
  <si>
    <t>978-5-16-020467-3</t>
  </si>
  <si>
    <t>770332.01.01</t>
  </si>
  <si>
    <t>Теория государства и права: Уч.пос. / Е.Ю.Калинина - М.:НИЦ ИНФРА-М,2024 - 343 с.(СПО)(п)</t>
  </si>
  <si>
    <t>Калинина Е.Ю.</t>
  </si>
  <si>
    <t>978-5-16-017665-9</t>
  </si>
  <si>
    <t>670762.07.01</t>
  </si>
  <si>
    <t>Теория государства и права: Уч.пос. / Н.А.Власенко - 3 изд. - М.:Юр.Норма, НИЦ ИНФРА-М,2024 - 480 с.(П)</t>
  </si>
  <si>
    <t>978-5-91768-869-5</t>
  </si>
  <si>
    <t>084670.17.01</t>
  </si>
  <si>
    <t>Теория государства и права: Уч.пос. / Р.В. Енгибарян - 3 изд. - М.:НОРМА, 2025 - 560 с.(П)</t>
  </si>
  <si>
    <t>Енгибарян Р. В., Краснов Ю. К.</t>
  </si>
  <si>
    <t>978-5-91768-945-6</t>
  </si>
  <si>
    <t>084670.10.01</t>
  </si>
  <si>
    <t>Теория государства и права: Уч.пос. / Р.В.Енгибарян - 2 изд. - М.:Юр.Норма,НИЦ ИНФРА-М,2017 -576с(П)</t>
  </si>
  <si>
    <t>978-5-91768-906-7</t>
  </si>
  <si>
    <t>043690.19.01</t>
  </si>
  <si>
    <t>Теория государства и права: Уч.пос. / Т.А.Клепицкая, - 3 изд.-М.:ИЦ РИОР, НИЦ ИНФРА-М,2024.-126 с.(ВО)(о)</t>
  </si>
  <si>
    <t>Клепицкая Т.А.</t>
  </si>
  <si>
    <t>978-5-369-01664-0</t>
  </si>
  <si>
    <t>326700.05.01</t>
  </si>
  <si>
    <t>Теория государства и права:Уч. пос./ В.Я.Любашиц- 3изд.-М.:ИЦ РИОР, НИЦ ИНФРА-М, 2024.- 526 с.(п)</t>
  </si>
  <si>
    <t>978-5-369-01418-9</t>
  </si>
  <si>
    <t>694855.06.01</t>
  </si>
  <si>
    <t>Теория государственного управления: Уч. / И.В.Понкин - М.:НИЦ ИНФРА-М,2023 - 529 с.(ВО: Магистр.)(П)</t>
  </si>
  <si>
    <t>ТЕОРИЯ ГОСУДАРСТВЕННОГО УПРАВЛЕНИЯ</t>
  </si>
  <si>
    <t>978-5-16-014592-1</t>
  </si>
  <si>
    <t>38.04.04, 40.04.01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</si>
  <si>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38.04.04 «Государственное и муниципальное управление», 40.04.01 «Юриспруденция» (квалификация (степень) «магистр») (протокол № 5 от 11.03.2019)</t>
  </si>
  <si>
    <t>694855.07.01</t>
  </si>
  <si>
    <t>Теория государственного управления: Уч. / И.В.Понкин, - 2 изд. - М.:НИЦ ИНФРА-М,2024. - 566 с.(ВО)(п)</t>
  </si>
  <si>
    <t>ТЕОРИЯ ГОСУДАРСТВЕННОГО УПРАВЛЕНИЯ, ИЗД.2</t>
  </si>
  <si>
    <t>978-5-16-019116-4</t>
  </si>
  <si>
    <t>723672.02.01</t>
  </si>
  <si>
    <t>Теория дискретных устройств: Уч. / В.М.Филиппов - М.:НИЦ ИНФРА-М,2024 - 253 с.(ВО: Специалитет)(П)</t>
  </si>
  <si>
    <t>ТЕОРИЯ ДИСКРЕТНЫХ УСТРОЙСТВ</t>
  </si>
  <si>
    <t>Филиппов В.М., Чертков И.Е.</t>
  </si>
  <si>
    <t>978-5-16-015810-5</t>
  </si>
  <si>
    <t>13.03.02, 23.05.05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</si>
  <si>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23.05.05 «Системы обеспечения движения поездов» (квалификация «инженер путей сообщения») (протокол № 15 от 14.10.2019)</t>
  </si>
  <si>
    <t>820923.01.01</t>
  </si>
  <si>
    <t>Теория и конструк. назем. транспорт.-технологич. машин...: Уч.пос. / Г.С.Гришко-М.:НИЦ ИНФРА-М, СФУ,2024-132с(ВО)(п)</t>
  </si>
  <si>
    <t>ТЕОРИЯ И КОНСТРУКЦИЯ НАЗЕМНЫХ ТРАНСПОРТНО-ТЕХНОЛОГИЧЕСКИХ МАШИН. РАСЧЕТ И ПРОЕКТИРОВАНИЕ МЕХАНИЗМОВ ГРУЗОПОДЪЕМНЫХ МАШИН</t>
  </si>
  <si>
    <t>Гришко Г.С.</t>
  </si>
  <si>
    <t>978-5-16-019591-9</t>
  </si>
  <si>
    <t>23.03.02, 23.05.01</t>
  </si>
  <si>
    <t>701110.07.01</t>
  </si>
  <si>
    <t>Теория и конструкция силовых установок: Уч.пос. / К.С.Крюков - М.:НИЦ ИНФРА-М,2025. - 211 с.(ВО (ОмГТУ))(П)</t>
  </si>
  <si>
    <t>ТЕОРИЯ И КОНСТРУКЦИЯ СИЛОВЫХ УСТАНОВОК</t>
  </si>
  <si>
    <t>Крюков К.С.</t>
  </si>
  <si>
    <t>978-5-16-014822-9</t>
  </si>
  <si>
    <t>15.02.04, 23.03.03, 23.04.03, 56.04.04</t>
  </si>
  <si>
    <t>379500.11.01</t>
  </si>
  <si>
    <t>Теория и метод.ознакомл. дош. с соц. миром: Уч. / С.А.Козлова - М.:НИЦ ИНФРА-М,2025 - 146 с.(ВО.)(о)</t>
  </si>
  <si>
    <t>ТЕОРИЯ И МЕТОДИКА ОЗНАКОМЛЕНИЯ ДОШКОЛЬНИКОВ С СОЦИАЛЬНЫМ МИРОМ</t>
  </si>
  <si>
    <t>Козлова С.А., Кожокарь С.В., Шукшина С.Е. и др.</t>
  </si>
  <si>
    <t>978-5-16-019944-3</t>
  </si>
  <si>
    <t>834606.01.01</t>
  </si>
  <si>
    <t>Теория и метод.ознакомл. дош. с соц. миром: Уч. / С.А.Козлова - М.:НИЦ ИНФРА-М,2025 - 146 с.(СПО)(о)</t>
  </si>
  <si>
    <t>978-5-16-020296-9</t>
  </si>
  <si>
    <t>632259.07.01</t>
  </si>
  <si>
    <t>Теория и методика восп. и обуч. детей раннего и дошк. возраста: Уч. / С.А.Козлова-М.:НИЦ ИНФРА-М,2025-237с(П)</t>
  </si>
  <si>
    <t>ТЕОРИЯ И МЕТОДИКА ВОСПИТАНИЯ И ОБУЧЕНИЯ ДЕТЕЙ РАННЕГО И ДОШКОЛЬНОГО ВОЗРАСТА</t>
  </si>
  <si>
    <t>Козлова С.А., Шахманова А.Ш., Полосухина Е.О. и др.</t>
  </si>
  <si>
    <t>978-5-16-020252-5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</si>
  <si>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5 от 11.03.2019)</t>
  </si>
  <si>
    <t>734794.05.01</t>
  </si>
  <si>
    <t>Теория и методика воспитания и обуч. детей раннего и дош. возраста: Уч. / С.А.Козлова.-М.:НИЦ ИНФРА-М,2025.-236с(П)</t>
  </si>
  <si>
    <t>978-5-16-016153-2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</si>
  <si>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44.02.01 «Дошкольное образование» (протокол № 19 от 09.12.2019)</t>
  </si>
  <si>
    <t>714624.06.01</t>
  </si>
  <si>
    <t>Теория и методика воспитания: Уч. / Под ред. Пидкасистого П.И. - М.:НИЦ ИНФРА-М,2025. - 483 с.(ВО)(П)</t>
  </si>
  <si>
    <t>ТЕОРИЯ И МЕТОДИКА ВОСПИТАНИЯ</t>
  </si>
  <si>
    <t>Маленкова Л.И., Пидкасистый П.И.</t>
  </si>
  <si>
    <t>978-5-16-018657-3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</si>
  <si>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направлениий 44.03.00 «Образование и педагогические науки» (квалификация (степень) «бакалавр») (протокол № 12 от 24.06.2019)</t>
  </si>
  <si>
    <t>786285.01.01</t>
  </si>
  <si>
    <t>Теория и методика матем. развития детей дош...: Уч.пос. / М.Ю.Стожарова-М.:НИЦ ИНФРА-М,2024.-242 с.(п)</t>
  </si>
  <si>
    <t>ТЕОРИЯ И МЕТОДИКА МАТЕМАТИЧЕСКОГО РАЗВИТИЯ ДЕТЕЙ ДОШКОЛЬНОГО ВОЗРАСТА</t>
  </si>
  <si>
    <t>Стожарова М.Ю.</t>
  </si>
  <si>
    <t>978-5-16-017902-5</t>
  </si>
  <si>
    <t>806233.03.01</t>
  </si>
  <si>
    <t>Теория и методика обуч. матем. в сред. шк.: Уч.пос. / М.И.Денисова - М.:ИЦ РИОР, НИЦ ИНФРА-М,2025. - 166 с.(ВО)(п)</t>
  </si>
  <si>
    <t>ТЕОРИЯ И МЕТОДИКА ОБУЧЕНИЯ МАТЕМАТИКЕ В СРЕДНЕЙ ШКОЛЕ</t>
  </si>
  <si>
    <t>Денисова Мария Ивановна</t>
  </si>
  <si>
    <t>978-5-369-01931-3</t>
  </si>
  <si>
    <t>702822.05.01</t>
  </si>
  <si>
    <t>Теория и методология  юридической науки: Уч.: В 2 ч.Ч.1 / М.Н.Марченко и др.-М:Юр.Норма,,2024-320с(П)</t>
  </si>
  <si>
    <t>ТЕОРИЯ И МЕТОДОЛОГИЯ  ЮРИДИЧЕСКОЙ НАУКИ. В 2 ЧАСТЯХ, Т.2</t>
  </si>
  <si>
    <t>Марченко М.Н., Абросимова Е.А., Полянский П.Л. и др.</t>
  </si>
  <si>
    <t>978-5-91768-561-8</t>
  </si>
  <si>
    <t>281600.08.01</t>
  </si>
  <si>
    <t>Теория и методология истории: Уч. пос. / М.Н.Потемкина - 2 изд. - М.:РИОР, ИЦ РИОР,2025 - 198 с.(П)</t>
  </si>
  <si>
    <t>ТЕОРИЯ И МЕТОДОЛОГИЯ ИСТОРИИ, ИЗД.2</t>
  </si>
  <si>
    <t>Потемкина М.Н.</t>
  </si>
  <si>
    <t>978-5-369-01351-9</t>
  </si>
  <si>
    <t>705358.07.01</t>
  </si>
  <si>
    <t>Теория и методология юридической науки: Ч.2 / М.Н.Марченко - М.:Юр.Норма, НИЦ ИНФРА-М,2025-288с(П)</t>
  </si>
  <si>
    <t>ТЕОРИЯ И МЕТОДОЛОГИЯ ЮРИДИЧЕСКОЙ НАУКИ, Т.2</t>
  </si>
  <si>
    <t>978-5-91768-638-7</t>
  </si>
  <si>
    <t>372200.06.01</t>
  </si>
  <si>
    <t>Теория и методы зимнего бетонир.: Уч.пос. / Ю.И.Доладов - М.:Форум, НИЦ ИНФРА-М,2023 - 176с(ВО)(О)</t>
  </si>
  <si>
    <t>ТЕОРИЯ И МЕТОДЫ ЗИМНЕГО БЕТОНИРОВАНИЯ</t>
  </si>
  <si>
    <t>Доладов Ю.И.</t>
  </si>
  <si>
    <t>978-5-00091-088-7</t>
  </si>
  <si>
    <t>Рекомендовано для студентов высших учебных заведений, обучающихся по специальностям 08.03.01 «Строительство» и 23.05.06 «Строительство мостов и транспортных тоннелей»</t>
  </si>
  <si>
    <t>695513.01.01</t>
  </si>
  <si>
    <t>Теория и методы стоимостной оценки машин и оборуд.: Уч.пос. / С.А.Смоляк - М.:НИЦ ИНФРА-М,2022 - 390 с.(ВО)(П)</t>
  </si>
  <si>
    <t>ТЕОРИЯ И МЕТОДЫ СТОИМОСТНОЙ ОЦЕНКИ МАШИН И ОБОРУДОВАНИЯ</t>
  </si>
  <si>
    <t>Смоляк С.А.</t>
  </si>
  <si>
    <t>978-5-16-015398-8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</si>
  <si>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1 от 12.01.2022)</t>
  </si>
  <si>
    <t>466950.07.01</t>
  </si>
  <si>
    <t>Теория и механизмы совр. гос. упр.: Уч.пос. / Д.А.Гайнанов. - М.:НИЦ ИНФРА-М,2025 - 288 с.(ВО)(п)</t>
  </si>
  <si>
    <t>ТЕОРИЯ И МЕХАНИЗМЫ СОВРЕМЕННОГО ГОСУДАРСТВЕННОГО УПРАВЛЕНИЯ</t>
  </si>
  <si>
    <t>Гайнанов Д. А., Атаева А. Г., Закиров И. Д.</t>
  </si>
  <si>
    <t>978-5-16-020655-4</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</si>
  <si>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38.04.04 «Государственное и муниципальное управление» (квалификация (степень) «магистр»)</t>
  </si>
  <si>
    <t>Уфимский федеральный исследовательский центр Российской академии наук</t>
  </si>
  <si>
    <t>646043.05.01</t>
  </si>
  <si>
    <t>Теория и политика идентичности: Уч.пос. / В.М.Капицын - М.:НИЦ ИНФРА-М,2024-219 с.-(ВО: Магистр.)(П)</t>
  </si>
  <si>
    <t>ТЕОРИЯ И ПОЛИТИКА ИДЕНТИЧНОСТИ</t>
  </si>
  <si>
    <t>978-5-16-013183-2</t>
  </si>
  <si>
    <t>39.04.01, 40.03.01, 41.03.06, 41.04.01, 41.04.04, 44.03.01, 44.03.05, 46.04.01, 46.04.03</t>
  </si>
  <si>
    <t>Рекомендовано в качестве учебного пособия для студентов высших учебных заведений, обучающихся по направлениям подготовки 41.04.04 «Политология», 39.04.01 «Социология», 46.04.03 «Антропология и этнология» (квалификация (степень) «магистр»)</t>
  </si>
  <si>
    <t>123200.10.01</t>
  </si>
  <si>
    <t>Теория и прак. анализа финанс. отчет. орг.: Уч.пос. / Парушина Н.В., - 2 изд.-М.:ИД Форум, НИЦ ИНФРА-М,2024-430с(П)</t>
  </si>
  <si>
    <t>ТЕОРИЯ И ПРАКТИКА АНАЛИЗА ФИНАНСОВОЙ ОТЧЕТНОСТИ ОРГАНИЗАЦИЙ, ИЗД.2</t>
  </si>
  <si>
    <t>Бутенко И.В., Губин В.Е., Губина О.В. и др.</t>
  </si>
  <si>
    <t>978-5-8199-0892-1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</si>
  <si>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7 от 22.09.2021)</t>
  </si>
  <si>
    <t>123200.07.01</t>
  </si>
  <si>
    <t>Теория и практика анализа финансовой отчетности организаций: уч.пос. / Н.В.Парушина и др.-М.:ИД Форум, ИНФРА-М Издательский Дом,2018.-432 с..-(Высшее</t>
  </si>
  <si>
    <t>ТЕОРИЯ И ПРАКТИКА АНАЛИЗА ФИНАНСОВОЙ ОТЧЕТНОСТИ ОРГАНИЗАЦИЙ</t>
  </si>
  <si>
    <t>Парушина Н. В., Бутенко И. В., Губин В. Е., Губина О. В., Деминова С. В., Сучкова Н. А., Тимофеева Т. А.</t>
  </si>
  <si>
    <t>978-5-8199-0423-7</t>
  </si>
  <si>
    <t>Рекомендовано УМО по образ. в области финансов, учета и мировой экономики в кач-ве учеб. пос. для студ., обуч. по спец.: 080105 "Финансы и кредит", 080109 "Бухгалтерский учет, анализ и аудит", 080107 "Налоги и налогообл."</t>
  </si>
  <si>
    <t>084750.17.01</t>
  </si>
  <si>
    <t>Теория и практика аргументации: Уч.пос. / Д.В.Зайцев - М.:ИД Форум, НИЦ ИНФРА-М,2025. - 224 с.(ВО)(П)</t>
  </si>
  <si>
    <t>ТЕОРИЯ И ПРАКТИКА АРГУМЕНТАЦИИ</t>
  </si>
  <si>
    <t>Зайцев Д.В.</t>
  </si>
  <si>
    <t>978-5-8199-0926-3</t>
  </si>
  <si>
    <t>41.03.04, 41.03.06, 41.04.04, 47.03.01, 47.04.01</t>
  </si>
  <si>
    <t>Рекомендовано УМО по классическому университетскому образованию в качестве учебного пособия для студентов вузов, обучающихся по направлениям подготовки 47.03.01 «Философия», 41.03.04 «Политология»</t>
  </si>
  <si>
    <t>474650.08.01</t>
  </si>
  <si>
    <t>Теория и практика аргументации: Уч.пос. / Л.А.Демина - М.:Юр.Норма,НИЦ ИНФРА-М,2024-272с.(п)</t>
  </si>
  <si>
    <t>Демина Л. А.</t>
  </si>
  <si>
    <t>978-5-91768-529-8</t>
  </si>
  <si>
    <t>38.03.02, 38.03.03, 38.03.04, 38.04.02, 38.04.03, 38.04.04, 41.03.04, 41.03.06, 41.04.04</t>
  </si>
  <si>
    <t>773496.05.01</t>
  </si>
  <si>
    <t>Теория и практика возбуждения уголов. дела: Уч.пос. / Л.Н.Масленникова-М.:Юр. НОРМА, НИЦ ИНФРА-М,2024.-288 с.(П)</t>
  </si>
  <si>
    <t>ТЕОРИЯ И ПРАКТИКА ВОЗБУЖДЕНИЯ УГОЛОВНОГО ДЕЛА</t>
  </si>
  <si>
    <t>Масленникова Л.Н., Вилкова Т.Ю., Собенин А.А. и др.</t>
  </si>
  <si>
    <t>978-5-00156-227-6</t>
  </si>
  <si>
    <t>794850.01.01</t>
  </si>
  <si>
    <t>Теория и практика интегрир. планирования: Уч. / Н.Р.Кельчевская-М.:НИЦ ИНФРА-М,2024.-271 с.(ВО)(п)</t>
  </si>
  <si>
    <t>ТЕОРИЯ И ПРАКТИКА ИНТЕГРИРОВАННОГО ПЛАНИРОВАНИЯ</t>
  </si>
  <si>
    <t>Кельчевская Н.Р., Пелымская И.С., Черненко И.М.</t>
  </si>
  <si>
    <t>978-5-16-018201-8</t>
  </si>
  <si>
    <t>642419.09.01</t>
  </si>
  <si>
    <t>Теория и практика консультирования: Уч.пос. / С.Ю.Макаров - М.:Юр.Норма, НИЦ ИНФРА-М,2025 - 112с.(О)</t>
  </si>
  <si>
    <t>ТЕОРИЯ И ПРАКТИКА КОНСУЛЬТИРОВАНИЯ</t>
  </si>
  <si>
    <t>Макаров С.Ю.</t>
  </si>
  <si>
    <t>978-5-91768-780-3</t>
  </si>
  <si>
    <t>667636.05.01</t>
  </si>
  <si>
    <t>Теория и практика креативной деят.: Уч.пос. / О.А.Карлова.- М.:НИЦ ИНФРА-М, СФУ,2024 - 372 с.-(ВО)(П)</t>
  </si>
  <si>
    <t>ТЕОРИЯ И ПРАКТИКА КРЕАТИВНОЙ ДЕЯТЕЛЬНОСТИ</t>
  </si>
  <si>
    <t>Карлова О.А., Ноздренко Е.А., Пантелеева И.А. и др.</t>
  </si>
  <si>
    <t>978-5-16-016265-2</t>
  </si>
  <si>
    <t>Рекомендовано ФГОУ ВПО «Государственный университет управления» в качестве учебного пособия для студентов высших учебных заведений, обучающихся по направлению 42.03.01 «Реклама и связи с общественностью»</t>
  </si>
  <si>
    <t>417250.08.01</t>
  </si>
  <si>
    <t>Теория и практика массовой информации: Уч./ А.А.Марков - М.: ИНФРА-М, 2024 - 252с. (ВО: Бакалавриат) (п)</t>
  </si>
  <si>
    <t>ТЕОРИЯ И ПРАКТИКА МАССОВОЙ ИНФОРМАЦИИ</t>
  </si>
  <si>
    <t>Марков А. А., Молчанова О. И., Полякова Н. В.</t>
  </si>
  <si>
    <t>978-5-16-006505-2</t>
  </si>
  <si>
    <t>38.03.02, 38.03.04, 38.04.02, 38.04.04, 41.03.06, 42.03.01, 42.04.01</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</si>
  <si>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направлению подготовки (специальности) «Реклама и связи с общественностью»</t>
  </si>
  <si>
    <t>774803.03.01</t>
  </si>
  <si>
    <t>Теория и практика психолог. тренинга: Уч.пос. / О.О.Андронникова - М.:НИЦ ИНФРА-М,2025. - 300 с.(ВО)(п)</t>
  </si>
  <si>
    <t>ТЕОРИЯ И ПРАКТИКА ПСИХОЛОГИЧЕСКОГО ТРЕНИНГА</t>
  </si>
  <si>
    <t>978-5-16-018076-2</t>
  </si>
  <si>
    <t>413650.06.01</t>
  </si>
  <si>
    <t>Теория и практика психосоциал. работы: Уч. пос./Т.И.Целевич - М.:Форум: НИЦ Инфра-М,2024-352с(ВО)(п)</t>
  </si>
  <si>
    <t>ТЕОРИЯ И ПРАКТИКА ПСИХОСОЦИАЛЬНОЙ РАБОТЫ</t>
  </si>
  <si>
    <t>Целевич Т. И., Белобородова Е. А.</t>
  </si>
  <si>
    <t>978-5-91134-722-2</t>
  </si>
  <si>
    <t>299300.05.01</t>
  </si>
  <si>
    <t>Теория и практика рекламы: Уч. пос. / Н.В.Шишова и др.-М.:НИЦ ИНФРА-М,2023.-299 с.(О)</t>
  </si>
  <si>
    <t>ТЕОРИЯ И ПРАКТИКА РЕКЛАМЫ</t>
  </si>
  <si>
    <t>Шишова Н.В., Подопригора А.С., Акулич Т.В.</t>
  </si>
  <si>
    <t>978-5-16-004794-2</t>
  </si>
  <si>
    <t>38.03.06, 42.03.01, 42.03.02, 42.04.01, 42.04.02</t>
  </si>
  <si>
    <t>089000.09.01</t>
  </si>
  <si>
    <t>Теория и практика решения техн. задач:Уч.пос./А.В.Ревенков - 3изд.-М:Форум:НИЦ ИНФРА-М,2024-384с(ВО) (п)</t>
  </si>
  <si>
    <t>ТЕОРИЯ И ПРАКТИКА РЕШЕНИЯ ТЕХНИЧЕСКИХ ЗАДАЧ, ИЗД.3</t>
  </si>
  <si>
    <t>Ревенков А. В., Резчикова Е. В.</t>
  </si>
  <si>
    <t>978-5-91134-750-5</t>
  </si>
  <si>
    <t>08.04.01, 13.03.01, 13.03.02, 13.03.03, 14.03.01, 14.03.02, 15.03.01, 15.03.02, 15.03.03, 15.03.04, 15.03.05, 15.03.06, 16.03.01, 16.03.02, 16.03.03</t>
  </si>
  <si>
    <t>Допущено Методическим объединением вузов по университетскому политехническому образованию в качестве учебного пособия для студентов высших технических учебных заведений</t>
  </si>
  <si>
    <t>425500.07.01</t>
  </si>
  <si>
    <t>Теория и расчет транспорт. газотурб. двиг.: Уч./ Ю.А.Чумаков-М:Форум:НИЦ Инфра-М,2023-448с.(ВО) (п)</t>
  </si>
  <si>
    <t>ТЕОРИЯ И РАСЧЕТ ТРАНСПОРТНЫХ ГАЗОТУРБИННЫХ ДВИГАТЕЛЕЙ</t>
  </si>
  <si>
    <t>Чумаков Ю. А.</t>
  </si>
  <si>
    <t>978-5-91134-673-7</t>
  </si>
  <si>
    <t>141000.07.01</t>
  </si>
  <si>
    <t>Теория и технол. литейн. произв.: Уч.: В 2 ч.Ч.1: Формов. матер... /Д.М.Кукуй - ИНФРА-М,2022 - 384 с. (п)</t>
  </si>
  <si>
    <t>ТЕОРИЯ И ТЕХНОЛОГИЯ ЛИТЕЙНОГО ПРОИЗВОДСТВА, Т.1</t>
  </si>
  <si>
    <t>Кукуй Д.М., Скворцов В.А., Андрианов Н.В.</t>
  </si>
  <si>
    <t>978-5-16-004762-1</t>
  </si>
  <si>
    <t>15.03.01, 15.03.05, 15.04.01</t>
  </si>
  <si>
    <t>Рекомендовано Учебно-методическим центром "Профессиональный учебник" в качестве учебника для студентов высших учебных заведений, обучающихся по специальности "Машины и технология литейного производства"</t>
  </si>
  <si>
    <t>142000.07.01</t>
  </si>
  <si>
    <t>Теория и технол. литейн. произв.: Уч.: В 2 ч.Ч.2: Технол. изготов.. / Д.М.Кукуй - ИНФРА-М,2022 - 406 с. (п)</t>
  </si>
  <si>
    <t>ТЕОРИЯ И ТЕХНОЛОГИЯ ЛИТЕЙНОГО ПРОИЗВОДСТВА. В 2 ЧАСТЯХ., Т.2</t>
  </si>
  <si>
    <t>978-5-16-004787-4</t>
  </si>
  <si>
    <t>15.03.01, 15.04.01, 22.04.02</t>
  </si>
  <si>
    <t>Рекомендовано Учебно.методическим центром «Профессиональный учебник» в качестве учебника для студентов высших учебных заведений, обучающихся по специальности «Машины и технология литейного производства»</t>
  </si>
  <si>
    <t>734602.02.01</t>
  </si>
  <si>
    <t>Теория и технологии матем. развития детей дош...: Уч.пос. / М.Ю.Стожарова - М.:НИЦ ИНФРА-М,2025-240с(ВО)(П)</t>
  </si>
  <si>
    <t>ТЕОРИЯ И ТЕХНОЛОГИИ МАТЕМАТИЧЕСКОГО РАЗВИТИЯ ДЕТЕЙ ДОШКОЛЬНОГО ВОЗРАСТА</t>
  </si>
  <si>
    <t>978-5-16-016976-7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</si>
  <si>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1 от 12.01.2022</t>
  </si>
  <si>
    <t>427500.09.01</t>
  </si>
  <si>
    <t>Теория и технология реш. психологич. пробл.: Уч.пос. / В.В.Гребнева - М.:НИЦ ИНФРА-М,2025 - 192 с.(ВО)(П)</t>
  </si>
  <si>
    <t>ТЕОРИЯ И ТЕХНОЛОГИЯ РЕШЕНИЯ ПСИХОЛОГИЧЕСКИХ ПРОБЛЕМ</t>
  </si>
  <si>
    <t>Гребнева В. В.</t>
  </si>
  <si>
    <t>978-5-16-006363-8</t>
  </si>
  <si>
    <t>37.03.01, 37.03.02, 37.05.01, 44.03.02, 44.04.03, 44.05.01</t>
  </si>
  <si>
    <t>Рекомендовано в качестве учебного пособия для студентов высших учебных заведений, обучающихся по направлениям подготовки 050400 "Психолого-педагогическое образование" и 030300 «Психология»</t>
  </si>
  <si>
    <t>458100.07.01</t>
  </si>
  <si>
    <t>Теория и технология физического воспитания..: Уч. / М.М.Борисова - М.:НИЦ ИНФРА-М,2024-299с.(ВО)(п)</t>
  </si>
  <si>
    <t>ТЕОРИЯ И ТЕХНОЛОГИЯ ФИЗИЧЕСКОГО ВОСПИТАНИЯ И РАЗВИТИЯ РЕБЕНКА</t>
  </si>
  <si>
    <t>Борисова М.М.</t>
  </si>
  <si>
    <t>978-5-16-019440-0</t>
  </si>
  <si>
    <t>682197.03.01</t>
  </si>
  <si>
    <t>Теория игр и ее экономические приложения: Уч.пос. / А.В.Сигал-М.:НИЦ ИНФРА-М,2024 - 418 с.(ВО (КрымФУ))(п)</t>
  </si>
  <si>
    <t>ТЕОРИЯ ИГР И ЕЕ ЭКОНОМИЧЕСКИЕ ПРИЛОЖЕНИЯ</t>
  </si>
  <si>
    <t>978-5-16-019035-8</t>
  </si>
  <si>
    <t>10.04.01, 38.03.01, 38.03.02, 41.03.06</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</si>
  <si>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t>
  </si>
  <si>
    <t>182950.11.01</t>
  </si>
  <si>
    <t>Теория игр. Примеры и задачи: Уч.пос. / В.П.Невежин - М.:Форум, НИЦ ИНФРА-М,2025 - 128 с.(ВО (ФинУн))(О)</t>
  </si>
  <si>
    <t>ТЕОРИЯ ИГР. ПРИМЕРЫ И ЗАДАЧИ</t>
  </si>
  <si>
    <t>Невежин В.П.</t>
  </si>
  <si>
    <t>Высшее образование (ФинУн)</t>
  </si>
  <si>
    <t>978-5-00091-563-9</t>
  </si>
  <si>
    <t>38.03.01, 38.03.02, 38.03.04, 38.03.06, 38.04.01, 38.04.02, 38.04.04, 38.04.06, 38.04.09, 41.03.06</t>
  </si>
  <si>
    <t>Рекомендовано кафедрой математического моделирования экономических процессов Финансового университета при Правительстве Российской Федерации ¶в качестве учебного пособия для студентов, обучающихся по направлению подготовки бакалавров и магистров</t>
  </si>
  <si>
    <t>734294.04.01</t>
  </si>
  <si>
    <t>Теория квантовой химии: Уч.пос. / В.В.Костюков - М.:НИЦ ИНФРА-М,2025 - 236 с.(ВО: Бакалавр. (СевГУ))(П)</t>
  </si>
  <si>
    <t>ТЕОРИЯ КВАНТОВОЙ ХИМИИ</t>
  </si>
  <si>
    <t>Костюков В.В.</t>
  </si>
  <si>
    <t>978-5-16-020416-1</t>
  </si>
  <si>
    <t>04.03.01, 04.03.02, 06.03.01, 33.05.01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</si>
  <si>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химическим и биологическим направлениям подготовки (квалификация (степень) «бакалавр») (протокол № 6 от 16.06.2021)</t>
  </si>
  <si>
    <t>802558.01.01</t>
  </si>
  <si>
    <t>Теория коммуникации: основные направ. и концепции: Уч.пос. / Л.Д.Подгорная - М.:НИЦ ИНФРА-М,2025. - 259 с.(ВО)(п)</t>
  </si>
  <si>
    <t>ТЕОРИЯ КОММУНИКАЦИИ: ОСНОВНЫЕ НАПРАВЛЕНИЯ И КОНЦЕПЦИИ</t>
  </si>
  <si>
    <t>Подгорная Л.Д.</t>
  </si>
  <si>
    <t>978-5-16-019894-1</t>
  </si>
  <si>
    <t>41.04.05, 41.04.06, 42.03.01, 42.04.01, 42.04.02, 42.04.05, 42.06.01, 45.04.01, 45.04.03</t>
  </si>
  <si>
    <t>777243.03.01</t>
  </si>
  <si>
    <t>Теория корабля. Плавучесть и остойчивость: Уч. / Е.В.Никитин - М.:НИЦ ИНФРА-М,2024. - 372 с.(ВО)(П)</t>
  </si>
  <si>
    <t>ТЕОРИЯ КОРАБЛЯ. ПЛАВУЧЕСТЬ И ОСТОЙЧИВОСТЬ</t>
  </si>
  <si>
    <t>Никитин Е.В.</t>
  </si>
  <si>
    <t>978-5-16-017983-4</t>
  </si>
  <si>
    <t>26.03.02, 26.05.01, 26.05.03</t>
  </si>
  <si>
    <t>666691.05.01</t>
  </si>
  <si>
    <t>Теория культуры: Уч.пос. / Н.П.Копцева - М.:НИЦ ИНФРА-М, СФУ,2024. - 150 с.-(ВО: Бакалавриат (СФУ))(П)</t>
  </si>
  <si>
    <t>ТЕОРИЯ КУЛЬТУРЫ</t>
  </si>
  <si>
    <t>Копцева Н.П., Резникова К.В.</t>
  </si>
  <si>
    <t>978-5-16-020096-5</t>
  </si>
  <si>
    <t>44.03.01, 51.03.01</t>
  </si>
  <si>
    <t>Допущено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«Культурология» («Культуроведение и социокультурные проекты»)</t>
  </si>
  <si>
    <t>813259.01.01</t>
  </si>
  <si>
    <t>Теория ландшафт. архитектуры и методология проектир.: Уч.пос. / Н.В.Кригер-М.:НИЦ ИНФРА-М,2024.-270 с.(ВО)(п)</t>
  </si>
  <si>
    <t>ТЕОРИЯ ЛАНДШАФТНОЙ АРХИТЕКТУРЫ И МЕТОДОЛОГИЯ ПРОЕКТИРОВАНИЯ</t>
  </si>
  <si>
    <t>978-5-16-019489-9</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</si>
  <si>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 профиль «Садово-парковое и ландшафтное строительство»</t>
  </si>
  <si>
    <t>448350.05.01</t>
  </si>
  <si>
    <t>Теория менеджмента: Ист.упр.мысли..: Уч.пос./А.Г.Фаррахов-М.:НИЦ ИНФРА-М,2023-272с.(ВО:Бакалавр.)(п)</t>
  </si>
  <si>
    <t>ТЕОРИЯ МЕНЕДЖМЕНТА: ИСТОРИЯ УПРАВЛЕНЧЕСКОЙ МЫСЛИ, ТЕОРИЯ ОРГАНИЗАЦИИ, ОРГАНИЗАЦИОННОЕ ПОВЕДЕНИЕ</t>
  </si>
  <si>
    <t>Фаррахов А. Г.</t>
  </si>
  <si>
    <t>978-5-16-009073-3</t>
  </si>
  <si>
    <t>38.03.02, 41.03.06, 44.03.01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</si>
  <si>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 Регистрационный номер рецензии 017 от 8 февраля 2013 г. (ФГАУ ФИРО)</t>
  </si>
  <si>
    <t>Казанский государственный архитектурно-строительный университет</t>
  </si>
  <si>
    <t>202400.09.01</t>
  </si>
  <si>
    <t>Теория менеджмента: история управл. мысли: Уч. /Т.П.Хохлова - М: Магистр, НИЦ ИНФРА-М, 2023-384с.(п)</t>
  </si>
  <si>
    <t>ТЕОРИЯ МЕНЕДЖМЕНТА: ИСТОРИЯ УПРАВЛЕНЧЕСКОЙ МЫСЛИ</t>
  </si>
  <si>
    <t>978-5-9776-0268-6</t>
  </si>
  <si>
    <t>38.03.02, 38.04.02, 41.03.06, 44.03.01</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</si>
  <si>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080200 «Менеджмент» квалификация (степень) бакалавр</t>
  </si>
  <si>
    <t>460050.07.01</t>
  </si>
  <si>
    <t>Теория менеджмента: теория организации: Уч. пос. / Л.А.Жигун - М: ИНФРА-М, 2024 - 320 с. (ВО) (п)</t>
  </si>
  <si>
    <t>ТЕОРИЯ МЕНЕДЖМЕНТА: ТЕОРИЯ ОРГАНИЗАЦИИ</t>
  </si>
  <si>
    <t>Жигун Л. А.</t>
  </si>
  <si>
    <t>978-5-16-009449-6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</si>
  <si>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38.03.02 «Менеджмент», 38.03.04 «Государственное и муниципа</t>
  </si>
  <si>
    <t>213300.05.01</t>
  </si>
  <si>
    <t>Теория менеджмента: Уч. / А.П.Агарков - М.: Альфа-М:  НИЦ ИНФРА-М, 2023. - 272 с.(Бакалавриат) (п) ISBN:978-5-98281-352-7</t>
  </si>
  <si>
    <t>ТЕОРИЯ МЕНЕДЖМЕНТА</t>
  </si>
  <si>
    <t>Голов Р. С., Агарков А. П.</t>
  </si>
  <si>
    <t>978-5-98281-352-7</t>
  </si>
  <si>
    <t>Допущено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080200.62 «Менеджмент» (квалификация (степень) «бакалавр»)</t>
  </si>
  <si>
    <t>247100.07.01</t>
  </si>
  <si>
    <t>Теория менеджмента: Уч. / В.А.Баринов - М.: НИЦ ИНФРА-М, 2024-207с.(ВО: Бакалавриат) (п)</t>
  </si>
  <si>
    <t>978-5-16-006009-5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</si>
  <si>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080200.62 «Менеджмент» (квалификация (степень) «бакалавр»)</t>
  </si>
  <si>
    <t>419700.07.01</t>
  </si>
  <si>
    <t>Теория менеджмента: Уч. / Ю.В. Гусаров. - М.: НИЦ ИНФРА-М, 2024 - 263 с. (ВО:Бакалавр.) (п)</t>
  </si>
  <si>
    <t>978-5-16-005526-8</t>
  </si>
  <si>
    <t>38.03.01, 38.03.02, 38.03.03, 38.03.04, 38.04.02, 38.04.03, 38.04.04, 41.03.05, 41.03.06, 44.03.01</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</si>
  <si>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080200 «Менеджмент» (квалификация (степень) - «бакалавр»)</t>
  </si>
  <si>
    <t>438350.07.01</t>
  </si>
  <si>
    <t>Теория менеджмента: Уч. пос. / А.П. Балашов. - М.: Вуз. уч.:  НИЦ ИНФРА-М, 2024. - 352 с. (п)</t>
  </si>
  <si>
    <t>978-5-9558-0307-4</t>
  </si>
  <si>
    <t>237700.08.01</t>
  </si>
  <si>
    <t>Теория менеджмента: Уч. пос./ В.Д. Грибов. - М.: НИЦ ИНФРА-М, 2025. - 357 с. (ВО: Бакалавриат) (п)</t>
  </si>
  <si>
    <t>Грибов В. Д., Веснин В. Р.</t>
  </si>
  <si>
    <t>978-5-16-009193-8</t>
  </si>
  <si>
    <t>439100.05.01</t>
  </si>
  <si>
    <t>Теория менеджмента: Уч.пос. / О.Б.Угурчиев - М.:ИЦ РИОР,НИЦ ИНФРА-М,2023 - 268с.(ВО:Бакалавр.)(п)</t>
  </si>
  <si>
    <t>УгурчиевО.Б., БероеваЗ.М.</t>
  </si>
  <si>
    <t>978-5-369-01480-6</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</si>
  <si>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направления подготовки «Менеджмент» (квалификация (степень) «бакалавр»)</t>
  </si>
  <si>
    <t>650085.04.01</t>
  </si>
  <si>
    <t>Теория механизмов  и машин: Уч. / О.В.Мкртычев - М.:Вуз. уч., НИЦ ИНФРА-М,2024. - 553 с.-(ВО)(П)</t>
  </si>
  <si>
    <t>ТЕОРИЯ МЕХАНИЗМОВ  И МАШИН</t>
  </si>
  <si>
    <t>978-5-9558-0540-5</t>
  </si>
  <si>
    <t>15.03.01, 15.03.05, 23.03.03</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</si>
  <si>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учебного пособия для подготовки бакалавров по направлению 15.03.02 «Технологические машины и оборудование»</t>
  </si>
  <si>
    <t>631488.09.01</t>
  </si>
  <si>
    <t>Теория механизмов и  машин: Уч. / А.Н.Соболев - М.:КУРС, НИЦ ИНФРА-М,2025. - 256 с.(ВО)(п)</t>
  </si>
  <si>
    <t>ТЕОРИЯ МЕХАНИЗМОВ И МАШИН (ПРОЕКТИРОВАНИЕ И МОДЕЛИРОВАНИЕ МЕХАНИЗМОВ И ИХ ЭЛЕМЕНТОВ)</t>
  </si>
  <si>
    <t>Соболев А.Н., Некрасов А.Я., Схиртладзе А.Г.</t>
  </si>
  <si>
    <t>978-5-906818-44-7</t>
  </si>
  <si>
    <t>15.03.01, 15.03.05, 15.05.01</t>
  </si>
  <si>
    <t>Допущено Учебно-методическим объединением (УМО AM)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автоматизации технологических процессов и производств»</t>
  </si>
  <si>
    <t>047250.17.01</t>
  </si>
  <si>
    <t>Теория механизмов и машин. Курсовое проектир.: Уч.пос. / А.И.Смелягин - М.:НИЦ ИНФРА-М,2025 - 263 с.(ВО(П)</t>
  </si>
  <si>
    <t>ТЕОРИЯ МЕХАНИЗМОВ И МАШИН. КУРСОВОЕ ПРОЕКТИРОВАНИЕ</t>
  </si>
  <si>
    <t>978-5-16-009237-9</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</si>
  <si>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направлениям подготовки бакалавров и магистров «Технология, оборудование и автоматизация машиностроительных производств», дипломированных специалистов — «Конструкторско. технологическое обеспечение машиностроительных производств»</t>
  </si>
  <si>
    <t>650089.04.01</t>
  </si>
  <si>
    <t>Теория механизмов и машин: Практикум / О.В.Мкртычев - М.:Вуз. уч., НИЦ ИНФРА-М,2023 - 327 с.(ВО)(П)</t>
  </si>
  <si>
    <t>ТЕОРИЯ МЕХАНИЗМОВ И МАШИН</t>
  </si>
  <si>
    <t>978-5-9558-0541-2</t>
  </si>
  <si>
    <t>01.05.01, 15.03.05, 23.03.02</t>
  </si>
  <si>
    <t>676522.05.01</t>
  </si>
  <si>
    <t>Теория механизмов и машин: Уч.пос. / М.И.Белов - 2 изд. - М.:ИЦ РИОР, НИЦ ИНФРА-М,2023-322 с.(П)</t>
  </si>
  <si>
    <t>ТЕОРИЯ МЕХАНИЗМОВ И МАШИН, ИЗД.2</t>
  </si>
  <si>
    <t>Белов М.И., Сорокин С.В.</t>
  </si>
  <si>
    <t>978-5-369-01742-5</t>
  </si>
  <si>
    <t>15.03.05, 23.03.02, 23.03.03, 35.03.06</t>
  </si>
  <si>
    <t>795895.01.01</t>
  </si>
  <si>
    <t>Теория механизмов и машин: Уч.пос. / О.В.Конищева.-М.:НИЦ ИНФРА-М,2023.-229 с.(ВО: Бакалавр. (СФУ))(п)</t>
  </si>
  <si>
    <t>Конищева О.В., Брюховецкая Е.В., Сильченко П.Н.</t>
  </si>
  <si>
    <t>978-5-16-018086-1</t>
  </si>
  <si>
    <t>08.03.01, 12.03.05, 15.03.01, 15.03.02, 15.03.03, 15.03.05, 15.05.01, 20.03.01, 23.03.02, 23.03.03, 23.05.01, 23.05.02, 23.05.03, 26.03.02, 26.05.02, 26.05.06, 26.05.07, 29.03.01, 35.03.06</t>
  </si>
  <si>
    <t>140600.10.01</t>
  </si>
  <si>
    <t>Теория механизмов, машин и манипуляторов: Уч.пос. / Л.А.Борисенко-М.:НИЦ ИНФРА-М, Нов. знание,2023.-285 с.(ВО)(П)</t>
  </si>
  <si>
    <t>ТЕОРИЯ МЕХАНИЗМОВ, МАШИН И МАНИПУЛЯТОРОВ</t>
  </si>
  <si>
    <t>Борисенко Л. А.</t>
  </si>
  <si>
    <t>978-5-16-004690-7</t>
  </si>
  <si>
    <t>15.03.05, 16.03.02, 23.03.02, 23.03.03, 24.03.01, 24.03.05</t>
  </si>
  <si>
    <t>306800.07.01</t>
  </si>
  <si>
    <t>Теория надежности. Статистич. модели: Уч.пос. / А.В.Антонов.-М.:НИЦ ИНФРА-М,2022.-576 с.(ВО)(П)</t>
  </si>
  <si>
    <t>ТЕОРИЯ НАДЕЖНОСТИ. СТАТИСТИЧЕСКИЕ МОДЕЛИ</t>
  </si>
  <si>
    <t>Антонов А.В., Никулин М.С., Никулин А.М.и др.</t>
  </si>
  <si>
    <t>978-5-16-010264-1</t>
  </si>
  <si>
    <t>09.03.01, 09.04.01, 09.05.01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</si>
  <si>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09.03.01 «Информатика и вычислительная техника»</t>
  </si>
  <si>
    <t>687085.01.01</t>
  </si>
  <si>
    <t>Теория обучения: Уч.пос. / Н.А.Шайденко - М.:НИЦ ИНФРА-М,2022 - 195 с.(ВО: Бакалавриат)(П)</t>
  </si>
  <si>
    <t>ТЕОРИЯ ОБУЧЕНИЯ</t>
  </si>
  <si>
    <t>978-5-16-016014-6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</si>
  <si>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психолого-педагогическим направлениям подготовки (квалификация (степень) «бакалавр») (протокол № 6 от 16.06.2021)</t>
  </si>
  <si>
    <t>070650.12.01</t>
  </si>
  <si>
    <t>Теория опер.- розыск. деят.: Крат.уч.курс / Под ред.Горяинова К.К. - 5 изд.-М:Норма,НИЦ ИНФРА-М,2024-352(О)</t>
  </si>
  <si>
    <t>ТЕОРИЯ ОПЕРАТИВНО-РОЗЫСКНОЙ ДЕЯТЕЛЬНОСТИ, ИЗД.5</t>
  </si>
  <si>
    <t>Овчинский В.С., Горяинов К.К., Синилов Г.К.</t>
  </si>
  <si>
    <t>978-5-00156-183-5</t>
  </si>
  <si>
    <t>070650.07.01</t>
  </si>
  <si>
    <t>Теория опер.-розыск.деят.:Крат.уч.курс/Под ред.Горяинова К.К.-4 изд.-М:Норма,НИЦ ИНФРА-М,2020-384(О)</t>
  </si>
  <si>
    <t>ТЕОРИЯ ОПЕРАТИВНО-РОЗЫСКНОЙ ДЕЯТЕЛЬНОСТИ, ИЗД.4</t>
  </si>
  <si>
    <t>Горяинов К.К., Овчинский В.С., Синилов Г.К.</t>
  </si>
  <si>
    <t>978-5-91768-809-1</t>
  </si>
  <si>
    <t>745636.05.01</t>
  </si>
  <si>
    <t>Теория оператив.-розыск. деят.: Уч. / Под ред. Горяинова К.К. - 5 изд. - М.:НИЦ ИНФРА-М,2024.-795 с.(ВО)(П)</t>
  </si>
  <si>
    <t>Вагин О.А., Горяинов К.К., Земскова А.В. и др.</t>
  </si>
  <si>
    <t>978-5-16-018048-9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</si>
  <si>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40.05.00 «Юриспруденция» (протокол № 8 от 22.06.2020)</t>
  </si>
  <si>
    <t>071200.23.01</t>
  </si>
  <si>
    <t>Теория оператив.-розыск. деят.: Уч. / Под ред. Горяинова К.К. - 5 изд. - М.:НИЦ ИНФРА-М,2025. - 795 с.(ВО)(П)</t>
  </si>
  <si>
    <t>978-5-16-019618-3</t>
  </si>
  <si>
    <t>071200.14.01</t>
  </si>
  <si>
    <t>Теория оперативно-розыск. деят.: Уч. / Под ред. Горяинова К.К. - 4 изд.-М.:НИЦ ИНФРА-М,2020-772с(ВО)(П)</t>
  </si>
  <si>
    <t>978-5-16-012949-5</t>
  </si>
  <si>
    <t>745636.03.01</t>
  </si>
  <si>
    <t>Теория оперативно-розыск. деят.: Уч. / Под ред. Горяинова К.К. -4 изд. - М.:НИЦ ИНФРА-М,2022 - 772 с.(П)</t>
  </si>
  <si>
    <t>978-5-16-016532-5</t>
  </si>
  <si>
    <t>071200.10.01</t>
  </si>
  <si>
    <t>Теория оперативно-розыск. деят.: Уч. / Под ред. Горяинова К.К., 3 изд.-М.:НИЦ ИНФРА-М,2017-712с.(ВО)</t>
  </si>
  <si>
    <t>ТЕОРИЯ ОПЕРАТИВНО-РОЗЫСКНОЙ ДЕЯТЕЛЬНОСТИ, ИЗД.3</t>
  </si>
  <si>
    <t>978-5-16-006780-3</t>
  </si>
  <si>
    <t>Рекомендовано в качестве учебника для студентов высших учебных заведений, обучающихся по направлению 40.03.01 «Юриспруденция» (квалификация (степень) «бакалавр»)</t>
  </si>
  <si>
    <t>244100.07.01</t>
  </si>
  <si>
    <t>Теория организации и орг. поведение: Уч.пос. / А.П.Балашов - М.:Вуз.уч., НИЦ ИНФРА-М,2024 - 304с.(П)</t>
  </si>
  <si>
    <t>ТЕОРИЯ ОРГАНИЗАЦИИ И ОРГАНИЗАЦИОННОЕ ПОВЕДЕНИЕ</t>
  </si>
  <si>
    <t>978-5-9558-0343-2</t>
  </si>
  <si>
    <t>38.03.01, 38.03.02, 38.03.03, 38.03.04, 38.04.02, 38.04.03, 38.04.04, 41.03.06, 44.03.05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</si>
  <si>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080200-68 «Менеджмент» (квалификация (степень) «маги</t>
  </si>
  <si>
    <t>144400.14.01</t>
  </si>
  <si>
    <t>Теория организации и организац. повед.: Уч.пос. / Ю.Н.Лапыгин, - 2 изд. - М.: ИНФРА-М,2025 - 360 с.(ВО)(П)</t>
  </si>
  <si>
    <t>ТЕОРИЯ ОРГАНИЗАЦИИ И ОРГАНИЗАЦИОННОЕ ПОВЕДЕНИЕ, ИЗД.2</t>
  </si>
  <si>
    <t>Лапыгин Ю.Н.</t>
  </si>
  <si>
    <t>978-5-16-012559-6</t>
  </si>
  <si>
    <t>38.03.02, 38.04.02, 38.04.03, 41.03.06, 44.03.05</t>
  </si>
  <si>
    <t>Допущено советом Учебно-методического объединения вузов России по образованию в области менеджмента в качестве учебного пособия по направлению подготовки 38.04.02 «Менеджмент»</t>
  </si>
  <si>
    <t>144400.06.98</t>
  </si>
  <si>
    <t>Теория организации и организац. поведение: Уч.пос. / Ю.Н.Лапыгин-М.:НИЦ ИНФРА-М,2017-329с.(ВО)(П)</t>
  </si>
  <si>
    <t>978-5-16-004495-8</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</si>
  <si>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</si>
  <si>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012000.29.01</t>
  </si>
  <si>
    <t>Теория организации: Уч. / Б.З.Мильнер - 8 изд. - М.:НИЦ ИНФРА-М,2025 - 848 с.(ВО: Бакалавриат)(П)</t>
  </si>
  <si>
    <t>ТЕОРИЯ ОРГАНИЗАЦИИ, ИЗД.8</t>
  </si>
  <si>
    <t>Мильнер Б. З.</t>
  </si>
  <si>
    <t>978-5-16-004700-3</t>
  </si>
  <si>
    <t>Рекомендовано Министерством образования РФ в качестве учебника для студентов высших учебных заведений, обучающихся по направлению 080200 "Менеджмент"</t>
  </si>
  <si>
    <t>0812</t>
  </si>
  <si>
    <t>420300.08.01</t>
  </si>
  <si>
    <t>Теория организации: Уч.пос. / А.П.Балашов-М.:Вузовский учебник, НИЦ ИНФРА-М,2024.-208 с.(п)</t>
  </si>
  <si>
    <t>ТЕОРИЯ ОРГАНИЗАЦИИ</t>
  </si>
  <si>
    <t>978-5-9558-0288-6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</si>
  <si>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 «Менеджмент», 081100 «Государственное и муниципальное управление» (квалификация (степень) — «бакалавр»)</t>
  </si>
  <si>
    <t>168050.09.01</t>
  </si>
  <si>
    <t>Теория организации: Уч.пос. / В.И.Подлесных. - 4 изд. - М.: НИЦ ИНФРА-М,2024 - 345 с.(ВО:Бакалавр.) (п)</t>
  </si>
  <si>
    <t>ТЕОРИЯ ОРГАНИЗАЦИИ, ИЗД.4</t>
  </si>
  <si>
    <t>Подлесных В. И., Кузнецов Н. В., Подлесных В. И.</t>
  </si>
  <si>
    <t>978-5-16-006013-2</t>
  </si>
  <si>
    <t>38.03.02, 38.03.04, 38.04.04</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</si>
  <si>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специальности 080507.65 «Менеджмент организации»</t>
  </si>
  <si>
    <t>078650.12.01</t>
  </si>
  <si>
    <t>Теория организаций: Уч. пос. / Ю.Н.Лапыгин - 2 изд. - М.:НИЦ ИНФРА-М,2025 - 324 с. - (ВО:Бакалавриат)(П)</t>
  </si>
  <si>
    <t>ТЕОРИЯ ОРГАНИЗАЦИЙ, ИЗД.2</t>
  </si>
  <si>
    <t>978-5-16-012296-0</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</si>
  <si>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направлению «Менеджмент»</t>
  </si>
  <si>
    <t>150250.11.01</t>
  </si>
  <si>
    <t>Теория права и государства..: Уч.пос. / Е.Г.Лукьянова-М.:Юр. НОРМА, НИЦ ИНФРА-М,2024.-208 с.(п)</t>
  </si>
  <si>
    <t>ТЕОРИЯ ПРАВА И ГОСУДАРСТВА. ВВЕДЕНИЕ В ЕСТЕСТВЕННО-ПРАВОВОЙ КУРС</t>
  </si>
  <si>
    <t>Лукьянова Е. Г.</t>
  </si>
  <si>
    <t>978-5-91768-163-4</t>
  </si>
  <si>
    <t>027480.18.01</t>
  </si>
  <si>
    <t>Теория права и государства: Краткий учеб. курс / В.С.Нерсесянц - М.:НОРМА, ИНФРА-М,2025 - 272 с.(о)</t>
  </si>
  <si>
    <t>ТЕОРИЯ ПРАВА И ГОСУДАРСТВА</t>
  </si>
  <si>
    <t>978-5-89123-489-5</t>
  </si>
  <si>
    <t>340700.04.01</t>
  </si>
  <si>
    <t>Теория равновесий и регуляторов эк..:Уч.пос./В.С.Гродский-ИЦ РИОР,НИЦ ИНФРА-М,2023-195с(ВО:Магистр.)</t>
  </si>
  <si>
    <t>ТЕОРИЯ РАВНОВЕСИЙ И РЕГУЛЯТОРОВ ЭКОНОМИКИ</t>
  </si>
  <si>
    <t>978-5-369-01422-6</t>
  </si>
  <si>
    <t>38.04.01, 38.04.02, 38.06.01, 38.07.02</t>
  </si>
  <si>
    <t>274100.07.01</t>
  </si>
  <si>
    <t>Теория сестринского дела: Уч. / Н.Н.Камынина - 2 изд - М.:НИЦ ИНФРА-М,2024-214с.(ВО:Бакалавриат) (п)</t>
  </si>
  <si>
    <t>ТЕОРИЯ СЕСТРИНСКОГО ДЕЛА, ИЗД.2</t>
  </si>
  <si>
    <t>Камынина Н.Н., Островская И.В., Пьяных А.В.</t>
  </si>
  <si>
    <t>978-5-16-009579-0</t>
  </si>
  <si>
    <t>34.03.01</t>
  </si>
  <si>
    <t>Рекомендовано ГОУ ВПО "Московская медицинская академия им. ИМ. Сеченова" в качестве учебника для студентов высшего профессионального образования, обучающихся по специальности 060109.65 «Сестринское дело"</t>
  </si>
  <si>
    <t>705354.03.01</t>
  </si>
  <si>
    <t>Теория сестринского дела: Уч. / Н.Н.Камынина - 2 изд.-М.:НИЦ ИНФРА-М,2024.-214 с.(СПО)(п)</t>
  </si>
  <si>
    <t>Камынина Н.Н., Островская И.В., Пьяных А.В. и др.</t>
  </si>
  <si>
    <t>978-5-16-015034-5</t>
  </si>
  <si>
    <t>31.02.01, 31.02.02, 34.01.01, 34.02.01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</si>
  <si>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34.02.00 «Сестринское дело» (протокол № 5 от 11.03.2019)</t>
  </si>
  <si>
    <t>214400.12.01</t>
  </si>
  <si>
    <t>Теория систем и системный анализ: Уч.пос. / А.М.Кориков - М.:НИЦ ИНФРА-М,2024 - 288 с.-(ВО)(П)</t>
  </si>
  <si>
    <t>ТЕОРИЯ СИСТЕМ И СИСТЕМНЫЙ АНАЛИЗ</t>
  </si>
  <si>
    <t>Кориков А. М., Павлов С. Н.</t>
  </si>
  <si>
    <t>978-5-16-019357-1</t>
  </si>
  <si>
    <t>01.03.02, 01.04.02, 02.03.02, 03.03.02, 04.03.02, 09.03.03, 27.03.03, 27.04.03</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</si>
  <si>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09.03.03 «Прикладная  информатика» (квалификация (степень) «бакалавр») и другим экономическим специальностям</t>
  </si>
  <si>
    <t>678061.01.01</t>
  </si>
  <si>
    <t>Теория социализма / В.С.Соловьев - М.:НИЦ ИНФРА-М, 2018 - 609 с.(П)</t>
  </si>
  <si>
    <t>ТЕОРИЯ СОЦИАЛИЗМА</t>
  </si>
  <si>
    <t>Соловьев В.С.</t>
  </si>
  <si>
    <t>978-5-16-014349-1</t>
  </si>
  <si>
    <t>38.04.01, 38.04.04, 38.06.01, 39.04.01, 41.04.04</t>
  </si>
  <si>
    <t>015495.20.01</t>
  </si>
  <si>
    <t>Теория статистики: Практикум / Г.Л.Громыко, - 5 изд. - М.:НИЦ ИНФРА-М,2025. - 238 с.(ВО: Бакалавр.)(П)</t>
  </si>
  <si>
    <t>ТЕОРИЯ СТАТИСТИКИ, ИЗД.5</t>
  </si>
  <si>
    <t>Громыко Г. Л.</t>
  </si>
  <si>
    <t>978-5-16-005432-2</t>
  </si>
  <si>
    <t>38.03.01, 38.03.02, 38.03.04, 38.03.05, 38.03.06, 38.03.10, 38.04.08</t>
  </si>
  <si>
    <t>Рекомендовано Учебно-методическим объединением по классическому университетскому образованию в качестве учебного пособия по дисциплине федерального компонента для студентов высших учебных заведений, обучающихся по направлению подготовки 38.03.01 «Экономика»</t>
  </si>
  <si>
    <t>024500.15.01</t>
  </si>
  <si>
    <t>Теория статистики: Уч. / Под ред. Громыко Г.Л. - 3 изд.-М.:НИЦ ИНФРА-М,2018-476 с.-(ВО:Бакалавр.)(П)</t>
  </si>
  <si>
    <t>ТЕОРИЯ СТАТИСТИКИ, ИЗД.3</t>
  </si>
  <si>
    <t>Громыко Г.Л.</t>
  </si>
  <si>
    <t>978-5-16-004857-4</t>
  </si>
  <si>
    <t>38.03.01, 38.03.02, 38.03.05, 38.03.06, 38.03.07, 38.04.01, 38.04.02, 38.04.05, 38.04.06, 38.04.07, 38.04.08, 38.04.09, 39.03.03, 41.03.06</t>
  </si>
  <si>
    <t>024500.21.01</t>
  </si>
  <si>
    <t>Теория статистики: Уч. / Под ред. Громыко Г.Л. - 4 изд. - М.:НИЦ ИНФРА-М,2024 - 465 с.-(ВО)(п)</t>
  </si>
  <si>
    <t>ТЕОРИЯ СТАТИСТИКИ, ИЗД.4</t>
  </si>
  <si>
    <t>Громыко Г.Л., Воробьев А.Н., Иванов Ю.Н. и др.</t>
  </si>
  <si>
    <t>978-5-16-019084-6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</si>
  <si>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10 от 27.05.2019)</t>
  </si>
  <si>
    <t>109800.18.01</t>
  </si>
  <si>
    <t>Теория суд. эксперт. (Суд.эксперт..): Уч. /Е.Р.Россинская - 2 изд. - М.:Юр.Норма, НИЦ ИНФРА-М, 2025 - 368 с. (П)</t>
  </si>
  <si>
    <t>ТЕОРИЯ СУДЕБНОЙ ЭКСПЕРТИЗЫ (СУДЕБНАЯ ЭКСПЕРТОЛОГИЯ), ИЗД.2</t>
  </si>
  <si>
    <t>РоссинскаяЕ.Р., ГаляшинаЕ.И., ЗининА.М. и др.</t>
  </si>
  <si>
    <t>978-5-91768-716-2</t>
  </si>
  <si>
    <t>Рекомендовано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«судебный эксперт»</t>
  </si>
  <si>
    <t>648467.05.01</t>
  </si>
  <si>
    <t>Теория судебного права и орг. судеб. сис.: Уч. / Под ред. Клишас А.А.-М.:НИЦ ИНФРА-М,2024.-312 с.(ВО)(п)</t>
  </si>
  <si>
    <t>ТЕОРИЯ СУДЕБНОГО ПРАВА И ОРГАНИЗАЦИИ СУДЕБНЫХ СИСТЕМ</t>
  </si>
  <si>
    <t>Клишас А.А., Гребенников В.В., Грудцына Л.Ю. и др.</t>
  </si>
  <si>
    <t>978-5-16-012737-8</t>
  </si>
  <si>
    <t>705523.01.01</t>
  </si>
  <si>
    <t>Теория текста: нарративное конструирование: Уч.пос. / М.И.Тарасов - М.:НИЦ ИНФРА-М,2025. - 378 с.(ВО)(п)</t>
  </si>
  <si>
    <t>ТЕОРИЯ ТЕКСТА: НАРРАТИВНОЕ КОНСТРУИРОВАНИЕ</t>
  </si>
  <si>
    <t>Тарасов М.И.</t>
  </si>
  <si>
    <t>978-5-16-016504-2</t>
  </si>
  <si>
    <t>682655.01.01</t>
  </si>
  <si>
    <t>Теория технологического потока: Уч. / В.А.Панфилов, - 3 изд.-М.:НИЦ ИНФРА-М,2019.-320с(ВО: Спец.)(П)</t>
  </si>
  <si>
    <t>ТЕОРИЯ ТЕХНОЛОГИЧЕСКОГО ПОТОКА, ИЗД.3</t>
  </si>
  <si>
    <t>Панфилов В.А.</t>
  </si>
  <si>
    <t>978-5-16-013844-2</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</si>
  <si>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направлению подготовки дипломированных специалистов «Пищевая инженерия»</t>
  </si>
  <si>
    <t>489800.05.01</t>
  </si>
  <si>
    <t>Теория управления в пример. и задачах: Уч.пос. / А.В.Пантелеев-2 изд.-М.:НИЦ ИНФРА-М,2020-584с(ВО)(П)</t>
  </si>
  <si>
    <t>ТЕОРИЯ УПРАВЛЕНИЯ В ПРИМЕРАХ И ЗАДАЧАХ, ИЗД.2</t>
  </si>
  <si>
    <t>Пантелеев А.В., Бортаковский А.С.</t>
  </si>
  <si>
    <t>978-5-16-011862-8</t>
  </si>
  <si>
    <t>01.03.04</t>
  </si>
  <si>
    <t>644160.05.01</t>
  </si>
  <si>
    <t>Теория управления: Уч. / Н.Б.Костина и др. - М.:НИЦ ИНФРА-М,2023 - 252 с.-(ВО: Бакалавриат)(П)</t>
  </si>
  <si>
    <t>ТЕОРИЯ УПРАВЛЕНИЯ</t>
  </si>
  <si>
    <t>Костина Н.Б., Дуран Т.В., Калугина Д.А.</t>
  </si>
  <si>
    <t>978-5-16-012629-6</t>
  </si>
  <si>
    <t>38.03.04, 39.03.01, 41.03.04, 41.03.06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</si>
  <si>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38.03.02 «Менеджмент» (квалификация (степень) «бакалавр»)</t>
  </si>
  <si>
    <t>Российская академия народного хозяйства и государственной службы при Президенте РФ, ф-л Уральский институт управления</t>
  </si>
  <si>
    <t>686648.02.01</t>
  </si>
  <si>
    <t>Теория управления: Уч.пос. / Е.П.Тавокин - М.:НИЦ ИНФРА-М,2023 - 202 с.-(ВО: Бакалавриат)(П)</t>
  </si>
  <si>
    <t>978-5-16-014220-3</t>
  </si>
  <si>
    <t>37.04.02, 38.03.02, 38.03.04, 38.04.02, 38.04.03, 38.04.04, 39.03.02, 39.04.02, 39.04.03, 41.03.06, 43.03.01, 43.03.02, 43.03.03, 44.03.05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</si>
  <si>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38.03.02 «Менеджмент», 38.03.04 «Государственное и муниципальное управление», 38.03.03 «Управление персоналом»</t>
  </si>
  <si>
    <t>33</t>
  </si>
  <si>
    <t>057390.17.01</t>
  </si>
  <si>
    <t>Теория управления: Уч.пос. / Л.А.Бурганова, - 3 изд.-М.:НИЦ ИНФРА-М,2024.-160 с.(ВО: Бакалавр.)(О)</t>
  </si>
  <si>
    <t>ТЕОРИЯ УПРАВЛЕНИЯ, ИЗД.3</t>
  </si>
  <si>
    <t>Бурганова Л. А.</t>
  </si>
  <si>
    <t>978-5-16-005576-3</t>
  </si>
  <si>
    <t>04.03.02, 07.03.03, 19.03.04, 23.03.01, 27.03.02, 29.03.02, 35.03.03, 35.03.04, 35.03.09, 36.03.02, 38.03.01, 38.03.02, 38.03.04, 38.04.01, 38.04.02, 38.04.04, 41.03.06, 42.03.01, 44.03.05, 45.03.01, 45.03.03, 51.03.01, 51.03.04, 52.03.01</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</si>
  <si>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</si>
  <si>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481150.09.01</t>
  </si>
  <si>
    <t>Теория функций комплексного переменного: Уч. / Е.С.Половинкин - 2 изд. - М.:НИЦ ИНФРА-М,2023 - 253 с.(ВО)(П)</t>
  </si>
  <si>
    <t>ТЕОРИЯ ФУНКЦИЙ КОМПЛЕКСНОГО ПЕРЕМЕННОГО, ИЗД.2</t>
  </si>
  <si>
    <t>Половинкин Е.С.</t>
  </si>
  <si>
    <t>978-5-16-017359-7</t>
  </si>
  <si>
    <t>03.03.01, 24.03.01, 24.03.02, 24.03.03, 24.03.04, 24.03.05</t>
  </si>
  <si>
    <t>Рекомендовано Учебно-методическим советом  высших учебных заведений Российской Федерации по образованию в области авиации, ракетостроения и космоса в качестве учебника для студентов высших технических учебных заведений</t>
  </si>
  <si>
    <t>481150.06.01</t>
  </si>
  <si>
    <t>Теория функций комплексного переменного: Уч. / Е.С.Половинкин-М.:НИЦ ИНФРА - М,2022-254с(ВО:Бак.)(П)</t>
  </si>
  <si>
    <t>ТЕОРИЯ ФУНКЦИЙ КОМПЛЕКСНОГО ПЕРЕМЕННОГО</t>
  </si>
  <si>
    <t>978-5-16-013608-0</t>
  </si>
  <si>
    <t>719251.01.01</t>
  </si>
  <si>
    <t>Теория функций комплексной переменной и операц. исчисление: Уч.пос. / Е.А.Коган-М.:НИЦ ИНФРА-М,2020.-180 с.(ВО)(П)</t>
  </si>
  <si>
    <t>ТЕОРИЯ ФУНКЦИЙ КОМПЛЕКСНОЙ ПЕРЕМЕННОЙ И ОПЕРАЦИОННОЕ ИСЧИСЛЕНИЕ</t>
  </si>
  <si>
    <t>Коган Е.А., Жукова Г.С.</t>
  </si>
  <si>
    <t>978-5-16-015816-7</t>
  </si>
  <si>
    <t>01.03.01, 01.03.02, 01.03.04, 02.03.01, 04.03.02, 09.03.01, 10.05.03, 15.03.01, 15.03.03, 15.03.04, 27.03.04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</si>
  <si>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15.03.03 «Прикладная механика», 15.03.01 «Машиностроение» (квалификация (степень) «бакалавр») (протокол № 18 от 25.11.2019)</t>
  </si>
  <si>
    <t>653166.03.01</t>
  </si>
  <si>
    <t>Теория цифрового компьютера: Уч.пос. / А.Б.Барский - М.:ИД ФОРУМ, НИЦ ИНФРА-М,2023 - 304 с.(П)</t>
  </si>
  <si>
    <t>ТЕОРИЯ ЦИФРОВОГО КОМПЬЮТЕРА</t>
  </si>
  <si>
    <t>Барский А.Б., Шилов В.В.</t>
  </si>
  <si>
    <t>978-5-8199-0774-0</t>
  </si>
  <si>
    <t>09.03.01, 09.03.02, 09.03.03, 09.03.04, 09.04.01, 09.04.02, 09.04.03, 09.04.04, 27.03.04, 38.03.05, 38.04.05</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</si>
  <si>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38.03.05 «Бизнес-информатика» (квалификация (степень) «бакалавр»)</t>
  </si>
  <si>
    <t>038500.14.01</t>
  </si>
  <si>
    <t>Теория экономического анализа: Уч. / А.Д.Шеремет, - 4 изд. - М.:НИЦ ИНФРА-М,2024 - 389 с.-(ВО)(П)</t>
  </si>
  <si>
    <t>ТЕОРИЯ ЭКОНОМИЧЕСКОГО АНАЛИЗА, ИЗД.4</t>
  </si>
  <si>
    <t>Шеремет А.Д., Хорин А.Н.</t>
  </si>
  <si>
    <t>978-5-16-014626-3</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</si>
  <si>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«Экономика»</t>
  </si>
  <si>
    <t>476900.07.01</t>
  </si>
  <si>
    <t>Теория экономического анализа: Уч. / В.А.Бирюков - 4 изд. - М.:НИЦ ИНФРА-М,2022 - 462 с.(ВО)(П)</t>
  </si>
  <si>
    <t>Бирюков В.А., Шаронин П.Н.</t>
  </si>
  <si>
    <t>978-5-16-015755-9</t>
  </si>
  <si>
    <t>Рекомендуется федеральным государственным бюджетным образовательным учреждением высшего образования «Государственный университет управления» в качестве учебника к использованию в образовательных учреждениях, реализующих образовательные программы высшего образования по направлению подготовки 38.03.01 «Экономика», по дисциплине «Теория экономического анализа» (регистрационный номер рецензии 1518 от 15.09.2011, МГУП)</t>
  </si>
  <si>
    <t>476900.09.01</t>
  </si>
  <si>
    <t>Теория экономического анализа: Уч. / В.А.Бирюков - 5 изд. - М.:НИЦ ИНФРА-М,2025 - 503 с.(ВО.Бакалавр.)(П)</t>
  </si>
  <si>
    <t>ТЕОРИЯ ЭКОНОМИЧЕСКОГО АНАЛИЗА, ИЗД.5</t>
  </si>
  <si>
    <t>978-5-16-017404-4</t>
  </si>
  <si>
    <t>476900.04.01</t>
  </si>
  <si>
    <t>Теория экономического анализа: Уч. / В.А.Бирюков, - 3 изд.- М.:НИЦ ИНФРА-М,2018.-449 с..-(ВО)(П)</t>
  </si>
  <si>
    <t>ТЕОРИЯ ЭКОНОМИЧЕСКОГО АНАЛИЗА, ИЗД.3</t>
  </si>
  <si>
    <t>978-5-16-013512-0</t>
  </si>
  <si>
    <t>Рекомендуется федеральным государственным бюджетным образовательным учреждением высшего образования «Государственный университет управления» в качестве учебника к использованию в образовательных учреждениях,  реализующих образовательные программы высшего образования по направлению подготовки 38.03.01 «Экономика», по дисциплине «Теория экономического анализа»</t>
  </si>
  <si>
    <t>027873.18.01</t>
  </si>
  <si>
    <t>Теория экономического анализа: Уч.пос. / Л.Е.Басовский-М.:НИЦ ИНФРА-М,2024.-222 с.(ВО: Бакалавриат)(о)</t>
  </si>
  <si>
    <t>ТЕОРИЯ ЭКОНОМИЧЕСКОГО АНАЛИЗА</t>
  </si>
  <si>
    <t>978-5-16-000293-4</t>
  </si>
  <si>
    <t>18.04.01, 38.03.01, 43.04.01, 44.03.05</t>
  </si>
  <si>
    <t>065900.12.01</t>
  </si>
  <si>
    <t>Теория экономического анализа: Уч.пос./Под ред. Р.П.Казаковой-НИЦ ИНФРА-М,2024-238с(ВО)(О)</t>
  </si>
  <si>
    <t>Казакова Р.П., Казаков С.В., Казакова Р.П.</t>
  </si>
  <si>
    <t>978-5-16-003838-4</t>
  </si>
  <si>
    <t>Рекомендуется в качестве учебного пособия для студентов экономических вузов, обучающихся по специальностям 080105 «финансы и кредит". 080109 «Бухгалтерский учет, анализ и аудит», 080502 "Экономика и управление на предприятии»</t>
  </si>
  <si>
    <t>408600.07.01</t>
  </si>
  <si>
    <t>Теория эксплуатационных свойств автомобиля: Уч. пос. / Н.А.Кузьмин - Форум: НИЦ Инфра-М, 2025 - 256 с.(ВО) (п)</t>
  </si>
  <si>
    <t>ТЕОРИЯ ЭКСПЛУАТАЦИОННЫХ СВОЙСТВ АВТОМОБИЛЯ</t>
  </si>
  <si>
    <t>978-5-91134-687-4</t>
  </si>
  <si>
    <t>23.03.02, 23.03.03, 23.04.01, 23.04.02, 23.04.03</t>
  </si>
  <si>
    <t>776822.02.01</t>
  </si>
  <si>
    <t>Теория электрич. цепей и электромагнит. поля: Сб. задач: Уч.пос. / Л.П.Гаврилов - М.:НИЦ ИНФРА-М,2025 - 181 с.(ВО)(п)</t>
  </si>
  <si>
    <t>ТЕОРИЯ ЭЛЕКТРИЧЕСКИХ ЦЕПЕЙ И ЭЛЕКТРОМАГНИТНОГО ПОЛЯ: СБОРНИК ЗАДАЧ</t>
  </si>
  <si>
    <t>978-5-16-017774-8</t>
  </si>
  <si>
    <t>10.05.02, 11.03.02, 11.05.02, 13.03.02, 13.04.02</t>
  </si>
  <si>
    <t>811541.01.01</t>
  </si>
  <si>
    <t>Теория электрич. цепей и электромагнит. поля: Сб. задач: Уч.пос. / Л.П.Гаврилов-М.:НИЦ ИНФРА-М,2024.-181 с.(СПО)(п)</t>
  </si>
  <si>
    <t>978-5-16-018972-7</t>
  </si>
  <si>
    <t>10.02.04, 11.02.06, 11.02.09, 11.02.11, 11.02.15, 11.02.16, 11.02.18, 11.02.19, 13.02.07, 13.02.09, 13.02.13, 15.02.03, 15.02.06, 15.02.17</t>
  </si>
  <si>
    <t>423050.08.01</t>
  </si>
  <si>
    <t>Теория электрических цепей: Уч. пос. / В.И.Никулин.-М.:ИЦ РИОР:НИЦ ИНФРА-М,2024-240с. (ВО:Бакалавр.) (п)</t>
  </si>
  <si>
    <t>ТЕОРИЯ ЭЛЕКТРИЧЕСКИХ ЦЕПЕЙ</t>
  </si>
  <si>
    <t>Никулин В. И.</t>
  </si>
  <si>
    <t>978-5-369-01179-9</t>
  </si>
  <si>
    <t>11.03.01, 11.03.02, 11.04.02</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</si>
  <si>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210700 «Инфокоммуникационные технологии и системы связ</t>
  </si>
  <si>
    <t>451400.04.01</t>
  </si>
  <si>
    <t>Теория электрической связи: Уч. / Л.Л.Клюев - М.:НИЦ ИНФРА-М,2025. - 447 с.(ВО)(П)</t>
  </si>
  <si>
    <t>ТЕОРИЯ ЭЛЕКТРИЧЕСКОЙ СВЯЗИ</t>
  </si>
  <si>
    <t>Клюев Л.Л.</t>
  </si>
  <si>
    <t>978-5-16-011447-7</t>
  </si>
  <si>
    <t>09.03.01, 09.03.02, 09.03.03, 09.03.04, 09.04.01, 09.04.02, 09.04.03, 09.04.04, 10.05.02</t>
  </si>
  <si>
    <t>Утверждено Министерством образования Республики Беларусь в качестве учебника для студентов учреждений высшего образования по специальностям «Инфокоммуникационные технологии (по направлениям)», «Инфокоммуникационные системы», «Защита информации в телекоммуникациях»</t>
  </si>
  <si>
    <t>272200.09.01</t>
  </si>
  <si>
    <t>Теория электропривода: Уч. / Г.Б.Онищенко - М.:НИЦ ИНФРА-М,2025 - 294 с.(ВО: Бакалавриат)(П)</t>
  </si>
  <si>
    <t>ТЕОРИЯ ЭЛЕКТРОПРИВОДА</t>
  </si>
  <si>
    <t>Г.Б.Онищенко</t>
  </si>
  <si>
    <t>978-5-16-009674-2</t>
  </si>
  <si>
    <t>467750.08.01</t>
  </si>
  <si>
    <t>Теория эффективности экономики: Моногр./О.С.Сухарев - 2 изд. - М:КУРС: ИНФРА-М,2024-368с. (Наука) (о)</t>
  </si>
  <si>
    <t>ТЕОРИЯ ЭФФЕКТИВНОСТИ ЭКОНОМИКИ, ИЗД.2</t>
  </si>
  <si>
    <t>Сухарев О. С.</t>
  </si>
  <si>
    <t>Наука</t>
  </si>
  <si>
    <t>978-5-905554-58-2</t>
  </si>
  <si>
    <t>744299.01.01</t>
  </si>
  <si>
    <t>Тепловизионная скрининг-диагностика. Болезни системы кровообращения. Варикозное расширение вен. Атлас термограмм -М.:НИЦ ИНФРА-М,2020.-91 с.(П)</t>
  </si>
  <si>
    <t>ТЕПЛОВИЗИОННАЯ СКРИНИНГ-ДИАГНОСТИКА. БОЛЕЗНИ СИСТЕМЫ КРОВООБРАЩЕНИЯ. ВАРИКОЗНОЕ РАСШИРЕНИЕ ВЕН НИЖНИХ КОНЕЧНОСТЕЙ. ФЛЕБИТ. ТРОМБОФЛЕБИТ</t>
  </si>
  <si>
    <t>Воловик М.Г., Долгов И.М., Муравина Н.Л.</t>
  </si>
  <si>
    <t>978-5-16-016492-2</t>
  </si>
  <si>
    <t>Атлас</t>
  </si>
  <si>
    <t>31.02.01, 31.05.01, 31.05.02, 31.06.01, 31.07.01, 31.08.01, 31.08.05, 32.04.01, 32.05.01</t>
  </si>
  <si>
    <t>186300.14.01</t>
  </si>
  <si>
    <t>Тепловые электрич. станции. Схемы и оборуд.: Уч.пос. / А.А.Кудинов - М.:НИЦ ИНФРА-М,2025 - 325 с.(ВО)(п)</t>
  </si>
  <si>
    <t>ТЕПЛОВЫЕ ЭЛЕКТРИЧЕСКИЕ СТАНЦИИ. СХЕМЫ И ОБОРУДОВАНИЕ</t>
  </si>
  <si>
    <t>978-5-16-004731-7</t>
  </si>
  <si>
    <t>13.03.01, 13.03.02, 13.04.01</t>
  </si>
  <si>
    <t>Допущено УМО вузов России по обр. в области энергетики и электротехники в качестве уч.пос. для студентов ВУЗов, обучающихся по напр. подготовки 140100 "Теплоэнергетика и теплотехника"</t>
  </si>
  <si>
    <t>047370.17.01</t>
  </si>
  <si>
    <t>Теплоизоляционные материалы и конструкции: Уч. / Ю.Л.Бобров - 2 изд. - М.:ИНФРА-М,2025 - 266 с.(СПО)(П)</t>
  </si>
  <si>
    <t>ТЕПЛОИЗОЛЯЦИОННЫЕ МАТЕРИАЛЫ И КОНСТРУКЦИИ, ИЗД.2</t>
  </si>
  <si>
    <t>Бобров Ю. Л., Овчаренко Е. Г., Шойхет Б. М., Петухова Е. Ю.</t>
  </si>
  <si>
    <t>978-5-16-004089-9</t>
  </si>
  <si>
    <t>08.02.01, 08.02.02, 08.02.03, 08.02.04, 08.02.08, 08.02.09, 08.02.12, 08.02.13, 15.01.18, 23.02.08</t>
  </si>
  <si>
    <t>Допущено Гос. комитетом РФ по строительству и жилищно-коммунальному комплексу в кач. учеб. для студ. сред. спец. учеб. зав., обуч. по спец. 2902 "Строительство и эксплуатация зданий и сооружений" и 2508 "Производство тугоплавких и силикат. материал."</t>
  </si>
  <si>
    <t>308900.05.01</t>
  </si>
  <si>
    <t>Теплоизоляционные, кровельные...: Уч.-метод. пос. / В.Н.Черноиван - М:ИНФРА-М, Нов. знание,2023 - 272с.(П)</t>
  </si>
  <si>
    <t>ТЕПЛОИЗОЛЯЦИОННЫЕ, КРОВЕЛЬНЫЕ И ОТДЕЛОЧНЫЕ РАБОТЫ</t>
  </si>
  <si>
    <t>978-5-16-010303-7</t>
  </si>
  <si>
    <t>174800.12.01</t>
  </si>
  <si>
    <t>Тепломассообмен: Уч. / О.Н.Брюханов - М.:НИЦ ИНФРА-М,2025 - 464 с.-(ВО)(п)</t>
  </si>
  <si>
    <t>ТЕПЛОМАССООБМЕН</t>
  </si>
  <si>
    <t>Брюханов О.Н., Шевченко С.Н.</t>
  </si>
  <si>
    <t>978-5-16-004803-1</t>
  </si>
  <si>
    <t>03.03.02, 03.04.02, 04.04.02, 08.03.01, 13.03.01, 13.04.01</t>
  </si>
  <si>
    <t>Рекомендовано УМО РФ по образованию в области строительства в качестве учебного пособия для студентов, обучающихся по направлению "Строительство"</t>
  </si>
  <si>
    <t>161050.10.01</t>
  </si>
  <si>
    <t>Тепломассообмен: Уч.пос. / А.А.Кудинов - М.:НИЦ ИНФРА-М,2025 - 375с. (ВО:Бакалавриат)</t>
  </si>
  <si>
    <t>978-5-16-011093-6</t>
  </si>
  <si>
    <t>13.03.01, 13.04.01, 15.03.04, 15.04.04, 27.03.04, 27.04.04</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</si>
  <si>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140100 - "Теплоэнергетика и теплотехника"</t>
  </si>
  <si>
    <t>631733.05.01</t>
  </si>
  <si>
    <t>Тепломассообменные процессы и оборуд..: Уч.пос. / Л.И.Жмакин - М.:НИЦ ИНФРА-М,2025 - 295 с.(ВО)(П)</t>
  </si>
  <si>
    <t>ТЕПЛОМАССООБМЕННЫЕ ПРОЦЕССЫ И ОБОРУДОВАНИЕ В ЛЕГКОЙ И ТЕКСТИЛЬНОЙ ПРОМЫШЛЕННОСТИ</t>
  </si>
  <si>
    <t>Жмакин Л.И.</t>
  </si>
  <si>
    <t>978-5-16-011953-3</t>
  </si>
  <si>
    <t>13.03.01, 29.03.01, 29.03.03</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</si>
  <si>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бакалавров 29.03.02 «Технологии и проектирование текстильных изделий», 29.03.03 «Технология полиграфического и упаковочного производства», 29.03.05 «Конструирование изделий легкой промышленности»</t>
  </si>
  <si>
    <t>675003.03.01</t>
  </si>
  <si>
    <t>Теплопередача: Уч. пос.: В 2 ч.Ч.1: Основы теории... / Чередниченко В.С.-М.:НИЦ ИНФРА-М,2024-221 с(ВО)(о)</t>
  </si>
  <si>
    <t>ТЕПЛОПЕРЕДАЧА. В 2 ЧАСТЯХ .ЧАСТЬ 1. ОСНОВЫ ТЕОРИИ ТЕПЛОПЕРЕДАЧИ, Т.1</t>
  </si>
  <si>
    <t>Чередниченко В.С., Синицын В.А., Алиферов А.И. и др.</t>
  </si>
  <si>
    <t>978-5-16-018987-1</t>
  </si>
  <si>
    <t>11.03.03, 13.03.01, 15.03.01, 15.03.02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</si>
  <si>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12 от 24.06.2019)</t>
  </si>
  <si>
    <t>675005.04.01</t>
  </si>
  <si>
    <t>Теплопередача: Уч. пос.: В 2 ч.Ч.2 / Под ред. Чередниченко В.С. - М.:НИЦ ИНФРА-М,2025. - 348 с.(ВО)(П)</t>
  </si>
  <si>
    <t>ТЕПЛОПЕРЕДАЧА. В 2 ЧАСТЯХ. ЧАСТЬ 2. УПРАЖНЕНИЯ И ЗАДАЧИ, Т.2</t>
  </si>
  <si>
    <t>978-5-16-020425-3</t>
  </si>
  <si>
    <t>11.03.03, 11.03.04, 13.03.01, 13.03.02, 13.03.03, 21.03.01</t>
  </si>
  <si>
    <t>472550.06.01</t>
  </si>
  <si>
    <t>Теплотехника: Уч. / Ю.П.Семенов, - 2 изд.-М.:НИЦ ИНФРА-М,2024.-400 с.(ВО: Бакалавриат)(П)</t>
  </si>
  <si>
    <t>ТЕПЛОТЕХНИКА, ИЗД.2</t>
  </si>
  <si>
    <t>Семенов Ю.П., Левин А.Б.</t>
  </si>
  <si>
    <t>978-5-16-010104-0</t>
  </si>
  <si>
    <t>Рекомендовано УМО по образованию в области лесного дела в качестве учебника для студентов высших учебных заведений, обучающихся по направлению 35.03-02 (250400.62) "Технология и оборудование лесозаготовительных и деревоперерабатывающих производств"</t>
  </si>
  <si>
    <t>317600.08.01</t>
  </si>
  <si>
    <t>Теплотехника: Уч. пос. / В.А. Кудинов - М.: КУРС:  НИЦ ИНФРА-М, 2023-424с.(ВО)(П)</t>
  </si>
  <si>
    <t>ТЕПЛОТЕХНИКА</t>
  </si>
  <si>
    <t>Кудинов В. А., Карташов Э. М., Стефанюк Е. В.</t>
  </si>
  <si>
    <t>978-5-905554-80-3</t>
  </si>
  <si>
    <t>03.03.02, 04.03.02, 04.04.02, 13.03.01, 13.04.01, 16.03.01, 16.04.01</t>
  </si>
  <si>
    <t>307700.02.01</t>
  </si>
  <si>
    <t>Теплотехнологическое обеспеч. кач...: Уч.-метод. пос./Я.Н.Ковалев-М:ИНФРА-М;Мн.:Нов. знан.,2019-303с</t>
  </si>
  <si>
    <t>ТЕПЛОТЕХНОЛОГИЧЕСКОЕ ОБЕСПЕЧЕНИЕ КАЧЕСТВА СТРОИТЕЛЬСТВА ДОРОЖНЫХ АСФАЛЬТОБЕТОННЫХ ПОКРЫТИЙ</t>
  </si>
  <si>
    <t>Ковалев Я. Н., Вербило И. Н., Кравченко С. Е., Ковалев Я. Н.</t>
  </si>
  <si>
    <t>978-5-16-010293-1</t>
  </si>
  <si>
    <t>212200.07.01</t>
  </si>
  <si>
    <t>Терминология теории управления: словарь базовых..: Уч. пос. / О.В.Кожевина - ИНФРА-М, 2025 - 156 с.(ВО) (о)</t>
  </si>
  <si>
    <t>ТЕРМИНОЛОГИЯ ТЕОРИИ УПРАВЛЕНИЯ: СЛОВАРЬ БАЗОВЫХ УПРАВЛЕНЧЕСКИХ ТЕРМИНОВ</t>
  </si>
  <si>
    <t>Кожевина О. В.</t>
  </si>
  <si>
    <t>978-5-16-006863-3</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</si>
  <si>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081100.62 «Государственное и муниципальное управление» (квалификация (степень) «бакалавр»)</t>
  </si>
  <si>
    <t>645473.06.01</t>
  </si>
  <si>
    <t>Территориальная орг.гос.власти и местного..: Уч. / С.В.Нарутто-2 изд-М.:Юр.Норма, НИЦ ИНФРА-М,2024-400с.(п)</t>
  </si>
  <si>
    <t>ТЕРРИТОРИАЛЬНАЯ ОРГАНИЗАЦИЯ ГОСУДАРСТВЕННОЙ ВЛАСТИ И МЕСТНОГО САМОУПРАВЛЕНИЯ, ИЗД.2</t>
  </si>
  <si>
    <t>Нарутто С.В., Шугрина Е.С.</t>
  </si>
  <si>
    <t>978-5-00156-336-5</t>
  </si>
  <si>
    <t>38.04.04, 40.03.01, 40.04.01, 40.05.01, 40.05.02, 40.05.03, 40.05.04, 44.03.05</t>
  </si>
  <si>
    <t>645473.04.01</t>
  </si>
  <si>
    <t>Территориальная орг.гос.власти и местного.: Уч. / С.В.Нарутто-М.:Юр.Норма, НИЦ ИНФРА-М,2019-272с.(П)</t>
  </si>
  <si>
    <t>ТЕРРИТОРИАЛЬНАЯ ОРГАНИЗАЦИЯ ГОСУДАРСТВЕННОЙ ВЛАСТИ И МЕСТНОГО САМОУПРАВЛЕНИЯ</t>
  </si>
  <si>
    <t>978-5-91768-784-1</t>
  </si>
  <si>
    <t>057180.14.01</t>
  </si>
  <si>
    <t>Территориальная организ.населения: Уч.пос. / Е.Г.Чистяков-2 изд.-М.:Вуз.уч.,НИЦ ИНФРА-М,2024-252с(П)</t>
  </si>
  <si>
    <t>ТЕРРИТОРИАЛЬНАЯ ОРГАНИЗАЦИЯ НАСЕЛЕНИЯ, ИЗД.2</t>
  </si>
  <si>
    <t>Чистяков Е. Г.</t>
  </si>
  <si>
    <t>978-5-9558-0117-9</t>
  </si>
  <si>
    <t>05.03.02, 38.03.04</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</si>
  <si>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специальности 061000 «Государственное и муниципальное управление»</t>
  </si>
  <si>
    <t>636255.04.01</t>
  </si>
  <si>
    <t>Территориальный маркетинг: теория и практика: Уч. / Т.В.Сачук - М.:НИЦ ИНФРА-М,2022 - 583 с.(ВО)(П)</t>
  </si>
  <si>
    <t>ТЕРРИТОРИАЛЬНЫЙ МАРКЕТИНГ: ТЕОРИЯ И ПРАКТИКА</t>
  </si>
  <si>
    <t>Сачук Т.В.</t>
  </si>
  <si>
    <t>978-5-16-012156-7</t>
  </si>
  <si>
    <t>38.03.01, 38.03.02, 38.03.04, 38.04.02, 38.04.04, 41.03.02, 41.03.06, 41.04.04, 44.03.05</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</si>
  <si>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</si>
  <si>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636255.05.01</t>
  </si>
  <si>
    <t>Территориальный маркетинг: теория и практика: Уч. / Т.В.Сачук, - 2 изд.-М.:НИЦ ИНФРА-М,2024.-561 с.(ВО)(п)</t>
  </si>
  <si>
    <t>ТЕРРИТОРИАЛЬНЫЙ МАРКЕТИНГ: ТЕОРИЯ И ПРАКТИКА, ИЗД.2</t>
  </si>
  <si>
    <t>978-5-16-018804-1</t>
  </si>
  <si>
    <t>327300.10.01</t>
  </si>
  <si>
    <t>Техника высоких напряжений: Уч. / В.Ф.Важов - М.:НИЦ ИНФРА-М,2023 - 262 с.-(ВО: Бакалавриат)(П)</t>
  </si>
  <si>
    <t>ТЕХНИКА ВЫСОКИХ НАПРЯЖЕНИЙ</t>
  </si>
  <si>
    <t>Важов В.Ф., Лавринович В.А.</t>
  </si>
  <si>
    <t>978-5-16-010565-9</t>
  </si>
  <si>
    <t>Рекомендовано в качестве учебника для студентов высших учебных заведений, обучающихся по направлению подготовки 13.03.02 «Электроэнергетика и электротехника» (квалификация (степень) «бакалавр»)</t>
  </si>
  <si>
    <t>407400.12.01</t>
  </si>
  <si>
    <t>Техника и искусство фотографии: Уч.пос. / А.В.Левкина  - 2 изд. - М.:НИЦ ИНФРА-М,2025 - 295 с.(П)(СПО)</t>
  </si>
  <si>
    <t>ТЕХНИКА И ИСКУССТВО ФОТОГРАФИИ, ИЗД.2</t>
  </si>
  <si>
    <t>Левкина А.В.</t>
  </si>
  <si>
    <t>978-5-16-013790-2</t>
  </si>
  <si>
    <t>54.01.20, 54.02.08</t>
  </si>
  <si>
    <t>Рекомендовано Межрегиональным учебно-методическим советом профессионального образования в качестве учебного пособия для учебных заведений для реализации образовательных программ среднего профессионального образования (протокол № 10 от 27.05.2019)</t>
  </si>
  <si>
    <t>659213.02.01</t>
  </si>
  <si>
    <t>Техника и технология совмещенных процессов...: Уч.пос. / В.И.Назаров.-М.:НИЦ ИНФРА-М,2022.-456с(ВО)(П)</t>
  </si>
  <si>
    <t>ТЕХНИКА И ТЕХНОЛОГИЯ СОВМЕЩЕННЫХ ПРОЦЕССОВ ПЕРЕРАБОТКИ ТВЕРДЫХ ОТХОДОВ</t>
  </si>
  <si>
    <t>Назаров В.И., Санду Р.А., Макаренков Д.А. и др.</t>
  </si>
  <si>
    <t>978-5-16-014666-9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</si>
  <si>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18.03.01 «Химическая технология», 18.03.02 «Энерго- и ресурсосберегающие процессы в химической технологии, нефтехимии и биотехнологии» (квалификация (степень) «бакалавр») (протокол № 3 от 17.02.2020)</t>
  </si>
  <si>
    <t>675837.07.01</t>
  </si>
  <si>
    <t>Технико-криминалист.экспертиза док.: Уч.пос. / И.Н.Подволоцкий-М.:Юр.Норма, НИЦ ИНФРА-М,2024-400с(П)</t>
  </si>
  <si>
    <t>ТЕХНИКО-КРИМИНАЛИСТИЧЕСКАЯ ЭКСПЕРТИЗА ДОКУМЕНТОВ</t>
  </si>
  <si>
    <t>978-5-91768-893-0</t>
  </si>
  <si>
    <t>296500.07.01</t>
  </si>
  <si>
    <t>Технико-эконом. расчеты распред. электрич...: Уч.пос./В.Я.Хорольский.-М.:Форум,НИЦ ИНФРА-М, 2024-96с.(о)</t>
  </si>
  <si>
    <t>ТЕХНИКО-ЭКОНОМИЧЕСКИЕ РАСЧЕТЫ РАСПРЕДЕЛИТЕЛЬНЫХ ЭЛЕКТРИЧЕСКИХ СЕТЕЙ</t>
  </si>
  <si>
    <t>Хорольский В. Я., Таранов М. А., Петров Д. В.</t>
  </si>
  <si>
    <t>978-5-00091-653-7</t>
  </si>
  <si>
    <t>Допущено Министерством сельского хозяйства Российской Федерации в качестве учебного пособия для студентов высших аграрных учебных заведений по направлению подготовки 13.03.02 «Электроэнергетика и электротехника»</t>
  </si>
  <si>
    <t>699505.01.01</t>
  </si>
  <si>
    <t>Технико-эконом.расчеты распред. электрич..: Уч.пос./В.Я.Хорольский.-М.:Форум,НИЦ ИНФРА-М,2023-96с (СПО)(О)</t>
  </si>
  <si>
    <t>Хорольский В.Я., Таранов М.А., Петров Д.В.</t>
  </si>
  <si>
    <t>978-5-00091-647-6</t>
  </si>
  <si>
    <t>13.01.10, 13.02.01, 13.02.07, 13.02.12, 26.02.04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</si>
  <si>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13.02.03 «Электрические станции, сети и системы», 13.02.07 «Электроснабжение (по отраслям)» (протокол № 4 от 13.04.2022)</t>
  </si>
  <si>
    <t>244200.08.01</t>
  </si>
  <si>
    <t>Техническая графика: Уч. / Е.А.Василенко - 2 изд. - М.:НИЦ ИНФРА-М,2025 - 334 с.-(СПО)(п)</t>
  </si>
  <si>
    <t>ТЕХНИЧЕСКАЯ ГРАФИКА, ИЗД.2</t>
  </si>
  <si>
    <t>Василенко Е.А., Чекмарев А.А.</t>
  </si>
  <si>
    <t>978-5-16-015724-5</t>
  </si>
  <si>
    <t>08.01.22, 08.01.23, 08.02.01, 08.02.04, 15.01.13, 15.01.17, 15.01.18, 15.01.22, 15.01.26, 15.01.29, 15.01.30, 15.01.35, 15.01.36, 15.01.37, 15.02.01, 15.02.03</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</si>
  <si>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профессиям 15.01.26 «Токарь-универсал», 15.01.30 «Слесарь», 08.01.07 «Мастер общестроительных работ» (регистрационный номер рецензии № 430 от 17.10.2014 (ФГАУ «ФИРО»))</t>
  </si>
  <si>
    <t>244200.04.01</t>
  </si>
  <si>
    <t>Техническая графика: Уч. / Е.А.Василенко - М.:НИЦ ИНФРА-М,2019 - 271 с.-(СПО)(п)</t>
  </si>
  <si>
    <t>ТЕХНИЧЕСКАЯ ГРАФИКА</t>
  </si>
  <si>
    <t>978-5-16-005145-1</t>
  </si>
  <si>
    <t>768650.02.01</t>
  </si>
  <si>
    <t>Техническая диагностика электрооборудования: Уч. / Н.В.Грунтович - М.:НИЦ ИНФРА-М,2025. - 254 с.(ВО)(п)</t>
  </si>
  <si>
    <t>ТЕХНИЧЕСКАЯ ДИАГНОСТИКА ЭЛЕКТРООБОРУДОВАНИЯ</t>
  </si>
  <si>
    <t>Грунтович Н.В., Грунтович Н.В.</t>
  </si>
  <si>
    <t>978-5-16-017836-3</t>
  </si>
  <si>
    <t>653225.06.01</t>
  </si>
  <si>
    <t>Техническая инвентаризация объектов недвижимости: Уч.пос./ В.А.Тарбаев -М.:НИЦ ИНФРА-М,2022-170 с.(ВО)(П)</t>
  </si>
  <si>
    <t>ТЕХНИЧЕСКАЯ ИНВЕНТАРИЗАЦИЯ ОБЪЕКТОВ НЕДВИЖИМОСТИ</t>
  </si>
  <si>
    <t>Тарбаев В.А., Шмидт И.В., Царенко А.А.</t>
  </si>
  <si>
    <t>978-5-16-013695-0</t>
  </si>
  <si>
    <t>21.04.02, 35.03.04, 40.05.01, 40.05.02, 40.05.03, 40.05.04</t>
  </si>
  <si>
    <t>717644.04.01</t>
  </si>
  <si>
    <t>Техническая механика. Курсовое проектир.: Уч.пос. / Д.Н.Бахарев - 2 изд. - М.:НИЦ ИНФРА-М,2025. - 236 с.(П)</t>
  </si>
  <si>
    <t>ТЕХНИЧЕСКАЯ МЕХАНИКА. КУРСОВОЕ ПРОЕКТИРОВАНИЕ, ИЗД.2</t>
  </si>
  <si>
    <t>Бахарев Д.Н., Добрицкий А.А., Вольвак С.Ф. и др.</t>
  </si>
  <si>
    <t>978-5-16-015658-3</t>
  </si>
  <si>
    <t>12.01.07, 13.01.03, 13.01.04, 13.01.10, 13.01.13, 13.01.14, 13.01.15, 18.01.06, 18.01.27, 18.01.28, 21.01.01, 21.01.02, 21.01.03, 21.01.04, 21.01.10, 21.01.15, 21.01.16, 22.01.04, 23.01.01, 23.01.18, 26.01.01, 26.01.02, 26.01.03, 26.01.06, 26.01.09, 26.01.12, 26.01.13, 35.01.15, 35.01.27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</si>
  <si>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14 от 30.09.2019)</t>
  </si>
  <si>
    <t>707072.03.01</t>
  </si>
  <si>
    <t>Техническая механика: детали машин: Уч.пос. / В.Э.Завистовский-М.:НИЦ ИНФРА-М,2023.-350 с..-(ВО)(П)</t>
  </si>
  <si>
    <t>ТЕХНИЧЕСКАЯ МЕХАНИКА: ДЕТАЛИ МАШИН</t>
  </si>
  <si>
    <t>Завистовский В.Э.</t>
  </si>
  <si>
    <t>978-5-16-015257-8</t>
  </si>
  <si>
    <t>15.04.02, 15.04.03, 15.04.05, 15.04.06, 15.05.01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</si>
  <si>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«магистр») (протокол № 12 от 24.06.2019)</t>
  </si>
  <si>
    <t>034630.13.01</t>
  </si>
  <si>
    <t>Техническая механика: Сб. тест. заданий: Уч.пос. / В.П.Олофинская - 2 изд. - М.:НИЦ ИНФРА-М,2025 - 132 с.(О)</t>
  </si>
  <si>
    <t>ТЕХНИЧЕСКАЯ МЕХАНИКА, ИЗД.2</t>
  </si>
  <si>
    <t>978-5-16-016753-4</t>
  </si>
  <si>
    <t>00.02.35, 12.01.07, 13.01.03, 13.01.04, 13.01.10, 13.01.13, 13.01.14, 13.01.15, 13.02.07, 13.02.12, 13.02.13, 15.02.09, 15.02.16, 15.02.17, 15.02.18, 18.01.06, 18.01.27, 18.01.28, 21.01.01, 21.01.02, 21.01.03, 21.01.04, 21.01.10, 21.01.15, 21.01.16, 22.01.04, 23.01.01, 23.01.18, 23.02.07, 25.02.06, 25.02.07, 25.02.08, 26.01.01, 26.01.02, 26.01.03, 26.01.06, 26.01.09, 26.01.12, 26.01.13, 27.02.07, 35.01.15, 35.02.16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</si>
  <si>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технического профиля</t>
  </si>
  <si>
    <t>632554.04.01</t>
  </si>
  <si>
    <t>Техническая механика: Уч. / А.М.Михайлов - М.:НИЦ ИНФРА-М,2025 - 375 с.(ВО:Бакалавр.)(П)</t>
  </si>
  <si>
    <t>ТЕХНИЧЕСКАЯ МЕХАНИКА</t>
  </si>
  <si>
    <t>Михайлов А.М.</t>
  </si>
  <si>
    <t>978-5-16-012030-0</t>
  </si>
  <si>
    <t>109450.19.01</t>
  </si>
  <si>
    <t>Техническая механика: Уч. / Г.Г.Сафонова и др. - М.:НИЦ ИНФРА-М,2025 - 320 с.-(СПО)(п)</t>
  </si>
  <si>
    <t>Сафонова Г. Г., Артюховская Т. Ю., Ермаков Д. А.</t>
  </si>
  <si>
    <t>978-5-16-012916-7</t>
  </si>
  <si>
    <t>00.02.35, 08.02.01, 08.02.02, 08.02.03, 08.02.04, 08.02.08, 08.02.09, 08.02.12, 08.02.13, 08.02.14</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</si>
  <si>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строительным специальностям</t>
  </si>
  <si>
    <t>664839.02.01</t>
  </si>
  <si>
    <t>Техническая механика: Уч. / М.А.Лукьянов - М.:НИЦ ИНФРА-М,2024 - 486 с.(ВО: Спец.)(П)</t>
  </si>
  <si>
    <t>Лукьянов М.А.</t>
  </si>
  <si>
    <t>978-5-16-016027-6</t>
  </si>
  <si>
    <t>23.05.03, 23.05.04, 23.05.05, 23.05.06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</si>
  <si>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23.05.03 «Подвижной состав железных дорог», 23.05.04 «Эксплуатация железных дорог», 23.05.05 «Системы обеспечения движения поездов», 23.05.06 «Строительство железных дорог, мостов и транспортных тоннелей» (квалификация «инженер путей сообщения») (протокол № 10 от 15.12.2021)</t>
  </si>
  <si>
    <t>147200.06.01</t>
  </si>
  <si>
    <t>Техническая механика: Уч. пос. для вузов / В.Т. Батиенков. - М.: ИЦ РИОР, 2023-384с.(ВО) (п)</t>
  </si>
  <si>
    <t>978-5-369-00759-4</t>
  </si>
  <si>
    <t>707076.09.01</t>
  </si>
  <si>
    <t>Техническая механика: Уч.пос. / В.Э.Завистовский - М.:НИЦ ИНФРА-М,2025 - 376 с.-(СПО)(П)</t>
  </si>
  <si>
    <t>978-5-16-015256-1</t>
  </si>
  <si>
    <t>00.02.35, 12.01.07, 13.01.03, 13.01.04, 13.01.10, 13.01.13, 13.01.14, 13.01.15, 18.01.06, 18.01.27, 18.01.28, 21.01.01, 21.01.02, 21.01.03, 21.01.04, 21.01.10, 21.01.15, 21.01.16, 22.01.04, 23.01.01, 23.01.18, 26.01.01, 26.01.02, 26.01.03, 26.01.06, 26.01.09, 26.01.12, 26.01.13, 35.01.15, 35.01.27</t>
  </si>
  <si>
    <t>714123.03.01</t>
  </si>
  <si>
    <t>Техническая микробиология продукции животноводства: Уч.пос. / О.Д.Сидоренко, - 2 изд.-М.:НИЦ ИНФРА-М,2023.-224с(П)</t>
  </si>
  <si>
    <t>ТЕХНИЧЕСКАЯ МИКРОБИОЛОГИЯ ПРОДУКЦИИ ЖИВОТНОВОДСТВА, ИЗД.2</t>
  </si>
  <si>
    <t>978-5-16-015952-2</t>
  </si>
  <si>
    <t>19.03.03, 35.03.07</t>
  </si>
  <si>
    <t>Рекомендовано учебно-методическим объединением вузов Российской Федерации по агрономическому образованию в качестве учебного пособия для студентов по направлению подготовки 35.03.07 «Технология производства и переработки сельскохозяйственной продукции»</t>
  </si>
  <si>
    <t>757941.03.01</t>
  </si>
  <si>
    <t>Техническая микробиология продукции животноводства: Уч.пос. / О.Д.Сидоренко, - 2 изд.-М.:НИЦ ИНФРА-М,2024.-224 с.(П)</t>
  </si>
  <si>
    <t>978-5-16-016944-6</t>
  </si>
  <si>
    <t>19.02.12, 36.01.02, 36.02.03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</si>
  <si>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19.02.07 «Технология молока и молочных продуктов», 19.02.08 «Технология мяса и мясных продуктов», 35.02.06 «Технология производства и переработки сельскохозяйственной продукции» (протокол № 11 от 09.11.2020)</t>
  </si>
  <si>
    <t>454450.07.01</t>
  </si>
  <si>
    <t>Техническая экспертиза продукции текстил. и..: Уч.пос. /А.Ф.Давыдов - М.:Форум:ИНФРА-М,2025 - 384 с.(ВО)</t>
  </si>
  <si>
    <t>ТЕХНИЧЕСКАЯ ЭКСПЕРТИЗА ПРОДУКЦИИ ТЕКСТИЛЬНОЙ И ЛЕГКОЙ ПРОМЫШЛЕННОСТИ</t>
  </si>
  <si>
    <t>Давыдов А.Ф., Шустов Ю.С., Курденкова А.В. и др.</t>
  </si>
  <si>
    <t>978-5-91134-827-4</t>
  </si>
  <si>
    <t>29.04.02</t>
  </si>
  <si>
    <t>Рекомендовано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высших учебных заведений, обучающихся по направлениям подготовки 29.03.02 «Технология пр</t>
  </si>
  <si>
    <t>064900.24.01</t>
  </si>
  <si>
    <t>Техническая эксплуатация зданий и сооружений: Уч. / В.А.Комков. - 2 изд. - М.:НИЦ ИНФРА-М,2023-338 с.(СПО)(П)</t>
  </si>
  <si>
    <t>ТЕХНИЧЕСКАЯ ЭКСПЛУАТАЦИЯ ЗДАНИЙ И СООРУЖЕНИЙ, ИЗД.2</t>
  </si>
  <si>
    <t>Комков В.А., Акимов В.Б., Тимахова Н.С.</t>
  </si>
  <si>
    <t>978-5-16-012361-5</t>
  </si>
  <si>
    <t>08.01.29, 08.02.01, 08.02.02, 08.02.04, 08.02.08, 08.02.09, 08.02.13, 08.02.14, 36.01.03</t>
  </si>
  <si>
    <t>666734.05.01</t>
  </si>
  <si>
    <t>Техническая эксплуатация зданий: Уч.пос. / В.М.Лебедев - М.:НИЦ ИНФРА-М,2023 - 360 с.-(ВО)(П)</t>
  </si>
  <si>
    <t>ТЕХНИЧЕСКАЯ ЭКСПЛУАТАЦИЯ ЗДАНИЙ</t>
  </si>
  <si>
    <t>978-5-16-018493-7</t>
  </si>
  <si>
    <t>08.03.01, 38.03.10</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</si>
  <si>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08.03.01 «Строительство», 38.03.10 «Жилищное хозяйство и коммунальная инфраструктура» (квалификация (степень) «бакалавр»)</t>
  </si>
  <si>
    <t>715325.06.01</t>
  </si>
  <si>
    <t>Техническая эксплуатация зданий: Уч.пос. / В.М.Лебедев - М.:НИЦ ИНФРА-М,2025 - 359 с.-(СПО)(П)</t>
  </si>
  <si>
    <t>978-5-16-015457-2</t>
  </si>
  <si>
    <t>08.02.01, 08.02.02, 08.02.04, 08.02.08, 08.02.13, 08.02.14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</si>
  <si>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8 от 29.04.2019)</t>
  </si>
  <si>
    <t>735630.06.01</t>
  </si>
  <si>
    <t>Техническая эксплуатация, диагностир. и ремонт  двиг..: Уч. / А.В.Александров.-М.:ИЦ РИОР, НИЦ ИНФРА-М,2025-448 с.(П)</t>
  </si>
  <si>
    <t>ТЕХНИЧЕСКАЯ ЭКСПЛУАТАЦИЯ, ДИАГНОСТИРОВАНИЕ И РЕМОНТ  ДВИГАТЕЛЕЙ ВНУТРЕННЕГО СГОРАНИЯ</t>
  </si>
  <si>
    <t>Александров А.В., Алексахин С.В., Долгов И.А. и др.</t>
  </si>
  <si>
    <t>978-5-369-01861-3</t>
  </si>
  <si>
    <t>13.03.03, 15.03.03, 15.03.05, 15.04.03, 15.04.05</t>
  </si>
  <si>
    <t>735630.07.01</t>
  </si>
  <si>
    <t>Техническая эксплуатация, диагностир..: Уч. / А.В.Александров - 2 изд. - М.:ИЦ РИОР, НИЦ ИНФРА-М,2025 - 456 с.(п)</t>
  </si>
  <si>
    <t>ТЕХНИЧЕСКАЯ ЭКСПЛУАТАЦИЯ, ДИАГНОСТИРОВАНИЕ И РЕМОНТ  ДВИГАТЕЛЕЙ ВНУТРЕННЕГО СГОРАНИЯ, ИЗД.2</t>
  </si>
  <si>
    <t>Александров А.В., Тармин В.А., Алексахин С.В. и др.</t>
  </si>
  <si>
    <t>978-5-369-01973-3</t>
  </si>
  <si>
    <t>709057.06.01</t>
  </si>
  <si>
    <t>Технические средства автоматизации и упр.: Уч.пос. / О.В.Шишов - М.:НИЦ ИНФРА-М,2025. - 396 с.(П)</t>
  </si>
  <si>
    <t>ТЕХНИЧЕСКИЕ СРЕДСТВА АВТОМАТИЗАЦИИ И УПРАВЛЕНИЯ</t>
  </si>
  <si>
    <t>978-5-16-015283-7</t>
  </si>
  <si>
    <t>13.02.12, 15.01.26, 15.01.27, 15.01.35, 15.01.36, 15.01.38, 15.02.03, 15.02.04, 15.02.07, 15.02.16, 15.02.17, 15.02.18, 26.02.06, 27.02.01, 27.02.02, 27.02.03, 27.02.04, 27.02.05, 35.02.08, 43.02.06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</si>
  <si>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15.02.00 «Машиностроение», 27.02.00 «Управление в технических системах», 13.02.00 «Электро- и теплоэнергетика» (протокол № 4 от 25.02.2019)</t>
  </si>
  <si>
    <t>163700.13.01</t>
  </si>
  <si>
    <t>Технические средства автоматизации и управ.: Уч.пос. / О.В.Шишов - М.:НИЦ ИНФРА-М,2025 - 396 с.(ВО)(п)</t>
  </si>
  <si>
    <t>978-5-16-010325-9</t>
  </si>
  <si>
    <t>11.03.04, 11.04.04, 15.03.04, 15.04.04</t>
  </si>
  <si>
    <t>433850.06.01</t>
  </si>
  <si>
    <t>Технические средства автоматизации.: Уч.пос. / В.Ф.Беккер, -2 изд.-М.:ИЦ РИОР, НИЦ ИНФРА-М,2024-152с.(ВО)(О)</t>
  </si>
  <si>
    <t>ТЕХНИЧЕСКИЕ СРЕДСТВА АВТОМАТИЗАЦИИ. ИНТЕРФЕЙСНЫЕ УСТРОЙСТВА И МИКРОПРОЦЕССОРНЫЕ СРЕДСТВА, ИЗД.2</t>
  </si>
  <si>
    <t>978-5-369-01198-0</t>
  </si>
  <si>
    <t>15.03.04, 15.04.04, 27.03.04</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</si>
  <si>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специальности «Автоматизация технологических процессов и производств (химико-технологическая отрасль)», направление подготовки «Автоматизированные технологии и производства»</t>
  </si>
  <si>
    <t>640313.06.01</t>
  </si>
  <si>
    <t>Технические средства информатизации: Уч. / В.П.Зверева - М.:КУРС, НИЦ ИНФРА-М,2023.-256 с..-(СПО)(П)</t>
  </si>
  <si>
    <t>ТЕХНИЧЕСКИЕ СРЕДСТВА ИНФОРМАТИЗАЦИИ</t>
  </si>
  <si>
    <t>978-5-906818-88-1</t>
  </si>
  <si>
    <t>09.02.02, 09.02.03, 09.02.04, 09.02.05, 10.02.01, 10.02.03, 10.02.05</t>
  </si>
  <si>
    <t>640607.07.01</t>
  </si>
  <si>
    <t>Технические средства информатизации: Уч. / В.П.Зверева - М.:КУРС,НИЦ ИНФРА-М,2024 - 248с.-(СПО)(П)</t>
  </si>
  <si>
    <t>978-5-906818-54-6</t>
  </si>
  <si>
    <t>08.01.30, 08.01.31, 08.02.12, 08.02.13, 08.02.14, 08.02.15, 09.01.04, 09.01.05, 09.02.02, 09.02.03, 09.02.04, 09.02.05, 09.02.06, 09.02.07, 10.02.01, 10.02.03, 10.02.05, 13.02.12, 18.02.10, 18.02.15, 19.02.11, 19.02.12, 19.02.14, 19.02.15, 21.02.02, 21.02.09, 24.02.01, 24.02.02, 29.02.10, 35.01.16, 35.01.30, 35.01.33, 35.02.01, 35.02.17, 38.02.08</t>
  </si>
  <si>
    <t>063650.12.01</t>
  </si>
  <si>
    <t>Технические средства информатизации: Уч. / Н.В.Максимов - 4 изд.-М.:Форум, НИЦ ИНФРА-М,2024.-608 с.(СПО)(п)</t>
  </si>
  <si>
    <t>ТЕХНИЧЕСКИЕ СРЕДСТВА ИНФОРМАТИЗАЦИИ, ИЗД.4</t>
  </si>
  <si>
    <t>Максимов Н. В., Партыка Т. Л., Попов И. И.</t>
  </si>
  <si>
    <t>978-5-91134-763-5</t>
  </si>
  <si>
    <t>09.01.04, 09.01.05, 09.02.01, 09.02.02, 09.02.03, 09.02.04, 09.02.05, 09.02.06, 09.02.07, 10.02.01, 10.02.02, 10.02.03, 10.02.04, 10.02.05</t>
  </si>
  <si>
    <t>Рекомендовано Министерством образования РФ в качестве учебника для студентов учреждений среднего профессионального образования, обучающихся по группе специальностей 2200 "Информатика  и вычислительная техника"</t>
  </si>
  <si>
    <t>115400.12.01</t>
  </si>
  <si>
    <t>Технические средства информатизации: Уч.пос. / Л.Г.Гагарина - 2 изд. - М.:НИЦ ИНФРА-М,2024 - 260 с.(П)</t>
  </si>
  <si>
    <t>ТЕХНИЧЕСКИЕ СРЕДСТВА ИНФОРМАТИЗАЦИИ, ИЗД.2</t>
  </si>
  <si>
    <t>Гагарина Л.Г., Золотухин Ф.С.</t>
  </si>
  <si>
    <t>978-5-16-016140-2</t>
  </si>
  <si>
    <t>09.01.04, 09.01.05, 09.02.01, 09.02.02, 09.02.03, 09.02.04, 09.02.05, 09.02.06, 09.02.07, 10.02.01, 10.02.03, 10.02.05</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</si>
  <si>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среднего профессионального образования, обучающихся по техническим специальностям</t>
  </si>
  <si>
    <t>115400.09.01</t>
  </si>
  <si>
    <t>Технические средства информатизации: Уч.пос./Л.Г.Гагарина-М.:ИД ФОРУМ, НИЦ ИНФРА-М,2019-256с(СПО)(П)</t>
  </si>
  <si>
    <t>Гагарина Л. Г.</t>
  </si>
  <si>
    <t>978-5-8199-0734-4</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</si>
  <si>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среднего профессионального образования, обучающихся по специальностям «Информатика и вычислительная техника»</t>
  </si>
  <si>
    <t>702850.03.01</t>
  </si>
  <si>
    <t>Технические средства судовождения...: Уч.мет.пос. / С.Н.Скворцов и др.-М. : ИНФРА-М, 2023.- 51с.(О)</t>
  </si>
  <si>
    <t>ТЕХНИЧЕСКИЕ СРЕДСТВА СУДОВОЖДЕНИЯ. ЛАБОРАТОРНЫЕ И РАСЧЕТНО-ГРАФИЧЕСКИЕ РАБОТЫ: МЕТОДИЧЕСКИЕ УКАЗАНИЯ</t>
  </si>
  <si>
    <t>Скворцов С.Н., Паткаускас А.В., Белокур Г.В.</t>
  </si>
  <si>
    <t>978-5-16-015422-0</t>
  </si>
  <si>
    <t>26.01.01, 26.01.02, 26.01.03, 26.02.01, 26.02.02, 26.02.03, 26.02.05, 26.02.06, 26.04.01, 26.05.05, 35.01.32, 43.01.04</t>
  </si>
  <si>
    <t>705066.05.01</t>
  </si>
  <si>
    <t>Технические средства судовождения...: Уч.мет.пос./ С.Н.Скворцов -М.:НИЦ ИНФРА-М, 2023-50с(О)</t>
  </si>
  <si>
    <t>ТЕХНИЧЕСКИЕ СРЕДСТВА СУДОВОЖДЕНИЯ. МЕТОДИКА ВЫПОЛНЕНИЯ КУРСОВОЙ  РАБОТЫ: МЕТОДИЧЕСКИЕ УКАЗАНИЯ</t>
  </si>
  <si>
    <t>Скворцов С.Н., Паткаускас А.В., Сухина М.И.</t>
  </si>
  <si>
    <t>978-5-16-015473-2</t>
  </si>
  <si>
    <t>26.01.05, 26.01.07, 26.01.09, 26.02.01, 26.02.03, 26.02.04, 26.02.05, 26.02.06, 26.05.05, 35.01.32, 35.02.11, 43.01.04</t>
  </si>
  <si>
    <t>125000.09.01</t>
  </si>
  <si>
    <t>Технические средства управления: Уч. / И.К.Корнеев - М.:ИНФРА-М Изд. Дом,2025 - 200 с.(ВО)(П)</t>
  </si>
  <si>
    <t>ТЕХНИЧЕСКИЕ СРЕДСТВА УПРАВЛЕНИЯ</t>
  </si>
  <si>
    <t>Корнеев И. К., Ксандопуло Г. Н.</t>
  </si>
  <si>
    <t>978-5-16-003620-5</t>
  </si>
  <si>
    <t>46.03.02, 46.04.02</t>
  </si>
  <si>
    <t>Рекомендовано УМО  вузов РФ по образованию в области  историко-архивоведения в качестве учебного пособия для студентов высших учебных заведений, обучающихся по спец. 032001.65 Документоведение и документационное обеспечение управления</t>
  </si>
  <si>
    <t>698301.07.01</t>
  </si>
  <si>
    <t>Технический анализ и трейдинг на фин. рынке: Уч.пос. / А.Ю.Михайлов-М.:НИЦ ИНФРА-М,2024.-101 с.(ВО)(О)</t>
  </si>
  <si>
    <t>ТЕХНИЧЕСКИЙ АНАЛИЗ И ТРЕЙДИНГ НА ФИНАНСОВОМ РЫНКЕ</t>
  </si>
  <si>
    <t>Михайлов А.Ю.</t>
  </si>
  <si>
    <t>978-5-16-014669-0</t>
  </si>
  <si>
    <t>093650.15.01</t>
  </si>
  <si>
    <t>Технический сервис трансп.машин и оборудов.: Уч.пос. / С.Ф.Головин - НИЦ ИНФРА-М,2025 - 282 с.(ВО:Бакалавр.)(о)</t>
  </si>
  <si>
    <t>ТЕХНИЧЕСКИЙ СЕРВИС ТРАНСПОРТНЫХ МАШИН И ОБОРУДОВАНИЯ</t>
  </si>
  <si>
    <t>Головин С.Ф.</t>
  </si>
  <si>
    <t>978-5-16-011135-3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</si>
  <si>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23.03.03 «Эксплуатация транспортно-технологических машин и комплексов»</t>
  </si>
  <si>
    <t>704196.06.01</t>
  </si>
  <si>
    <t>Технический сервис транспорт. машин и оборуд.: Уч.пос. / С.Ф.Головин - М.:НИЦ ИНФРА-М,2024 - 282с(СПО)(П)</t>
  </si>
  <si>
    <t>978-5-16-014919-6</t>
  </si>
  <si>
    <t>35.01.27, 35.01.30, 35.01.33, 35.02.05, 35.02.16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</si>
  <si>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 (протокол № 5 от 11.03.2019)</t>
  </si>
  <si>
    <t>096750.20.01</t>
  </si>
  <si>
    <t>Техническое нормир., оплата труда и проектно-смет...: Уч. / И.А.Либерман - М.:НИЦ ИНФРА-М,2025 - 400 с.(СПО)(п)</t>
  </si>
  <si>
    <t>ТЕХНИЧЕСКОЕ НОРМИРОВАНИЕ, ОПЛАТА ТРУДА И ПРОЕКТНО-СМЕТНОЕ ДЕЛО В СТРОИТЕЛЬСТВЕ</t>
  </si>
  <si>
    <t>Либерман И. А.</t>
  </si>
  <si>
    <t>978-5-16-003434-8</t>
  </si>
  <si>
    <t>08.01.29, 08.01.30, 08.02.01, 08.02.02, 08.02.03, 08.02.04, 08.02.08, 08.02.09, 08.02.12, 08.02.13, 23.02.08</t>
  </si>
  <si>
    <t>083040.16.01</t>
  </si>
  <si>
    <t>Техническое обслуж. автомоб. заруб. произв.: Уч.пос. / И.С.Туревский - М.:ИД ФОРУМ, НИЦ ИНФРА-М,2025 - 208 с.(СПО)(П)</t>
  </si>
  <si>
    <t>ТЕХНИЧЕСКОЕ ОБСЛУЖИВАНИЕ АВТОМОБИЛЕЙ ЗАРУБЕЖНОГО ПРОИЗВОДСТВА</t>
  </si>
  <si>
    <t>978-5-8199-0758-0</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</si>
  <si>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</si>
  <si>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058260.19.01</t>
  </si>
  <si>
    <t>Техническое обслуж. автомобилей: Уч.пос.: Кн.2 / Туревский И.С.-М.:ИД ФОРУМ,НИЦ ИНФРА-М,2024-256с(СПО)(п)</t>
  </si>
  <si>
    <t>ТЕХНИЧЕСКОЕ ОБСЛУЖИВАНИЕ АВТОМОБИЛЕЙ</t>
  </si>
  <si>
    <t>978-5-8199-0709-2</t>
  </si>
  <si>
    <t>08.02.12, 23.01.03, 23.01.17, 23.02.02, 23.02.03, 23.02.07</t>
  </si>
  <si>
    <t>032570.24.01</t>
  </si>
  <si>
    <t>Техническое обслуж. и ремонт авто.: Уч.пос. / Л.И.Епифанов - 2 изд. - М.:ИД Форум, НИЦ ИНФРА-М,2025 - 349 с.(о)</t>
  </si>
  <si>
    <t>ТЕХНИЧЕСКОЕ ОБСЛУЖИВАНИЕ И РЕМОНТ АВТОМОБИЛЕЙ, ИЗД.2</t>
  </si>
  <si>
    <t>Епифанов Л.И., Епифанова Е.А.</t>
  </si>
  <si>
    <t>978-5-8199-0704-7</t>
  </si>
  <si>
    <t>23.01.03, 23.01.06, 23.01.08, 23.01.17, 23.02.02, 23.02.03, 23.02.07, 35.01.27, 35.01.30, 35.02.05, 35.02.16</t>
  </si>
  <si>
    <t>072640.14.01</t>
  </si>
  <si>
    <t>Техническое обслуж. и ремонт автомоб. трансп..: Уч.пос. / И.С.Туревский - М.:ИД ФОРУМ,НИЦ ИНФРА-М,2025 - 192 с.(П)</t>
  </si>
  <si>
    <t>ТЕХНИЧЕСКОЕ ОБСЛУЖИВАНИЕ И РЕМОНТ АВТОМОБИЛЬНОГО ТРАНСПОРТА. ВВЕДЕНИЕ В СПЕЦИАЛЬНОСТЬ</t>
  </si>
  <si>
    <t>978-5-8199-0850-1</t>
  </si>
  <si>
    <t>130250.09.01</t>
  </si>
  <si>
    <t>Техническое обслуж. и ремонты оборуд.: Уч. пос. / Под ред. В.В.Кондратьева - ИНФРА-М,2024-128с(п+CD)</t>
  </si>
  <si>
    <t>ТЕХНИЧЕСКОЕ ОБСЛУЖИВАНИЕ И РЕМОНТЫ ОБОРУДОВАНИЯ. РЕШЕНИЯ НКМК-НТМК-ЕВРАЗ</t>
  </si>
  <si>
    <t>Кондратьев В. В., Мухатдинов Н. Х., Юрьев А. Б.</t>
  </si>
  <si>
    <t>Управление производством: Магистратура</t>
  </si>
  <si>
    <t>978-5-16-004039-4</t>
  </si>
  <si>
    <t>15.03.01, 15.03.05, 38.03.02, 38.04.02</t>
  </si>
  <si>
    <t>065500.21.01</t>
  </si>
  <si>
    <t>Техническое обслуж.автомобилей: Уч.пос.: Кн.1 / И.С.Туревский - М.:ИД ФОРУМ, НИЦ ИНФРА-М,2025 - 432 с.(П)</t>
  </si>
  <si>
    <t>978-5-8199-0690-3</t>
  </si>
  <si>
    <t>23.01.03, 23.01.17, 23.02.02, 23.02.03, 23.02.07, 35.01.27, 35.01.30, 35.02.05, 35.02.07, 35.02.16</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</si>
  <si>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</si>
  <si>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242500.09.01</t>
  </si>
  <si>
    <t>Техногенный риск и безопасность: Уч.пос. / А.Г.Ветошкин - 2изд. - М.:НИЦ ИНФРА-М,2024 - 198с(ВО)(п)</t>
  </si>
  <si>
    <t>ТЕХНОГЕННЫЙ РИСК И БЕЗОПАСНОСТЬ, ИЗД.2</t>
  </si>
  <si>
    <t>Ветошкин А.Г., Таранцева К.Р.</t>
  </si>
  <si>
    <t>978-5-16-019064-8</t>
  </si>
  <si>
    <t>20.03.01, 20.04.01, 20.05.01</t>
  </si>
  <si>
    <t>Допущено Учебно-методическим объединением вузов по университетскому политехническому образованию в качестве учебного пособия для студентов, обучающихся по направлению подготовки 20.03.01 «Техносферная безопасность»</t>
  </si>
  <si>
    <t>765966.02.01</t>
  </si>
  <si>
    <t>Технологии в социальной работе: Уч. / А.В.Ипатов-М.:НИЦ ИНФРА-М,2022.-378 с.(ВО: Бакалавриат)(П)</t>
  </si>
  <si>
    <t>ТЕХНОЛОГИИ В СОЦИАЛЬНОЙ РАБОТЕ</t>
  </si>
  <si>
    <t>Ипатов А.В.</t>
  </si>
  <si>
    <t>978-5-16-017294-1</t>
  </si>
  <si>
    <t>Российский государственный гидрометеорологический университет</t>
  </si>
  <si>
    <t>130130.07.01</t>
  </si>
  <si>
    <t>Технологии восстан. лечения при дорсопатиях: Уч. пос./ Л.Г. Агасаров.-Вуз. уч..:ИНФРА-М, 2024.-96с. (о)</t>
  </si>
  <si>
    <t>ТЕХНОЛОГИИ ВОССТАНОВИТЕЛЬНОГО ЛЕЧЕНИЯ ПРИ ДОРСОПАТИЯХ, ИЗД.2</t>
  </si>
  <si>
    <t>Агасаров Л. Г.</t>
  </si>
  <si>
    <t>978-5-9558-0162-9</t>
  </si>
  <si>
    <t>31.06.01, 31.08.42, 31.08.56, 31.08.66, 31.08.67</t>
  </si>
  <si>
    <t>Рекомендовано УМО по медицинскому и фармацевтическому образованию вузов России в качестве учебного пособия для системы послевузового профессионального образования врачей</t>
  </si>
  <si>
    <t>842176.01.01</t>
  </si>
  <si>
    <t>Технологии и методики фитнес-тренировки: Уч.пос. / А.И.Замогильнов - М.:НИЦ ИНФРА-М,2025. - 308 с.(СПО)(п)</t>
  </si>
  <si>
    <t>ТЕХНОЛОГИИ И МЕТОДИКИ ФИТНЕС-ТРЕНИРОВКИ</t>
  </si>
  <si>
    <t>Замогильнов А.И., Крылов В.Е., Якунина В.М. и др.</t>
  </si>
  <si>
    <t>978-5-16-020315-7</t>
  </si>
  <si>
    <t>49.02.01</t>
  </si>
  <si>
    <t>785129.01.01</t>
  </si>
  <si>
    <t>Технологии и методики фитнес-тренировки: Уч.пос. / А.И.Замогильнов-М.:НИЦ ИНФРА-М,2024.-308 с.(ВО)(п)</t>
  </si>
  <si>
    <t>978-5-16-018243-8</t>
  </si>
  <si>
    <t>36.05.01, 49.04.01</t>
  </si>
  <si>
    <t>806622.01.01</t>
  </si>
  <si>
    <t>Технологии и оборуд. для сушки растител. сырья: Уч.пос. / В.Н.Тепляшин-М.:НИЦ ИНФРА-М,2024.-173 с.(ВО)(п)</t>
  </si>
  <si>
    <t>ТЕХНОЛОГИИ И ОБОРУДОВАНИЕ ДЛЯ СУШКИ РАСТИТЕЛЬНОГО СЫРЬЯ</t>
  </si>
  <si>
    <t>Тепляшин В.Н., Ченцова Л.И., Невзоров В.Н.</t>
  </si>
  <si>
    <t>978-5-16-019298-7</t>
  </si>
  <si>
    <t>15.03.02, 19.03.02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</si>
  <si>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15.03.02 «Технологические машины и оборудование»</t>
  </si>
  <si>
    <t>740833.03.01</t>
  </si>
  <si>
    <t>Технологии инклюзии инвалидов и лиц с огр. возмож. здоровья: Уч.пос. / Е.В.Воеводина-М.:НИЦ ИНФРА-М,2024.-203 с.(ВО)(п)</t>
  </si>
  <si>
    <t>ТЕХНОЛОГИИ ИНКЛЮЗИИ ИНВАЛИДОВ И ЛИЦ С ОГРАНИЧЕННЫМИ ВОЗМОЖНОСТЯМИ ЗДОРОВЬЯ</t>
  </si>
  <si>
    <t>Воеводина Е.В.</t>
  </si>
  <si>
    <t>978-5-16-019828-6</t>
  </si>
  <si>
    <t>39.03.01, 39.03.02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</si>
  <si>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39.03.01 «Социология», 39.03.02 «Социальная работа» (квалификация (степень) «бакалавр») (протокол № 6 от 16.06.2021)</t>
  </si>
  <si>
    <t>683009.01.01</t>
  </si>
  <si>
    <t>Технологии исполнения бюджета: Уч. / М.Л.Седова-М.:НИЦ ИНФРА-М,2024.-266 с.(ВО: Магистр.)(п)</t>
  </si>
  <si>
    <t>ТЕХНОЛОГИИ ИСПОЛНЕНИЯ БЮДЖЕТА</t>
  </si>
  <si>
    <t>Седова М.Л., Демидова С.Е., Макашина О.В.</t>
  </si>
  <si>
    <t>978-5-16-018072-4</t>
  </si>
  <si>
    <t>680396.03.01</t>
  </si>
  <si>
    <t>Технологии кадрового менеджмента: Уч. / О.Л.Чуланова - М.:НИЦ ИНФРА-М,2023 -492с(ВО: Бакалавриат)(П)</t>
  </si>
  <si>
    <t>ТЕХНОЛОГИИ КАДРОВОГО МЕНЕДЖМЕНТА</t>
  </si>
  <si>
    <t>978-5-16-014054-4</t>
  </si>
  <si>
    <t>38.03.03, 38.04.03</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</si>
  <si>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t>
  </si>
  <si>
    <t>383400.05.01</t>
  </si>
  <si>
    <t>Технологии машиностроения. Вып...:Уч.пос. / Н.М.Султан-заде.-М.:Форум, НИЦ ИНФРА-М,2023.-288 с.(П)</t>
  </si>
  <si>
    <t>ТЕХНОЛОГИИ МАШИНОСТРОЕНИЯ. ВЫПУСКНАЯ КВАЛИФИКАЦИОННАЯ РАБОТА ДЛЯ БАКАЛАВРОВ</t>
  </si>
  <si>
    <t>Султан-заде Н.М., Клепиков В.В., Солдатов В.Ф. и др.</t>
  </si>
  <si>
    <t>978-5-00091-105-1</t>
  </si>
  <si>
    <t>842007.01.01</t>
  </si>
  <si>
    <t>Технологии муз. образования: Уч.пос. / Т.В.Надолинская - М.:НИЦ ИНФРА-М,2025. - 231 с.(СПО)(п)</t>
  </si>
  <si>
    <t>ТЕХНОЛОГИИ МУЗЫКАЛЬНОГО ОБРАЗОВАНИЯ</t>
  </si>
  <si>
    <t>Надолинская Т.В.</t>
  </si>
  <si>
    <t>978-5-16-020301-0</t>
  </si>
  <si>
    <t>44.02.03, 44.02.04, 53.02.01, 53.02.02</t>
  </si>
  <si>
    <t>739813.01.01</t>
  </si>
  <si>
    <t>Технологии муз. образования: Уч.пос. / Т.В.Надолинская-М.:НИЦ ИНФРА-М,2023.-231 с.(ВО: Бакалавр.)(П)</t>
  </si>
  <si>
    <t>978-5-16-016513-4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</si>
  <si>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(квалификация (степень) «бакалавр») (протокол № 5 от 11.05.2022)</t>
  </si>
  <si>
    <t>636178.07.01</t>
  </si>
  <si>
    <t>Технологии обуч. и развития персонала в орг.: Уч. / Под ред. Полевой М.В. - 2 изд.-М.:НИЦ ИНФРА-М,2024.-273 с.(п)</t>
  </si>
  <si>
    <t>ТЕХНОЛОГИИ ОБУЧЕНИЯ И РАЗВИТИЯ ПЕРСОНАЛА В ОРГАНИЗАЦИИ, ИЗД.2</t>
  </si>
  <si>
    <t>Полевая М.В., Белогруд И.Н., Иванова И.А. и др.</t>
  </si>
  <si>
    <t>978-5-16-019023-5</t>
  </si>
  <si>
    <t>38.03.03, 38.03.04, 38.04.03, 44.03.01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</si>
  <si>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(протокол № 6 от 16.06.2021)</t>
  </si>
  <si>
    <t>636178.04.01</t>
  </si>
  <si>
    <t>Технологии обуч. и развития персонала в организ.: Уч. / В.М.Маслова.-М.:Вуз. уч., НИЦ ИНФРА-М,2020.-256 с.(П)</t>
  </si>
  <si>
    <t>ТЕХНОЛОГИИ ОБУЧЕНИЯ И РАЗВИТИЯ ПЕРСОНАЛА В ОРГАНИЗАЦИИ</t>
  </si>
  <si>
    <t>Маслова В.М., Полевая М.В., Белогруд И.Н. и др.</t>
  </si>
  <si>
    <t>978-5-9558-0528-3</t>
  </si>
  <si>
    <t>697049.06.01</t>
  </si>
  <si>
    <t>Технологии параллельного программир.: Уч.пос. / С.А.Лупин - М.:ИД ФОРУМ,НИЦ ИНФРА-М,2024 - 206с(СПО)(П)</t>
  </si>
  <si>
    <t>ТЕХНОЛОГИИ ПАРАЛЛЕЛЬНОГО ПРОГРАММИРОВАНИЯ</t>
  </si>
  <si>
    <t>Лупин С.А., Посыпкин М.А.</t>
  </si>
  <si>
    <t>978-5-8199-0853-2</t>
  </si>
  <si>
    <t>089740.09.01</t>
  </si>
  <si>
    <t>Технологии параллельного программир.: Уч.пос. / С.А.Лупин-М.:ИД ФОРУМ, ИНФРА-М Изд.Дом,2024-206 с.-(ВО)(П)</t>
  </si>
  <si>
    <t>Лупин С. А., Посыпкин М. А.</t>
  </si>
  <si>
    <t>978-5-8199-0336-0</t>
  </si>
  <si>
    <t>01.04.04, 02.03.03, 02.04.02, 09.03.01, 09.03.02, 09.03.03, 09.03.04</t>
  </si>
  <si>
    <t>Допущено УМО по университетскому политехническому образованию в качестве учебного пособия для студентов высших учебных заведений, обучающихся по направлению 230100 "Информатика и вычислительная техника"</t>
  </si>
  <si>
    <t>131500.10.01</t>
  </si>
  <si>
    <t>Технологии производства реклам.продукции: Уч.пос. / Г.А.Васильев.-М.:Вуз. уч., ИНФРА-М Изд. Дом,2024.-272 с.(П)</t>
  </si>
  <si>
    <t>ТЕХНОЛОГИИ ПРОИЗВОДСТВА РЕКЛАМНОЙ ПРОДУКЦИИ</t>
  </si>
  <si>
    <t>Васильев Г. А., Поляков В. А., Романов А. А.</t>
  </si>
  <si>
    <t>978-5-9558-0155-1</t>
  </si>
  <si>
    <t>633393.07.01</t>
  </si>
  <si>
    <t>Технологии психолог. помощи семьям детей...: Уч. / В.В.Ткачева - 2 изд.-М.:НИЦ ИНФРА-М,2024-281с.(п)</t>
  </si>
  <si>
    <t>ТЕХНОЛОГИИ ПСИХОЛОГИЧЕСКОЙ ПОМОЩИ СЕМЬЯМ ДЕТЕЙ С ОГРАНИЧЕННЫМИ ВОЗМОЖНОСТЯМИ ЗДОРОВЬЯ, ИЗД.2</t>
  </si>
  <si>
    <t>Ткачева В.В.</t>
  </si>
  <si>
    <t>978-5-16-012286-1</t>
  </si>
  <si>
    <t>37.03.01, 44.03.01, 44.03.02, 44.03.03, 44.03.05, 44.04.01, 44.04.02, 44.04.03</t>
  </si>
  <si>
    <t>Рекомендовано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37.03.01 «Психология» (квалификация (степень) «бакалавр»)</t>
  </si>
  <si>
    <t>706849.06.01</t>
  </si>
  <si>
    <t>Технологии психологич. помощи семьям детей...: Уч. / В.В.Ткачева - 2 изд. - М.:НИЦ ИНФРА-М,2025 - 281с.(п)(СПО)</t>
  </si>
  <si>
    <t>978-5-16-015123-6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</si>
  <si>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9 от 17.11.2022)</t>
  </si>
  <si>
    <t>097450.11.01</t>
  </si>
  <si>
    <t>Технологии соц.работы с разл.группами насел..:Уч.пос./П.Д.Павленок-М.:НИЦ ИНФРА-М,2023-272с(ВО:Бак.)</t>
  </si>
  <si>
    <t>ТЕХНОЛОГИИ СОЦИАЛЬНОЙ РАБОТЫ С РАЗЛИЧНЫМИ ГРУППАМИ НАСЕЛЕНИЯ</t>
  </si>
  <si>
    <t>Павленок П. Д., Руднева М. Я.</t>
  </si>
  <si>
    <t>978-5-16-003292-4</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</si>
  <si>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39.03.02 «Социальная работа»</t>
  </si>
  <si>
    <t>681206.04.01</t>
  </si>
  <si>
    <t>Технологии тренинга: Уч. / Е.В.Сухова - М.:НИЦ ИНФРА-М,2025 - 232 с.-(ВО)(п)</t>
  </si>
  <si>
    <t>ТЕХНОЛОГИИ ТРЕНИНГА</t>
  </si>
  <si>
    <t>978-5-16-019384-7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</si>
  <si>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(квалификация (степень) «бакалавр») (протокол № 2 от 03.02.2020)</t>
  </si>
  <si>
    <t>705531.06.01</t>
  </si>
  <si>
    <t>Технологии уборки дома и квартиры: Уч.пос. / В.Н.Шитов - М.:НИЦ ИНФРА-М,2025. - 238 с. - (СПО)(П)</t>
  </si>
  <si>
    <t>ТЕХНОЛОГИИ УБОРКИ ДОМА И КВАРТИРЫ</t>
  </si>
  <si>
    <t>978-5-16-015294-3</t>
  </si>
  <si>
    <t>08.02.14, 43.02.11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</si>
  <si>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3 от 17.02.2020)</t>
  </si>
  <si>
    <t>357000.09.01</t>
  </si>
  <si>
    <t>Технологии физического уровня передачи данных: Уч. СПО / А.В.Кистрин .-М.:КУРС, НИЦ ИНФРА-М,2024.-218c(П)</t>
  </si>
  <si>
    <t>ТЕХНОЛОГИИ ФИЗИЧЕСКОГО УРОВНЯ ПЕРЕДАЧИ ДАННЫХ</t>
  </si>
  <si>
    <t>Кистрин А.В., Костров Б.В., Ефимов А.И. и др.</t>
  </si>
  <si>
    <t>978-5-906818-37-9</t>
  </si>
  <si>
    <t>09.02.02, 09.02.06, 10.02.05</t>
  </si>
  <si>
    <t>787325.03.01</t>
  </si>
  <si>
    <t>Технологии фонопедической работы при наруш. голоса: Уч.пос. / Шашкина Г.Р. - М.:НИЦ ИНФРА-М,2025. - 160 с.(ВО)(п)</t>
  </si>
  <si>
    <t>ТЕХНОЛОГИИ ФОНОПЕДИЧЕСКОЙ РАБОТЫ ПРИ НАРУШЕНИЯХ ГОЛОСА</t>
  </si>
  <si>
    <t>Шашкина Г.Р., Журавлева Ж.И., Агаева В.Е. и др.</t>
  </si>
  <si>
    <t>978-5-16-017967-4</t>
  </si>
  <si>
    <t>Всероссийский (с международным участием) конкурс учебно-методических, учебных и научных работ "Добросвет"-2024, Победитель, I место</t>
  </si>
  <si>
    <t>646569.04.01</t>
  </si>
  <si>
    <t>Технологическая оснастка. Станочные приспособ.:Уч.пос. /В.В.Клепиков-М.:НИЦ ИНФРА-М,2024-345с(ВО)(П)</t>
  </si>
  <si>
    <t>ТЕХНОЛОГИЧЕСКАЯ ОСНАСТКА. СТАНОЧНЫЕ ПРИСПОСОБЛЕНИЯ</t>
  </si>
  <si>
    <t>Клепиков В.В.</t>
  </si>
  <si>
    <t>978-5-16-012518-3</t>
  </si>
  <si>
    <t>Рекомендовано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 (квалификация (степень) «бакалавр»)</t>
  </si>
  <si>
    <t>714975.02.01</t>
  </si>
  <si>
    <t>Технологическая оснастка: Уч.пос. / С.А.Берберов и др. - М.:НИЦ ИНФРА-М,2024 - 271 с.(СПО)(П)</t>
  </si>
  <si>
    <t>ТЕХНОЛОГИЧЕСКАЯ ОСНАСТКА</t>
  </si>
  <si>
    <t>Берберов С.А., Тамаркин М.А., Прокопец Г.А. и др.</t>
  </si>
  <si>
    <t>978-5-16-015485-5</t>
  </si>
  <si>
    <t>15.02.04, 15.02.16, 15.02.17, 15.02.18, 18.02.07, 18.02.13, 24.02.02, 26.02.02, 26.02.04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</si>
  <si>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 (протокол № 5 от 19.05.2021)</t>
  </si>
  <si>
    <t>680957.02.01</t>
  </si>
  <si>
    <t>Технологическая подготовка предпр. тех. сервиса: Уч.пос. / Корнеев В.М. - М.:НИЦ ИНФРА-М,2022 - 244с(П)</t>
  </si>
  <si>
    <t>ТЕХНОЛОГИЧЕСКАЯ ПОДГОТОВКА ПРЕДПРИЯТИЙ ТЕХНИЧЕСКОГО СЕРВИСА</t>
  </si>
  <si>
    <t>Корнеев В.М., Кравченко И.Н., Петровский Д.И. и др.</t>
  </si>
  <si>
    <t>978-5-16-013817-6</t>
  </si>
  <si>
    <t>Рекомендовано Научно-методическим советом по технологиям, средствам механизации и энергетическому оборудованию в сельском хозяйстве Федерального УМО по сельскому, лесному и рыбному хозяйству в качестве учебного пособия для студентов, обучающихся по направлению подготовки 35.03.06 «Агроинженерия» (квалификация (степень) «бакалавр»)</t>
  </si>
  <si>
    <t>827080.01.01</t>
  </si>
  <si>
    <t>Технологические добавки и улучшители в производстве..: Уч.пос. / Ж.А.Кох - М.:НИЦ ИНФРА-М,2025. - 302 с.(п)</t>
  </si>
  <si>
    <t>ТЕХНОЛОГИЧЕСКИЕ ДОБАВКИ И УЛУЧШИТЕЛИ В ПРОИЗВОДСТВЕ ПРОДУКТОВ ПИТАНИЯ</t>
  </si>
  <si>
    <t>Кох Ж.А., Кох Д.А.</t>
  </si>
  <si>
    <t>978-5-16-020334-8</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</si>
  <si>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19.00.00 «Промышленная экология и биотехнологии» в качестве учебного пособия для обучающихся по основным образовательным программам высшего образования уровней бакалавриата и магистратуры направлений подготовки 19.03.02 и 19.04.02 «Продукты питания из растительного сырья»</t>
  </si>
  <si>
    <t>706591.04.01</t>
  </si>
  <si>
    <t>Технологические основы добычи и перераб. топливно-энергет...: Уч./ Под ред. Линник Ю.Н.-М.:НИЦ ИНФРА-М,2025-457с.(ВО)(П)</t>
  </si>
  <si>
    <t>ТЕХНОЛОГИЧЕСКИЕ ОСНОВЫ ДОБЫЧИ И ПЕРЕРАБОТКИ ТОПЛИВНО-ЭНЕРГЕТИЧЕСКИХ РЕСУРСОВ</t>
  </si>
  <si>
    <t>Линник Ю.Н., Линник В.Ю., Воронцов В.Б. .</t>
  </si>
  <si>
    <t>978-5-16-020186-3</t>
  </si>
  <si>
    <t>21.03.01, 38.03.02</t>
  </si>
  <si>
    <t>Рекомендовано к изданию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учебника  для обучающихся по образовательным программам направления подготовки 38.03.02 «Менеджмент»  (уровень бакалавриата)</t>
  </si>
  <si>
    <t>719200.03.01</t>
  </si>
  <si>
    <t>Технологические проц. и оборуд. для приготов. кормов: Уч.пос. / И.Я.Федоренко-М.:Форум, НИЦ ИНФРА-М,2023.-176с(П)</t>
  </si>
  <si>
    <t>ТЕХНОЛОГИЧЕСКИЕ ПРОЦЕССЫ И ОБОРУДОВАНИЕ ДЛЯ ПРИГОТОВЛЕНИЯ КОРМОВ</t>
  </si>
  <si>
    <t>Федоренко И. Я.</t>
  </si>
  <si>
    <t>978-5-00091-717-6</t>
  </si>
  <si>
    <t>19.02.11, 19.02.12, 22.02.08, 35.01.23, 35.02.05, 35.02.08, 35.02.18, 36.01.02, 36.01.03, 36.02.01, 36.02.03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</si>
  <si>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35.02.07 «Механизация сельского хозяйства», 35.02.06 «Технология производства и переработки сельскохозяйственной продукции» (протокол № 11 от 10.06.2019)</t>
  </si>
  <si>
    <t>085990.11.01</t>
  </si>
  <si>
    <t>Технологические проц. и оборуд. для приготовления кормов: Уч. пос. / И.Я. Федоренко - М.:Форум,2025 - 176 с.(ВО)(о)</t>
  </si>
  <si>
    <t>978-5-91134-173-2</t>
  </si>
  <si>
    <t>35.03.06, 35.03.07, 36.03.02</t>
  </si>
  <si>
    <t>Рекомендовано учебно-методическим объединением вузов по агроинженерному образованию в качестве учебного пособия для студентов вузов, обучающихся по специальности 110301 - "Механизация сельского хозяйства"</t>
  </si>
  <si>
    <t>634143.08.01</t>
  </si>
  <si>
    <t>Технологические процессы автомат.производств: Уч. / В.М.Виноградов - М.:КУРС,НИЦ ИНФРА-М,2025 - 272с(П)</t>
  </si>
  <si>
    <t>ТЕХНОЛОГИЧЕСКИЕ ПРОЦЕССЫ АВТОМАТИЗИРОВАННЫХ ПРОИЗВОДСТВ</t>
  </si>
  <si>
    <t>Виноградов В.М., Черепахин А.А., Клепиков В.В.</t>
  </si>
  <si>
    <t>978-5-906818-69-0</t>
  </si>
  <si>
    <t>Рекомендовано в качестве учебника для студентов высших учебных заведений, обучающихся по направлению подготовки 15.03.04 «Автоматизация технологических процессов и производств» (квалификация «Бакалавр»)</t>
  </si>
  <si>
    <t>136650.10.01</t>
  </si>
  <si>
    <t>Технологические процессы в сервисе.: Уч.пос. / И.Н.Каграманова - М.:ИД ФОРУМ, НИЦ ИНФРА-М,2025 - 304 с.(П)</t>
  </si>
  <si>
    <t>ТЕХНОЛОГИЧЕСКИЕ ПРОЦЕССЫ В СЕРВИСЕ. ТЕХНОЛОГИЯ ШВЕЙНЫХ ИЗДЕЛИЙ</t>
  </si>
  <si>
    <t>Каграманова И. Н., Конопальцева Н. М.</t>
  </si>
  <si>
    <t>978-5-8199-0424-4</t>
  </si>
  <si>
    <t>Рекомендовано Учебно-методическим объединением учебных заведений РФ по образованию в области сервиса и туризма в качестве учебного пособия для студентов вузов Минобрнауки России (специализация Сервис индустрии моды)</t>
  </si>
  <si>
    <t>082900.07.01</t>
  </si>
  <si>
    <t>Технологические процессы в сервисе: Уч. пос. / Н.А.Крюкова. - М.: Форум, 2024. - 240 с. (ВО)(П)</t>
  </si>
  <si>
    <t>ТЕХНОЛОГИЧЕСКИЕ ПРОЦЕССЫ В СЕРВИСЕ. ОТДЕЛКА ОДЕЖДЫ ИЗ РАЗЛИЧНЫХ МАТЕРИАЛОВ</t>
  </si>
  <si>
    <t>Крюкова Н. А., Конопальцева Н. М.</t>
  </si>
  <si>
    <t>978-5-91134-137-4</t>
  </si>
  <si>
    <t>Рекомендовано Учебно-методическим объединением по образованию в области сервиса и туризма в качестве учебного пособия для студентов высших учебных заведений, обучающихся по специальности 100101 "Сервис"</t>
  </si>
  <si>
    <t>Поволжский государственный университет сервиса</t>
  </si>
  <si>
    <t>719353.05.01</t>
  </si>
  <si>
    <t>Технологические процессы в тех. сервисе машин и оборуд.: Уч.пос. / И.Н.Кравченк -М.:НИЦ ИНФРА-М,2025-346с(П)</t>
  </si>
  <si>
    <t>ТЕХНОЛОГИЧЕСКИЕ ПРОЦЕССЫ В ТЕХНИЧЕСКОМ СЕРВИСЕ МАШИН И ОБОРУДОВАНИЯ</t>
  </si>
  <si>
    <t>Кравченко И.Н., Пузряков А.Ф., Корнеев В.М. и др.</t>
  </si>
  <si>
    <t>978-5-16-015625-5</t>
  </si>
  <si>
    <t>13.02.13, 15.01.13, 15.01.18, 15.02.04, 15.02.06, 35.01.27, 35.01.30, 35.02.05, 35.02.07, 35.02.08, 35.02.16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</si>
  <si>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35.02.07 «Механизация сельского хозяйства» (протокол № 12 от 24.06.2019)</t>
  </si>
  <si>
    <t>646490.03.01</t>
  </si>
  <si>
    <t>Технологические процессы в тех.серв.машин и оборуд.: Уч.пос. /И.Н.Кравченко-М.:НИЦ ИНФРА-М,2020-346с</t>
  </si>
  <si>
    <t>978-5-16-012628-9</t>
  </si>
  <si>
    <t>Рекомендовано Федеральным Учебно-методическим объединением в системе высшего образования по технологиям, средствам механизации и энергетическому оборудованию в сельском хозяйстве в качестве учебного пособия для студентов, обучающихся по направлениям подготовки 35.03.06 и 35.04.06 «Агроинженерия» (квалификация (степень) «бакалавр» и «магистр»)</t>
  </si>
  <si>
    <t>132050.06.01</t>
  </si>
  <si>
    <t>Технологические процессы машиностр. произв.: Уч.пос. / А.А.Черепахин-2 изд.-М.:Форум, НИЦ ИНФРА-М,2024-559 с.(ВО)(п)</t>
  </si>
  <si>
    <t>ТЕХНОЛОГИЧЕСКИЕ ПРОЦЕССЫ МАШИНОСТРОИТЕЛЬНОГО ПРОИЗВОДСТВА, ИЗД.2</t>
  </si>
  <si>
    <t>Черепахин А.А., Кузнецов В.А., Колтунов И.И.</t>
  </si>
  <si>
    <t>978-5-00091-704-6</t>
  </si>
  <si>
    <t>132050.05.01</t>
  </si>
  <si>
    <t>Технологические процессы машиностр. произв.: Уч.пос./ В.А.Кузнецов-М:Форум,НИЦ ИНФРА-М,2019-528с(ВО)</t>
  </si>
  <si>
    <t>ТЕХНОЛОГИЧЕСКИЕ ПРОЦЕССЫ МАШИНОСТРОИТЕЛЬНОГО ПРОИЗВОДСТВА</t>
  </si>
  <si>
    <t>Кузнецов В. А., Черепахин А. А., Колтунов И. И., Пыжов В. В.</t>
  </si>
  <si>
    <t>978-5-91134-419-1</t>
  </si>
  <si>
    <t>Допущено УМО вузов по образованию в области автоматизированного машиностроения (УМО АМ) в качестве учебного пособия для студентов вузов</t>
  </si>
  <si>
    <t>242200.06.01</t>
  </si>
  <si>
    <t>Технологические процессы машиностроительного производ.: Уч. / В.Б.Моисеев - М:ИНФРА-М,2025 - 218 с.(ВО)</t>
  </si>
  <si>
    <t>Моисеев В. Б., Таранцева К. Р., Схиртладзе А. Г.</t>
  </si>
  <si>
    <t>978-5-16-009257-7</t>
  </si>
  <si>
    <t>15.03.01, 15.03.02, 15.03.03, 15.03.04, 15.03.05, 15.05.01</t>
  </si>
  <si>
    <t>784593.01.01</t>
  </si>
  <si>
    <t>Технологическое обесп. качества поверхности и экспл...: Уч.пос. / В.А.Лебедев -М.:НИЦ ИНФРА-М,2024.-221 с.(ВО)(п)</t>
  </si>
  <si>
    <t>ТЕХНОЛОГИЧЕСКОЕ ОБЕСПЕЧЕНИЕ КАЧЕСТВА ПОВЕРХНОСТИ И ЭКСПЛУАТАЦИОННЫХ СВОЙСТВ ДЕТАЛЕЙ МАШИН</t>
  </si>
  <si>
    <t>Лебедев В.А., Прокопец Г.А., Корольков Ю.В. и др.</t>
  </si>
  <si>
    <t>978-5-16-017966-7</t>
  </si>
  <si>
    <t>15.04.02, 15.04.03, 15.04.05, 15.04.06</t>
  </si>
  <si>
    <t>707129.09.01</t>
  </si>
  <si>
    <t>Технологическое оборуд. для АЗС и нефтебаз: Уч.пос.: В 2ч.Ч.2 / Ю.Н.Безбородов, -М.:НИЦ ИНФРА-М, СФУ,2024-171с.(П)</t>
  </si>
  <si>
    <t>ТЕХНОЛОГИЧЕСКОЕ ОБОРУДОВАНИЕ ДЛЯ АЗС И НЕФТЕБАЗ. В 2-Х ЧАСТЯХ., Т.2</t>
  </si>
  <si>
    <t>Безбородов Ю.Н., Петров О.Н., Сокольников А.Н. и др.</t>
  </si>
  <si>
    <t>978-5-16-017078-7</t>
  </si>
  <si>
    <t>23.02.01, 23.02.03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</si>
  <si>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t>
  </si>
  <si>
    <t>707128.07.01</t>
  </si>
  <si>
    <t>Технологическое оборуд. для АЗС и нефтебаз: Уч.пос.: Ч.1 / Ю.Н.Безбородов - М.:НИЦ ИНФРА-М, СФУ,2025 - 168 с.(П)</t>
  </si>
  <si>
    <t>ТЕХНОЛОГИЧЕСКОЕ ОБОРУДОВАНИЕ ДЛЯ АЗС И НЕФТЕБАЗ, Т.1</t>
  </si>
  <si>
    <t>978-5-16-017116-6</t>
  </si>
  <si>
    <t>666541.04.01</t>
  </si>
  <si>
    <t>Технологическое оборуд. для АЗС и нефтебаз: Уч.пос.:Ч.1/Ю.Н.Безбородов-М.:НИЦ ИНФРА-М,СФУ,2024-168с.</t>
  </si>
  <si>
    <t>978-5-16-013139-9</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</si>
  <si>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бакалавров «Эксплуатация транспортно-технологических машин и комплексов» (профиль подготовки «Сервис транспортных и транспортно-технологических машин и оборудования (Нефтепродуктообеспечение и газоснабжение)»)</t>
  </si>
  <si>
    <t>668074.02.01</t>
  </si>
  <si>
    <t>Технологическое оборуд. для АЗС и нефтебаз: Уч.пос.:Ч.2 /Ю.Н.Безбородов-М.:НИЦ ИНФРА-М,СФУ,2019-171с</t>
  </si>
  <si>
    <t>ТЕХНОЛОГИЧЕСКОЕ ОБОРУДОВАНИЕ ДЛЯ АЗС И НЕФТЕБАЗ, Т.2</t>
  </si>
  <si>
    <t>978-5-16-013235-8</t>
  </si>
  <si>
    <t>826953.01.01</t>
  </si>
  <si>
    <t>Технологическое оборуд. для переработки зерновых...: Уч.пос. / И.В.Мацкевич - М.:НИЦ ИНФРА-М,2025 - 280 с.(п)</t>
  </si>
  <si>
    <t>ТЕХНОЛОГИЧЕСКОЕ ОБОРУДОВАНИЕ ДЛЯ ПЕРЕРАБОТКИ ЗЕРНОВЫХ КУЛЬТУР В ПИЩЕВЫЕ ПРОДУКТЫ</t>
  </si>
  <si>
    <t>Мацкевич И.В., Невзоров В.Н., Тепляшин В.Н. и др.</t>
  </si>
  <si>
    <t>978-5-16-020332-4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</si>
  <si>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15.03.02 «Технологические машины и оборудование», 35.03.07 «Технология производства и переработки сельскохозяйственной продукции», 19.03.02 «Продукты питания из растительного сырья» и научной специальности 4.3.3 «Пищевые системы»</t>
  </si>
  <si>
    <t>057600.14.01</t>
  </si>
  <si>
    <t>Технологическое оборуд. Металлореж. станки: Уч. / М.Ю.Сибикин - 3 изд. - М.:НИЦ ИНФРА-М,2025. - 512 с.(СПО)(п)</t>
  </si>
  <si>
    <t>ТЕХНОЛОГИЧЕСКОЕ ОБОРУДОВАНИЕ. МЕТАЛЛОРЕЖУЩИЕ СТАНКИ, ИЗД.3</t>
  </si>
  <si>
    <t>978-5-16-015845-7</t>
  </si>
  <si>
    <t>12.02.04, 15.01.38, 15.02.01, 15.02.03, 15.02.04, 15.02.09, 15.02.16, 15.02.17, 18.02.13, 23.02.03</t>
  </si>
  <si>
    <t>Допущено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«Машиностроение»</t>
  </si>
  <si>
    <t>258100.11.01</t>
  </si>
  <si>
    <t>Технологическое оборуд. предп. общ..: Практ. / К.Я.Гайворонский - М.:ФОРУМ:ИНФРА-М, 2025 - 104с.(СПО)(О)</t>
  </si>
  <si>
    <t>ТЕХНОЛОГИЧЕСКОЕ ОБОРУДОВАНИЕ ПРЕДРИЯТИЙ ОБЩЕСТВЕННОГО ПИТАНИЯ И ТОРГОВЛИ</t>
  </si>
  <si>
    <t>978-5-16-020879-4</t>
  </si>
  <si>
    <t>15.02.01, 15.02.06, 18.01.03, 18.01.26, 18.01.35, 18.02.04, 18.02.07, 18.02.09, 18.02.11, 18.02.14, 18.02.15, 19.01.09, 19.01.18, 19.01.19, 19.02.10, 19.02.11, 19.02.12, 19.02.13, 19.02.14, 35.02.18, 38.01.02, 43.01.09, 43.02.15</t>
  </si>
  <si>
    <t>Рекомендовано Министерством экономического развития и торговли Российской Федерации в качестве учебного пособия для студентов средних специальных и высших учебных заведений</t>
  </si>
  <si>
    <t>092300.17.01</t>
  </si>
  <si>
    <t>Технологическое оборуд. предпр. общ. пит. и торговли: Уч. / К.Я.Гайворонский, - 3 изд. - М.:НИЦ ИНФРА-М,2024. - 469 с.(П)</t>
  </si>
  <si>
    <t>ТЕХНОЛОГИЧЕСКОЕ ОБОРУДОВАНИЕ ПРЕДПРИЯТИЙ ОБЩЕСТВЕННОГО ПИТАНИЯ И ТОРГОВЛИ, ИЗД.3</t>
  </si>
  <si>
    <t>Гайворонский К.Я., Щеглов Н.Г.</t>
  </si>
  <si>
    <t>978-5-16-017316-0</t>
  </si>
  <si>
    <t>15.02.01, 15.02.06, 18.01.03, 18.01.26, 18.01.35, 18.02.04, 18.02.07, 18.02.09, 18.02.11, 18.02.14, 18.02.15, 19.01.09, 19.01.18, 19.01.19, 19.02.10, 19.02.11, 19.02.12, 19.02.13, 19.02.14, 35.02.18, 38.01.02, 43.01.09, 43.02.01, 43.02.15, 43.02.16</t>
  </si>
  <si>
    <t>Рекомендовано Министерством экономического развития и торговли Российской Федерации в качестве учебника для средних специальных и высших учебных заведений</t>
  </si>
  <si>
    <t>057600.10.01</t>
  </si>
  <si>
    <t>Технологическое оборуд.. Металлореж. станки: Уч. / М.Ю.Сибикин - 2 изд. - М.:Форум,2021-448с.(ПО)(п)</t>
  </si>
  <si>
    <t>ТЕХНОЛОГИЧЕСКОЕ ОБОРУДОВАНИЕ. МЕТАЛЛОРЕЖУЩИЕ СТАНКИ, ИЗД.2</t>
  </si>
  <si>
    <t>978-5-00091-700-8</t>
  </si>
  <si>
    <t>232500.07.01</t>
  </si>
  <si>
    <t>Технологическое оборудование винодел. предпр.: Уч./Ц.Р.Зайчик- 5 изд. - ИНФРА-М, 2024-496с.(ВО) (п)</t>
  </si>
  <si>
    <t>ТЕХНОЛОГИЧЕСКОЕ ОБОРУДОВАНИЕ ВИНОДЕЛЬЧЕСКИХ ПРЕДПРИЯТИЙ, ИЗД.5</t>
  </si>
  <si>
    <t>Зайчик Ц. Р.</t>
  </si>
  <si>
    <t>978-5-16-005674-6</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</si>
  <si>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«Технология бродильных производств и виноделие» направления подготовки «Производство продуктов пи</t>
  </si>
  <si>
    <t>092300.09.01</t>
  </si>
  <si>
    <t>Технологическое оборудование предпр. общ. пит.:Уч./К.Я.Гайворонский-2изд.-ФОРУМ:ИНФРА-М,2019-480с(п)</t>
  </si>
  <si>
    <t>ТЕХНОЛОГИЧЕСКОЕ ОБОРУДОВАНИЕ ПРЕДПРИЯТИЙ ОБЩЕСТВЕННОГО ПИТАНИЯ И ТОРГОВЛИ, ИЗД.2</t>
  </si>
  <si>
    <t>978-5-8199-0776-4</t>
  </si>
  <si>
    <t>760829.04.01</t>
  </si>
  <si>
    <t>Технологическое оборудование производства хлеба..: Уч. / А.А.Курочкин - М.:НИЦ ИНФРА-М,2025. - 355 с.(П)</t>
  </si>
  <si>
    <t>ТЕХНОЛОГИЧЕСКОЕ ОБОРУДОВАНИЕ ПРОИЗВОДСТВА ХЛЕБА, КОНДИТЕРСКИХ И МАКАРОННЫХ ИЗДЕЛИЙ</t>
  </si>
  <si>
    <t>Курочкин А.А.</t>
  </si>
  <si>
    <t>978-5-16-017231-6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</si>
  <si>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6 от 08.06.2022)</t>
  </si>
  <si>
    <t>143100.11.01</t>
  </si>
  <si>
    <t>Технологическое оборудование, оснастка и основы..: Уч. пос. / А.И.Веселов - М.:ИНФРА-М, 2025 - 262 с.(ВО)(П)</t>
  </si>
  <si>
    <t>ТЕХНОЛОГИЧЕСКОЕ ОБОРУДОВАНИЕ, ОСНАСТКА И ОСНОВЫ ПРОЕКТИРОВАНИЯ УПАКОВОЧНЫХ ПРОИЗВОДСТВ</t>
  </si>
  <si>
    <t>Веселов А.И., Веселова И.А.</t>
  </si>
  <si>
    <t>Высшее образование. Бакалавриат</t>
  </si>
  <si>
    <t>978-5-16-004406-4</t>
  </si>
  <si>
    <t>15.03.01, 15.04.01, 29.03.03</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</si>
  <si>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направлению подготовки 19.03.02 «Продукты питания из растительного сырья»</t>
  </si>
  <si>
    <t>079780.09.01</t>
  </si>
  <si>
    <t>Технологическое оборудование: Уч.пос. / О.И.Аверьянов - М.:ИНФРА-М,2024-240 с.(СПО)(п)</t>
  </si>
  <si>
    <t>ТЕХНОЛОГИЧЕСКОЕ ОБОРУДОВАНИЕ</t>
  </si>
  <si>
    <t>Аверьянов О.И., Аверьянова И.О., Клепиков В.В.</t>
  </si>
  <si>
    <t>978-5-16-019640-4</t>
  </si>
  <si>
    <t>11.01.05, 12.02.04, 13.02.07, 13.02.08, 13.02.09, 13.02.12, 13.02.13, 15.02.01, 15.02.03, 15.02.04, 15.02.09, 15.02.10, 15.02.16, 15.02.17, 18.02.04, 18.02.14, 23.02.03</t>
  </si>
  <si>
    <t>728007.04.01</t>
  </si>
  <si>
    <t>Технологическое предпринимательство: Уч.пос. / П.Л.Глухих - М.:НИЦ ИНФРА-М,2025. - 316 с.(ВО)(п)</t>
  </si>
  <si>
    <t>ТЕХНОЛОГИЧЕСКОЕ ПРЕДПРИНИМАТЕЛЬСТВО</t>
  </si>
  <si>
    <t>Глухих П.Л.</t>
  </si>
  <si>
    <t>978-5-16-020452-9</t>
  </si>
  <si>
    <t>04.03.01, 04.03.02, 07.03.01, 07.03.02, 07.03.03, 07.03.04, 07.04.02, 08.03.01, 11.03.01, 11.03.02, 11.03.03, 11.03.04, 12.03.01, 12.03.02, 12.03.03, 12.03.04, 12.03.05, 13.03.01, 13.03.02, 13.03.03, 15.03.01, 15.03.02, 15.03.03, 15.03.04, 15.03.05, 15.03.06, 18.03.01, 18.03.02, 19.03.01, 19.03.02, 19.03.03, 19.03.04, 20.03.01, 20.03.02, 21.05.04, 22.03.01, 22.03.02, 23.03.01, 23.03.02, 23.03.03, 27.04.03, 29.04.03, 35.04.06, 40.04.01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</si>
  <si>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(квалификация (степень) «бакалавр») (протокол № 2 от 09.02.2022)</t>
  </si>
  <si>
    <t>641685.07.01</t>
  </si>
  <si>
    <t>Технология  формиров. навыка активного чтения: Уч.практ.пос. / Т.А.Семенова - М.:НИЦ ИНФРА-М,2025 - 103 с.(О)</t>
  </si>
  <si>
    <t>ТЕХНОЛОГИЯ  ФОРМИРОВАНИЯ  НАВЫКА АКТИВНОГО ЧТЕНИЯ</t>
  </si>
  <si>
    <t>978-5-16-012627-2</t>
  </si>
  <si>
    <t>44.03.01, 44.04.01, 45.03.01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</si>
  <si>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</si>
  <si>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347500.06.01</t>
  </si>
  <si>
    <t>Технология возвед.высотных монолит.железобет.здан.: Уч. / Н.И.Доркин - М.:Форум, НИЦ ИНФРА-М,2023-240с(О)</t>
  </si>
  <si>
    <t>ТЕХНОЛОГИЯ ВОЗВЕДЕНИЯ ВЫСОТНЫХ МОНОЛИТНЫХ ЖЕЛЕЗОБЕТОННЫХ ЗДАНИЙ</t>
  </si>
  <si>
    <t>Доркин Н.И., Зубанов С.В.</t>
  </si>
  <si>
    <t>978-5-00091-057-3</t>
  </si>
  <si>
    <t>Рекомендовано в качестве учебно-методического пособия для студентов высших учебных заведений, обучающихся по специальности 270102.65 «Промышленное и гражданское строительство»</t>
  </si>
  <si>
    <t>704418.10.01</t>
  </si>
  <si>
    <t>Технология выполнения работы по проф. «Кассир»: Уч.пос. / Н.А.Качан - 2 изд. - М.:НИЦ ИНФРА-М,2025 - 307c(П)</t>
  </si>
  <si>
    <t>ТЕХНОЛОГИЯ ВЫПОЛНЕНИЯ РАБОТЫ ПО ПРОФЕССИИ «КАССИР», ИЗД.2</t>
  </si>
  <si>
    <t>978-5-16-015098-7</t>
  </si>
  <si>
    <t>11.01.01, 11.02.12, 38.01.02, 38.02.01, 43.01.05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</si>
  <si>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3 от 11.02.2019)</t>
  </si>
  <si>
    <t>242300.07.01</t>
  </si>
  <si>
    <t>Технология защиты окр.среды (теор.основы): Уч.пос./А.Г.Ветошкин.- М.:НИЦ ИНФРА-М,2024 - 362 с-(ВО:Бак.)(п)</t>
  </si>
  <si>
    <t>ТЕХНОЛОГИЯ ЗАЩИТЫ ОКРУЖАЮЩЕЙ СРЕДЫ (ТЕОРЕТИЧЕСКИЕ ОСНОВЫ)</t>
  </si>
  <si>
    <t>Ветошкин А.Г., Таранцева К.Р., Ветошкин А.Г.</t>
  </si>
  <si>
    <t>978-5-16-009259-1</t>
  </si>
  <si>
    <t>05.03.06, 05.04.06, 20.03.01, 20.04.01, 44.03.05</t>
  </si>
  <si>
    <t>822504.01.01</t>
  </si>
  <si>
    <t>Технология и безопасность взрывных работ: Уч.пос./С.А.Вохмин - М.:НИЦ ИНФРА-М, СФУ,2024-213 с.(п)</t>
  </si>
  <si>
    <t>ТЕХНОЛОГИЯ И БЕЗОПАСНОСТЬ ВЗРЫВНЫХ РАБОТ</t>
  </si>
  <si>
    <t>Вохмин С.А., Курчин Г.С., Кирсанов А.К. и др.</t>
  </si>
  <si>
    <t>978-5-16-019694-7</t>
  </si>
  <si>
    <t>668034.04.01</t>
  </si>
  <si>
    <t>Технология и мех. процессов городского строит.и хоз.: Уч.пос. / В.М.Лебедев - М.:НИЦ ИНФРА-М,2024-330с(П)</t>
  </si>
  <si>
    <t>ТЕХНОЛОГИЯ И МЕХАНИЗАЦИЯ ПРОЦЕССОВ ГОРОДСКОГО СТРОИТЕЛЬСТВА И ХОЗЯЙСТВА</t>
  </si>
  <si>
    <t>978-5-16-013564-9</t>
  </si>
  <si>
    <t>08.03.01, 08.04.01, 21.03.02, 35.03.10</t>
  </si>
  <si>
    <t>713933.02.01</t>
  </si>
  <si>
    <t>Технология и механизация проц.город.строит. и хоз.:Уч.пос. / В.М.Лебедев-М.:НИЦ ИНФРА-М,2023-329с(П)</t>
  </si>
  <si>
    <t>978-5-16-015404-6</t>
  </si>
  <si>
    <t>07.02.01, 08.02.01, 08.02.02, 21.02.19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</si>
  <si>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7 от 15.04.2019)</t>
  </si>
  <si>
    <t>750878.03.01</t>
  </si>
  <si>
    <t>Технология и оборуд. для производ. полуфабр. деревян...: Уч.пос. / А.В.Мехренцев-3изд.-М.:ИНФРА-М,2024-316с(П)</t>
  </si>
  <si>
    <t>ТЕХНОЛОГИЯ И ОБОРУДОВАНИЕ ДЛЯ ПРОИЗВОДСТВА ПОЛУФАБРИКАТОВ ДЕРЕВЯННОГО ДОМОСТРОЕНИЯ И СПЕЦИАЛЬНЫХ ВИДОВ ПИЛОПРОДУКЦИИ, ИЗД.3</t>
  </si>
  <si>
    <t>Мехренцев А.В., Меньшиков Б.Е., Курдышева Е.В.</t>
  </si>
  <si>
    <t>978-5-16-016724-4</t>
  </si>
  <si>
    <t>35.01.06, 35.02.18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</si>
  <si>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11 от 09.11.2020) 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11 от 09.11.2020)</t>
  </si>
  <si>
    <t>736685.02.01</t>
  </si>
  <si>
    <t>Технология и оборуд. для производ. полуфабрикатов: Уч.пос. / А.В.Мехренцев - 3изд.-М.:НИЦ ИНФРА-М,2024.-316 с.(П)</t>
  </si>
  <si>
    <t>978-5-16-016341-3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</si>
  <si>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деревоперерабатывающих производств» (квалификация (степень) «бакалавр») (протокол № 8 от 22.06.2020)</t>
  </si>
  <si>
    <t>838958.01.01</t>
  </si>
  <si>
    <t>Технология и оборуд. лесопильного производства: Уч.пос. / С.В.Фокин - М.:НИЦ ИНФРА-М,2025. - 327 с.(СПО)</t>
  </si>
  <si>
    <t>ТЕХНОЛОГИЯ И ОБОРУДОВАНИЕ ЛЕСОПИЛЬНОГО ПРОИЗВОДСТВА</t>
  </si>
  <si>
    <t>978-5-16-020232-7</t>
  </si>
  <si>
    <t>15.01.35, 15.01.37, 23.01.06, 35.01.01, 35.01.30, 35.02.01, 35.02.02</t>
  </si>
  <si>
    <t>319800.04.01</t>
  </si>
  <si>
    <t>Технология и оборудование для получения волокон и..: Уч.пос. / Л.И.Коротеева - М.:НИЦ ИНФРА-М,2022-288с.(ВО)(П)</t>
  </si>
  <si>
    <t>ТЕХНОЛОГИЯ И ОБОРУДОВАНИЕ ДЛЯ ПОЛУЧЕНИЯ ВОЛОКОН И НИТЕЙ СПЕЦИАЛЬНОГО НАЗНАЧЕНИЯ</t>
  </si>
  <si>
    <t>Л.И.Коротеева, Е.Ю.Коротеева</t>
  </si>
  <si>
    <t>978-5-16-010428-7</t>
  </si>
  <si>
    <t>15.03.02, 15.04.01, 15.04.02</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</si>
  <si>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15.03.02 и 15.04.02 «Тех</t>
  </si>
  <si>
    <t>746145.01.01</t>
  </si>
  <si>
    <t>Технология и оборудование лесопильного производства: Уч.пос./ С.В.Фокин-М.:НИЦ ИНФРА-М,2025.-327 с.(ВО)(п)</t>
  </si>
  <si>
    <t>978-5-16-017778-6</t>
  </si>
  <si>
    <t>758049.05.01</t>
  </si>
  <si>
    <t>Технология и орг. предприятия туризма: Уч. / Под ред. Богданова Е.И. - М.:НИЦ ИНФРА-М,2024 - 176 с.-(СПО)(П)</t>
  </si>
  <si>
    <t>ТЕХНОЛОГИЯ И ОРГАНИЗАЦИЯ ПРЕДПРИЯТИЯ ТУРИЗМА</t>
  </si>
  <si>
    <t>Орловская В.П., Богданов Е.И.</t>
  </si>
  <si>
    <t>978-5-16-016968-2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</si>
  <si>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43.02.10 «Туризм», 43.02.11 «Гостиничный сервис» (протокол № 12 от 14.12.2020)</t>
  </si>
  <si>
    <t>713957.03.01</t>
  </si>
  <si>
    <t>Технология и орг. производ. реконструкции...: Уч.пос. / В.М.Лебедев - М.:НИЦ ИНФРА-М,2025 - 200с.(П)</t>
  </si>
  <si>
    <t>ТЕХНОЛОГИЯ И ОРГАНИЗАЦИЯ ПРОИЗВОДСТВА РЕКОНСТРУКЦИИ И РЕМОНТА ЗДАНИЙ</t>
  </si>
  <si>
    <t>978-5-16-015405-3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</si>
  <si>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6 от 25.03.2019)</t>
  </si>
  <si>
    <t>757881.04.01</t>
  </si>
  <si>
    <t>Технология и орг. ресторан. бизнеса и питания туристов: Уч. / С.А.Быстров-М.:НИЦ ИНФРА-М,2024.-536 с.(СПО)(П)</t>
  </si>
  <si>
    <t>ТЕХНОЛОГИЯ И ОРГАНИЗАЦИЯ РЕСТОРАННОГО БИЗНЕСА И ПИТАНИЯ ТУРИСТОВ</t>
  </si>
  <si>
    <t>978-5-16-016945-3</t>
  </si>
  <si>
    <t>19.02.10, 19.02.11, 19.02.12, 19.02.13, 43.02.01, 43.02.11, 43.02.16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</si>
  <si>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43.02.10 «Туризм», 43.02.11 «Гостиничный сервис», 43.02.14 «Гостиничное дело» (протокол № 11 от 09.11.2020)</t>
  </si>
  <si>
    <t>666547.01.01</t>
  </si>
  <si>
    <t>Технология и орг. строит. город. зданий и сооруж.: Уч.пос. / В.М.Лебедев-М.:НИЦ ИНФРА-М,2024.-193 с.(ВО)(п)</t>
  </si>
  <si>
    <t>ТЕХНОЛОГИЯ И ОРГАНИЗАЦИЯ СТРОИТЕЛЬСТВА ГОРОДСКИХ ЗДАНИЙ И СООРУЖЕНИЙ</t>
  </si>
  <si>
    <t>978-5-16-013558-8</t>
  </si>
  <si>
    <t>714356.02.01</t>
  </si>
  <si>
    <t>Технология и орг. строит. производства: Уч.пос. / В.М.Лебедев - М.:НИЦ ИНФРА-М,2025. - 282 с.(СПО)(п)</t>
  </si>
  <si>
    <t>ТЕХНОЛОГИЯ И ОРГАНИЗАЦИЯ СТРОИТЕЛЬНОГО ПРОИЗВОДСТВА</t>
  </si>
  <si>
    <t>978-5-16-015668-2</t>
  </si>
  <si>
    <t>08.02.01, 08.02.02, 08.02.03, 08.02.04, 08.02.08, 08.02.12</t>
  </si>
  <si>
    <t>652697.08.01</t>
  </si>
  <si>
    <t>Технология и орг.ресторанного бизнеса и питания туристов: Уч. / С.А.Быстров-М.:НИЦ ИНФРА-М,2023-536с.(п)</t>
  </si>
  <si>
    <t>978-5-16-012812-2</t>
  </si>
  <si>
    <t>43.03.01, 43.03.02</t>
  </si>
  <si>
    <t>Рекомендовано в качестве учебника для студентов высших учебных заведений, обучающихся по направлениям подготовки 19.03.04 «Технология продукции и организация общественного питания», 43.03.03 «Гостиничное дело», 43.03.01 «Сервис» (квалификация (степень) «бакалавр»)</t>
  </si>
  <si>
    <t>666551.05.01</t>
  </si>
  <si>
    <t>Технология и орган. произв. реконст. и рем. зданий: Уч.пос. / В.М.Лебедев - М.:НИЦ ИНФРА-М,2024-215с(П)</t>
  </si>
  <si>
    <t>978-5-16-013562-5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</si>
  <si>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08.03.01 «Строительство» (квалификация (степень) «бакалавр») (протокол № 5 от 11.03.2019)</t>
  </si>
  <si>
    <t>420600.09.01</t>
  </si>
  <si>
    <t>Технология и организация предприятия туризма: Уч. / В.П.Орловская - НИЦ ИНФРА-М,2023 - 176 с.(ВО)(П)</t>
  </si>
  <si>
    <t>978-5-16-006293-8</t>
  </si>
  <si>
    <t>Рекомендовано Учебно-методическим объединением по образованию в области производственного менеджмента в качестве учебника для студентов высших учебных заведений, обучающихся по направлению подготовки 38.03.02 «Менеджмент» (профиль «Производственный менеджмент», по специальности 080502 «Экономика и управление на предприятии» (по отраслям))</t>
  </si>
  <si>
    <t>776672.01.01</t>
  </si>
  <si>
    <t>Технология и организация ресторанного дела: Уч. / А.Т.Васюкова - М.:НИЦ ИНФРА-М,2025. - 219 с.(ВО)(п)</t>
  </si>
  <si>
    <t>ТЕХНОЛОГИЯ И ОРГАНИЗАЦИЯ РЕСТОРАННОГО ДЕЛА</t>
  </si>
  <si>
    <t>978-5-16-019773-9</t>
  </si>
  <si>
    <t>775468.01.01</t>
  </si>
  <si>
    <t>Технология и организация строительного производства...: Уч.пос./ В.М.Лебедев-М.:НИЦ ИНФРА-М,2025-389 с.(ВО)(п)</t>
  </si>
  <si>
    <t>ТЕХНОЛОГИЯ И ОРГАНИЗАЦИЯ СТРОИТЕЛЬНОГО ПРОИЗВОДСТВА. КУРСОВОЕ И ДИПЛОМНОЕ ПРОЕКТИРОВАНИЕ</t>
  </si>
  <si>
    <t>978-5-16-018105-9</t>
  </si>
  <si>
    <t>669466.05.01</t>
  </si>
  <si>
    <t>Технология и применение специальных бетонов: Уч.пос. / В.А.Шевченко-М.:НИЦ ИНФРА-М, СФУ,2023.-202с(П)</t>
  </si>
  <si>
    <t>ТЕХНОЛОГИЯ И ПРИМЕНЕНИЕ СПЕЦИАЛЬНЫХ БЕТОНОВ</t>
  </si>
  <si>
    <t>Шевченко В.А.</t>
  </si>
  <si>
    <t>978-5-16-016530-1</t>
  </si>
  <si>
    <t>689961.01.01</t>
  </si>
  <si>
    <t>Технология и техника бурения: Уч.пос.: В 2 ч. (комп.) / В.С.Войтенко -М.:НИЦ ИНФРА-М,2019-850с(П)</t>
  </si>
  <si>
    <t>ТЕХНОЛОГИЯ И ТЕХНИКА БУРЕНИЯ</t>
  </si>
  <si>
    <t>Войтенко В.С., Смычкин А.Д., Тухто А.А. и др.</t>
  </si>
  <si>
    <t>Комплект</t>
  </si>
  <si>
    <t>435350.08.01</t>
  </si>
  <si>
    <t>Технология и техника бурения: Уч.пос.: В 2 ч.Ч.1 / В.С.Войтенко-ИНФРА-М;Нов.зн.,2022-237с-(ВО:Бак.)(П)</t>
  </si>
  <si>
    <t>978-5-16-006699-8</t>
  </si>
  <si>
    <t>05.03.01, 05.04.01, 21.03.01, 21.04.01, 21.05.02, 21.05.03, 21.05.04</t>
  </si>
  <si>
    <t>213800.12.01</t>
  </si>
  <si>
    <t>Технология и техника бурения: Уч.пос.: В 2 ч.Ч.2 / В.С.Войтенко - М.:НИЦ ИНФРА-М, Нов.знание,2024-613с(П)</t>
  </si>
  <si>
    <t>ТЕХНОЛОГИЯ И ТЕХНИКА БУРЕНИЯ. В 2-Х ЧАСТЯХ, Т.2</t>
  </si>
  <si>
    <t>978-5-16-019249-9</t>
  </si>
  <si>
    <t>05.03.01, 05.04.01, 21.05.02, 21.05.04</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</si>
  <si>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«Разработка месторождений полезных ископаемых», «Геология и разведка месторождений полезных ископаемых», «Горные машины и оборудование»</t>
  </si>
  <si>
    <t>291300.08.01</t>
  </si>
  <si>
    <t>Технология и техника перераб. молока: Уч.пос. / С.А.Бредихин-2 изд.-М.:НИЦ ИНФРА-М,2024-443 с.(ВО)(П)</t>
  </si>
  <si>
    <t>ТЕХНОЛОГИЯ И ТЕХНИКА ПЕРЕРАБОТКИ МОЛОКА, ИЗД.2</t>
  </si>
  <si>
    <t>Бредихин С.А.</t>
  </si>
  <si>
    <t>978-5-16-010051-7</t>
  </si>
  <si>
    <t>19.03.03, 19.04.03</t>
  </si>
  <si>
    <t>Допущено УМО вузов РФ по агрономическому образованию в качестве учебного пособия для подготовки бакалавров, обучающихся по направлению 35.03.07 «Технология производства и переработки сельскохозяйственной продукции»</t>
  </si>
  <si>
    <t>757961.04.01</t>
  </si>
  <si>
    <t>Технология и техника переработки молока: Уч.пос. / С.А.Бредихин - 2 изд. - М.:НИЦ ИНФРА-М,2025 - 443 с.-(СПО)(П)</t>
  </si>
  <si>
    <t>978-5-16-016957-6</t>
  </si>
  <si>
    <t>19.01.19, 19.02.11, 19.02.12, 22.02.08, 35.02.18, 36.01.02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</si>
  <si>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19.02.07 «Технология молока и молочных продуктов», 35.02.06 «Технология производства и переработки сельскохозяйственной продукции»  (протокол № 11 от 09.11.2020)</t>
  </si>
  <si>
    <t>668555.03.01</t>
  </si>
  <si>
    <t>Технология изгот.тип.деталей машин: Уч.пос. / И.В.Шрубченко - М.:НИЦ ИНФРА-М,2023-358с(ВО:Бакал.)</t>
  </si>
  <si>
    <t>ТЕХНОЛОГИЯ ИЗГОТОВЛЕНИЯ ТИПОВЫХ ДЕТАЛЕЙ МАШИН</t>
  </si>
  <si>
    <t>978-5-16-013391-1</t>
  </si>
  <si>
    <t>Рекомендовано в качестве учебного пособия для студентов высших учебных заведений.обучающихся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</si>
  <si>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347700.13.01</t>
  </si>
  <si>
    <t>Технология изготовл. сварных конструкций: Уч. / В.В.Овчинников - М.:ИД Форум, НИЦ ИНФРА-М,2025. - 208 с.(СПО)(П)</t>
  </si>
  <si>
    <t>ТЕХНОЛОГИЯ ИЗГОТОВЛЕНИЯ СВАРНЫХ КОНСТРУКЦИЙ</t>
  </si>
  <si>
    <t>978-5-8199-0883-9</t>
  </si>
  <si>
    <t>15.01.05, 15.01.29, 15.01.36, 15.02.19</t>
  </si>
  <si>
    <t>703217.03.01</t>
  </si>
  <si>
    <t>Технология изготовления типовых деталей машин: Уч.пос. / И.В.Шрубченко -М.:НИЦ ИНФРА-М,2023-358с(П)</t>
  </si>
  <si>
    <t>978-5-16-014868-7</t>
  </si>
  <si>
    <t>15.01.13, 15.01.38, 15.02.16</t>
  </si>
  <si>
    <t>708895.03.01</t>
  </si>
  <si>
    <t>Технология изделий из древесины: Уч.пос. / А.А.Барташевич - 2 изд.-М.:НИЦ ИНФРА-М,2023.-437с(П)</t>
  </si>
  <si>
    <t>ТЕХНОЛОГИЯ ИЗДЕЛИЙ ИЗ ДРЕВЕСИНЫ, ИЗД.2</t>
  </si>
  <si>
    <t>Барташевич А.А., Игнатович Л.В., Шетько С.В. и др.</t>
  </si>
  <si>
    <t>978-5-16-015354-4</t>
  </si>
  <si>
    <t>35.03.02, 44.03.04</t>
  </si>
  <si>
    <t>Допущено Министерством образования Республики Беларусьв качестве учебного пособия для студентов учреждений высшего образования по специальностям «Технология деревообрабатывающих производств», «Профессиональное обучение (деревообработка)», «Машины и оборудование лесного комплекса», «Энергоэффективные технологии в лесном комплексе»</t>
  </si>
  <si>
    <t>634144.07.01</t>
  </si>
  <si>
    <t>Технология изоляц. и стен. материал. и..: Уч.пос. / О.А.Игнатова - 2 изд. - М.:НИЦ ИНФРА-М,2025. - 495 с.(ВО)(п)</t>
  </si>
  <si>
    <t>ТЕХНОЛОГИЯ ИЗОЛЯЦИОННЫХ И СТЕНОВЫХ МАТЕРИАЛОВ И ИЗДЕЛИЙ, ИЗД.2</t>
  </si>
  <si>
    <t>Игнатова О.А., Завадский В.Ф.</t>
  </si>
  <si>
    <t>978-5-16-019861-3</t>
  </si>
  <si>
    <t>634144.06.01</t>
  </si>
  <si>
    <t>Технология изоляцион. и строит. матер. и изд.: Уч.пос. / О.А.Игнатова-М:НИЦ ИНФРА-М,2024-472с(ВО)(П)</t>
  </si>
  <si>
    <t>ТЕХНОЛОГИЯ ИЗОЛЯЦИОННЫХ И СТРОИТЕЛЬНЫХ МАТЕРИАЛОВ И ИЗДЕЛИЙ</t>
  </si>
  <si>
    <t>Игнатова О.А., Завадская Л.В.</t>
  </si>
  <si>
    <t>978-5-16-012103-1</t>
  </si>
  <si>
    <t>Рекомендовано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t>
  </si>
  <si>
    <t>730634.07.01</t>
  </si>
  <si>
    <t>Технология индивидуал. изготовления и ремонта обуви: Уч. / И.Н.Леденева - М.:НИЦ ИНФРА-М,2025. - 445 с.(СПО)(П)</t>
  </si>
  <si>
    <t>ТЕХНОЛОГИЯ ИНДИВИДУАЛЬНОГО ИЗГОТОВЛЕНИЯ И РЕМОНТА ОБУВИ</t>
  </si>
  <si>
    <t>Леденева И.Н.</t>
  </si>
  <si>
    <t>978-5-16-015945-4</t>
  </si>
  <si>
    <t>29.01.03, 29.01.32, 29.02.10</t>
  </si>
  <si>
    <t>Рекомендовано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29.01.02 «Обувщик (широкого профиля)», 29.01.03 «Сборщик обуви», 29.02.01 «Конструирование, моделирование и технология изделий из кожи»</t>
  </si>
  <si>
    <t>717672.05.01</t>
  </si>
  <si>
    <t>Технология индивидуал. изготовления и ремонта обуви: Уч. / И.Н.Леденёва-Москва:НИЦ ИНФРА-М,2024.-443с(ВО)(П)</t>
  </si>
  <si>
    <t>Леденёва И.Н.</t>
  </si>
  <si>
    <t>978-5-16-015578-4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</si>
  <si>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29.03.01 «Технология изделий легкой промышленности»  (квалификация (степень) «бакалавр») (протокол № 12 от 24.06.2019)</t>
  </si>
  <si>
    <t>700915.03.01</t>
  </si>
  <si>
    <t>Технология интерактивного обуч.: Уч.мет.пос. / С.С.Кашлев - М.:НИЦ ИНФРА-М,2024-239 с.(Наука и практика)(П)</t>
  </si>
  <si>
    <t>ТЕХНОЛОГИЯ ИНТЕРАКТИВНОГО ОБУЧЕНИЯ</t>
  </si>
  <si>
    <t>978-5-16-015453-4</t>
  </si>
  <si>
    <t>00.03.15, 00.05.15, 44.02.02, 44.02.04, 44.03.01, 44.04.01, 44.04.02, 44.04.04, 44.06.01</t>
  </si>
  <si>
    <t>Рекомендовано Межрегиональным учебно-методическим советом профессионального образования в качестве учебного пособия для учреждений высшего образования, реализующих образовательные программы  по направлениям подготовки магистратуры и при подготовке кадров высшей квалификации по программам подготовки научно- педагогических кадров в аспирантуре (протокол № 12 от 14.12.2020)</t>
  </si>
  <si>
    <t>686101.02.01</t>
  </si>
  <si>
    <t>Технология исслед. разруше. конструкционных: Уч.пос. / Г.В.Пачурин, - 2- изд.-М.:НИЦ ИНФРА-М,2024.-204 с..-(ВО)(п)</t>
  </si>
  <si>
    <t>ТЕХНОЛОГИЯ ИССЛЕДОВАНИЯ РАЗРУШЕНИЯ КОНСТРУКЦИОННЫХ МАТЕРИАЛОВ В РАЗНЫХ УСЛОВИЯХ НАГРУЖЕНИЯ, ИЗД.2</t>
  </si>
  <si>
    <t>Пачурин Г.В.</t>
  </si>
  <si>
    <t>978-5-16-019010-5</t>
  </si>
  <si>
    <t>15.03.01, 15.03.02, 15.03.04, 15.03.05, 15.04.01, 15.04.02, 15.04.04, 15.04.05, 20.03.01, 22.03.01, 22.03.02, 22.04.01, 22.04.02</t>
  </si>
  <si>
    <t>Допущено УМО высших учебных заведений РФ по образованию в области материаловедения, технологии материалов и покрытий в качестве учебного пособия по дисциплинам специализаций для студентов высших учебных заведений, обучающихся по направлению подготовки «Материаловедение и технологии материалов»</t>
  </si>
  <si>
    <t>428200.05.01</t>
  </si>
  <si>
    <t>Технология ковки и горячей объем. штамповки: Уч.пос. / И.Л.Константинов-М.:НИЦ ИНФРА-М, СФУ,2023.-551с(П)</t>
  </si>
  <si>
    <t>ТЕХНОЛОГИЯ КОВКИ И ГОРЯЧЕЙ ОБЪЕМНОЙ ШТАМПОВКИ</t>
  </si>
  <si>
    <t>Константинов И. Л.</t>
  </si>
  <si>
    <t>978-5-16-006372-0</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</si>
  <si>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«Металлургия»</t>
  </si>
  <si>
    <t>753692.01.01</t>
  </si>
  <si>
    <t>Технология ковки: Уч.. / И.Л.Константинов-М.:НИЦ ИНФРА-М, СФУ,2021.-214 с..-(ВО: Магистр. (СФУ))(п)</t>
  </si>
  <si>
    <t>ТЕХНОЛОГИЯ КОВКИ</t>
  </si>
  <si>
    <t>978-5-16-016841-8</t>
  </si>
  <si>
    <t>15.04.01, 15.05.01, 22.04.01, 22.04.02, 29.04.04</t>
  </si>
  <si>
    <t>Допущено Учебно-методическим советом Сибирского федерального университета в качестве учебника для магистрантов направления подготовки 22.04.02 «Металлургия» укрупненной группы 22.00.00 «Технологии материалов»</t>
  </si>
  <si>
    <t>782296.02.01</t>
  </si>
  <si>
    <t>Технология кондитер. изделий: курсовое проектир.: Уч.пос. / Н.В.Присухина. - М.:НИЦ ИНФРА-М,2025. - 189 с.(п)</t>
  </si>
  <si>
    <t>ТЕХНОЛОГИЯ КОНДИТЕРСКИХ ИЗДЕЛИЙ: КУРСОВОЕ ПРОЕКТИРОВАНИЕ</t>
  </si>
  <si>
    <t>Присухина Н.В., Типсина Н.Н., Мельникова Е.В.</t>
  </si>
  <si>
    <t>978-5-16-018284-1</t>
  </si>
  <si>
    <t>19.03.02, 19.04.02, 35.03.07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</si>
  <si>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19.03.02 «Продукты питания из растительного сырья»</t>
  </si>
  <si>
    <t>827107.01.01</t>
  </si>
  <si>
    <t>Технология консервир. пищевых продуктов: Уч.пос. Ч.1 / Е.А.Рыгалова - М.:НИЦ ИНФРА-М,2025 - 227 с.(п)</t>
  </si>
  <si>
    <t>ТЕХНОЛОГИЯ КОНСЕРВИРОВАНИЯ ПИЩЕВЫХ ПРОДУКТОВ. ЧАСТЬ 1</t>
  </si>
  <si>
    <t>Рыгалова Е.А., Речкина Е.А., Величко Н.А.</t>
  </si>
  <si>
    <t>978-5-16-020335-5</t>
  </si>
  <si>
    <t>19.04.05, 35.03.07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</si>
  <si>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19.03.03 - Продукты питания животного происхождения, 19.04.03 - Продукты питания животного происхождения всех форм обучения, а также специальности 19.02.08 - Технология мяса и мясных продуктов</t>
  </si>
  <si>
    <t>827108.01.01</t>
  </si>
  <si>
    <t>Технология консервир. пищевых продуктов: Уч.пос. Ч.2 / Е.А.Рыгалова - М.:НИЦ ИНФРА-М,2025. - 262 с.(ВО)(п)</t>
  </si>
  <si>
    <t>ТЕХНОЛОГИЯ КОНСЕРВИРОВАНИЯ ПИЩЕВЫХ ПРОДУКТОВ. ЧАСТЬ 2, Т.2</t>
  </si>
  <si>
    <t>978-5-16-020336-2</t>
  </si>
  <si>
    <t>708145.07.01</t>
  </si>
  <si>
    <t>Технология конструк. материалов. Обработка резанием: Уч.пос. / Г.А.Борисенко. - М.:НИЦ ИНФРА-М,2025. - 142 с.(О)</t>
  </si>
  <si>
    <t>ТЕХНОЛОГИЯ КОНСТРУКЦИОННЫХ МАТЕРИАЛОВ. ОБРАБОТКА РЕЗАНИЕМ</t>
  </si>
  <si>
    <t>Борисенко Г.А., Иванов Г.Н., Сейфулин Р.Р.</t>
  </si>
  <si>
    <t>978-5-16-015221-9</t>
  </si>
  <si>
    <t>12.02.04, 15.02.01, 15.02.16, 15.02.17, 15.02.18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</si>
  <si>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15.02.08 «Технология машиностроения», 15.02.15 «Технология металлообрабатывающего производства» (протокол № 17 от 11.11.2019)</t>
  </si>
  <si>
    <t>204200.08.01</t>
  </si>
  <si>
    <t>Технология конструкционных матер. в приборостроении: Уч. / Р.М.Гоцеридзе - ИНФРА-М, 2024-423с.(ВО) (п)</t>
  </si>
  <si>
    <t>ТЕХНОЛОГИЯ КОНСТРУКЦИОННЫХ МАТЕРИАЛОВ В ПРИБОРОСТРОЕНИИ</t>
  </si>
  <si>
    <t>Гоцеридзе Р. М.</t>
  </si>
  <si>
    <t>978-5-16-005048-5</t>
  </si>
  <si>
    <t>Рекомендовано в качестве учебника студентам высших учебных заведений, обучающихся по направлению 200000 "Приборостроение и оптотехника»</t>
  </si>
  <si>
    <t>153550.11.01</t>
  </si>
  <si>
    <t>Технология конструкционных материалов...: Уч.пос. / Г.А.Борисенко. - М.:НИЦ ИНФРА-М,2025. - 142 с.(ВО)</t>
  </si>
  <si>
    <t>978-5-16-010323-5</t>
  </si>
  <si>
    <t>15.03.04, 15.03.05, 15.04.05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</si>
  <si>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"Технология, оборудование и автоматизация машиностроительных производств», 15.03.05 «Конструкторско-технологическое обеспечение машиностроительных производств», «Автоматизированные технологии и производства»</t>
  </si>
  <si>
    <t>668554.06.01</t>
  </si>
  <si>
    <t>Технология конструкционных материалов: Уч. / А.А.Афанасьев - 2 изд. - М.:НИЦ ИНФРА-М,2023 - 656с.(П)</t>
  </si>
  <si>
    <t>ТЕХНОЛОГИЯ КОНСТРУКЦИОННЫХ МАТЕРИАЛОВ, ИЗД.2</t>
  </si>
  <si>
    <t>978-5-16-013399-7</t>
  </si>
  <si>
    <t>Рекомендовано в качестве учебника для студентов высших учебных заведений, обучающихся по направлениям подготовки 15.03.02 «Машиностроение», 15.03.05 «Конструкторско-технологическое обеспечение машиностроительных производств» (квалификация (степень) «бакалавр»)</t>
  </si>
  <si>
    <t>717295.05.01</t>
  </si>
  <si>
    <t>Технология конструкционных материалов: Уч. / Е.А.Астафьева.-М.:НИЦ ИНФРА-М, СФУ,2024.-475 с.(ВО)(П)</t>
  </si>
  <si>
    <t>ТЕХНОЛОГИЯ КОНСТРУКЦИОННЫХ МАТЕРИАЛОВ</t>
  </si>
  <si>
    <t>Астафьева Е.А., Носков Ф.М., Масанский О.А. и др.</t>
  </si>
  <si>
    <t>978-5-16-018562-0</t>
  </si>
  <si>
    <t>13.03.03, 15.03.01, 22.03.01, 23.03.02, 23.03.03</t>
  </si>
  <si>
    <t>Допущено Учебно-методическим советом Сибирского федерального университета в качестве учебника для студентов, обучающихся по направлению 22.03.01 «Материаловедение и технологии материалов»</t>
  </si>
  <si>
    <t>656916.04.01</t>
  </si>
  <si>
    <t>Технология конструкционных материалов: Уч.пос. / Б.А.Матюшкин-М.:НИЦ ИНФРА-М,2019.-263 с..-(ВО)(П)</t>
  </si>
  <si>
    <t>Матюшкин Б.А., Денисов В.И.</t>
  </si>
  <si>
    <t>978-5-16-014645-4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</si>
  <si>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15.03.00 «Машиностроение» (квалификация (степень) «бакалавр») (протокол № 2 от 28.01.2019)</t>
  </si>
  <si>
    <t>708656.04.01</t>
  </si>
  <si>
    <t>Технология конструкционных материалов: Уч.пос. / Б.А.Матюшкин-М.:НИЦ ИНФРА-М,2024-263с(СПО)(П)</t>
  </si>
  <si>
    <t>978-5-16-015262-2</t>
  </si>
  <si>
    <t>08.02.04, 12.02.04, 15.02.01, 15.02.04, 15.02.07, 15.02.09, 15.02.16, 15.02.17, 15.02.18, 15.02.19, 22.02.08, 23.01.17, 23.02.02, 23.02.03, 23.02.07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</si>
  <si>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5 от 11.03.2019)</t>
  </si>
  <si>
    <t>147850.10.01</t>
  </si>
  <si>
    <t>Технология конструкционных материалов: Уч.пос. / В.Л.Тимофеев - 3 изд. - М.:НИЦ ИНФРА-М,2025 - 272 с.(ВО)(п)</t>
  </si>
  <si>
    <t>ТЕХНОЛОГИЯ КОНСТРУКЦИОННЫХ МАТЕРИАЛОВ, ИЗД.3</t>
  </si>
  <si>
    <t>Тимофеев В.Л., Глухов В.П., Федоров В.Б. и др.</t>
  </si>
  <si>
    <t>978-5-16-004749-2</t>
  </si>
  <si>
    <t>Допущено¶Учебно-методическим объединением вузов по образованию¶в области автоматизированного машиностроения (УМО AM)в качестве учебного пособия для студентов высших учебных заведений,обучающихся по направлениям подготовки бакалавров и магистров15.04.02, 15.03.02 «Технологические машины и оборудование»специалистов «Конструкторски-технологическое обеспечение машиностроительных производств»</t>
  </si>
  <si>
    <t>708662.02.01</t>
  </si>
  <si>
    <t>Технология конструкционных материалов: Уч.пос./ В.П.Глухов, -3 изд., -М.:НИЦ ИНФРА-М,2023-272с.(П)</t>
  </si>
  <si>
    <t>Глухов В.П., Тимофеев В.Л., Федоров В.Б. и др.</t>
  </si>
  <si>
    <t>978-5-16-015263-9</t>
  </si>
  <si>
    <t>12.02.04, 15.02.01, 15.02.04, 15.02.16, 15.02.17, 15.02.18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</si>
  <si>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11 от 10.06.2019)</t>
  </si>
  <si>
    <t>667637.05.01</t>
  </si>
  <si>
    <t>Технология листовой штамповки: Уч.пос. / В.И.Бер.-М.:НИЦ ИНФРА-М, СФУ,2023.-168 с.(ВО(СФУ))(П)</t>
  </si>
  <si>
    <t>ТЕХНОЛОГИЯ ЛИСТОВОЙ ШТАМПОВКИ</t>
  </si>
  <si>
    <t>Бер В.И., Сидельников С.Б., Соколов Р.Е. и др.</t>
  </si>
  <si>
    <t>978-5-16-018589-7</t>
  </si>
  <si>
    <t>140450.11.01</t>
  </si>
  <si>
    <t>Технология машиностр. Осн. проектир. на ЭВМ: Уч.пос. / О.В.Таратынов - М.:Форум,2025-610 с.(ПО) (п)</t>
  </si>
  <si>
    <t>ТЕХНОЛОГИЯ МАШИНОСТРОЕНИЯ. ОСНОВЫ ПРОЕКТИРОВАНИЯ НА ЭВМ</t>
  </si>
  <si>
    <t>Таратынов О. В., Клепиков В. В., Базров Б. М.</t>
  </si>
  <si>
    <t>978-5-00091-684-1</t>
  </si>
  <si>
    <t>15.01.18, 15.01.26, 15.01.27, 15.01.35, 15.01.36, 15.01.38, 15.02.07, 15.02.10, 15.02.16, 15.02.18, 35.02.10</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</si>
  <si>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</si>
  <si>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060430.15.01</t>
  </si>
  <si>
    <t>Технология машиностроения. Сб. задач.: Уч. пос./В.И.Аверченков.- 3изд.,-М.:НИЦ ИНФРА-М,2023-304с(ВО)</t>
  </si>
  <si>
    <t>ТЕХНОЛОГИЯ МАШИНОСТРОЕНИЯ. СБОРНИК ЗАДАЧ И УПРАЖНЕНИЙ, ИЗД.3</t>
  </si>
  <si>
    <t>Аверченков В. И., Горленко О. А., Ильицкий В. Б., Тотай А. В., Чистов В. Ф., Аверченков В. И., Польский Е. А.</t>
  </si>
  <si>
    <t>978-5-16-009272-0</t>
  </si>
  <si>
    <t>15.03.01, 15.03.03, 15.03.05, 15.04.01, 15.04.03, 15.04.05, 15.05.01</t>
  </si>
  <si>
    <t>Допущено Министерства образования РФ в качестве учебного пособия для студентов вузов, обуч. по напр подг. бак. и маг. Технол, оборуд и автоматиз машиностр. производств" и по напр. подг. дипл. спец. "Констр.-технол. обеспеч. машиностр. пр-в"</t>
  </si>
  <si>
    <t>Брянский государственный технический университет</t>
  </si>
  <si>
    <t>719230.02.01</t>
  </si>
  <si>
    <t>Технология машиностроения...: Уч.пос. / И.С.Иванов - М.:НИЦ ИНФРА-М,2022 - 224 с.(П)</t>
  </si>
  <si>
    <t>ТЕХНОЛОГИЯ МАШИНОСТРОЕНИЯ: ПРОИЗВОДСТВО ТИПОВЫХ ДЕТАЛЕЙ МАШИН</t>
  </si>
  <si>
    <t>Иванов И. С.</t>
  </si>
  <si>
    <t>978-5-16-015601-9</t>
  </si>
  <si>
    <t>15.01.13, 15.01.38, 15.02.04, 15.02.16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</si>
  <si>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12 от 24.06.2019)</t>
  </si>
  <si>
    <t>097850.11.01</t>
  </si>
  <si>
    <t>Технология машиностроения.: Уч. пос. / И.О. Аверьянова. - М.: Форум, 2025. - 304 с. (СрПрофОбр) (п)</t>
  </si>
  <si>
    <t>ТЕХНОЛОГИЯ МАШИНОСТРОЕНИЯ. ВЫСОКОЭНЕРГЕТИЧЕСКИЕ И КОМБИНИРОВАННЫЕ МЕТОДЫ ОБРАБОТКИ</t>
  </si>
  <si>
    <t>Аверьянова И. О., Клепиков В. В.</t>
  </si>
  <si>
    <t>978-5-91134-268-5</t>
  </si>
  <si>
    <t>15.01.01, 15.01.02, 15.01.03, 15.01.04, 15.01.05, 15.01.06, 15.01.07, 15.01.08, 15.01.13, 15.01.27, 15.01.28, 15.02.01, 15.02.07, 15.02.16, 15.02.17, 15.02.19, 26.02.04, 27.02.04</t>
  </si>
  <si>
    <t>399000.03.01</t>
  </si>
  <si>
    <t>Технология машиностроения: курсовое проектир.: Уч.пос. / В.В.Клепиков-М.:НИЦ ИНФРА-М,2023.-229 с.(ВО)(П)</t>
  </si>
  <si>
    <t>ТЕХНОЛОГИЯ МАШИНОСТРОЕНИЯ: КУРСОВОЕ ПРОЕКТИРОВАНИЕ</t>
  </si>
  <si>
    <t>Клепиков В.В., Солдатов В.Ф.</t>
  </si>
  <si>
    <t>978-5-16-016109-9</t>
  </si>
  <si>
    <t>15.03.01, 15.03.02, 15.03.04, 15.03.05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</si>
  <si>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t>
  </si>
  <si>
    <t>449050.06.01</t>
  </si>
  <si>
    <t>Технология машиностроения: производство тип..:Уч.пос./И.С.Иванов-НИЦ ИНФРА-М,2021-224с(ВО:Бакалавр.)(П)</t>
  </si>
  <si>
    <t>978-5-16-005315-8</t>
  </si>
  <si>
    <t>15.03.02, 15.03.05</t>
  </si>
  <si>
    <t>Допущено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высших учебных заведений по специальности 150406 «Машины и аппараты текстильной промышленност</t>
  </si>
  <si>
    <t>060430.13.01</t>
  </si>
  <si>
    <t>Технология машиностроения: Сб. задач и упр.: Уч. пос. В.И.Аверченков - 2 изд. - М.:ИНФРА-М, 2022.-288с.(ВО:Бак.)(П)</t>
  </si>
  <si>
    <t>ТЕХНОЛОГИЯ МАШИНОСТРОЕНИЯ, ИЗД.2</t>
  </si>
  <si>
    <t>Аверченков В. И., Горленко О. А., Ильицкий В. Б., Польский Е. А., Тотай А. В., Чистов В. Ф., Аверченков В. И.</t>
  </si>
  <si>
    <t>719231.01.01</t>
  </si>
  <si>
    <t>Технология машиностроения: Сб. задач и упр.: Уч.пос. / В.И.Аверченков и др., - 3 изд.-М.:НИЦ ИНФРА-М,2021.-305 с.(П)</t>
  </si>
  <si>
    <t>978-5-16-015602-6</t>
  </si>
  <si>
    <t>15.02.09, 15.02.10, 15.02.16, 15.02.18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</si>
  <si>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машиностроительным специальностям (протокол № 8 от 22.06.2020)</t>
  </si>
  <si>
    <t>657070.05.01</t>
  </si>
  <si>
    <t>Технология машиностроения: Уч. / А.А.Погонин - 3 изд. - М.:НИЦ ИНФРА-М,2023 - 530 с.(ВО)(П)</t>
  </si>
  <si>
    <t>ТЕХНОЛОГИЯ МАШИНОСТРОЕНИЯ, ИЗД.3</t>
  </si>
  <si>
    <t>Погонин А.А., Афанасьев А.А., Шрубченко И.В.</t>
  </si>
  <si>
    <t>978-5-16-013605-9</t>
  </si>
  <si>
    <t>15.03.01, 15.03.04, 15.03.05, 15.04.04, 15.04.05</t>
  </si>
  <si>
    <t>697048.03.01</t>
  </si>
  <si>
    <t>Технология машиностроения: Уч. / А.А.Погонин и др. - 3 изд. - М.:НИЦ ИНФРА-М,2025 - 530 с.(СПО)(П)</t>
  </si>
  <si>
    <t>978-5-16-014617-1</t>
  </si>
  <si>
    <t>15.01.13, 15.02.01, 15.02.04, 15.02.16, 15.02.17, 15.02.19, 26.02.04, 27.02.04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</si>
  <si>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машиностроительным специальностям (протокол № 11 от 09.11.2020)</t>
  </si>
  <si>
    <t>049400.14.01</t>
  </si>
  <si>
    <t>Технология машиностроения: Уч. / В.В. Клепиков, -2-е изд. - М.: ФОРУМ: ИНФРА-М, 2024. - 864 с. (п)</t>
  </si>
  <si>
    <t>Клепиков В. В., Бодров А. Н.</t>
  </si>
  <si>
    <t>978-5-91134-251-7</t>
  </si>
  <si>
    <t>15.02.09, 15.02.10</t>
  </si>
  <si>
    <t>Допущено Министерством образования РФ в качестве учебника для студентов учреждений среднего профессионального образования, обучающихся по группе специальностей 1200 "Машиностроение"</t>
  </si>
  <si>
    <t>401000.03.01</t>
  </si>
  <si>
    <t>Технология машиностроения: Уч. / В.В.Клепиков.-М.:НИЦ ИНФРА-М,2024.-387 с.(ВО)(п)</t>
  </si>
  <si>
    <t>ТЕХНОЛОГИЯ МАШИНОСТРОЕНИЯ</t>
  </si>
  <si>
    <t>978-5-16-019155-3</t>
  </si>
  <si>
    <t>Рекомендовано в качестве учебника для студентов высших учебных заведений, обучающихся по направлениям подготовки 15.03.01 «Машиностроение» и 15.03.02 «Технологические машины и оборудование» (квалификация (стапень) «бакалавр»)</t>
  </si>
  <si>
    <t>719232.01.01</t>
  </si>
  <si>
    <t>Технология машиностроения: Уч.пос. / И.С.Иванов - 2 изд. - М.:НИЦ ИНФРА-М,2020-240с(СПО)(П)</t>
  </si>
  <si>
    <t>978-5-16-015604-0</t>
  </si>
  <si>
    <t>15.01.13, 15.01.38, 15.02.01, 15.02.04, 15.02.16, 15.02.17, 15.02.19, 26.02.04, 27.02.04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</si>
  <si>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 (протокол № 12 от 24.06.2019)</t>
  </si>
  <si>
    <t>112850.13.01</t>
  </si>
  <si>
    <t>Технология машиностроения: Уч.пос. /И.С.Иванов - 2изд. - М.:НИЦ ИНФРА-М,2024-240с.(ВО:Бакалавр.)(п)</t>
  </si>
  <si>
    <t>978-5-16-010941-1</t>
  </si>
  <si>
    <t>15.03.01, 15.03.02, 15.03.03, 15.03.05, 15.04.01, 15.04.02, 15.04.05, 15.05.01</t>
  </si>
  <si>
    <t>Допущено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вузов, обуч. по специальности 150406 - Машины и аппараты текстильной промышленности</t>
  </si>
  <si>
    <t>302200.05.01</t>
  </si>
  <si>
    <t>Технология машиностроения:технолог.системы на ЭВМ:Уч./В.В.Клепиков-НИЦ ИНФРА-М,2024-269(ВО:Бакалавр)(п)</t>
  </si>
  <si>
    <t>ТЕХНОЛОГИЯ МАШИНОСТРОЕНИЯ: ТЕХНОЛОГИЧЕСКИЕ СИСТЕМЫ НА ЭВМ</t>
  </si>
  <si>
    <t>В.В.Клепиков, О.В.Таратынов</t>
  </si>
  <si>
    <t>978-5-16-010195-8</t>
  </si>
  <si>
    <t>Допущено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направлению подготовки «Конструкторско-технологическое обе</t>
  </si>
  <si>
    <t>375000.05.01</t>
  </si>
  <si>
    <t>Технология мукомольного производства: Уч.пос. / Г.Г.Юсупова - М.: НИЦ ИНФРА-М, 2025 -180 с. (ВО)(П)</t>
  </si>
  <si>
    <t>ТЕХНОЛОГИЯ МУКОМОЛЬНОГО ПРОИЗВОДСТВА</t>
  </si>
  <si>
    <t>Юсупова Г.Г., Бердышникова О.Н.</t>
  </si>
  <si>
    <t>978-5-16-020680-6</t>
  </si>
  <si>
    <t>Рекомендовано в качестве учебного пособия для студентов высших учебных заведений, обучающихся по направлениям подготовки 35.03.07 «Технология производства и переработки сельскохозяйственной продукции», 19.03.02 «Продукты питания из растительного сырья» (квалификация (степень) «бакалавр»)</t>
  </si>
  <si>
    <t>700480.06.01</t>
  </si>
  <si>
    <t>Технология мукомольного производства: Уч.пос. / Г.Г.Юсупова - М.:НИЦ ИНФРА-М,2023 - 180 с.-(СПО)(П)</t>
  </si>
  <si>
    <t>978-5-16-014730-7</t>
  </si>
  <si>
    <t>19.02.11, 19.02.12, 22.02.08, 35.02.18, 43.01.04, 43.01.09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</si>
  <si>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35.02.06 «Технология производства и переработки сельскохозяйственной продукции», 19.02.02 «Технология хранения и переработки зерна», 19.02.03 «Технология хлеба, кондитерских и макаронных изделий»</t>
  </si>
  <si>
    <t>799688.02.01</t>
  </si>
  <si>
    <t>Технология мяса и мясных продуктов: Уч.пос. / Н.А.Величко - М.:НИЦ ИНФРА-М,2025. - 270 с.:цв. ил. (ВО (КрГАУ))(п)</t>
  </si>
  <si>
    <t>ТЕХНОЛОГИЯ МЯСА И МЯСНЫХ ПРОДУКТОВ</t>
  </si>
  <si>
    <t>Величко Н.А., Машанов А.И., Речкина Е.А. и др.</t>
  </si>
  <si>
    <t>978-5-16-019037-2</t>
  </si>
  <si>
    <t>19.03.03, 19.04.03, 36.03.01, 36.05.01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</si>
  <si>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направлениям подготовки 19.03.03 «Продукты питания животного происхождения», 19.04.03 «Продукты питания животного происхождения», 19.02.08 «Технология мяса и мясных продуктов»</t>
  </si>
  <si>
    <t>848534.01.01</t>
  </si>
  <si>
    <t>Технология мяса и мясных продуктов: Уч.пос. / Н.А.Величко - М.:НИЦ ИНФРА-М,2025. - 270 с.:цв.ил. (СПО (КрГАУ))(п)</t>
  </si>
  <si>
    <t>978-5-16-020583-0</t>
  </si>
  <si>
    <t>19.01.19, 19.02.11, 19.02.12</t>
  </si>
  <si>
    <t>220300.09.01</t>
  </si>
  <si>
    <t>Технология обслуживания и экспл. а/т: Уч.пос. / В.М.Круглик - М:ИНФРА-М,2025 - 260 с.(ВО)(п)</t>
  </si>
  <si>
    <t>ТЕХНОЛОГИЯ ОБСЛУЖИВАНИЯ И ЭКСПЛУАТАЦИИ АВТОТРАНСПОРТА</t>
  </si>
  <si>
    <t>Круглик В.М., Сычев Н.Г.</t>
  </si>
  <si>
    <t>978-5-16-006953-1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</si>
  <si>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«Коммерческая деятельность»</t>
  </si>
  <si>
    <t>704132.05.01</t>
  </si>
  <si>
    <t>Технология орг. туроператор. и турагентской деят.: Уч. / С.А.Быстров - М.:НИЦ ИНФРА-М,2025 - 375 с.(СПО)(П)</t>
  </si>
  <si>
    <t>ТЕХНОЛОГИЯ ОРГАНИЗАЦИИ ТУРОПЕРАТОРСКОЙ И ТУРАГЕНТСКОЙ ДЕЯТЕЛЬНОСТИ</t>
  </si>
  <si>
    <t>978-5-16-014917-2</t>
  </si>
  <si>
    <t>677810.06.01</t>
  </si>
  <si>
    <t>Технология организации туроператорской и турагент.деят.: Уч. / С.А.Быстров-М.:НИЦ ИНФРА-М,2022-375с(ВО)</t>
  </si>
  <si>
    <t>978-5-16-014026-1</t>
  </si>
  <si>
    <t>Рекомендовано в качестве учебника для студентов высших учебных заведений, обучающихся по направлениям подготовки 43.03.02 «Туризм», 43.03.03 «Гостиничное дело», 43.03.01 «Сервис» (квалификация (степень) «бакалавр»)</t>
  </si>
  <si>
    <t>156200.09.01</t>
  </si>
  <si>
    <t>Технология отходов: Уч. / Л.Я. Шубов - М.: Альфа-М:  ИНФРА-М, 2024-352 с.(Технолог.сервис) (п)</t>
  </si>
  <si>
    <t>ТЕХНОЛОГИЯ ОТХОДОВ</t>
  </si>
  <si>
    <t>Шубов Л. Я., Ставровский М. Е., Олейник А. В.</t>
  </si>
  <si>
    <t>978-5-98281-257-5</t>
  </si>
  <si>
    <t>Рекомендовано Дальневосточным региональным учебно-методическим центром (ДВ РУМЦ) в качестве учебника для студентов, обучающихся по направлению подготовки 100100 "Сервис"</t>
  </si>
  <si>
    <t>807891.01.01</t>
  </si>
  <si>
    <t>Технология оформления бровей и ресниц: Уч.пос. / Е.Н.Зубова-М.:НИЦ ИНФРА-М,2024.-210 с..-(СПО)(п)</t>
  </si>
  <si>
    <t>ТЕХНОЛОГИЯ ОФОРМЛЕНИЯ БРОВЕЙ И РЕСНИЦ</t>
  </si>
  <si>
    <t>978-5-16-018810-2</t>
  </si>
  <si>
    <t>760135.04.01</t>
  </si>
  <si>
    <t>Технология переработки пищевых яиц: Уч.пос. / А.Г.Забашта - М.:НИЦ ИНФРА-М,2025 - 202 с.(СПО)(П)</t>
  </si>
  <si>
    <t>ТЕХНОЛОГИЯ ПЕРЕРАБОТКИ ПИЩЕВЫХ ЯИЦ</t>
  </si>
  <si>
    <t>Забашта А.Г., Шалимова Т.А., Басов В.О.</t>
  </si>
  <si>
    <t>978-5-16-017045-9</t>
  </si>
  <si>
    <t>19.02.11, 19.02.12, 22.02.08, 35.02.18, 36.01.02, 36.02.03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</si>
  <si>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19.02.08 «Технология мяса и мясных продуктов» (протокол № 12 от 14.12.2020)</t>
  </si>
  <si>
    <t>642080.07.01</t>
  </si>
  <si>
    <t>Технология переработки яиц: Уч.пос. / А.Г.Забашта - 2 изд.-М.:НИЦ ИНФРА-М,2024.-202 с.(ВО)(п)</t>
  </si>
  <si>
    <t>ТЕХНОЛОГИЯ ПЕРЕРАБОТКИ ЯИЦ, ИЗД.2</t>
  </si>
  <si>
    <t>978-5-16-019663-3</t>
  </si>
  <si>
    <t>19.03.02, 19.03.03, 19.03.04, 19.04.03, 19.04.04</t>
  </si>
  <si>
    <t>Рекомендовано Учебно-методическим объединением по образованию в области технологии сырья и продуктов животного происхождения в качестве учебного пособия для студентов высших учебных заведений, обучающихся по направлению подготовки 19.03.03, 19.04.03 «Продукты питания животного происхождения» (уровни бакалавриата, магистратуры)</t>
  </si>
  <si>
    <t>642080.03.01</t>
  </si>
  <si>
    <t>Технология переработки яиц: Уч.пос./ А.Г.Забашта и др. - М.:НИЦ ИНФРА-М,2020 - 202 с.-(ВО)(П)</t>
  </si>
  <si>
    <t>ТЕХНОЛОГИЯ ПЕРЕРАБОТКИ ЯИЦ</t>
  </si>
  <si>
    <t>978-5-16-012401-8</t>
  </si>
  <si>
    <t>Утверждено Советом Учебно-методического объединения по образованию в области технологии сырья и продуктов животного происхождения в качестве учебного пособия для подготовки бакалавров по направлению 19.03.03 «Продукты питания животного происхождения» (профиль «Технология мяса и мясных продуктов»)</t>
  </si>
  <si>
    <t>631797.08.01</t>
  </si>
  <si>
    <t>Технология последоват. перевода: Уч.пос. / Л.А.Гаврилов - 2 изд.-М.:Форум, НИЦ ИНФРА-М,2023.-146с(О)</t>
  </si>
  <si>
    <t>ТЕХНОЛОГИЯ ПОСЛЕДОВАТЕЛЬНОГО ПЕРЕВОДА, ИЗД.2</t>
  </si>
  <si>
    <t>Гаврилов Л.А., Зарипов Р.И.</t>
  </si>
  <si>
    <t>978-5-00091-410-6</t>
  </si>
  <si>
    <t>38.03.01, 39.04.01, 44.03.05, 45.03.01, 45.05.01, 46.04.03</t>
  </si>
  <si>
    <t>Рекомендовано Союзом переводчиков России в качестве учебного пособия для студентов филологических факультетов, обучающихся по программе «Перевод и переводоведение»</t>
  </si>
  <si>
    <t>725283.02.01</t>
  </si>
  <si>
    <t>Технология прессования: Уч. / И.Л.Константинов - М.:НИЦ ИНФРА-М, СФУ,2020-235 с.(ВО: Магистр.(СФУ))(П)</t>
  </si>
  <si>
    <t>ТЕХНОЛОГИЯ ПРЕССОВАНИЯ</t>
  </si>
  <si>
    <t>Константинов И.Л., Сидельников С.Б., Довженко Н.Н. и др.</t>
  </si>
  <si>
    <t>978-5-16-015842-6</t>
  </si>
  <si>
    <t>22.04.02</t>
  </si>
  <si>
    <t>Допущено Учебно-методическим советом Сибирского федерального университета в качестве учебника для студентов, обучающихся по направлению подготовки магистров 22.04.02 «Металлургия» (протокол № 9 от 14 июня 2017 г.)</t>
  </si>
  <si>
    <t>824421.01.01</t>
  </si>
  <si>
    <t>Технология приготовления пищи: лабораторный прак.: Уч.пос. / Л.Г.Ермош - М.:НИЦ ИНФРА-М,2025. - 134 с.(п)</t>
  </si>
  <si>
    <t>ТЕХНОЛОГИЯ ПРИГОТОВЛЕНИЯ ПИЩИ: ЛАБОРАТОРНЫЙ ПРАКТИКУМ</t>
  </si>
  <si>
    <t>Ермош Л.Г., Непомнящих Е.Н.</t>
  </si>
  <si>
    <t>978-5-16-020339-3</t>
  </si>
  <si>
    <t>176750.11.01</t>
  </si>
  <si>
    <t>Технология продуктов общ. пит.: Сб.задач: Уч.пос./А.С.Джабоева -М.:Магистр, НИЦ ИНФРА-М,2024-256с(о)</t>
  </si>
  <si>
    <t>ТЕХНОЛОГИЯ ПРОДУКТОВ ОБЩЕСТВЕННОГО ПИТАНИЯ: СБОРНИК ЗАДАЧ</t>
  </si>
  <si>
    <t>Джабоева А.С., Тамова М.Ю.</t>
  </si>
  <si>
    <t>978-5-9776-0219-8</t>
  </si>
  <si>
    <t>Рекомендовано УМО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специальности 260501 (271200) «Технология продуктов общественного питания» направления подготовки дипломированного специалиста 260500 (655700) «Технология продовольственных продуктов специального назначения и общественного питания»</t>
  </si>
  <si>
    <t>090650.15.01</t>
  </si>
  <si>
    <t>Технология продуктов общ. пит.: Уч.пос. / В.А.Домарецкий - 2 изд. - М.:Форум, НИЦ ИНФРА-М,2025 - 395 с.(П)</t>
  </si>
  <si>
    <t>ТЕХНОЛОГИЯ ПРОДУКТОВ ОБЩЕСТВЕННОГО ПИТАНИЯ, ИЗД.2</t>
  </si>
  <si>
    <t>Домарецкий В. А.</t>
  </si>
  <si>
    <t>978-5-00091-488-5</t>
  </si>
  <si>
    <t>19.01.18, 19.01.19, 19.02.10, 19.02.12, 19.02.13, 35.01.23, 35.02.10, 43.02.15</t>
  </si>
  <si>
    <t>776674.01.01</t>
  </si>
  <si>
    <t>Технология продуктов обществ. питания длительного хранения: Уч. / А.Т.Васюкова-М.:НИЦ ИНФРА-М,2025.-271 с.(п)</t>
  </si>
  <si>
    <t>ТЕХНОЛОГИЯ ПРОДУКТОВ ОБЩЕСТВЕННОГО ПИТАНИЯ ДЛИТЕЛЬНОГО ХРАНЕНИЯ</t>
  </si>
  <si>
    <t>978-5-16-018229-2</t>
  </si>
  <si>
    <t>19.02.10, 19.02.11, 19.02.12, 19.02.13, 43.02.15</t>
  </si>
  <si>
    <t>Рекомендовано учебным управлением в качестве учебника для студентов СПО по специальностям 38.02.05 «Товароведение и экспертиза качества потребительских товаров», 43.02.15 «Поварское и кондитерское дело», а также бакалавриата направлений подготовки 38.03.06 «Торговое дело», 38.03.07 «Товароведение», 19.03.02 «Продукты питания из растительного сырья», 19.03.03 «Продукты питания животного происхождения», 19.03.04 «Технология продукции и организация общественного питания»</t>
  </si>
  <si>
    <t>125800.12.01</t>
  </si>
  <si>
    <t>Технология продукции общ. питания. Прак.: Уч.пос. / Л.П.Липатова - 4 изд.-М.:НИЦ ИНФРА-М,2025.-376 с.(ВО)(п)</t>
  </si>
  <si>
    <t>ТЕХНОЛОГИЯ ПРОДУКЦИИ ОБЩЕСТВЕННОГО ПИТАНИЯ. ПРАКТИКУМ, ИЗД.4</t>
  </si>
  <si>
    <t>Липатова Л.П., Жубрева Т.В., Мясникова Е.Н. и др.</t>
  </si>
  <si>
    <t>978-5-16-019897-2</t>
  </si>
  <si>
    <t>125800.07.01</t>
  </si>
  <si>
    <t>Технология продукции общ.питания.:уч.пос./Липатова Л.П. - 2-изд.,-М.:Форум, НИЦ ИНФРА-М,2019-376с.(П)</t>
  </si>
  <si>
    <t>ТЕХНОЛОГИЯ ПРОДУКЦИИ ОБЩЕСТВЕННОГО ПИТАНИЯ. ЛАБОРАТОРНЫЙ ПРАКТИКУМ, ИЗД.2</t>
  </si>
  <si>
    <t>Липатова Л.П., Дзюба Г.Н., Мглинец А.И. и др.</t>
  </si>
  <si>
    <t>978-5-00091-615-5</t>
  </si>
  <si>
    <t>Рекомендовано УМО по образованию в области технологии продуктов питания и пищевой инженерии в качестве учесбного пособия для студентов вузов, обучающихся по специальности "Технология продовольственных продуктов специального назначения и общественного питания"</t>
  </si>
  <si>
    <t>125800.11.01</t>
  </si>
  <si>
    <t>Технология продукции общ.питания: Уч.пос./ Липатова Л.П. - 3-изд.-М.:Форум, НИЦ ИНФРА-М,2024-374с.(П)</t>
  </si>
  <si>
    <t>ТЕХНОЛОГИЯ ПРОДУКЦИИ ОБЩЕСТВЕННОГО ПИТАНИЯ, ИЗД.3</t>
  </si>
  <si>
    <t>Липатова Л.П., Баранов Б.А., Соколов А.Ю. и др.</t>
  </si>
  <si>
    <t>978-5-16-015459-6</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</si>
  <si>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учебного пособия для студентов высших учебных заведений, обучающихся по направлению 19.03.04 «Технология продукции и организация общественного питания»</t>
  </si>
  <si>
    <t>437200.05.01</t>
  </si>
  <si>
    <t>Технология продукции обществ. питания: Уч. / Ратушный А.С. - 2 изд. - М.:НИЦ ИНФРА-М,2022 - 241 с.(П)</t>
  </si>
  <si>
    <t>ТЕХНОЛОГИЯ ПРОДУКЦИИ ОБЩЕСТВЕННОГО ПИТАНИЯ, ИЗД.2</t>
  </si>
  <si>
    <t>Ратушный А.С., Баранов Б.А., Шленская Т.В. и др.</t>
  </si>
  <si>
    <t>978-5-16-015493-0</t>
  </si>
  <si>
    <t>19.03.02, 19.03.04, 19.04.04</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</si>
  <si>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учебника для студентов высших учебных заведений, обучающихся по направлению 19.03.04 «Технология продукции и организация общественного питания»</t>
  </si>
  <si>
    <t>Мичуринский государственный аграрный университет</t>
  </si>
  <si>
    <t>437200.03.01</t>
  </si>
  <si>
    <t>Технология продукции общественного питания: Уч. /А.С.Ратушный.-М.:Форум,НИЦ ИНФРА-М,2019-240с(ВО)(О)</t>
  </si>
  <si>
    <t>ТЕХНОЛОГИЯ ПРОДУКЦИИ ОБЩЕСТВЕННОГО ПИТАНИЯ</t>
  </si>
  <si>
    <t>978-5-00091-679-7</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</si>
  <si>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учебника для студентов высших учебных заведений, обучающихся по направлению 19.03.04 «Технология продукции и организация общественного питания»</t>
  </si>
  <si>
    <t>822483.01.01</t>
  </si>
  <si>
    <t>Технология продукции общественного питания: Уч.пос./ О.М.Евтухова -М.:НИЦ ИНФРА-М, СФУ,2024-272 с.(ВО (СФУ))(п)</t>
  </si>
  <si>
    <t>Евтухова О.М., Никулина Е.О., Кольман О.Я. и др.</t>
  </si>
  <si>
    <t>978-5-16-019695-4</t>
  </si>
  <si>
    <t>708889.07.01</t>
  </si>
  <si>
    <t>Технология произв. мебели и столяр.-строит. изд.: Уч.мет.пос. / Л.В.Игнатович - 2 изд., - М.:НИЦ ИНФРА-М,2025. - 242 с.(п)</t>
  </si>
  <si>
    <t>ТЕХНОЛОГИЯ ПРОИЗВОДСТВА МЕБЕЛИ И СТОЛЯРНО-СТРОИТЕЛЬНЫХ ИЗДЕЛИЙ, ИЗД.2</t>
  </si>
  <si>
    <t>Игнатович Л.В., Шетько С.В.</t>
  </si>
  <si>
    <t>978-5-16-019603-9</t>
  </si>
  <si>
    <t>Рекомендовано Учебно-методическим объединением по образованию в области природопользования и лесного хозяйства в качестве учебно-методического пособия по курсовому и дипломному проектированию для студентов учреждений высшего образования по специальности 1-46 01 02 «Технология деревообрабатывающих производств» и экономических специальностей лесотехнического профиля</t>
  </si>
  <si>
    <t>680731.02.01</t>
  </si>
  <si>
    <t>Технология производ. и контроль качества...: Уч.пос. / В.И.Капустин-М.:НИЦ ИНФРА-М,2022.-244с(П)</t>
  </si>
  <si>
    <t>ТЕХНОЛОГИЯ ПРОИЗВОДСТВА И КОНТРОЛЬ КАЧЕСТВА НАНОМАТЕРИАЛОВ И НАНОСТРУКТУР</t>
  </si>
  <si>
    <t>Капустин В.И., Сигов А.С.</t>
  </si>
  <si>
    <t>978-5-16-013806-0</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</si>
  <si>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11.00.00 «Электроника, радиотехника и системы связи» в качестве учебного пособия для обучающихся по образовательным программам высшего образования уровня бакалавриат и магистратура по направлению подготовки «Электроника и наноэлектроника»</t>
  </si>
  <si>
    <t>231600.09.01</t>
  </si>
  <si>
    <t>Технология производ. электрооборуд. автомоб. и трактор.: Уч. / Под ред. В.М.Приходько-ИНФРА-М, 2025-376с.(П)</t>
  </si>
  <si>
    <t>ТЕХНОЛОГИЯ ПРОИЗВОДСТВА ЭЛЕКТРООБОРУДОВАНИЯ АВТОМОБИЛЕЙ И ТРАКТОРОВ</t>
  </si>
  <si>
    <t>Приходько В. М., Ютт В. Е., Соколов Л. А., Морозов В. В., Приходько В. М.</t>
  </si>
  <si>
    <t>978-5-16-009079-5</t>
  </si>
  <si>
    <t>15.03.02, 15.04.02, 23.05.02, 35.03.04, 35.04.04</t>
  </si>
  <si>
    <t>057900.13.01</t>
  </si>
  <si>
    <t>Технология производст.неметал.строит.изделий и конст.: Уч. / Л.А.Алимов - М.:НИЦ ИНФРА-М,2025 - 442 с.(СПО)</t>
  </si>
  <si>
    <t>ТЕХНОЛОГИЯ ПРОИЗВОДСТВА НЕМЕТАЛЛИЧЕСКИХ СТРОИТЕЛЬНЫХ ИЗДЕЛИЙ И КОНСТРУКЦИЙ</t>
  </si>
  <si>
    <t>Алимов Л.А., Воронин В.В.</t>
  </si>
  <si>
    <t>978-5-16-011061-5</t>
  </si>
  <si>
    <t>08.02.01, 08.02.02, 08.02.03, 08.02.04, 08.02.12, 23.02.08</t>
  </si>
  <si>
    <t>Допущен Государственным комитетом Российской Федерации по строительству и жилищно-коммунальному комплексу в качестве учебника для студентов средних профессиональных учебных заведений, обучающихся по специальности «Производство строительных изделий и конструкций»</t>
  </si>
  <si>
    <t>112650.09.01</t>
  </si>
  <si>
    <t>Технология производства деталей автотракторной техники: Уч. пос. / В.Н. Балашов. - М.:Форум, 2025 - 288 с.(п)</t>
  </si>
  <si>
    <t>ТЕХНОЛОГИЯ ПРОИЗВОДСТВА ДЕТАЛЕЙ АВТОТРАКТОРНОЙ ТЕХНИКИ</t>
  </si>
  <si>
    <t>Балашов В. Н.</t>
  </si>
  <si>
    <t>978-5-91134-342-2</t>
  </si>
  <si>
    <t>15.02.10, 15.02.16, 23.02.02</t>
  </si>
  <si>
    <t>709015.02.01</t>
  </si>
  <si>
    <t>Технология производства и контроль кач. наноматер..:Уч.пос. /В.И.Капустин-М.:НИЦ ИНФРА-М,2023-244с(П)</t>
  </si>
  <si>
    <t>978-5-16-015278-3</t>
  </si>
  <si>
    <t>28.00.00, 18.02.13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</si>
  <si>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11.02.00 «Электроника, радиотехника и системы связи», 22.02.00 «Технологии материалов» (протокол № 5 от 11.03.2019)</t>
  </si>
  <si>
    <t>708897.01.01</t>
  </si>
  <si>
    <t>Технология производства мебели и резьба по дереву: Уч.пос. / А.А.Барташевич-2 изд-М.:НИЦ ИНФРА-М,2024-475 с.(СПО)(п)</t>
  </si>
  <si>
    <t>ТЕХНОЛОГИЯ ПРОИЗВОДСТВА МЕБЕЛИ И РЕЗЬБА ПО ДЕРЕВУ, ИЗД.2</t>
  </si>
  <si>
    <t>978-5-16-015413-8</t>
  </si>
  <si>
    <t>728354.02.01</t>
  </si>
  <si>
    <t>Технология прокатки: Уч. / С.Б.Сидельников - 3 изд. - М.:НИЦ ИНФРА-М, СФУ,2021 - 180 с.(ВО)(П)</t>
  </si>
  <si>
    <t>ТЕХНОЛОГИЯ ПРОКАТКИ, ИЗД.3</t>
  </si>
  <si>
    <t>Сидельников С.Б., Константинов И.Л., Ворошилов Д.С.</t>
  </si>
  <si>
    <t>978-5-16-015902-7</t>
  </si>
  <si>
    <t>Рекомендовано УМО РАЕ по классическому университетскому и техническому образованию в качестве учебника для магистров высших учебных заведений по направлению 22.04.02 «Металлургия» (протокол № 447 от 7 октября 2015 г.)</t>
  </si>
  <si>
    <t>668552.01.01</t>
  </si>
  <si>
    <t>Технология разработки и реализации соц. программ: Уч.пос. / Н.П.Щукина-М.:НИЦ ИНФРА-М,2024.-250 с.(ВО)(п)</t>
  </si>
  <si>
    <t>ТЕХНОЛОГИЯ РАЗРАБОТКИ И РЕАЛИЗАЦИИ СОЦИАЛЬНЫХ ПРОГРАММ</t>
  </si>
  <si>
    <t>Щукина Н.П.</t>
  </si>
  <si>
    <t>978-5-16-014742-0</t>
  </si>
  <si>
    <t>39.04.01, 39.04.02</t>
  </si>
  <si>
    <t>086270.18.01</t>
  </si>
  <si>
    <t>Технология разработки програм.обесп.: Уч.пос. / Л.Г.Гагарина - М.:ИД ФОРУМ,НИЦ ИНФРА-М,2025 - 400 с.(ВО)</t>
  </si>
  <si>
    <t>ТЕХНОЛОГИЯ РАЗРАБОТКИ ПРОГРАММНОГО ОБЕСПЕЧЕНИЯ</t>
  </si>
  <si>
    <t>Гагарина Л.Г., Кокорева Е.В., Сидорова-Виснадул Б.Д. и др.</t>
  </si>
  <si>
    <t>978-5-8199-0342-1</t>
  </si>
  <si>
    <t>02.03.03, 09.03.03, 09.04.01, 09.04.03</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</si>
  <si>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09.04.01 и 09.03.03 «Информатика и вычислительная техника»</t>
  </si>
  <si>
    <t>684898.10.01</t>
  </si>
  <si>
    <t>Технология разработки программного обесп.: Уч.пос./ Под ред. Гагариной Л.Г-М:ИД ФОРУМ,2024-400с(СПО)(п)</t>
  </si>
  <si>
    <t>978-5-8199-0812-9</t>
  </si>
  <si>
    <t>043650.20.01</t>
  </si>
  <si>
    <t>Технология реконструкции и модер. зданий: Уч.пос. / Г.В.Девятаева - М.:НИЦ ИНФРА-М,2025-250 с.(СПО)(П)</t>
  </si>
  <si>
    <t>ТЕХНОЛОГИЯ РЕКОНСТРУКЦИИ И МОДЕРНИЗАЦИИ ЗДАНИЙ</t>
  </si>
  <si>
    <t>Девятаева Г.В.</t>
  </si>
  <si>
    <t>978-5-16-001505-7</t>
  </si>
  <si>
    <t>Допущено Государственным комитетом Российской Федерации по строительству и жилищно-коммунальному хозяйству в качестве учебного пособия для студентов средних специальных учебных заведений, обучающихся по специальности 08.02.01 «Строительство и эксплуатация зданий и сооружений»</t>
  </si>
  <si>
    <t>Ярославский градостроительный колледж</t>
  </si>
  <si>
    <t>654369.04.01</t>
  </si>
  <si>
    <t>Технология ремонта машин: Уч. / Под ред. Корнеева В.М. - М.:НИЦ ИНФРА-М,2023-314 с(ВО: Бакалавр.)(П)</t>
  </si>
  <si>
    <t>ТЕХНОЛОГИЯ РЕМОНТА МАШИН</t>
  </si>
  <si>
    <t>Корнеев В.М., Новиков В.С., Кравченко И.Н. и др.</t>
  </si>
  <si>
    <t>978-5-16-013020-0</t>
  </si>
  <si>
    <t>Рекомендовано Федеральным учебно-методическим объединением в системе высшего образования по технологиям, средствам механизации и энергетическому оборудованию в сельском хозяйстве в качестве учебника для студентов, обучающихся по направлению подготовки 35.03.06 «Агроинженерия»</t>
  </si>
  <si>
    <t>637444.10.01</t>
  </si>
  <si>
    <t>Технология ремонта машин: Уч.пос. / С.В.Стребков - 2 изд. - М.:НИЦ ИНФРА-М,2023 - 246 с.(ВО)(П)</t>
  </si>
  <si>
    <t>ТЕХНОЛОГИЯ РЕМОНТА МАШИН, ИЗД.2</t>
  </si>
  <si>
    <t>Стребков С.В., Сахнов А.В.</t>
  </si>
  <si>
    <t>978-5-16-016565-3</t>
  </si>
  <si>
    <t>Рекомендовано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t>
  </si>
  <si>
    <t>757113.02.01</t>
  </si>
  <si>
    <t>Технология ремонта машин: Уч.пос. / С.В.Стребков - М.:НИЦ ИНФРА-М,2024 - 246 с.(СПО)(П)</t>
  </si>
  <si>
    <t>978-5-16-016901-9</t>
  </si>
  <si>
    <t>35.01.27, 35.01.30, 35.02.05, 35.02.16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</si>
  <si>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35.02.16 «Эксплуатация и ремонт сельскохозяйственной техники и оборудования» (протокол № 1 от 20.01.2021)</t>
  </si>
  <si>
    <t>637444.06.01</t>
  </si>
  <si>
    <t>Технология ремонта машин: Уч.пос. / С.В.Стребков-М.:НИЦ ИНФРА-М,2021.-222 с..-(ВО: Бакалавриат)(П)</t>
  </si>
  <si>
    <t>978-5-16-012288-5</t>
  </si>
  <si>
    <t>717670.03.01</t>
  </si>
  <si>
    <t>Технология ремонта обуви: Уч.пос. / И.Н.Леденёва - М.:НИЦ ИНФРА-М,2022 - 373 с.-(СПО)(П)</t>
  </si>
  <si>
    <t>ТЕХНОЛОГИЯ РЕМОНТА ОБУВИ</t>
  </si>
  <si>
    <t>978-5-16-015576-0</t>
  </si>
  <si>
    <t>18.02.02, 29.01.03, 29.01.32, 43.02.07, 54.02.03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</si>
  <si>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29.01.02 «Обувщик», 29.01.03 «Сборщик обуви», 29.02.01 «Конструирование, моделирование и технология изделий из кожи» (протокол № 12 от 24.06.2019)</t>
  </si>
  <si>
    <t>725291.03.01</t>
  </si>
  <si>
    <t>Технология ремонта обуви: Уч.пос. / И.Н.Леденёва - М.:НИЦ ИНФРА-М,2023 - 373 с.-(ВО: Бакалавриат)(П)</t>
  </si>
  <si>
    <t>978-5-16-015832-7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</si>
  <si>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 (протокол № 12 от 24.06.2019)</t>
  </si>
  <si>
    <t>668041.03.01</t>
  </si>
  <si>
    <t>Технология ремонтных работ зданий и их инж. сис: Уч.пос. / В.М.Лебедев-М.:НИЦ ИНФРА-М,2024.-210 с.(ВО)(п)</t>
  </si>
  <si>
    <t>ТЕХНОЛОГИЯ РЕМОНТНЫХ РАБОТ ЗДАНИЙ И ИХ ИНЖЕНЕРНЫХ СИСТЕМ</t>
  </si>
  <si>
    <t>978-5-16-013563-2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</si>
  <si>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4 от 21.04.2021)</t>
  </si>
  <si>
    <t>813254.01.01</t>
  </si>
  <si>
    <t>Технология рыбы и рыбных продуктов: Уч.пос. / Т.М.Владимцева - М.:НИЦ ИНФРА-М,2025. - 328 с.(ВО (КрГАУ))(п)</t>
  </si>
  <si>
    <t>ТЕХНОЛОГИЯ РЫБЫ И РЫБНЫХ ПРОДУКТОВ</t>
  </si>
  <si>
    <t>Владимцева Т.М.</t>
  </si>
  <si>
    <t>978-5-16-019761-6</t>
  </si>
  <si>
    <t>19.03.03</t>
  </si>
  <si>
    <t>632117.03.01</t>
  </si>
  <si>
    <t>Технология сварки плавлением и термич. резки: Уч. / В.П.Куликов-М.:НИЦ ИНФРА-М, Новое знание,2024.-463с.(ВО)(п)</t>
  </si>
  <si>
    <t>ТЕХНОЛОГИЯ СВАРКИ ПЛАВЛЕНИЕМ И ТЕРМИЧЕСКОЙ РЕЗКИ</t>
  </si>
  <si>
    <t>Куликов В.П.</t>
  </si>
  <si>
    <t>978-5-16-019336-6</t>
  </si>
  <si>
    <t>15.03.01, 15.03.02, 15.04.01, 15.04.02</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</si>
  <si>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15.03.01 «Машиностроение»</t>
  </si>
  <si>
    <t>668635.04.01</t>
  </si>
  <si>
    <t>Технология сельскохоз. машиностр.: Уч. / М.А.Федоренко и др.,-2 изд.-М.:НИЦ ИНФРА-М,2023.-467 с.(ВО)</t>
  </si>
  <si>
    <t>ТЕХНОЛОГИЯ СЕЛЬСКОХОЗЯЙСТВЕННОГО МАШИНОСТРОЕНИЯ, ИЗД.2</t>
  </si>
  <si>
    <t>Федоренко М.А., Дуюн Т.А., Бондаренко Ю.А. и др.</t>
  </si>
  <si>
    <t>978-5-16-013400-0</t>
  </si>
  <si>
    <t>Рекомендовано в качестве учебника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(квалификация (степень) «бакалавр»)</t>
  </si>
  <si>
    <t>777644.02.01</t>
  </si>
  <si>
    <t>Технология составления бух. отчетности: Уч. / Под ред. Сигидова Ю.И. - М.:НИЦ ИНФРА-М,2025. - 342 с.(СПО)(п)</t>
  </si>
  <si>
    <t>ТЕХНОЛОГИЯ СОСТАВЛЕНИЯ БУХГАЛТЕРСКОЙ ОТЧЕТНОСТИ</t>
  </si>
  <si>
    <t>978-5-16-017726-7</t>
  </si>
  <si>
    <t>656368.02.01</t>
  </si>
  <si>
    <t>Технология спец. бетонов на серном и серобитумном вяжущих: Уч.пос. / Б.А.Усов-М.:НИЦ ИНФРА-М,2023.-260с(О)</t>
  </si>
  <si>
    <t>ТЕХНОЛОГИЯ СПЕЦИАЛЬНЫХ БЕТОНОВ НА СЕРНОМ И СЕРОБИТУМНОМ ВЯЖУЩИХ</t>
  </si>
  <si>
    <t>Усов Б.А., Горбунова Т.Н.</t>
  </si>
  <si>
    <t>978-5-16-014541-9</t>
  </si>
  <si>
    <t>178300.10.01</t>
  </si>
  <si>
    <t>Технология строительства дорог. Практикум: Уч. / Ю.Г.Бабаскин - М.:НИЦ ИНФРА-М,2024 - 429 с.(ВО)(П)</t>
  </si>
  <si>
    <t>ТЕХНОЛОГИЯ СТРОИТЕЛЬСТВА ДОРОГ. ПРАКТИКУМ</t>
  </si>
  <si>
    <t>Бабаскин Ю. Г., Леонович И. И.</t>
  </si>
  <si>
    <t>978-5-16-019731-9</t>
  </si>
  <si>
    <t>Допущено Министерством образования Республики Беларусь в качестве учебного пособия для студентов высших учебных заведений специальности "Экономика и организация производства (автодорожное хозяйство)"</t>
  </si>
  <si>
    <t>154300.11.01</t>
  </si>
  <si>
    <t>Технология твердых бытовых отходов: Уч. / Л.Я. Шубов - М.: Альфа-М, 2024-400 с.(Технолог. сервис) (п)</t>
  </si>
  <si>
    <t>ТЕХНОЛОГИЯ ТВЕРДЫХ БЫТОВЫХ ОТХОДОВ</t>
  </si>
  <si>
    <t>978-5-98281-255-1</t>
  </si>
  <si>
    <t>757876.04.01</t>
  </si>
  <si>
    <t>Технология твердых бытовых отходов: Уч. / Л.Я.Шубов - М.:НИЦ ИНФРА-М,2025 - 395 с.(СПО)(П)</t>
  </si>
  <si>
    <t>Шубов Л.Я., Ставровский М.Е., Олейник А.В.</t>
  </si>
  <si>
    <t>978-5-16-016937-8</t>
  </si>
  <si>
    <t>Рекомендовано Дальневосточным региональным учебно-методическим центром (ДВ РУМЦ) в качестве учебника для студентов, обучающихся по специальности «Сервис»</t>
  </si>
  <si>
    <t>406350.12.01</t>
  </si>
  <si>
    <t>Технология термической обработки: Уч. / В.В. Овчинников - М.: ИД ФОРУМ: НИЦ Инфра-М, 2025 - 320 с.(ПО) (п)</t>
  </si>
  <si>
    <t>ТЕХНОЛОГИЯ ТЕРМИЧЕСКОЙ ОБРАБОТКИ</t>
  </si>
  <si>
    <t>978-5-8199-0509-8</t>
  </si>
  <si>
    <t>15.02.19, 22.02.08</t>
  </si>
  <si>
    <t>736477.02.01</t>
  </si>
  <si>
    <t>Технология термической обработки: Уч. / В.В.Овчинников - М.:ИД Форум, НИЦ ИНФРА-М,2024 - 320 с.(ВО)(П)</t>
  </si>
  <si>
    <t>978-5-8199-0913-3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</si>
  <si>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22.03.01 «Материаловедение и технологии материалов», 22.03.02 «Металлургия» (квалификация (степень) «бакалавр») (протокол № 19 от 09.12.2019)</t>
  </si>
  <si>
    <t>719463.01.01</t>
  </si>
  <si>
    <t>Технология формир. и продвиж.  гостиничного продукта: Уч.пос. / И.С.Ключевская-М.:НИЦ ИНФРА-М,2022.-346 с.(ВО)(П)</t>
  </si>
  <si>
    <t>ТЕХНОЛОГИЯ ФОРМИРОВАНИЯ И ПРОДВИЖЕНИЯ  ГОСТИНИЧНОГО ПРОДУКТА</t>
  </si>
  <si>
    <t>978-5-16-016737-4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</si>
  <si>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6 от 16.06.2021)</t>
  </si>
  <si>
    <t>770565.01.01</t>
  </si>
  <si>
    <t>Технология формир. и продвиж.  гостиничного продукта: Уч.пос. / И.С.Ключевская-М.:НИЦ ИНФРА-М,2022.-346 с.(П)</t>
  </si>
  <si>
    <t>978-5-16-017391-7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</si>
  <si>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7 от 22.09.2021)</t>
  </si>
  <si>
    <t>099400.11.01</t>
  </si>
  <si>
    <t>Технология фрезерования изделий машиностроения: Уч.пос. / О.И.Аверьянов - М.:Форум,2025. - 432 с.(П)</t>
  </si>
  <si>
    <t>ТЕХНОЛОГИЯ ФРЕЗЕРОВАНИЯ ИЗДЕЛИЙ МАШИНОСТРОЕНИЯ</t>
  </si>
  <si>
    <t>Аверьянов О. И., Клепиков В. В.</t>
  </si>
  <si>
    <t>978-5-91134-204-3</t>
  </si>
  <si>
    <t>404300.09.01</t>
  </si>
  <si>
    <t>Технология швейных изделий: История моды муж..: Уч. пос./П.Н.Умняков - Форум: ИНФРА-М, 2024-263с(ВО)</t>
  </si>
  <si>
    <t>ТЕХНОЛОГИЯ ШВЕЙНЫХ ИЗДЕЛИЙ: ИСТОРИЯ МОДЫ МУЖСКИХ КОСТЮМОВ И ОСОБЕННОСТИ ПРОЦЕССОВ ИНДУСТРИАЛЬНОГО ПРОИЗВОДСТВА</t>
  </si>
  <si>
    <t>Умняков П.Н., Соколов Н.В., Лебедев С.А. и др.</t>
  </si>
  <si>
    <t>978-5-00091-518-9</t>
  </si>
  <si>
    <t>29.03.01, 29.03.02, 29.04.02</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</si>
  <si>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для студентов вузов по направлению подготовки 29.03.01 «Технология изделий легкой промышленности»</t>
  </si>
  <si>
    <t>702581.07.01</t>
  </si>
  <si>
    <t>Технология швейных изделий: Лаб. прак.: Уч. пос. / И.Н.Каграманова-М.:ИД ФОРУМ, НИЦ ИНФРА-М,2024.-304с(П)</t>
  </si>
  <si>
    <t>ТЕХНОЛОГИЯ ШВЕЙНЫХ ИЗДЕЛИЙ</t>
  </si>
  <si>
    <t>Каграманова И.Н., Конопальцева Н.М.</t>
  </si>
  <si>
    <t>978-5-8199-0864-8</t>
  </si>
  <si>
    <t>29.01.04, 29.01.33, 29.02.05, 29.02.10, 54.01.05</t>
  </si>
  <si>
    <t>646032.03.01</t>
  </si>
  <si>
    <t>Технология электромашиностроения: Уч.пос. / М.Ю.Сибикин, - 2 изд.-М.:НИЦ ИНФРА-М,2025.-352 с.(СПО)(п)</t>
  </si>
  <si>
    <t>ТЕХНОЛОГИЯ ЭЛЕКТРОМАШИНОСТРОЕНИЯ, ИЗД.2</t>
  </si>
  <si>
    <t>Сибикин М.Ю., Сибикин Ю.Д.</t>
  </si>
  <si>
    <t>978-5-16-012566-4</t>
  </si>
  <si>
    <t>13.02.13, 15.02.16</t>
  </si>
  <si>
    <t>Рекомендовано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t>
  </si>
  <si>
    <t>254400.14.01</t>
  </si>
  <si>
    <t>Технология электромонтажных работ: Уч. пос./Ю.Д.Сибикин - 4 изд. - М:Форум:НИЦ ИНФРА-М, 2024-352с(п)</t>
  </si>
  <si>
    <t>ТЕХНОЛОГИЯ ЭЛЕКТРОМОНТАЖНЫХ РАБОТ, ИЗД.4</t>
  </si>
  <si>
    <t>978-5-00091-631-5</t>
  </si>
  <si>
    <t>08.01.30, 08.01.31, 11.02.03, 11.02.06, 11.02.07, 11.02.11, 11.02.14, 11.02.15, 11.02.17, 11.02.18, 15.01.37, 21.01.15, 35.02.08</t>
  </si>
  <si>
    <t>Рекомендовано Экспертным советом по профессиональному образованию Министерства образования Российской Федерации в качестве учебного пособия</t>
  </si>
  <si>
    <t>072150.09.01</t>
  </si>
  <si>
    <t>Технология энергосбережения: Уч. / Ю.Д.Сибикин - 3 изд. - М.:НИЦ ИНФРА-М, НИЦ ИНФРА-М,2017.-352с.(п)</t>
  </si>
  <si>
    <t>ТЕХНОЛОГИЯ ЭНЕРГОСБЕРЕЖЕНИЯ, ИЗД.3</t>
  </si>
  <si>
    <t>978-5-91134-596-9</t>
  </si>
  <si>
    <t>13.02.01, 13.02.02, 13.02.04, 13.02.07, 13.02.09, 13.02.12, 13.02.13</t>
  </si>
  <si>
    <t>Допущено Министерством образования и науки РФ в качестве учебника для студентов учреждений среднего профессионального образования, обучающихся по группе направлений 15.00.00  "Машиностроение"</t>
  </si>
  <si>
    <t>072150.17.01</t>
  </si>
  <si>
    <t>Технология энергосбережения: Уч. / Ю.Д.Сибикин - 4 изд. - М.:НИЦ ИНФРА-М,2024 - 336 с.(п)</t>
  </si>
  <si>
    <t>ТЕХНОЛОГИЯ ЭНЕРГОСБЕРЕЖЕНИЯ, ИЗД.4</t>
  </si>
  <si>
    <t>978-5-16-012666-1</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</si>
  <si>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13.02.02 «Теплоснабжение и теплотехническое оборудование», 13.02.07 «Электроснабжение (по отраслям)», 13.02.03 «Электрические станции, сети и системы»</t>
  </si>
  <si>
    <t>714590.04.01</t>
  </si>
  <si>
    <t>Технология: прак. по труд. обучению: Уч.пос. / В.В.Выгонов, - 3 изд.-М.:НИЦ ИНФРА-М,2023.-289 с.(ВО)(П)</t>
  </si>
  <si>
    <t>ТЕХНОЛОГИЯ: ПРАКТИКУМ ПО ТРУДОВОМУ ОБУЧЕНИЮ, ИЗД.3</t>
  </si>
  <si>
    <t>Выгонов В.В.</t>
  </si>
  <si>
    <t>978-5-16-017059-6</t>
  </si>
  <si>
    <t>44.03.01, 44.03.04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</si>
  <si>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(квалификация (степень) «бакалавр») (протокол № 16 от 28.10.2019)</t>
  </si>
  <si>
    <t>714590.03.01</t>
  </si>
  <si>
    <t>Технология: практикум по трудовому обуч.: Уч.пос. / В.В.Выгонов - 2 изд. - М.:НИЦ ИНФРА-М,2021-257 с.(ВО)(П)</t>
  </si>
  <si>
    <t>ТЕХНОЛОГИЯ: ПРАКТИКУМ ПО ТРУДОВОМУ ОБУЧЕНИЮ, ИЗД.2</t>
  </si>
  <si>
    <t>978-5-16-015502-9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</si>
  <si>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(квалификация (степень) «бакалавр») (протокол № 16 от  28.10.2019)</t>
  </si>
  <si>
    <t>349600.07.01</t>
  </si>
  <si>
    <t>Техносферная безопасность: Уч.пос. / В.П.Дмитренко и др. - М.:НИЦ ИНФРА-М,2023 - 134 с.-(ВО)(О)</t>
  </si>
  <si>
    <t>ТЕХНОСФЕРНАЯ БЕЗОПАСНОСТЬ: ВВЕДЕНИЕ В НАПРАВЛЕНИЕ ОБРАЗОВАНИЯ</t>
  </si>
  <si>
    <t>Дмитренко В.П., Е.М.Мессинева, А.Г.Фетисов</t>
  </si>
  <si>
    <t>978-5-16-010849-0</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</si>
  <si>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 «бакалавр»)</t>
  </si>
  <si>
    <t>283800.08.01</t>
  </si>
  <si>
    <t>Техносферная безопасность:физико-хим. процессы в...: Уч. пос. /Н.В.Гусакова-М.:НИЦ ИНФРА-М,2023-185с</t>
  </si>
  <si>
    <t>ТЕХНОСФЕРНАЯ БЕЗОПАСНОСТЬ: ФИЗИКО-ХИМИЧЕСКИЕ ПРОЦЕССЫ В ТЕХНОСФЕРЕ</t>
  </si>
  <si>
    <t>Гусакова Н.В.</t>
  </si>
  <si>
    <t>978-5-16-018747-1</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</si>
  <si>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учебного пособия для студентов высших учебных зав</t>
  </si>
  <si>
    <t>094500.12.01</t>
  </si>
  <si>
    <t>Типовые технологии производства: Уч. пос. / Н.П. Молоканова. -М.: Форум,ИНФРА-М,2024. - 272 с. (ПО) (П)</t>
  </si>
  <si>
    <t>ТИПОВЫЕ ТЕХНОЛОГИИ ПРОИЗВОДСТВА</t>
  </si>
  <si>
    <t>978-5-91134-228-9</t>
  </si>
  <si>
    <t>15.02.16, 15.02.17, 24.02.02, 26.02.02, 26.02.04, 27.02.01, 27.02.02</t>
  </si>
  <si>
    <t>Допущено  Методическим советом Учебно-метод. центра по проф. обр. Департамента обр. г. Москвы в качестве учебного пос. для студентов обр. учреждений среднего проф. образования</t>
  </si>
  <si>
    <t>385100.04.01</t>
  </si>
  <si>
    <t>Товарная информация: Уч. / М.А.Николаева - М.:Юр.Норма, НИЦ ИНФРА-М,2024. - 256 с.(О)</t>
  </si>
  <si>
    <t>ТОВАРНАЯ ИНФОРМАЦИЯ</t>
  </si>
  <si>
    <t>М.А.Николаева, Л.В.Карташова</t>
  </si>
  <si>
    <t>978-5-91768-650-9</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</si>
  <si>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вузов, обучающихся по направлению 100700.62 "Торговое дело»</t>
  </si>
  <si>
    <t>302300.05.01</t>
  </si>
  <si>
    <t>Товарная политика текстильного предприятия: Уч./ Н.С. Иващенко-М.:НИЦ ИНФРА-М, МГУДТ,2024.-287с.(п)</t>
  </si>
  <si>
    <t>ТОВАРНАЯ ПОЛИТИКА ТЕКСТИЛЬНОГО ПРЕДПРИЯТИЯ</t>
  </si>
  <si>
    <t>Н.С.Иващенко</t>
  </si>
  <si>
    <t>978-5-16-010196-5</t>
  </si>
  <si>
    <t>29.03.02, 38.03.01</t>
  </si>
  <si>
    <t>357100.09.01</t>
  </si>
  <si>
    <t>Товарная политика: Уч. для бакалавриата / М.А.Николаева - М.:Юр.Норма,НИЦ ИНФРА-М,2024-256с.(О)</t>
  </si>
  <si>
    <t>ТОВАРНАЯ ПОЛИТИКА</t>
  </si>
  <si>
    <t>М.А.Николаева</t>
  </si>
  <si>
    <t>978-5-91768-615-8</t>
  </si>
  <si>
    <t>38.03.01, 38.03.06, 38.03.07, 38.04.01, 38.04.06, 38.04.07</t>
  </si>
  <si>
    <t>453400.06.01</t>
  </si>
  <si>
    <t>Товарный менедж. и эксперт. прод. дет. питания: Уч.пос. /О.А.Рязанова -М.: Юр.Норма, НИЦ ИНФРА-М, 2024 -224с (о)</t>
  </si>
  <si>
    <t>ТОВАРНЫЙ МЕНЕДЖМЕНТ И ЭКСПЕРТИЗА ПРОДУКТОВ ДЕТСКОГО ПИТАНИЯ</t>
  </si>
  <si>
    <t>Рязанова О.А., Николаева М.А.</t>
  </si>
  <si>
    <t>978-5-91768-674-5</t>
  </si>
  <si>
    <t>282200.06.01</t>
  </si>
  <si>
    <t>Товарный менеджмент строительных материалов: Уч. пос. / Ф.А.Петрище - М.: ФОРУМ: ИНФРА-М,2025 - 224 с.(п)</t>
  </si>
  <si>
    <t>ТОВАРНЫЙ МЕНЕДЖМЕНТ СТРОИТЕЛЬНЫХ МАТЕРИАЛОВ</t>
  </si>
  <si>
    <t>Петрище Ф. А., Черная М. А.</t>
  </si>
  <si>
    <t>978-5-8199-0596-8</t>
  </si>
  <si>
    <t>38.03.02, 38.03.07, 38.04.02, 38.04.07, 41.03.06</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</si>
  <si>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направлению 100700 «Торговое дело», профилям подготовки «Коммерция» и «Товароведение и экс</t>
  </si>
  <si>
    <t>444650.06.01</t>
  </si>
  <si>
    <t>Товарный менеджмент: Уч. пос. / Под ред. Т.Н.Ивановой - М.: НИЦ ИНФРА-М, 2024-234с.(ВО:Бакалавр.)(п)</t>
  </si>
  <si>
    <t>ТОВАРНЫЙ МЕНЕДЖМЕНТ</t>
  </si>
  <si>
    <t>Иванова Т.Н., Еремина О.Ю., Евдокимова О.В. и др.</t>
  </si>
  <si>
    <t>978-5-16-006908-1</t>
  </si>
  <si>
    <t>Рекомендовано Учебно-методическим объединением по образованию в области товароведения в качестве учебного пособия для студентов высших учебных заведений, обучающихся по направлению 100800.62 «Товароведение»</t>
  </si>
  <si>
    <t>Кузбасский государственный аграрный университет</t>
  </si>
  <si>
    <t>740915.03.01</t>
  </si>
  <si>
    <t>Товароведение в таможенном деле: Уч.пос. / А.В.Панова - М.:НИЦ ИНФРА-М,2024 - 214 с.(ВО: Специалитет)(П)</t>
  </si>
  <si>
    <t>ТОВАРОВЕДЕНИЕ В ТАМОЖЕННОМ ДЕЛЕ</t>
  </si>
  <si>
    <t>978-5-16-016396-3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</si>
  <si>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10 от 15.12.2021)</t>
  </si>
  <si>
    <t>696940.03.01</t>
  </si>
  <si>
    <t>Товароведение и эксп.мясных тов.Лаб.практ.:Уч.пос./Ю.В.Данильчук-2 изд.-М.:НИЦ ИНФРА-М,2023-176(СПО)</t>
  </si>
  <si>
    <t>ТОВАРОВЕДЕНИЕ И ЭКСПЕРТИЗА МЯСНЫХ ТОВАРОВ. ЛАБОРАТОРНЫЙ ПРАКТИКУМ, ИЗД.2</t>
  </si>
  <si>
    <t>Данильчук Ю.В.</t>
  </si>
  <si>
    <t>978-5-16-014604-1</t>
  </si>
  <si>
    <t>19.01.18, 19.01.19, 19.02.10, 19.02.12, 19.02.13, 35.01.23, 38.02.08, 43.01.01, 43.01.04, 43.01.09, 43.02.15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</si>
  <si>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t>
  </si>
  <si>
    <t>720415.02.01</t>
  </si>
  <si>
    <t>Товароведение и эксперт. вкусовых тов.: Уч.пос. / Т.Н.Иванова.-М.:НИЦ ИНФРА-М,2023.-240 с.(СПО)(П)</t>
  </si>
  <si>
    <t>ТОВАРОВЕДЕНИЕ И ЭКСПЕРТИЗА ВКУСОВЫХ ТОВАРОВ</t>
  </si>
  <si>
    <t>Иванова Т.Н., Евдокимова О.В., Красильникова Е.В. и др.</t>
  </si>
  <si>
    <t>978-5-16-015698-9</t>
  </si>
  <si>
    <t>19.01.18, 19.01.19, 19.02.10, 19.02.13, 35.01.23, 38.02.08, 43.01.01, 43.01.04, 43.01.09, 43.02.01, 43.02.15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</si>
  <si>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(протокол № 5 от 26.03.2020)</t>
  </si>
  <si>
    <t>140200.08.01</t>
  </si>
  <si>
    <t>Товароведение и эксперт. зерномучных товаров: Уч./Л.П.Нилова - 2 изд. - ИНФРА-М, 2024-448с.(ВО) (п)</t>
  </si>
  <si>
    <t>ТОВАРОВЕДЕНИЕ И ЭКСПЕРТИЗА ЗЕРНОМУЧНЫХ ТОВАРОВ, ИЗД.2</t>
  </si>
  <si>
    <t>Нилова Л. П.</t>
  </si>
  <si>
    <t>978-5-16-004440-8</t>
  </si>
  <si>
    <t>19.03.04, 38.03.07, 38.04.07</t>
  </si>
  <si>
    <t>Рекомендовано ГОУ ВПО "Московский государственный университет пищевых продуктов" в качестве учебника для студентов высших учебных заведений, обучающихся по специальности 080401 "Товароведение и экспертиза зерномучных товаров"</t>
  </si>
  <si>
    <t>687996.01.01</t>
  </si>
  <si>
    <t>Товароведение и эксперт. пушно-мехового сырья... Прак.: Уч.пос. / Л.В.Орленко - М.:НИЦ ИНФРА-М,2025. - 216 с.(п)</t>
  </si>
  <si>
    <t>ТОВАРОВЕДЕНИЕ И ЭКСПЕРТИЗА ПУШНО-МЕХОВОГО СЫРЬЯ И МЕХОВЫХ ИЗДЕЛИЙ. ПРАКТИКУМ.</t>
  </si>
  <si>
    <t>978-5-16-014953-0</t>
  </si>
  <si>
    <t>180300.09.01</t>
  </si>
  <si>
    <t>Товароведение и экспертиза вкусовых товаров: Уч. / А.А.Вытовтов - М.: НИЦ Инфра-М, 2022-576с.(ВО) (п)</t>
  </si>
  <si>
    <t>Вытовтов А. А.</t>
  </si>
  <si>
    <t>978-5-16-004633-4</t>
  </si>
  <si>
    <t>Рекомендовано ФГБОУ ВПО "Московский гос. унив. пищевой промышл." в кач. учеб. для студ. вузов, обуч. по спец. 080401 "Товароведение и эксперитза товров", бакалавров и магистров по напр. подготовки 100800 "Товароведение", 100700 "Торговое дело" профил</t>
  </si>
  <si>
    <t>Санкт-Петербургский технический колледж</t>
  </si>
  <si>
    <t>683130.02.01</t>
  </si>
  <si>
    <t>Товароведение и экспертиза вкусовых товаров: Уч. / А.А.Вытовтов - М.:НИЦ ИНФРА-М,2023-576 с.(СПО)(П)</t>
  </si>
  <si>
    <t>Вытовтов А.А.</t>
  </si>
  <si>
    <t>978-5-16-014007-0</t>
  </si>
  <si>
    <t>19.01.18, 19.01.19, 19.02.12, 19.02.13, 38.02.08, 43.01.01, 43.01.04, 43.01.09, 43.02.01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</si>
  <si>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13 от 16.09.2019)</t>
  </si>
  <si>
    <t>469550.04.01</t>
  </si>
  <si>
    <t>Товароведение и экспертиза вкусовых товаров:Уч.пос./Т.Н.Иванова-М.:НИЦ ИНФРА-М,2023-240-(ВО:Бак.)(П)</t>
  </si>
  <si>
    <t>Т.Н.Иванова</t>
  </si>
  <si>
    <t>978-5-16-009974-3</t>
  </si>
  <si>
    <t>758110.02.01</t>
  </si>
  <si>
    <t>Товароведение и экспертиза доп. видов сырья живот. происхож.: Уч.пос. / М.В.Горбачева-М.:НИЦ ИНФРА-М,2022.-136 с.(П)</t>
  </si>
  <si>
    <t>ТОВАРОВЕДЕНИЕ И ЭКСПЕРТИЗА ДОПОЛНИТЕЛЬНЫХ ВИДОВ СЫРЬЯ ЖИВОТНОГО ПРОИСХОЖДЕНИЯ</t>
  </si>
  <si>
    <t>Горбачева М.В., Щербакова А.В.</t>
  </si>
  <si>
    <t>978-5-16-016980-4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</si>
  <si>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12 от 14.12.2020)</t>
  </si>
  <si>
    <t>409800.05.01</t>
  </si>
  <si>
    <t>Товароведение и экспертиза доп. видов сырья живот...: Уч. пос./М.В.Горбачева-ИНФРА-М, 2023-136с.(ВО) (о)</t>
  </si>
  <si>
    <t>Горбачева М. В., Щербакова А. В.</t>
  </si>
  <si>
    <t>978-5-16-006173-3</t>
  </si>
  <si>
    <t>19.03.04, 38.03.07</t>
  </si>
  <si>
    <t>Рекомендовано Учебно-методическим объединением по образованию в области товароведения и экспертизы товаров в качестве учебного пособия для студентов высших учебных заведений, обучающихся по специальности 080401 — «Товароведение и экспертиза товаров (</t>
  </si>
  <si>
    <t>720427.03.01</t>
  </si>
  <si>
    <t>Товароведение и экспертиза зерномучных товаров: Уч. / Л.П.Нилова, - 2 изд.-М.:НИЦ ИНФРА-М,2024 - 448с(П)</t>
  </si>
  <si>
    <t>Нилова Л.П.</t>
  </si>
  <si>
    <t>978-5-16-015701-6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</si>
  <si>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12 от 24.06.2019)</t>
  </si>
  <si>
    <t>141700.04.98</t>
  </si>
  <si>
    <t>Товароведение и экспертиза мясных товаров...: Уч. пос./Ю.В.Данильчук - М.: НИЦ ИНФРА-М,2017-174с.(О)</t>
  </si>
  <si>
    <t>ТОВАРОВЕДЕНИЕ И ЭКСПЕРТИЗА МЯСНЫХ ТОВАРОВ. ЛАБОРАТОРНЫЙ ПРАКТИКУМ</t>
  </si>
  <si>
    <t>978-5-16-010563-5</t>
  </si>
  <si>
    <t>Рекомендовано Учебнб-методическим объединением по образованию в области товароведения и экспертизы товаров з качестве учебного пособия для студентов высших учебных заведений, обучающихся по специальности 080401 «Товароведение и экспертиза товаров (по</t>
  </si>
  <si>
    <t>141700.08.01</t>
  </si>
  <si>
    <t>Товароведение и экспертиза мясных товаров..: Уч.пос. / Ю.В.Данильчук - 2 изд. - М.:НИЦ ИНФРА-М,2025. - 176 с.(ВО)(п)</t>
  </si>
  <si>
    <t>978-5-16-020732-2</t>
  </si>
  <si>
    <t>Рекомендовано в качестве учебного пособия для студентов высших образовательных учреждений, обучающихся по направлению подготовки 38.03.07 «Товароведение» (квалификация (степень) «бакалавр»)</t>
  </si>
  <si>
    <t>216600.08.01</t>
  </si>
  <si>
    <t>Товароведение и экспертиза пищевых концентратов и...:Уч. / Т.Н.Иванова-2 изд-М.:НИЦ ИНФРА-М,2024.-265 с.(п)</t>
  </si>
  <si>
    <t>ТОВАРОВЕДЕНИЕ И ЭКСПЕРТИЗА ПИЩЕВЫХ КОНЦЕНТРАТОВ И ПИЩЕВЫХ ДОБАВОК, ИЗД.2</t>
  </si>
  <si>
    <t>Иванова Т. Н., Позняковский В. М., Добровольский В. Ф.</t>
  </si>
  <si>
    <t>978-5-16-006916-6</t>
  </si>
  <si>
    <t>Рекомендовано Учебно-методическим объединением по образованию в области товароведения и экспертизы товаров в качестве учебника для подготовки бакалавров и магистров по направлению 100800.62 «Товароведение»</t>
  </si>
  <si>
    <t>720421.03.01</t>
  </si>
  <si>
    <t>Товароведение и экспертиза пищевых концентратов...: Уч. / Т.Н.Иванова - 2 изд. - М.:НИЦ ИНФРА-М,2025. - 265 с.(П)</t>
  </si>
  <si>
    <t>Иванова Т.Н., Позняковский В.М., Добровольский В.Ф.</t>
  </si>
  <si>
    <t>978-5-16-015700-9</t>
  </si>
  <si>
    <t>19.01.18, 19.01.19, 38.02.08, 43.01.01, 43.01.04, 43.01.09, 43.02.01</t>
  </si>
  <si>
    <t>067440.13.01</t>
  </si>
  <si>
    <t>Товароведение и экспертиза товаров: Уч.пос. / Е.А.Замедлина - М.:ИЦ РИОР, НИЦ ИНФРА-М,2025 - 156 с.(О)</t>
  </si>
  <si>
    <t>ТОВАРОВЕДЕНИЕ И ЭКСПЕРТИЗА ТОВАРОВ</t>
  </si>
  <si>
    <t>Замедлина Е.А.</t>
  </si>
  <si>
    <t>978-5-9557-0269-8</t>
  </si>
  <si>
    <t>19.01.18, 19.01.19, 19.02.10, 19.02.13, 38.02.08, 43.01.01, 43.01.04, 43.01.09, 43.02.15</t>
  </si>
  <si>
    <t>370600.04.01</t>
  </si>
  <si>
    <t>Товароведение однород.групп непродовол.товаров...: Уч.пос. / Е.А.Тыщенко-М.:НИЦ ИНФРА-М,2023-394с.(П)</t>
  </si>
  <si>
    <t>ТОВАРОВЕДЕНИЕ ОДНОРОДНЫХ ГРУПП НЕПРОДОВОЛЬСТВЕННЫХ ТОВАРОВ: ПАРФЮМЕРНО-КОСМЕТИЧЕСКИЕ ТОВАРЫ</t>
  </si>
  <si>
    <t>Тыщенко Е.А., Ердакова В.П., Позняковский В.М.</t>
  </si>
  <si>
    <t>978-5-16-011028-8</t>
  </si>
  <si>
    <t>Рекомендовано в качестве учебного пособия для студентов высших учебных заведений, обучающихся по направлению подготовки 38.03.07 «Товароведение» (квалификация (степень) «бакалавр»)</t>
  </si>
  <si>
    <t>081500.08.01</t>
  </si>
  <si>
    <t>Товароведение продовольств. товаров: Уч. пос. / Н.В.Коник - М.:Альфа-М:ИНФРА-М, 2025 - 416 с. (ПРОФИль) (п)</t>
  </si>
  <si>
    <t>ТОВАРОВЕДЕНИЕ ПРОДОВОЛЬСТВЕННЫХ ТОВАРОВ</t>
  </si>
  <si>
    <t>Коник Н. В.</t>
  </si>
  <si>
    <t>978-5-98281-108-0</t>
  </si>
  <si>
    <t>Допущено Мин. обр. и науки РФ в качестве учебного пособия для студентов учреждений среднего профессионального образования, обучающихся по специальностям  "Товароведение" и "Коммерция"</t>
  </si>
  <si>
    <t>142500.07.01</t>
  </si>
  <si>
    <t>Товароведение строительных товаров: Уч. пос. / Ф.А.Петрище - М.: ИД ФОРУМ, 2024-208с.(ВО) (п)</t>
  </si>
  <si>
    <t>ТОВАРОВЕДЕНИЕ СТРОИТЕЛЬНЫХ ТОВАРОВ</t>
  </si>
  <si>
    <t>978-5-8199-0464-0</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</si>
  <si>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направлению 100700 - Торговое дело, профилям подготовки "Коммерция" и "Товароведение и эк"</t>
  </si>
  <si>
    <t>241800.04.01</t>
  </si>
  <si>
    <t>Товароведение, технология и экспертиза пищевых продуктов животного происхождения:Уч.пос. / Г.В.Чебакова-М.:НИЦ ИНФРА-М,2020-304с(ВО)(П)</t>
  </si>
  <si>
    <t>ТОВАРОВЕДЕНИЕ, ТЕХНОЛОГИЯ И ЭКСПЕРТИЗА ПИЩЕВЫХ ПРОДУКТОВ ЖИВОТНОГО ПРОИСХОЖДЕНИЯ</t>
  </si>
  <si>
    <t>Чебакова Г. В., Данилова И. А.</t>
  </si>
  <si>
    <t>978-5-16-006081-1</t>
  </si>
  <si>
    <t>455850.07.01</t>
  </si>
  <si>
    <t>Товароведение: Уч.пос. / Е.С.Григорян - М.:НИЦ ИНФРА-М,2023 - 265 с.-(ВО: Бакалавриат)(П)</t>
  </si>
  <si>
    <t>ТОВАРОВЕДЕНИЕ</t>
  </si>
  <si>
    <t>Григорян Е. С.</t>
  </si>
  <si>
    <t>978-5-16-005764-4</t>
  </si>
  <si>
    <t>Рекомендовано Учебно-методическим объединением по образованию в области товароведения в качестве учебного пособия для студентов высших учебных заведений, обучающихся по направлению 100800 «Товароведение» (квалификация (степень) — «бакалавр»)</t>
  </si>
  <si>
    <t>683131.07.01</t>
  </si>
  <si>
    <t>Товароведение: Уч.пос. / Е.С.Григорян - М.:НИЦ ИНФРА-М,2024 - 265 с.-(СПО)(П)</t>
  </si>
  <si>
    <t>978-5-16-014008-7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</si>
  <si>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3 от 11.02.2019)</t>
  </si>
  <si>
    <t>449450.06.01</t>
  </si>
  <si>
    <t>Токсичность современных автомобилей..: Уч. /В.И.Ерохов-М.: Форум, НИЦ ИНФРА-М, 2024 -448с. (П)</t>
  </si>
  <si>
    <t>ТОКСИЧНОСТЬ СОВРЕМЕННЫХ АВТОМОБИЛЕЙ (МЕТОДЫ И СРЕДСТВА СНИЖЕНИЯ ВРЕДНЫХ ВЫБРОСОВ В АТМОСФЕРУ)</t>
  </si>
  <si>
    <t>Ерохов В. И.</t>
  </si>
  <si>
    <t>978-5-91134-801-4</t>
  </si>
  <si>
    <t>Допущено Учебно-методическим объединением вузов РФ по образованию в области транспортных машин и транспортно-технологических комплексов в качестве учебника для студентов высших учебных заведений, обучающихся по специальности 190201 "Автомобиле- и тракторостроение"</t>
  </si>
  <si>
    <t>308300.12.01</t>
  </si>
  <si>
    <t>Топливо, смазочные матер.и технич.жидк..: Уч.пос. / Карташевич А.Н. - М.:НИЦ ИНФРА-М,2025 - 421 с.(п)</t>
  </si>
  <si>
    <t>ТОПЛИВО, СМАЗОЧНЫЕ МАТЕРИАЛЫ И ТЕХНИЧЕСКИЕ ЖИДКОСТИ</t>
  </si>
  <si>
    <t>Карташевич А.Н., Товстыка В.С., Гордеенко А.В. и др.</t>
  </si>
  <si>
    <t>978-5-16-020881-7</t>
  </si>
  <si>
    <t>23.05.02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</si>
  <si>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«Техническое обеспечение процессов сельскохозяйственного производства», «Техническое обеспечение мелиоративных и водохозяйственных работ», «Материально-техническое обеспечение АПК» (соответствует направлению подготовки 35.03.06 «Агроинженерия»)</t>
  </si>
  <si>
    <t>783407.05.01</t>
  </si>
  <si>
    <t>Топографическая подготовка: Уч.пос. / А.А.Ильященко - М.:НИЦ ИНФРА-М,2025 - 247 с.(ВО: Спец.)(п)</t>
  </si>
  <si>
    <t>ТОПОГРАФИЧЕСКАЯ ПОДГОТОВКА</t>
  </si>
  <si>
    <t>Ильященко А.А., Ковальчук А.Н.</t>
  </si>
  <si>
    <t>978-5-16-018066-3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</si>
  <si>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8 от 19.10.2022)</t>
  </si>
  <si>
    <t>771230.01.01</t>
  </si>
  <si>
    <t>Топография и картография: Уч.пос. / Н.В.Корягина-М.:НИЦ ИНФРА-М,2024.-219 с.(ВО)(п)</t>
  </si>
  <si>
    <t>ТОПОГРАФИЯ И КАРТОГРАФИЯ</t>
  </si>
  <si>
    <t>978-5-16-017522-5</t>
  </si>
  <si>
    <t>05.03.03, 21.03.02</t>
  </si>
  <si>
    <t>370800.11.01</t>
  </si>
  <si>
    <t>Топография: Уч. / Г.Д.Курошев, - 3 изд. - М.:НИЦ ИНФРА-М,2025. - 182 с.(ВО)(о)</t>
  </si>
  <si>
    <t>ТОПОГРАФИЯ, ИЗД.3</t>
  </si>
  <si>
    <t>Курошев Г.Д.</t>
  </si>
  <si>
    <t>978-5-16-020684-4</t>
  </si>
  <si>
    <t>05.03.03, 05.03.04</t>
  </si>
  <si>
    <t>Рекомендовано в качестве учебника для студентов высших учебных заведений, обучающихся по направлениям подготовки 05.03.02 «География», 05.03.03 «Картография и геоинформатика» и 05.03.04 «Гидрометеорология» (квалификация (степень) «бакалавр»)</t>
  </si>
  <si>
    <t>338700.04.01</t>
  </si>
  <si>
    <t>Торговая политика: Уч.пос. / Е.Д.Халевинская - М.:Магистр, НИЦ ИНФРА-М,2023.-304 с.</t>
  </si>
  <si>
    <t>ТОРГОВАЯ ПОЛИТИКА</t>
  </si>
  <si>
    <t>Е.Д.Халевинская</t>
  </si>
  <si>
    <t>978-5-9776-0351-5</t>
  </si>
  <si>
    <t>38.03.01, 38.03.06, 38.03.07, 38.04.01, 38.04.06, 38.04.07, 38.05.02</t>
  </si>
  <si>
    <t>173550.08.01</t>
  </si>
  <si>
    <t>Торговое дело. Экономика и управ. розничными торг. сетями: Уч. / В.П.Чеглов-М.:НИЦ ИНФРА-М,2024.-309 с.(ВО(П)</t>
  </si>
  <si>
    <t>ТОРГОВОЕ ДЕЛО. ЭКОНОМИКА И УПРАВЛЕНИЕ РОЗНИЧНЫМИ ТОРГОВЫМИ СЕТЯМИ</t>
  </si>
  <si>
    <t>Чеглов В.П.</t>
  </si>
  <si>
    <t>978-5-16-015782-5</t>
  </si>
  <si>
    <t>38.03.02, 38.03.06, 38.04.02, 38.04.06, 38.04.07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</si>
  <si>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38.04.06 «Торговое дело», 38.04.07 «Товароведение» (квалификация (степень) «магистр») (протокол № 8 от 22.06.2020)</t>
  </si>
  <si>
    <t>071850.18.01</t>
  </si>
  <si>
    <t>Торговое оборудование: Уч. пос. / В.Ф.Кащенко - М.:НИЦ ИНФРА-М,2024 - 398 с.(СПО)(П)</t>
  </si>
  <si>
    <t>ТОРГОВОЕ ОБОРУДОВАНИЕ</t>
  </si>
  <si>
    <t>Кащенко В.Ф., Кащенко Л.В.</t>
  </si>
  <si>
    <t>978-5-16-015381-0</t>
  </si>
  <si>
    <t>15.01.18, 15.02.06, 38.02.01, 38.02.03, 38.02.08</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</si>
  <si>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торговым и экономическим специальностям</t>
  </si>
  <si>
    <t>757865.01.01</t>
  </si>
  <si>
    <t>Тракторы и авто. и с электронным управ.: Уч.пос. / А.В.Богатырев - М.:НИЦ ИНФРА-М,2024.-631 с.(СПО)(п)</t>
  </si>
  <si>
    <t>ТРАКТОРЫ И АВТОМОБИЛИ С ЭЛЕКТРОННЫМ УПРАВЛЕНИЕМ</t>
  </si>
  <si>
    <t>Богатырев А.В., Щукина В.Н.</t>
  </si>
  <si>
    <t>978-5-16-017189-0</t>
  </si>
  <si>
    <t>23.02.02, 35.01.01, 35.01.15, 35.02.07, 35.02.16</t>
  </si>
  <si>
    <t>251100.08.01</t>
  </si>
  <si>
    <t>Тракторы и автомобили: теория и технолог. свойства: Уч. / Г.М.Кутьков - 2 изд. - ИНФРА-М, 2025 - 506 с.(ВО) (п)</t>
  </si>
  <si>
    <t>ТРАКТОРЫ И АВТОМОБИЛИ: ТЕОРИЯ И ТЕХНОЛОГИЧЕСКИЕ СВОЙСТВА, ИЗД.2</t>
  </si>
  <si>
    <t>Кутьков Г. М.</t>
  </si>
  <si>
    <t>978-5-16-006053-8</t>
  </si>
  <si>
    <t>Рекомендован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специальностям «Механизация сельского хозяйства» и «Технология обслужив</t>
  </si>
  <si>
    <t>683132.07.01</t>
  </si>
  <si>
    <t>Тракторы и автомобили: Уч. / А.В.Богатырев - М.:НИЦ ИНФРА-М,2025 -  425 с.(СПО)(П)</t>
  </si>
  <si>
    <t>ТРАКТОРЫ И АВТОМОБИЛИ</t>
  </si>
  <si>
    <t>Богатырев А.В., Лехтер В.Р.</t>
  </si>
  <si>
    <t>978-5-16-014009-4</t>
  </si>
  <si>
    <t>15.02.04, 19.02.11, 19.02.12, 21.02.12, 35.01.01, 35.01.15, 35.01.27, 35.01.30, 35.02.05, 35.02.07, 35.02.08, 35.02.16, 36.01.02, 36.02.03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</si>
  <si>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35.02.07 «Механизация сельского хозяйства», 23.02.02 «Автомобиле- и тракторостроение», 23.02.03 «Техническое обслуживание и ремонт автомобильного транспорта»</t>
  </si>
  <si>
    <t>203100.11.01</t>
  </si>
  <si>
    <t>Тракторы и автомобили: Уч. / А.В.Богатырев - М.:НИЦ ИНФРА-М,2025 - 425 с.(ВО: Бакалавриат)(П)</t>
  </si>
  <si>
    <t>978-5-16-006582-3</t>
  </si>
  <si>
    <t>Рекомендовано Учебно-методическим объединением вузов России по агроинженерному образованию в качестве учебника для студентов высших учебных заведений, обучающихся по направлениям подготовки 35.03.06 "Агроинженерия» и 23.03.03 "Эксплуатация транспортн</t>
  </si>
  <si>
    <t>701963.08.01</t>
  </si>
  <si>
    <t>Трансмиссия и ходовая часть танка Т-72: Уч.пос. / Ю.Н.Зайчиков - М.:НИЦ ИНФРА-М,2025 - 124 с.-(Воен.обр.)(О)</t>
  </si>
  <si>
    <t>ТРАНСМИССИЯ И ХОДОВАЯ ЧАСТЬ ТАНКА Т-72</t>
  </si>
  <si>
    <t>Зайчиков Ю.Н.</t>
  </si>
  <si>
    <t>978-5-16-014824-3</t>
  </si>
  <si>
    <t>23.03.01, 23.03.03, 56.04.04</t>
  </si>
  <si>
    <t>670734.04.01</t>
  </si>
  <si>
    <t>Транспортная логистика: Уч.пос. / Л.Э.Еремеева, - 3 изд.-М.:НИЦ ИНФРА-М,2024.-401 с.(ВО)(п)</t>
  </si>
  <si>
    <t>ТРАНСПОРТНАЯ ЛОГИСТИКА, ИЗД.3</t>
  </si>
  <si>
    <t>978-5-16-019427-1</t>
  </si>
  <si>
    <t>23.03.01, 23.03.03, 23.05.04, 26.03.01, 38.05.02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</si>
  <si>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23.03.01 «Технология транспортных процессов», 23.03.03 «Эксплуатация транспортно-технологических машин и комплексов» (квалификация (степень) «бакалавр») (протокол № 5 от 11.05.2022)</t>
  </si>
  <si>
    <t>663409.03.01</t>
  </si>
  <si>
    <t>Транспортное обеспечение торговой деят.: Уч.пос. / Ю.А.Кочинов-М.:НИЦ ИНФРА-М,2023.-226 с.(ВО)(П)</t>
  </si>
  <si>
    <t>ТРАНСПОРТНОЕ ОБЕСПЕЧЕНИЕ ТОРГОВОЙ ДЕЯТЕЛЬНОСТИ</t>
  </si>
  <si>
    <t>Кочинов Ю.А., Кочинова Т.В.</t>
  </si>
  <si>
    <t>978-5-16-015028-4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</si>
  <si>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38.03.06 «Торговое дело» (квалификация (степень) «бакалавр») (протокол № 5 от 16.03.2020)</t>
  </si>
  <si>
    <t>Пермский государственный аграрно-технологический университет  имени академика Д.Н. Прянишникова</t>
  </si>
  <si>
    <t>292200.12.01</t>
  </si>
  <si>
    <t>Транспортные системы и техн.перевозок: Уч.пос. / С.В.Милославская - М.:НИЦ ИНФРА-М,2024 - 116 с.(о)</t>
  </si>
  <si>
    <t>ТРАНСПОРТНЫЕ СИСТЕМЫ И ТЕХНОЛОГИИ ПЕРЕВОЗОК</t>
  </si>
  <si>
    <t>Милославская С.В., Почаев Ю.А.</t>
  </si>
  <si>
    <t>978-5-16-019407-3</t>
  </si>
  <si>
    <t>23.03.01, 38.03.02, 41.03.06</t>
  </si>
  <si>
    <t>Допущено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t>
  </si>
  <si>
    <t>Государственный университет морского и речного флота им. адмирала С.О. Макарова</t>
  </si>
  <si>
    <t>189600.08.01</t>
  </si>
  <si>
    <t>Тренинг в организации: Уч.пос. / А.Б.Невеев - М.:НИЦ ИНФРА-М,2024 - 256 с.-(ВО: Бакалавриат)(П))</t>
  </si>
  <si>
    <t>ТРЕНИНГ В ОРГАНИЗАЦИИ</t>
  </si>
  <si>
    <t>Невеев А.Б.</t>
  </si>
  <si>
    <t>978-5-16-005660-9</t>
  </si>
  <si>
    <t>Рекомендовано Советом Учебно-методического объединения в области менеджмента в качестве учебного пособия для студентов высшего профессионального образования,  обучающихся по направлению 080200 "Менеджмент"</t>
  </si>
  <si>
    <t>774985.01.01</t>
  </si>
  <si>
    <t>Тренинг профессионального саморазвития: уч.пос. / Е.В.Голубева-М.:НИЦ ИНФРА-М,2023.-203 с..-(ВО:Магистр)(п)</t>
  </si>
  <si>
    <t>ТРЕНИНГ ПРОФЕССИОНАЛЬНОГО САМОРАЗВИТИЯ</t>
  </si>
  <si>
    <t>Голубева Е.В.</t>
  </si>
  <si>
    <t>978-5-16-017559-1</t>
  </si>
  <si>
    <t>04.04.01, 12.04.01, 21.05.04, 35.04.07, 38.04.03, 39.03.02, 41.04.05, 42.04.01, 44.04.01, 44.04.02, 48.04.01, 49.04.01</t>
  </si>
  <si>
    <t>204800.11.01</t>
  </si>
  <si>
    <t>Триботехника: Уч. / А.И.Доценко - 2 изд. - М.:НИЦ ИНФРА-М,2025 - 399 с.(ВО: Бакалавриат)(П)</t>
  </si>
  <si>
    <t>ТРИБОТЕХНИКА, ИЗД.2</t>
  </si>
  <si>
    <t>978-5-16-015079-6</t>
  </si>
  <si>
    <t>Рекомендовано Учебно-методическим объединением вузов РФ по образованию в области строительства в качестве учебника для студентов, обучающихся по программе бакалавриата по направлению «Строительство» (профили «Механизация и автоматизация строительства» и «Механическое оборудование и технологические комплексы предприятий строительных материалов, изделий и конструкций»)</t>
  </si>
  <si>
    <t>120800.12.01</t>
  </si>
  <si>
    <t>ТРИЗ. Анализ технической информации...: Уч.пос. / Н.А.Шпаковский - 2 изд., - М.:Форум,НИЦ ИНФРА-М,2025 - 264с.(п)</t>
  </si>
  <si>
    <t>ТРИЗ. АНАЛИЗ ТЕХНИЧЕСКОЙ ИНФОРМАЦИИ И ГЕНЕРАЦИЯ НОВЫХ ИДЕЙ, ИЗД.2</t>
  </si>
  <si>
    <t>Шпаковский Н. А.</t>
  </si>
  <si>
    <t>978-5-00091-784-8</t>
  </si>
  <si>
    <t>22.04.02, 27.03.05, 27.04.07</t>
  </si>
  <si>
    <t>Рекомендовано кафедрой теоретических основ инноватики факультета инноватики Санкт-Петербургского государственного политехнического университета</t>
  </si>
  <si>
    <t>654536.04.01</t>
  </si>
  <si>
    <t>Трофические язвы венозной этиологии. Диагност....: Уч.пос. / С.Е.Каторкин, - 2 изд.-М.:НИЦ ИНФРА-М,2023.-317 с.(п)</t>
  </si>
  <si>
    <t>ТРОФИЧЕСКИЕ ЯЗВЫ ВЕНОЗНОЙ ЭТИОЛОГИИ. ДИАГНОСТИКА И ЛЕЧЕНИЕ., ИЗД.2</t>
  </si>
  <si>
    <t>Каторкин С.Е., Мельников М.А.</t>
  </si>
  <si>
    <t>978-5-16-018237-7</t>
  </si>
  <si>
    <t>654536.03.01</t>
  </si>
  <si>
    <t>Трофические язвы венозной этиологии. Диагност.: Уч.пос. / С.Е.Каторкин - М.:НИЦ ИНФРА-М,2022 - 312 с.(ВО)(П)</t>
  </si>
  <si>
    <t>ТРОФИЧЕСКИЕ ЯЗВЫ ВЕНОЗНОЙ ЭТИОЛОГИИ. ДИАГНОСТИКА И ЛЕЧЕНИЕ.</t>
  </si>
  <si>
    <t>978-5-16-014064-3</t>
  </si>
  <si>
    <t>267600.08.01</t>
  </si>
  <si>
    <t>Труд  студента: ступени успеха на пути к диплому: Уч. пос. / Г.А.Воронцов - 2 изд. - ИНФРА-М,2025 - 256 с.(о)</t>
  </si>
  <si>
    <t>ТРУД  СТУДЕНТА: СТУПЕНИ УСПЕХА НА ПУТИ К ДИПЛОМУ, ИЗД.2</t>
  </si>
  <si>
    <t>Воронцов Г. А.</t>
  </si>
  <si>
    <t>978-5-16-009594-3</t>
  </si>
  <si>
    <t>Рекомендовано Южным отделением Российской Академии образования в качестве учебного пособия для студентов высших учебных заведений</t>
  </si>
  <si>
    <t>818127.01.01</t>
  </si>
  <si>
    <t>Трудовое право России: Практикум - М.:Юр. НОРМА, НИЦ ИНФРА-М,2024.-368 с.(п)</t>
  </si>
  <si>
    <t>ТРУДОВОЕ ПРАВО РОССИИ</t>
  </si>
  <si>
    <t>Головина С.Ю.</t>
  </si>
  <si>
    <t>978-5-00156-344-0</t>
  </si>
  <si>
    <t>38.03.01, 38.03.03, 38.03.04, 38.05.01, 38.05.02, 40.02.02, 40.02.04, 40.03.01, 40.05.01, 40.05.02, 40.05.03, 40.05.04, 44.03.05</t>
  </si>
  <si>
    <t>424200.03.01</t>
  </si>
  <si>
    <t>Трудовое право России: Уч.пос. / Под ред. Чеканова В.Е.-М.:ИЦ РИОР, НИЦ ИНФРА-М,2017.-254 с..(ВО)(П)</t>
  </si>
  <si>
    <t>Городилина И.А., Чеканов В.Е.</t>
  </si>
  <si>
    <t>978-5-369-01093-8</t>
  </si>
  <si>
    <t>38.03.01, 40.03.01, 40.04.01, 40.05.01, 40.05.02, 40.05.03, 40.05.04, 44.03.05, 46.03.02</t>
  </si>
  <si>
    <t>424200.05.01</t>
  </si>
  <si>
    <t>Трудовое право России:Уч.пос. / И.А.Шувалова, - 2-е изд.-М.:ИЦ РИОР, НИЦ ИНФРА-М,2018.-251 с..-(ВО: Бакалавриат)(П 7БЦ)</t>
  </si>
  <si>
    <t>ТРУДОВОЕ ПРАВО РОССИИ, ИЗД.2</t>
  </si>
  <si>
    <t>978-5-369-01704-3</t>
  </si>
  <si>
    <t>795335.02.01</t>
  </si>
  <si>
    <t>Трудовое право: Уч. / А.Я.Петров - М.:Юр. НОРМА, НИЦ ИНФРА-М,2025. - 776 с.(п)</t>
  </si>
  <si>
    <t>ТРУДОВОЕ ПРАВО</t>
  </si>
  <si>
    <t>Петров А.Я.</t>
  </si>
  <si>
    <t>978-5-00156-279-5</t>
  </si>
  <si>
    <t>23.05.03, 38.03.01, 38.03.03, 38.03.04, 38.05.01, 38.05.02, 40.03.01, 40.05.01, 40.05.02, 40.05.03, 40.05.04, 41.03.06, 42.03.04, 44.03.05, 46.03.02</t>
  </si>
  <si>
    <t>163500.06.01</t>
  </si>
  <si>
    <t>Трудовое право: Уч. / В.М.Лебедев и др. - 2 изд. - М.:Юр.Норма, НИЦ ИНФРА-М,2020 - 368 с.(П)</t>
  </si>
  <si>
    <t>ТРУДОВОЕ ПРАВО, ИЗД.2</t>
  </si>
  <si>
    <t>Лебедев В.М., Белинин А.А., Воронкова Е.Р. и др.</t>
  </si>
  <si>
    <t>978-5-91768-923-4</t>
  </si>
  <si>
    <t>Допущено Учебно-методическим советом по образованию в области юриспруденции Сибирского федерального округа в качестве учебника для студ. вузов, обучающихся по напр. 030500 и спец. 030501 "Юриспруденция", а также по напр. 030900 "Юриспруденция"</t>
  </si>
  <si>
    <t>163500.15.01</t>
  </si>
  <si>
    <t>Трудовое право: Уч. / В.М.Лебедев и др. - 3 изд. - М.:Юр.Норма, НИЦ ИНФРА-М,2025 - 376 с.(П)</t>
  </si>
  <si>
    <t>ТРУДОВОЕ ПРАВО, ИЗД.3</t>
  </si>
  <si>
    <t>978-5-00156-222-1</t>
  </si>
  <si>
    <t>163500.03.01</t>
  </si>
  <si>
    <t>Трудовое право: Уч. / В.М.Лебедев и др. - М.:Юр.Норма, НИЦ ИНФРА-М,2015. - 464 с.</t>
  </si>
  <si>
    <t>Лебедев В.М., Агашев Д.В., Белинин А.А. и др.</t>
  </si>
  <si>
    <t>978-5-91768-219-8</t>
  </si>
  <si>
    <t>Допущено Учебно-методическим советом по образованию в области юриспруденции Сибирского федерального округа в качестве учебника для студентов высших учебных заведений, обучающихся по направлению 030500 и специальности 030501 «Юриспруденция», а также по направлению 030900 «Юриспруденция»</t>
  </si>
  <si>
    <t>776140.04.01</t>
  </si>
  <si>
    <t>Трудовое право: Уч. / Д.Р.Акопов - М.:НИЦ ИНФРА-М,2025. - 331 с.(СПО)(п)</t>
  </si>
  <si>
    <t>Акопов Д.Р., Губенко М.И., Еремина С.Н. и др.</t>
  </si>
  <si>
    <t>978-5-16-018061-8</t>
  </si>
  <si>
    <t>24.02.01, 40.02.02, 40.02.04</t>
  </si>
  <si>
    <t>704238.03.01</t>
  </si>
  <si>
    <t>Трудовое право: Уч.пос. / А.В.Карпова - М.:НИЦ ИНФРА-М,2023 - 316 с.(СПО)(П)</t>
  </si>
  <si>
    <t>978-5-16-015455-8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</si>
  <si>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1 от 20.01.2020)</t>
  </si>
  <si>
    <t>654593.06.01</t>
  </si>
  <si>
    <t>Туризм: Словарь / Под ред. Морозова М.А.- М.:НИЦ ИНФРА-М,2024 - 300 с.(Б-ка сл. ИНФРА-М)(П)</t>
  </si>
  <si>
    <t>ТУРИЗМ</t>
  </si>
  <si>
    <t>Морозов М.А., Морозова Н.С., Фролов А.И. и др.</t>
  </si>
  <si>
    <t>978-5-16-014476-4</t>
  </si>
  <si>
    <t>43.00.00, 43.02.16, 43.03.02, 43.04.01, 43.04.02, 43.04.03, 49.03.03</t>
  </si>
  <si>
    <t>683134.06.01</t>
  </si>
  <si>
    <t>Туристские ресурсы России: Практикум / Н.Г.Можаева - М.:Форум, НИЦ ИНФРА-М,2025. - 112 с.(СПО)(О)</t>
  </si>
  <si>
    <t>ТУРИСТСКИЕ РЕСУРСЫ РОССИИ</t>
  </si>
  <si>
    <t>Можаева Н.Г.</t>
  </si>
  <si>
    <t>978-5-00091-560-8</t>
  </si>
  <si>
    <t>631790.06.01</t>
  </si>
  <si>
    <t>Туристские ресурсы России: Практикум / Н.Г.Можаева -М.:Форум,НИЦ ИНФРА-М,2023-112с.(ВО:Бакалавр.)(О)</t>
  </si>
  <si>
    <t>978-5-00091-408-3</t>
  </si>
  <si>
    <t>432750.09.01</t>
  </si>
  <si>
    <t>Туристские формальности: Уч. пос./И.В.Борисенко - М.: Форум:  НИЦ ИНФРА-М, 2023-384с.(ВО: Бакалавр.) (п)</t>
  </si>
  <si>
    <t>ТУРИСТСКИЕ ФОРМАЛЬНОСТИ</t>
  </si>
  <si>
    <t>Борисенко И. В., Григорьева Г. Б., Гусев Н. И., Ершова С. И., Шевцова Т. В.</t>
  </si>
  <si>
    <t>978-5-91134-772-7</t>
  </si>
  <si>
    <t>Рекомендовано УМОучебных заведений Российской Федерации по образованию в области сервиса и туризма для студентов высших учебных заведений, обучающихся по направлениям подготовки 100200.62 "Туризм", 100200.68 "Туризм", 100400.62 "Туризм", 100400.68 "Г</t>
  </si>
  <si>
    <t>757838.06.01</t>
  </si>
  <si>
    <t>Туристское страноведение: Уч.пос. / П.В.Большаник - М.:НИЦ ИНФРА-М,2025 - 241 с.(СПО)(П)</t>
  </si>
  <si>
    <t>ТУРИСТСКОЕ СТРАНОВЕДЕНИЕ</t>
  </si>
  <si>
    <t>978-5-16-016923-1</t>
  </si>
  <si>
    <t>Рекомендовано Межрегиональным учебно-методическимсоветом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43.02.10 «Туризм», 43.02.11 «Гостиничный сервис» (протокол № 11 от 09.11.2020)</t>
  </si>
  <si>
    <t>633280.08.01</t>
  </si>
  <si>
    <t>Туристское страноведение: Уч.пос. / П.В.Большаник - М.:НИЦ ИНФРА-М,2025. - 241 с.(ВО: Бакалавр.)(П)</t>
  </si>
  <si>
    <t>978-5-16-012057-7</t>
  </si>
  <si>
    <t>273900.11.01</t>
  </si>
  <si>
    <t>Туристско-рекреационное проектирование: Уч.пос. / Ю.А.Колесова-М.:КУРС, НИЦ ИНФРА-М,2024.-352 с.(о)</t>
  </si>
  <si>
    <t>ТУРИСТСКО-РЕКРЕАЦИОННОЕ ПРОЕКТИРОВАНИЕ</t>
  </si>
  <si>
    <t>Колесова Ю.А.</t>
  </si>
  <si>
    <t>978-5-906818-65-2</t>
  </si>
  <si>
    <t>43.03.01, 43.03.02, 43.04.01, 43.04.02</t>
  </si>
  <si>
    <t>395600.08.01</t>
  </si>
  <si>
    <t>Тьютор в образоват.пространстве: Уч.пос. / Сергеева В.П. - М.:НИЦ ИНФРА-М,2025. - 192 с.(ВО: Магистр.)(П)</t>
  </si>
  <si>
    <t>ТЬЮТОР В ОБРАЗОВАТЕЛЬНОМ ПРОСТРАНСТВЕ</t>
  </si>
  <si>
    <t>Сергеева В.П., Сергеева И.С., Сороковых Г.В. и др.</t>
  </si>
  <si>
    <t>978-5-16-011228-2</t>
  </si>
  <si>
    <t>654804.03.01</t>
  </si>
  <si>
    <t>Тяговые электр. сис. автотранспортных средств: Уч./Е.М.Овсянников-М.:Форум, НИЦ ИНФРА-М,2023-303с(П)</t>
  </si>
  <si>
    <t>ТЯГОВЫЕ ЭЛЕКТРИЧЕСКИЕ СИСТЕМЫ АВТОТРАНСПОРТНЫХ СРЕДСТВ</t>
  </si>
  <si>
    <t>Овсянников Е.М., Фомин А.П.</t>
  </si>
  <si>
    <t>978-5-00091-527-1</t>
  </si>
  <si>
    <t>23.03.01, 23.03.02, 23.03.03, 23.05.01</t>
  </si>
  <si>
    <t>Рекомендовано Учебно-методическим советом ВО в качестве учебника для студентов высших учебных заведений, обучающихся по направлениям подготовки 23.03.02 «Наземные транспортно-технологические комплексы», 23.03.03 «Эксплуатация транспортно-технологических машин и комплексов» (квалификация (степень) «бакалавр»)</t>
  </si>
  <si>
    <t>705530.04.01</t>
  </si>
  <si>
    <t>Тяговые электр. системы автотрансп. средств: Уч. / Е.М.Овсянников - М:Форум,НИЦ ИНФРА-М,2023-303с(СПО)</t>
  </si>
  <si>
    <t>978-5-00091-677-3</t>
  </si>
  <si>
    <t>23.02.02, 23.02.03, 23.02.05, 23.02.07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</si>
  <si>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двигателей, систем и агрегатов автомобилей»</t>
  </si>
  <si>
    <t>090300.08.01</t>
  </si>
  <si>
    <t>Уголовное право России. Общ. и Особ. ч.: Уч. / В.К.Дуюнов - 5 изд. - РИОР:ИНФРА-М, 2017-695с.(ВО)</t>
  </si>
  <si>
    <t>УГОЛОВНОЕ ПРАВО РОССИИ. ОБЩАЯ И ОСОБЕННАЯ ЧАСТИ, ИЗД.5</t>
  </si>
  <si>
    <t>Дуюнов В.К., Галактионов С.А., Агапов П.В. и др.</t>
  </si>
  <si>
    <t>978-5-369-01584-1</t>
  </si>
  <si>
    <t>090300.14.01</t>
  </si>
  <si>
    <t>Уголовное право России. Общ. и Особ. ч.: Уч. / В.К.Дуюнов - 6 изд. -М.:РИОР:ИНФРА-М,2023-780с(ВО)(П)</t>
  </si>
  <si>
    <t>УГОЛОВНОЕ ПРАВО РОССИИ. ОБЩАЯ И ОСОБЕННАЯ ЧАСТИ, ИЗД.6</t>
  </si>
  <si>
    <t>Дуюнов В.К.</t>
  </si>
  <si>
    <t>978-5-369-01807-1</t>
  </si>
  <si>
    <t>768939.05.01</t>
  </si>
  <si>
    <t>Уголовное право России. Общ. и Особ. части: Уч. / В.К.Дуюнов - М.:ИЦ РИОР, НИЦ ИНФРА-М,2025.-700 с.(СПО)(П)</t>
  </si>
  <si>
    <t>УГОЛОВНОЕ ПРАВО РОССИИ. ОБЩАЯ И ОСОБЕННАЯ ЧАСТИ</t>
  </si>
  <si>
    <t>978-5-369-01902-3</t>
  </si>
  <si>
    <t>413600.05.01</t>
  </si>
  <si>
    <t>Уголовное право РФ. Общая ч.: Уч. / Под ред. Иногамовой-Хегай Л.В. - 2 изд.-М.:НИЦ ИНФРА-М,2016-336с</t>
  </si>
  <si>
    <t>УГОЛОВНОЕ ПРАВО РОССИЙСКОЙ ФЕДЕРАЦИИ. ОБЩАЯ ЧАСТЬ, ИЗД.2</t>
  </si>
  <si>
    <t>Иногамова-Хегай Л. В.</t>
  </si>
  <si>
    <t>978-5-16-009177-8</t>
  </si>
  <si>
    <t>Рекомендовано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</si>
  <si>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413600.14.01</t>
  </si>
  <si>
    <t>Уголовное право РФ. Общая часть: Уч. / Иногамова-Хегай Л.В. - 3 изд. - М.:НИЦ ИНФРА-М,2025 - 354 с.(П)</t>
  </si>
  <si>
    <t>УГОЛОВНОЕ ПРАВО РОССИЙСКОЙ ФЕДЕРАЦИИ. ОБЩАЯ ЧАСТЬ, ИЗД.3</t>
  </si>
  <si>
    <t>978-5-16-020598-4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</si>
  <si>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18 от 25.11.2019)</t>
  </si>
  <si>
    <t>794232.02.01</t>
  </si>
  <si>
    <t>Уголовное право РФ. Общая часть: Уч. / Под ред. Кузнецова А.П. - М.:НИЦ ИНФРА-М,2025. - 557 с.(ВО)(п)</t>
  </si>
  <si>
    <t>УГОЛОВНОЕ ПРАВО РОССИЙСКОЙ ФЕДЕРАЦИИ. ОБЩАЯ ЧАСТЬ</t>
  </si>
  <si>
    <t>Антонян Е.А., Беляков А.Ю., Бодрова Е.О. и др.</t>
  </si>
  <si>
    <t>978-5-16-020848-0</t>
  </si>
  <si>
    <t>429100.10.01</t>
  </si>
  <si>
    <t>Уголовное право РФ. Особ. ч.: Уч. / Под ред. Иногамова-Хегай Л.В., - 3 изд. - М.:НИЦ ИНФРА-М,2025. - 407 с.(П)</t>
  </si>
  <si>
    <t>УГОЛОВНОЕ ПРАВО РОССИЙСКОЙ ФЕДЕРАЦИИ. ОСОБЕННАЯ ЧАСТЬ, ИЗД.3</t>
  </si>
  <si>
    <t>Иногамова-Хегай Л.В., Антонова Е.Ю., Безверхов А.Г. и др.</t>
  </si>
  <si>
    <t>978-5-16-020599-1</t>
  </si>
  <si>
    <t>Рекомендовано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</si>
  <si>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803209.01.01</t>
  </si>
  <si>
    <t>Уголовное право РФ. Особенная часть: Уч. / Р.Б.Головкин.-М.:НИЦ ИНФРА-М,2024.-642 с.(ВО)(п)</t>
  </si>
  <si>
    <t>УГОЛОВНОЕ ПРАВО РОССИЙСКОЙ ФЕДЕРАЦИИ. ОСОБЕННАЯ ЧАСТЬ</t>
  </si>
  <si>
    <t>Пикин И.В., Прохорова М.Л., Головкин Р.Б. и др.</t>
  </si>
  <si>
    <t>978-5-16-019165-2</t>
  </si>
  <si>
    <t>705868.07.01</t>
  </si>
  <si>
    <t>Уголовное право. Общая часть: Уч. / Под ред. Дворянскова И.В. - М.:НИЦ ИНФРА-М,2025 - 532 с.(ВО)(п)</t>
  </si>
  <si>
    <t>УГОЛОВНОЕ ПРАВО. ОБЩАЯ ЧАСТЬ</t>
  </si>
  <si>
    <t>Дворянсков И.В., Антонян Е.А., Боровиков С.А. и др.</t>
  </si>
  <si>
    <t>978-5-16-020642-4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</si>
  <si>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6 от 16.06.2021)</t>
  </si>
  <si>
    <t>776288.03.01</t>
  </si>
  <si>
    <t>Уголовное право. Общая часть: Уч. / Под ред. Дворянскова И.В. - М.:НИЦ ИНФРА-М,2025 - 532 с.(СПО)(П)</t>
  </si>
  <si>
    <t>978-5-16-017622-2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</si>
  <si>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10 от 15.12.2021)</t>
  </si>
  <si>
    <t>803540.01.01</t>
  </si>
  <si>
    <t>Уголовное право. Особенная часть: Уч. / Под ред. Дворянсков И.В.-М.:НИЦ ИНФРА-М,2023.-583 с..-(СПО)(п)</t>
  </si>
  <si>
    <t>УГОЛОВНОЕ ПРАВО. ОСОБЕННАЯ ЧАСТЬ</t>
  </si>
  <si>
    <t>Авдалян А.Я., Борков В.Н., Бугера М.А. и др.</t>
  </si>
  <si>
    <t>978-5-16-018461-6</t>
  </si>
  <si>
    <t>751214.04.01</t>
  </si>
  <si>
    <t>Уголовное право. Особенная часть: Уч. / Под ред. Дворянскова И.В. - М.:НИЦ ИНФРА-М,2025. - 583 с.(ВО)(п)</t>
  </si>
  <si>
    <t>978-5-16-020031-6</t>
  </si>
  <si>
    <t>805840.02.01</t>
  </si>
  <si>
    <t>Уголовное право: Общая часть: Уч./ А.Ф.Абдулвалиев и др. - М.:НИЦ ИНФРА-М,2025. - 721 с.(ВО)(п)</t>
  </si>
  <si>
    <t>УГОЛОВНОЕ ПРАВО: ОБЩАЯ ЧАСТЬ</t>
  </si>
  <si>
    <t>Абдулвалиев А.Ф., Иванова Л.В., Лосев С.Г. и др.</t>
  </si>
  <si>
    <t>978-5-16-018809-6</t>
  </si>
  <si>
    <t>650930.03.01</t>
  </si>
  <si>
    <t>Уголовное право: особенная часть: Уч.пос. / В.В.Агильдин - М.:НИЦ ИНФРА-М,2022 - 162 с.(ВО:Бакалавр.)(О)</t>
  </si>
  <si>
    <t>УГОЛОВНОЕ ПРАВО: ОСОБЕННАЯ ЧАСТЬ</t>
  </si>
  <si>
    <t>Агильдин В.В.</t>
  </si>
  <si>
    <t>978-5-16-012674-6</t>
  </si>
  <si>
    <t>650930.05.01</t>
  </si>
  <si>
    <t>Уголовное право: особенная часть: Уч.пос. / В.В.Агильдин, - 2 изд.-М.:НИЦ ИНФРА-М,2025.-165 с.(ВО)(П)</t>
  </si>
  <si>
    <t>УГОЛОВНОЕ ПРАВО: ОСОБЕННАЯ ЧАСТЬ. ПРАКТИКУМ, ИЗД.2</t>
  </si>
  <si>
    <t>978-5-16-020194-8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</si>
  <si>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7 от 21.09.2022)</t>
  </si>
  <si>
    <t>388900.02.01</t>
  </si>
  <si>
    <t>Уголовно-исполн.право: Уч.пос. / А.В.Дмитренко-М.:ИЦ РИОР,НИЦ ИНФРА-М,2018.-280с.(ВО:Бакалавриат)(п)</t>
  </si>
  <si>
    <t>УГОЛОВНО-ИСПОЛНИТЕЛЬНОЕ ПРАВО</t>
  </si>
  <si>
    <t>Дмитренко А.В.</t>
  </si>
  <si>
    <t>978-5-369-01463-9</t>
  </si>
  <si>
    <t>025430.22.01</t>
  </si>
  <si>
    <t>Уголовно-исполнительное право России: Уч. / Селиверстов В.И. -  8 изд.-М.:Юр.Норма,НИЦ ИНФРА-М,2023-432с(П)</t>
  </si>
  <si>
    <t>УГОЛОВНО-ИСПОЛНИТЕЛЬНОЕ ПРАВО РОССИИ, ИЗД.8</t>
  </si>
  <si>
    <t>Селиверстов В.И., Геранин В.В., Зубарев С.М. и др.</t>
  </si>
  <si>
    <t>978-5-91768-932-6</t>
  </si>
  <si>
    <t>Допущено УМО по юридическому образованию вузов в качестве учебного пособия для студентов высших учебных заведений, обучающихся по направлению  и специальности Юриспруденция</t>
  </si>
  <si>
    <t>0818</t>
  </si>
  <si>
    <t>025430.26.01</t>
  </si>
  <si>
    <t>Уголовно-исполнительное право России: Уч. / Селиверстов В.И. -  9 изд.-М.:Юр.Норма,НИЦ ИНФРА-М,2024-464с(П)</t>
  </si>
  <si>
    <t>УГОЛОВНО-ИСПОЛНИТЕЛЬНОЕ ПРАВО РОССИИ, ИЗД.9</t>
  </si>
  <si>
    <t>978-5-00156-296-2</t>
  </si>
  <si>
    <t>0923</t>
  </si>
  <si>
    <t>025430.13.01</t>
  </si>
  <si>
    <t>Уголовно-исполнительное право России: Уч. /Селиверстов В.И.,-7 изд.-М:Норма,НИЦ ИНФРА-М,2016-448с(П)</t>
  </si>
  <si>
    <t>УГОЛОВНО-ИСПОЛНИТЕЛЬНОЕ ПРАВО РОССИИ, ИЗД.7</t>
  </si>
  <si>
    <t>Селиверстов В. И., Геранин В. А., Казакова В. А., Селиверстов В. И.</t>
  </si>
  <si>
    <t>978-5-91768-463-5</t>
  </si>
  <si>
    <t>243100.09.01</t>
  </si>
  <si>
    <t>Уголовно-исполнительное право РФ: Лекции / А.К.Романов - 2 изд. - М.:НИЦ ИНФРА-М,2025 - 667с.(п)</t>
  </si>
  <si>
    <t>УГОЛОВНО-ИСПОЛНИТЕЛЬНОЕ ПРАВО РОССИЙСКОЙ ФЕДЕРАЦИИ: ОБЩАЯ И ОСОБЕННАЯ ЧАСТИ, ИЗД.2</t>
  </si>
  <si>
    <t>978-5-16-019943-6</t>
  </si>
  <si>
    <t>Рекомендовано Ученым советом Института права и национальной безопасности Российской академии народного хозяйства и государственной службы при Президенте Российской Федерации в качестве учебного пособия для студентов высших учебных заведений, обучающихся по юридическим направлениям</t>
  </si>
  <si>
    <t>243100.02.01</t>
  </si>
  <si>
    <t>Уголовно-исполнительное право РФ: Лекции / А.К.Романов - М.:Форум,НИЦ ИНФРА-М,2016 - 496с.(п)</t>
  </si>
  <si>
    <t>УГОЛОВНО-ИСПОЛНИТЕЛЬНОЕ ПРАВО РОССИЙСКОЙ ФЕДЕРАЦИИ</t>
  </si>
  <si>
    <t>Романов А. К.</t>
  </si>
  <si>
    <t>978-5-91134-820-5</t>
  </si>
  <si>
    <t>Рекомендовано Ученым советом юридического факультета им. М.М. Сперанского РАНХиГС при Президенте РФ в качестве учебного пособия для студентов высших учебных заведений, обучающихся по юридическим специальностям</t>
  </si>
  <si>
    <t>776291.03.01</t>
  </si>
  <si>
    <t>Уголовно-исполнительное право: Уч. / Под ред. Дворянскова И.В. - М.:НИЦ ИНФРА-М,2024 - 380 с.(СПО)(П)</t>
  </si>
  <si>
    <t>Абатуров А.И., Боровиков С.А., Дворянсков И.В. и др.</t>
  </si>
  <si>
    <t>978-5-16-017603-1</t>
  </si>
  <si>
    <t>00.02.08, 40.02.02, 40.02.04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</si>
  <si>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10 от 15.12.2021)</t>
  </si>
  <si>
    <t>Кировский Институт повышения квалификации работников федеральной службы исполнения наказаний</t>
  </si>
  <si>
    <t>684143.09.01</t>
  </si>
  <si>
    <t>Уголовно-исполнительное право: Уч. / Под ред. Дворянскова И.В. - М.:НИЦ ИНФРА-М,2025 - 380 с.-(ВО)(п)</t>
  </si>
  <si>
    <t>978-5-16-018800-3</t>
  </si>
  <si>
    <t>659818.05.01</t>
  </si>
  <si>
    <t>Уголовно-исполнительное право: Уч. для аспирантуры/Е.А.Антонян-М.:Юр.Норма, НИЦ ИНФРА-М,2024-336с(П)</t>
  </si>
  <si>
    <t>Антонян Е.А.</t>
  </si>
  <si>
    <t>978-5-91768-845-9</t>
  </si>
  <si>
    <t>40.03.01, 40.05.01, 40.05.02, 40.05.03, 40.05.04, 56.05.01</t>
  </si>
  <si>
    <t>650200.06.01</t>
  </si>
  <si>
    <t>Уголовно-правовое противод.преступ., соверш...: Уч.пос. / Е.А.Русскевич-2 изд.-М.:ИНФРА-М,2024-188с.(ВО)(П)</t>
  </si>
  <si>
    <t>УГОЛОВНО-ПРАВОВОЕ ПРОТИВОДЕЙСТВИЕ ПРЕСТУПЛЕНИЯМ, СОВЕРШАЕМЫМ С ИСПОЛЬЗОВАНИЕМ ИНФОРМАЦИОННО-КОММУНИКАЦИОННЫХ ТЕХНОЛОГИЙ, ИЗД.2</t>
  </si>
  <si>
    <t>Русскевич Е.А.</t>
  </si>
  <si>
    <t>978-5-16-014392-7</t>
  </si>
  <si>
    <t>650200.02.01</t>
  </si>
  <si>
    <t>Уголовно-правовое противод.преступ., соверш...: Уч.пос. / Е.А.Русскевич-М.:НИЦ ИНФРА-М,2018-115с(ВО)</t>
  </si>
  <si>
    <t>УГОЛОВНО-ПРАВОВОЕ ПРОТИВОДЕЙСТВИЕ ПРЕСТУПЛЕНИЯМ, СОВЕРШАЕМЫМ С ИСПОЛЬЗОВАНИЕМ ИНФОРМАЦИОННО-КОММУНИКАЦИОННЫХ ТЕХНОЛОГИЙ</t>
  </si>
  <si>
    <t>978-5-16-012534-3</t>
  </si>
  <si>
    <t>751995.02.01</t>
  </si>
  <si>
    <t>Уголовно-процессуал. деят. органов дознания Вооруженных Сил РФ: Уч.пос. / М.В.Слифиш-М.:НИЦ ИНФРА-М,2025.-169 с.(П)</t>
  </si>
  <si>
    <t>УГОЛОВНО-ПРОЦЕССУАЛЬНАЯ ДЕЯТЕЛЬНОСТЬ ОРГАНОВ ДОЗНАНИЯ ВООРУЖЕННЫХ СИЛ РОССИЙСКОЙ ФЕДЕРАЦИИ</t>
  </si>
  <si>
    <t>978-5-16-015345-2</t>
  </si>
  <si>
    <t>40.03.01, 40.04.01, 40.05.01, 40.05.04, 40.06.01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</si>
  <si>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6 от 16.06.2021)</t>
  </si>
  <si>
    <t>654634.03.01</t>
  </si>
  <si>
    <t>Уголовно-процессуал. основы исполнения приговора: Уч. /О.А.Малышева -М.:Юр.Норма, НИЦ ИНФРА-М,2022.-288 с.(П)</t>
  </si>
  <si>
    <t>УГОЛОВНО-ПРОЦЕССУАЛЬНЫЕ ОСНОВЫ ИСПОЛНЕНИЯ ПРИГОВОРА</t>
  </si>
  <si>
    <t>Малышева О.А.</t>
  </si>
  <si>
    <t>978-5-91768-826-8</t>
  </si>
  <si>
    <t>798338.01.01</t>
  </si>
  <si>
    <t>Уголовно-процессуальное право РФ: Прак. / Воскобитова Л.А. - М.:Юр.Норма, НИЦ ИНФРА-М,2025 - 352 с.(СПО)(п)</t>
  </si>
  <si>
    <t>УГОЛОВНО-ПРОЦЕССУАЛЬНОЕ ПРАВО РОССИЙСКОЙ ФЕДЕРАЦИИ</t>
  </si>
  <si>
    <t>Воскобитова Л.А., Антонович Е.К., Вилкова Т.Ю. и др.</t>
  </si>
  <si>
    <t>978-5-00156-414-0</t>
  </si>
  <si>
    <t>741192.05.01</t>
  </si>
  <si>
    <t>Уголовно-процессуальное право РФ: Практикум / Воскобитова Л.А. и др. - М.:Юр.Норма, НИЦ ИНФРА-М,2025 - 352 с.(П)</t>
  </si>
  <si>
    <t>Воскобитова Л.А., Сушина Т.Е., Антонович Е.К. и др.</t>
  </si>
  <si>
    <t>978-5-00156-087-6</t>
  </si>
  <si>
    <t>101000.13.01</t>
  </si>
  <si>
    <t>Уголовно-процессуальное право РФ: Уч./Отв.ред. П.А.Лупинская-4изд.-М:Норма:НИЦ ИНФРА-М,2022-1008с(п)</t>
  </si>
  <si>
    <t>УГОЛОВНО-ПРОЦЕССУАЛЬНОЕ ПРАВО РОССИЙСКОЙ ФЕДЕРАЦИИ, ИЗД.4</t>
  </si>
  <si>
    <t>Лупинская П.А., Воскобитова Л.А.</t>
  </si>
  <si>
    <t>978-5-91768-905-0</t>
  </si>
  <si>
    <t>Допущено Министерством образования РФ в качестве учебника для студентов высших учебных заведений, обучающихся по специальности 021100 "Юриспруденция"</t>
  </si>
  <si>
    <t>101000.15.01</t>
  </si>
  <si>
    <t>Уголовно-процессуальное право РФ: Уч./Отв.ред. П.А.Лупинская-5 изд.-М:Норма:НИЦ ИНФРА-М,2024-1072с(п)</t>
  </si>
  <si>
    <t>УГОЛОВНО-ПРОЦЕССУАЛЬНОЕ ПРАВО РОССИЙСКОЙ ФЕДЕРАЦИИ, ИЗД.5</t>
  </si>
  <si>
    <t>978-5-00156-343-3</t>
  </si>
  <si>
    <t>740840.07.01</t>
  </si>
  <si>
    <t>Уголовно-процессуальное право: Уч. / В.М.Лебедев, - 3 изд. - М.:Юр.Норма, НИЦ ИНФРА-М,2025. - 936 с.(П)</t>
  </si>
  <si>
    <t>УГОЛОВНО-ПРОЦЕССУАЛЬНОЕ ПРАВО, ИЗД.3</t>
  </si>
  <si>
    <t>978-5-00156-081-4</t>
  </si>
  <si>
    <t>Верховный Суд Российской Федерации</t>
  </si>
  <si>
    <t>767937.03.01</t>
  </si>
  <si>
    <t>Уголовный процесс: общие положения и...: Уч.пос. / О.П.Александрова - М.:НИЦ ИНФРА-М,2025. - 241 с.(ВО)(п)</t>
  </si>
  <si>
    <t>УГОЛОВНЫЙ ПРОЦЕСС: ОБЩИЕ ПОЛОЖЕНИЯ И ДОСУДЕБНОЕ ПРОИЗВОДСТВО. ПРАКТИКУМ</t>
  </si>
  <si>
    <t>Александрова О.П., Буданова Л.Ю.</t>
  </si>
  <si>
    <t>978-5-16-017372-6</t>
  </si>
  <si>
    <t>762038.04.01</t>
  </si>
  <si>
    <t>Уголовный процесс: Уч. / А.Д.Прошляков - М.:Юр.Норма, НИЦ ИНФРА-М,2024 - 888 с.(П)</t>
  </si>
  <si>
    <t>УГОЛОВНЫЙ ПРОЦЕСС</t>
  </si>
  <si>
    <t>Прошляков А.Д.</t>
  </si>
  <si>
    <t>978-5-00156-190-3</t>
  </si>
  <si>
    <t>38.05.02, 40.03.01, 40.04.01, 40.05.01, 40.05.02</t>
  </si>
  <si>
    <t>096841.13.01</t>
  </si>
  <si>
    <t>Уголовный процесс: Уч. / Под ред. Смирнова А.В. - 7 изд. - М.:Юр.Норма, НИЦ ИНФРА-М,2019-752с.(П)</t>
  </si>
  <si>
    <t>УГОЛОВНЫЙ ПРОЦЕСС, ИЗД.7</t>
  </si>
  <si>
    <t>Смирнов А. В., Калиновский К. Б.</t>
  </si>
  <si>
    <t>978-5-91768-794-0</t>
  </si>
  <si>
    <t>Допущено Учебно-методическим объединением по юридическому образованию вузов Российской Федерации з качестве учебника для студентов высших учебных заведений, обучающихся по специальности и направлению подготовки «Юриспруденция»</t>
  </si>
  <si>
    <t>0717</t>
  </si>
  <si>
    <t>096841.21.01</t>
  </si>
  <si>
    <t>Уголовный процесс: Уч. / Под ред. Смирнова А.В. - 8 изд. - М.:Юр.Норма, НИЦ ИНФРА-М,2025 - 784 с.(П)</t>
  </si>
  <si>
    <t>УГОЛОВНЫЙ ПРОЦЕСС, ИЗД.8</t>
  </si>
  <si>
    <t>978-5-00156-039-5</t>
  </si>
  <si>
    <t>151550.12.01</t>
  </si>
  <si>
    <t>Управление архитектурой предприятия: Уч.пос. / В.В.Кондратьев - 2 изд. - М.:НИЦ ИНФРА-М,2025. - 358 с.(П)</t>
  </si>
  <si>
    <t>УПРАВЛЕНИЕ АРХИТЕКТУРОЙ ПРЕДПРИЯТИЯ, ИЗД.2</t>
  </si>
  <si>
    <t>Кондратьев В.В.</t>
  </si>
  <si>
    <t>978-5-16-010401-0</t>
  </si>
  <si>
    <t>38.03.01, 38.03.02, 38.03.03, 38.03.04, 38.03.05, 38.04.01, 38.04.02, 38.04.03, 38.04.04, 38.04.05, 38.06.01, 44.03.01, 44.03.05</t>
  </si>
  <si>
    <t>712708.05.01</t>
  </si>
  <si>
    <t>Управление бизнес-процессами: от теор. к прак.: Уч.пос. / Т.П.Маслевич - М.:НИЦ ИНФРА-М,2025. - 206 с.(ВО)(п)</t>
  </si>
  <si>
    <t>УПРАВЛЕНИЕ БИЗНЕС-ПРОЦЕССАМИ: ОТ ТЕОРИИ К ПРАКТИКЕ</t>
  </si>
  <si>
    <t>Маслевич Т.П.</t>
  </si>
  <si>
    <t>978-5-16-019088-4</t>
  </si>
  <si>
    <t>38.03.01, 38.03.02, 38.03.03, 38.03.04, 38.03.05, 38.03.06, 38.03.10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</si>
  <si>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12.10.2020)</t>
  </si>
  <si>
    <t>456950.04.01</t>
  </si>
  <si>
    <t>Управление в социально-экономич. системах...:Моногр./Под ред.C.Д.Резника-2 изд.,перераб.-М.:НИЦ ИНФРА-М,2019-234с(О)</t>
  </si>
  <si>
    <t>УПРАВЛЕНИЕ В СОЦИАЛЬНО-ЭКОНОМИЧЕСКИХ СИСТЕМАХ БЕСПРИБЫЛЬНОГО СЕКТОРА, ИЗД.2</t>
  </si>
  <si>
    <t>Нижегородцев Р.М., Резник С.Д.</t>
  </si>
  <si>
    <t>978-5-16-009386-4</t>
  </si>
  <si>
    <t>Институт проблем управления им. В.А. Трапезникова Российской академии наук</t>
  </si>
  <si>
    <t>713680.04.01</t>
  </si>
  <si>
    <t>Управление в сфере инклюзив. ВО: Уч.пос./ Р.А.Ашурбеков.,-2 изд.,-М.:НИЦ ИНФРА-М,2023-200с.(ВО)(П)</t>
  </si>
  <si>
    <t>УПРАВЛЕНИЕ В СФЕРЕ ИНКЛЮЗИВНОГО ВЫСШЕГО ОБРАЗОВАНИЯ, ИЗД.2</t>
  </si>
  <si>
    <t>Ашурбеков Р.А., Гимазова Ю.В., Гришаева С.А. и др.</t>
  </si>
  <si>
    <t>978-5-16-015509-8</t>
  </si>
  <si>
    <t>38.04.02, 44.04.01, 44.04.02, 44.04.03</t>
  </si>
  <si>
    <t>182400.10.01</t>
  </si>
  <si>
    <t>Управление в технических системах: Уч. пос. / А.А.Иванов, С.Л.Торохов - М.: Форум, 2025 - 272 с.(ВО) (п)</t>
  </si>
  <si>
    <t>УПРАВЛЕНИЕ В ТЕХНИЧЕСКИХ СИСТЕМАХ</t>
  </si>
  <si>
    <t>Иванов А. А., Торохов С. Л.</t>
  </si>
  <si>
    <t>978-5-91134-641-6</t>
  </si>
  <si>
    <t>Доп. УМО вузов по обр. в обл. автоматизир. машиностр. в кач. учеб. пос. для студ. вузов, обуч. по напр подготовки "Автоматизация технологических процессов и производств" (отрасль машиностроение)</t>
  </si>
  <si>
    <t>634112.05.01</t>
  </si>
  <si>
    <t>Управление внешнеэк. деят.в РФ: Уч.пос. /Под ред. Дегтяревой О.И. -М.:Магистр,НИЦ ИНФРА-М,2023-368с.</t>
  </si>
  <si>
    <t>УПРАВЛЕНИЕ ВНЕШНЕЭКОНОМИЧЕСКОЙ ДЕЯТЕЛЬНОСТЬЮ В РФ В УСЛОВИЯХ ИНТЕГРАЦИИ В РАМКАХ ЕАЭС</t>
  </si>
  <si>
    <t>Дегтярева О.И., Ратушняк Е.С., Шевелева А.В. и др.</t>
  </si>
  <si>
    <t>978-5-9776-0430-7</t>
  </si>
  <si>
    <t>38.03.01, 38.04.01, 38.04.04</t>
  </si>
  <si>
    <t>095090.17.01</t>
  </si>
  <si>
    <t>Управление внешнеэкономич. деят. предпр.: Уч. / Под ред. Иванова  И.Н.-М.:НИЦ ИНФРА-М,2023.-394 с.(ВО)(П)</t>
  </si>
  <si>
    <t>УПРАВЛЕНИЕ ВНЕШНЕЭКОНОМИЧЕСКОЙ ДЕЯТЕЛЬНОСТЬЮ ПРЕДПРИЯТИЯ</t>
  </si>
  <si>
    <t>Темнышова Е.П., Темнышов И.А., Мозговой А.И. и др.</t>
  </si>
  <si>
    <t>978-5-16-015306-3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</si>
  <si>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38.00.00 «Экономика и управление»  (протокол № 8 от 22.06.2020)</t>
  </si>
  <si>
    <t>702621.05.01</t>
  </si>
  <si>
    <t>Управление гос. (муниципальными) закупками: Уч.пос. / Г.Т.Гафурова - М.:НИЦ ИНФРА-М,2022 - 331с.(ВО)(П)</t>
  </si>
  <si>
    <t>УПРАВЛЕНИЕ ГОСУДАРСТВЕННЫМИ (МУНИЦИПАЛЬНЫМИ) ЗАКУПКАМИ</t>
  </si>
  <si>
    <t>Гафурова Г.Т.</t>
  </si>
  <si>
    <t>978-5-16-015094-9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</si>
  <si>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 (протокол № 6 от 25.03.2019)</t>
  </si>
  <si>
    <t>702621.06.01</t>
  </si>
  <si>
    <t>Управление гос. (муниципальными) закупками: Уч.пос./ Г.Т.Гафурова, - 2 изд.,-М.:НИЦ ИНФРА-М,2025.-291 с.(ВО)(п)</t>
  </si>
  <si>
    <t>УПРАВЛЕНИЕ ГОСУДАРСТВЕННЫМИ (МУНИЦИПАЛЬНЫМИ) ЗАКУПКАМИ, ИЗД.2</t>
  </si>
  <si>
    <t>978-5-16-019015-0</t>
  </si>
  <si>
    <t>250400.08.01</t>
  </si>
  <si>
    <t>Управление гос. и муниц. финансами: Уч./Н.Д.Шимширт - М:Альфа-М:ИНФРА-М,2024-352с (п)</t>
  </si>
  <si>
    <t>УПРАВЛЕНИЕ ГОСУДАРСТВЕННЫМИ И МУНИЦИПАЛЬНЫМИ ФИНАНСАМИ</t>
  </si>
  <si>
    <t>Шимширт Н. Д., Крашенникова Н. В.</t>
  </si>
  <si>
    <t>978-5-98281-376-3</t>
  </si>
  <si>
    <t>38.03.04, 44.03.05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</si>
  <si>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подг</t>
  </si>
  <si>
    <t>747294.02.01</t>
  </si>
  <si>
    <t>Управление данными в транспортных сис.: Уч.пос. / В.А.Гвоздева-М.:НИЦ ИНФРА-М,2023.-234 с.(СПО)(П)</t>
  </si>
  <si>
    <t>УПРАВЛЕНИЕ ДАННЫМИ В ТРАНСПОРТНЫХ СИСТЕМАХ</t>
  </si>
  <si>
    <t>978-5-16-016554-7</t>
  </si>
  <si>
    <t>23.02.01, 26.02.01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</si>
  <si>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23.00.00 «Техника и технологии наземного транспорта», 26.00.00 «Техника и технологии кораблестроения и водного транспорта» (протокол № 8 от 22.06.2020)</t>
  </si>
  <si>
    <t>702188.03.01</t>
  </si>
  <si>
    <t>Управление данными в транспортных системах: Уч.пос. / В.А.Гвоздева-М.:НИЦ ИНФРА-М,2023-234 с.(ВО)(П)</t>
  </si>
  <si>
    <t>978-5-16-015126-7</t>
  </si>
  <si>
    <t>09.03.02, 23.03.01, 23.03.02, 23.03.03, 26.03.01, 26.03.02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</si>
  <si>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подготовки 23.00.00 «Техника и технологии наземного транспорта», 26.00.00 «Техника и технологии кораблестроения и водного транспорта» (квалификация (степень) «бакалавр») (протокол № 8 от 22.06.2020)</t>
  </si>
  <si>
    <t>683160.05.01</t>
  </si>
  <si>
    <t>Управление денежными потоками. Практикум: Уч.пос. / П.Е.Жуков - М.:НИЦ ИНФРА-М,2024 - 186 с.-(ВО)(П)</t>
  </si>
  <si>
    <t>УПРАВЛЕНИЕ ДЕНЕЖНЫМИ ПОТОКАМИ. ПРАКТИКУМ</t>
  </si>
  <si>
    <t>Жуков П.Е.</t>
  </si>
  <si>
    <t>978-5-16-014972-1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</si>
  <si>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12 от 24.06.2019)</t>
  </si>
  <si>
    <t>395500.07.01</t>
  </si>
  <si>
    <t>Управление денежными потоками: Уч. / И.Я.Лукасевич - М.:Вуз.уч., НИЦ ИНФРА-М,2024 - 184 с.-(ВО)(П)</t>
  </si>
  <si>
    <t>УПРАВЛЕНИЕ ДЕНЕЖНЫМИ ПОТОКАМИ</t>
  </si>
  <si>
    <t>Лукасевич И.Я., Жуков П.Е.</t>
  </si>
  <si>
    <t>978-5-9558-0461-3</t>
  </si>
  <si>
    <t>753312.03.01</t>
  </si>
  <si>
    <t>Управление закупками и запасами в цепях поставок: Уч. / В.И.Сергеев - М.:НИЦ ИНФРА-М,2025. - 402 с.(ВО)(п)</t>
  </si>
  <si>
    <t>УПРАВЛЕНИЕ ЗАКУПКАМИ И ЗАПАСАМИ В ЦЕПЯХ ПОСТАВОК</t>
  </si>
  <si>
    <t>Сергеев В.И., Эльяшевич И.П.</t>
  </si>
  <si>
    <t>978-5-16-018981-9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</si>
  <si>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6 от 08.06.2022)</t>
  </si>
  <si>
    <t>085100.15.01</t>
  </si>
  <si>
    <t>Управление запасами в цепях поставок: Уч. / А.Н.Стерлигова - М.:НИЦ ИНФРА-М,2025. - 430 с.(ВО)(П)</t>
  </si>
  <si>
    <t>УПРАВЛЕНИЕ ЗАПАСАМИ В ЦЕПЯХ ПОСТАВОК</t>
  </si>
  <si>
    <t>Стерлигова А.Н.</t>
  </si>
  <si>
    <t>978-5-16-020472-7</t>
  </si>
  <si>
    <t>38.03.01, 38.03.02, 38.03.05, 38.03.06, 38.03.07, 38.04.02, 38.04.05, 38.04.06, 38.04.07</t>
  </si>
  <si>
    <t>805128.01.01</t>
  </si>
  <si>
    <t>Управление запасами и закупками (ж/д транспорт): Уч. / А.В.Цевелев - М.:НИЦ ИНФРА-М,2025. - 409 с.(ВО)(п)</t>
  </si>
  <si>
    <t>УПРАВЛЕНИЕ ЗАПАСАМИ И ЗАКУПКАМИ (ЖЕЛЕЗНОДОРОЖНЫЙ ТРАНСПОРТ)</t>
  </si>
  <si>
    <t>978-5-16-018943-7</t>
  </si>
  <si>
    <t>23.05.04, 38.03.01, 38.03.02, 38.04.01, 38.04.02</t>
  </si>
  <si>
    <t>049650.15.01</t>
  </si>
  <si>
    <t>Управление затратами предприятия: Уч.пос. / М.И.Трубочкина, - 2 изд. - М.:НИЦ ИНФРА-М,2025 - 319 с.(ВО)(П)</t>
  </si>
  <si>
    <t>УПРАВЛЕНИЕ ЗАТРАТАМИ ПРЕДПРИЯТИЯ, ИЗД.2</t>
  </si>
  <si>
    <t>Трубочкина М.И.</t>
  </si>
  <si>
    <t>978-5-16-003472-0</t>
  </si>
  <si>
    <t>Рекомендовано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по специальности 0080507 Менеджмент организации</t>
  </si>
  <si>
    <t>666544.03.01</t>
  </si>
  <si>
    <t>Управление затратами: Уч.пос. / Ю.А.Хегай-М.:НИЦ ИНФРА-М, СФУ,2023.-230с(ВО: Бакалавр.(СФУ)(П)</t>
  </si>
  <si>
    <t>УПРАВЛЕНИЕ ЗАТРАТАМИ</t>
  </si>
  <si>
    <t>Хегай Ю.А., Васильева З.А.</t>
  </si>
  <si>
    <t>978-5-16-018224-7</t>
  </si>
  <si>
    <t>38.00.00, 00.03.13</t>
  </si>
  <si>
    <t>Допущено УМО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предприятии транспорта»</t>
  </si>
  <si>
    <t>457450.07.01</t>
  </si>
  <si>
    <t>Управление и организация маркетинговой деят.: Уч. пос./Т.Н.Жукова - М:НИЦ ИНФРА-М,2023-197с. (п)</t>
  </si>
  <si>
    <t>УПРАВЛЕНИЕ И ОРГАНИЗАЦИЯ МАРКЕТИНГОВОЙ ДЕЯТЕЛЬНОСТИ</t>
  </si>
  <si>
    <t>Жукова Т. Н.</t>
  </si>
  <si>
    <t>978-5-16-009400-7</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</si>
  <si>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(профиль «Производственный менеджмент»)»</t>
  </si>
  <si>
    <t>Санкт-петербургский государственный электротехнический университет "ЛЭТИ" им. В.И. Ульянова (Ленина)</t>
  </si>
  <si>
    <t>488900.08.01</t>
  </si>
  <si>
    <t>Управление изменениями. Практикум...: Уч.пос. / С.Д.Резник - 3 изд.-М.:НИЦ ИНФРА-М,2024-210 с.(ВО)(П)</t>
  </si>
  <si>
    <t>УПРАВЛЕНИЕ ИЗМЕНЕНИЯМИ. ПРАКТИКУМ: ДЕЛОВЫЕ ИГРЫ, ТЕСТЫ, КОНКРЕТНЫЕ СИТУАЦИИ, ИЗД.3</t>
  </si>
  <si>
    <t>Резник С.Д., Черниковская М.В., Резник С.Д.</t>
  </si>
  <si>
    <t>978-5-16-018934-5</t>
  </si>
  <si>
    <t>Рекомендовано Советом Учебно-методического объединения вузов России по образованию в области менеджмента в качестве учебного пособия для обучающихся по программам высшего образования направлений подготовки 38.03.02 «Менеджмент», 38.03.03 «Управление персоналом» (квалификация (степень) «бакалавр»)</t>
  </si>
  <si>
    <t>488900.03.01</t>
  </si>
  <si>
    <t>Управление изменениями. Практикум..: Уч.пос. / С.Д.Резник и др. - 2 изд.-М:НИЦ ИНФРА-М,2018-210с(ВО)</t>
  </si>
  <si>
    <t>УПРАВЛЕНИЕ ИЗМЕНЕНИЯМИ. ПРАКТИКУМ: ДЕЛОВЫЕ ИГРЫ, ТЕСТЫ, КОНКРЕТНЫЕ СИТУАЦИИ, ИЗД.2</t>
  </si>
  <si>
    <t>978-5-16-011749-2</t>
  </si>
  <si>
    <t>488900.09.01</t>
  </si>
  <si>
    <t>Управление изменениями. Практикум: Уч.пос. / С.Д.Резник, - 4 изд. - М.:НИЦ ИНФРА-М,2025. - 193 с.(ВО)(п)</t>
  </si>
  <si>
    <t>УПРАВЛЕНИЕ ИЗМЕНЕНИЯМИ. ПРАКТИКУМ: ДЕЛОВЫЕ ИГРЫ, ТЕСТЫ, КОНКРЕТНЫЕ СИТУАЦИИ, ИЗД.4</t>
  </si>
  <si>
    <t>Резник С.Д., Черниковская М.В.</t>
  </si>
  <si>
    <t>978-5-16-020132-0</t>
  </si>
  <si>
    <t>174700.13.01</t>
  </si>
  <si>
    <t>Управление изменениями: Уч. / О.В.Кожевина - 2 изд.-М.:НИЦ ИНФРА-М,2024-304с.(ВО:Бак.)(о)</t>
  </si>
  <si>
    <t>УПРАВЛЕНИЕ ИЗМЕНЕНИЯМИ, ИЗД.2</t>
  </si>
  <si>
    <t>Кожевина О.В.</t>
  </si>
  <si>
    <t>978-5-16-009813-5</t>
  </si>
  <si>
    <t>Рекомендовано Советом Учебно-методического объединения в качестве учебника для студентов высших учебных заведений, обучающихся по направлениям подготовки 38.03.02 «Менеджмент», 38.03.03 «Управление персоналом» (квалификация (степень) «бакалавр»)</t>
  </si>
  <si>
    <t>234300.05.01</t>
  </si>
  <si>
    <t>Управление изменениями: Уч. / Под ред. С.Д.Резника - 3 изд. - М.:НИЦ ИНФРА-М,2018 - 379 с.(ВО)(П)</t>
  </si>
  <si>
    <t>УПРАВЛЕНИЕ ИЗМЕНЕНИЯМИ, ИЗД.3</t>
  </si>
  <si>
    <t>Резник С.Д., Черниковская М.В., Чемезов И.С. и др.</t>
  </si>
  <si>
    <t>978-5-16-009076-4</t>
  </si>
  <si>
    <t>Рекомендовано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обучающихся по направлению 38.03.02 «Менеджмент» (квалификация (степень) «бакалавр»)</t>
  </si>
  <si>
    <t>802090.01.01</t>
  </si>
  <si>
    <t>Управление изменениями: Уч. / Р.Р.Хуссамов. - М.:НИЦ ИНФРА-М,2024. - 446 с.(ВО (Финанс. универ.))(п)</t>
  </si>
  <si>
    <t>УПРАВЛЕНИЕ ИЗМЕНЕНИЯМИ</t>
  </si>
  <si>
    <t>Хуссамов Р.Р., Трачук А.В., Линдер Н.В. и др.</t>
  </si>
  <si>
    <t>978-5-16-019564-3</t>
  </si>
  <si>
    <t>27.04.06, 38.03.02, 38.04.06, 41.03.06, 55.05.04</t>
  </si>
  <si>
    <t>234300.10.01</t>
  </si>
  <si>
    <t>Управление изменениями: Уч. / С.Д.Резник - 4 изд. - М.:НИЦ ИНФРА-М,2024 - 379 с.(ВО: Бакалавр.)(П)</t>
  </si>
  <si>
    <t>УПРАВЛЕНИЕ ИЗМЕНЕНИЯМИ, ИЗД.4</t>
  </si>
  <si>
    <t>978-5-16-015901-0</t>
  </si>
  <si>
    <t>234300.11.01</t>
  </si>
  <si>
    <t>Управление изменениями: Уч. / С.Д.Резник и др. - 5 изд. - М.:НИЦ ИНФРА-М,2025. - 371 с.(ВО)(п)</t>
  </si>
  <si>
    <t>УПРАВЛЕНИЕ ИЗМЕНЕНИЯМИ, ИЗД.5</t>
  </si>
  <si>
    <t>Резник С.Д., Чемезов И.С., Черниковская М.В. и др.</t>
  </si>
  <si>
    <t>978-5-16-020070-5</t>
  </si>
  <si>
    <t>737217.01.01</t>
  </si>
  <si>
    <t>Управление изменениями: Уч.пос. / Т.А.Лачинина - М.:НИЦ ИНФРА-М,2025. - 259 с.(ВО)(п)</t>
  </si>
  <si>
    <t>Лачинина Т.А.</t>
  </si>
  <si>
    <t>978-5-16-017520-1</t>
  </si>
  <si>
    <t>27.04.06, 38.03.02, 38.04.02, 38.04.06, 41.03.06</t>
  </si>
  <si>
    <t>636792.06.01</t>
  </si>
  <si>
    <t>Управление инвестиц. привлекательностью орг.: Уч. / Г.Д.Антонов -М.:НИЦ ИНФРА-М,2020-223с(ВО)(П)</t>
  </si>
  <si>
    <t>УПРАВЛЕНИЕ ИНВЕСТИЦИОННОЙ ПРИВЛЕКАТЕЛЬНОСТЬЮ ОРГАНИЗАЦИИ</t>
  </si>
  <si>
    <t>978-5-16-013161-0</t>
  </si>
  <si>
    <t>38.03.01, 38.03.02, 38.03.03, 38.03.04, 38.03.05, 38.03.06, 38.04.01, 38.04.02, 38.04.03, 38.04.04, 38.04.05, 38.04.06, 38.04.08</t>
  </si>
  <si>
    <t>Допущено УМО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</si>
  <si>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636792.07.01</t>
  </si>
  <si>
    <t>Управление инвестиционной привлекательностью организации: уч. / Г.Д.Антонов и др., - 2-е изд.-М.:НИЦ ИНФРА-М,2023.-223 с..-(ВО: Бакалавриат)(п)</t>
  </si>
  <si>
    <t>УПРАВЛЕНИЕ ИНВЕСТИЦИОННОЙ ПРИВЛЕКАТЕЛЬНОСТЬЮ ОРГАНИЗАЦИИ, ИЗД.2</t>
  </si>
  <si>
    <t>795896.02.01</t>
  </si>
  <si>
    <t>Управление инновационной деятельностью: Уч.пос. / А.В.Вершков-М.:НИЦ ИНФРА-М,2023.-166 с.(ВО)(п)</t>
  </si>
  <si>
    <t>УПРАВЛЕНИЕ ИННОВАЦИОННОЙ ДЕЯТЕЛЬНОСТЬЮ</t>
  </si>
  <si>
    <t>Вершков А.В., Москалев А.К.</t>
  </si>
  <si>
    <t>978-5-16-018087-8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</si>
  <si>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27.03.05 «Инноватика» (квалификация (степень) «бакалавр») (протокол № 7 от 21.09.2022)</t>
  </si>
  <si>
    <t>078150.17.01</t>
  </si>
  <si>
    <t>Управление инновационными проектами: Уч.пос. / Под ред.Попова В.Л. -М.:НИЦ ИНФРА-М, 2024-336с(ВО)(П)</t>
  </si>
  <si>
    <t>УПРАВЛЕНИЕ ИННОВАЦИОННЫМИ ПРОЕКТАМИ</t>
  </si>
  <si>
    <t>Попов В.Л., Кремлев Н.Д., Ковшов В.С. и др.</t>
  </si>
  <si>
    <t>978-5-16-010105-7</t>
  </si>
  <si>
    <t>694000.08.01</t>
  </si>
  <si>
    <t>Управление инновациями. Метод. инструментарий: Уч. / В.В.Артяков - 2 изд.- М.:НИЦ ИНФРА-М,2025 - 296 с.(ВО)(п)</t>
  </si>
  <si>
    <t>УПРАВЛЕНИЕ ИННОВАЦИЯМИ. МЕТОДОЛОГИЧЕСКИЙ ИНСТРУМЕНТАРИЙ, ИЗД.2</t>
  </si>
  <si>
    <t>Артяков В.В., Чурсин А.А., Островская А.А.</t>
  </si>
  <si>
    <t>978-5-16-019241-3</t>
  </si>
  <si>
    <t>27.04.05, 27.04.06, 27.04.07, 38.04.01, 38.04.02</t>
  </si>
  <si>
    <t>694000.05.01</t>
  </si>
  <si>
    <t>Управление инновациями. Метод. инструментарий: Уч. / В.В.Артяков - М.:НИЦ ИНФРА-М,2023-206с(ВО)(П)</t>
  </si>
  <si>
    <t>УПРАВЛЕНИЕ ИННОВАЦИЯМИ. МЕТОДОЛОГИЧЕСКИЙ ИНСТРУМЕНТАРИЙ</t>
  </si>
  <si>
    <t>978-5-16-014965-3</t>
  </si>
  <si>
    <t>770330.02.01</t>
  </si>
  <si>
    <t>Управление инновациями: Уч. / А.А.Чурсин-М.:НИЦ ИНФРА-М,2024.-331 с.(ВО)(п)</t>
  </si>
  <si>
    <t>УПРАВЛЕНИЕ ИННОВАЦИЯМИ</t>
  </si>
  <si>
    <t>Чурсин А.А., Абуева М.М.</t>
  </si>
  <si>
    <t>978-5-16-017566-9</t>
  </si>
  <si>
    <t>27.03.02, 27.03.05, 38.03.01</t>
  </si>
  <si>
    <t>297100.07.01</t>
  </si>
  <si>
    <t>Управление интеллектуал. капиталом развив. комп.: Уч. пос. /Н.Н.Шаш - М: Магистр: ИНФРА-М, 2023 - 368с</t>
  </si>
  <si>
    <t>УПРАВЛЕНИЕ ИНТЕЛЛЕКТУАЛЬНЫМ КАПИТАЛОМ РАЗВИВАЮЩЕЙСЯ КОМПАНИИ</t>
  </si>
  <si>
    <t>Шаш Н. Н.</t>
  </si>
  <si>
    <t>978-5-9776-0330-0</t>
  </si>
  <si>
    <t>149800.09.01</t>
  </si>
  <si>
    <t>Управление информацией и знаниями в компании: Уч. / С.Н.Селетков-М.:НИЦ ИНФРА-М,2024.-208 с.(ВО)(п)</t>
  </si>
  <si>
    <t>УПРАВЛЕНИЕ ИНФОРМАЦИЕЙ И ЗНАНИЯМИ В КОМПАНИИ</t>
  </si>
  <si>
    <t>Селетков С.Н., Днепровская Н.В.</t>
  </si>
  <si>
    <t>978-5-16-004842-0</t>
  </si>
  <si>
    <t>01.03.02, 01.04.02, 02.03.01, 02.03.02, 02.04.01, 02.04.02, 03.03.02, 04.03.02, 09.03.03, 09.03.04, 09.04.03, 38.03.01, 38.03.05, 38.04.05</t>
  </si>
  <si>
    <t>Рекомендовано Учебно-методическим объединением по образованию в области прикладной информатики в качестве учебника для студентов высших учебных заведений, обучающихся по направлению подготовки 09.03.03 «Прикладная информатика (по областям)» (квалификация (степень) «бакалавр») и другим экономическим специальностям</t>
  </si>
  <si>
    <t>388700.04.01</t>
  </si>
  <si>
    <t>Управление качеством в процессе произв.: Уч.пос./Г.Н.Зайцев-М.:ИЦ РИОР,НИЦ ИНФРА-М,2021-164с.(ВО)(о)</t>
  </si>
  <si>
    <t>УПРАВЛЕНИЕ КАЧЕСТВОМ В ПРОЦЕССЕ ПРОИЗВОДСТВА</t>
  </si>
  <si>
    <t>Зайцев Г.Н.</t>
  </si>
  <si>
    <t>978-5-369-01501-8</t>
  </si>
  <si>
    <t>20.03.02, 27.03.01, 27.04.05, 28.03.02, 29.03.03, 38.03.02</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</si>
  <si>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«Менеджмент» (профиль «Производственный менеджмент») и по магистерской программе «Управление качеством и конкурентноспособностью» со специализацией «Управление качеством промышленной продукции»</t>
  </si>
  <si>
    <t>274000.07.01</t>
  </si>
  <si>
    <t>Управление качеством информац. сис.: Уч.пос. / Г.Н.Исаев - М.:НИЦ ИНФРА-М,2024-248 с.(ВО: Бакалавр.)(П)</t>
  </si>
  <si>
    <t>УПРАВЛЕНИЕ КАЧЕСТВОМ ИНФОРМАЦИОННЫХ СИСТЕМ</t>
  </si>
  <si>
    <t>Исаев Г.Н.</t>
  </si>
  <si>
    <t>978-5-16-011794-2</t>
  </si>
  <si>
    <t>09.03.01, 09.03.02, 09.04.02</t>
  </si>
  <si>
    <t>Рекомендовано в качестве учебного пособия для студентов высших учебных заведений, обучающихся по направлению подготовки 09.03.02 «Информационные системы и технологии» (квалификация (степень) «бакалавр»)</t>
  </si>
  <si>
    <t>719807.03.01</t>
  </si>
  <si>
    <t>Управление качеством информационных систем: Уч.пос. / Г.Н.Исаев-М.:НИЦ ИНФРА-М,2023.-248 с.(СПО)(П)</t>
  </si>
  <si>
    <t>978-5-16-015650-7</t>
  </si>
  <si>
    <t>09.01.05, 09.02.01, 09.02.02, 09.02.03, 09.02.04, 09.02.05, 09.02.06, 09.02.07</t>
  </si>
  <si>
    <t>411600.09.01</t>
  </si>
  <si>
    <t>Управление качеством на предприят. пищевой..: Уч. / Под ред. В.М.Позняковского - 3 изд. - ИНФРА-М,2025 - 336 с. (П)</t>
  </si>
  <si>
    <t>УПРАВЛЕНИЕ КАЧЕСТВОМ НА ПРЕДПРИЯТИЯХ ПИЩЕВОЙ, ПЕРЕРАБАТЫВАЮЩЕЙ ПРОМЫШЛЕННОСТИ, ТОРГОВЛИ И ОБЩЕСТВЕННОГО ПИТАНИЯ, ИЗД.3</t>
  </si>
  <si>
    <t>Сурков И. В., Кантере В. М., Ермолаева Е. О., Позняковский В. М.</t>
  </si>
  <si>
    <t>978-5-16-006184-9</t>
  </si>
  <si>
    <t>Допущено УМО по образованию в области прикладной математики и управления качеством в качестве учебника для студентов высших учебных заведений, обучающихся по направлениям подготовки 221400 «Управление качеством»; 100800 «Товароведение», 260800 «Техно</t>
  </si>
  <si>
    <t>720383.03.01</t>
  </si>
  <si>
    <t>Управление качеством программного обесп.: Уч. / Б.В.Черников - М.:ИД ФОРУМ, НИЦ ИНФРА-М,2022 - 240с(СПО)(п)</t>
  </si>
  <si>
    <t>УПРАВЛЕНИЕ КАЧЕСТВОМ ПРОГРАММНОГО ОБЕСПЕЧЕНИЯ</t>
  </si>
  <si>
    <t>978-5-8199-0902-7</t>
  </si>
  <si>
    <t>400500.09.01</t>
  </si>
  <si>
    <t>Управление качеством. Практ.: Уч.пос. / Б.Н.Герасимов-М.:Вуз. уч., НИЦ ИНФРА-М,2023.-208 с.(П)</t>
  </si>
  <si>
    <t>УПРАВЛЕНИЕ КАЧЕСТВОМ. ПРАКТИКУМ</t>
  </si>
  <si>
    <t>Герасимов Б.Н., Чуриков Ю.В.</t>
  </si>
  <si>
    <t>978-5-9558-0228-2</t>
  </si>
  <si>
    <t>38.03.01, 38.03.02, 38.03.03, 38.03.04, 38.04.02</t>
  </si>
  <si>
    <t>719234.01.01</t>
  </si>
  <si>
    <t>Управление качеством. Практикум: Уч.пос. / Б.Н.Герасимов-М.:Вуз.уч., НИЦ ИНФРА-М,2020-208с(СПО)(П)</t>
  </si>
  <si>
    <t>Герасимов Б. Н., Чуриков Ю. В.</t>
  </si>
  <si>
    <t>978-5-9558-0635-8</t>
  </si>
  <si>
    <t>15.02.16, 38.02.01, 38.02.02, 38.02.03, 38.02.06, 38.02.08</t>
  </si>
  <si>
    <t>451850.05.01</t>
  </si>
  <si>
    <t>Управление качеством: качество жизни: Уч. пос. / Б.И.Герасимов - М.: Форум: ИНФРА-М, 2024-304с.(ВО) (о)</t>
  </si>
  <si>
    <t>УПРАВЛЕНИЕ КАЧЕСТВОМ: КАЧЕСТВО ЖИЗНИ</t>
  </si>
  <si>
    <t>Герасимов Б. И., Сизикин А. Ю., Спиридонов С. П., Герасимова Е. Б.</t>
  </si>
  <si>
    <t>978-5-91134-817-5</t>
  </si>
  <si>
    <t>27.03.01, 27.03.02, 27.04.01, 27.04.02</t>
  </si>
  <si>
    <t>Рекомендовано Федеральным государственным унитарным предприятием «Российский научно-технический центр информации по стандартизации, метрологии и оценке соответствия» (ФГУП «СТАНДАРТИНФОРМ») в качестве учебного пособия для студентов образовательных уч</t>
  </si>
  <si>
    <t>445950.06.01</t>
  </si>
  <si>
    <t>Управление качеством: проектир.: Уч. пос. /Б.И.Герасимов - М.: Форум:  НИЦ ИНФРА-М, 2024-176с.(СПО) (о)</t>
  </si>
  <si>
    <t>УПРАВЛЕНИЕ КАЧЕСТВОМ: ПРОЕКТИРОВАНИЕ</t>
  </si>
  <si>
    <t>Герасимов Б.И., Сизикин А.Ю., Герасимова Е.Б.</t>
  </si>
  <si>
    <t>978-5-91134-780-2</t>
  </si>
  <si>
    <t>15.02.16, 27.02.01, 27.02.02, 27.02.03, 27.02.04, 27.02.05, 35.02.18</t>
  </si>
  <si>
    <t>500130.04.01</t>
  </si>
  <si>
    <t>Управление качеством: резервы и механизмы: Уч.пос. / Б.И.Герасимов-М.:Форум, НИЦ ИНФРА-М,2024.-240 с.(ВО)(о)</t>
  </si>
  <si>
    <t>УПРАВЛЕНИЕ КАЧЕСТВОМ: РЕЗЕРВЫ И МЕХАНИЗМЫ</t>
  </si>
  <si>
    <t>978-5-00091-675-9</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</si>
  <si>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27.03.00 «Управление в технических системах» (квалификация (степень) «бакалавр»)</t>
  </si>
  <si>
    <t>429450.04.01</t>
  </si>
  <si>
    <t>Управление качеством: самооценка: Уч.пос. / Б.И.Герасимов.-М.:Форум, НИЦ ИНФРА-М,2023.-176 с.(О)</t>
  </si>
  <si>
    <t>УПРАВЛЕНИЕ КАЧЕСТВОМ: САМООЦЕНКА</t>
  </si>
  <si>
    <t>Герасимов Б.И., Сизикин А.Ю., Герасимова Е.Б. и др.</t>
  </si>
  <si>
    <t>Профессиональное образование. Бакалавриат</t>
  </si>
  <si>
    <t>978-5-91134-735-2</t>
  </si>
  <si>
    <t>15.02.16, 27.02.01, 27.02.02, 35.02.18</t>
  </si>
  <si>
    <t>022496.25.01</t>
  </si>
  <si>
    <t>Управление качеством: Уч. / Л.Е.Басовский - 3 изд. - М.: НИЦ ИНФРА-М, 2025 - 231 с.(ВО: Бакалавр.)(П)</t>
  </si>
  <si>
    <t>УПРАВЛЕНИЕ КАЧЕСТВОМ, ИЗД.3</t>
  </si>
  <si>
    <t>Басовский Л.Е., Протасьев В.Б.</t>
  </si>
  <si>
    <t>978-5-16-011847-5</t>
  </si>
  <si>
    <t>15.04.01, 22.04.02, 27.03.01, 27.03.02, 27.04.05, 38.03.01, 38.03.02, 38.04.01, 38.04.02, 44.03.01</t>
  </si>
  <si>
    <t>Рекомендовано в качестве учебника для студентов высших учебных заведений, обучающихся по направлению подготовки 38.03.02 «Менеджмент»(квалификация (степень) «бакалавр»)</t>
  </si>
  <si>
    <t>719235.06.01</t>
  </si>
  <si>
    <t>Управление качеством: Уч. / Л.Е.Басовский - 3 изд. - М.:НИЦ ИНФРА-М,2025 - 231 с.-(СПО)(П)</t>
  </si>
  <si>
    <t>978-5-16-015607-1</t>
  </si>
  <si>
    <t>15.02.16, 23.02.01, 23.02.04, 23.02.07, 26.02.04, 27.02.07, 38.02.01, 38.02.03, 38.02.06, 38.02.08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</si>
  <si>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управленческим и экономическим специальностям (протокол № 12 от 24.06.2019)</t>
  </si>
  <si>
    <t>047750.21.01</t>
  </si>
  <si>
    <t>Управление качеством: Уч. / О.В.Аристов - 2 изд. - М.:НИЦ ИНФРА-М,2024 - 224 с.-(ВО: Бакалавриат)(п)</t>
  </si>
  <si>
    <t>УПРАВЛЕНИЕ КАЧЕСТВОМ, ИЗД.2</t>
  </si>
  <si>
    <t>Аристов О.В.</t>
  </si>
  <si>
    <t>978-5-16-016093-1</t>
  </si>
  <si>
    <t>Допущено Мин. обр. и науки РФ в качестве учебника для студентов вузов, обучающихся по специальности "Менеджмент организации"</t>
  </si>
  <si>
    <t>133250.09.01</t>
  </si>
  <si>
    <t>Управление качеством: Уч. пос. / В.А. Разумов. - М.: ИНФРА-М, 2025. - 208 с. + CD-ROM.(ВО) (п+CD)</t>
  </si>
  <si>
    <t>УПРАВЛЕНИЕ КАЧЕСТВОМ</t>
  </si>
  <si>
    <t>Разумов В. А.</t>
  </si>
  <si>
    <t>978-5-16-003830-8</t>
  </si>
  <si>
    <t>316900.07.01</t>
  </si>
  <si>
    <t>Управление качеством: Уч.пос. / А.М.Елохов, - 2 изд.-М.:НИЦ ИНФРА-М,2024.-334 с.(ВО)(п)</t>
  </si>
  <si>
    <t>Елохов А.М.</t>
  </si>
  <si>
    <t>978-5-16-019107-2</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</si>
  <si>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t>
  </si>
  <si>
    <t>154250.08.01</t>
  </si>
  <si>
    <t>Управление качеством: Уч.пос. / В.Е. Магер - М.: ИНФРА-М,2021 - 176 с. (ВО) (п)</t>
  </si>
  <si>
    <t>Магер В.Е.</t>
  </si>
  <si>
    <t>978-5-16-004764-5</t>
  </si>
  <si>
    <t>27.03.01, 27.03.03, 27.04.03</t>
  </si>
  <si>
    <t>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220100 - "Системный анализ и управление"</t>
  </si>
  <si>
    <t>720762.02.01</t>
  </si>
  <si>
    <t>Управление качеством: Уч.пос. / В.Е.Магер - М.:НИЦ ИНФРА-М,2022 - 176 с.-(СПО)(П)</t>
  </si>
  <si>
    <t>978-5-16-014612-6</t>
  </si>
  <si>
    <t>27.02.01, 27.02.02, 27.02.03, 27.02.04, 27.02.05, 27.02.06, 27.02.07, 38.02.01, 38.02.02, 38.02.03, 38.02.06, 38.02.07, 38.02.08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</si>
  <si>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27.02.00 «Управление в технических системах», 38.02.00 «Экономика и управление» (протокол № 12 от 24.06.2019)</t>
  </si>
  <si>
    <t>086010.12.01</t>
  </si>
  <si>
    <t>Управление качеством: Уч.пос. / Герасимов Б.И. - 4 изд. - М.:Форум,НИЦ ИНФРА-М,2025 - 217с.-(СПО)(П)</t>
  </si>
  <si>
    <t>УПРАВЛЕНИЕ КАЧЕСТВОМ, ИЗД.4</t>
  </si>
  <si>
    <t>Герасимова Е.Б., Герасимов Б.И., Сизикин А.Ю. и др.</t>
  </si>
  <si>
    <t>978-5-00091-420-5</t>
  </si>
  <si>
    <t>12.02.03, 15.02.16, 18.02.04, 18.02.09, 18.02.13, 19.01.19, 19.02.12, 19.02.13, 27.02.07, 35.02.18, 38.02.01, 38.02.02, 38.02.03, 38.02.06, 38.02.07, 38.02.08</t>
  </si>
  <si>
    <t>654652.07.01</t>
  </si>
  <si>
    <t>Управление компетенциями персонала: Уч. / О.Л.Чуланова - М.:НИЦ ИНФРА-М,2024 - 232 с.(ВО:Магистр.)(П)</t>
  </si>
  <si>
    <t>УПРАВЛЕНИЕ КОМПЕТЕНЦИЯМИ</t>
  </si>
  <si>
    <t>978-5-16-013567-0</t>
  </si>
  <si>
    <t>38.03.02, 38.03.03, 38.03.04, 38.04.01, 38.04.02, 38.04.03, 38.04.04</t>
  </si>
  <si>
    <t>Рекомендовано в качестве учебника для студентов высших учебных заведений, обучающихся по направлениям подготовки 38.04.03 «Управление персоналом», 38.04.02 «Менеджмент», 38.04.01 «Экономика» (квалификация (степень) «магистр»)</t>
  </si>
  <si>
    <t>158850.14.01</t>
  </si>
  <si>
    <t>Управление конкурентоспособностью организации: Уч. / Г.Д.Антонов - 2 изд. - М.:НИЦ ИНФРА-М,2025 - 300 с.(ВО)(П)</t>
  </si>
  <si>
    <t>УПРАВЛЕНИЕ КОНКУРЕНТОСПОСОБНОСТЬЮ ОРГАНИЗАЦИИ, ИЗД.2</t>
  </si>
  <si>
    <t>Антонов Г.Д., Иванова О.П., Тумин В.М.</t>
  </si>
  <si>
    <t>978-5-16-020502-1</t>
  </si>
  <si>
    <t>Рекомендовано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</si>
  <si>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158850.10.01</t>
  </si>
  <si>
    <t>Управление конкурентоспособностью организации: Уч. пос./ Г.Д. Антонов - М.: ИНФРА-М, 2023. - 300 с. (П)</t>
  </si>
  <si>
    <t>УПРАВЛЕНИЕ КОНКУРЕНТОСПОСОБНОСТЬЮ ОРГАНИЗАЦИИ</t>
  </si>
  <si>
    <t>Антонов Г. Д., Тумин В. М., Иванова О. П.</t>
  </si>
  <si>
    <t>978-5-16-004963-2</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</si>
  <si>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предприятии (по отраслям)"</t>
  </si>
  <si>
    <t>698027.02.01</t>
  </si>
  <si>
    <t>Управление конкурентоспособностью продукции: Уч. / А.Е.Тюлин - М.:НИЦ ИНФРА-М,2022-215 с.-(ВО: Магистратура)(П)</t>
  </si>
  <si>
    <t>УПРАВЛЕНИЕ КОНКУРЕНТОСПОСОБНОСТЬЮ ПРОДУКЦИИ</t>
  </si>
  <si>
    <t>Тюлин А.Е., Чурсин А.А.</t>
  </si>
  <si>
    <t>978-5-16-016101-3</t>
  </si>
  <si>
    <t>27.04.05, 38.04.01, 38.04.02, 38.04.06, 43.04.01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</si>
  <si>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и 38.04.01 «Экономика» (квалификация (степень) «магистр») (протокол № 7 от 08.06.2020)</t>
  </si>
  <si>
    <t>684228.05.01</t>
  </si>
  <si>
    <t>Управление контентом. Практикум: Уч.пос. / В.А.Цупин - М.:НИЦ ИНФРА-М,2023. - 211 с.-(ВО)(П)</t>
  </si>
  <si>
    <t>УПРАВЛЕНИЕ КОНТЕНТОМ. ПРАКТИКУМ</t>
  </si>
  <si>
    <t>Цупин В.А., Ниматулаев М.М.</t>
  </si>
  <si>
    <t>978-5-16-016493-9</t>
  </si>
  <si>
    <t>09.03.01, 09.03.02, 09.03.03, 09.04.01, 09.04.02, 09.04.03, 10.03.01, 10.04.01, 38.03.05, 38.04.05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</si>
  <si>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38.03.00 «Экономика и управление», 09.03.00 «Информатика и вычислительная техника» (протокол № 10 от 27.05.2019)</t>
  </si>
  <si>
    <t>168750.08.01</t>
  </si>
  <si>
    <t>Управление кризисом: Уч. пос. / М.А. Сажина. - М.: ИД ФОРУМ:  ИНФРА-М, 2024. - 256 с.(ВО) (п)</t>
  </si>
  <si>
    <t>УПРАВЛЕНИЕ КРИЗИСОМ</t>
  </si>
  <si>
    <t>978-5-8199-0493-0</t>
  </si>
  <si>
    <t>38.03.01, 38.03.02, 38.03.04, 38.03.06, 38.04.01, 38.04.02, 38.04.04, 38.04.06, 38.04.08, 38.05.01, 44.03.01</t>
  </si>
  <si>
    <t>181300.06.01</t>
  </si>
  <si>
    <t>Управление ликвидностью в рос. комм. банке: Уч. пос. / В.В.Астрелина - ИД ФОРУМ:НИЦ Инфра-М, 2025 - 176 с. (п)</t>
  </si>
  <si>
    <t>УПРАВЛЕНИЕ ЛИКВИДНОСТЬЮ В РОССИЙСКОМ КОММЕРЧЕСКОМ БАНКЕ</t>
  </si>
  <si>
    <t>Астрелина В. В., Бондарчук П. К., Шальнов П. С.</t>
  </si>
  <si>
    <t>978-5-8199-0508-1</t>
  </si>
  <si>
    <t>Газпромбанк</t>
  </si>
  <si>
    <t>177350.09.01</t>
  </si>
  <si>
    <t>Управление малым бизнесом: Уч. пос. / Под общ. ред. В.Д.Свирчевского - М.: НИЦ ИНФРА-М, 2025 - 256 с.(ВО) (п)</t>
  </si>
  <si>
    <t>УПРАВЛЕНИЕ МАЛЫМ БИЗНЕСОМ</t>
  </si>
  <si>
    <t>Абрамова А. А., Болкина Г. И., Буриков А. Д., Гарнов А. П., Свирчевский В. Д.</t>
  </si>
  <si>
    <t>978-5-16-005057-7</t>
  </si>
  <si>
    <t>38.03.01, 38.03.02, 38.03.03, 38.03.05, 38.03.06, 38.04.01, 38.04.02, 38.04.03, 38.04.05, 38.04.06</t>
  </si>
  <si>
    <t>467050.06.01</t>
  </si>
  <si>
    <t>Управление маркет.  проектами на предпр.: Уч.пос./ С.А.Мамонтов- М.:НИЦ ИНФРА-М,2023-174с.(ВО:Бак.) (п)</t>
  </si>
  <si>
    <t>УПРАВЛЕНИЕ МАРКЕТИНГОВЫМИ  ПРОЕКТАМИ НА ПРЕДПРИЯТИИ</t>
  </si>
  <si>
    <t>Мамонтов С.А., Глебова Н.М.</t>
  </si>
  <si>
    <t>978-5-16-009794-7</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</si>
  <si>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</si>
  <si>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320100.05.01</t>
  </si>
  <si>
    <t>Управление маркетингом: Уч. / Ю.Н.Егоров - М.:НИЦ ИНФРА-М,2022 - 238 с.-(ВО: Бакалавриат)(П)</t>
  </si>
  <si>
    <t>УПРАВЛЕНИЕ МАРКЕТИНГОМ</t>
  </si>
  <si>
    <t>978-5-16-010430-0</t>
  </si>
  <si>
    <t>Рекомендовано Советом Учебно-методического объединения вузов по образованию в области менеджмента в качестве учебника для студентов высших учебных заведений, обучающихся по направлению 38.03.01 «Менеджмент»</t>
  </si>
  <si>
    <t>118850.06.01</t>
  </si>
  <si>
    <t>Управление маркетингом: Уч. пос. / Н.И. Ивашкова. - М.: Форум:  ИНФРА-М, 2024. - 176 с. (о)</t>
  </si>
  <si>
    <t>Ивашкова Н.И.</t>
  </si>
  <si>
    <t>978-5-91134-388-0</t>
  </si>
  <si>
    <t>746131.02.01</t>
  </si>
  <si>
    <t>Управление материальными ресурсами...: Уч. / А.В.Цевелев - М.:НИЦ ИНФРА-М,2021 - 428 с.-(ВО)(П)</t>
  </si>
  <si>
    <t>УПРАВЛЕНИЕ МАТЕРИАЛЬНЫМИ РЕСУРСАМИ. МАТЕРИАЛЬНО-ТЕХНИЧЕСКОЕ ОБЕСПЕЧЕНИЕ (ЖЕЛЕЗНОДОРОЖНЫЙ ТРАНСПОРТ)</t>
  </si>
  <si>
    <t>978-5-16-017025-1</t>
  </si>
  <si>
    <t>111300.12.01</t>
  </si>
  <si>
    <t>Управление настроем персонала в орг.: Уч. пос. / Н.Л.Захаров. - М.:ИНФРА-М Изд. Дом,2025. - 287 с.(ВО)(П)</t>
  </si>
  <si>
    <t>УПРАВЛЕНИЕ НАСТРОЕМ ПЕРСОНАЛА В ОРГАНИЗАЦИИ</t>
  </si>
  <si>
    <t>Захаров Н.Л., Пономаренко Б.Т., Перфильева М.Б. и др.</t>
  </si>
  <si>
    <t>978-5-16-003600-7</t>
  </si>
  <si>
    <t>38.03.03, 38.04.03, 44.03.01</t>
  </si>
  <si>
    <t>Допущено Учебно-методическим объединением в области менеджмента в качестве учебного пособия для студентов вузов, обучающихся по направлению 38.03.02 "Менеджмент"</t>
  </si>
  <si>
    <t>213600.08.01</t>
  </si>
  <si>
    <t>Управление операционной средой орг.: Уч./Н.К.Моисеева - М.:НИЦ ИНФРА-М,2025. - 336 с.(ВО: Магистр.)</t>
  </si>
  <si>
    <t>УПРАВЛЕНИЕ ОПЕРАЦИОННОЙ СРЕДОЙ ОРГАНИЗАЦИИ</t>
  </si>
  <si>
    <t>Моисеева Н. К., Стерлигова А. Н.</t>
  </si>
  <si>
    <t>978-5-16-006879-4</t>
  </si>
  <si>
    <t>419600.06.01</t>
  </si>
  <si>
    <t>Управление операциями:Уч./ Под. общ. ред. А.К.Казанцев. - М.: НИЦ ИНФРА-М, 2024 -478с.(ВО:Бакалавр.) (п)</t>
  </si>
  <si>
    <t>УПРАВЛЕНИЕ ОПЕРАЦИЯМИ</t>
  </si>
  <si>
    <t>Казанцев А. К., Кобзев В. В., Макаров В. М., Казанцев А. К.</t>
  </si>
  <si>
    <t>978-5-16-006273-0</t>
  </si>
  <si>
    <t>Рекомендовано федеральным государственным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080200.62 «Мен</t>
  </si>
  <si>
    <t>210900.03.01</t>
  </si>
  <si>
    <t>Управление отходами: Уч.пос. / Б.Б.Бобович - 2 изд. - М.: Форум: НИЦ ИНФРА-М,2017 - 104 с.-(ВО)(о)</t>
  </si>
  <si>
    <t>УПРАВЛЕНИЕ ОТХОДАМИ, ИЗД.2</t>
  </si>
  <si>
    <t>978-5-00091-012-2</t>
  </si>
  <si>
    <t>210900.11.01</t>
  </si>
  <si>
    <t>Управление отходами: Уч.пос. / Б.Б.Бобович - 3 изд. - М.:Форум, НИЦ ИНФРА-М,2025 - 107 с.(О)</t>
  </si>
  <si>
    <t>УПРАВЛЕНИЕ ОТХОДАМИ, ИЗД.3</t>
  </si>
  <si>
    <t>978-5-00091-568-4</t>
  </si>
  <si>
    <t>438150.08.01</t>
  </si>
  <si>
    <t>Управление персоналом в гостиницах: Уч.пос. / Н.А.Зайцева - М.:Форум, НИЦ ИНФРА-М,2025. - 416 с.(ВО)(п)</t>
  </si>
  <si>
    <t>УПРАВЛЕНИЕ ПЕРСОНАЛОМ В ГОСТИНИЦАХ</t>
  </si>
  <si>
    <t>978-5-91134-747-5</t>
  </si>
  <si>
    <t>38.03.01, 38.03.03, 38.04.03, 41.03.06, 43.03.03, 43.04.03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</si>
  <si>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направлениям подготовки 100400 «Туризм» и 101100 «Гостиничное дело»</t>
  </si>
  <si>
    <t>758687.01.01</t>
  </si>
  <si>
    <t>Управление персоналом гостинич. предпр.: Уч.пос. / И.С.Ключевская - М.:НИЦ ИНФРА-М,2021-386 с.(СПО)(П</t>
  </si>
  <si>
    <t>УПРАВЛЕНИЕ ПЕРСОНАЛОМ ГОСТИНИЧНОГО ПРЕДПРИЯТИЯ</t>
  </si>
  <si>
    <t>978-5-16-016998-9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</si>
  <si>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43.02.11 «Гостиничный сервис», 43.02.14 «Гостиничное дело» (протокол № 12 от 14.12.2020)</t>
  </si>
  <si>
    <t>719461.02.01</t>
  </si>
  <si>
    <t>Управление персоналом гостинич. предпр.: Уч.пос. / И.С.Ключевская-М.:НИЦ ИНФРА-М,2023.-386 с.(ВО)(П)</t>
  </si>
  <si>
    <t>978-5-16-016010-8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</si>
  <si>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и 43.03.02 «Туризм» (квалификация (степень) «бакалавр») (протокол №12 от 14.12.2020)</t>
  </si>
  <si>
    <t>420800.09.01</t>
  </si>
  <si>
    <t>Управление персоналом на предприятии туризма: Уч. / Т.В. Бедяева - М.: НИЦ ИНФРА-М, 2025 - 180 с.(ВО) (п)</t>
  </si>
  <si>
    <t>УПРАВЛЕНИЕ ПЕРСОНАЛОМ НА ПРЕДПРИЯТИИ ТУРИЗМА</t>
  </si>
  <si>
    <t>Бедяева Т. В., Захаров А. С., Богданов Е. И.</t>
  </si>
  <si>
    <t>978-5-16-006295-2</t>
  </si>
  <si>
    <t>38.03.01, 38.03.03, 38.04.03, 43.03.02, 43.04.02</t>
  </si>
  <si>
    <t>015861.26.01</t>
  </si>
  <si>
    <t>Управление персоналом орг.: Практ.: Уч.пос. / А.Я.Кибанов - 2 изд. - М.:НИЦ ИНФРА-М,2024 - 365 с.(ВО)(п)</t>
  </si>
  <si>
    <t>УПРАВЛЕНИЕ ПЕРСОНАЛОМ ОРГАНИЗАЦИИ: ПРАКТИКУМ, ИЗД.2</t>
  </si>
  <si>
    <t>978-5-16-019771-5</t>
  </si>
  <si>
    <t>38.03.02, 38.03.03, 38.03.04, 38.04.02, 38.04.03, 38.04.04, 38.05.01, 38.05.02, 44.03.01</t>
  </si>
  <si>
    <t>Рекомендовано Министерством образования Российской Федерации в качестве учебного пособия для студентов высших учебных заведений, обучающихся по направлениям 38.03.02 «Менеджмент организации», 38.03.03 «Управление персоналом»</t>
  </si>
  <si>
    <t>679074.05.01</t>
  </si>
  <si>
    <t>Управление персоналом орг.: соврем. тех.:Уч. / Сотникова С.И., - 2 изд.-М.:НИЦ ИНФРА-М,2023.-513с(П)</t>
  </si>
  <si>
    <t>УПРАВЛЕНИЕ ПЕРСОНАЛОМ ОРГАНИЗАЦИИ: СОВРЕМЕННЫЕ ТЕХНОЛОГИИ, ИЗД.2</t>
  </si>
  <si>
    <t>Сотникова С.И., Маслов Е.В., Абакумова Н.Н. и др.</t>
  </si>
  <si>
    <t>978-5-16-014117-6</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</si>
  <si>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направлений подготовки 38.03.03 «Управление персоналом», 38.03.02 «Менеджмент» (квалификация (степень) «бакалавр»)</t>
  </si>
  <si>
    <t>002881.31.01</t>
  </si>
  <si>
    <t>Управление персоналом орг.: Уч. / Под ред. Кибанова А.Я - 4 изд., -М.:НИЦ ИНФРА-М,2024-695 с.(ВО)(п)</t>
  </si>
  <si>
    <t>УПРАВЛЕНИЕ ПЕРСОНАЛОМ ОРГАНИЗАЦИИ, ИЗД.4</t>
  </si>
  <si>
    <t>Кибанов А.Я., Баткаева И.А., Ивановская Л.В. и др.</t>
  </si>
  <si>
    <t>978-5-16-019770-8</t>
  </si>
  <si>
    <t>15.05.01, 21.05.06, 23.03.01, 23.05.04, 23.05.06, 25.03.01, 25.03.04, 25.05.05, 26.03.01, 37.03.02, 38.03.01, 38.03.02, 38.03.03, 38.03.04, 38.03.10, 40.05.03, 41.03.06, 44.03.01, 55.05.04</t>
  </si>
  <si>
    <t>Рекомендовано Министерством образования Российской Федерации в качестве учебника для студентов высших учебных заведений, обучающихся по специальностям «Менеджмент организации», «Управление персоналом», «Экономика труда»</t>
  </si>
  <si>
    <t>063730.15.01</t>
  </si>
  <si>
    <t>Управление персоналом организации: стратегия..: Уч. пос./А.Я.Кибанов-М: НИЦ ИНФРА-М,2024-301с(ВО)(П)</t>
  </si>
  <si>
    <t>УПРАВЛЕНИЕ ПЕРСОНАЛОМ ОРГАНИЗАЦИИ: СТРАТЕГИЯ, МАРКЕТИНГ, ИНТЕРНАЦИОНАЛИЗАЦИЯ</t>
  </si>
  <si>
    <t>Кибанов А. Я., Дуракова И. Б.</t>
  </si>
  <si>
    <t>978-5-16-006649-3</t>
  </si>
  <si>
    <t>38.03.01, 38.03.03, 38.04.03, 41.03.06, 44.03.01</t>
  </si>
  <si>
    <t>Рекомендовано УМО вузов России по образованию в области менеджмента в качестве учебного пособия для студентов высших учебных заведений, обучающихся по направлениям «Менеджмент» и «Управление персоналом»</t>
  </si>
  <si>
    <t>487800.06.01</t>
  </si>
  <si>
    <t>Управление персоналом организации: Уч. / Под ред. Миневой О.К. - М.:НИЦ ИНФРА-М,2025 - 160 с.(ВО)(о)</t>
  </si>
  <si>
    <t>УПРАВЛЕНИЕ ПЕРСОНАЛОМ ОРГАНИЗАЦИИ: ТЕХНОЛОГИИ УПРАВЛЕНИЯ РАЗВИТИЕМ ПЕРСОНАЛА</t>
  </si>
  <si>
    <t>Минева О.К., Ахунжанова И.Н., Мордасова Т.А. и др.</t>
  </si>
  <si>
    <t>978-5-16-020657-8</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</si>
  <si>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высшего образования по направлению подготовки 38.03.03 «Управление персоналом»</t>
  </si>
  <si>
    <t>632225.04.01</t>
  </si>
  <si>
    <t>Управление персоналом организации: Уч.пос. / Г.В.Суслов - М.:ИЦ РИОР, НИЦ ИНФРА-М,2020-154с.(ВО)(О)</t>
  </si>
  <si>
    <t>УПРАВЛЕНИЕ ПЕРСОНАЛОМ ОРГАНИЗАЦИИ</t>
  </si>
  <si>
    <t>Суслов Г.В.</t>
  </si>
  <si>
    <t>978-5-369-01564-3</t>
  </si>
  <si>
    <t>38.03.01, 38.03.03, 44.03.01</t>
  </si>
  <si>
    <t>Институт мировой экономики и информатизации</t>
  </si>
  <si>
    <t>178600.06.01</t>
  </si>
  <si>
    <t>Управление персоналом: ассессмент, комплек..: Уч. пос./Е.В.Куприянчук-ИЦ РИОР:Инфра-М, 2023-255с(ВО) (п)</t>
  </si>
  <si>
    <t>УПРАВЛЕНИЕ ПЕРСОНАЛОМ: АССЕССМЕНТ, КОМПЛЕКТОВАНИЕ, АДАПТАЦИЯ, РАЗВИТИЕ</t>
  </si>
  <si>
    <t>Куприянчук Е. В., Щербакова Ю. В.</t>
  </si>
  <si>
    <t>978-5-369-01061-7</t>
  </si>
  <si>
    <t>23.03.01, 38.03.01, 38.03.03, 41.03.06, 44.03.01, 51.03.02</t>
  </si>
  <si>
    <t>337500.04.01</t>
  </si>
  <si>
    <t>Управление персоналом: деловая карьера: Уч. пос./С.И.Сотникова- 2 изд.-М.:ИЦ РИОР, НИЦ ИНФРА-М,2023.-328 с(П)</t>
  </si>
  <si>
    <t>УПРАВЛЕНИЕ ПЕРСОНАЛОМ: ДЕЛОВАЯ КАРЬЕРА, ИЗД.2</t>
  </si>
  <si>
    <t>Сотникова С.И.</t>
  </si>
  <si>
    <t>978-5-369-01455-4</t>
  </si>
  <si>
    <t>23.03.01, 38.03.01, 38.03.03, 38.04.03, 41.03.06, 44.03.01, 51.03.02</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</si>
  <si>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«Управление персоналом» (квалификация (степень) «бакалавр")</t>
  </si>
  <si>
    <t>065700.12.01</t>
  </si>
  <si>
    <t>Управление персоналом: разв. труд. потенц.: Уч.пос. /М.И.Бухалков - М.: НИЦ ИНФРА-М, 2023 -191с(П)</t>
  </si>
  <si>
    <t>УПРАВЛЕНИЕ ПЕРСОНАЛОМ: РАЗВИТИЕ ТРУДОВОГО ПОТЕНЦИАЛА</t>
  </si>
  <si>
    <t>978-5-16-010654-0</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</si>
  <si>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38.04.02 «Менеджмент»</t>
  </si>
  <si>
    <t>108550.17.01</t>
  </si>
  <si>
    <t>Управление персоналом: Уч.  / И.Б. Дуракова и др. - М.: ИНФРА-М, 2025. - 570 с.(ВО) (п)</t>
  </si>
  <si>
    <t>УПРАВЛЕНИЕ ПЕРСОНАЛОМ</t>
  </si>
  <si>
    <t>Дуракова И. Б., Волкова Л. П., Кобцева Е. Н., Полякова О. Н.</t>
  </si>
  <si>
    <t>978-5-16-003563-5</t>
  </si>
  <si>
    <t>23.03.01, 38.03.01, 38.03.02, 38.03.03, 38.03.04, 38.04.01, 38.04.02, 38.04.03, 38.04.04, 41.03.06, 44.03.01, 51.03.02</t>
  </si>
  <si>
    <t>Рекомендовано УМО вузов России по образованию в области менеджмента в качестве учебника для студентов вузов, обучающихся по специальностям Менеджмент организации, Управение персоналом</t>
  </si>
  <si>
    <t>060800.13.01</t>
  </si>
  <si>
    <t>Управление персоналом: Уч. / М.И. Бухалков. - 2-е изд.- М.: ИНФРА-М, 2024. - 400 с. - (ВО) (п)</t>
  </si>
  <si>
    <t>УПРАВЛЕНИЕ ПЕРСОНАЛОМ, ИЗД.2</t>
  </si>
  <si>
    <t>978-5-16-003112-5</t>
  </si>
  <si>
    <t>Допущено Учебно-методическим объединением по образованию в области производственного менеджмента в качестве учебного пособия для студентов экономических специальностей вузов</t>
  </si>
  <si>
    <t>071570.23.01</t>
  </si>
  <si>
    <t>Управление персоналом: Уч. / Т.В.Зайцева - М.:ИД ФОРУМ, НИЦ ИНФРА-М,2024 - 336 с.(СПО)(П)</t>
  </si>
  <si>
    <t>Зайцева Т. В., Зуб А. Т.</t>
  </si>
  <si>
    <t>978-5-8199-0911-9</t>
  </si>
  <si>
    <t>08.02.01, 11.02.06, 11.02.07, 11.02.09, 11.02.11, 11.02.12, 11.02.15, 11.02.17, 11.02.18, 12.02.03, 13.02.01, 13.02.02, 13.02.05, 13.02.08, 13.02.09, 13.02.12, 13.02.13, 14.02.01, 14.02.02, 15.02.01, 15.02.16, 15.02.17, 18.02.04, 18.02.05, 18.02.07, 18.02.10, 18.02.12, 18.02.13, 18.02.14, 18.02.15, 19.02.10, 19.02.11, 19.02.12, 19.02.13, 19.02.14, 21.02.09, 21.02.12, 21.02.13, 21.02.14, 21.02.16, 21.02.20, 24.02.01, 24.02.02, 26.02.01, 26.02.02, 26.02.04, 26.02.05, 26.02.06, 29.02.02, 31.02.04, 35.02.10, 38.02.01, 38.02.03, 38.02.07, 38.02.08, 54.01.20</t>
  </si>
  <si>
    <t>071570.21.01</t>
  </si>
  <si>
    <t>Управление персоналом: Уч. / Т.В.Зайцева, - 2 изд. - М.:НИЦ ИНФРА-М,2025. - 315 с.(СПО)(п)</t>
  </si>
  <si>
    <t>Зайцева Т.В., Зуб А.Т.</t>
  </si>
  <si>
    <t>978-5-16-020123-8</t>
  </si>
  <si>
    <t>402100.09.01</t>
  </si>
  <si>
    <t>Управление персоналом: Уч. пос. / А.Я.Кибанов - М.: НИЦ ИНФРА-М, 2025 - 238 с.(ВО: Бакалавриат)</t>
  </si>
  <si>
    <t>Кибанов А. Я., Гагаринская Г. П., Калмыкова О. Ю., Мюллер Е. В.</t>
  </si>
  <si>
    <t>978-5-16-006102-3</t>
  </si>
  <si>
    <t>23.03.01, 38.03.01, 38.03.02, 38.03.03, 41.03.06, 44.03.01, 51.03.02</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</si>
  <si>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направлениям подготовки «Менеджмент», «Государственное и муниципальное управление», «Управление персонал</t>
  </si>
  <si>
    <t>189300.09.01</t>
  </si>
  <si>
    <t>Управление персоналом: Уч.пос. / Под ред. Бычкова В.П. - М.:НИЦ ИНФРА-М,2025. - 237 с.(ВО: Бакалавр.)(п)</t>
  </si>
  <si>
    <t>Бычков В. П., Бугаков В. М., Гончаров В. Н., Бычков В. П.</t>
  </si>
  <si>
    <t>978-5-16-005305-9</t>
  </si>
  <si>
    <t>23.03.01, 38.03.01, 38.03.03, 38.03.04, 38.04.03, 38.04.04, 41.03.06, 44.03.01, 51.03.02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</si>
  <si>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t>
  </si>
  <si>
    <t>705272.12.01</t>
  </si>
  <si>
    <t>Управление подразделениями в мирное время: Уч.пос. / И.Ю.Лепешинский. - М.:НИЦ ИНФРА-М,2025 - 279 с.(ВО)(П)</t>
  </si>
  <si>
    <t>УПРАВЛЕНИЕ ПОДРАЗДЕЛЕНИЯМИ В МИРНОЕ ВРЕМЯ</t>
  </si>
  <si>
    <t>Лепешинский И.Ю., Глебов В.В., Листков В.Б. и др.</t>
  </si>
  <si>
    <t>978-5-16-015116-8</t>
  </si>
  <si>
    <t>56.04.02, 56.04.03, 56.04.04, 56.04.05, 56.04.08, 56.04.09, 56.04.10, 56.04.11, 56.04.12, 56.05.04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</si>
  <si>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</si>
  <si>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698266.01.01</t>
  </si>
  <si>
    <t>Управление портфелем в системе Thomson Reuters: Уч.пос. / А.Ю.Михайлов-М.:НИЦ ИНФРА-М,2020.-104 с.(ВО)(О)</t>
  </si>
  <si>
    <t>УПРАВЛЕНИЕ ПОРТФЕЛЕМ В СИСТЕМЕ THOMSON REUTERS</t>
  </si>
  <si>
    <t>978-5-16-014672-0</t>
  </si>
  <si>
    <t>38.03.01, 38.04.01, 38.04.08, 41.03.06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</si>
  <si>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 (протокол № 5 от 26.03.2020)</t>
  </si>
  <si>
    <t>204100.07.01</t>
  </si>
  <si>
    <t>Управление проблемной банковской задолжен.: Уч. / А.М.Смулов.  - М.:НИЦ ИНФРА-М,2025 - 352 с.(ВО:Бакалавр.) (п)</t>
  </si>
  <si>
    <t>УПРАВЛЕНИЕ ПРОБЛЕМНОЙ БАНКОВСКОЙ ЗАДОЛЖЕННОСТЬЮ</t>
  </si>
  <si>
    <t>Смулов А. М., Смулов А. М.</t>
  </si>
  <si>
    <t>978-5-16-006647-9</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</si>
  <si>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(квалификация (</t>
  </si>
  <si>
    <t>Православный Свято-Тихоновский гуманитарный университет</t>
  </si>
  <si>
    <t>645292.05.01</t>
  </si>
  <si>
    <t>Управление продажами: Уч. / С.В.Земляк и др. - М.:Вуз. уч., НИЦ ИНФРА-М,2024 - 300 с.(П)</t>
  </si>
  <si>
    <t>УПРАВЛЕНИЕ ПРОДАЖАМИ</t>
  </si>
  <si>
    <t>Земляк С.В., Гусарова О.М., Жильцов Д.А. и др.</t>
  </si>
  <si>
    <t>978-5-9558-0531-3</t>
  </si>
  <si>
    <t>664591.06.01</t>
  </si>
  <si>
    <t>Управление проектами информационных систем: Уч.пос. / Л.А.Сысоева-М.:НИЦ ИНФРА-М,2023-345с(ВО)(П)</t>
  </si>
  <si>
    <t>УПРАВЛЕНИЕ ПРОЕКТАМИ ИНФОРМАЦИОННЫХ СИСТЕМ</t>
  </si>
  <si>
    <t>Сысоева Л.А., Сатунина А.Е.</t>
  </si>
  <si>
    <t>978-5-16-013775-9</t>
  </si>
  <si>
    <t>09.03.03, 09.03.04, 38.03.02, 38.03.05</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</si>
  <si>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09.03.03 «Прикладная информатика», 38.03.02 «Менеджмент», 38.03.05 «Бизнес-информатика»</t>
  </si>
  <si>
    <t>719618.03.01</t>
  </si>
  <si>
    <t>Управление проектами информационных систем: Уч.пос. / Л.А.Сысоева-М.:НИЦ ИНФРА-М,2023-345с.-(СПО)(П)</t>
  </si>
  <si>
    <t>978-5-16-015645-3</t>
  </si>
  <si>
    <t>09.02.04, 09.02.07</t>
  </si>
  <si>
    <t>352100.08.01</t>
  </si>
  <si>
    <t>Управление проектами...: Уч.пос. / Г.А.Поташева - М.:НИЦ ИНФРА-М,2024 - 224 с.-(ВО: Бакалавриат) (П)</t>
  </si>
  <si>
    <t>УПРАВЛЕНИЕ ПРОЕКТАМИ (ПРОЕКТНЫЙ МЕНЕДЖМЕНТ)</t>
  </si>
  <si>
    <t>978-5-16-019053-2</t>
  </si>
  <si>
    <t>472900.09.01</t>
  </si>
  <si>
    <t>Управление проектами: практ.: Уч. пос. / О.Г.Тихомирова - М.:НИЦ ИНФРА-М,2025 - 273 с.(ВО)(п)</t>
  </si>
  <si>
    <t>УПРАВЛЕНИЕ ПРОЕКТАМИ: ПРАКТИКУМ</t>
  </si>
  <si>
    <t>Тихомирова О.Г.</t>
  </si>
  <si>
    <t>978-5-16-018585-9</t>
  </si>
  <si>
    <t>752735.05.01</t>
  </si>
  <si>
    <t>Управление проектами: Уч. / Д.Д.Цителадзе - М.:НИЦ ИНФРА-М,2024 - 361 с.(ВО)(п)</t>
  </si>
  <si>
    <t>УПРАВЛЕНИЕ ПРОЕКТАМИ</t>
  </si>
  <si>
    <t>978-5-16-018658-0</t>
  </si>
  <si>
    <t>38.03.02, 39.03.03</t>
  </si>
  <si>
    <t>662562.08.01</t>
  </si>
  <si>
    <t>Управление проектами: Уч. / Под ред. Филимонова Н.М.-М.:НИЦ ИНФРА-М,2024.-349 с..-(ВО)(п)</t>
  </si>
  <si>
    <t>Базилевич А.И., Денисенко В.И., Захаров П.Н. и др.</t>
  </si>
  <si>
    <t>978-5-16-018978-9</t>
  </si>
  <si>
    <t>Рекомендовано в качестве учебника для студентов высших учебных заведений, обучающихся по направлениям подготовки 38.03.02 «Менеджмент», 38.03.01 «Экономика» (квалификация (степень) «бакалавр»)</t>
  </si>
  <si>
    <t>Финансовый университет при Правительстве Российской Федерации, Орловский ф-л</t>
  </si>
  <si>
    <t>114650.11.01</t>
  </si>
  <si>
    <t>Управление проектами: Уч. пос. / А.М. Афонин и др. - М.: Форум, 2025 - 184 с.(Проф. обр.) (о)</t>
  </si>
  <si>
    <t>Афонин А. М., Царегородцев Ю. Н., Петрова С. А.</t>
  </si>
  <si>
    <t>978-5-91134-372-9</t>
  </si>
  <si>
    <t>38.02.01, 38.02.03, 38.02.06, 38.02.08</t>
  </si>
  <si>
    <t>081050.15.01</t>
  </si>
  <si>
    <t>Управление проектами: Уч.пос. / М.В.Романова - М.:ИД ФОРУМ,НИЦ ИНФРА-М,2024-256с.(ВО)(п)</t>
  </si>
  <si>
    <t>Романова М. В.</t>
  </si>
  <si>
    <t>978-5-8199-0308-7</t>
  </si>
  <si>
    <t>38.03.01, 38.03.02, 38.03.03, 38.03.04, 38.04.01, 38.04.02, 38.04.03, 38.04.04, 39.03.03, 39.04.03, 41.03.06, 44.03.01, 44.03.05</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</si>
  <si>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"Менеджмент организации"</t>
  </si>
  <si>
    <t>354300.05.01</t>
  </si>
  <si>
    <t>Управление процес. созд. техн. систем для АПК: Уч. /А.Л. Эйдис -М.: НИЦ ИНФРА-М, 2023 -188с. (ВО) (о)</t>
  </si>
  <si>
    <t>УПРАВЛЕНИЕ ПРОЦЕССОМ СОЗДАНИЯ ТЕХНИЧЕСКИХ СИСТЕМ ДЛЯ АПК</t>
  </si>
  <si>
    <t>ЭйдисА.Л., ПарлюкЕ.П.</t>
  </si>
  <si>
    <t>978-5-16-010897-1</t>
  </si>
  <si>
    <t>Рекомендовано в качестве учебного пособия для студентов высших учебных заведений, обучающихся по направлениям подготовки 35.03.06 «Агроинженерия», 23.03.02 «Наземные транспортно-технологические комплексы» (квалификация (степень) бакалавриат)</t>
  </si>
  <si>
    <t>179400.09.01</t>
  </si>
  <si>
    <t>Управление развитием туристского комплекса муниц. обр.: Уч. пос. / А.Э.Саак-М:КУРС,НИЦ ИНФРА-М,2022-304с.(П)</t>
  </si>
  <si>
    <t>УПРАВЛЕНИЕ РАЗВИТИЕМ ТУРИСТСКОГО КОМПЛЕКСА МУНИЦИПАЛЬНОГО ОБРАЗОВАНИЯ</t>
  </si>
  <si>
    <t>Саак А. Э., Жертовская Е. В.</t>
  </si>
  <si>
    <t>978-5-905554-12-4</t>
  </si>
  <si>
    <t>38.03.02, 38.03.04, 38.04.02, 38.04.04, 43.03.02, 43.04.02, 44.03.05, 49.03.03</t>
  </si>
  <si>
    <t>446900.06.01</t>
  </si>
  <si>
    <t>Управление разр.и внедр.нового продукта: Уч.пос. / Л.А.Борискова - НИЦ ИНФРА-М,2025 - 272 с.(ВО:Бакалавр.)(п)</t>
  </si>
  <si>
    <t>УПРАВЛЕНИЕ РАЗРАБОТКОЙ И ВНЕДРЕНИЕМ НОВОГО ПРОДУКТА</t>
  </si>
  <si>
    <t>Борискова Л.А., Глебова О.В., Гусева И.Б.</t>
  </si>
  <si>
    <t>978-5-16-011407-1</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</si>
  <si>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направления подготовки 38.03.02 «Менеджмент"</t>
  </si>
  <si>
    <t>786274.01.01</t>
  </si>
  <si>
    <t>Управление результатив. предпр.: Теория и прак.: Уч. / С.Б.Богуславская - М.:НИЦ ИНФРА-М,2024. - 366 с.(ВО)(п)</t>
  </si>
  <si>
    <t>УПРАВЛЕНИЕ РЕЗУЛЬТАТИВНОСТЬЮ ПРЕДПРИЯТИЯ: ТЕОРИЯ И ПРАКТИКА</t>
  </si>
  <si>
    <t>Богуславская С.Б., Жигульская Е.Л., Кузьмина Е.В. и др.</t>
  </si>
  <si>
    <t>978-5-16-018811-9</t>
  </si>
  <si>
    <t>126950.04.01</t>
  </si>
  <si>
    <t>Управление рисками в услов. финанс. нестаб.: Уч.пос. / Д.В.Домащенко-М.:Магистр,ИНФРА-М,2017-238с(П)</t>
  </si>
  <si>
    <t>УПРАВЛЕНИЕ РИСКАМИ В УСЛОВИЯХ ФИНАНСОВОЙ НЕСТАБИЛЬНОСТИ</t>
  </si>
  <si>
    <t>Домащенко Д. В., Финогенова Ю. Ю.</t>
  </si>
  <si>
    <t>978-5-9776-0138-2</t>
  </si>
  <si>
    <t>38.03.01, 38.03.02, 38.03.04, 38.04.01, 38.04.02, 38.04.04, 38.04.08, 38.04.09</t>
  </si>
  <si>
    <t>421350.07.01</t>
  </si>
  <si>
    <t>Управление рисками и страхование в туризме / Т.А.Федорова - М.:Магистр, НИЦ ИНФРА-М,2024.-192 с.(О)</t>
  </si>
  <si>
    <t>УПРАВЛЕНИЕ РИСКАМИ И СТРАХОВАНИЕ В ТУРИЗМЕ</t>
  </si>
  <si>
    <t>Федорова Т. А.</t>
  </si>
  <si>
    <t>978-5-9776-0269-3</t>
  </si>
  <si>
    <t>38.03.01, 38.03.02, 38.04.01, 38.04.08, 43.03.02, 43.04.02, 49.03.03</t>
  </si>
  <si>
    <t>302800.16.01</t>
  </si>
  <si>
    <t>Управление рисками организации: Уч./ Г.Д.Антонов. - М.:НИЦ ИНФРА-М,2025. - 153 с.(ВО: Бакалавриат)(п)</t>
  </si>
  <si>
    <t>УПРАВЛЕНИЕ РИСКАМИ ОРГАНИЗАЦИИ</t>
  </si>
  <si>
    <t>Антонов Г. Д., Иванова О. П., Тумин В. М.</t>
  </si>
  <si>
    <t>978-5-16-013060-6</t>
  </si>
  <si>
    <t>Допущено Учебно-методическим объединением вузов России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</si>
  <si>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134700.15.01</t>
  </si>
  <si>
    <t>Управление рисками предприятия: Уч.пос. / В.Н.Уродовских - М.:Вуз.уч., НИЦ ИНФРА-М,2024. - 168 с.(П)</t>
  </si>
  <si>
    <t>УПРАВЛЕНИЕ РИСКАМИ ПРЕДПРИЯТИЯ</t>
  </si>
  <si>
    <t>Уродовских В.Н.</t>
  </si>
  <si>
    <t>978-5-9558-0158-2</t>
  </si>
  <si>
    <t>Рекомендовано в качестве учебного пособия для студентов высших учебных заведений, обучающихся по направлению подготовки 38.03.02 «Менеджмент»</t>
  </si>
  <si>
    <t>788712.01.01</t>
  </si>
  <si>
    <t>Управление рисками: Уч./ Т.П.Маслевич - М.:НИЦ ИНФРА-М,2025. - 270 с.(ВО)(п)</t>
  </si>
  <si>
    <t>УПРАВЛЕНИЕ РИСКАМИ</t>
  </si>
  <si>
    <t>Маслевич Т.П., Сяглова Ю.В.</t>
  </si>
  <si>
    <t>978-5-16-018398-5</t>
  </si>
  <si>
    <t>27.04.03, 38.03.02, 38.04.01, 38.04.02, 38.04.05, 38.04.06, 38.05.02</t>
  </si>
  <si>
    <t>059000.09.01</t>
  </si>
  <si>
    <t>Управление розничным маркетингом: Уч. / Под ред. Гилберт Д., - 2 изд., англ.-М.:ИНФРА-М,2022.-571 с.(П)</t>
  </si>
  <si>
    <t>УПРАВЛЕНИЕ РОЗНИЧНЫМ МАРКЕТИНГОМ, ИЗД.2</t>
  </si>
  <si>
    <t>Гилберт Д.</t>
  </si>
  <si>
    <t>5-16-002332-1</t>
  </si>
  <si>
    <t>438750.05.01</t>
  </si>
  <si>
    <t>Управление состоянием массива: Уч. пос. / В.И.Голик - М.: НИЦ ИНФРА-М, 2023-136с.(ВО: Бакалавриат) (о)</t>
  </si>
  <si>
    <t>УПРАВЛЕНИЕ СОСТОЯНИЕМ МАССИВА</t>
  </si>
  <si>
    <t>978-5-16-006751-3</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</si>
  <si>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направлениям подготовки «Горное дело» и «Физические процессы горного или нефтег</t>
  </si>
  <si>
    <t>683683.02.01</t>
  </si>
  <si>
    <t>Управление соц. адаптацией и мотивацией к...: Уч. / Минева О.К. - М.:НИЦ ИНФРА-М,2023 - 232 с.(П)</t>
  </si>
  <si>
    <t>УПРАВЛЕНИЕ СОЦИАЛЬНОЙ АДАПТАЦИЕЙ И МОТИВАЦИЕЙ К РАЗВИТИЮ В СОВРЕМЕННОМ ОБЩЕСТВЕ</t>
  </si>
  <si>
    <t>978-5-16-014739-0</t>
  </si>
  <si>
    <t>Рекомендовано федеральным государственным бюджетным учреждением «Федеральный институт развития образования» (ФГБУ «ФИРО») в качестве учебника для использования в образовательном процессе образовательных организаций, реализующих программы высшего образования по направлению подготовки 38.04.03 «Управление персоналом» (уровень магистратуры) (регистрационный номер рецензии № 40 от 13.02.2018)</t>
  </si>
  <si>
    <t>401800.09.01</t>
  </si>
  <si>
    <t>Управление соц. развитием орг..: Уч./ Н.О.Аблязова -М.:НИЦ Инфра-М,2023-416с.(ВО:Бакалавр.) (п)</t>
  </si>
  <si>
    <t>УПРАВЛЕНИЕ СОЦИАЛЬНЫМ РАЗВИТИЕМ ОРГАНИЗАЦИИ</t>
  </si>
  <si>
    <t>Аблязова Н. О., Аверкин М. Г., Гуськова И. В., Захарова С. Г., Золотов А. В., Егоршин А. П.</t>
  </si>
  <si>
    <t>978-5-16-005273-1</t>
  </si>
  <si>
    <t>072200.12.01</t>
  </si>
  <si>
    <t>Управление соц. развитием орг.: Уч. / Н.Л.Захаров, - 3 изд. - М.:НИЦ ИНФРА-М,2025. - 216 с.(ВО)(п)</t>
  </si>
  <si>
    <t>УПРАВЛЕНИЕ СОЦИАЛЬНЫМ РАЗВИТИЕМ ОРГАНИЗАЦИИ, ИЗД.3</t>
  </si>
  <si>
    <t>Захаров Н.Л., Кузнецов А.Л.</t>
  </si>
  <si>
    <t>978-5-16-019324-3</t>
  </si>
  <si>
    <t>38.03.01, 38.03.02, 38.03.03, 38.03.04, 38.04.02, 38.04.03, 38.04.04, 39.04.02, 41.03.06</t>
  </si>
  <si>
    <t>Допущено Мин. обр. и науки РФ  в качестве учебника  для студентов вузов, обучающихся по специальности  "Управление персоналом"</t>
  </si>
  <si>
    <t>072200.11.01</t>
  </si>
  <si>
    <t>Управление соц. развитием организации: Уч. / Н.Л.Захаров, - 2 изд.-М.:НИЦ ИНФРА-М,2023.-208 с.(ВО)(П)</t>
  </si>
  <si>
    <t>УПРАВЛЕНИЕ СОЦИАЛЬНЫМ РАЗВИТИЕМ ОРГАНИЗАЦИИ, ИЗД.2</t>
  </si>
  <si>
    <t>Захаров Н. Л., Кузнецов А. Л.</t>
  </si>
  <si>
    <t>978-5-16-005067-6</t>
  </si>
  <si>
    <t>472750.04.01</t>
  </si>
  <si>
    <t>Управление социально-техническими системами: Уч.пос. / А.Г.Фаррахов-М.:РИОР, ИНФРА-М,2024.-218 с.(ВО)(п)</t>
  </si>
  <si>
    <t>УПРАВЛЕНИЕ СОЦИАЛЬНО-ТЕХНИЧЕСКИМИ СИСТЕМАМИ</t>
  </si>
  <si>
    <t>Фаррахов А.Г.</t>
  </si>
  <si>
    <t>978-5-369-01370-0</t>
  </si>
  <si>
    <t>23.03.01, 23.04.01, 38.03.02, 38.04.02</t>
  </si>
  <si>
    <t>Рекомендовано федеральным государственным бюджетным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1</t>
  </si>
  <si>
    <t>807616.01.01</t>
  </si>
  <si>
    <t>Управление социальным развитием персонала: Уч. / А.П.Егоршин-М.:НИЦ ИНФРА-М,2024.-336 с.(ВО)(п)</t>
  </si>
  <si>
    <t>УПРАВЛЕНИЕ СОЦИАЛЬНЫМ РАЗВИТИЕМ ПЕРСОНАЛА</t>
  </si>
  <si>
    <t>978-5-16-018879-9</t>
  </si>
  <si>
    <t>38.03.01, 38.03.02, 38.03.03, 38.03.04, 38.04.02, 38.04.03, 38.04.04</t>
  </si>
  <si>
    <t>Допущено Учебно-методическим объединением вузов в области менеджмента в качестве учебника для студентов высших учебных заведений, обучающихся по направлению 38.03.03 «Управление персоналом»</t>
  </si>
  <si>
    <t>216300.07.01</t>
  </si>
  <si>
    <t>Управление стоимостью промыш. предприятий: Уч.пос. / В.А.Макарова-М.:НИЦ ИНФРА-М,2024.-188 с.(ВО)(о)</t>
  </si>
  <si>
    <t>УПРАВЛЕНИЕ СТОИМОСТЬЮ ПРОМЫШЛЕННЫХ ПРЕДПРИЯТИЙ</t>
  </si>
  <si>
    <t>Макарова В. А., Крылов А. А.</t>
  </si>
  <si>
    <t>978-5-16-006911-1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</si>
  <si>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080200.68 "Менеджмент" (квалификация (степень) «маги</t>
  </si>
  <si>
    <t>370500.04.01</t>
  </si>
  <si>
    <t>Управление стратегич. изменениями в орг.: Уч./А.Т.Зуб-М.:ИД ФОРУМ, НИЦ ИНФРА-М,2023.-384 с.(ВО)(П)</t>
  </si>
  <si>
    <t>УПРАВЛЕНИЕ СТРАТЕГИЧЕСКИМИ ИЗМЕНЕНИЯМИ В ОРГАНИЗАЦИЯХ</t>
  </si>
  <si>
    <t>Зуб А.Т.</t>
  </si>
  <si>
    <t>978-5-8199-0631-6</t>
  </si>
  <si>
    <t>Рекомендовано Ученым советом факультета государственного управления МГУ имени М.В. Ломоносова в качестве учебника для студентов, обучающихся в магистратуре по управленческим специальностям</t>
  </si>
  <si>
    <t>653343.03.01</t>
  </si>
  <si>
    <t>Управление суверенной задолженностью: Уч.пос. / В.В.Кузнецова-М.:НИЦ ИНФРА-М,2020.-255 с..-(ВО)(П)</t>
  </si>
  <si>
    <t>УПРАВЛЕНИЕ СУВЕРЕННОЙ ЗАДОЛЖЕННОСТЬЮ</t>
  </si>
  <si>
    <t>Кузнецова В.В.</t>
  </si>
  <si>
    <t>978-5-16-013080-4</t>
  </si>
  <si>
    <t>38.03.01, 38.03.02, 38.03.04, 38.04.01, 44.03.01, 44.03.05</t>
  </si>
  <si>
    <t>708043.08.01</t>
  </si>
  <si>
    <t>Управление тех. эксплуатацией зданий и сооруж.: Уч.пос./Н.Я.Кузин -2изд.-М.:НИЦ ИНФРА-М,2025-248с(П)</t>
  </si>
  <si>
    <t>УПРАВЛЕНИЕ ТЕХНИЧЕСКОЙ ЭКСПЛУАТАЦИЕЙ ЗДАНИЙ И СООРУЖЕНИЙ, ИЗД.2</t>
  </si>
  <si>
    <t>Кузин Н. Я., Мищенко В. Н., Мищенко С. А.</t>
  </si>
  <si>
    <t>978-5-16-015214-1</t>
  </si>
  <si>
    <t>08.02.01, 08.02.02, 08.02.13, 08.02.14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</si>
  <si>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08.02.01 «Строительство и эксплуатация зданий и сооружений» (протокол № 2 от 28.01.2019)</t>
  </si>
  <si>
    <t>430650.09.01</t>
  </si>
  <si>
    <t>Управление техн.экспл.зданий и..: Уч.пос. / Н.Я.Кузин - 2 изд. - М.:НИЦ ИНФРА-М,2025 - 156 с.(ВО:Бакалавр.)(п)</t>
  </si>
  <si>
    <t>978-5-16-020577-9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</si>
  <si>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8 от 29.04.2019)</t>
  </si>
  <si>
    <t>429900.07.01</t>
  </si>
  <si>
    <t>Управление торговой организацией: Уч. / Г.Г. Иванов - М.: ИД ФОРУМ: НИЦ Инфра-М, 2025 - 368 с.(ВО) (п)</t>
  </si>
  <si>
    <t>УПРАВЛЕНИЕ ТОРГОВОЙ ОРГАНИЗАЦИЕЙ</t>
  </si>
  <si>
    <t>Иванов Г. Г., Лебедева И. С., Панкина Т. В.</t>
  </si>
  <si>
    <t>978-5-8199-0535-7</t>
  </si>
  <si>
    <t>Рекомендовано Советом ФЭТТ РЭУ им. Г.В. Плеханова в качестве учебника для студентов вузов, обучающихся по направлению 100700.62 "Торговое дело" (бакалавриат)</t>
  </si>
  <si>
    <t>113000.11.01</t>
  </si>
  <si>
    <t>Управление трудовыми ресурсами: Уч. / Под ред. А.Я. Кибанова. - М.: ИНФРА-М, 2024. - 284 с. (ВО) (п)</t>
  </si>
  <si>
    <t>УПРАВЛЕНИЕ ТРУДОВЫМИ РЕСУРСАМИ</t>
  </si>
  <si>
    <t>Кибанов А. Я., Митрофанова Е. А., Эсаулова И. А., Кибанов А. Я.</t>
  </si>
  <si>
    <t>978-5-16-003651-9</t>
  </si>
  <si>
    <t>38.03.01, 38.03.02, 38.03.03, 38.03.04, 38.04.01, 38.04.02, 38.04.03, 38.04.04, 44.03.01</t>
  </si>
  <si>
    <t>350900.04.01</t>
  </si>
  <si>
    <t>Управление ценами: Уч. / Карпов С.В.-М.:Вуз. уч., НИЦ ИНФРА-М,2022.-236 с..(Прикладной бакалавр.)(П)</t>
  </si>
  <si>
    <t>УПРАВЛЕНИЕ ЦЕНАМИ</t>
  </si>
  <si>
    <t>Карпова С.В., Русин В.Н., Рожков И.В. и др.</t>
  </si>
  <si>
    <t>Прикладной бакалавриат</t>
  </si>
  <si>
    <t>978-5-9558-0432-3</t>
  </si>
  <si>
    <t>Рекомендовано Учебно-методическим отделом высшего образования в качестве учебника для студентов высших учебных заведений, обучающихся по экономическим направлениям и специальностям</t>
  </si>
  <si>
    <t>350900.06.01</t>
  </si>
  <si>
    <t>Управление ценами: Уч. / С.В.Карпова - 2 изд. - М.:НИЦ ИНФРА-М,2025 - 258 с.(ВО: Бакалавр.)(П)</t>
  </si>
  <si>
    <t>УПРАВЛЕНИЕ ЦЕНАМИ, ИЗД.2</t>
  </si>
  <si>
    <t>978-5-16-017799-1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</si>
  <si>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8 от 19.10.2022)</t>
  </si>
  <si>
    <t>657952.05.01</t>
  </si>
  <si>
    <t>Управление чел. ресурс.: теор. и прак.: Уч.пос. / А.С.Лифшиц-М.:ИЦ РИОР, НИЦ ИНФРА-М,2024.-266 с.(ВО)(п)</t>
  </si>
  <si>
    <t>УПРАВЛЕНИЕ ЧЕЛОВЕЧЕСКИМИ РЕСУРСАМИ: ТЕОРИЯ И ПРАКТИКА</t>
  </si>
  <si>
    <t>Лифшиц А.С.</t>
  </si>
  <si>
    <t>978-5-369-01711-1</t>
  </si>
  <si>
    <t>461050.06.01</t>
  </si>
  <si>
    <t>Управление человеческими ресурсами: Уч.пос. / В.И.Еремин -М.:НИЦ ИНФРА-М,2024-272с.(ВО:Бакалавр.)(п)</t>
  </si>
  <si>
    <t>УПРАВЛЕНИЕ ЧЕЛОВЕЧЕСКИМИ РЕСУРСАМИ</t>
  </si>
  <si>
    <t>Еремин В.И., Шумаков Ю.Н., Жариков С.В. и др.</t>
  </si>
  <si>
    <t>978-5-16-009507-3</t>
  </si>
  <si>
    <t>Рекомендовано в качестве учебного пособия для студентов высших учебных заведений, обучающихся по направлениям подготовки 38.03.02 «Менеджмент», 41.03.06 «Публичная политика и социальные науки» (квалификация (степень) «бакалавр»)</t>
  </si>
  <si>
    <t>668757.04.01</t>
  </si>
  <si>
    <t>Управление человеческими ресурсами: Уч.пос. / И.Н.Ковалевич-М.:НИЦ ИНФРА-М, СФУ,2024-210с.(ВО))(п)</t>
  </si>
  <si>
    <t>Ковалевич И.Н., Ковалевич В.Т.</t>
  </si>
  <si>
    <t>978-5-16-013314-0</t>
  </si>
  <si>
    <t>44.04.01, 44.04.02</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</si>
  <si>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направлению подготовки магистров 44.03.01 «Педагогическое образование»</t>
  </si>
  <si>
    <t>466050.09.01</t>
  </si>
  <si>
    <t>Управление шк.: организац.и псих.-педагог.аспекты: Слов. / А.М.Моисеев - М.:Вуз.уч.,НИЦ ИНФРА-М,2025 - 476 с.(П)</t>
  </si>
  <si>
    <t>УПРАВЛЕНИЕ ШКОЛОЙ: ОРГАНИЗАЦИОННЫЕ И ПСИХОЛОГО-ПЕДАГОГИЧЕСКИЕ АСПЕКТЫ</t>
  </si>
  <si>
    <t>Моисеев А.М., Хван А.А., Капто А.Е. и др.</t>
  </si>
  <si>
    <t>978-5-9558-0368-5</t>
  </si>
  <si>
    <t>44.03.01, 44.03.02, 44.04.01, 44.04.02, 44.04.04, 44.06.01, 44.07.01</t>
  </si>
  <si>
    <t>Рекомендовано УМО в области подготовки педагогических кадров и УМО по психолого-педагогическому образованию в качестве учебного пособия для студентов вузов, обучающихся по направлениям 44.03.01 (050100) «Педагогическое образование» и 44.03.02 (050400</t>
  </si>
  <si>
    <t>417200.07.01</t>
  </si>
  <si>
    <t>Управление эконом.безоп. ВУЗ: Уч./С.Д.Резник - 2 изд. - М.:НИЦ ИНФРА-М,2022 - 345 с.(Менедж.в высш.шк.)(П)</t>
  </si>
  <si>
    <t>УПРАВЛЕНИЕ ЭКОНОМИЧЕСКОЙ БЕЗОПАСНОСТЬЮ ВЫСШЕГО УЧЕБНОГО ЗАВЕДЕНИЯ, ИЗД.2</t>
  </si>
  <si>
    <t>978-5-16-005365-3</t>
  </si>
  <si>
    <t>417200.08.01</t>
  </si>
  <si>
    <t>Управление эконом.безоп. ВУЗ: Уч./С.Д.Резник - 3 изд. - М.:НИЦ ИНФРА-М,2024 - 345 с.(Менедж.в высш.шк.)(П)</t>
  </si>
  <si>
    <t>УПРАВЛЕНИЕ ЭКОНОМИЧЕСКОЙ БЕЗОПАСНОСТЬЮ ВЫСШЕГО УЧЕБНОГО ЗАВЕДЕНИЯ, ИЗД.3</t>
  </si>
  <si>
    <t>Барабаш О.В., Боровская М.А., Вдовина О.А. и др.</t>
  </si>
  <si>
    <t>978-5-16-019065-5</t>
  </si>
  <si>
    <t>446100.08.01</t>
  </si>
  <si>
    <t>Управление эксплуат. работой на ж/д транспорте..: Уч.пос. / Д.Ю.Левин - М:НИЦ ИНФРА-М,2025 - 368 с(ВО)(п)</t>
  </si>
  <si>
    <t>УПРАВЛЕНИЕ ЭКСПЛУАТАЦИОННОЙ РАБОТОЙ НА ЖЕЛЕЗНОДОРОЖНОМ ТРАНСПОРТЕ: ТЕХНОЛОГИЯ И УПРАВЛЕНИЕ РАБОТОЙ ЖЕЛЕЗНОДОРОЖНЫХ УЧАСТКОВ И НАПРАВЛЕНИЙ</t>
  </si>
  <si>
    <t>978-5-16-011395-1</t>
  </si>
  <si>
    <t>23.05.01, 23.05.04</t>
  </si>
  <si>
    <t>Рекомендовано в качестве учебного пособия для студентов высших учебных заведений, обучающихся по направлению подготовки 23.03.01 «Технология транспортных процессов» (квалификация (степень) «бакалавр»)</t>
  </si>
  <si>
    <t>230800.13.01</t>
  </si>
  <si>
    <t>Управление эксплуатац. работой на ж/д транспорте: Уч.пос. / Д.Ю.Левин - М.: НИЦ ИНФРА-М,2025 - 384 с.(п)</t>
  </si>
  <si>
    <t>УПРАВЛЕНИЕ ЭКСПЛУАТАЦИОННОЙ РАБОТОЙ НА ЖЕЛЕЗНОДОРОЖНОМ ТРАНСПОРТЕ: ТЕХНОЛОГИЯ И УПРАВЛЕНИЕ РАБОТОЙ СТАНЦИЙ И УЗЛОВ</t>
  </si>
  <si>
    <t>Левин Д. Ю.</t>
  </si>
  <si>
    <t>978-5-16-009065-8</t>
  </si>
  <si>
    <t>23.05.04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</si>
  <si>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23.03.01 «Технология транспортных процессов» (квалификация (степень) «бакалавр», профиль подготовки «Организация перевозок и управление на железнодорожном транспорте»)</t>
  </si>
  <si>
    <t>642768.10.01</t>
  </si>
  <si>
    <t>Управление эксплуатационной раб. на ж/д транспорте...: Уч.пос. / Д.Ю.Левин-М.:НИЦ ИНФРА-М,2025.-248 с.(ВО)(п)</t>
  </si>
  <si>
    <t>УПРАВЛЕНИЕ ЭКСПЛУАТАЦИОННОЙ РАБОТОЙ НА ЖЕЛЕЗНОДОРОЖНОМ ТРАНСПОРТЕ: ТЕХНОЛОГИЯ И УПРАВЛЕНИЕ ДВИЖЕНИЕМ НА ДОРОЖНОМ И СЕТЕВОМ УРОВНЯХ</t>
  </si>
  <si>
    <t>978-5-16-018423-4</t>
  </si>
  <si>
    <t>23.05.04, 23.05.05</t>
  </si>
  <si>
    <t>447650.07.01</t>
  </si>
  <si>
    <t>Управление электрохозяйством: Уч.пос. / В.Я.Хорольский - М.:Форум, НИЦ ИНФРА-М,2022 - 256 с.(ВО)(О)</t>
  </si>
  <si>
    <t>УПРАВЛЕНИЕ ЭЛЕКТРОХОЗЯЙСТВОМ</t>
  </si>
  <si>
    <t>978-5-91134-792-5</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</si>
  <si>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140400.62 «Электроэнергетика и электротехника» и 110800.62 «Агроинженерия»</t>
  </si>
  <si>
    <t>689280.05.01</t>
  </si>
  <si>
    <t>Управление электрохозяйством: Уч.пос. / В.Я.Хорольский - М.:Форум, НИЦ ИНФРА-М,2024 - 256 с.-(СПО)(П)</t>
  </si>
  <si>
    <t>978-5-00091-616-2</t>
  </si>
  <si>
    <t>13.01.10, 13.02.01, 13.02.02, 13.02.07, 13.02.12, 35.01.15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</si>
  <si>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13.02.07 «Электроснабжение (по отраслям)», 13.02.10 «Электрические машины и аппараты», 13.02.11 «Техническая эксплуатация и обслуживание электрического и электромеханического оборудования (по отраслям)»</t>
  </si>
  <si>
    <t>756593.01.01</t>
  </si>
  <si>
    <t>Управление ЯЛ-6 на веслах и под парусом: Уч.пос. / М.Сиротенко-М.:НИЦ ИНФРА-М,2023.-127 с.(п)</t>
  </si>
  <si>
    <t>УПРАВЛЕНИЕ ЯЛ-6 НА ВЕСЛАХ И ПОД ПАРУСОМ</t>
  </si>
  <si>
    <t>Сиротенко М.</t>
  </si>
  <si>
    <t>978-5-16-018598-9</t>
  </si>
  <si>
    <t>Рекомендовано Экспертным советом ЧВВМУ имени П.С. Нахимова в качестве учебного пособия по дисциплине «Морская практика», «Управление маневрами корабля и морская практика» для курсантов и студентов, обучающихся по специальности «Применение и эксплуатация технических систем надводных кораблей и подводных лодок», «Строительство, ремонт и поисково-спасательное обеспечение надводных кораблей и подводных лодок», «Автоматические системы управления», «Судовождение», «Применение и эксплуатация технических систем надводных кораблей и подводных лодок»</t>
  </si>
  <si>
    <t>060150.18.01</t>
  </si>
  <si>
    <t>Управленческая психология: Уч. / О.Д. Волкогонова - М.: ИД ФОРУМ:  НИЦ Инфра-М, 2025. - 352 с.(ПО)</t>
  </si>
  <si>
    <t>УПРАВЛЕНЧЕСКАЯ ПСИХОЛОГИЯ</t>
  </si>
  <si>
    <t>Волкогонова О. Д., Зуб А. Т.</t>
  </si>
  <si>
    <t>978-5-8199-0158-8</t>
  </si>
  <si>
    <t>Рекомендовано Министерством образования и науки РФ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</si>
  <si>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660886.01.01</t>
  </si>
  <si>
    <t>Управленческая экономика: анализ... : Уч.пос. / И.Г.Кукукина, - 2-е изд.-М.:НИЦ ИНФРА-М,2023.-248 с.(П)</t>
  </si>
  <si>
    <t>УПРАВЛЕНЧЕСКАЯ ЭКОНОМИКА: АНАЛИЗ И ДИАГНОСТИКА ДЕЯТЕЛЬНОСТИ ПРЕДПРИЯТИЯ, ИЗД.2</t>
  </si>
  <si>
    <t>Кукукина И.Г., Макарова А.В.</t>
  </si>
  <si>
    <t>978-5-16-014597-6</t>
  </si>
  <si>
    <t>443700.07.01</t>
  </si>
  <si>
    <t>Управленческая экономика: Уч. / М.А.Сажина-М.:ИД ФОРУМ, НИЦ ИНФРА-М,2023-208 с.(ВО)(П)</t>
  </si>
  <si>
    <t>УПРАВЛЕНЧЕСКАЯ ЭКОНОМИКА</t>
  </si>
  <si>
    <t>Сажина М.А.</t>
  </si>
  <si>
    <t>978-5-8199-0907-2</t>
  </si>
  <si>
    <t>Рекомендовано Ученым советом факультета государственного управления Московского государственного университета имени М.В. Ломоносова в качестве учебника для студентов, обучающихся в магистратуре по экономическим и управленческим специальностям</t>
  </si>
  <si>
    <t>319400.07.01</t>
  </si>
  <si>
    <t>Управленческая экономика: Уч.пос (ФГОС) / Г.В.Голикова. - М.:НИЦ ИНФРА-М,2025. - 216 с.(ВО:Магистратура)</t>
  </si>
  <si>
    <t>Г.В.Голикова, Д.С.Петров, И.В.Трушина и др.</t>
  </si>
  <si>
    <t>978-5-16-010421-8</t>
  </si>
  <si>
    <t>38.04.01, 38.04.02, 38.04.04, 38.05.01</t>
  </si>
  <si>
    <t>464800.05.01</t>
  </si>
  <si>
    <t>Управленческая экономика: Уч.пос. / А.С.Лифшиц - М.:ИЦ РИОР,НИЦ ИНФРА-М,2023-121с.(ВО:Магистр.)(о)</t>
  </si>
  <si>
    <t>978-5-369-01508-7</t>
  </si>
  <si>
    <t>645534.08.01</t>
  </si>
  <si>
    <t>Управленческая экономика: Уч.пос. / Р.А.Бурганов-М.:НИЦ ИНФРА-М,2024.-190 с(ВО: Магистратура)(П )</t>
  </si>
  <si>
    <t>Бурганов Р.А.</t>
  </si>
  <si>
    <t>978-5-16-012523-7</t>
  </si>
  <si>
    <t>Рекомендовано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</si>
  <si>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029337.19.01</t>
  </si>
  <si>
    <t>Управленческие решения: Уч. / Р.А. Фатхутдинов. - 6 изд. - М.: ИНФРА-М, 2024. - 344 с. (П)</t>
  </si>
  <si>
    <t>УПРАВЛЕНЧЕСКИЕ РЕШЕНИЯ, ИЗД.6</t>
  </si>
  <si>
    <t>978-5-16-002416-5</t>
  </si>
  <si>
    <t>0605</t>
  </si>
  <si>
    <t>111500.10.01</t>
  </si>
  <si>
    <t>Управленческие решения: Уч. / Э.А.Смирнов - М.:ИЦ РИОР,НИЦ ИНФРА-М,2023-362 с.-(ВО)(п)</t>
  </si>
  <si>
    <t>УПРАВЛЕНЧЕСКИЕ РЕШЕНИЯ</t>
  </si>
  <si>
    <t>Смирнов Э. А.</t>
  </si>
  <si>
    <t>978-5-369-00521-7</t>
  </si>
  <si>
    <t>38.03.02, 38.03.03, 38.03.04, 38.03.05, 38.04.02, 38.04.03, 38.04.04, 38.04.05, 38.05.01, 44.03.05</t>
  </si>
  <si>
    <t>Рекомендовано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по специальности "Государственное и муниципальное управление"</t>
  </si>
  <si>
    <t>108430.08.01</t>
  </si>
  <si>
    <t>Управленческие решения: Уч.пос. / А.Л.Ломакин. - 2 изд. - М.:Форум,НИЦ ИНФРА-М,2024 - 176 с.(СПО)(о)</t>
  </si>
  <si>
    <t>УПРАВЛЕНЧЕСКИЕ РЕШЕНИЯ, ИЗД.2</t>
  </si>
  <si>
    <t>Ломакин А. Л., Буров В. П., Морошкин В. А.</t>
  </si>
  <si>
    <t>978-5-91134-345-3</t>
  </si>
  <si>
    <t>27.00.00, 38.00.00, 00.02.38, 11.02.18, 21.02.15</t>
  </si>
  <si>
    <t>146900.07.01</t>
  </si>
  <si>
    <t>Управленческий анализ в различных отраслях: Уч.пос. / Н.А.Казакова-М.:НИЦ ИНФРА-М,2024.-288 с.(ВО)(П)</t>
  </si>
  <si>
    <t>УПРАВЛЕНЧЕСКИЙ АНАЛИЗ В РАЗЛИЧНЫХ ОТРАСЛЯХ</t>
  </si>
  <si>
    <t>978-5-16-004612-9</t>
  </si>
  <si>
    <t>38.03.01, 38.03.02, 38.03.04, 38.03.05, 38.04.01, 38.04.02, 38.04.04, 38.04.08</t>
  </si>
  <si>
    <t>Рекомендовано УМО по образованию в обл. финансов, учета и мировой экономики в качестве уч. пособия для студентов вузов, обучающихся по спец. "Бухгалтерский учет, анализ и аудит", "Финансы и кредит", "Налоги и налогообложение"</t>
  </si>
  <si>
    <t>203400.09.01</t>
  </si>
  <si>
    <t>Управленческий анализ:  комплек. анал..: Уч. / Н.А.Казакова - 2 изд. - М.: НИЦ ИНФРА-М, 2025 - 261с.(ВО) (П)</t>
  </si>
  <si>
    <t>УПРАВЛЕНЧЕСКИЙ АНАЛИЗ:  КОМПЛЕКСНЫЙ АНАЛИЗ И ДИАГНОСТИКА ПРЕДПРИНИМАТЕЛЬСКОЙ ДЕЯТЕЛЬНОСТИ, ИЗД.2</t>
  </si>
  <si>
    <t>978-5-16-005758-3</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</si>
  <si>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«Налоги и налогообложение»</t>
  </si>
  <si>
    <t>145050.05.01</t>
  </si>
  <si>
    <t>Управленческий анализ: вопросы теории, практики...: Моногр. / М.А.Вахрушина - М.:Вуз.уч., ИНФРА-М,2017-144с.(П)</t>
  </si>
  <si>
    <t>УПРАВЛЕНЧЕСКИЙ АНАЛИЗ: ВОПРОСЫ ТЕОРИИ, ПРАКТИКА ПРОВЕДЕНИЯ</t>
  </si>
  <si>
    <t>Вахрушина М.А., Самарина Л.Б.</t>
  </si>
  <si>
    <t>978-5-9558-0175-9</t>
  </si>
  <si>
    <t>38.03.01, 38.03.02, 38.03.04, 38.04.01, 38.04.02, 38.04.04, 38.06.01, 38.07.02</t>
  </si>
  <si>
    <t>753714.02.01</t>
  </si>
  <si>
    <t>Управленческий анализ: Уч. / Е.В.Никифорова.-М.:НИЦ ИНФРА-М,2023.-225 с..-(ВО: Магистр.)(П)</t>
  </si>
  <si>
    <t>УПРАВЛЕНЧЕСКИЙ АНАЛИЗ</t>
  </si>
  <si>
    <t>Никифорова Е.В., Куприянова Л.М., Шнайдер О.В. и др.</t>
  </si>
  <si>
    <t>978-5-16-016953-8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</si>
  <si>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7 от 22.09.2021)</t>
  </si>
  <si>
    <t>639546.07.01</t>
  </si>
  <si>
    <t>Управленческий консалтинг: Уч. / Ю.Н.Лапыгин - М.:НИЦ ИНФРА-М,2024 - 330 с.-(ВО)(П)</t>
  </si>
  <si>
    <t>УПРАВЛЕНЧЕСКИЙ КОНСАЛТИНГ</t>
  </si>
  <si>
    <t>978-5-16-018789-1</t>
  </si>
  <si>
    <t>38.03.01, 38.03.02, 38.03.03, 38.03.04, 38.04.04, 41.03.06</t>
  </si>
  <si>
    <t>Рекомендовано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t>
  </si>
  <si>
    <t>804019.01.01</t>
  </si>
  <si>
    <t>Управленческий учет (продвинутый курс): Уч.пос. / А.Х.Курманова - М.:НИЦ ИНФРА-М,2025. - 263 с.(ВО)(п)</t>
  </si>
  <si>
    <t>УПРАВЛЕНЧЕСКИЙ УЧЕТ (ПРОДВИНУТЫЙ КУРС)</t>
  </si>
  <si>
    <t>978-5-16-018737-2</t>
  </si>
  <si>
    <t>Рекомендовано ученым советом федерального государственного бюджетного образовательного учреждения высшего образования «Оренбургский государственный университет» в качестве учебного пособия для обучающихся по образовательным программам высшего образования 38.04.01 Экономика</t>
  </si>
  <si>
    <t>634746.06.01</t>
  </si>
  <si>
    <t>Управленческий учет в бюджетных учреж.: Уч. / Под ред. Вахрушиной М.А.-М.:Вуз. уч., НИЦ ИНФРА-М,2024.-154 с.(П)</t>
  </si>
  <si>
    <t>УПРАВЛЕНЧЕСКИЙ УЧЕТ В БЮДЖЕТНЫХ УЧРЕЖДЕНИЯХ</t>
  </si>
  <si>
    <t>Вахрушина М.А., Демина И.Д., Сидорова М.И. и др.</t>
  </si>
  <si>
    <t>978-5-9558-0507-8</t>
  </si>
  <si>
    <t>430800.09.01</t>
  </si>
  <si>
    <t>Управленческий учет в сельском хозяйстве: Уч./ Л.И.Хоружий - М.: НИЦ ИНФРА-М,2025 - 207 с.(ВО:Бакалавр.)</t>
  </si>
  <si>
    <t>УПРАВЛЕНЧЕСКИЙ УЧЕТ В СЕЛЬСКОМ ХОЗЯЙСТВЕ</t>
  </si>
  <si>
    <t>Хоружий Л. И., Костина О. И., Губернаторова Н. Н., Сергеева И. А., Хоружий Л. И.</t>
  </si>
  <si>
    <t>978-5-16-006407-9</t>
  </si>
  <si>
    <t>Рекомендовано Учебно-методическим объединением по образованию в области финансов, учета и мировой экономики в качестве учебника для студентов сельскохозяйственных вузов</t>
  </si>
  <si>
    <t>127250.06.01</t>
  </si>
  <si>
    <t>Управленческий учет и анализ в розн. торг. одеждой: Уч. пос./ О.В. Ивашкевич. Магистр,НИЦ ИНФРА-М,2024-128с.</t>
  </si>
  <si>
    <t>УПРАВЛЕНЧЕСКИЙ УЧЕТ И АНАЛИЗ В РОЗНИЧНОЙ ТОРГОВЛЕ ОДЕЖДОЙ</t>
  </si>
  <si>
    <t>Ивашкевич О. В.</t>
  </si>
  <si>
    <t>978-5-9776-0145-0</t>
  </si>
  <si>
    <t>38.03.01, 38.03.02, 38.03.06, 38.03.07, 38.04.01, 38.04.02, 38.04.05, 38.04.06, 38.04.07, 38.04.08, 41.03.06</t>
  </si>
  <si>
    <t>133350.09.01</t>
  </si>
  <si>
    <t>Управленческий учет и анализ.С пример.из рос.практ.:Уч.пос./В.И.Петрова-М.:НИЦ ИНФРА-М,2024-303c(ВО)</t>
  </si>
  <si>
    <t>УПРАВЛЕНЧЕСКИЙ УЧЕТ И АНАЛИЗ. С ПРИМЕРАМИ ИЗ РОССИЙСКОЙ И ЗАРУБЕЖНОЙ ПРАКТИКИ</t>
  </si>
  <si>
    <t>Петрова В. И., Петров А. Ю., Кобищан И. В., Козельцева Е. А.</t>
  </si>
  <si>
    <t>978-5-16-009750-3</t>
  </si>
  <si>
    <t>800431.02.01</t>
  </si>
  <si>
    <t>Управленческий учет и анализ: Уч. / Е.В.Никифорова и др. - М.:НИЦ ИНФРА-М,2025. - 183 с.(ВО)(п)</t>
  </si>
  <si>
    <t>УПРАВЛЕНЧЕСКИЙ УЧЕТ И АНАЛИЗ</t>
  </si>
  <si>
    <t>Никифорова Е.В., Шнайдер О.В., Куприянова Л.М. и др.</t>
  </si>
  <si>
    <t>978-5-16-019467-7</t>
  </si>
  <si>
    <t>461650.04.01</t>
  </si>
  <si>
    <t>Управленческий учет и защита учет. информ.: тесты: Уч. пос. /И.Е. Мизиковский-М:Магистр: ИНФРА-М, 2023 - 112с (о)</t>
  </si>
  <si>
    <t>УПРАВЛЕНЧЕСКИЙ УЧЕТ И ЗАЩИТА УЧЕТНОЙ ИНФОРМАЦИИ: ТЕСТЫ</t>
  </si>
  <si>
    <t>Мизиковский И. Е., Милосердова А. Н., Ясенев В. Н.</t>
  </si>
  <si>
    <t>978-5-9776-0303-4</t>
  </si>
  <si>
    <t>660482.06.01</t>
  </si>
  <si>
    <t>Управленческий учет: Уч. / Под ред. Серебрякова Т.Ю.-М.:НИЦ ИНФРА-М,2024.-553 с..-(ВО)(п)</t>
  </si>
  <si>
    <t>УПРАВЛЕНЧЕСКИЙ УЧЕТ</t>
  </si>
  <si>
    <t>Серебрякова Т.Ю., Бирюкова О.А., Иванов Е.А. и др.</t>
  </si>
  <si>
    <t>978-5-16-019261-1</t>
  </si>
  <si>
    <t>469250.04.01</t>
  </si>
  <si>
    <t>Управленческий учет: Уч. пос. / Под ред. Ю.И.Сигидова - М.:НИЦ ИНФРА-М,2023 -240с.(ВО:Бакалавр.) (п)</t>
  </si>
  <si>
    <t>Сигидов Ю.И., Рыбянцева М.С.</t>
  </si>
  <si>
    <t>978-5-16-009948-4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</si>
  <si>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з качестве учебного пособия для студентов высших учебных заведений, обучающихся по направлениям подготовки 38.03.01.62 "Экономика», 38.03.02.62 «Менеджмент» (квалификация (степень) «бакалавр»)</t>
  </si>
  <si>
    <t>794470.01.01</t>
  </si>
  <si>
    <t>Управленческий учет: Уч.пос. / Н.Г.Гаджиев и др.-М.:НИЦ ИНФРА-М,2024.-267 с.(ВО: Бакалавриат)(п)</t>
  </si>
  <si>
    <t>978-5-16-018244-5</t>
  </si>
  <si>
    <t>763746.01.01</t>
  </si>
  <si>
    <t>Управленческий экономический анализ: Уч.пос. / С.А.Бороненкова - 2 изд.-М.:НИЦ ИНФРА-М,2024.-267 с.(ВО)(п)</t>
  </si>
  <si>
    <t>УПРАВЛЕНЧЕСКИЙ ЭКОНОМИЧЕСКИЙ АНАЛИЗ, ИЗД.2</t>
  </si>
  <si>
    <t>978-5-16-017178-4</t>
  </si>
  <si>
    <t>38.03.01, 38.03.02, 38.04.01, 38.05.01, 41.03.06</t>
  </si>
  <si>
    <t>339200.04.98</t>
  </si>
  <si>
    <t>Управленческое консультир.: Уч.пос. / О.Л.Чуланова,-2изд.-М.:НИЦ ИНФРА-М,2017-201с.(ВО:Магистр.)(п)</t>
  </si>
  <si>
    <t>УПРАВЛЕНЧЕСКОЕ КОНСУЛЬТИРОВАНИЕ, ИЗД.2</t>
  </si>
  <si>
    <t>978-5-16-010726-4</t>
  </si>
  <si>
    <t>38.03.01, 38.03.02, 38.03.03, 38.04.03, 41.03.06</t>
  </si>
  <si>
    <t>Рекомендовано в качестве учебного пособия для студентов высших учебных заведений, обучающихся по направлению подготовки 38.04.03 «Управление персоналом» (квалификация (степень) «магистр»)</t>
  </si>
  <si>
    <t>173150.11.01</t>
  </si>
  <si>
    <t>Управленческое консультирование: Уч.пос. / М.М.Соколова-М.:НИЦ ИНФРА-М,2024.-215 с.(ВО)(п)</t>
  </si>
  <si>
    <t>УПРАВЛЕНЧЕСКОЕ КОНСУЛЬТИРОВАНИЕ</t>
  </si>
  <si>
    <t>Соколова М.М.</t>
  </si>
  <si>
    <t>978-5-16-019021-1</t>
  </si>
  <si>
    <t>38.03.01, 38.03.02, 38.03.03, 38.03.04, 38.04.02, 38.04.04, 41.03.06</t>
  </si>
  <si>
    <t>339200.12.01</t>
  </si>
  <si>
    <t>Управленческое консультирование: Уч.пос. / О.Л.Чуланова - 3 изд. - М.:НИЦ ИНФРА-М,2025 -230 с.(ВО)(П)</t>
  </si>
  <si>
    <t>УПРАВЛЕНЧЕСКОЕ КОНСУЛЬТИРОВАНИЕ, ИЗД.3</t>
  </si>
  <si>
    <t>978-5-16-013009-5</t>
  </si>
  <si>
    <t>270700.05.01</t>
  </si>
  <si>
    <t>Управляемые цепи Маркова в экономике..: Уч. / Г.А. Соколов - 2 изд. - М.: НИЦ ИНФРА-М, 2025 - 158 с.(о)</t>
  </si>
  <si>
    <t>УПРАВЛЯЕМЫЕ ЦЕПИ МАРКОВА В ЭКОНОМИКЕ (ДИСКРЕТНЫЕ ЦЕПИ МАРКОВА С ДОХОДАМИ), ИЗД.2</t>
  </si>
  <si>
    <t>978-5-16-009657-5</t>
  </si>
  <si>
    <t>01.03.02, 01.04.02, 02.03.02, 03.03.02, 04.03.02, 38.03.01, 38.04.01</t>
  </si>
  <si>
    <t>Рекомендовано УМО по образованию в области прикладной информатики, статистики, антикризисного управления и математических методов в качестве учебника для студентов, обучающихся по направлению подготовки бакалавров 38.03.01 (080100) ''Экономика"</t>
  </si>
  <si>
    <t>704194.04.01</t>
  </si>
  <si>
    <t>Уравнения математической физики.Практ.Компьютер..:Уч.пос./К.В.Титов-М.:ИЦ РИОР,НИЦ ИНФРА-М,2023-262с</t>
  </si>
  <si>
    <t>УРАВНЕНИЯ МАТЕМАТИЧЕСКОЙ ФИЗИКИ. ПРАКТИКУМ. КОМПЬЮТЕРНЫЕ ТЕХНОЛОГИИ РЕШЕНИЯ ЗАДАЧ</t>
  </si>
  <si>
    <t>Титов К.В.</t>
  </si>
  <si>
    <t>978-5-369-01812-5</t>
  </si>
  <si>
    <t>00.00.00, 01.03.01, 01.03.02, 01.03.03, 01.03.04, 01.04.01, 01.04.02, 01.04.03, 01.04.04, 01.05.01, 02.03.01, 02.03.02, 02.03.03, 03.03.01, 03.03.02, 03.03.03, 03.04.01, 03.04.02, 03.04.03, 04.03.02, 15.03.03, 16.03.03</t>
  </si>
  <si>
    <t>437900.06.01</t>
  </si>
  <si>
    <t>Уравнения математической физики: Уч./ В.В.Лесин-М.:КУРС, НИЦ ИНФРА-М,2023-240 с.(ВО: Бакалавриат) (П)</t>
  </si>
  <si>
    <t>УРАВНЕНИЯ МАТЕМАТИЧЕСКОЙ ФИЗИКИ</t>
  </si>
  <si>
    <t>Лесин В.В.</t>
  </si>
  <si>
    <t>978-5-906818-61-4</t>
  </si>
  <si>
    <t>01.03.04, 02.03.03, 04.03.02, 15.03.03, 16.03.03, 21.04.01</t>
  </si>
  <si>
    <t>782287.03.01</t>
  </si>
  <si>
    <t>Урбоэкология и мониторинг: Уч.пос. / И.С.Коротченко - М.:НИЦ ИНФРА-М,2025. - 159 с.(ВО: Бакалавр. (КрГАУ))(п)</t>
  </si>
  <si>
    <t>УРБОЭКОЛОГИЯ И МОНИТОРИНГ</t>
  </si>
  <si>
    <t>Коротченко И.С.</t>
  </si>
  <si>
    <t>978-5-16-018069-4</t>
  </si>
  <si>
    <t>05.04.06, 35.03.01, 35.03.10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</si>
  <si>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35.03.10 «Ландшафтная архитектура» (квалификация (степень) «бакалавр») (протокол № 8 от 19.10.2022)</t>
  </si>
  <si>
    <t>138450.11.01</t>
  </si>
  <si>
    <t>Урегулирование конфликта интересов и противодейст.корруп..: Уч.пос./С.Ю.Кабашов-М.:ИНФРА-М,2024-192с(п)</t>
  </si>
  <si>
    <t>УРЕГУЛИРОВАНИЕ КОНФЛИКТА ИНТЕРЕСОВ И ПРОТИВОДЕЙСТВИЕ КОРРУПЦИИ НА ГРАЖДАНСКОЙ И МУНИЦИПАЛЬНОЙ СЛУЖБЕ: ТЕОРИЯ И ПРАКТИКА</t>
  </si>
  <si>
    <t>978-5-16-019719-7</t>
  </si>
  <si>
    <t>Допущено Советом Учебно-методического объединения по образованию в области менеджмента в качестве учебного пособия по дисциплине региональной составляющей специальности "Государственное и муниципальное управление"</t>
  </si>
  <si>
    <t>719349.05.01</t>
  </si>
  <si>
    <t>Урок технологии в начальной школе...: Уч.мет.пос./ Е.В.Алексеенко-М.:НИЦ ИНФРА-М,2024.-202 с.(СПО)(п)</t>
  </si>
  <si>
    <t>УРОК ТЕХНОЛОГИИ В НАЧАЛЬНОЙ ШКОЛЕ. ОРГАНИЗАЦИОННО-МЕТОДИЧЕСКОЕ ОБЕСПЕЧЕНИЕ УЧЕБНОГО ПРОЦЕССА</t>
  </si>
  <si>
    <t>Алексеенко Е.В.</t>
  </si>
  <si>
    <t>978-5-16-015623-1</t>
  </si>
  <si>
    <t>44.02.01, 44.02.02, 44.02.03, 44.02.04, 44.02.05, 54.02.06</t>
  </si>
  <si>
    <t>Рекомендовано Межрегиональным учебно-методическим советом профессионального образования в качестве учебно-методического пособия для учебных заведений, реализующих программу среднего профессионального образования по специальности 44.02.02 «Преподавание в начальных классах» (протокол № 12 от 24.06.2019)</t>
  </si>
  <si>
    <t>645574.05.01</t>
  </si>
  <si>
    <t>Урок технологии в начальной школе..: Уч. метод. пос. / Е.В.Алексеенко - М.:НИЦ ИНФРА-М,2023 - 202 с.(П)</t>
  </si>
  <si>
    <t>978-5-16-014294-4</t>
  </si>
  <si>
    <t>44.03.01, 44.03.04, 44.03.05, 44.04.01</t>
  </si>
  <si>
    <t>157800.11.01</t>
  </si>
  <si>
    <t>Уроки поэзии: Поэтич. шедевры рус. поэтов XVIII...: Уч. пос. / Г.А.Обернихина-ИНФРА-М, 2024 - 464 с.(СПО) (П)</t>
  </si>
  <si>
    <t>УРОКИ ПОЭЗИИ: ПОЭТИЧЕСКИЕ ШЕДЕВРЫ РУССКИХ ПОЭТОВ XVIII - XIX ВВ.</t>
  </si>
  <si>
    <t>Обернихина Г. А., Обернихин В. А., Обернихина Г. А.</t>
  </si>
  <si>
    <t>978-5-16-004784-3</t>
  </si>
  <si>
    <t>00.02.09</t>
  </si>
  <si>
    <t>803689.07.01</t>
  </si>
  <si>
    <t>Устав внутренней службы Вооруженных Сил РФ - 2 изд. - М.:НИЦ ИНФРА-М,2025. - 246с.(п)</t>
  </si>
  <si>
    <t>УСТАВ ВНУТРЕННЕЙ СЛУЖБЫ ВООРУЖЕННЫХ СИЛ РОССИЙСКОЙ ФЕДЕРАЦИИ, ИЗД.2</t>
  </si>
  <si>
    <t>978-5-16-020126-9</t>
  </si>
  <si>
    <t>803689.05.01</t>
  </si>
  <si>
    <t>Устав внутренней службы Вооруженных Сил РФ - М.:НИЦ ИНФРА-М,2024.-246с.(п)</t>
  </si>
  <si>
    <t>УСТАВ ВНУТРЕННЕЙ СЛУЖБЫ ВООРУЖЕННЫХ СИЛ РОССИЙСКОЙ ФЕДЕРАЦИИ</t>
  </si>
  <si>
    <t>978-5-16-018488-3</t>
  </si>
  <si>
    <t>803691.05.01</t>
  </si>
  <si>
    <t>Устав гарнизонной и караульной служб Вооруженных Сил РФ - 2 изд.-М.:НИЦ ИНФРА-М,2025.-183 с.(п)</t>
  </si>
  <si>
    <t>УСТАВ ГАРНИЗОННОЙ И КАРАУЛЬНОЙ СЛУЖБ ВООРУЖЕННЫХ СИЛ РОССИЙСКОЙ ФЕДЕРАЦИИ, ИЗД.2</t>
  </si>
  <si>
    <t>978-5-16-020131-3</t>
  </si>
  <si>
    <t>803691.04.01</t>
  </si>
  <si>
    <t>Устав гарнизонной и караульной служб Вооруженных Сил РФ - М.:НИЦ ИНФРА-М,2023.-182 с.(п)</t>
  </si>
  <si>
    <t>УСТАВ ГАРНИЗОННОЙ И КАРАУЛЬНОЙ СЛУЖБ ВООРУЖЕННЫХ СИЛ РОССИЙСКОЙ ФЕДЕРАЦИИ</t>
  </si>
  <si>
    <t>978-5-16-018486-9</t>
  </si>
  <si>
    <t>781527.01.01</t>
  </si>
  <si>
    <t>Устройства воспламенения топливо-воздушной смеси...: Уч.пос. / С.М.Зуев-М.:НИЦ ИНФРА-М,2024.-182 с.(ВО)</t>
  </si>
  <si>
    <t>УСТРОЙСТВА ВОСПЛАМЕНЕНИЯ ТОПЛИВОВОЗДУШНОЙ СМЕСИ ТЕПЛОВЫХ ДВИГАТЕЛЕЙ</t>
  </si>
  <si>
    <t>Зуев С.М., Яхутль Д.Р., Басс Б.А. и др.</t>
  </si>
  <si>
    <t>978-5-16-018125-7</t>
  </si>
  <si>
    <t>12.03.01, 12.03.05, 12.05.01, 13.03.02</t>
  </si>
  <si>
    <t>661021.05.01</t>
  </si>
  <si>
    <t>Устройства приема и обработки сигналов: Уч.пос. / С.А.Подлесный-М.:НИЦ ИНФРА-М, СФУ,2023-352с(ВО)(П)</t>
  </si>
  <si>
    <t>УСТРОЙСТВА ПРИЕМА И ОБРАБОТКИ СИГНАЛОВ</t>
  </si>
  <si>
    <t>Подлесный С.А., Зандер Ф.В.</t>
  </si>
  <si>
    <t>978-5-16-016294-2</t>
  </si>
  <si>
    <t>11.04.01, 11.04.02, 11.04.03, 11.04.04, 11.05.01, 11.05.02, 11.05.04</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</si>
  <si>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магистров «Радиотехника»</t>
  </si>
  <si>
    <t>658919.10.01</t>
  </si>
  <si>
    <t>Устройства СВЧ и антенны: Уч. / Под ред. Филонова А.А.-М.:НИЦ ИНФРА-М, СФУ,2025-492 с.(Военное образ. (СФУ) (П)</t>
  </si>
  <si>
    <t>УСТРОЙСТВА СВЧ И АНТЕННЫ</t>
  </si>
  <si>
    <t>Филонов А.А., Фомин А.Н., Дмитриев Д.Д. и др.</t>
  </si>
  <si>
    <t>978-5-16-012903-7</t>
  </si>
  <si>
    <t>143150.15.01</t>
  </si>
  <si>
    <t>Устройство автомобилей. Сб. тест. заданий: Уч.пос. / В.А.Стуканов - М.:ИД Форум,НИЦ ИНФРА-М,2025 - 192 с.(О)</t>
  </si>
  <si>
    <t>УСТРОЙСТВО АВТОМОБИЛЕЙ. СБОРНИК ТЕСТОВЫХ ЗАДАНИЙ</t>
  </si>
  <si>
    <t>Стуканов В.А.</t>
  </si>
  <si>
    <t>978-5-8199-0931-7</t>
  </si>
  <si>
    <t>Рекомендовано Министерством образования и науки в качестве учебного пособия для студентов средних специальных учебных заведений, обучающихся по специальности «Техническое обслуживание и ремонт автомобильного транспорта»</t>
  </si>
  <si>
    <t>071900.21.01</t>
  </si>
  <si>
    <t>Устройство автомобилей: Уч.пос. / В.А.Стуканов - М.:ИД ФОРУМ, НИЦ ИНФРА-М,2025 - 496 с.-(СПО)(П)</t>
  </si>
  <si>
    <t>УСТРОЙСТВО АВТОМОБИЛЕЙ</t>
  </si>
  <si>
    <t>Стуканов В.А., Леонтьев К.Н.</t>
  </si>
  <si>
    <t>978-5-8199-0871-6</t>
  </si>
  <si>
    <t>15.02.04, 23.01.03, 23.01.17, 23.02.02, 23.02.03, 23.02.07</t>
  </si>
  <si>
    <t>059200.19.01</t>
  </si>
  <si>
    <t>Устройство автомобиля: Уч.пос. / В.П.Передерий - М.:НИЦ ИНФРА-М,2025 - 286 с.(п) (СПО)</t>
  </si>
  <si>
    <t>УСТРОЙСТВО АВТОМОБИЛЯ</t>
  </si>
  <si>
    <t>Передерий В. П.</t>
  </si>
  <si>
    <t>978-5-16-020051-4</t>
  </si>
  <si>
    <t>23.02.02, 23.02.03, 35.01.01, 35.02.01, 35.02.07, 44.02.06</t>
  </si>
  <si>
    <t>791519.04.01</t>
  </si>
  <si>
    <t>Устройство базовых машин бронетанк. техники. В 2 ч. Ч.1: Уч. / И.Ю.Лепешинский-М.:НИЦ ИНФРА-М,2024-335 с.(п)</t>
  </si>
  <si>
    <t>УСТРОЙСТВО БАЗОВЫХ МАШИН БРОНЕТАНКОВОЙ ТЕХНИКИ. В 2 Ч. ЧАСТЬ 1, Т.1</t>
  </si>
  <si>
    <t>Лепешинский И.Ю., Погодаев Д.В., Крюков К.С. и др.</t>
  </si>
  <si>
    <t>978-5-16-018001-4</t>
  </si>
  <si>
    <t>791520.02.01</t>
  </si>
  <si>
    <t>Устройство базовых машин бронетанковой техники: Уч. Ч.2 / И.Ю.Лепешинский.-М.:НИЦ ИНФРА-М,2023.-312 с.(ВО(П))</t>
  </si>
  <si>
    <t>УСТРОЙСТВО БАЗОВЫХ МАШИН БРОНЕТАНКОВОЙ ТЕХНИКИ. В 2 Ч. ЧАСТЬ 2, Т.2</t>
  </si>
  <si>
    <t>978-5-16-018002-1</t>
  </si>
  <si>
    <t>701964.09.01</t>
  </si>
  <si>
    <t>Устройство базовых машин: Уч.пос. / Ю.Н.Зайчиков - М.:НИЦ ИНФРА-М,2025 - 232 с.(Военное обр.)(П)</t>
  </si>
  <si>
    <t>УСТРОЙСТВО БАЗОВЫХ МАШИН</t>
  </si>
  <si>
    <t>978-5-16-014825-0</t>
  </si>
  <si>
    <t>15.02.04, 23.05.02, 56.04.04</t>
  </si>
  <si>
    <t>701974.07.01</t>
  </si>
  <si>
    <t>Устройство бронетанковой техники: Уч.пос. / И.Ю.Лепешинский - М.:НИЦ ИНФРА-М,2025 - 296 с.(Воен.О))(П)</t>
  </si>
  <si>
    <t>УСТРОЙСТВО БРОНЕТАНКОВОЙ ТЕХНИКИ</t>
  </si>
  <si>
    <t>Лепешинский И.Ю., Пепеляев А.В., Брусникин Е.В. и др.</t>
  </si>
  <si>
    <t>978-5-16-015095-6</t>
  </si>
  <si>
    <t>15.02.04, 23.03.02, 23.03.03, 23.05.01, 56.04.04</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</si>
  <si>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студентов высших учебных заведений, обучающихся по направлению подготовки «Транспортные машины и транспортно-технологические комплексы»</t>
  </si>
  <si>
    <t>059160.13.01</t>
  </si>
  <si>
    <t>Устройство и функционир. информ. систем: Уч.пос./ Н.З.Емельянова -2 изд.-М:Форум,2023-448с.(ПО) (п)</t>
  </si>
  <si>
    <t>УСТРОЙСТВО И ФУНКЦИОНИРОВАНИЕ ИНФОРМАЦИОННЫХ СИСТЕМ, ИЗД.2</t>
  </si>
  <si>
    <t>978-5-91134-662-1</t>
  </si>
  <si>
    <t>08.02.01, 09.01.04, 09.01.05, 09.02.01, 09.02.04, 09.02.06, 10.02.03, 11.02.14, 26.01.05, 46.01.02, 46.01.03</t>
  </si>
  <si>
    <t>Рекомендовано в качестве учебного пособия для студентов учреждений среднего профессионального образования, обучающихся по специальности 09.02.04 «Информационные системы (по отраслям)»</t>
  </si>
  <si>
    <t>837140.01.01</t>
  </si>
  <si>
    <t>Устройство и эксплуатация боевой машины пехоты БМП-2. Ч.2: Уч. / И.Ю.Лепешинский - М.:НИЦ ИНФРА-М,2025-262 с.(п)</t>
  </si>
  <si>
    <t>УСТРОЙСТВО И ЭКСПЛУАТАЦИЯ БОЕВОЙ МАШИНЫ ПЕХОТЫ БМП-2. ЧАСТЬ 2</t>
  </si>
  <si>
    <t>Лепешинский И.Ю., Крюков К.С., Лепешинский И.Ю.</t>
  </si>
  <si>
    <t>978-5-16-020312-6</t>
  </si>
  <si>
    <t>56.04.01, 56.04.02, 56.04.03, 56.04.04, 56.04.08, 56.05.01, 56.05.04</t>
  </si>
  <si>
    <t>837139.01.01</t>
  </si>
  <si>
    <t>Устройство и эксплуатация боевой машины пехоты БМП-2.: Уч. Ч.1 / И.Ю.Лепешинский-М.:НИЦ ИНФРА-М,2025.-284 с.:цв.ил.(п)</t>
  </si>
  <si>
    <t>УСТРОЙСТВО И ЭКСПЛУАТАЦИЯ БОЕВОЙ МАШИНЫ ПЕХОТЫ БМП-2. ЧАСТЬ 1, Т.1</t>
  </si>
  <si>
    <t>Лепешинский И.Ю., Крюков К.С., Пепеляев А.В. и др.</t>
  </si>
  <si>
    <t>978-5-16-020311-9</t>
  </si>
  <si>
    <t>777250.01.01</t>
  </si>
  <si>
    <t>Устройство надводного корабля: Уч.пос. / А.Н.Гулевич.-М.:НИЦ ИНФРА-М,2024.-159 с.(п)</t>
  </si>
  <si>
    <t>УСТРОЙСТВО НАДВОДНОГО КОРАБЛЯ</t>
  </si>
  <si>
    <t>978-5-16-017905-6</t>
  </si>
  <si>
    <t>26.03.01, 26.03.02, 26.05.02, 26.05.05, 26.05.06, 26.05.07</t>
  </si>
  <si>
    <t>Рекомендовано экспертным советом ЧВВМУ имени П.С. Нахимова в качестве учебного пособия по дисциплине «Устройство корабля», разделу дисциплин «Теория, устройство и живучесть корабля», «Теория и устройство судна» для курсантов и студентов высшего и среднего профессионального образования</t>
  </si>
  <si>
    <t>704980.05.01</t>
  </si>
  <si>
    <t>Устройство оружия и его боевое применение: Уч.: В 2 ч.Ч.1 /И.Ю.Лепешинский-М.:НИЦ ИНФРА-М,2024-307с(П)</t>
  </si>
  <si>
    <t>УСТРОЙСТВО ОРУЖИЯ И ЕГО БОЕВОЕ ПРИМЕНЕНИЕ, Т.1</t>
  </si>
  <si>
    <t>978-5-16-015110-6</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</si>
  <si>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слушателей образовательных учреждений высшего образования, обучающихся по направлению подготовки «Транспортные средства специального назначения»</t>
  </si>
  <si>
    <t>704981.04.01</t>
  </si>
  <si>
    <t>Устройство оружия и его боевое применение: Уч.: В 2 ч.Ч.2 / И.Ю.Лепешинский-М.:НИЦ ИНФРА-М,2024-223с(П)</t>
  </si>
  <si>
    <t>УСТРОЙСТВО ОРУЖИЯ И ЕГО БОЕВОЕ ПРИМЕНЕНИЕ, Т.2</t>
  </si>
  <si>
    <t>Лепешинский И.Ю., Глебов В.В., Брусникин Е.В. и др.</t>
  </si>
  <si>
    <t>978-5-16-015111-3</t>
  </si>
  <si>
    <t>701969.06.01</t>
  </si>
  <si>
    <t>Устройство танка. Практ.: Уч.пос.: Ч.1 / Ю.Н.Зайчиков - М.:НИЦ ИНФРА-М,2025. - 325 с.(Военное обр.)(П)</t>
  </si>
  <si>
    <t>УСТРОЙСТВО ТАНКА. ПРАКТИКУМ. ЧАСТЬ 1, Т.1</t>
  </si>
  <si>
    <t>978-5-16-015812-9</t>
  </si>
  <si>
    <t>23.03.03, 23.04.03, 23.05.01, 23.05.02</t>
  </si>
  <si>
    <t>706247.04.01</t>
  </si>
  <si>
    <t>Устройство танка: Практ.: Уч.пос.: Ч.2 / Ю.Н.Зайчиков - М.:НИЦ ИНФРА-М,2025. - 307 с.(Военное обр.)(П)</t>
  </si>
  <si>
    <t>УСТРОЙСТВО ТАНКА: ПРАКТИКУМ. ЧАСТЬ 2, Т.2</t>
  </si>
  <si>
    <t>978-5-16-015819-8</t>
  </si>
  <si>
    <t>23.03.01, 23.03.03, 23.04.01, 23.04.03, 23.05.02</t>
  </si>
  <si>
    <t>701967.05.01</t>
  </si>
  <si>
    <t>Устройство танка: Уч.пос. / Ю.Н.Зайчиков - М.:НИЦ ИНФРА-М,2025 - 392 с.-(Военное образование)(П)</t>
  </si>
  <si>
    <t>УСТРОЙСТВО ТАНКА</t>
  </si>
  <si>
    <t>978-5-16-014936-3</t>
  </si>
  <si>
    <t>15.02.04, 17.05.02, 23.03.02, 23.03.03, 23.04.03, 56.04.04</t>
  </si>
  <si>
    <t>Рекомендовано в качестве учебного пособия для студентов высших учебных заведений, обучающихся по укрупненной группе специальностей и направлений 17.00.00 «Оружие и системы вооружения» (квалификация «инженер»)</t>
  </si>
  <si>
    <t>657021.10.01</t>
  </si>
  <si>
    <t>Устройство, тех. обслуж. и ремонт автомобилей: Уч.пос. / В.М.Виноградов - М.:КУРС, НИЦ ИНФРА-М,2025-376с(п)</t>
  </si>
  <si>
    <t>УСТРОЙСТВО, ТЕХНИЧЕСКОЕ ОБСЛУЖИВАНИЕ И РЕМОНТ АВТОМОБИЛЕЙ</t>
  </si>
  <si>
    <t>Виноградов В.М.</t>
  </si>
  <si>
    <t>978-5-906923-31-8</t>
  </si>
  <si>
    <t>149030.08.01</t>
  </si>
  <si>
    <t>Утилизация автомобилей и автокомпонентов:Уч.пос. / Б.Б.Бобович-М.:Форум,2024.-168 с.(ВО)(О)</t>
  </si>
  <si>
    <t>УТИЛИЗАЦИЯ АВТОМОБИЛЕЙ И АВТОКОМПОНЕНТОВ</t>
  </si>
  <si>
    <t>978-5-91134-504-4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</si>
  <si>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обучающихся по специальности  190201 "Автомобиле- и тракторостроение"</t>
  </si>
  <si>
    <t>640314.05.01</t>
  </si>
  <si>
    <t>Участие в планир.и организации работ...: Уч. / В.П.Зверева - М.:КУРС, НИЦ ИНФРА-М,2023 - 320 с.(П)</t>
  </si>
  <si>
    <t>УЧАСТИЕ В ПЛАНИРОВАНИИ И ОРГАНИЗАЦИИ РАБОТ ПО ОБЕСПЕЧЕНИЮ ЗАЩИТЫ ОБЪЕКТА.</t>
  </si>
  <si>
    <t>978-5-906818-92-8</t>
  </si>
  <si>
    <t>10.02.01, 10.02.03</t>
  </si>
  <si>
    <t>663826.05.01</t>
  </si>
  <si>
    <t>Участковый врач-терапевт: Уч. / Т.Т.Карманова - М.:НИЦ ИНФРА-М,2024 - 722 с.(ВО: Специалитет)(П)</t>
  </si>
  <si>
    <t>УЧАСТКОВЫЙ ВРАЧ-ТЕРАПЕВТ</t>
  </si>
  <si>
    <t>978-5-16-015761-0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</si>
  <si>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31.05.01 «Лечебное дело» (квалификация «врач общей практики») (протокол № 2 от 28.01.2019)</t>
  </si>
  <si>
    <t>730975.02.01</t>
  </si>
  <si>
    <t>Учебная практика: поход на учебном корабле: Уч.пос. / Г.В.Худяков-М.:НИЦ ИНФРА-М,2023.-136 с.(п)</t>
  </si>
  <si>
    <t>УЧЕБНАЯ ПРАКТИКА: ПОХОД НА УЧЕБНОМ КОРАБЛЕ</t>
  </si>
  <si>
    <t>Худяков Г.В., Головко А.В.</t>
  </si>
  <si>
    <t>978-5-16-016063-4</t>
  </si>
  <si>
    <t>15.02.16, 25.05.03, 26.01.07, 26.01.09, 26.02.02, 26.02.03, 26.02.04, 26.03.01, 26.04.01, 26.05.05, 35.01.32, 35.02.11</t>
  </si>
  <si>
    <t>Рекомендовано экспертным советом ЧВВМУ имени П.С. Нахимова в качестве учебного пособия по дисциплине «Учебная практика» для курсантов, обучающихся по специальности 26.05.04 «Применение и эксплуатация технических систем надводных кораблей и подводных лодок»</t>
  </si>
  <si>
    <t>022556.20.01</t>
  </si>
  <si>
    <t>Учебник латинского языка: Уч. / И.С.Розенталь, - 2 изд., стер.-М.:НОРМА, НИЦ ИНФРА-М,2024.- 320 с.(П)</t>
  </si>
  <si>
    <t>УЧЕБНИК ЛАТИНСКОГО ЯЗЫКА, ИЗД.2</t>
  </si>
  <si>
    <t>Розенталь И. С., Соколов В. С.</t>
  </si>
  <si>
    <t>978-5-91768-627-1</t>
  </si>
  <si>
    <t>40.03.01, 40.04.01, 40.05.01, 40.05.02, 40.05.03, 48.03.01</t>
  </si>
  <si>
    <t>Рекомендован Академическим правовым университетом при Институте государства и права Российской академии наук</t>
  </si>
  <si>
    <t>466300.12.01</t>
  </si>
  <si>
    <t>Учебник политической экономии / В.Парето - 2 изд. - М.:ИЦ РИОР, НИЦ ИНФРА-М,2025 - 592 с.(П)</t>
  </si>
  <si>
    <t>УЧЕБНИК ПОЛИТИЧЕСКОЙ ЭКОНОМИИ, ИЗД.2</t>
  </si>
  <si>
    <t>Парето В.</t>
  </si>
  <si>
    <t>Vilfredo Pareto</t>
  </si>
  <si>
    <t>978-5-369-01692-3</t>
  </si>
  <si>
    <t>38.02.01, 38.03.01, 38.04.01, 39.03.01, 39.04.01, 41.03.04, 41.04.04, 44.03.01, 44.03.05, 46.03.01, 46.04.01</t>
  </si>
  <si>
    <t>424100.06.01</t>
  </si>
  <si>
    <t>Учебный банк: Уч. / Под ред. Звоновой Е.А.-М.:НИЦ ИНФРА-М,2024.-320 с..-(ВО: Бакалавр.)(п)</t>
  </si>
  <si>
    <t>УЧЕБНЫЙ БАНК</t>
  </si>
  <si>
    <t>Звонова Е. А., Смулов А. М., Астахов Г. И., Звонова Е. А.</t>
  </si>
  <si>
    <t>978-5-16-006071-2</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</si>
  <si>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профили «Финан</t>
  </si>
  <si>
    <t>749636.02.01</t>
  </si>
  <si>
    <t>Учебный исслед. проект по физике на базе открытых данных: Уч.пос. / И.В.Кузнецова-М.:НИЦ ИНФРА-М,2022.-134 с.(ВО)(П)</t>
  </si>
  <si>
    <t>УЧЕБНЫЙ ИССЛЕДОВАТЕЛЬСКИЙ ПРОЕКТ ПО ФИЗИКЕ НА БАЗЕ ОТКРЫТЫХ ДАННЫХ</t>
  </si>
  <si>
    <t>Кузнецова И.В., Прохоров М.Е.</t>
  </si>
  <si>
    <t>978-5-16-016823-4</t>
  </si>
  <si>
    <t>00.03.38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</si>
  <si>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направлениям подготовки (квалификация (степень) «бакалавр») (протокол № 7 от 22.09.2021)</t>
  </si>
  <si>
    <t>771913.01.01</t>
  </si>
  <si>
    <t>Учебный исслед. проект по физике на базе открытых данных: Уч.пос. / И.В.Кузнецова-М.:НИЦ ИНФРА-М,2022.-134 с.(П)</t>
  </si>
  <si>
    <t>978-5-16-017433-4</t>
  </si>
  <si>
    <t>00.02.10, 00.02.20, 00.02.23, 10.02.04, 25.02.01, 52.02.01, 52.02.02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</si>
  <si>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7 от 22.09.2021)</t>
  </si>
  <si>
    <t>682308.07.01</t>
  </si>
  <si>
    <t>Учение об атмосфере. Основные метеоролог. элементы: Уч.пос. / Л.И.Алексеева-М.:НИЦ ИНФРА-М,2023-280с.(ВО)(п)</t>
  </si>
  <si>
    <t>УЧЕНИЕ ОБ АТМОСФЕРЕ. ОСНОВНЫЕ МЕТЕОРОЛОГИЧЕСКИЕ ЭЛЕМЕНТЫ: ЭКОЛОГО-КЛИМАТИЧЕСКОЕ ЗНАЧЕНИЕ И МЕТОДЫ ИЗМЕРЕНИЯ</t>
  </si>
  <si>
    <t>Алексеева Л.И., Мягков М.С., Семёнов Е.К. и др.</t>
  </si>
  <si>
    <t>978-5-16-018563-7</t>
  </si>
  <si>
    <t>05.03.04</t>
  </si>
  <si>
    <t>Допущено Учебно-методическим объединением по классическому университетскому образованию РФ вкачестве учебного пособия для студентов высших учебных заведений, обучающихся по направлению подготовки «Экология и природопользование»</t>
  </si>
  <si>
    <t>443950.07.01</t>
  </si>
  <si>
    <t>Учет внешнеэкономической деят.: Уч.пос. / Под ред. Петрова А.М.-М.:Вуз. уч., НИЦ ИНФРА-М,2024.-176 с.(П)</t>
  </si>
  <si>
    <t>УЧЕТ ВНЕШНЕЭКОНОМИЧЕСКОЙ ДЕЯТЕЛЬНОСТИ</t>
  </si>
  <si>
    <t>Петров А. М., Листопад Е. Е., Кокина Т. Н., Петров А. М.</t>
  </si>
  <si>
    <t>978-5-9558-0318-0</t>
  </si>
  <si>
    <t>657600.04.01</t>
  </si>
  <si>
    <t>Учет затрат и калькулирование себестоимости: Уч.пос. / Н.Н.Бондин - М.:НИЦ ИНФРА-М,2022-254с(ВО)(П)</t>
  </si>
  <si>
    <t>УЧЕТ ЗАТРАТ И КАЛЬКУЛИРОВАНИЕ СЕБЕСТОИМОСТИ</t>
  </si>
  <si>
    <t>Бондина Н.Н., Бондин И.А., Павлова И.В. и др.</t>
  </si>
  <si>
    <t>978-5-16-013448-2</t>
  </si>
  <si>
    <t>682890.03.01</t>
  </si>
  <si>
    <t>Учет затрат и калькулирование себестоимости: Уч.пос. / Н.Н.Бондина.-М.:НИЦ ИНФРА-М,2023.-254с(СПО)(П)</t>
  </si>
  <si>
    <t>978-5-16-013932-6</t>
  </si>
  <si>
    <t>35.01.23, 38.01.01, 38.02.01, 38.02.03, 43.01.09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</si>
  <si>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38.02.01 «Экономика и бухгалтерский учет (по отраслям)»</t>
  </si>
  <si>
    <t>078280.12.01</t>
  </si>
  <si>
    <t>Учет затрат на произв. и калькул..: Уч.-практ. пос. / Под ред. Ю.А.Бабаева - 3 изд. - М.:Вуз.уч.,2025 - 188 с.(п)</t>
  </si>
  <si>
    <t>УЧЕТ ЗАТРАТ НА ПРОИЗВОДСТВО И КАЛЬКУЛИРОВАНИЕ СЕБЕСТОИМОСТИ ПРОДУКЦИИ (РАБОТ, УСЛУГ), ИЗД.3</t>
  </si>
  <si>
    <t>Бабаев Ю. А., Макарова Л. Г., Борисова Е. Ю., Гришина О. В., Бабаев Ю. А.</t>
  </si>
  <si>
    <t>978-5-9558-0664-8</t>
  </si>
  <si>
    <t>38.03.01, 38.03.02, 38.03.05, 38.04.01, 38.04.05, 38.04.08</t>
  </si>
  <si>
    <t>660873.03.01</t>
  </si>
  <si>
    <t>Учет и анализ банкротств: Уч.пос. / И.А.Астраханцева - 2 изд. - М.:НИЦ ИНФРА-М,2023 - 377 с.(ВО)(П)</t>
  </si>
  <si>
    <t>УЧЕТ И АНАЛИЗ БАНКРОТСТВ, ИЗД.2</t>
  </si>
  <si>
    <t>Астраханцева И.А., Кукукина И.Г.</t>
  </si>
  <si>
    <t>978-5-16-013700-1</t>
  </si>
  <si>
    <t>38.04.01, 38.04.02, 38.04.04, 38.04.06, 38.04.08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</si>
  <si>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38.00.00 «Экономика и управление» (квалификация (степень) «магистр») (протокол № 5 от 19.05.2021)</t>
  </si>
  <si>
    <t>676189.02.01</t>
  </si>
  <si>
    <t>Учет на предприятиях малого бизнеса: Уч. / О.Е.Иванова - М.:ИЦ РИОР, НИЦ ИНФРА-М,2020 - 172 с.(О)</t>
  </si>
  <si>
    <t>УЧЕТ НА ПРЕДПРИЯТИЯХ МАЛОГО БИЗНЕСА</t>
  </si>
  <si>
    <t>Иванова О.Е.</t>
  </si>
  <si>
    <t>978-5-369-01746-3</t>
  </si>
  <si>
    <t>653604.04.01</t>
  </si>
  <si>
    <t>Учет собственного капитала: Уч.пос. / И.В.Осипова-М.:НИЦ ИНФРА-М,2023.-161 с.(ВО: Бакалавриат)(П)</t>
  </si>
  <si>
    <t>УЧЕТ СОБСТВЕННОГО КАПИТАЛА</t>
  </si>
  <si>
    <t>Осипова И.В., Чернецкая Г.Ф.</t>
  </si>
  <si>
    <t>978-5-16-013577-9</t>
  </si>
  <si>
    <t>813853.01.01</t>
  </si>
  <si>
    <t>Учет, анализ и аудит на предпр. малого бизнеса: Уч. / А.В.Митенков. - М.:НИЦ ИНФРА-М,2025. - 277 с.(ВО)(п)</t>
  </si>
  <si>
    <t>УЧЕТ, АНАЛИЗ И АУДИТ НА ПРЕДПРИЯТИЯХ МАЛОГО БИЗНЕСА</t>
  </si>
  <si>
    <t>Митенков А.В., Елисеева Е.Н., Бобошко Д.Ю. и др.</t>
  </si>
  <si>
    <t>978-5-16-019880-4</t>
  </si>
  <si>
    <t>Рекомендовано Учебно-методическим советом ВО в качестве учебника для студентов высших учебных заведений, обучающихся по укрупненной группе специальностей и направлений подготовки 38.03.00 «Экономика и управление» (квалификация (степень) «бакалавр»)</t>
  </si>
  <si>
    <t>409200.09.01</t>
  </si>
  <si>
    <t>Учет, анализ и бюджетирование денеж. потоков: Уч.пос./ Т.П.Карпова-М.:Вуз. уч.:НИЦ Инфра-М,2023-302с (п)</t>
  </si>
  <si>
    <t>УЧЕТ, АНАЛИЗ И БЮДЖЕТИРОВАНИЕ ДЕНЕЖНЫХ ПОТОКОВ</t>
  </si>
  <si>
    <t>Карпова Т. П., Карпова В. В.</t>
  </si>
  <si>
    <t>978-5-9558-0243-5</t>
  </si>
  <si>
    <t>423750.05.01</t>
  </si>
  <si>
    <t>Учет, анализ, аудит: Уч.пос. / Е.А.Еленевская и др. - 2 изд. - М.:НИЦ ИНФРА-М,2023 - 365 с.(ВО)(П)</t>
  </si>
  <si>
    <t>УЧЕТ, АНАЛИЗ, АУДИТ, ИЗД.2</t>
  </si>
  <si>
    <t>Еленевская Е.А., Ким Л.И., Христолюбов С.Н. и др.</t>
  </si>
  <si>
    <t>978-5-16-013991-3</t>
  </si>
  <si>
    <t>423750.03.01</t>
  </si>
  <si>
    <t>Учет, анализ, аудит: Уч.пос. / Е.А.Еленевская и др.-М.:НИЦ ИНФРА-М,2016.-345 с.-(ВО: Бакалавриат)(П)</t>
  </si>
  <si>
    <t>УЧЕТ, АНАЛИЗ, АУДИТ</t>
  </si>
  <si>
    <t>978-5-16-006578-6</t>
  </si>
  <si>
    <t>471450.07.01</t>
  </si>
  <si>
    <t>Учет, отчетность и анализ в усл. антикризис. упр.: Уч.пос. / Хоружий Л.И. - 2 изд. - М.:НИЦ ИНФРА-М,2025. - 308 с.(п)</t>
  </si>
  <si>
    <t>УЧЕТ, ОТЧЕТНОСТЬ И АНАЛИЗ В УСЛОВИЯХ АНТИКРИЗИСНОГО УПРАВЛЕНИЯ, ИЗД.2</t>
  </si>
  <si>
    <t>Хоружий Л.И., Турчаева И.Н., Кокорев Н.А.</t>
  </si>
  <si>
    <t>978-5-16-014551-8</t>
  </si>
  <si>
    <t>Рекомендовано Учебно-методическим объединением в качестве учебного пособия для студентов, обучающихся по направлениям подготовки «Экономика», «Менеджмент», специальности «Экономическая безопасность»</t>
  </si>
  <si>
    <t>471450.03.01</t>
  </si>
  <si>
    <t>Учет, отчетность и анализ в усл. антикризис. упр.: Уч.пос. /Хоружий Л.И.-М.:НИЦ ИНФРА-М,2018-320с.</t>
  </si>
  <si>
    <t>УЧЕТ, ОТЧЕТНОСТЬ И АНАЛИЗ В УСЛОВИЯХ АНТИКРИЗИСНОГО УПРАВЛЕНИЯ</t>
  </si>
  <si>
    <t>978-5-16-010052-4</t>
  </si>
  <si>
    <t>Рекомендовано Учебно-методическим объединением в качестве учебного пособия для студентов, обучающихся по направлениям подготовки «Экономика», "Менеджмент»</t>
  </si>
  <si>
    <t>294000.04.01</t>
  </si>
  <si>
    <t>Фазовые равновесия в двухкомп. систем.: Уч.пос. / Под ред.Бабаевского П.Г.-М.:НИЦ ИНФРА-М,2024-130с.(ВО)(о)</t>
  </si>
  <si>
    <t>ФАЗОВЫЕ РАВНОВЕСИЯ В ДВУХКОМПОНЕНТНЫХ СИСТЕМАХ</t>
  </si>
  <si>
    <t>Ильина Е.Б., Хохлачева Н.М., Истомина Н. и др.</t>
  </si>
  <si>
    <t>978-5-16-011821-5</t>
  </si>
  <si>
    <t>04.03.02, 22.03.01, 22.04.01</t>
  </si>
  <si>
    <t>Допущено УМО высших учебных заведений Российской Федерации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бакалавров и магистров 22.03.01 и 22.04.01 "Материаловедение и технологии материалов"</t>
  </si>
  <si>
    <t>138750.07.01</t>
  </si>
  <si>
    <t>Факторинг: Уч.пос. / И.Е.Покаместов - М.:НИЦ ИНФРА-М,2019 - 88 с.-(ВО: Бакалавриат)(О)</t>
  </si>
  <si>
    <t>ФАКТОРИНГ</t>
  </si>
  <si>
    <t>Покаместов И. Е., Леднев М. В.</t>
  </si>
  <si>
    <t>978-5-16-004128-5</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</si>
  <si>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«Финансы и кредит»</t>
  </si>
  <si>
    <t>138750.15.01</t>
  </si>
  <si>
    <t>Факторинг: Уч.пос. / И.Е.Покаместов, - 2 изд. - М.:НИЦ ИНФРА-М,2025 - 132 с.(ВО)(о)</t>
  </si>
  <si>
    <t>ФАКТОРИНГ, ИЗД.2</t>
  </si>
  <si>
    <t>Покаместов И.Е., Леднев М.В.</t>
  </si>
  <si>
    <t>978-5-16-020730-8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</si>
  <si>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11 от 09.11.2020)</t>
  </si>
  <si>
    <t>234500.08.01</t>
  </si>
  <si>
    <t>Фармакология: Уч. / М.Д.Гаевый - М.:НИЦ ИНФРА-М,2024 - 454 с.(ВО)(П)</t>
  </si>
  <si>
    <t>ФАРМАКОЛОГИЯ</t>
  </si>
  <si>
    <t>Гаевый М.Д., Гаевая Л.М.</t>
  </si>
  <si>
    <t>978-5-16-009135-8</t>
  </si>
  <si>
    <t>Допущено Министерством здравоохранения РФ в качестве учебника для учащихся медицинских и фармацевтических вузов и факультетов</t>
  </si>
  <si>
    <t>Волгоградский государственный медицинский университет, ф-л Пятигорский медико-фармацевтический институт</t>
  </si>
  <si>
    <t>333000.06.01</t>
  </si>
  <si>
    <t>Фармакотерапия с основ.клинич.фарм.и фитотерапии: Уч./ М.Д.Гаевый-М.:НИЦ ИНФРА-М,2023.-639 с.(ВО)(П)</t>
  </si>
  <si>
    <t>ФАРМАКОТЕРАПИЯ С ОСНОВАМИ КЛИНИЧЕСКОЙ ФАРМАКОЛОГИИ И ФИТОТЕРАПИИ</t>
  </si>
  <si>
    <t>978-5-16-011853-6</t>
  </si>
  <si>
    <t>Рекомендовано Департаментом образовательных медицинских учреждений и кадровой политики Министерства здравоохранения Российской Федерации в качестве учебника для студентов фармацевтических и медицинских вузов</t>
  </si>
  <si>
    <t>090200.15.01</t>
  </si>
  <si>
    <t>Физика в примерах и задачах: Уч.пос. / Е.И.Дмитриева - 2 изд. - М.:Форум:НИЦ Инфра-М, 2025 - 512 с.(ПО) (П)</t>
  </si>
  <si>
    <t>ФИЗИКА В ПРИМЕРАХ И ЗАДАЧАХ, ИЗД.2</t>
  </si>
  <si>
    <t>Дмитриева Е. И., Иевлева Л. Д., Костюченко Л. Д.</t>
  </si>
  <si>
    <t>978-5-91134-712-3</t>
  </si>
  <si>
    <t>477200.06.01</t>
  </si>
  <si>
    <t>Физика Земли: Уч. / В.С.Захаров - М.:НИЦ ИНФРА-М,2024 - 328 с. (ВО)(п)</t>
  </si>
  <si>
    <t>ФИЗИКА ЗЕМЛИ</t>
  </si>
  <si>
    <t>Захаров В.С., Смирнов В.Б.</t>
  </si>
  <si>
    <t>978-5-16-018862-1</t>
  </si>
  <si>
    <t>05.03.01, 05.04.01, 21.05.02, 21.05.03</t>
  </si>
  <si>
    <t>769776.03.01</t>
  </si>
  <si>
    <t>Физика Земли: Уч.пос. / В.В.Нескоромных и др. - М.:НИЦ ИНФРА-М, СФУ,2023 - 229 с.(ВО: Спец. (СФУ))(П)</t>
  </si>
  <si>
    <t>Нескоромных В.В., Попова М.С., Вахромеев А.Г. и др.</t>
  </si>
  <si>
    <t>978-5-16-017384-9</t>
  </si>
  <si>
    <t>21.03.01, 21.04.01, 21.05.02, 21.05.03, 21.05.04, 21.05.05, 21.05.06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</si>
  <si>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21.05.03 «Технология геологической разведки» (квалификация  «Горный инженер-геофизик») (протокол № 6 от 16.06.2021)</t>
  </si>
  <si>
    <t>400750.06.01</t>
  </si>
  <si>
    <t>Физика и естествознание. Практ. раб.: Уч. пос. / С.Б.Акименко - М.:ИЦ РИОР:ИНФРА-М,2023-52с.(ВО) (о)</t>
  </si>
  <si>
    <t>ФИЗИКА И ЕСТЕСТВОЗНАНИЕ. ПРАКТИЧЕСКИЕ РАБОТЫ</t>
  </si>
  <si>
    <t>Акименко С.Б., Яворук О.А.</t>
  </si>
  <si>
    <t>978-5-369-01104-1</t>
  </si>
  <si>
    <t>634148.06.01</t>
  </si>
  <si>
    <t>Физика минералов: Уч. / Д.Г.Кощуг - М.:НИЦ ИНФРА-М,2023 - 348 с.(ВО)(П)</t>
  </si>
  <si>
    <t>ФИЗИКА МИНЕРАЛОВ</t>
  </si>
  <si>
    <t>Кощуг Д.Г., Кротова О.Д.</t>
  </si>
  <si>
    <t>978-5-16-018940-6</t>
  </si>
  <si>
    <t>Допущено УМС геологического факультета МГУ имени М. В. Ломоносова в качестве учебного пособия для студентов, обучающихся по направлению 05.03.01 «Геология»</t>
  </si>
  <si>
    <t>820917.01.01</t>
  </si>
  <si>
    <t>Физика твердого тела. Электр. свойства твердых тел: Уч.пос. / Н.Г.Замкова-М.:НИЦ ИНФРА-М, СФУ,2024.-255 с.(ВО)(п)</t>
  </si>
  <si>
    <t>ФИЗИКА ТВЕРДОГО ТЕЛА. ЭЛЕКТРОННЫЕ СВОЙСТВА ТВЕРДЫХ ТЕЛ</t>
  </si>
  <si>
    <t>Замкова Н.Г., Жандун В.С., Драганюк О.Н. и др.</t>
  </si>
  <si>
    <t>978-5-16-019587-2</t>
  </si>
  <si>
    <t>03.03.02, 04.03.02, 12.03.03, 14.04.01, 14.04.02, 14.05.03, 22.03.01, 22.04.02, 28.03.01, 29.03.03</t>
  </si>
  <si>
    <t>822502.01.01</t>
  </si>
  <si>
    <t>Физика твердого тела: Уч.пос. / А.Ф.Шиманский - М.:НИЦ ИНФРА-М, СФУ,2024.-127 с.(ВО (СФУ))(о)</t>
  </si>
  <si>
    <t>ФИЗИКА ТВЕРДОГО ТЕЛА</t>
  </si>
  <si>
    <t>Шиманский А.Ф., Симунин М.М.</t>
  </si>
  <si>
    <t>978-5-16-019697-8</t>
  </si>
  <si>
    <t>422200.04.01</t>
  </si>
  <si>
    <t>Физика твердого тела: Уч.пос. / Ю.А.Стрекалов-М.:ИЦ РИОР, НИЦ ИНФРА-М,2023.-307 с.(ВО: Бакалавр.)(п)</t>
  </si>
  <si>
    <t>Стрекалов Ю. А., Тенякова Н. А.</t>
  </si>
  <si>
    <t>978-5-369-00967-3</t>
  </si>
  <si>
    <t>457550.07.01</t>
  </si>
  <si>
    <t>Физика. Волновая оптика. Квант. природа..: Уч.пос. / С.И.Кузнецов-3изд.-Вуз. уч.:ИНФРА-М, 2024-212с.(п)</t>
  </si>
  <si>
    <t>ФИЗИКА. ВОЛНОВАЯ ОПТИКА. КВАНТОВАЯ ПРИРОДА ИЗЛУЧЕНИЯ. ЭЛЕМЕНТЫ АТОМНОЙ И ЯДЕРНОЙ ФИЗИКИ, ИЗД.3</t>
  </si>
  <si>
    <t>Кузнецов С.И., Лидер А.М.</t>
  </si>
  <si>
    <t>978-5-9558-0350-0</t>
  </si>
  <si>
    <t>03.03.01, 03.03.03, 03.04.01, 03.04.02, 03.04.03, 12.03.02</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</si>
  <si>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подготовки и специальностям</t>
  </si>
  <si>
    <t>233800.08.01</t>
  </si>
  <si>
    <t>Физика. Основы электродинамики. Электромаг..: Уч.пос. / С.И.Кузнецов - 4 изд. - М.:Вуз. уч.:ИНФРА-М,2025 - 231 с.(п)</t>
  </si>
  <si>
    <t>ФИЗИКА. ОСНОВЫ ЭЛЕКТРОДИНАМИКИ. ЭЛЕКТРОМАГНИТНЫЕ КОЛЕБАНИЯ И ВОЛНЫ, ИЗД.4</t>
  </si>
  <si>
    <t>Кузнецов С.И.</t>
  </si>
  <si>
    <t>978-5-9558-0332-6</t>
  </si>
  <si>
    <t>03.03.01, 03.03.02, 03.03.03, 11.03.01, 11.03.02, 11.03.03, 11.03.04, 12.03.01, 12.03.02, 12.03.03, 12.03.04, 12.03.05, 13.03.01, 13.03.02, 13.03.03, 14.03.01, 14.03.02, 16.03.01, 16.03.02, 16.03.03</t>
  </si>
  <si>
    <t>444200.08.01</t>
  </si>
  <si>
    <t>Физика.Теория и практика: Уч.пос. / С.О.Крамаров - 2изд. - М.:ИЦ РИОР,НИЦ ИНФРА-М,2024 -380с.(ВО)(п)</t>
  </si>
  <si>
    <t>ФИЗИКА.ТЕОРИЯ И ПРАКТИКА, ИЗД.2</t>
  </si>
  <si>
    <t>КрамаровС.О.</t>
  </si>
  <si>
    <t>978-5-369-01522-3</t>
  </si>
  <si>
    <t>12.03.03, 12.03.04, 12.03.05, 13.03.01, 13.03.02, 13.03.03, 16.03.01, 16.03.02, 19.03.01, 19.03.03, 19.03.04</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</si>
  <si>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направлению подготовки "Технология продовольственных продуктов и потребительских товаров"</t>
  </si>
  <si>
    <t>083430.14.01</t>
  </si>
  <si>
    <t>Физика: лаб. работы с вопр. и заданиями: Уч.пос. / О.М.Тарасов - 2 изд. - М.:Форум, НИЦ ИНФРА-М,2024. - 97с(О)</t>
  </si>
  <si>
    <t>ФИЗИКА: ЛАБОРАТОРНЫЕ РАБОТЫ С ВОПРОСАМИ И ЗАДАНИЯМИ, ИЗД.2</t>
  </si>
  <si>
    <t>Тарасов О.М.</t>
  </si>
  <si>
    <t>978-5-00091-472-4</t>
  </si>
  <si>
    <t>00.02.23, 10.02.04, 25.02.01, 31.02.01, 52.02.01, 52.02.02</t>
  </si>
  <si>
    <t>409750.07.01</t>
  </si>
  <si>
    <t>Физика: Лабораторный практикум: Уч. пос. / В.Г.Хавруняк - М.: НИЦ Инфра-М, 2023-142с.(ВО: Бакалавр.) (о)</t>
  </si>
  <si>
    <t>ФИЗИКА: ЛАБОРАТОРНЫЙ ПРАКТИКУМ</t>
  </si>
  <si>
    <t>978-5-16-006428-4</t>
  </si>
  <si>
    <t>09.03.01, 09.03.02, 09.03.03, 09.03.04, 11.03.01, 11.03.02, 11.03.03, 11.03.04, 12.03.01, 12.03.02, 12.03.03, 12.03.04, 12.03.05, 13.03.01, 13.03.02, 13.03.03, 13.04.01, 14.03.01, 14.03.02, 15.03.01, 15.03.02, 15.03.03, 15.03.04, 15.03.05, 15.03.06, 16.03.01, 16.03.02, 16.03.03</t>
  </si>
  <si>
    <t>443850.07.01</t>
  </si>
  <si>
    <t>Физика: Механика. Мех. колебания..: Уч. пос. / С.И.Кузнецов - 4 изд. - М.:Вуз. уч.:ИНФРА-М,2023-248с (П)</t>
  </si>
  <si>
    <t>ФИЗИКА: МЕХАНИКА. МЕХАНИЧЕСКИЕ КОЛЕБАНИЯ И ВОЛНЫ. МОЛЕКУЛЯРНАЯ ФИЗИКА. ТЕРМОДИНАМИКА, ИЗД.4</t>
  </si>
  <si>
    <t>Кузнецов С. И.</t>
  </si>
  <si>
    <t>978-5-9558-0317-3</t>
  </si>
  <si>
    <t>11.03.01, 11.03.02, 11.03.03, 11.03.04, 12.03.01, 12.03.02, 12.03.03, 12.03.04, 12.03.05, 13.03.01, 13.03.02, 13.03.03, 14.03.01, 14.03.02, 16.03.01, 16.03.02, 16.03.03</t>
  </si>
  <si>
    <t>665913.03.01</t>
  </si>
  <si>
    <t>Физика: Пос. для самост. раб. студ. тех. универ.: Уч.пос. / А.Ф.Смык - М.:НИЦ ИНФРА-М,2023 - 388 с.(П)</t>
  </si>
  <si>
    <t>ФИЗИКА: ПОСОБИЕ ДЛЯ САМОСТОЯТЕЛЬНОЙ РАБОТЫ СТУДЕНТОВ ТЕХНИЧЕСКИХ УНИВЕРСИТЕТОВ</t>
  </si>
  <si>
    <t>Смык А.Ф., Тимофеева Г.Ю., Ткачева Т.М.</t>
  </si>
  <si>
    <t>978-5-16-014670-6</t>
  </si>
  <si>
    <t>00.03.14, 01.03.01, 01.03.02, 01.03.03, 03.03.02, 13.03.01, 13.03.02, 13.03.03, 14.03.01, 14.03.02, 15.03.01, 15.03.02, 15.03.03, 15.03.04, 15.03.05, 15.03.06, 20.03.01, 20.03.02, 21.03.01, 21.03.02, 21.03.03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</si>
  <si>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и техническим направлениям подготовки (квалификация (степень) «бакалавр») (протокол № 13 от 16.09.2019)</t>
  </si>
  <si>
    <t>700862.03.01</t>
  </si>
  <si>
    <t>Физика: практикум в Excel: Уч..пос. / О.А.Сдвижков-М.:НИЦ ИНФРА-М,2024.-274 с.(СПО)(п)</t>
  </si>
  <si>
    <t>ФИЗИКА: ПРАКТИКУМ В EXCEL</t>
  </si>
  <si>
    <t>Сдвижков О.А., Мацнев Н.П.</t>
  </si>
  <si>
    <t>978-5-16-015002-4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</si>
  <si>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на базе основного общего образования (протокол № 2 от 17.02.2021)</t>
  </si>
  <si>
    <t>038040.22.01</t>
  </si>
  <si>
    <t>Физика: Уч. / А.А.Пинский и др., - 4 изд. - М.:Форум, НИЦ ИНФРА-М,2025. - 560 с.(СПО)(п)</t>
  </si>
  <si>
    <t>ФИЗИКА, ИЗД.4</t>
  </si>
  <si>
    <t>Пинский А.А., Граковский Г.Ю., Дик Ю.И. и др.</t>
  </si>
  <si>
    <t>978-5-00091-739-8</t>
  </si>
  <si>
    <t>Рекомендовано Министерством образования Российской Федерации в качестве учебника для студентов учреждений среднего профессионального образования</t>
  </si>
  <si>
    <t>293900.14.01</t>
  </si>
  <si>
    <t>Физика: Уч. / В.И.Демидченко - 6 изд. - М.:НИЦ ИНФРА-М,2025 - 581 с.(ВО: Бакалавриат)(П)</t>
  </si>
  <si>
    <t>ФИЗИКА, ИЗД.6</t>
  </si>
  <si>
    <t>Демидченко В.И., Демидченко И.В.</t>
  </si>
  <si>
    <t>978-5-16-010079-1</t>
  </si>
  <si>
    <t>25.03.01, 25.03.02, 25.03.03, 25.03.04, 25.05.01, 25.05.02, 25.05.03, 25.05.04, 25.05.05</t>
  </si>
  <si>
    <t>Рекомендовано федеральным государственным бюджетным образовательным учреждением высшего образования «Санкт-Петербургский государственный университет гражданской авиации» в качестве учебника для студентов высших учебных заведений и курсантов высших военно-учебных заведений, обучающихся по направлению 25.03.03 «Аэронавигация» и специальностям высшего образования  «Эксплуатация воздушных судов и организация воздушного движения», «Летная эксплуатация воздушных судов» и «Аэронавигационное обслуживание и использование воздушного пространства»</t>
  </si>
  <si>
    <t>217800.08.01</t>
  </si>
  <si>
    <t>Физика: Уч.пос. / О.М.Тарасов-М.:Форум, НИЦ ИНФРА-М,2024.-432 с.(СПО)(П)</t>
  </si>
  <si>
    <t>ФИЗИКА</t>
  </si>
  <si>
    <t>Тарасов О. М.</t>
  </si>
  <si>
    <t>978-5-91134-777-2</t>
  </si>
  <si>
    <t>Рекомендовано Экспертным советом при ГБОУ УМЦ по профессиональному образованию Департамента образования города Москвы для использования в образовательном процессе учреждений среднего профессионального образования города Москвы</t>
  </si>
  <si>
    <t>113350.06.01</t>
  </si>
  <si>
    <t>Физика: формулы и определения: Шпаргалка - М.:ИЦ РИОР,2023 - 112 с.-(Шпаргалка [отрывная])(О)</t>
  </si>
  <si>
    <t>ФИЗИКА: ФОРМУЛЫ И ОПРЕДЕЛЕНИЯ</t>
  </si>
  <si>
    <t>Шпаргалка [отрывная]</t>
  </si>
  <si>
    <t>978-5-369-00526-2</t>
  </si>
  <si>
    <t>Шпаргалка</t>
  </si>
  <si>
    <t>03.03.01, 03.03.02, 03.03.03</t>
  </si>
  <si>
    <t>670038.03.01</t>
  </si>
  <si>
    <t>Физика:Уч.пос. для подготовительных факультетов / Г.П.Киселева-М.:НИЦ ИНФРА-М, СФУ,2023-308с(ВО)(П)</t>
  </si>
  <si>
    <t>Киселева Г.П., Киселев В.М.</t>
  </si>
  <si>
    <t>978-5-16-013358-4</t>
  </si>
  <si>
    <t>Допущено Научно-методическим советом по физике Министерства образования и науки Российской Федерации в качестве учебного пособия для подготовительных отделений высших учебных заведений</t>
  </si>
  <si>
    <t>729643.04.01</t>
  </si>
  <si>
    <t>Физико-хим. основы технологии продуктов...: Уч.пос. / М.В.Ксенз - М.:Магистр,НИЦ ИНФРА-М,2025 - 232 с.(П)</t>
  </si>
  <si>
    <t>ФИЗИКО-ХИМИЧЕСКИЕ ОСНОВЫ ТЕХНОЛОГИИ ПРОДУКТОВ ОБЩЕСТВЕННОГО ПИТАНИЯ</t>
  </si>
  <si>
    <t>Ксенз М.В., Джум Т.А., Тамова М.Ю.</t>
  </si>
  <si>
    <t>978-5-9776-0513-7</t>
  </si>
  <si>
    <t>655224.04.01</t>
  </si>
  <si>
    <t>Физико-хим.основы  развития и тушения пожара: Уч.пос. / Под ред. Девисилова В.А.-М.:НИЦ ИНФРА-М,2024-176с(П)</t>
  </si>
  <si>
    <t>ФИЗИКО-ХИМИЧЕСКИЕ ОСНОВЫ  РАЗВИТИЯ И ТУШЕНИЯ ПОЖАРА</t>
  </si>
  <si>
    <t>Девисилов В.А., Дроздова Т.И., Плотникова Г.В. и др.</t>
  </si>
  <si>
    <t>978-5-16-013107-8</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</si>
  <si>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учебного пособия для студентов, обучающихся по основным образовательным программам высшего образования по направлению 20.04.01 «Техносферная безопасность»</t>
  </si>
  <si>
    <t>445650.05.01</t>
  </si>
  <si>
    <t>Физико-химические основы технолог. проц..: Уч. пос./Р.Г.Тазетдинов - 2 изд. - ИНФРА-М,2023-400с.(ВО) (п)</t>
  </si>
  <si>
    <t>ФИЗИКО-ХИМИЧЕСКИЕ ОСНОВЫ ТЕХНОЛОГИЧЕСКИХ ПРОЦЕССОВ И ОБРАБОТКИ КОНСТРУКЦИОННЫХ МАТЕРИАЛОВ, ИЗД.2</t>
  </si>
  <si>
    <t>Тазетдинов Р. Г.</t>
  </si>
  <si>
    <t>978-5-16-008967-6</t>
  </si>
  <si>
    <t>12.03.01, 12.03.02, 13.03.03, 14.03.01, 15.03.01, 15.04.01, 16.03.02, 23.03.02, 23.03.03, 24.03.01, 24.03.03, 24.03.04, 24.03.05, 24.04.04, 24.05.07, 25.03.04, 35.03.02, 35.03.06</t>
  </si>
  <si>
    <t>Рекомендовано Научно-методическим советом по материаловедению и технологии конструкционных материалов Министерства образования и науки РФ в качестве учебного пособия для студентов вузов, обучающихся по машиностроительным специальностям</t>
  </si>
  <si>
    <t>078190.13.01</t>
  </si>
  <si>
    <t>Физико-химические процессы в техносфере: Уч. / К.И.Трифонов - 2 изд. - М.:Форум, НИЦ ИНФРА-М,2025. - 256 с.-(ВО)</t>
  </si>
  <si>
    <t>ФИЗИКО-ХИМИЧЕСКИЕ ПРОЦЕССЫ В ТЕХНОСФЕРЕ, ИЗД.2</t>
  </si>
  <si>
    <t>Трифонов К. И., Девисилов В. А.</t>
  </si>
  <si>
    <t>978-5-00091-002-3</t>
  </si>
  <si>
    <t>Допущено Мин. обр. и науки РФ в качестве учебника для студентов вузов, обуч. по специальности "Безопасность жизнедеятельности в техносфере" направления "Безопасность жизнедеятельности"</t>
  </si>
  <si>
    <t>Ковровская государственная технологическая академия имени В.А.Дегтярева</t>
  </si>
  <si>
    <t>697700.04.01</t>
  </si>
  <si>
    <t>Физико-химические уч. проекты во внеур. деят. шк.: Кн. для уч... / В.Н.Давыдов-М.:НИЦ ИНФРА-М,2024-242с(П)</t>
  </si>
  <si>
    <t>ФИЗИКО-ХИМИЧЕСКИЕ УЧЕБНЫЕ ПРОЕКТЫ ВО ВНЕУРОЧНОЙ ДЕЯТЕЛЬНОСТИ ШКОЛЬНИКОВ. КНИГА ДЛЯ УЧИТЕЛЯ</t>
  </si>
  <si>
    <t>Давыдов В.Н.</t>
  </si>
  <si>
    <t>978-5-16-015078-9</t>
  </si>
  <si>
    <t>Методическое руководство</t>
  </si>
  <si>
    <t>44.02.02, 44.02.03, 44.02.04, 44.03.01, 44.03.02, 44.03.05</t>
  </si>
  <si>
    <t>719504.06.01</t>
  </si>
  <si>
    <t>Физиологические основы здоровья: Уч.пос. / Н.П.Абаскалова - 2 изд. - М.:НИЦ ИНФРА-М,2025 - 351 с.(СПО)(П)</t>
  </si>
  <si>
    <t>ФИЗИОЛОГИЧЕСКИЕ ОСНОВЫ ЗДОРОВЬЯ, ИЗД.2</t>
  </si>
  <si>
    <t>Абаскалова Н.П., Айзман Р.И., Боровец Е.Н. и др.</t>
  </si>
  <si>
    <t>978-5-16-015639-2</t>
  </si>
  <si>
    <t>00.01.05, 00.02.14, 00.02.15, 31.01.01, 31.02.01, 31.02.02, 31.02.03, 31.02.04, 31.02.05, 31.02.06, 32.02.01, 34.01.01, 34.02.01, 34.02.02, 44.02.01, 44.02.02, 44.02.03, 44.02.04, 44.02.05, 44.02.06</t>
  </si>
  <si>
    <t>245100.07.01</t>
  </si>
  <si>
    <t>Физиологические основы здоровья: Уч.пос. / Н.П.Абаскалова - 2 изд.-М.:НИЦ ИНФРА-М,2024-351с.(ВО)(П)</t>
  </si>
  <si>
    <t>Абаскалова Н. П., Иашвили М. В., Кривощеков С. Г., Айзман Р. И.</t>
  </si>
  <si>
    <t>978-5-16-009280-5</t>
  </si>
  <si>
    <t>31.05.01, 31.05.02, 31.05.03, 32.04.01, 32.05.01, 34.03.01</t>
  </si>
  <si>
    <t>408100.10.01</t>
  </si>
  <si>
    <t>Физиологические основы психической деят.:Уч.пос./ Р.И.Айзман.-М:НИЦ ИНФРА-М,2023-192с.(ВО:Бакалавр.) (п)</t>
  </si>
  <si>
    <t>ФИЗИОЛОГИЧЕСКИЕ ОСНОВЫ ПСИХИЧЕСКОЙ ДЕЯТЕЛЬНОСТИ</t>
  </si>
  <si>
    <t>Айзман Р. И., Кривощеков С. Г.</t>
  </si>
  <si>
    <t>978-5-16-006165-8</t>
  </si>
  <si>
    <t>37.03.01, 37.04.01, 49.03.01, 49.03.02, 49.03.03</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</si>
  <si>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педагогического направления (050100.62), профилей Безопасность жизнедеятельности, Биол</t>
  </si>
  <si>
    <t>168200.08.01</t>
  </si>
  <si>
    <t>Физиология поведения: Уч.пос. / Под ред. Саваневского Н.К. - М.:ИНФРА-М,2024 - 400 с.(ВО)(П)</t>
  </si>
  <si>
    <t>ФИЗИОЛОГИЯ ПОВЕДЕНИЯ</t>
  </si>
  <si>
    <t>Саваневский Н. К., Хомич Г. Е., Саваневский Н. К.</t>
  </si>
  <si>
    <t>978-5-16-005288-5</t>
  </si>
  <si>
    <t>Рек. УМО высших учебных заведений Республики Беларусь по гуманитарному образованию в качестве учебного пособия для студентов высших учебных заведений, обуч. по специальности "Психология"</t>
  </si>
  <si>
    <t>365800.11.01</t>
  </si>
  <si>
    <t>Физиология с основами анатомии: Уч. / А.И.Тюкавин - 2 изд. - М.:НИЦ ИНФРА-М,2025. - 813 с.(ВО: Спец.)(п)</t>
  </si>
  <si>
    <t>ФИЗИОЛОГИЯ С ОСНОВАМИ АНАТОМИИ, ИЗД.2</t>
  </si>
  <si>
    <t>Тюкавин А.И., Арсениев Н.А., Васильев А.Г. и др.</t>
  </si>
  <si>
    <t>978-5-16-020582-3</t>
  </si>
  <si>
    <t>31.05.01, 33.05.01, 34.03.01, 49.03.01, 49.03.02, 49.03.03</t>
  </si>
  <si>
    <t>365800.06.01</t>
  </si>
  <si>
    <t>Физиология с основами анатомии: Уч. / Под ред. Тюкавина А.И.-М.:НИЦ ИНФРА-М,2021.-574 с.(ВО)(П)</t>
  </si>
  <si>
    <t>ФИЗИОЛОГИЯ С ОСНОВАМИ АНАТОМИИ</t>
  </si>
  <si>
    <t>Тюкавин А.И., Черешнев В.А., Яковлев В.Н. и др.</t>
  </si>
  <si>
    <t>978-5-16-011002-8</t>
  </si>
  <si>
    <t>Рекомендовано в качестве учебника для студентов высших учебных заведений, обучающихся по направлению подготовки 33.05.01 «Фармация» (квалификация (степень) «провизор»)</t>
  </si>
  <si>
    <t>637739.09.01</t>
  </si>
  <si>
    <t>Физиология физкультурно-оздор. деят.: Уч. / Л.К.Караулова - М.:НИЦ ИНФРА-М,2025. - 336 с.(ВО: Бакалавр.)(П)</t>
  </si>
  <si>
    <t>ФИЗИОЛОГИЯ ФИЗКУЛЬТУРНО-ОЗДОРОВИТЕЛЬНОЙ ДЕЯТЕЛЬНОСТИ</t>
  </si>
  <si>
    <t>Караулова Л.К.</t>
  </si>
  <si>
    <t>978-5-16-012250-2</t>
  </si>
  <si>
    <t>30.05.02, 31.05.01, 32.05.01, 49.03.01, 49.03.02</t>
  </si>
  <si>
    <t>Рекомендовано в качестве учебника для студентов высших учебных заведений, обучающихся по направлению подготовки 49.03.01 «Физическая культура» (квалификация (степень) «бакалавр»)</t>
  </si>
  <si>
    <t>842428.01.01</t>
  </si>
  <si>
    <t>Физиология физкультурно-оздор. деят.: Уч. / Л.К.Караулова - М.:НИЦ ИНФРА-М,2025. - 336 с.(СПО)(п)</t>
  </si>
  <si>
    <t>978-5-16-020342-3</t>
  </si>
  <si>
    <t>31.02.01, 31.02.02, 31.02.03, 31.02.04, 31.02.06, 32.02.01, 33.02.01, 34.02.01, 42.02.12, 43.02.04, 44.02.03, 49.02.01</t>
  </si>
  <si>
    <t>244900.07.01</t>
  </si>
  <si>
    <t>Физиология человека: Уч. пос./ Р.И. Айзман - 2 изд. - М.: НИЦ ИНФРА-М, 2024 -432с.(ВО:Бакалавр.) (п)</t>
  </si>
  <si>
    <t>ФИЗИОЛОГИЯ ЧЕЛОВЕКА, ИЗД.2</t>
  </si>
  <si>
    <t>Айзман Р.И., Абаскалова Н.П., Шуленина Н.С.</t>
  </si>
  <si>
    <t>978-5-16-009279-9</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</si>
  <si>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высших учебных заведений, обучающихся по направлению 44.04.01 (050100.62) «Педагогическое образование» (профили «Безопасность жизнедеятельности», «Биология», «Психология»</t>
  </si>
  <si>
    <t>690260.04.01</t>
  </si>
  <si>
    <t>Физиология человека: Уч.пос. / Е.В.Евстафьева - М.:НИЦ ИНФРА-М,2025 - 355 с.-(ВО: Спец. (КрымФУ))(П)</t>
  </si>
  <si>
    <t>ФИЗИОЛОГИЯ ЧЕЛОВЕКА</t>
  </si>
  <si>
    <t>Евстафьева Е.В., Бояринцева Ю.А., Залата О.А. и др.</t>
  </si>
  <si>
    <t>978-5-16-020505-2</t>
  </si>
  <si>
    <t>04.03.02, 06.04.01, 19.04.04, 20.03.01, 25.05.05, 30.05.03, 36.05.01, 44.03.05, 49.03.01, 49.03.02, 49.03.03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</si>
  <si>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медицинским специальностям (квалификация «врач») (протокол № 10 от 15.12.2021)</t>
  </si>
  <si>
    <t>Академический научно-исследовательский институт физических методов лечения, медицинской климатологии</t>
  </si>
  <si>
    <t>465050.13.01</t>
  </si>
  <si>
    <t>Физиология: Уч.пос. / Ю.Н.Самко - М.:НИЦ ИНФРА-М,2025 - 144 с.-(ВО)(о)</t>
  </si>
  <si>
    <t>ФИЗИОЛОГИЯ</t>
  </si>
  <si>
    <t>Самко Ю. Н.</t>
  </si>
  <si>
    <t>978-5-16-009659-9</t>
  </si>
  <si>
    <t>30.05.01, 30.05.02, 30.05.03, 31.05.01, 31.05.02</t>
  </si>
  <si>
    <t>Рекомендовано в качестве учебного пособия для студентов высших учебных заведений, обучающихся по направлениям подготовки 31.05.01 «Лечебное дело», 31.05.02 «Педиатрия» (квалификация «врач общей практики» и «врач-педиатр общей практики»)</t>
  </si>
  <si>
    <t>813797.01.01</t>
  </si>
  <si>
    <t>Физическая и коллоидная химия: Уч.пос. / О.В.Демина-М.:НИЦ ИНФРА-М,2024.-200 с.(ВО (КрГАУ))(п)</t>
  </si>
  <si>
    <t>ФИЗИЧЕСКАЯ И КОЛЛОИДНАЯ ХИМИЯ</t>
  </si>
  <si>
    <t>Демина О.В., Головнева И.И.</t>
  </si>
  <si>
    <t>978-5-16-019669-5</t>
  </si>
  <si>
    <t>19.03.01, 19.03.02, 19.03.03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</si>
  <si>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19.03.03 «Продукты питания животного происхождения»</t>
  </si>
  <si>
    <t>666690.05.01</t>
  </si>
  <si>
    <t>Физическая культура студентов...: Уч.пос. / Л.Н.Гелецкая.-М.:НИЦ ИНФРА-М, СФУ,2024.-219 с..-(ВО)(п)</t>
  </si>
  <si>
    <t>ФИЗИЧЕСКАЯ КУЛЬТУРА СТУДЕНТОВ СПЕЦИАЛЬНОГО УЧЕБНОГО ОТДЕЛЕНИЯ</t>
  </si>
  <si>
    <t>Гелецкая Л.Н., Бирдигулова И.Ю., Шубин Д.А. и др.</t>
  </si>
  <si>
    <t>978-5-16-013181-8</t>
  </si>
  <si>
    <t>00.03.14</t>
  </si>
  <si>
    <t>Рекомендовано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 А.И. Герцена» к использованию в образовательных учреждениях, реализующих образовательные программы высшего профессионального образования по дисциплине «Физическая культура»</t>
  </si>
  <si>
    <t>686695.08.01</t>
  </si>
  <si>
    <t>Физическая культура: Уч.мет.пос. / Ю.С.Филиппова - М.:НИЦ ИНФРА-М,2024 - 201 с.-(ВО)(п)</t>
  </si>
  <si>
    <t>ФИЗИЧЕСКАЯ КУЛЬТУРА</t>
  </si>
  <si>
    <t>Филиппова Ю.С.</t>
  </si>
  <si>
    <t>978-5-16-019217-8</t>
  </si>
  <si>
    <t>00.03.14, 00.05.14</t>
  </si>
  <si>
    <t>730655.07.01</t>
  </si>
  <si>
    <t>Физическая культура: Уч.мет.пос. / Ю.С.Филиппова - М.:НИЦ ИНФРА-М,2025 - 197 с.-(СПО)(П)</t>
  </si>
  <si>
    <t>978-5-16-015948-5</t>
  </si>
  <si>
    <t>00.01.05, 00.02.14, 44.02.01, 44.02.02, 49.02.01, 49.02.02, 49.02.03</t>
  </si>
  <si>
    <t>266000.08.01</t>
  </si>
  <si>
    <t>Физическая химия: Уч.: Т.1: Общая хим. термодинамика / А.Я.Борщевский-М.:НИЦ ИНФРА-М,2025.-606 с.(ВО)(п)</t>
  </si>
  <si>
    <t>ФИЗИЧЕСКАЯ ХИМИЯ, Т.1</t>
  </si>
  <si>
    <t>Борщевский А.Я.</t>
  </si>
  <si>
    <t>978-5-16-018556-9</t>
  </si>
  <si>
    <t>00.03.31, 03.04.01, 04.03.01, 04.03.02, 18.03.01, 18.03.02, 19.03.01, 31.05.01, 31.05.02, 31.05.03, 33.05.01</t>
  </si>
  <si>
    <t>Рекомендовано в качестве учебника для студентов высших учебных заведений, обучающихся по направлениям подготовки 04.03.01 «Химия», 18.03.01 «Химическая технология», 03.03.01 «Прикладные математика и физика» (квалификация (степень) «бакалавр»)</t>
  </si>
  <si>
    <t>268000.09.01</t>
  </si>
  <si>
    <t>Физическая химия: Уч.: Т.2: Статист. термодинамика / А.Я.Борщевский - М.:НИЦ ИНФРА-М,2025 - 383 с.(ВО)(п)</t>
  </si>
  <si>
    <t>ФИЗИЧЕСКАЯ ХИМИЯ, Т.2</t>
  </si>
  <si>
    <t>978-5-16-018557-6</t>
  </si>
  <si>
    <t>04.03.01, 04.03.02, 18.03.01, 18.03.02, 19.03.01, 31.05.01, 31.05.02, 31.05.03, 33.05.01</t>
  </si>
  <si>
    <t>Рекомендовано в качестве учебника для студентов высших учебных заведений, обучающихся по направлениям подготовки 04.03.01 «Химия», 18.03.01 «Химическая технология», 03.03.01 «Прикладные математика и физика»  (квалификация (степень) «бакалавр»)</t>
  </si>
  <si>
    <t>292600.07.01</t>
  </si>
  <si>
    <t>Физическая химия: Уч.пос. / Д.П.Зарубин - М.:НИЦ ИНФРА-М,2025 - 474 с.(ВО: Бакалавриат)(П)</t>
  </si>
  <si>
    <t>ФИЗИЧЕСКАЯ ХИМИЯ</t>
  </si>
  <si>
    <t>Зарубин Д.П.</t>
  </si>
  <si>
    <t>978-5-16-010067-8</t>
  </si>
  <si>
    <t>04.03.01, 04.03.02, 04.05.01, 18.03.01, 18.03.02, 18.05.01, 18.05.02, 30.05.01, 31.05.01, 31.05.02, 31.05.03, 33.05.01, 35.03.03</t>
  </si>
  <si>
    <t>Рекомендовано в качестве учебного пособия для студентов высших учебных заведений, обучающихся по направлениям подготовки 04.03.01 «Химия»; 18.03.01 «Химическая технология»; 18.03.02 «Энерго- и ресурсосберегающие процессы в химической технологии, нефтетехнологии и биотехнологии»; 19.03.01 «Биотехнология» (квалификация (степень) «бакалавр»)</t>
  </si>
  <si>
    <t>798326.01.01</t>
  </si>
  <si>
    <t>Физическая химия: энергия, работа, теплота: Уч.пос. / А.Я.Борщевский - М.:НИЦ ИНФРА-М,2024. - 214 с.(ВО)(п)</t>
  </si>
  <si>
    <t>ФИЗИЧЕСКАЯ ХИМИЯ: ЭНЕРГИЯ, РАБОТА, ТЕПЛОТА</t>
  </si>
  <si>
    <t>978-5-16-018327-5</t>
  </si>
  <si>
    <t>01.05.01, 03.05.02, 04.05.01</t>
  </si>
  <si>
    <t>808422.01.01</t>
  </si>
  <si>
    <t>Физическая химия: энтропия: Уч.пос. / А.Я.Борщевский - М.:НИЦ ИНФРА-М,2024. - 298 с.(ВО)(п)</t>
  </si>
  <si>
    <t>ФИЗИЧЕСКАЯ ХИМИЯ: ЭНТРОПИЯ</t>
  </si>
  <si>
    <t>978-5-16-019162-1</t>
  </si>
  <si>
    <t>04.03.01, 04.05.01</t>
  </si>
  <si>
    <t>330900.07.01</t>
  </si>
  <si>
    <t>Физические основы биосенсорики: Уч.пос. / Г.П.Горбенко и др.-М.:Вуз. уч., НИЦ ИНФРА-М,2024.-140 с.(о)</t>
  </si>
  <si>
    <t>ФИЗИЧЕСКИЕ ОСНОВЫ БИОСЕНСОРИКИ</t>
  </si>
  <si>
    <t>Горбенко Г.П., Трусова В.М., Евстигнеев М.П.</t>
  </si>
  <si>
    <t>978-5-9558-0415-6</t>
  </si>
  <si>
    <t>12.03.04, 12.04.04</t>
  </si>
  <si>
    <t>Харьковский национальный университет им. В.Н. Каразина</t>
  </si>
  <si>
    <t>183800.07.01</t>
  </si>
  <si>
    <t>Физические основы волоконной оптики: Уч.пос. / А.В.Стрекалов - М:ИЦ РИОР:Инфра-М,2025 - 106 с.(ВО:Бакалавр.) (п)</t>
  </si>
  <si>
    <t>ФИЗИЧЕСКИЕ ОСНОВЫ ВОЛОКОННОЙ ОПТИКИ</t>
  </si>
  <si>
    <t>Стрекалов А. В., Тенякова Н. А.</t>
  </si>
  <si>
    <t>978-5-369-00966-6</t>
  </si>
  <si>
    <t>11.03.02, 11.04.02, 12.03.02</t>
  </si>
  <si>
    <t>Рекомендованно УМО по образованию в области телекоммуникаций в качестве учебного пособия для студентов, обучающихся по специальностям 200900 "Сети связи и системы коммуникаций", 201000 "Многоканальные телекоммуникационные системы"</t>
  </si>
  <si>
    <t>633723.06.01</t>
  </si>
  <si>
    <t>Физические основы защиты информации: Уч.пос. / Н.Е.Шейдаков-М.:ИЦ РИОР, НИЦ ИНФРА-М,2022-204с(ВО)(П)</t>
  </si>
  <si>
    <t>ФИЗИЧЕСКИЕ ОСНОВЫ ЗАЩИТЫ ИНФОРМАЦИИ</t>
  </si>
  <si>
    <t>Шейдаков Н.Е., Тищенко Е.Н., Серпенинов О.В.</t>
  </si>
  <si>
    <t>978-5-369-01603-9</t>
  </si>
  <si>
    <t>01.04.04, 09.03.01, 09.03.03, 10.03.01, 10.04.01, 10.05.02, 10.05.04, 27.03.02, 27.04.03, 38.03.05, 38.04.05, 46.03.02</t>
  </si>
  <si>
    <t>758396.02.01</t>
  </si>
  <si>
    <t>Физические основы измерений и эталоны: Уч.пос. / А.А.Афанасьев - М.:НИЦ ИНФРА-М,2023 - 246 с.(СПО)(П)</t>
  </si>
  <si>
    <t>ФИЗИЧЕСКИЕ ОСНОВЫ ИЗМЕРЕНИЙ И ЭТАЛОНЫ</t>
  </si>
  <si>
    <t>978-5-16-016982-8</t>
  </si>
  <si>
    <t>15.02.04, 15.02.07, 15.02.10, 15.02.16, 15.02.18, 27.02.01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</si>
  <si>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27.00.00 «Управление в технических системах» (протокол № 12 от 14.12.2020)</t>
  </si>
  <si>
    <t>653846.07.01</t>
  </si>
  <si>
    <t>Физические основы измерений и эталоны: Уч.пос. / А.А.Афанасьев-М.:НИЦ ИНФРА-М,2024.-246 с.(ВО: Бакалавр.)(П)</t>
  </si>
  <si>
    <t>978-5-16-018624-5</t>
  </si>
  <si>
    <t>Рекомендовано в качестве учебного пособия для студентов высших учебных заведений, обучающихся по направлениям подготовки 27.03.01 «Стандартизация и метрология», 15.03.01 «Машиностроение», 15.03.02 «Технологические машины и оборудование» (квалификация (степень) «бакалавр»)</t>
  </si>
  <si>
    <t>648703.07.01</t>
  </si>
  <si>
    <t>Физические основы лазерной техники: Уч.пос. / Б.Н.Пойзнер - 2-изд.-М.:НИЦ ИНФРА-М,2025 - 160с(ВО)(П)</t>
  </si>
  <si>
    <t>ФИЗИЧЕСКИЕ ОСНОВЫ ЛАЗЕРНОЙ ТЕХНИКИ, ИЗД.2</t>
  </si>
  <si>
    <t>Пойзнер Б.Н.</t>
  </si>
  <si>
    <t>978-5-16-012817-7</t>
  </si>
  <si>
    <t>12.04.02, 12.04.03, 12.04.05</t>
  </si>
  <si>
    <t>Рекомендовано УМО по образованию в области приборостроения и оптотехники в качестве учебного пособия для студентов высших учебных заведений, обучающихся по направлению подготовки «Оптотехника» и специальностям «Лазерная техника и лазерные технологии», «Оптико-электронные приборы и системы»</t>
  </si>
  <si>
    <t>359000.08.01</t>
  </si>
  <si>
    <t>Физические основы получ. информации: Уч. / Г.Г.Раннев и др., - 2 изд.-М.:КУРС,НИЦ ИНФРА-М,2023-304 с</t>
  </si>
  <si>
    <t>ФИЗИЧЕСКИЕ ОСНОВЫ ПОЛУЧЕНИЯ ИНФОРМАЦИИ, ИЗД.2</t>
  </si>
  <si>
    <t>Раннев Г.Г., Сурогина В.А., Тарасенко А.П. и др.</t>
  </si>
  <si>
    <t>978-5-906818-97-3</t>
  </si>
  <si>
    <t>Рекомендовано в качестве учебника для студентов высших учебных заведений, обучающихся по направлению подготовки 12.03.01 «Приборостроение» (квалификация — Бакалавр)</t>
  </si>
  <si>
    <t>428700.05.01</t>
  </si>
  <si>
    <t>Физические основы получения информации: Уч. пос. / Б.Ю. Каплан. - М.: ИНФРА-М, 2023. - 286 с. (ВО) (п)</t>
  </si>
  <si>
    <t>ФИЗИЧЕСКИЕ ОСНОВЫ ПОЛУЧЕНИЯ ИНФОРМАЦИИ</t>
  </si>
  <si>
    <t>978-5-16-006381-2</t>
  </si>
  <si>
    <t>700912.04.01</t>
  </si>
  <si>
    <t>Физическое воспитание детей дош. и...: Уч.мет.пос. / С.В.Гурьев - М.:НИЦ ИНФРА-М,2025 - 218 с.-(П)</t>
  </si>
  <si>
    <t>ФИЗИЧЕСКОЕ ВОСПИТАНИЕ ДЕТЕЙ ДОШКОЛЬНОГО И МЛАДШЕГО ШКОЛЬНОГО ВОЗРАСТА</t>
  </si>
  <si>
    <t>Гурьев С.В.</t>
  </si>
  <si>
    <t>978-5-16-014873-1</t>
  </si>
  <si>
    <t>00.01.05, 00.02.14, 44.02.01, 44.02.02, 44.02.04, 44.02.05, 49.02.01, 49.02.02, 49.02.03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</si>
  <si>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(протокол № 2 от 03.02.2020)</t>
  </si>
  <si>
    <t>686518.04.01</t>
  </si>
  <si>
    <t>Физическое и матем. моделир. строит. сис.: Уч.пос. / В.Т.Чемодуров - М.:НИЦ ИНФРА-М,2025. - 196 с.(ВО)(П)</t>
  </si>
  <si>
    <t>ФИЗИЧЕСКОЕ И МАТЕМАТИЧЕСКОЕ МОДЕЛИРОВАНИЕ СТРОИТЕЛЬНЫХ СИСТЕМ</t>
  </si>
  <si>
    <t>Чемодуров В.Т., Литвинова Э.В.</t>
  </si>
  <si>
    <t>978-5-16-014993-6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</si>
  <si>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«Строительство» (квалификация (степень) «магистр») (протокол № 10 от 12.10.2020)</t>
  </si>
  <si>
    <t>660983.04.01</t>
  </si>
  <si>
    <t>Физическое материаловедение: Уч.пос.: В 2 ч.Ч. 1: /В.И.Томилин.-М.:НИЦ ИНФРА-М,СФУ,2023-280с.(ВО)(П)</t>
  </si>
  <si>
    <t>ФИЗИЧЕСКОЕ МАТЕРИАЛОВЕДЕНИЕ, Т.1</t>
  </si>
  <si>
    <t>Томилин В.И., Томилина Н.П., Бахтина В.А.</t>
  </si>
  <si>
    <t>978-5-16-012962-4</t>
  </si>
  <si>
    <t>11.03.01, 11.03.02, 11.03.03, 11.03.04</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</si>
  <si>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«Проектирование и технология радиоэлектронных средств»</t>
  </si>
  <si>
    <t>773007.01.01</t>
  </si>
  <si>
    <t>Филологический анализ текстов на англ. яз.: Уч.пос. / Е.М.Бутенина - М.:НИЦ ИНФРА-М,2025. - 206 с.(п)</t>
  </si>
  <si>
    <t>ФИЛОЛОГИЧЕСКИЙ АНАЛИЗ ТЕКСТОВ НА АНГЛИЙСКОМ ЯЗЫКЕ</t>
  </si>
  <si>
    <t>Бутенина Е.М.</t>
  </si>
  <si>
    <t>978-5-16-017451-8</t>
  </si>
  <si>
    <t>44.03.05, 44.04.01, 45.03.01, 45.04.01</t>
  </si>
  <si>
    <t>657551.05.01</t>
  </si>
  <si>
    <t>Философия  права: Уч. / И.И.Кальной - М.:Вуз. уч., НИЦ ИНФРА-М,2021 - 292 с.(П)</t>
  </si>
  <si>
    <t>ФИЛОСОФИЯ  ПРАВА</t>
  </si>
  <si>
    <t>Кальной И.И., Чукин С.Г.</t>
  </si>
  <si>
    <t>978-5-9558-0571-9</t>
  </si>
  <si>
    <t>38.04.09, 40.04.01, 40.05.01, 40.05.02, 40.05.03, 40.05.04</t>
  </si>
  <si>
    <t>Луганская государственная академия культуры и искусств имени М. Матусовского</t>
  </si>
  <si>
    <t>645367.03.01</t>
  </si>
  <si>
    <t>Философия для педагогов: Уч. / В.А.Канке - М.:НИЦ ИНФРА-М,2023 - 330 с.-(ВО: Бакалавриат)(П)</t>
  </si>
  <si>
    <t>ФИЛОСОФИЯ ДЛЯ ПЕДАГОГОВ</t>
  </si>
  <si>
    <t>978-5-16-012827-6</t>
  </si>
  <si>
    <t>44.03.01, 44.03.02, 44.03.04, 44.03.05, 47.03.01</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</si>
  <si>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44.03.04 «Профессиональное обучение (по отраслям)» (квалификация (степень) «бакалавр»)</t>
  </si>
  <si>
    <t>645368.05.01</t>
  </si>
  <si>
    <t>Философия для психологов: Уч. / В.А.Канке - М.:НИЦ ИНФРА-М,2025 - 315 с.(ВО)(п)</t>
  </si>
  <si>
    <t>ФИЛОСОФИЯ ДЛЯ ПСИХОЛОГОВ</t>
  </si>
  <si>
    <t>978-5-16-020739-1</t>
  </si>
  <si>
    <t>37.03.01, 37.03.02, 44.03.02</t>
  </si>
  <si>
    <t>Рекомендовано в качестве учебника для студентов высших учебных заведений, обучающихся по направлениям подготовки 37.03.01 «Психология», 37.03.02 «Конфликтология» (квалификация (степень) «бакалавр»)</t>
  </si>
  <si>
    <t>677733.04.01</t>
  </si>
  <si>
    <t>Философия для технич. специальностей: Уч. / В.А.Канке - 2 изд. - М.:НИЦ ИНФРА-М,2023-326 с(ВО)(П)</t>
  </si>
  <si>
    <t>ФИЛОСОФИЯ ДЛЯ ТЕХНИЧЕСКИХ СПЕЦИАЛЬНОСТЕЙ, ИЗД.2</t>
  </si>
  <si>
    <t>978-5-16-014116-9</t>
  </si>
  <si>
    <t>00.03.11, 00.04.17, 00.05.11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</si>
  <si>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техническим направлениям подготовки (квалификация (степень) «бакалавр») (протокол № 11 от 09.11.2020)</t>
  </si>
  <si>
    <t>677732.05.01</t>
  </si>
  <si>
    <t>Философия для экономистов и менеджеров: Уч. / В.А.Канке - 2 изд. - М.:НИЦ ИНФРА-М,2023 - 320 с.(ВО)(П)</t>
  </si>
  <si>
    <t>ФИЛОСОФИЯ ДЛЯ ЭКОНОМИСТОВ И МЕНЕДЖЕРОВ, ИЗД.2</t>
  </si>
  <si>
    <t>978-5-16-014114-5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</si>
  <si>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подготовки 38.03.00 «Экономика и управление» (квалификация (степень) «бакалавр») (протокол № 18 от 25.11.2019)</t>
  </si>
  <si>
    <t>677716.04.01</t>
  </si>
  <si>
    <t>Философия для юристов: Уч. / В.А.Канке, - 2 изд.-М.:НИЦ ИНФРА-М,2023.-333 с.(ВО)(п)</t>
  </si>
  <si>
    <t>ФИЛОСОФИЯ ДЛЯ ЮРИСТОВ, ИЗД.2</t>
  </si>
  <si>
    <t>978-5-16-018853-9</t>
  </si>
  <si>
    <t>40.03.01, 47.03.01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</si>
  <si>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10 от 27.05.2019)</t>
  </si>
  <si>
    <t>710214.05.01</t>
  </si>
  <si>
    <t>Философия для юристов: Уч. / О.Ю.Рыбаков - М.:Юр.Норма, НИЦ ИНФРА-М,2025 - 368 с.(П)</t>
  </si>
  <si>
    <t>ФИЛОСОФИЯ ДЛЯ ЮРИСТОВ</t>
  </si>
  <si>
    <t>Рыбаков О.Ю.</t>
  </si>
  <si>
    <t>978-5-00156-003-6</t>
  </si>
  <si>
    <t>402250.09.01</t>
  </si>
  <si>
    <t>Философия и история науки: Уч. / Е.А.Гусева - М.:НИЦ ИНФРА-М,2024 - 128 с.-(ВО: Магистратура)(о)</t>
  </si>
  <si>
    <t>ФИЛОСОФИЯ И ИСТОРИЯ НАУКИ</t>
  </si>
  <si>
    <t>Гусева Е.А., Леонов В.Е.</t>
  </si>
  <si>
    <t>978-5-16-005796-5</t>
  </si>
  <si>
    <t>15.04.01, 15.04.03, 16.04.03, 35.04.08, 36.04.02, 46.04.02, 47.03.01, 47.04.01, 51.03.04, 51.04.04, 52.04.03, 53.04.04</t>
  </si>
  <si>
    <t>Допущено УМО по образованию в области производственного менеджмента в качестве учебника для аспирантов и соискателей всех специальностей</t>
  </si>
  <si>
    <t>241400.09.01</t>
  </si>
  <si>
    <t>Философия и история науки: Уч.пос. / А.Л.Никифоров - М.:НИЦ ИНФРА-М,2025 - 176 с.-(ВО)(О)</t>
  </si>
  <si>
    <t>Никифоров А. Л.</t>
  </si>
  <si>
    <t>978-5-16-020412-3</t>
  </si>
  <si>
    <t>Институт философии Российской академии наук</t>
  </si>
  <si>
    <t>672180.03.01</t>
  </si>
  <si>
    <t>Философия и методология науки: Уч.пос. / В.А.Светлов-М.:НИЦ ИНФРА-М, СФУ,2022.-413 с.(ВО: Магистр. (СФУ))(П)</t>
  </si>
  <si>
    <t>ФИЛОСОФИЯ И МЕТОДОЛОГИЯ НАУКИ</t>
  </si>
  <si>
    <t>Светлов В.А., Пфаненштиль И.А.</t>
  </si>
  <si>
    <t>978-5-16-017352-8</t>
  </si>
  <si>
    <t>00.04.17, 01.04.01, 01.04.03, 02.04.01, 02.04.02, 10.04.01, 21.04.01, 38.04.09, 39.04.02, 46.04.01, 47.03.01</t>
  </si>
  <si>
    <t>Рекомендовано Учебно-методической комиссией по философии Учебно-методического объединения при Министерстве образования и науки РФ в качестве учебного пособия для студентов вузов и послевузовской системы образования</t>
  </si>
  <si>
    <t>663829.01.01</t>
  </si>
  <si>
    <t>Философия и социология нетип. развития (образ "Другого"...): Уч.пос. / Н.Ш.Тюрина-М.:ИНФРА-М,2024-221с.(п)</t>
  </si>
  <si>
    <t>ФИЛОСОФИЯ И СОЦИОЛОГИЯ НЕТИПИЧНОГО РАЗВИТИЯ (ОБРАЗ "ДРУГОГО" В МИРОВОМ КИНЕМАТОГРАФЕ)</t>
  </si>
  <si>
    <t>Тюрина Н.Ш.</t>
  </si>
  <si>
    <t>978-5-16-018088-5</t>
  </si>
  <si>
    <t>39.04.01, 44.04.03</t>
  </si>
  <si>
    <t>145150.08.01</t>
  </si>
  <si>
    <t>Философия и теория познания: Уч. пос. / Т.Г. Лешкевич. - М.: ИНФРА-М, 2025 - 408 с.(ВО) (п)</t>
  </si>
  <si>
    <t>ФИЛОСОФИЯ И ТЕОРИЯ ПОЗНАНИЯ</t>
  </si>
  <si>
    <t>Лешкевич Т. Г.</t>
  </si>
  <si>
    <t>978-5-16-004485-9</t>
  </si>
  <si>
    <t>776751.01.01</t>
  </si>
  <si>
    <t>Философия истории: Уч. / А.А.Иванов-М.:НИЦ ИНФРА-М,2023.-312 с.(ВО)(п)</t>
  </si>
  <si>
    <t>ФИЛОСОФИЯ ИСТОРИИ</t>
  </si>
  <si>
    <t>Иванов А.А., Воронов В.М.</t>
  </si>
  <si>
    <t>978-5-16-017662-8</t>
  </si>
  <si>
    <t>44.04.01, 46.03.01, 46.04.01, 47.03.01</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</si>
  <si>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47.03.01 - "Философия", 37.03.02 - "Конфликтология"</t>
  </si>
  <si>
    <t>652086.05.01</t>
  </si>
  <si>
    <t>Философия истории: Уч. / Науч. ред. Кальной И.И. - М.:Вуз. уч., НИЦ ИНФРА-М,2024 - 388 с.(П)</t>
  </si>
  <si>
    <t>ФИЛОСОФИЯ ИСТОРИИ, ИЗД.2</t>
  </si>
  <si>
    <t>Габриелян О.А., Кальной И.И.</t>
  </si>
  <si>
    <t>978-5-9558-0551-1</t>
  </si>
  <si>
    <t>46.03.01, 47.03.01</t>
  </si>
  <si>
    <t>658021.04.01</t>
  </si>
  <si>
    <t>Философия истории: Уч.пос. / В.Д.Губин - 2 изд.-М.:НИЦ ИНФРА-М,2023.-370 с..-(ВО: Бакалавриат)(П)</t>
  </si>
  <si>
    <t>Губин В.Д., Стрелков В.И.</t>
  </si>
  <si>
    <t>978-5-16-013687-5</t>
  </si>
  <si>
    <t>46.03.01, 46.04.01, 47.03.01, 47.04.01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</si>
  <si>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47.03.01 «Философия», 46.03.01 «История» (квалификация (степень) «бакалавр»)</t>
  </si>
  <si>
    <t>406800.10.01</t>
  </si>
  <si>
    <t>Философия музея: Уч.пос. / Под ред. Пиотровского М.Б. - М.:НИЦ ИНФРА-М,2023 - 192 с.(ВО)(О)</t>
  </si>
  <si>
    <t>ФИЛОСОФИЯ МУЗЕЯ</t>
  </si>
  <si>
    <t>Пиотровский М.Б., Беззубова О.В., Дриккер А.С. и др.</t>
  </si>
  <si>
    <t>978-5-16-006155-9</t>
  </si>
  <si>
    <t>43.03.02, 43.04.02, 47.03.01, 47.04.01, 50.03.03, 51.03.01, 51.03.04, 51.04.01, 51.04.04, 53.04.05, 54.03.04, 54.04.04</t>
  </si>
  <si>
    <t>Рекомендовано в качестве учебного пособия для студентов высших учебных заведений, обучающихся по направлениям подготовки 47.04.01 «Философия», 51.04.01 «Культурология», 50.04.01 «Искусства и гуманитарные науки», 54.04.04 «Реставрация» (квалификация (степень) «магистр»)</t>
  </si>
  <si>
    <t>638289.08.01</t>
  </si>
  <si>
    <t>Философия науки: Уч.пос. / В.П.Кохановский - 3 изд. - М.:Юр.Норма,НИЦ ИНФРА-М,2023 - 432 с.(П)</t>
  </si>
  <si>
    <t>ФИЛОСОФИЯ НАУКИ, ИЗД.3</t>
  </si>
  <si>
    <t>Кохановский В.П., Пржиленский В.И., Сергодеева Е.А.</t>
  </si>
  <si>
    <t>978-5-91768-758-2</t>
  </si>
  <si>
    <t>127150.14.01</t>
  </si>
  <si>
    <t>Философия науки: Уч.пос. / Е.В.Мареева - М.:НИЦ ИНФРА-М,2025 - 332с.(ВО:Аспирантура)(о)</t>
  </si>
  <si>
    <t>ФИЛОСОФИЯ НАУКИ</t>
  </si>
  <si>
    <t>Мареева Е. В., Мареев С. Н., Майданский А. Д.</t>
  </si>
  <si>
    <t>978-5-16-010333-4</t>
  </si>
  <si>
    <t>15.04.01, 15.04.03, 16.04.03, 35.04.08, 36.04.02, 46.04.02, 47.03.01, 47.04.01, 51.04.04, 52.04.03, 53.04.04</t>
  </si>
  <si>
    <t>Рекомендовано Ученым советом Института МИРБИС в качестве учебного пособия для аспирантов и соискателей Рекомендовано к изданию Ученым советом НОУ ВПО «Московская академия экономики и права»</t>
  </si>
  <si>
    <t>062250.12.01</t>
  </si>
  <si>
    <t>Философия науки: Уч.пос. / Т.Г.Лешкевич-М.:НИЦ ИНФРА-М,2024.-272 с..-(ВО)(п)</t>
  </si>
  <si>
    <t>Лешкевич Т.Г., Лисеев И.К.</t>
  </si>
  <si>
    <t>978-5-16-018756-3</t>
  </si>
  <si>
    <t>01.06.01, 02.06.01, 03.06.01, 04.06.01, 05.06.01, 06.06.01, 07.06.01, 08.06.01, 09.06.01, 10.06.01, 11.06.01, 12.06.01, 13.06.01, 14.06.01, 15.06.01, 16.06.01, 17.06.01, 20.06.01, 21.06.01, 21.06.02, 22.06.01, 23.06.01, 24.06.01, 25.06.01, 26.06.01, 27.06.01, 28.06.01, 29.06.01, 30.06.01, 32.06.01, 33.06.01, 35.06.01, 35.06.02, 35.06.03, 35.06.04, 36.06.01, 37.06.01, 38.06.01, 39.06.01, 40.03.01, 40.06.01, 41.06.01, 42.06.01, 44.03.01, 44.03.05, 44.06.01, 45.06.01, 46.06.01, 47.03.01, 47.04.01, 47.06.01, 48.06.01, 49.06.01, 50.06.01, 51.06.01</t>
  </si>
  <si>
    <t>430900.05.01</t>
  </si>
  <si>
    <t>Философия политики и права: Уч. пос./ В.И.Пернацкий-М.:ИЦ РИОР, НИЦ ИНФРА-М,2024.-224 с.(ВО)(П)</t>
  </si>
  <si>
    <t>ФИЛОСОФИЯ ПОЛИТИКИ И ПРАВА</t>
  </si>
  <si>
    <t>Пернацкий В. И.</t>
  </si>
  <si>
    <t>978-5-369-01151-5</t>
  </si>
  <si>
    <t>38.04.09, 40.03.01, 40.04.01, 41.03.04, 41.03.06, 41.04.04, 46.03.01, 46.04.01, 47.03.01, 47.04.01</t>
  </si>
  <si>
    <t>024246.14.01</t>
  </si>
  <si>
    <t>Философия права / В.С.Нерсесянц - М.: Юр.Норма, НИЦ ИНФРА-М, 2025 - 256 с.(Краткие уч.курсы юр.наук)(О)</t>
  </si>
  <si>
    <t>ФИЛОСОФИЯ ПРАВА</t>
  </si>
  <si>
    <t>978-5-91768-250-1</t>
  </si>
  <si>
    <t>38.04.09, 40.03.01, 40.04.01, 40.05.01, 40.05.02, 40.05.03, 40.05.04, 47.03.01, 47.04.01</t>
  </si>
  <si>
    <t>641411.03.01</t>
  </si>
  <si>
    <t>Философия права: Уч. / А.Н.Халиков, - 2 изд. - М.:ИЦ РИОР, НИЦ ИНФРА-М,2025. - 602 с.(п)</t>
  </si>
  <si>
    <t>ФИЛОСОФИЯ ПРАВА, ИЗД.2</t>
  </si>
  <si>
    <t>978-5-369-01967-2</t>
  </si>
  <si>
    <t>641411.01.01</t>
  </si>
  <si>
    <t>Философия права: Уч. / А.Н.Халиков-М.:ИЦ РИОР, НИЦ ИНФРА-М,2017.-602 с.(П)</t>
  </si>
  <si>
    <t>978-5-369-01649-7</t>
  </si>
  <si>
    <t>774604.04.01</t>
  </si>
  <si>
    <t>Философия права: Уч. / Г.С.Працко - М.:ИЦ РИОР, НИЦ ИНФРА-М,2024 - 424 с.(ВО)(П)</t>
  </si>
  <si>
    <t>978-5-369-01898-9</t>
  </si>
  <si>
    <t>38.04.09, 40.04.01, 40.05.01, 41.04.04, 47.04.01</t>
  </si>
  <si>
    <t>732738.04.01</t>
  </si>
  <si>
    <t>Философия права: Уч. / И.П.Малинова - М.:Юр.Норма, НИЦ ИНФРА-М,2025 - 192 с.(П)</t>
  </si>
  <si>
    <t>Малинова И.П.</t>
  </si>
  <si>
    <t>978-5-00156-054-8</t>
  </si>
  <si>
    <t>38.04.09, 40.03.01, 40.04.01, 40.05.01, 40.05.02, 40.05.03, 40.05.04</t>
  </si>
  <si>
    <t>200600.09.01</t>
  </si>
  <si>
    <t>Философия права: Уч. / Под ред. Данильяна О.Г. - 2 изд. - М.:НИЦ ИНФРА-М,2025 - 336 с.(ВО:Бакалавр.)(П)</t>
  </si>
  <si>
    <t>Данильян О. Г., Байрачная Л. Д., Дзебань А. П., Данильян О. Г.</t>
  </si>
  <si>
    <t>978-5-16-005527-5</t>
  </si>
  <si>
    <t>Рекомендовано в качестве учебника для студентов высших учебных заведений, обучающихся по направлению и специальности 40.03.01 «Юриспруденция»</t>
  </si>
  <si>
    <t>003563.23.01</t>
  </si>
  <si>
    <t>Философия права: Уч. для вузов / В.С. Нерсесянц-2 изд. -М.: Норма:  НИЦ ИНФРА-М, 2024 -848 с. (п)</t>
  </si>
  <si>
    <t>978-5-91768-028-6</t>
  </si>
  <si>
    <t>659133.05.01</t>
  </si>
  <si>
    <t>Философия права: Уч.пос.: Ч.1 / А.В.Попова - М.:НИЦ ИНФРА-М,2024 - 474 с.-(ВО: Магистр.)(П)</t>
  </si>
  <si>
    <t>978-5-16-014379-8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</si>
  <si>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18 от 25.11.2019)</t>
  </si>
  <si>
    <t>223600.06.01</t>
  </si>
  <si>
    <t>Философия рекламной деят.: Уч.пос. / Л.М.Дмитриева - М:Магистр:НИЦ ИНФРА-М,2022 -256с.(Магистратура) (о)</t>
  </si>
  <si>
    <t>ФИЛОСОФИЯ РЕКЛАМНОЙ ДЕЯТЕЛЬНОСТИ</t>
  </si>
  <si>
    <t>Дмитриева Л. М., Красноярова Д. К., Анашкина Н. А.</t>
  </si>
  <si>
    <t>978-5-9776-0281-5</t>
  </si>
  <si>
    <t>42.04.01</t>
  </si>
  <si>
    <t>426400.08.01</t>
  </si>
  <si>
    <t>Философия управления: Уч. пос. / В.К. Батурин. - М.: Вуз уч. М.: НИЦ ИНФРА-М, 2024. - 160 с. (о)</t>
  </si>
  <si>
    <t>ФИЛОСОФИЯ УПРАВЛЕНИЯ</t>
  </si>
  <si>
    <t>978-5-9558-0271-8</t>
  </si>
  <si>
    <t>38.03.01, 38.03.04, 47.03.01, 47.04.01</t>
  </si>
  <si>
    <t>798363.01.01</t>
  </si>
  <si>
    <t>Философия хозяйства. Нравственная экономика: Уч.пос. / Н.Г.Привалов - М.:НИЦ ИНФРА-М,2025. - 212 с.(ВО)(п)</t>
  </si>
  <si>
    <t>ФИЛОСОФИЯ ХОЗЯЙСТВА. НРАВСТВЕННАЯ ЭКОНОМИКА</t>
  </si>
  <si>
    <t>978-5-16-018260-5</t>
  </si>
  <si>
    <t>38.04.01, 38.06.01, 47.04.01, 47.06.01</t>
  </si>
  <si>
    <t>376400.05.01</t>
  </si>
  <si>
    <t>Философия экономики: Уч. пос. / И.Н.Тяпин - М.:Магистр, НИЦ ИНФРА-М,2025 - 304 с.(О)</t>
  </si>
  <si>
    <t>ФИЛОСОФИЯ ЭКОНОМИКИ</t>
  </si>
  <si>
    <t>Тяпин И.Н.</t>
  </si>
  <si>
    <t>978-5-9776-0370-6</t>
  </si>
  <si>
    <t>00.03.16, 00.04.17, 38.03.01, 38.04.01, 38.06.01</t>
  </si>
  <si>
    <t>Вологодский государственный университет</t>
  </si>
  <si>
    <t>485300.06.01</t>
  </si>
  <si>
    <t>Философия юридической науки: Уч.пос. /В.И.Пржиленский -М.:Юр.Норма, НИЦ ИНФРА-М,2024.-208 с.(О)</t>
  </si>
  <si>
    <t>ФИЛОСОФИЯ ЮРИДИЧЕСКОЙ НАУКИ</t>
  </si>
  <si>
    <t>978-5-91768-715-5</t>
  </si>
  <si>
    <t>255100.08.01</t>
  </si>
  <si>
    <t>Философия: введение в метафизику и онтология: Уч. / В.В. Миронов - М: ИНФРА-М, 2023. - 310 с. (ВО) (п)</t>
  </si>
  <si>
    <t>ФИЛОСОФИЯ: ВВЕДЕНИЕ В МЕТАФИЗИКУ И ОНТОЛОГИЯ</t>
  </si>
  <si>
    <t>Миронов В. В., Иванов А. В.</t>
  </si>
  <si>
    <t>978-5-16-009447-2</t>
  </si>
  <si>
    <t>00.03.11, 40.03.01, 44.03.01, 44.03.05</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</si>
  <si>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ВПО 47.03.01 (030100) «Философия»</t>
  </si>
  <si>
    <t>255200.08.01</t>
  </si>
  <si>
    <t>Философия: гносеология и аксиология: Уч. / В.В. Миронов - М.: НИЦ ИНФРА-М, 2025 - 335 с.(ВО: Бакалавр.) (п)</t>
  </si>
  <si>
    <t>ФИЛОСОФИЯ: ГНОСЕОЛОГИЯ И АКСИОЛОГИЯ</t>
  </si>
  <si>
    <t>978-5-16-009448-9</t>
  </si>
  <si>
    <t>654216.10.01</t>
  </si>
  <si>
    <t>Философия: Уч. / В.А.Канке - М.:НИЦ ИНФРА-М,2025 - 291 с.(ВО: Бакалавриат)(П)</t>
  </si>
  <si>
    <t>ФИЛОСОФИЯ</t>
  </si>
  <si>
    <t>978-5-16-012825-2</t>
  </si>
  <si>
    <t>00.03.11, 00.05.11, 01.03.01, 01.03.02, 01.03.03, 01.03.04, 01.05.01, 02.03.01, 02.03.02, 02.03.03, 03.03.02, 03.03.03, 04.03.01, 04.03.02, 05.03.01, 05.03.03, 05.03.04, 05.03.06, 06.03.01, 06.03.02, 07.03.01, 07.03.03, 08.03.01, 09.03.01, 09.03.02, 09.03.03, 09.03.04, 11.03.01, 11.03.02, 11.03.03, 11.03.04, 12.03.01, 12.03.02, 12.03.03, 12.03.04, 12.03.05, 13.03.02, 13.03.03, 14.03.01, 15.03.01, 15.03.03, 15.03.05, 15.03.06, 16.03.01, 16.03.02, 16.03.03, 17.03.01, 18.03.01, 18.03.02, 19.03.01, 19.03.02, 19.03.04, 20.03.01, 20.03.02, 21.03.01, 21.03.02, 21.03.03, 21.05.04, 22.03.01, 23.03.01, 23.03.02, 23.03.03, 24.03.01, 24.03.03, 24.03.04, 24.03.05, 25.03.01, 25.03.02, 25.03.04, 26.03.02, 27.03.01, 27.03.02, 27.03.04, 27.03.05, 28.03.01, 28.03.02, 29.03.01, 29.03.02, 29.03.03, 29.03.04, 29.03.05, 31.05.01, 31.05.02, 32.05.01, 33.05.01, 34.03.01, 35.03.01, 35.03.02, 35.03.03, 35.03.04, 35.03.05, 35.03.06, 35.03.08, 35.03.09, 35.03.10, 36.03.01, 36.03.02, 36.05.01, 37.03.01, 37.03.02, 37.05.01, 38.03.01, 38.03.02, 38.03.03, 38.03.04, 38.03.07, 39.03.02, 39.03.03, 40.03.01, 41.03.01, 41.03.03, 41.03.04, 41.03.05, 41.03.06, 42.03.01, 42.03.02, 42.03.03, 42.03.04, 43.03.01, 43.03.02, 43.03.03, 44.03.01, 44.03.03, 44.03.04, 44.03.05, 45.03.01, 45.03.02, 45.03.03, 45.03.04, 46.03.01, 46.03.02, 47.03.02, 49.03.02, 49.03.03, 50.03.01, 50.03.03, 50.03.04, 51.03.01, 51.03.02, 51.03.03, 51.03.04, 51.03.05, 51.03.06, 52.03.01, 52.03.02, 52.03.04, 52.03.05, 53.03.06, 54.03.01, 54.03.02, 54.03.03, 54.03.04, 54.05.05, 56.05.01</t>
  </si>
  <si>
    <t>Рекомендовано в качестве учебника для студентов высших учебных заведений, обучающихся по всем направлениям подготовки (квалификация (степень) «бакалавр»)</t>
  </si>
  <si>
    <t>057000.20.01</t>
  </si>
  <si>
    <t>Философия: Уч. / В.В.Миронов - М.:Юр.Норма, НИЦ ИНФРА-М,2025 - 928 с.(П)</t>
  </si>
  <si>
    <t>Миронов В.В.</t>
  </si>
  <si>
    <t>978-5-91768-691-2</t>
  </si>
  <si>
    <t>016774.24.01</t>
  </si>
  <si>
    <t>Философия: Уч. / В.Г. Кузнецов - М.: НИЦ ИНФРА-М, 2025. - 519 с. (ВО: Бакалавриат) (п)</t>
  </si>
  <si>
    <t>Кузнецов В. Г., Кузнецова И. Д., Момджян К. Х., Миронов В. В.</t>
  </si>
  <si>
    <t>978-5-16-003566-6</t>
  </si>
  <si>
    <t>00.03.11, 00.05.11, 38.03.01, 38.03.02, 38.03.03, 38.03.04, 38.03.05, 38.03.06, 38.03.07, 38.03.10, 38.05.01, 38.05.02</t>
  </si>
  <si>
    <t>734792.03.01</t>
  </si>
  <si>
    <t>Философия: Уч. / В.Е.Семенов и др. - М.:Юр.Норма, НИЦ ИНФРА-М,2024 - 336 с.(П)</t>
  </si>
  <si>
    <t>Семенов В.Е., Беляев М.А., Огородников А.Ю. и др.</t>
  </si>
  <si>
    <t>978-5-00156-064-7</t>
  </si>
  <si>
    <t>078350.11.01</t>
  </si>
  <si>
    <t>Философия: Уч. / И.З. Налетов. - М.: ИНФРА-М, 2023. - 400 с. (ВО) (п)</t>
  </si>
  <si>
    <t>Налетов И. З.</t>
  </si>
  <si>
    <t>978-5-16-002777-7</t>
  </si>
  <si>
    <t>00.03.11, 00.05.11, 40.03.01, 44.03.01, 44.03.05, 47.03.01, 47.04.01</t>
  </si>
  <si>
    <t>Допущено Мин. обр. и науки РФ в качестве учебника для студентов высших учебных заведений, обучающихся по направлениям подг. и  специальностям естественно-научного, технического, социально-гуманитарного профиля</t>
  </si>
  <si>
    <t>654154.09.01</t>
  </si>
  <si>
    <t>Философия: Уч. / И.И.Кальной, - 3 изд. - М :Вуз. уч., НИЦ ИНФРА-М,2024. - 384 с.(П)</t>
  </si>
  <si>
    <t>ФИЛОСОФИЯ, ИЗД.3</t>
  </si>
  <si>
    <t>Кальной И.И.</t>
  </si>
  <si>
    <t>978-5-9558-0552-8</t>
  </si>
  <si>
    <t>201400.09.01</t>
  </si>
  <si>
    <t>Философия: Уч. / О.Г.Данильян, - 2 изд.-М.:НИЦ ИНФРА-М,2024.-432 с.(ВО: Бакалавриат)(п)</t>
  </si>
  <si>
    <t>ФИЛОСОФИЯ, ИЗД.2</t>
  </si>
  <si>
    <t>978-5-16-005473-5</t>
  </si>
  <si>
    <t>745621.04.01</t>
  </si>
  <si>
    <t>Философия: Уч. / О.Ю.Рыбаков - М.:Юр.Норма, НИЦ ИНФРА-М,2023 - 536 с.(П)</t>
  </si>
  <si>
    <t>978-5-00156-100-2</t>
  </si>
  <si>
    <t>00.05.11, 40.05.01, 40.05.02, 40.05.03, 40.05.04</t>
  </si>
  <si>
    <t>753475.05.01</t>
  </si>
  <si>
    <t>Философия: Уч. / Под ред. Ореховской Н.А. - М.:НИЦ ИНФРА-М,2025 - 477 с.(ВО: Бакалавр.)(П)</t>
  </si>
  <si>
    <t>Ореховская Н.А.</t>
  </si>
  <si>
    <t>978-5-16-016813-5</t>
  </si>
  <si>
    <t>00.03.11, 00.05.11, 47.03.01</t>
  </si>
  <si>
    <t>745708.03.01</t>
  </si>
  <si>
    <t>Философия: Уч. / С.А.Нижников - М.:НИЦ ИНФРА-М,2025 - 461 с .- (ВО: Специалитет)(П)</t>
  </si>
  <si>
    <t>Нижников С.А.</t>
  </si>
  <si>
    <t>978-5-16-016551-6</t>
  </si>
  <si>
    <t>00.05.11, 38.05.01, 38.05.02, 40.05.01, 40.05.02, 40.05.03, 40.05.04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</si>
  <si>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специалитета  (протокол № 8 от 22.06.2020)</t>
  </si>
  <si>
    <t>183200.12.01</t>
  </si>
  <si>
    <t>Философия: Уч. / С.А.Нижников - М.:НИЦ ИНФРА-М,2025 - 461 с.(ВО: Бакалавриат)(п)</t>
  </si>
  <si>
    <t>978-5-16-005190-1</t>
  </si>
  <si>
    <t>Рекомендовано Научно-методическим Советом по философии Министерства образования и науки  России в качестве учебника по дисциплине "Философия" для студентов-бакалавров всех специальностей и направлений</t>
  </si>
  <si>
    <t>097900.11.01</t>
  </si>
  <si>
    <t>Философия: Уч. / Э.В. Островский. - М.: Вуз. уч.:  НИЦ Инфра-М, 2024. - 313с. (п)</t>
  </si>
  <si>
    <t>978-5-9558-0044-8</t>
  </si>
  <si>
    <t>Рекомендовано Мин. обр. и науки РФ в качестве учебника  для студентов вузов, обучающихся по нефилософским специальностям</t>
  </si>
  <si>
    <t>055660.15.01</t>
  </si>
  <si>
    <t>Философия: Уч. пос. / В.Э. Вечканов. - 2 изд. - М.: ИЦ РИОР:НИЦ Инфра-М,2024-136с.(ВПО: Бакалавр.) (о)</t>
  </si>
  <si>
    <t>Вечканов В. Э., Лучков Н. А.</t>
  </si>
  <si>
    <t>978-5-369-01070-9</t>
  </si>
  <si>
    <t>665095.06.01</t>
  </si>
  <si>
    <t>Философия: Уч.пос. / А.В.Климович - 2 изд. -  М.:НИЦ ИНФРА-М,2023 - 162 с.-(ВО: Бакалавр.)(П)</t>
  </si>
  <si>
    <t>Климович А.В., Степанович В.А.</t>
  </si>
  <si>
    <t>978-5-16-013261-7</t>
  </si>
  <si>
    <t>183700.13.01</t>
  </si>
  <si>
    <t>Философия: Уч.пос. / А.Т.Свергузов - 2 изд. - М.:НИЦ ИНФРА-М,2024 - 180 с.(ВО: Бакалавр.)(П)</t>
  </si>
  <si>
    <t>Свергузов А. Т.</t>
  </si>
  <si>
    <t>978-5-16-011951-9</t>
  </si>
  <si>
    <t>Рекомендовано в качестве учебного пособия для студентов высших учебных заведений, обучающихся по инженерным и естественно-научным направлениям подготовки (квалификация (степень) «бакалавр»)</t>
  </si>
  <si>
    <t>183700.14.01</t>
  </si>
  <si>
    <t>Философия: Уч.пос. / А.Т.Свергузов - 2 изд. - М.:НИЦ ИНФРА-М,2025 - 180 с.(ВО: Бакалавр.)(П)</t>
  </si>
  <si>
    <t>642173.05.01</t>
  </si>
  <si>
    <t>Философия: Уч.пос. / И.А.Карпенко - М.:НИЦ ИНФРА-М,2023 - 190 с.-(ВО: Бакалавриат)(П)</t>
  </si>
  <si>
    <t>Карпенко И.А.</t>
  </si>
  <si>
    <t>978-5-16-013644-8</t>
  </si>
  <si>
    <t>Рекомендовано Учебно-методическим советом ВО в качестве учебного пособия для студентов высших учебных заведений, обучающихся  по гуманитарным и техническим направлениям подготовки (квалификация (степень) «бакалавр»)</t>
  </si>
  <si>
    <t>412200.09.01</t>
  </si>
  <si>
    <t>Философия: Уч.пос. / Под ред. Руденко А.М.-М.:НИЦ ИНФРА-М,2021.-304 с.(ВО: Бакалавр.)(П)</t>
  </si>
  <si>
    <t>Руденко А. М., Самыгин С. И., Положенкова Е. Ю., Руденко А. М.</t>
  </si>
  <si>
    <t>978-5-16-006199-3</t>
  </si>
  <si>
    <t>646402.04.01</t>
  </si>
  <si>
    <t>Философская антропология: Уч. пос./ Л.Е.Моторина - 3 изд. - М.:НИЦ ИНФРА-М,2024-236с.(ВО)(п)</t>
  </si>
  <si>
    <t>ФИЛОСОФСКАЯ АНТРОПОЛОГИЯ, ИЗД.3</t>
  </si>
  <si>
    <t>Моторина Л.Е.</t>
  </si>
  <si>
    <t>978-5-16-011764-5</t>
  </si>
  <si>
    <t>Рекомендовано Министерством образования и науки Российской Федерации в качестве учебного пособия для студентов высших учебных заведений</t>
  </si>
  <si>
    <t>657623.02.01</t>
  </si>
  <si>
    <t>Философско-мистические традиции мира: Моногр. / Н.С.Жиртуева - М.:Вуз.уч., НИЦ ИНФРА-М,2018- 274с(О)</t>
  </si>
  <si>
    <t>ФИЛОСОФСКО-МИСТИЧЕСКИЕ ТРАДИЦИИ МИРА</t>
  </si>
  <si>
    <t>Жиртуева Н.С.</t>
  </si>
  <si>
    <t>978-5-9558-0574-0</t>
  </si>
  <si>
    <t>37.03.01, 40.03.01, 44.03.01, 44.03.05, 46.03.01, 47.03.01, 47.03.03, 47.04.01, 47.04.03, 48.03.01, 51.03.01, 51.03.04, 54.03.04</t>
  </si>
  <si>
    <t>430450.06.01</t>
  </si>
  <si>
    <t>Финансирование инноваций: Уч. пос./Т.Ю.Трифоненкова - М.: НИЦ ИНФРА-М, 2023-141с.(ВО: Бакалавриат) (о)</t>
  </si>
  <si>
    <t>ФИНАНСИРОВАНИЕ ИННОВАЦИЙ</t>
  </si>
  <si>
    <t>Трифоненкова Т. Ю.</t>
  </si>
  <si>
    <t>978-5-16-006652-3</t>
  </si>
  <si>
    <t>22.04.02, 27.03.05, 27.04.05, 27.04.07, 38.03.01, 38.03.02, 38.04.01, 38.04.02, 38.04.08, 41.03.06, 44.03.01</t>
  </si>
  <si>
    <t>656776.01.01</t>
  </si>
  <si>
    <t>Финансовая безопасность компании:Уч. / Н.А.Казакова-М.:НИЦ ИНФРА-М,2024.-316 с.(ВО: Магистр.)(п)</t>
  </si>
  <si>
    <t>ФИНАНСОВАЯ БЕЗОПАСНОСТЬ КОМПАНИИ</t>
  </si>
  <si>
    <t>978-5-16-018068-7</t>
  </si>
  <si>
    <t>776701.04.01</t>
  </si>
  <si>
    <t>Финансовая грамотность: Уч.пос. / А.Ю.Баранова - М.:НИЦ ИНФРА-М,2025. - 225 с.(ВО)(п)</t>
  </si>
  <si>
    <t>ФИНАНСОВАЯ ГРАМОТНОСТЬ</t>
  </si>
  <si>
    <t>Баранова А.Ю.</t>
  </si>
  <si>
    <t>978-5-16-017667-3</t>
  </si>
  <si>
    <t>441350.07.01</t>
  </si>
  <si>
    <t>Финансовая математика: Уч.пос. / А.С.Чуйко-М.:НИЦ ИНФРА-М,2024-160с.(ВО: Бакалавриат)(П)</t>
  </si>
  <si>
    <t>ФИНАНСОВАЯ МАТЕМАТИКА</t>
  </si>
  <si>
    <t>Чуйко А. С., Шершнев В. Г.</t>
  </si>
  <si>
    <t>978-5-16-015641-5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</si>
  <si>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11 от 11.06.2019)</t>
  </si>
  <si>
    <t>457750.10.01</t>
  </si>
  <si>
    <t>Финансовая математика: Уч.пос. для магистров / П.Н.Брусов - М.:НИЦ ИНФРА-М,2025. - 481 с.(ВО: Магистр.)(П)</t>
  </si>
  <si>
    <t>Брусов П. Н., Филатова Т. В.</t>
  </si>
  <si>
    <t>978-5-16-005134-5</t>
  </si>
  <si>
    <t>01.04.02, 09.04.03, 25.04.03, 38.03.01, 38.03.02, 38.04.01, 38.04.05, 38.04.06, 38.04.08</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</si>
  <si>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направлениям «Экономика», «Финансы и кредит» (степень — магистр)</t>
  </si>
  <si>
    <t>142800.11.01</t>
  </si>
  <si>
    <t>Финансовая среда предпринимательства ...: Уч. / Н.А.Казакова, - 2 изд.-М.:НИЦ ИНФРА-М,2024.-258 с.(ВО)(п)</t>
  </si>
  <si>
    <t>ФИНАНСОВАЯ СРЕДА ПРЕДПРИНИМАТЕЛЬСТВА И ПРЕДПРИНИМАТЕЛЬСКИЕ РИСКИ</t>
  </si>
  <si>
    <t>978-5-16-018380-0</t>
  </si>
  <si>
    <t>38.03.01, 38.03.02, 38.04.01, 38.04.02, 38.04.06, 38.04.08, 38.05.01</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</si>
  <si>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направлениям подготовки «Экономика» и «Менеджмент»</t>
  </si>
  <si>
    <t>649058.03.01</t>
  </si>
  <si>
    <t>Финансовая статистика: практикум: Уч.пос. / Е.С.Пожидаева-М.:НИЦ ИНФРА-М,2023.-193 с.(ВО)(п)</t>
  </si>
  <si>
    <t>ФИНАНСОВАЯ СТАТИСТИКА: ПРАКТИКУМ</t>
  </si>
  <si>
    <t>Пожидаева Е.С.</t>
  </si>
  <si>
    <t>978-5-16-012699-9</t>
  </si>
  <si>
    <t>38.03.02, 38.04.08</t>
  </si>
  <si>
    <t>682886.03.01</t>
  </si>
  <si>
    <t>Финансовая устойчивость банка: Уч.пос. / В.В.Софронова, - 3 изд.-М.:НИЦ ИНФРА-М,2023-272 с.(ВО)(П)</t>
  </si>
  <si>
    <t>ФИНАНСОВАЯ УСТОЙЧИВОСТЬ БАНКА, ИЗД.3</t>
  </si>
  <si>
    <t>Софронова В.В.</t>
  </si>
  <si>
    <t>978-5-16-014446-7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</si>
  <si>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12 от  24.06.2019)</t>
  </si>
  <si>
    <t>Национальный исследовательский университет "Высшая школа экономики", ф-л Нижний Новгород</t>
  </si>
  <si>
    <t>720470.05.01</t>
  </si>
  <si>
    <t>Финансовое планир. и бюджетирование: Уч.пос. / Незамайкин В.Н. - 2 изд.-М.:НИЦ ИНФРА-М,2023.-112с(О)</t>
  </si>
  <si>
    <t>ФИНАНСОВОЕ ПЛАНИРОВАНИЕ И БЮДЖЕТИРОВАНИЕ, ИЗД.2</t>
  </si>
  <si>
    <t>Незамайкин В.Н., Платонова Н.А., Поморцева И.М. и др.</t>
  </si>
  <si>
    <t>978-5-16-015705-4</t>
  </si>
  <si>
    <t>720470.07.01</t>
  </si>
  <si>
    <t>Финансовое планир. и бюджетирование: Уч.пос. / Незамайкин В.Н. - 3 изд. - М.:НИЦ ИНФРА-М,2025. - 121 с.(СПО)(о)</t>
  </si>
  <si>
    <t>ФИНАНСОВОЕ ПЛАНИРОВАНИЕ И БЮДЖЕТИРОВАНИЕ, ИЗД.3</t>
  </si>
  <si>
    <t>978-5-16-020827-5</t>
  </si>
  <si>
    <t>261000.08.01</t>
  </si>
  <si>
    <t>Финансовое планирование и бюджет.: Уч.пос. / Под ред.Незамайкина В.Н. - 2 изд.-М.:НИЦ ИНФРА-М,2024-112с(П)</t>
  </si>
  <si>
    <t>978-5-16-015981-2</t>
  </si>
  <si>
    <t>23.03.01, 38.04.02, 38.04.08, 44.03.05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</si>
  <si>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6 от 25.03.2019)</t>
  </si>
  <si>
    <t>261000.09.01</t>
  </si>
  <si>
    <t>Финансовое планирование и бюджет.: Уч.пос./ В.Н.Незамайкин - 3 изд. - М.:НИЦ ИНФРА-М,2024. - 121 с.(ВО)(п)</t>
  </si>
  <si>
    <t>Незамайкин В.Н., Платонова Н.А., Юрзинова И.Л. и др.</t>
  </si>
  <si>
    <t>978-5-16-019725-8</t>
  </si>
  <si>
    <t>261000.03.01</t>
  </si>
  <si>
    <t>Финансовое планирование и бюджетирование: Уч.пос./Незамайкин В.Н.-М.:Вуз.уч.,НИЦ ИНФРА-М,2018-96с(О)</t>
  </si>
  <si>
    <t>ФИНАНСОВОЕ ПЛАНИРОВАНИЕ И БЮДЖЕТИРОВАНИЕ</t>
  </si>
  <si>
    <t>Незамайкин В.Н., Платонова Н.А., Федоров Я.П. и др.</t>
  </si>
  <si>
    <t>978-5-9558-0487-3</t>
  </si>
  <si>
    <t>052000.16.01</t>
  </si>
  <si>
    <t>Финансовое право России: Уч. / Ю.А.Крохина - 6 изд. - М.:Юр.Норма, НИЦ ИНФРА-М,2023 - 504 с.(п)</t>
  </si>
  <si>
    <t>ФИНАНСОВОЕ ПРАВО РОССИИ, ИЗД.6</t>
  </si>
  <si>
    <t>Крохина Ю. А.</t>
  </si>
  <si>
    <t>978-5-00156-069-2</t>
  </si>
  <si>
    <t>0620</t>
  </si>
  <si>
    <t>052000.09.01</t>
  </si>
  <si>
    <t>Финансовое право России: Уч. / Ю.А.Крохина, - 5-е изд.-М.:Юр.Норма, НИЦ ИНФРА-М,2016.-624 с.(п)</t>
  </si>
  <si>
    <t>ФИНАНСОВОЕ ПРАВО РОССИИ, ИЗД.5</t>
  </si>
  <si>
    <t>Крохина Ю.А.</t>
  </si>
  <si>
    <t>978-5-91768-530-4</t>
  </si>
  <si>
    <t>052000.18.01</t>
  </si>
  <si>
    <t>Финансовое право России: Уч. / Ю.А.Крохина, - 7 изд. - М.:Юр. НОРМА, НИЦ ИНФРА-М,2025. - 568 с.(п)</t>
  </si>
  <si>
    <t>ФИНАНСОВОЕ ПРАВО РОССИИ, ИЗД.7</t>
  </si>
  <si>
    <t>978-5-00156-348-8</t>
  </si>
  <si>
    <t>029982.15.01</t>
  </si>
  <si>
    <t>Финансовое право: Уч. / Е.Ю.Грачева - 5 изд. - М.:Норма: НИЦ Инфра-М, 2023-272с(Ab ovo)(П) (СПО)</t>
  </si>
  <si>
    <t>ФИНАНСОВОЕ ПРАВО, ИЗД.5</t>
  </si>
  <si>
    <t>Грачева Е. Ю., Соколова Э. Д.</t>
  </si>
  <si>
    <t>978-5-91768-952-4</t>
  </si>
  <si>
    <t>029982.17.01</t>
  </si>
  <si>
    <t>Финансовое право: Уч. / Е.Ю.Грачева - 6 изд. - М.:Норма: НИЦ Инфра-М, 2025 - 256 с.(Ab ovo)(П) (СПО)</t>
  </si>
  <si>
    <t>ФИНАНСОВОЕ ПРАВО, ИЗД.6</t>
  </si>
  <si>
    <t>978-5-00156-319-8</t>
  </si>
  <si>
    <t>0623</t>
  </si>
  <si>
    <t>088600.17.01</t>
  </si>
  <si>
    <t>Финансовое право: Уч. / Н.И.Химичева - 6 изд. - М.:Юр.Норма,НИЦ ИНФРА-М,2025 - 800 с.(П)</t>
  </si>
  <si>
    <t>Покачалова Е.В., Химичева Н.И., Смирнов Д.А. и др.</t>
  </si>
  <si>
    <t>978-5-91768-837-4</t>
  </si>
  <si>
    <t>Допущено Министерством образования РФ в качестве учебного пособия  для студентов вузов, обучающихся по специальности 021100 "Юриспруденция"</t>
  </si>
  <si>
    <t>Саратовская государственная юридическая академия, Юридический институт правового администрирования</t>
  </si>
  <si>
    <t>347400.08.01</t>
  </si>
  <si>
    <t>Финансовое право: Уч. пос. / А.А.Мусаткина - М.:ИЦ РИОР, НИЦ ИНФРА-М,2022. - 176 с.(П)</t>
  </si>
  <si>
    <t>ФИНАНСОВОЕ ПРАВО</t>
  </si>
  <si>
    <t>Мусаткина А.А., Чуклова Е.В.</t>
  </si>
  <si>
    <t>978-5-369-01440-0</t>
  </si>
  <si>
    <t>Рекомендовано учебно-методическим советом ФБГОУ ВПО ТГУ в качестве учебного пособия по юридическим и экономическим направлениям подготовки бакалавриата и специалитета</t>
  </si>
  <si>
    <t>046270.14.01</t>
  </si>
  <si>
    <t>Финансовое право: Уч. пос./ Е.И. Майорова - 4 изд. - М.: ИД ФОРУМ:  НИЦ ИНФРА-М, 2020. - 288 с. (ПО)</t>
  </si>
  <si>
    <t>ФИНАНСОВОЕ ПРАВО, ИЗД.4</t>
  </si>
  <si>
    <t>Майорова Е. И., Хроленкова Л. В.</t>
  </si>
  <si>
    <t>978-5-8199-0621-7</t>
  </si>
  <si>
    <t>38.02.06, 38.02.07, 40.02.04</t>
  </si>
  <si>
    <t>Допущено Министерством образования и науки Российской Федерации в качестве учебного пособия для студентов учебных заведений среднего профессионального образования, обучающихся по специальностям правоеедческого профиля</t>
  </si>
  <si>
    <t>083830.06.01</t>
  </si>
  <si>
    <t>Финансовое право: Уч.пос. / И.В.Рукавишникова, - 3 изд. - М.:НОРМА,2025. - 648 с.(П)</t>
  </si>
  <si>
    <t>ФИНАНСОВОЕ ПРАВО, ИЗД.3</t>
  </si>
  <si>
    <t>Рукавишникова И. В.</t>
  </si>
  <si>
    <t>978-5-00156-074-6</t>
  </si>
  <si>
    <t>256600.07.01</t>
  </si>
  <si>
    <t>Финансовое упр. реальными инвестиц. организ.: Уч. пос. / М.В.Чараева - Альфа-М: ИНФРА-М,2025 - 240 с. (п)</t>
  </si>
  <si>
    <t>ФИНАНСОВОЕ УПРАВЛЕНИЕ РЕАЛЬНЫМИ ИНВЕСТИЦИЯМИ ОРГАНИЗАЦИЙ</t>
  </si>
  <si>
    <t>Чараева М. В.</t>
  </si>
  <si>
    <t>978-5-98281-382-4</t>
  </si>
  <si>
    <t>38.00.00, 25.04.04</t>
  </si>
  <si>
    <t>178500.11.01</t>
  </si>
  <si>
    <t>Финансово-эконом.анализ хоз.деят...: Уч.пос. / И.Т.Абдукаримов - М.:НИЦ ИНФРА-М,2025 - 320 с.(ВО:Бакалавр.)</t>
  </si>
  <si>
    <t>ФИНАНСОВО-ЭКОНОМИЧЕСКИЙ АНАЛИЗ ХОЗЯЙСТВЕННОЙ ДЕЯТЕЛЬНОСТИ КОММЕРЧЕСКИХ ОРГАНИЗАЦИЙ (АНАЛИЗ ДЕЛОВОЙ АКТИВНОСТИ)</t>
  </si>
  <si>
    <t>978-5-16-005165-9</t>
  </si>
  <si>
    <t>Рекомендовано в качестве учебного пособия для студентов высших учебных заведений, обучающихся по.направлению подготовки 38.03.01 «Экономика»</t>
  </si>
  <si>
    <t>776748.01.01</t>
  </si>
  <si>
    <t>Финансово-экономич. планир. в секторе гос...: Уч.пос. / О.А.Братухина - М.:НИЦ ИНФРА-М,2025. - 473 с.(СПО)(п)</t>
  </si>
  <si>
    <t>ФИНАНСОВО-ЭКОНОМИЧЕСКОЕ ПЛАНИРОВАНИЕ В СЕКТОРЕ ГОСУДАРСТВЕННОГО И МУНИЦИПАЛЬНОГО УПРАВЛЕНИЯ И ОРГАНИЗАЦИИ ИСПОЛНЕНИЯ БЮДЖЕТОВ БЮДЖЕТНОЙ СИСТЕМЫ РОССИЙ</t>
  </si>
  <si>
    <t>Братухина О.А.</t>
  </si>
  <si>
    <t>978-5-16-018628-3</t>
  </si>
  <si>
    <t>38.02.06</t>
  </si>
  <si>
    <t>Тюменский колледж экономики, управления и права</t>
  </si>
  <si>
    <t>034100.18.01</t>
  </si>
  <si>
    <t>Финансовые вычисления.Теор.и практ.: Уч.-справ.пос. /Я.С.Мелкумов -2 изд. -М.:НИЦ ИНФРА-М, 2024-408с(П)</t>
  </si>
  <si>
    <t>ФИНАНСОВЫЕ ВЫЧИСЛЕНИЯ. ТЕОРИЯ И ПРАКТИКА, ИЗД.2</t>
  </si>
  <si>
    <t>Мелкумов Я.С.</t>
  </si>
  <si>
    <t>978-5-16-005751-4</t>
  </si>
  <si>
    <t>23.03.01, 25.04.03, 25.04.04, 27.04.07, 38.03.01, 38.03.02, 38.03.03, 38.03.04, 38.03.05, 38.03.06, 38.04.01, 38.04.02, 38.04.04, 38.04.05, 38.04.07, 38.04.08, 38.04.09, 38.05.01, 41.03.06, 44.03.01, 44.03.05</t>
  </si>
  <si>
    <t>672596.05.01</t>
  </si>
  <si>
    <t>Финансовые и денежно-кредит. методы регулир...: Уч.пос. / Н.Н.Семенова.-М.:ИЦ РИОР, НИЦ ИНФРА-М,2023.-267 с(п)</t>
  </si>
  <si>
    <t>ФИНАНСОВЫЕ И ДЕНЕЖНО-КРЕДИТНЫЕ МЕТОДЫ РЕГУЛИРОВАНИЯ ЭКОНОМИКИ</t>
  </si>
  <si>
    <t>Семенова Н.Н., Еремина О.И., Филичкина Ю.Ю.</t>
  </si>
  <si>
    <t>978-5-369-01739-5</t>
  </si>
  <si>
    <t>38.03.01, 38.04.08, 44.03.01</t>
  </si>
  <si>
    <t>654709.03.01</t>
  </si>
  <si>
    <t>Финансовые операции гос. и муниц. органов власти: Уч.пос. / А.Ю.Баранова-М.:НИЦ ИНФРА-М,2020-135с(П)</t>
  </si>
  <si>
    <t>ФИНАНСОВЫЕ ОПЕРАЦИИ ГОСУДАРСТВЕННЫХ И МУНИЦИПАЛЬНЫХ ОРГАНОВ ВЛАСТИ</t>
  </si>
  <si>
    <t>978-5-16-013126-9</t>
  </si>
  <si>
    <t>712983.01.01</t>
  </si>
  <si>
    <t>Финансовые операции гос. и муницип. орг. власти: Уч.пос. / А.Ю.Баранова-М.:НИЦ ИНФРА-М,2019-135с(П)</t>
  </si>
  <si>
    <t>978-5-16-015396-4</t>
  </si>
  <si>
    <t>475200.09.01</t>
  </si>
  <si>
    <t>Финансовые рынки и институты: Уч.пос. / В.П.Чижик - М.:Форум, НИЦ ИНФРА-М,2025 - 384 с. - (ВО:Бакалавр.)(П)</t>
  </si>
  <si>
    <t>ФИНАНСОВЫЕ РЫНКИ И ИНСТИТУТЫ</t>
  </si>
  <si>
    <t>Чижик В.П.</t>
  </si>
  <si>
    <t>978-5-00091-452-6</t>
  </si>
  <si>
    <t>38.03.02, 38.04.08, 41.03.06, 44.03.01</t>
  </si>
  <si>
    <t>681676.04.01</t>
  </si>
  <si>
    <t>Финансовые рынки. Практикум: Уч.пос. / М.Ю.Евсин - М.:НИЦ ИНФРА-М,2023 - 168 с.(ВО)(П)</t>
  </si>
  <si>
    <t>ФИНАНСОВЫЕ РЫНКИ. ПРАКТИКУМ</t>
  </si>
  <si>
    <t>Евсин М.Ю., Спесивцев В.А.</t>
  </si>
  <si>
    <t>978-5-16-018720-4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</si>
  <si>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2 от 03.02.2020)</t>
  </si>
  <si>
    <t>Финансовый университет при Правительстве Российской Федерации, Липецкий ф-л</t>
  </si>
  <si>
    <t>167400.08.01</t>
  </si>
  <si>
    <t>Финансовые рынки: проф. деят. на..: Уч. пос. / Б.В.Сребник - ИНФРА-М,2022-366с(ВО)(п)</t>
  </si>
  <si>
    <t>ФИНАНСОВЫЕ РЫНКИ: ПРОФЕССИОНАЛЬНАЯ ДЕЯТЕЛЬНОСТЬ НА РЫНКЕ ЦЕННЫХ БУМАГ</t>
  </si>
  <si>
    <t>Сребник Б.В., Вилкова Т.Б.</t>
  </si>
  <si>
    <t>978-5-16-005029-4</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</si>
  <si>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(профиль "Финансы и кредит")</t>
  </si>
  <si>
    <t>682364.03.01</t>
  </si>
  <si>
    <t>Финансовые рынки: Уч.пос. / М.Ю.Евсин-М.:НИЦ ИНФРА-М,2024.-245 с.(ВО)(п)</t>
  </si>
  <si>
    <t>ФИНАНСОВЫЕ РЫНКИ</t>
  </si>
  <si>
    <t>978-5-16-019253-6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</si>
  <si>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4 от 02.03.2020)</t>
  </si>
  <si>
    <t>800813.01.01</t>
  </si>
  <si>
    <t>Финансовые стратегии и инструменты: Уч. / Е.Н.Елисеева. - М.:НИЦ ИНФРА-М,2025. - 208 с.(ВО)(п)</t>
  </si>
  <si>
    <t>ФИНАНСОВЫЕ СТРАТЕГИИ И ИНСТРУМЕНТЫ</t>
  </si>
  <si>
    <t>Елисеева Е.Н., Шипкова О.Т., Кузьмина А.А. и др.</t>
  </si>
  <si>
    <t>978-5-16-019537-7</t>
  </si>
  <si>
    <t>27.04.07, 38.03.02, 38.04.01, 38.04.08</t>
  </si>
  <si>
    <t>417550.06.01</t>
  </si>
  <si>
    <t>Финансовые технологии в маркетинге: Уч.пос. / Т.И.Урясьева-М.:Вуз. уч., НИЦ ИНФРА-М,2024.-200 с.(П)</t>
  </si>
  <si>
    <t>ФИНАНСОВЫЕ ТЕХНОЛОГИИ В МАРКЕТИНГЕ</t>
  </si>
  <si>
    <t>978-5-9558-0296-1</t>
  </si>
  <si>
    <t>38.03.02, 38.04.01, 38.04.02, 38.04.08</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</si>
  <si>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100700.68 «Торговое дело», по магистерск</t>
  </si>
  <si>
    <t>452300.09.01</t>
  </si>
  <si>
    <t>Финансовый анализ деят. орг.: Уч. / Н.С.Пласкова, - 3 изд.-М.:НИЦ ИНФРА-М,2023.-372 с.(ВО)(п)</t>
  </si>
  <si>
    <t>ФИНАНСОВЫЙ АНАЛИЗ ДЕЯТЕЛЬНОСТИ ОРГАНИЗАЦИИ, ИЗД.3</t>
  </si>
  <si>
    <t>978-5-16-018324-4</t>
  </si>
  <si>
    <t>452300.08.01</t>
  </si>
  <si>
    <t>Финансовый анализ деятельности организации: Уч. / Н.С.Пласкова - 2 изд. - М.:НИЦ ИНФРА-М,2022 - 368с(ВО)(П)</t>
  </si>
  <si>
    <t>ФИНАНСОВЫЙ АНАЛИЗ ДЕЯТЕЛЬНОСТИ ОРГАНИЗАЦИИ, ИЗД.2</t>
  </si>
  <si>
    <t>978-5-16-014839-7</t>
  </si>
  <si>
    <t>452300.05.01</t>
  </si>
  <si>
    <t>Финансовый анализ деятельности организации: Уч. / Н.С.Пласкова-М.:Вуз.уч.,НИЦ ИНФРА-М,2019-368с(П)</t>
  </si>
  <si>
    <t>ФИНАНСОВЫЙ АНАЛИЗ ДЕЯТЕЛЬНОСТИ ОРГАНИЗАЦИИ</t>
  </si>
  <si>
    <t>978-5-9558-0472-9</t>
  </si>
  <si>
    <t>800189.01.01</t>
  </si>
  <si>
    <t>Финансовый анализ и управление (на рус. и англ. яз.): Уч. / Е.Н.Выборова-М.:НИЦ ИНФРА-М,2024.-362 с.(ВО)(п)</t>
  </si>
  <si>
    <t>ФИНАНСОВЫЙ АНАЛИЗ И УПРАВЛЕНИЕ (НА РУССКОМ И АНГЛИЙСКОМ ЯЗЫКАХ)</t>
  </si>
  <si>
    <t>Выборова Е.Н.</t>
  </si>
  <si>
    <t>978-5-16-018321-3</t>
  </si>
  <si>
    <t>38.03.02, 38.04.01, 38.04.02, 38.04.04, 38.04.06, 38.04.08, 38.04.09, 38.05.01</t>
  </si>
  <si>
    <t>795897.01.01</t>
  </si>
  <si>
    <t>Финансовый анализ и финансовое моделирование: Уч.пос.-М.:НИЦ ИНФРА-М,2023.-90 с.(ВО (СФУ))(о)</t>
  </si>
  <si>
    <t>ФИНАНСОВЫЙ АНАЛИЗ И ФИНАНСОВОЕ МОДЕЛИРОВАНИЕ</t>
  </si>
  <si>
    <t>Шнюкова Е.А.</t>
  </si>
  <si>
    <t>978-5-16-018083-0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</si>
  <si>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38.04.08 «Финансы и кредит» (квалификация (степень) «магистр») (протокол № 6 от 08.06.2022)</t>
  </si>
  <si>
    <t>281400.09.01</t>
  </si>
  <si>
    <t>Финансовый анализ. Управ. финанс. операциями: Уч.пос. / Е.Б.Герасимова - М.:Форум:ИНФРА-М,2024-192 с(О)</t>
  </si>
  <si>
    <t>ФИНАНСОВЫЙ АНАЛИЗ. УПРАВЛЕНИЕ ФИНАНСОВЫМИ ОПЕРАЦИЯМИ</t>
  </si>
  <si>
    <t>Герасимова Е.Б., Редин Д.В.</t>
  </si>
  <si>
    <t>978-5-91134-890-8</t>
  </si>
  <si>
    <t>Рекомендовано Институтом экономики и управления Московского государственного машиностроительного университета (МАМИ) в качестве учебного пособия для студентов и бакалавров высших учебных заведений, обучающихся по направлениям «Экономика» и «Менеджмен</t>
  </si>
  <si>
    <t>467350.10.01</t>
  </si>
  <si>
    <t>Финансовый анализ: Уч.пос. / Л.М.Куприянова - М.:НИЦ ИНФРА-М,2022-157с.(ВО: Бакалавриат)(п)</t>
  </si>
  <si>
    <t>ФИНАНСОВЫЙ АНАЛИЗ</t>
  </si>
  <si>
    <t>Куприянова Л.М.</t>
  </si>
  <si>
    <t>978-5-16-016300-0</t>
  </si>
  <si>
    <t>741559.01.01</t>
  </si>
  <si>
    <t>Финансовый и банковский менеджмент: Уч. / Я.Ю.Радюкова.-М.:НИЦ ИНФРА-М,2023.-421 с.(СПО)(п)</t>
  </si>
  <si>
    <t>ФИНАНСОВЫЙ И БАНКОВСКИЙ МЕНЕДЖМЕНТ</t>
  </si>
  <si>
    <t>978-5-16-016825-8</t>
  </si>
  <si>
    <t>38.02.01, 38.02.06, 38.02.07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</si>
  <si>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38.02.06 «Финансы», 38.02.07 «Банковское дело» (протокол № 7 от 21.09.2022)</t>
  </si>
  <si>
    <t>468100.06.01</t>
  </si>
  <si>
    <t>Финансовый и управленческий учет и анализ: Уч. / П.И.Камышанов - М.:НИЦ ИНФРА-М,2024 - 592 с.(ВО)(П)</t>
  </si>
  <si>
    <t>ФИНАНСОВЫЙ И УПРАВЛЕНЧЕСКИЙ УЧЕТ И АНАЛИЗ</t>
  </si>
  <si>
    <t>Камышанов П.И., Камышанов А.П.</t>
  </si>
  <si>
    <t>978-5-16-019179-9</t>
  </si>
  <si>
    <t>Рекомендовано Учебно-методическим советом вузов России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</si>
  <si>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805079.01.01</t>
  </si>
  <si>
    <t>Финансовый контроллинг бизнес-процессов компании: Уч. / Н.А.Казакова -М.:НИЦ ИНФРА-М,2025.-235 с.(ВО (РЭУ))(п)</t>
  </si>
  <si>
    <t>ФИНАНСОВЫЙ КОНТРОЛЛИНГ БИЗНЕС-ПРОЦЕССОВ КОМПАНИИ</t>
  </si>
  <si>
    <t>Казакова Н.А., Ерохина Е.И., Чикурова С.С. и др.</t>
  </si>
  <si>
    <t>978-5-16-018713-6</t>
  </si>
  <si>
    <t>38.03.01, 38.03.02, 38.03.05, 38.04.01, 38.04.02, 38.04.05, 38.04.08</t>
  </si>
  <si>
    <t>646303.09.01</t>
  </si>
  <si>
    <t>Финансовый менеджмент в малом бизнесе: Уч. / Н.И.Морозко - 2 изд. - М.:НИЦ ИНФРА-М,2025. - 348 с.(ВО)(П)</t>
  </si>
  <si>
    <t>ФИНАНСОВЫЙ МЕНЕДЖМЕНТ В МАЛОМ БИЗНЕСЕ, ИЗД.2</t>
  </si>
  <si>
    <t>Морозко Н.И., Морозко Н.И., Диденко В.Ю.</t>
  </si>
  <si>
    <t>978-5-16-017587-4</t>
  </si>
  <si>
    <t>38.03.01, 38.03.02, 38.03.04, 38.03.06, 38.03.07, 38.04.02, 38.04.08, 38.04.09, 38.05.01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</si>
  <si>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2 от 09.02.2022)</t>
  </si>
  <si>
    <t>646303.04.01</t>
  </si>
  <si>
    <t>Финансовый менеджмент в малом бизнесе: Уч. / Н.И.Морозко-М.:НИЦ ИНФРА-М,2019-347с(ВО: Бакалавр.)(П)</t>
  </si>
  <si>
    <t>ФИНАНСОВЫЙ МЕНЕДЖМЕНТ В МАЛОМ БИЗНЕСЕ</t>
  </si>
  <si>
    <t>Морозко Н.И., Диденко В.Ю.</t>
  </si>
  <si>
    <t>978-5-16-013341-6</t>
  </si>
  <si>
    <t>262000.03.01</t>
  </si>
  <si>
    <t>Финансовый менеджмент. углубл. ур: Уч. / П.Н.Тесля-М.:ИЦ РИОР, НИЦ ИНФРА-М,2023.-217 с.(ВО)(О)</t>
  </si>
  <si>
    <t>ФИНАНСОВЫЙ МЕНЕДЖМЕНТ</t>
  </si>
  <si>
    <t>Тесля П.Н.</t>
  </si>
  <si>
    <t>978-5-369-01562-9</t>
  </si>
  <si>
    <t>036100.17.01</t>
  </si>
  <si>
    <t>Финансовый менеджмент: Уч. / Л.Е.Басовский-М.:НИЦ ИНФРА-М,2023.-240 с.(ВО: Бакалавриат)(п)</t>
  </si>
  <si>
    <t>978-5-16-006960-9</t>
  </si>
  <si>
    <t>23.03.01, 25.04.04, 38.03.01, 38.03.02, 38.03.03, 38.03.04, 38.03.05, 38.03.06, 38.03.07, 38.04.01, 38.04.02, 38.04.03, 38.04.04, 38.04.05, 38.04.06, 38.04.07, 38.04.08, 38.04.09, 38.05.01, 41.03.06, 44.03.01, 44.03.05</t>
  </si>
  <si>
    <t>203700.10.01</t>
  </si>
  <si>
    <t>Финансовый менеджмент: Уч. / Под ред. Екимова К.В., - 2 изд. - М.:НИЦ ИНФРА-М,2025. - 185 с.(ВО)(п)</t>
  </si>
  <si>
    <t>ФИНАНСОВЫЙ МЕНЕДЖМЕНТ, ИЗД.2</t>
  </si>
  <si>
    <t>Лисицына Е.В., Ващенко Т.В., Забродина М.В. и др.</t>
  </si>
  <si>
    <t>978-5-16-020759-9</t>
  </si>
  <si>
    <t>Рекомендовано советом Учебно-методического объединения вузов по образованию в области менеджмента в качестве учебника для студентов высших учебных заведений, обучающихся по направлению 38.03.02 «Менеджмент» (квалификация (степень) «бакалавр»)</t>
  </si>
  <si>
    <t>203700.07.01</t>
  </si>
  <si>
    <t>Финансовый менеджмент: Уч. / Под ред. Екимовой К.В. - М.:НИЦ ИНФРА-М,2021-184с.-(ВО: Бакалавриат)(П)</t>
  </si>
  <si>
    <t>Лисицына Е. В., Ващенко Т. В., Забродина М. В., Екимова К. В.</t>
  </si>
  <si>
    <t>978-5-16-006620-2</t>
  </si>
  <si>
    <t>376800.05.01</t>
  </si>
  <si>
    <t>Финансовый менеджмент: Уч. / С.А.Сироткин - М.:НИЦ ИНФРА-М,2025 - 294 с.(ВО:Бакалавр.)(п)</t>
  </si>
  <si>
    <t>СироткинС.А., КельчевскаяН.Р.</t>
  </si>
  <si>
    <t>978-5-16-011106-3</t>
  </si>
  <si>
    <t>25.04.04, 38.03.02, 41.03.06</t>
  </si>
  <si>
    <t>054800.13.01</t>
  </si>
  <si>
    <t>Финансовый менеджмент: Уч. пос. / М.В.Кудина - 2 изд. - М.: ИД ФОРУМ: НИЦ Инфра-М, 2024 - 256с. (ВО) (п)</t>
  </si>
  <si>
    <t>Кудина М. В.</t>
  </si>
  <si>
    <t>978-5-8199-0505-0</t>
  </si>
  <si>
    <t>Рекомендовано Ученым советом факультета государственного управления МГУ имени М. В. Ломоносова в качестве учебного пособия для студентов высших учебных заведений, обучающихся по группе специальностей экономического профиля</t>
  </si>
  <si>
    <t>347600.05.01</t>
  </si>
  <si>
    <t>Финансовый менеджмент: Уч. пос. / М.В.Чараева, - 3 изд. - М.:НИЦ ИНФРА-М,2025. - 248 с.-(ВО)(п)</t>
  </si>
  <si>
    <t>ФИНАНСОВЫЙ МЕНЕДЖМЕНТ, ИЗД.3</t>
  </si>
  <si>
    <t>978-5-16-019424-0</t>
  </si>
  <si>
    <t>426450.07.01</t>
  </si>
  <si>
    <t>Финансовый менеджмент: Уч. пос. / Н.И. Морозко - М.: НИЦ ИНФРА-М, 2023-224с.(ВО: Бакалавр.) (п)</t>
  </si>
  <si>
    <t>Морозко Н. И., Диденко И. Ю.</t>
  </si>
  <si>
    <t>978-5-16-005786-6</t>
  </si>
  <si>
    <t>38.03.01, 38.03.02, 38.04.01, 38.04.02, 38.04.04, 38.04.08, 41.03.06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</si>
  <si>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080200.62 «Менеджмент», 080100.62 «Экономика» (квалификация</t>
  </si>
  <si>
    <t>347600.04.01</t>
  </si>
  <si>
    <t>Финансовый менеджмент: Уч. пос. /М.В. Чараева, -2 изд. -М.: НИЦ ИНФРА-М, 2023 -240 с. (ВО:Бакалавр.) (п)</t>
  </si>
  <si>
    <t>978-5-16-010828-5</t>
  </si>
  <si>
    <t>Рекомендовано в качестве учебного пособия для студентов высших учебных заведений, обучающихся по направлению подготовки 38.03.01 «Экономика», 38.03.02 «Менеджмент», 41.03.06 «Публичная политика и социальные науки»</t>
  </si>
  <si>
    <t>640488.03.01</t>
  </si>
  <si>
    <t>Финансовый менеджмент: Уч.пос. / П.А.Левчаев-М.:НИЦ ИНФРА-М,2023.-247 с.(ВО: Магистр.)(п)</t>
  </si>
  <si>
    <t>978-5-16-012755-2</t>
  </si>
  <si>
    <t>38.03.01, 38.03.06, 38.03.07, 38.04.01, 38.04.02, 38.04.06, 38.04.07, 38.04.08, 38.04.09, 38.05.01</t>
  </si>
  <si>
    <t>118400.10.01</t>
  </si>
  <si>
    <t>Финансовый менеджмент: Уч.пос. / Т.В.Филатова - М.:НИЦ ИНФРА-М,2024-236с.(ВО: Бакалавр.)(П)</t>
  </si>
  <si>
    <t>Филатова Т. В.</t>
  </si>
  <si>
    <t>978-5-16-012500-8</t>
  </si>
  <si>
    <t>Рекомендовано УМО по образованию в области финансов, учета и мировой экономики в качестве учебного пособия для студентов вузов, обучающихся по направлению подготовки 38.03.01 "Экономика"</t>
  </si>
  <si>
    <t>657634.02.01</t>
  </si>
  <si>
    <t>Финансовый механизм распред.расход.рег.и муниц.бюдж. / В.В.Карпова.-М.:Вуз.уч.,НИЦ ИНФРА-М,2018-188с</t>
  </si>
  <si>
    <t>ФИНАНСОВЫЙ МЕХАНИЗМ РАСПРЕДЕЛЕНИЯ РАСХОДОВ РЕГИОНАЛЬНЫХ И МУНИЦИПАЛЬНЫХ БЮДЖЕТОВ</t>
  </si>
  <si>
    <t>Карпова В.В., Карпова Т.П., Ремжов А.В.</t>
  </si>
  <si>
    <t>978-5-9558-0570-2</t>
  </si>
  <si>
    <t>678845.03.01</t>
  </si>
  <si>
    <t>Финансовый надзор в нац платежной сис. РФ. Уч.пос.: Уч.пос. / А.А.Ситник - 2 изд.-М.:Юр.Норма, НИЦ ИНФРА-М,2023-208с(П)</t>
  </si>
  <si>
    <t>ФИНАНСОВЫЙ НАДЗОР В НАЦИОНАЛЬНОЙ ПЛАТЕЖНОЙ СИСТЕМЕ РФ, ИЗД.2</t>
  </si>
  <si>
    <t>978-5-00156-134-7</t>
  </si>
  <si>
    <t>38.04.01, 38.04.08, 38.04.09, 38.05.01, 40.03.01, 40.04.01, 44.03.05</t>
  </si>
  <si>
    <t>678845.04.01</t>
  </si>
  <si>
    <t>Финансовый надзор в нац. платеж. сис. РФ: Уч.пос. / А.Г.Гузнов - 3изд.-М.:Юр. НОРМА, НИЦ ИНФРА-М,2025-248с(п)</t>
  </si>
  <si>
    <t>ФИНАНСОВЫЙ НАДЗОР В НАЦИОНАЛЬНОЙ ПЛАТЕЖНОЙ СИСТЕМЕ РФ, ИЗД.3</t>
  </si>
  <si>
    <t>Гузнов А.Г., Рождественская Т.Э., Ситник А.А.</t>
  </si>
  <si>
    <t>978-5-00156-389-1</t>
  </si>
  <si>
    <t>678845.01.01</t>
  </si>
  <si>
    <t>Финансовый надзор в нац. платеж. системе РФ: Уч.пос./ А.А.Ситник-М:Юр.Норма,НИЦ ИНФРА-М,2018-176с(П)</t>
  </si>
  <si>
    <t>ФИНАНСОВЫЙ НАДЗОР В НАЦИОНАЛЬНОЙ ПЛАТЕЖНОЙ СИСТЕМЕ РФ</t>
  </si>
  <si>
    <t>978-5-91768-897-8</t>
  </si>
  <si>
    <t>291200.08.01</t>
  </si>
  <si>
    <t>Финансовый учет для магистров: Уч./Под ред. Петрова А.М.- 2 изд.-М.:Вуз.уч.,НИЦ ИНФРА-М,2024-343с(П)</t>
  </si>
  <si>
    <t>ФИНАНСОВЫЙ УЧЕТ ДЛЯ МАГИСТРОВ, ИЗД.2</t>
  </si>
  <si>
    <t>Петров А.М., под ред.</t>
  </si>
  <si>
    <t>978-5-9558-0380-7</t>
  </si>
  <si>
    <t>38.03.02, 38.04.08, 41.03.06</t>
  </si>
  <si>
    <t>247400.07.01</t>
  </si>
  <si>
    <t>Финансовый учет и отчетность: Уч. / Под ред. Петрова А.М. - М.:Вуз.уч.,НИЦ ИНФРА-М,2021-464с.(П)</t>
  </si>
  <si>
    <t>ФИНАНСОВЫЙ УЧЕТ И ОТЧЕТНОСТЬ</t>
  </si>
  <si>
    <t>Петров А. М., Мельникова Л. А., Савин И. А., Петров А. М.</t>
  </si>
  <si>
    <t>978-5-9558-0346-3</t>
  </si>
  <si>
    <t>38.03.02, 38.04.08, 38.04.09, 41.03.06</t>
  </si>
  <si>
    <t>682609.03.01</t>
  </si>
  <si>
    <t>Финансовый учет: Уч. / Л.К.Никандрова -М.:НИЦ ИНФРА-М, 2023.-280 с..-(ВО: Бакалавриат)(П)</t>
  </si>
  <si>
    <t>ФИНАНСОВЫЙ УЧЕТ</t>
  </si>
  <si>
    <t>Никандрова Л.К., Акатьева М.Д.</t>
  </si>
  <si>
    <t>978-5-16-014552-5</t>
  </si>
  <si>
    <t>095230.12.01</t>
  </si>
  <si>
    <t>Финансовый учет: Уч. / Под ред. Гетьмана В.Г. - 6 изд. - М.:НИЦ ИНФРА-М,2023 - 622 с.-(ВО)(П)</t>
  </si>
  <si>
    <t>ФИНАНСОВЫЙ УЧЕТ, ИЗД.6</t>
  </si>
  <si>
    <t>Гетьман В.Г., Терехова В.А., Шнейдман Л.З. и др.</t>
  </si>
  <si>
    <t>978-5-16-012347-9</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</si>
  <si>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38.03.01 «Экономика» (квалификация (степень) «бакалавр»)</t>
  </si>
  <si>
    <t>095230.07.01</t>
  </si>
  <si>
    <t>Финансовый учет: Уч. / Под ред.Гетьмана В.Г. -  5 изд.-М.:НИЦ ИНФРА-М, ИНФРА-М Изд.Дом,2016-784с.(П)</t>
  </si>
  <si>
    <t>ФИНАНСОВЫЙ УЧЕТ, ИЗД.5</t>
  </si>
  <si>
    <t>Гетьман В.Г.</t>
  </si>
  <si>
    <t>978-5-16-004863-5</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</si>
  <si>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t>
  </si>
  <si>
    <t>767670.01.01</t>
  </si>
  <si>
    <t>Финансы гос. внебюджетных фондов в цифровом...: Уч. / П.А.Левчаев-М.:НИЦ ИНФРА-М,2024.-222 с.(ВО)(п)</t>
  </si>
  <si>
    <t>ФИНАНСЫ ГОСУДАРСТВЕННЫХ ВНЕБЮДЖЕТНЫХ ФОНДОВ В ЦИФРОВОМ ЭКОНОМИЧЕСКОМ УКЛАДЕ</t>
  </si>
  <si>
    <t>978-5-16-017368-9</t>
  </si>
  <si>
    <t>38.03.01, 38.04.01, 38.04.08, 38.04.09, 40.04.01</t>
  </si>
  <si>
    <t>239200.12.01</t>
  </si>
  <si>
    <t>Финансы для нефинансовых менеджеров: Уч.пос. / М.А.Карлик - М.:НИЦ ИНФРА-М,2025. - 398 с. - (ВО)(п)</t>
  </si>
  <si>
    <t>ФИНАНСЫ ДЛЯ НЕФИНАНСОВЫХ МЕНЕДЖЕРОВ</t>
  </si>
  <si>
    <t>Карлик М. А.</t>
  </si>
  <si>
    <t>978-5-16-019022-8</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</si>
  <si>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(080200) «Менеджмент»</t>
  </si>
  <si>
    <t>Учреждение ДПО "Бизнес-Школа Имисп</t>
  </si>
  <si>
    <t>718326.04.01</t>
  </si>
  <si>
    <t>Финансы и кредит. Совр. концепции: Уч. / Под ред. Буракова Д.В.-М.:НИЦ ИНФРА-М,2023.-313 с.(ВО)(П)</t>
  </si>
  <si>
    <t>ФИНАНСЫ И КРЕДИТ. СОВРЕМЕННЫЕ КОНЦЕПЦИИ</t>
  </si>
  <si>
    <t>Басс А.Б., Бураков Д.В., Молчанов И.Н. и др.</t>
  </si>
  <si>
    <t>978-5-16-015711-5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</si>
  <si>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38.04.08 «Финансы и кредит» (квалификация (степень) «магистр») (протокол № 8 от 22.06.2020)</t>
  </si>
  <si>
    <t>096650.07.01</t>
  </si>
  <si>
    <t>Финансы и кредит: Уч. / Ж.Г.Голодова, - 2 изд. - М.:НИЦ ИНФРА-М,2025. - 612 с.-(ВО)(п)</t>
  </si>
  <si>
    <t>ФИНАНСЫ И КРЕДИТ, ИЗД.2</t>
  </si>
  <si>
    <t>Голодова Ж.Г.</t>
  </si>
  <si>
    <t>978-5-16-016448-9</t>
  </si>
  <si>
    <t>38.03.01, 38.03.02, 38.03.06, 38.04.01, 38.04.02, 38.04.06, 38.04.08, 44.03.05</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</si>
  <si>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обучающихся по направлению "Экономика" и экономическим специальностям</t>
  </si>
  <si>
    <t>151500.10.01</t>
  </si>
  <si>
    <t>Финансы и кредит: Уч. / Под. ред. О.В.Соколовой - 2 изд. - М.:Магистр, ИНФРА-М,2024. - 912 с.(П)</t>
  </si>
  <si>
    <t>Соколова О. В.</t>
  </si>
  <si>
    <t>978-5-9776-0196-2</t>
  </si>
  <si>
    <t>27.04.07, 38.03.01, 38.03.02, 38.03.03, 38.03.04, 38.03.05, 38.03.06, 38.04.01, 38.04.02, 38.04.04, 38.04.05, 38.04.06, 38.04.08, 38.04.09, 41.03.06, 44.03.01, 44.03.05</t>
  </si>
  <si>
    <t>Допущено Министерством образования РФ в качестве учебника для студентов высших учебных заведений, обучающихся по финансово-экономическим специальностям</t>
  </si>
  <si>
    <t>745034.05.01</t>
  </si>
  <si>
    <t>Финансы и финансовый анализ: Уч. / Н.А.Казакова и др. - М.:НИЦ ИНФРА-М,2025 - 201 с.(ВО)(п)</t>
  </si>
  <si>
    <t>ФИНАНСЫ И ФИНАНСОВЫЙ АНАЛИЗ</t>
  </si>
  <si>
    <t>Казакова Н.А., Когденко В.Г., Мельник М.В.</t>
  </si>
  <si>
    <t>978-5-16-020652-3</t>
  </si>
  <si>
    <t>38.04.01, 38.04.02, 38.04.04, 38.04.06, 38.04.08, 38.05.01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</si>
  <si>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«магистр») (протокол № 3 от 17.03.2021)</t>
  </si>
  <si>
    <t>834169.01.01</t>
  </si>
  <si>
    <t>Финансы коммерческих организаций: Уч. / М.Б.Траченко. - М.:НИЦ ИНФРА-М,2025. - 492 с.(ВО)(п)</t>
  </si>
  <si>
    <t>ФИНАНСЫ КОММЕРЧЕСКИХ ОРГАНИЗАЦИЙ</t>
  </si>
  <si>
    <t>Траченко М.Б., Володин В.А., Володина А.О. и др.</t>
  </si>
  <si>
    <t>978-5-16-020267-9</t>
  </si>
  <si>
    <t>38.03.01, 38.03.05</t>
  </si>
  <si>
    <t>Рекомендовано к изданию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учебника для обучающихся по направлениям подготовки 38.03.02 «Менеджмент», 38.03.01 «Экономика», 38.04.08 «Финансы и кредит»</t>
  </si>
  <si>
    <t>150500.08.01</t>
  </si>
  <si>
    <t>Финансы организации (предприятий): Уч. / В.А. Слепов - М.: Магистр, 2025 - 352 с.(п)</t>
  </si>
  <si>
    <t>ФИНАНСЫ ОРГАНИЗАЦИИ (ПРЕДПРИЯТИЙ)</t>
  </si>
  <si>
    <t>Слепов В. А., Шубина Т. В.</t>
  </si>
  <si>
    <t>978-5-9776-0181-8</t>
  </si>
  <si>
    <t>38.03.01, 38.03.02, 38.03.07, 38.04.01, 38.04.02, 41.03.06, 44.03.01, 44.03.05</t>
  </si>
  <si>
    <t>Рекомендовано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</si>
  <si>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659866.02.01</t>
  </si>
  <si>
    <t>Финансы организаций (предпр.): Уч.пос. / Е.Н.Карпова - М.:НИЦ ИНФРА-М,2023 - 285 с.-(ВО: Бакалавриат)(П)</t>
  </si>
  <si>
    <t>ФИНАНСЫ ОРГАНИЗАЦИЙ (ПРЕДПРИЯТИЙ)</t>
  </si>
  <si>
    <t>Карпова Е.Н., Чумаченко Е.А.</t>
  </si>
  <si>
    <t>978-5-16-014792-5</t>
  </si>
  <si>
    <t>Рекомендовано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17 от 11.11.2019)</t>
  </si>
  <si>
    <t>208100.08.01</t>
  </si>
  <si>
    <t>Финансы организаций (предприятий): Уч. / К.В. Екимова - М.: НИЦ ИНФРА-М, 2025 - 375 с.(ВО) (п)</t>
  </si>
  <si>
    <t>Екимова К. В., Шубина Т. В.</t>
  </si>
  <si>
    <t>978-5-16-005759-0</t>
  </si>
  <si>
    <t>736052.07.01</t>
  </si>
  <si>
    <t>Финансы организаций (предприятий): Уч.пос. / Е.Н.Карпова - М.:НИЦ ИНФРА-М,2025 - 285 с.-(СПО)(П)</t>
  </si>
  <si>
    <t>978-5-16-016205-8</t>
  </si>
  <si>
    <t>38.02.01, 38.02.02, 38.02.03, 38.02.06, 38.02.07, 38.02.08, 42.02.08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</si>
  <si>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19 от 09.12.2019)</t>
  </si>
  <si>
    <t>080500.10.01</t>
  </si>
  <si>
    <t>Финансы организаций (предприятий): Уч.пос. / Л.М.Бурмистрова, - 2 изд.-М.:НИЦ ИНФРА-М,2024-240с.(ВО)</t>
  </si>
  <si>
    <t>ФИНАНСЫ ОРГАНИЗАЦИЙ (ПРЕДПРИЯТИЙ), ИЗД.2</t>
  </si>
  <si>
    <t>978-5-16-009951-4</t>
  </si>
  <si>
    <t>38.03.01, 38.04.01, 38.04.02, 38.04.06, 38.04.08</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</si>
  <si>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</si>
  <si>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801660.01.01</t>
  </si>
  <si>
    <t>Финансы организаций. Практикум: Уч.пос. / А.М.Фридман-М.:ИЦ РИОР, НИЦ ИНФРА-М,2024.-252 с.(ВО)(п)</t>
  </si>
  <si>
    <t>ФИНАНСЫ ОРГАНИЗАЦИЙ. ПРАКТИКУМ</t>
  </si>
  <si>
    <t>978-5-369-01950-4</t>
  </si>
  <si>
    <t>636129.07.01</t>
  </si>
  <si>
    <t>Финансы организаций: Уч. / А.М.Фридман - М.:ИЦ РИОР, НИЦ ИНФРА-М,2024 - 202 с.(СПО)(О)</t>
  </si>
  <si>
    <t>ФИНАНСЫ ОРГАНИЗАЦИЙ</t>
  </si>
  <si>
    <t>978-5-369-01638-1</t>
  </si>
  <si>
    <t>640459.04.01</t>
  </si>
  <si>
    <t>Финансы организаций: Уч. / П.А.Левчаев - 2 изд. - М.:НИЦ ИНФРА - М,2021-386 с.-(ВО: Бакалавриат)(П)</t>
  </si>
  <si>
    <t>ФИНАНСЫ ОРГАНИЗАЦИЙ, ИЗД.2</t>
  </si>
  <si>
    <t>978-5-16-011342-5</t>
  </si>
  <si>
    <t>38.03.01, 38.03.02, 38.03.04, 38.04.01, 38.04.02, 41.03.06</t>
  </si>
  <si>
    <t>666545.03.01</t>
  </si>
  <si>
    <t>Финансы организаций: Уч.пос. /М.А.Конищева и др.-М.:НИЦ ИНФРА-М,СФУ,2020-382с(ВО: Бакалавр.(СФУ))(П)</t>
  </si>
  <si>
    <t>Конищева М.А., Курган О.И., Черкасова Ю.И.</t>
  </si>
  <si>
    <t>978-5-16-013135-1</t>
  </si>
  <si>
    <t>Рекомендовано Федеральным государственным образовательным бюджетным учреждением высшего профессионального образования «Финансовый университет при Правительстве Российской Федерации» (Финансовый университет) к использованию в образовательных учреждениях, реализующих образовательные программы ВО по дисциплине «Финансы организаций» по направлению подготовки «Экономика»</t>
  </si>
  <si>
    <t>384300.07.01</t>
  </si>
  <si>
    <t>Финансы торговых организаций: Уч.пос. / В.П.Чижик - 2 изд. - М.:НИЦ ИНФРА-М,2024-237 с.(ВО: Бакалавр.)(П)</t>
  </si>
  <si>
    <t>ФИНАНСЫ ТОРГОВЫХ ОРГАНИЗАЦИЙ, ИЗД.2</t>
  </si>
  <si>
    <t>978-5-16-016999-6</t>
  </si>
  <si>
    <t>38.03.01, 38.03.02, 38.03.06, 38.03.07, 38.04.06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</si>
  <si>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7 от 22.09.2021)</t>
  </si>
  <si>
    <t>384300.05.01</t>
  </si>
  <si>
    <t>Финансы торговых организаций: Уч.пос. / С.Е.Метелев-М.:Форум, НИЦ ИНФРА-М,2020.-200 с.(ВО:Бакалавр.)(О)</t>
  </si>
  <si>
    <t>ФИНАНСЫ ТОРГОВЫХ ОРГАНИЗАЦИЙ</t>
  </si>
  <si>
    <t>Метелев С.Е., Чижик В.П.</t>
  </si>
  <si>
    <t>978-5-00091-106-8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</si>
  <si>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(квалификация «бакалавр»)</t>
  </si>
  <si>
    <t>050070.25.01</t>
  </si>
  <si>
    <t>Финансы, денежное обр. и кредит: Уч. / В.П.Климович - 4 изд.-М.:ИД ФОРУМ, НИЦ ИНФРА-М,2024-336с.(СПО)(П)</t>
  </si>
  <si>
    <t>ФИНАНСЫ, ДЕНЕЖНОЕ ОБРАЩЕНИЕ И КРЕДИТ, ИЗД.4</t>
  </si>
  <si>
    <t>Климович В. П.</t>
  </si>
  <si>
    <t>978-5-8199-0701-6</t>
  </si>
  <si>
    <t>21.02.19, 38.02.02, 38.02.03, 38.02.06, 38.02.07, 42.02.02</t>
  </si>
  <si>
    <t>Допущено Министерством образования и науки Российской Федерации в качестве учебника для студентов учебных заведений среднего профессионального образования, обучающихся по группе специальностей «Экономика и управление»</t>
  </si>
  <si>
    <t>072350.18.01</t>
  </si>
  <si>
    <t>Финансы, денежное обращение и кредит: Уч. / В.А.Галанов - 2изд-М.:Форум, НИЦ ИНФРА-М,2024-414c.(ПО)(п)</t>
  </si>
  <si>
    <t>ФИНАНСЫ, ДЕНЕЖНОЕ ОБРАЩЕНИЕ И КРЕДИТ, ИЗД.2</t>
  </si>
  <si>
    <t>978-5-91134-552-5</t>
  </si>
  <si>
    <t>657349.04.01</t>
  </si>
  <si>
    <t>Финансы, денежное обращение и кредит: Уч. / Г.М.Колпакова, - 5 изд. - М.:НИЦ ИНФРА-М,2025. - 609 с.(ВО)(п)</t>
  </si>
  <si>
    <t>ФИНАНСЫ, ДЕНЕЖНОЕ ОБРАЩЕНИЕ И КРЕДИТ, ИЗД.5</t>
  </si>
  <si>
    <t>Колпакова Г.М., Евдокимова Ю.В.</t>
  </si>
  <si>
    <t>978-5-16-018437-1</t>
  </si>
  <si>
    <t>38.03.01, 38.03.02, 38.03.04, 38.03.05, 38.03.06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</si>
  <si>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(протокол № 10 от 27.05.2019)</t>
  </si>
  <si>
    <t>Институт экономики и антикризисного управления</t>
  </si>
  <si>
    <t>095030.10.01</t>
  </si>
  <si>
    <t>Финансы, денежное обращение и кредит: Уч. пос. / С.А. Чернецов. - М.: Магистр,ИНФРА-М, 2023. - 528 с. (П)</t>
  </si>
  <si>
    <t>ФИНАНСЫ, ДЕНЕЖНОЕ ОБРАЩЕНИЕ И КРЕДИТ</t>
  </si>
  <si>
    <t>978-5-9776-0036-1</t>
  </si>
  <si>
    <t>23.03.01, 25.04.03, 38.03.01, 38.03.02, 38.03.05, 38.03.06, 38.04.02, 38.04.05, 38.04.08</t>
  </si>
  <si>
    <t>749697.01.01</t>
  </si>
  <si>
    <t>Финансы, денежное обращение и кредит: Уч.пос. / Под ред. Коршуновой Л.Н.-М.:НИЦ ИНФРА-М,2023.-261 с.(п)</t>
  </si>
  <si>
    <t>978-5-16-017036-7</t>
  </si>
  <si>
    <t>754659.01.01</t>
  </si>
  <si>
    <t>Финансы: Уч. / Н.Н.Семенова и др.-М.:НИЦ ИНФРА-М,2023.-528 с.(ВО: Бакалавриат)(П)</t>
  </si>
  <si>
    <t>ФИНАНСЫ</t>
  </si>
  <si>
    <t>978-5-16-016988-0</t>
  </si>
  <si>
    <t>38.03.01, 38.03.02, 38.03.04, 38.04.01, 38.04.08</t>
  </si>
  <si>
    <t>Санкт-Петербургский государственный институт культуры</t>
  </si>
  <si>
    <t>391300.07.01</t>
  </si>
  <si>
    <t>Финансы: Уч. / Под ред. Дадашева А.З. - М.:Вуз. уч., НИЦ ИНФРА-М,2023 - 178 с.(П)</t>
  </si>
  <si>
    <t>Дадашев А.З.</t>
  </si>
  <si>
    <t>978-5-9558-0457-6</t>
  </si>
  <si>
    <t>096700.13.01</t>
  </si>
  <si>
    <t>Финансы: Уч. / Под ред. Слепова В.А., - 4 изд.-М.:Магистр, НИЦ ИНФРА-М,2024.-336 с.(Бакалавр.)(П)</t>
  </si>
  <si>
    <t>ФИНАНСЫ, ИЗД.4</t>
  </si>
  <si>
    <t>Слепов В.А., Арсланов А.Ф., Бурлачков В.К. и др.</t>
  </si>
  <si>
    <t>978-5-9776-0345-4</t>
  </si>
  <si>
    <t>38.03.01, 38.03.02, 38.03.06, 38.04.01</t>
  </si>
  <si>
    <t>Рекомендовано Министерством образования РФ в качестве учебника для студентов высших учебных заведений, обучающихся по экономическим специальностям и направлениям</t>
  </si>
  <si>
    <t>150900.07.01</t>
  </si>
  <si>
    <t>Финансы: Уч. пос. / С.А. Чернецов - М.: Магистр:  ИНФРА-М, 2024-576с. (п)</t>
  </si>
  <si>
    <t>978-5-9776-0182-5</t>
  </si>
  <si>
    <t>Рекомендовано УМО по образованию в области экономики и экономической теории в качестве учебного пособия для студентов высших учебных заведений , обучающихся по направлению "Экономика" и другим экономическим специальностям</t>
  </si>
  <si>
    <t>173500.12.01</t>
  </si>
  <si>
    <t>Финансы: Уч.пос. / Н.А. Лупей - 3 изд. - М.:Магистр, НИЦ ИНФРА-М, 2023 - 448 с.(Бакалавриат) (П)</t>
  </si>
  <si>
    <t>ФИНАНСЫ, ИЗД.3</t>
  </si>
  <si>
    <t>Лупей Н.А., Соболев В.И.</t>
  </si>
  <si>
    <t>978-5-9776-0414-7</t>
  </si>
  <si>
    <t>23.03.01, 38.03.01, 38.03.02, 38.03.05, 38.03.06, 38.04.01, 38.04.02, 38.04.05, 38.04.06, 38.04.08</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</si>
  <si>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обучающихсяпо спец. "Коммерция (торговое дело)", "Маркетинг" и напр. "Торговое дело</t>
  </si>
  <si>
    <t>634604.06.01</t>
  </si>
  <si>
    <t>Фитоиммунитет: Уч. / Ю.Т.Дьяков - М.:НИЦ ИНФРА-М,2024 - 178 с.(ВО: Магистратура)(П)</t>
  </si>
  <si>
    <t>ФИТОИММУНИТЕТ</t>
  </si>
  <si>
    <t>Дьяков Ю.Т.</t>
  </si>
  <si>
    <t>978-5-16-012183-3</t>
  </si>
  <si>
    <t>06.04.01, 35.03.04, 35.04.04</t>
  </si>
  <si>
    <t>281900.09.01</t>
  </si>
  <si>
    <t>Фитопатология: Уч. / Под ред. Белошапкиной О.О. - М.:НИЦ ИНФРА-М,2023 - 288 с.-(ВО: Бакалавриат)(П)</t>
  </si>
  <si>
    <t>ФИТОПАТОЛОГИЯ</t>
  </si>
  <si>
    <t>Белошапкина О.О., Глинушкин А.П., Джалилов Ф.С. и др.</t>
  </si>
  <si>
    <t>978-5-16-009862-3</t>
  </si>
  <si>
    <t>35.03.03, 35.03.04, 35.03.05, 35.03.07, 35.04.03, 35.04.04, 35.04.05</t>
  </si>
  <si>
    <t>Допущено УМО вузов РФ по агрономическому образованию в качестве учебника для подготовки бакалавров, обучающихся по направлениям 35.03.04 «Агрономия», 35.03.03 «Агрохимия и агропочвоведение», 35.03.05 «Садоводство», 35.03.07 «Технология производства и переработки сельскохозяйственной продукции»</t>
  </si>
  <si>
    <t>256500.14.01</t>
  </si>
  <si>
    <t>Флористика: технологии аранжировки композиций: Уч.пос. / Д.Г.Брашнов - М.:НИЦ ИНФРА-М,2025. - 221 с.(СПО)(П)</t>
  </si>
  <si>
    <t>ФЛОРИСТИКА: ТЕХНОЛОГИИ АРАНЖИРОВКИ КОМПОЗИЦИЙ</t>
  </si>
  <si>
    <t>Брашнов Д.Г.</t>
  </si>
  <si>
    <t>978-5-16-017496-9</t>
  </si>
  <si>
    <t>38.02.02, 42.02.01, 43.01.11, 43.02.02, 52.02.03, 52.02.04, 52.02.05, 54.01.01, 54.01.06, 54.01.12, 54.01.20, 54.02.01, 54.02.02, 54.02.04, 54.02.06, 54.02.08</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</si>
  <si>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(регистрационный номер рецензии 403 от 23.09.2013)</t>
  </si>
  <si>
    <t>054300.14.01</t>
  </si>
  <si>
    <t>Фонетико-орфографический справочник английского яз. / О.М. Корчажкина. - М.: ФОРУМ, 2024. - 256 с. (п)</t>
  </si>
  <si>
    <t>ФОНЕТИКО-ОРФОГРАФИЧЕСКИЙ СПРАВОЧНИК АНГЛИЙСКОГО ЯЗЫКА</t>
  </si>
  <si>
    <t>Корчажкина О. М., Тихонова Р. М.</t>
  </si>
  <si>
    <t>5-8199-0132-0</t>
  </si>
  <si>
    <t>Допущено УМО по специальностям педагогического образования в качестве учебного пособия для студентов вузов, обучающихся по специальности 033200 - иностранный язык</t>
  </si>
  <si>
    <t>Средняя общеобразовательная школа №1298 г. Москвы</t>
  </si>
  <si>
    <t>663830.03.01</t>
  </si>
  <si>
    <t>Формирование абилитационной компетентности родителей,: Уч.пос. / Н.Ш.Тюрина-М.:НИЦ ИНФРА-М,2024.-189 с.(ВО)(П)</t>
  </si>
  <si>
    <t>ФОРМИРОВАНИЕ АБИЛИТАЦИОННОЙ КОМПЕТЕНТНОСТИ РОДИТЕЛЕЙ, ВОСПИТЫВАЮЩИХ РЕБЕНКА МЛАДЕНЧЕСКОГО И РАННЕГО ВОЗРАСТА</t>
  </si>
  <si>
    <t>978-5-16-015821-1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</si>
  <si>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11 от 09.11.2020)</t>
  </si>
  <si>
    <t>777842.01.01</t>
  </si>
  <si>
    <t>Формирование экологич. мировоззрения шк.: Уч.пос. / Л.Х.Давлетшина-М.:НИЦ ИНФРА-М,2024.-174 с.(ВО)(п)</t>
  </si>
  <si>
    <t>ФОРМИРОВАНИЕ ЭКОЛОГИЧЕСКОГО МИРОВОЗЗРЕНИЯ ШКОЛЬНИКОВ</t>
  </si>
  <si>
    <t>Гринёва Е.А., Давлетшина Л.Х., Бибикова Н.В.</t>
  </si>
  <si>
    <t>978-5-16-017832-5</t>
  </si>
  <si>
    <t>44.03.01, 44.03.02, 44.03.04, 44.03.05, 44.04.01</t>
  </si>
  <si>
    <t>668652.03.01</t>
  </si>
  <si>
    <t>Формовочные материалы: Уч.пос. / Л.И.Мамина-М.:НИЦ ИНФРА-М, СФУ,2023-344с(ВО: Бакалавриат (СФУ))(П)</t>
  </si>
  <si>
    <t>ФОРМОВОЧНЫЕ МАТЕРИАЛЫ</t>
  </si>
  <si>
    <t>Мамина Л.И., Кулаков Б.А.</t>
  </si>
  <si>
    <t>978-5-16-013280-8</t>
  </si>
  <si>
    <t>115800.06.01</t>
  </si>
  <si>
    <t>Формообразование и режущие инструменты: Уч.пос. / А.Н.Овсеенко.-М.:Форум, НИЦ ИНФРА-М,2023.-416 с..-(ВО)(П)</t>
  </si>
  <si>
    <t>ФОРМООБРАЗОВАНИЕ И РЕЖУЩИЕ ИНСТРУМЕНТЫ</t>
  </si>
  <si>
    <t>Овсеенко А.Н., Клауч Д.Н., Кирсанов С.В. и др.</t>
  </si>
  <si>
    <t>978-5-91134-281-4</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</si>
  <si>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дипломированных специалистов «Конструкторско-технологическое обеспечение машиностроительного производства»</t>
  </si>
  <si>
    <t>703215.03.01</t>
  </si>
  <si>
    <t>Формообразование и режущие инструменты: Уч.пос. / А.Н.Овсеенко-М.:Форум, НИЦ ИНФРА-М,2023 -416 с.(П)</t>
  </si>
  <si>
    <t>978-5-00091-661-2</t>
  </si>
  <si>
    <t>12.02.04, 15.02.01, 15.02.07, 15.02.09, 15.02.16, 15.02.17, 15.02.18</t>
  </si>
  <si>
    <t>771805.01.01</t>
  </si>
  <si>
    <t>Формы общественного самоуправления: Уч.пос. / С.Ю.Наумов и др.-М.:НИЦ ИНФРА-М,2024.-232 с.(ВО)(п)</t>
  </si>
  <si>
    <t>ФОРМЫ ОБЩЕСТВЕННОГО САМОУПРАВЛЕНИЯ</t>
  </si>
  <si>
    <t>978-5-16-017500-3</t>
  </si>
  <si>
    <t>407400.05.01</t>
  </si>
  <si>
    <t>Фотодело: Уч.пос. / А.В.Левкина - М.:Альфа-М, НИЦ ИНФРА-М,2017 - 319 с.-(ПРОФИль)(п)</t>
  </si>
  <si>
    <t>ФОТОДЕЛО</t>
  </si>
  <si>
    <t>978-5-98281-319-0</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</si>
  <si>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по специальности 54.02.08 «Техника и искусство фотографии»</t>
  </si>
  <si>
    <t>738658.07.01</t>
  </si>
  <si>
    <t>Фразеологические ед. в аспекте лингвистич...: Уч.пос. / Е.А.Чубина-М.:Юр.Норма, НИЦ ИНФРА-М,2024.-192 с.(П)</t>
  </si>
  <si>
    <t>ФРАЗЕОЛОГИЧЕСКИЕ ЕДИНИЦЫ В АСПЕКТЕ ЛИНГВИСТИЧЕСКОЙ ЭКСПЕРТИЗЫ</t>
  </si>
  <si>
    <t>978-5-00156-075-3</t>
  </si>
  <si>
    <t>059700.13.01</t>
  </si>
  <si>
    <t>Французский язык: Уч.пос. / Т.И.Лалова - М.:Форум, ИНФРА-М Изд. Дом,2024 - 336 с.-(ВО)(П)</t>
  </si>
  <si>
    <t>ФРАНЦУЗСКИЙ ЯЗЫК</t>
  </si>
  <si>
    <t>Лалова Т. И.</t>
  </si>
  <si>
    <t>978-5-8199-0127-4</t>
  </si>
  <si>
    <t>442950.09.01</t>
  </si>
  <si>
    <t>Франчайзинг в торговле: Уч. пос. / Г.Г. Иванов - М.: ИД ФОРУМ:  НИЦ ИНФРА-М, 2023. - 104 с.(ВО) (о)</t>
  </si>
  <si>
    <t>ФРАНЧАЙЗИНГ В ТОРГОВЛЕ</t>
  </si>
  <si>
    <t>978-5-8199-0553-1</t>
  </si>
  <si>
    <t>38.03.01, 38.03.02, 38.03.06, 38.04.07, 41.03.06</t>
  </si>
  <si>
    <t>760263.03.01</t>
  </si>
  <si>
    <t>Фундаментальные основы соц. конфликта: Уч. / М.Ю.Зеленков-М.:НИЦ ИНФРА-М,2023.-321 с.(ВО:Магистр)(п)</t>
  </si>
  <si>
    <t>ФУНДАМЕНТАЛЬНЫЕ ОСНОВЫ СОЦИАЛЬНОГО КОНФЛИКТА</t>
  </si>
  <si>
    <t>978-5-16-017263-7</t>
  </si>
  <si>
    <t>37.04.02, 41.03.05, 41.03.06</t>
  </si>
  <si>
    <t>649031.03.01</t>
  </si>
  <si>
    <t>Функции компл. переменной, ряды и операц. исчис.: Уч.пос./К.В.Титов-М.:ИЦ РИОР,НИЦ ИНФРА-М,2023-238с</t>
  </si>
  <si>
    <t>ФУНКЦИИ КОМПЛЕКСНОЙ ПЕРЕМЕННОЙ, РЯДЫ И ОПЕРАЦИОННОЕ ИСЧИСЛЕНИЕ</t>
  </si>
  <si>
    <t>Титов К.В., Горелов Н.Д.</t>
  </si>
  <si>
    <t>978-5-369-01677-0</t>
  </si>
  <si>
    <t>01.03.01, 01.03.04, 02.03.01, 02.03.03, 03.03.02, 04.03.02, 15.03.03, 16.03.03</t>
  </si>
  <si>
    <t>248000.05.01</t>
  </si>
  <si>
    <t>Функциональные материалы с эффектом памяти формы: Уч.пос. / М.Ю.Коллеров-М.:НИЦ ИНФРА-М,2024-140с(О)</t>
  </si>
  <si>
    <t>ФУНКЦИОНАЛЬНЫЕ МАТЕРИАЛЫ С ЭФФЕКТОМ ПАМЯТИ ФОРМЫ</t>
  </si>
  <si>
    <t>Коллеров М.Ю., Гусев Д.Е., Гуртовая Г.В. и др.</t>
  </si>
  <si>
    <t>978-5-16-011769-0</t>
  </si>
  <si>
    <t>15.03.01, 22.03.01, 22.04.01, 24.03.01, 24.03.04, 24.03.05</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</si>
  <si>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магистратуры 22.04.01 «Материаловедение и технологии материалов»</t>
  </si>
  <si>
    <t>390700.07.01</t>
  </si>
  <si>
    <t>Химизация бетона: Уч.пос. / Б.А.Усов - М.:НИЦ ИНФРА-М,2023 - 381 с.(ВО: Бакалавриат)(П)</t>
  </si>
  <si>
    <t>ХИМИЗАЦИЯ БЕТОНА</t>
  </si>
  <si>
    <t>978-5-16-011197-1</t>
  </si>
  <si>
    <t>437850.05.01</t>
  </si>
  <si>
    <t>Химическая безопасность и монитор. живых..: Уч. пос./Г.К.Будников - М.: НИЦ ИНФРА-М, 2023-320с.(ВО) (п)</t>
  </si>
  <si>
    <t>ХИМИЧЕСКАЯ БЕЗОПАСНОСТЬ И МОНИТОРИНГ ЖИВЫХ СИСТЕМ НА ПРИНЦИПАХ БИОМИМЕТИКИ</t>
  </si>
  <si>
    <t>Будников Г. К., Гармонов С. Ю., Медянцева Э. П., Евтюгин Г. А.</t>
  </si>
  <si>
    <t>978-5-16-005749-1</t>
  </si>
  <si>
    <t>00.03.31, 04.03.01, 04.03.02, 05.03.06, 06.03.02, 18.03.01, 19.03.04, 25.03.03, 31.05.01, 31.05.02, 31.05.03, 33.05.01, 38.03.07, 44.03.05</t>
  </si>
  <si>
    <t>350600.05.01</t>
  </si>
  <si>
    <t>Химическая термодинам.с Mathcad...: Уч.пос. / Д.Г.Нарышкин-М.:ИЦ РИОР, НИЦ ИНФРА-М,2023-199с.(ВО)(П)</t>
  </si>
  <si>
    <t>ХИМИЧЕСКАЯ ТЕРМОДИНАМИКА С MATHCAD. РАСЧЕТНЫЕ ЗАДАЧИ</t>
  </si>
  <si>
    <t>Нарышкин Д.Г.</t>
  </si>
  <si>
    <t>978-5-369-01479-0</t>
  </si>
  <si>
    <t>01.00.00, 04.03.01, 04.03.02, 04.04.01, 04.04.02, 04.05.01</t>
  </si>
  <si>
    <t>690326.04.01</t>
  </si>
  <si>
    <t>Химия атмосферы: Уч. / Под ред. Васильчука Ю.К. - М.:НИЦ ИНФРА-М,2024 - 214 с.(ВО)(п)</t>
  </si>
  <si>
    <t>ХИМИЯ АТМОСФЕРЫ</t>
  </si>
  <si>
    <t>Суркова Г.В.</t>
  </si>
  <si>
    <t>978-5-16-018861-4</t>
  </si>
  <si>
    <t>05.03.02, 05.03.04, 05.03.05, 05.03.06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</si>
  <si>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05.03.00 «Науки о Земле» (квалификация (степень) «бакалавр») (протокол № 11 от 09.11.2020)</t>
  </si>
  <si>
    <t>067250.17.01</t>
  </si>
  <si>
    <t>Химия воды и микробиология: Уч. / А.Л.Ивчатов - М.:НИЦ ИНФРА-М,2025 - 218 с.-(СПО)(П)</t>
  </si>
  <si>
    <t>ХИМИЯ ВОДЫ И МИКРОБИОЛОГИЯ</t>
  </si>
  <si>
    <t>Ивчатов А. Л., Малов В. И.</t>
  </si>
  <si>
    <t>978-5-16-006616-5</t>
  </si>
  <si>
    <t>08.01.29, 08.02.01, 08.02.04, 35.01.16, 35.01.33</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</si>
  <si>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08.02.04 "Водоснабжение и водоотведение"</t>
  </si>
  <si>
    <t>278700.04.01</t>
  </si>
  <si>
    <t>Химия горючих ископаемых: Уч. / В.С. Мерчева - М.: НИЦ ИНФРА-М, 2020-336 с. (ВО:Бакалавриат) (П)</t>
  </si>
  <si>
    <t>ХИМИЯ ГОРЮЧИХ ИСКОПАЕМЫХ</t>
  </si>
  <si>
    <t>Мерчева В.С., Серебряков А.О., Серебряков О.И. и др.</t>
  </si>
  <si>
    <t>978-5-16-009812-8</t>
  </si>
  <si>
    <t>05.04.01, 21.04.01</t>
  </si>
  <si>
    <t>Допущено УМО по классическому университетскому образованию в качестве учебника для студентов, обучающихся по направлению 020700 «Геология»</t>
  </si>
  <si>
    <t>278700.05.01</t>
  </si>
  <si>
    <t>Химия горючих ископаемых: Уч. / О.И.Серебряков - 2 изд. - М.:НИЦ ИНФРА-М,2022 - 404 с.(ВО: Магистр.)(П)</t>
  </si>
  <si>
    <t>ХИМИЯ ГОРЮЧИХ ИСКОПАЕМЫХ, ИЗД.2</t>
  </si>
  <si>
    <t>Серебряков О.И., Смирнова Т.С., Мерчева В.С. и др.</t>
  </si>
  <si>
    <t>978-5-16-015577-7</t>
  </si>
  <si>
    <t>Рекомендовано Федеральным учебно-методическим объединением Минобрнауки России для магистрантов высших учебных заведений, обучающихсяпо направлению 05.04.01 «Геология»</t>
  </si>
  <si>
    <t>278100.06.01</t>
  </si>
  <si>
    <t>Химия и контроль качества эксплуатационных продуктов: Уч. / Э.А.Иртуганова - М:ИНФРА-М,2024-528 с. (ВО)</t>
  </si>
  <si>
    <t>ХИМИЯ И КОНТРОЛЬ КАЧЕСТВА ЭКСПЛУАТАЦИОННЫХ ПРОДУКТОВ</t>
  </si>
  <si>
    <t>Иртуганова Э.А., Гармонов С.Ю., Сопин В.Ф.</t>
  </si>
  <si>
    <t>978-5-16-005591-6</t>
  </si>
  <si>
    <t>18.03.01, 18.04.01, 23.03.02, 23.03.03, 23.04.02, 23.04.03</t>
  </si>
  <si>
    <t>Рекомендовано Государственным образовательным учреждением высшего профессионального образования «Российский химико-технологический университет им. Д.И. Менделеева» в качестве учебника для студентов вузов, обучающихся по направлению подготовки «Станда</t>
  </si>
  <si>
    <t>079600.16.01</t>
  </si>
  <si>
    <t>Химия и технология нефти и газа: Уч.пос. / С.В.Вержичинская - 3-е изд.-М.:Форум, НИЦ ИНФРА-М,2024.-416 с.(СПО)(п)</t>
  </si>
  <si>
    <t>ХИМИЯ И ТЕХНОЛОГИЯ НЕФТИ И ГАЗА, ИЗД.3</t>
  </si>
  <si>
    <t>Вержичинская С. В., Дигуров Н. Г., Синицин С. А.</t>
  </si>
  <si>
    <t>978-5-00091-512-7</t>
  </si>
  <si>
    <t>18.01.27, 18.01.28, 18.02.09</t>
  </si>
  <si>
    <t>335600.08.01</t>
  </si>
  <si>
    <t>Химия и технология цемента: Уч.пос. / Б.А.Усов - М.:НИЦ ИНФРА-М,2025. - 240 с.(ВО: Бакалавр.)(п)</t>
  </si>
  <si>
    <t>ХИМИЯ И ТЕХНОЛОГИЯ ЦЕМЕНТА, ИЗД.2</t>
  </si>
  <si>
    <t>978-5-16-010678-6</t>
  </si>
  <si>
    <t>Рекомендовано для студентов высших учебных заведений, обучающихся по направлению подготовки 08.03.01 (270800) '¦Строительство", профиль "Производство и применение строительных материалов, изделий и конструкций" (квалификация (степень) «бакалавр»)</t>
  </si>
  <si>
    <t>106850.10.01</t>
  </si>
  <si>
    <t>Химия нефти и газа: Уч.пос. / В.Д.Рябов - 2изд. - М.:ИД ФОРУМ,НИЦ ИНФРА-М,2018 - 336с.(ВО)(п)</t>
  </si>
  <si>
    <t>ХИМИЯ НЕФТИ И ГАЗА, ИЗД.2</t>
  </si>
  <si>
    <t>Рябов В.Д.</t>
  </si>
  <si>
    <t>978-5-8199-0567-8</t>
  </si>
  <si>
    <t>Рекомендовано Учебно-методическим объединением вузов Российской Федерации по нефтегазовому образованию в качестве учебного пособия для студентов высших учебных заведений, обучающихся по направлениям подготовки 21.03.01 «Нефтегазовое дело»</t>
  </si>
  <si>
    <t>106850.16.01</t>
  </si>
  <si>
    <t>Химия нефти и газа: Уч.пос. / В.Д.Рябов - 3 изд., - М.:НИЦ ИНФРА-М,2025 - 311 с.(ВО: Бакалавр.)(П)</t>
  </si>
  <si>
    <t>ХИМИЯ НЕФТИ И ГАЗА, ИЗД.3</t>
  </si>
  <si>
    <t>978-5-16-015106-9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</si>
  <si>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21.03.01 «Нефтегазовое дело» (квалификация (степень) «бакалавр») (протокол № 1 от 20.01.2021)</t>
  </si>
  <si>
    <t>302500.06.01</t>
  </si>
  <si>
    <t>Химия почв: практикум: Уч.пос. / В.Г.Мамонтов, - 2 изд. - М.:НИЦ ИНФРА-М,2025 - 272 с.(ВО)(п)</t>
  </si>
  <si>
    <t>ХИМИЯ ПОЧВ: ПРАКТИКУМ, ИЗД.2</t>
  </si>
  <si>
    <t>978-5-16-019227-7</t>
  </si>
  <si>
    <t>Учебное пособие содержит сведения, необходимые для формирования профессиональных компетенций при подготовке бакалавров по направлению 35.03.03 «Агрохимия и агропочвоведение», и рекомендуется Научно-методическим советом по сельскому хозяйству для использования в учебном процессе</t>
  </si>
  <si>
    <t>837250.01.01</t>
  </si>
  <si>
    <t>Химия: Уч.пос. / И.Д.Зыкова и др. - М.:НИЦ ИНФРА-М,2025. - 180 с.(ВО (СФУ))(п)</t>
  </si>
  <si>
    <t>ХИМИЯ</t>
  </si>
  <si>
    <t>Зыкова И.Д., Наймушина Л.В., Прокушкина М.П. и др.</t>
  </si>
  <si>
    <t>978-5-16-020275-4</t>
  </si>
  <si>
    <t>799528.01.01</t>
  </si>
  <si>
    <t>Химия: Уч.пос. / О.В.Демина-М.:НИЦ ИНФРА-М,2024.-257 с.(ВО (КрГАУ))(п)</t>
  </si>
  <si>
    <t>978-5-16-018999-4</t>
  </si>
  <si>
    <t>35.03.03, 35.03.04, 35.03.05, 35.03.07, 36.03.02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</si>
  <si>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35.03.06 «Агроинженерия»</t>
  </si>
  <si>
    <t>462900.05.01</t>
  </si>
  <si>
    <t>Хирургическое леч.больных с травмами...: Уч.пос./В.И.Белоконев-М.:НИЦ ИНФРА-М,2024-64с.(ВО)(о)</t>
  </si>
  <si>
    <t>ХИРУРГИЧЕСКОЕ ЛЕЧЕНИЕ БОЛЬНЫХ С ТРАВМАМИ И СТРИКТУРАМИ ЖЕЛЧНЫХ ПРОТОКОВ</t>
  </si>
  <si>
    <t>Белоконев В.И., Ковалева З.В., Вострецов Ю.А. и др.</t>
  </si>
  <si>
    <t>978-5-16-016478-6</t>
  </si>
  <si>
    <t>Рекомендовано в качестве учебного пособия для студентов медицинских вузов и системы последипломного профессионального образования врачей по специальности 14.01.17 «Хирургия»</t>
  </si>
  <si>
    <t>413800.07.01</t>
  </si>
  <si>
    <t>Хирургия с сестринским уходом: Уч. пос. / Б.В. Цепунов. - М.: Форум:  НИЦ ИНФРА-М,2024-576с.(ПО) (п)</t>
  </si>
  <si>
    <t>ХИРУРГИЯ С СЕСТРИНСКИМ УХОДОМ</t>
  </si>
  <si>
    <t>Цепунов Б. В., Гоженко К. Н., Жиляев Е. А.</t>
  </si>
  <si>
    <t>978-5-91134-700-0</t>
  </si>
  <si>
    <t>31.02.01</t>
  </si>
  <si>
    <t>Рекомендовано Департаментом образовательных медицинских учреждений и кадровой политики Министерства здравоохранения и социальной политики РФ в качестве учебного пособия для студентов медицинских колледжей и училищ, обучающихся по специальностям 06050</t>
  </si>
  <si>
    <t>Кисловодский медицинский колледж</t>
  </si>
  <si>
    <t>693869.05.01</t>
  </si>
  <si>
    <t>Хирургия: Уч. / Б.В.Цепунов и др. - М.:НИЦ ИНФРА-М,2025 - 552 с.(СПО)(П)</t>
  </si>
  <si>
    <t>ХИРУРГИЯ</t>
  </si>
  <si>
    <t>Цепунов Б.В., Гоженко К.Н., Жиляев Е.А.</t>
  </si>
  <si>
    <t>978-5-16-015726-9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</si>
  <si>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31.02.01 «Лечебное дело», 31.02.02 «Акушерское дело», 34.02.01 «Сестринское дело» (протокол № 5 от 19.05.2021)</t>
  </si>
  <si>
    <t>689013.04.01</t>
  </si>
  <si>
    <t>Хирургия: эпонимические симптомы и синдромы / Под ред. Колсанова А.В.-М.:НИЦ ИНФРА-М,2022-1111с.(ВО)</t>
  </si>
  <si>
    <t>ХИРУРГИЯ: ЭПОНИМИЧЕСКИЕ СИМПТОМЫ И СИНДРОМЫ</t>
  </si>
  <si>
    <t>Авраменко А.А., Адыширин-Заде Э.Э., Алексеев Д.Г. и др.</t>
  </si>
  <si>
    <t>978-5-16-014119-0</t>
  </si>
  <si>
    <t>329700.11.01</t>
  </si>
  <si>
    <t>Хореографическое искусство и балетмейстер: Уч.пос. / В.Н.Карпенко - М.:НИЦ ИНФРА-М,2025 - 192 с.(ВО)(О)</t>
  </si>
  <si>
    <t>ХОРЕОГРАФИЧЕСКОЕ ИСКУССТВО И БАЛЕТМЕЙСТЕР</t>
  </si>
  <si>
    <t>В.Н.Карпенко, И.А.Карпенко, Ж.Багана</t>
  </si>
  <si>
    <t>978-5-16-019114-0</t>
  </si>
  <si>
    <t>51.03.02</t>
  </si>
  <si>
    <t>Рекомендовано в качестве учебного пособия для студентов высших учебных заведений, обучающихся по направлению подготовки 52.03.01 «Хореографическое искусство» (квалификация (степень) «бакалавр»)</t>
  </si>
  <si>
    <t>841892.01.01</t>
  </si>
  <si>
    <t>Хореографическое искусство и балетмейстер: Уч.пос. / В.Н.Карпенко - М.:НИЦ ИНФРА-М,2025 - 192с.(СПО)(о)</t>
  </si>
  <si>
    <t>978-5-16-020297-6</t>
  </si>
  <si>
    <t>52.02.01, 52.02.02, 52.02.03, 52.02.05, 53.02.01</t>
  </si>
  <si>
    <t>132500.09.01</t>
  </si>
  <si>
    <t>Хранение прод. товаров: Уч. пос./ М.А. Николаева, Г.Я. Резго. -М.:ИД ФОРУМ: ИНФРА-М, 2024-304с. (ВО) (п)</t>
  </si>
  <si>
    <t>ХРАНЕНИЕ ПРОДОВОЛЬСТВЕННЫХ ТОВАРОВ</t>
  </si>
  <si>
    <t>Николаева М. А., Резго Г. Я.</t>
  </si>
  <si>
    <t>978-5-8199-0437-4</t>
  </si>
  <si>
    <t>Допущено УМО по образованию в области коммерции и маркетинга в качестве учебного пособия для студентов высших учебных заведений, обучающихся по специальностям 080301(351300)-Коммерция (торговое дело)" и 080111(061500)-Маркетинг</t>
  </si>
  <si>
    <t>042400.29.01</t>
  </si>
  <si>
    <t>Хрестоматия по ист. гос. и права заруб. стран: Т.2. / Крашенинникова Н.А. - М:Норма: НИЦ ИНФРА-М, 2025 - 672 с.(п)</t>
  </si>
  <si>
    <t>ХРЕСТОМАТИЯ ПО ИСТОРИИ ГОСУДАРСТВА И ПРАВА ЗАРУБЕЖНЫХ СТРАН</t>
  </si>
  <si>
    <t>978-5-91768-282-2</t>
  </si>
  <si>
    <t>Допущено Министерством образования РФ в качестве учебного пособия для студентов высших учебных заведений, обучающихся по специальности "Юриспруденция"</t>
  </si>
  <si>
    <t>681534.06.01</t>
  </si>
  <si>
    <t>Хрестоматия по ист. гос. и права заруб.стран и рим. праву / И.А.Исаев-М.:Юр.Норма, НИЦ ИНФРА-М,2024-544с(П)</t>
  </si>
  <si>
    <t>ХРЕСТОМАТИЯ ПО ИСТОРИИ ГОСУДАРСТВА И ПРАВА ЗАРУБЕЖНЫХ СТРАН И РИМСКОМУ ПРАВУ</t>
  </si>
  <si>
    <t>978-5-91768-910-4</t>
  </si>
  <si>
    <t>40.02.02, 40.02.04, 40.03.01, 40.05.01, 40.05.02, 40.05.03, 40.05.04</t>
  </si>
  <si>
    <t>042100.23.01</t>
  </si>
  <si>
    <t>Хрестоматия по истории гос.и права..: В 2т.Т.1 / Н.А.Крашенинникова - М.:Юр.Норма,НИЦ ИНФРА-М,2025 -816 с.(П)</t>
  </si>
  <si>
    <t>ХРЕСТОМАТИЯ ПО ИСТОРИИ ГОСУДАРСТВА И ПРАВА ЗАРУБЕЖНЫХ СТРАН В 2 ТОМАХ, Т.1</t>
  </si>
  <si>
    <t>Крашенинникова Н.А., Лысенко О.Л., Трикоз Е.Н.</t>
  </si>
  <si>
    <t>978-5-91768-280-8</t>
  </si>
  <si>
    <t>641987.07.01</t>
  </si>
  <si>
    <t>Христианская психология: Уч.пос. / С.В.Кондратьев - М.:НИЦ ИНФРА-М,2024 - 191 с.(ВО)(п)</t>
  </si>
  <si>
    <t>ХРИСТИАНСКАЯ ПСИХОЛОГИЯ</t>
  </si>
  <si>
    <t>Кондратьев С.В., Кондратьева О.В.</t>
  </si>
  <si>
    <t>978-5-16-019210-9</t>
  </si>
  <si>
    <t>37.03.01, 44.03.01, 44.03.02, 44.04.01, 44.04.02, 48.03.01, 48.04.01</t>
  </si>
  <si>
    <t>Для студентов высших образовательных организаций всех форм обучения по направлениям подготовки: 48.03.01 «Теология» (бакалавриат);¶48.04.01 «Теология» (магистратура); 37.03.01 «Психология» (бакалавриат духовных образовательных организаций); 37.04.01 «Психология» (магистратура духовных образовательных организаций); 44.03.02 «Психолого-педагогическое образование» (бакалавриат духовных образовательных организаций); 44.04.02 «Психолого-педагогическое образование» (магистратура духовных образовательных организаций); 44.03.01 «Педагогическое образование» (бакалавриат духовных образовательных организаций); 44.04.01 «Педагогическое образование» (магистратура духовных образовательных организаций). Для обучающихся в казачьих высших образовательных организациях всех форм обучения по всем направлениям профессиональной подготовки</t>
  </si>
  <si>
    <t>431800.08.01</t>
  </si>
  <si>
    <t>Христианство в современном мире: Уч.пос. / О.Е.Казьмина, - 2 изд. - М.:НИЦ ИНФРА-М,2024. - 256 с.(ВО)(п)</t>
  </si>
  <si>
    <t>ХРИСТИАНСТВО В СОВРЕМЕННОМ МИРЕ, ИЗД.2</t>
  </si>
  <si>
    <t>Казьмина О.Е.</t>
  </si>
  <si>
    <t>978-5-16-019519-3</t>
  </si>
  <si>
    <t>46.03.01, 46.04.01, 47.03.03, 47.04.03</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</si>
  <si>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46.04.01 «История»</t>
  </si>
  <si>
    <t>431800.07.01</t>
  </si>
  <si>
    <t>Христианство в современном мире: Уч.пос./ О.Е.Казьмина. - М.: НИЦ ИНФРА-М, 2024 - 240с.(ВО:Магистр.) (п)</t>
  </si>
  <si>
    <t>ХРИСТИАНСТВО В СОВРЕМЕННОМ МИРЕ</t>
  </si>
  <si>
    <t>Казьмина О. Е.</t>
  </si>
  <si>
    <t>978-5-16-006425-3</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</si>
  <si>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030600 «История» О.Е. Казьмина</t>
  </si>
  <si>
    <t>687643.02.01</t>
  </si>
  <si>
    <t>Художественный мир М.А. Шолохова...: Уч.пос. / Л.Г.Сатарова.-М.:НИЦ ИНФРА-М,2024.-300 с.(ВО)(п)</t>
  </si>
  <si>
    <t>ХУДОЖЕСТВЕННЫЙ МИР М.А. ШОЛОХОВА: НОВЫЙ КОНТЕКСТ ПОНИМАНИЯ</t>
  </si>
  <si>
    <t>Сатарова Л.Г., Стюфляева Н.В., Шкурат Л.С. и др.</t>
  </si>
  <si>
    <t>978-5-16-019383-0</t>
  </si>
  <si>
    <t>44.03.01, 44.03.05, 45.03.01, 45.04.01, 52.05.04</t>
  </si>
  <si>
    <t>653228.06.01</t>
  </si>
  <si>
    <t>Ценностные основания гос.политики: Уч. / В.Э.Багдасарян-М.:НИЦ ИНФРА-М,2024-286с(ВО: Бакалавриат)(П)</t>
  </si>
  <si>
    <t>ЦЕННОСТНЫЕ ОСНОВАНИЯ ГОСУДАРСТВЕННОЙ ПОЛИТИКИ</t>
  </si>
  <si>
    <t>978-5-16-019119-5</t>
  </si>
  <si>
    <t>38.03.04, 41.03.04, 41.03.06, 46.03.01, 51.03.01</t>
  </si>
  <si>
    <t>Рекомендовано в качестве учебника для студентов высших учебных заведений, обучающихся по направлениям подготовки 41.03.04 «Политология», 46.03.01 «История», 51.03.01 «Культурология» (квалификация (степень) «бакалавр»)</t>
  </si>
  <si>
    <t>139650.13.01</t>
  </si>
  <si>
    <t>Ценообразование: Уч. / Под ред. Слепова В.А. - 3 изд. - М.:Магистр, НИЦ ИНФРА-М,2024 - 304 с.(П)</t>
  </si>
  <si>
    <t>ЦЕНООБРАЗОВАНИЕ, ИЗД.3</t>
  </si>
  <si>
    <t>Слепов В.А., Николаева Т.Е., Глазова Е.С. и др.</t>
  </si>
  <si>
    <t>978-5-9776-0455-0</t>
  </si>
  <si>
    <t>38.03.01, 38.03.02, 38.03.06, 38.04.06</t>
  </si>
  <si>
    <t>751023.04.01</t>
  </si>
  <si>
    <t>Ценообразование: Уч.+ практикум / А.М.Фридман - М.:ИЦ РИОР, НИЦ ИНФРА-М,2025. - 151 с.(п)</t>
  </si>
  <si>
    <t>ЦЕНООБРАЗОВАНИЕ</t>
  </si>
  <si>
    <t>978-5-369-01924-5</t>
  </si>
  <si>
    <t>820907.01.01</t>
  </si>
  <si>
    <t>Цитология с основами гистологии: Прак. / Т.И.Голованова-М.:НИЦ ИНФРА-М, СФУ,2024.-116 с.(ВО (СФУ))(п)</t>
  </si>
  <si>
    <t>ЦИТОЛОГИЯ С ОСНОВАМИ ГИСТОЛОГИИ. ПРАКТИКУМ</t>
  </si>
  <si>
    <t>Голованова Т.И., Иванова А.Н.</t>
  </si>
  <si>
    <t>978-5-16-019583-4</t>
  </si>
  <si>
    <t>06.03.01, 36.03.01, 36.05.01</t>
  </si>
  <si>
    <t>649816.04.01</t>
  </si>
  <si>
    <t>Цифровая инфраструктура и телематич.сис. контроля раб...: Уч.пос. / В.М.Власов -М.:НИЦ ИНФРА-М,2024.-229с(П)</t>
  </si>
  <si>
    <t>ЦИФРОВАЯ ИНФРАСТРУКТУРА И ТЕЛЕМАТИЧЕСКИЕ СИСТЕМЫ КОНТРОЛЯ РАБОТ ПО СОДЕРЖАНИЮ АВТОМОБИЛЬНЫХ ДОРОГ</t>
  </si>
  <si>
    <t>Власов В.М., Байтулаев А.М., Богумил В.Н.</t>
  </si>
  <si>
    <t>978-5-16-015013-0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</si>
  <si>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23.03.03 «Эксплуатация транспортно-технологических машин и комплексов» (квалификация (степень) «бакалавр») (протокол № 1 от 20.01.2021)</t>
  </si>
  <si>
    <t>718993.04.01</t>
  </si>
  <si>
    <t>Цифровая экономика предприятия: Уч. / М.Ф.Меняев - М.:НИЦ ИНФРА-М,2023 - 369 с.-(ВО)(П)</t>
  </si>
  <si>
    <t>ЦИФРОВАЯ ЭКОНОМИКА ПРЕДПРИЯТИЯ</t>
  </si>
  <si>
    <t>Меняев М.Ф.</t>
  </si>
  <si>
    <t>978-5-16-015656-9</t>
  </si>
  <si>
    <t>27.03.05, 38.03.01, 38.03.02, 38.03.03, 38.03.04, 38.03.05, 38.03.07, 38.03.10</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</si>
  <si>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27.00.00 «Управление в технических системах» в качестве учебного пособия для реализации основных профессиональных образовательных программ высшего образования по направлению подготовки бакалавров 27.03.05 «Инноватика»</t>
  </si>
  <si>
    <t>673203.10.01</t>
  </si>
  <si>
    <t>Цифровая экономика: Упр. электр. бизнесом и электр. коммер.: Уч. / Л.В.Лапидус - М.:НИЦ ИНФРА-М,2024-479с(П)</t>
  </si>
  <si>
    <t>ЦИФРОВАЯ ЭКОНОМИКА: УПРАВЛЕНИЕ ЭЛЕКТРОННЫМ БИЗНЕСОМ И ЭЛЕКТРОННОЙ КОММЕРЦИЕЙ</t>
  </si>
  <si>
    <t>Лапидус Л.В.</t>
  </si>
  <si>
    <t>978-5-16-018513-2</t>
  </si>
  <si>
    <t>673290.10.01</t>
  </si>
  <si>
    <t>Цифровая экономика: Уч. / В.Д.Маркова - М.:НИЦ ИНФРА-М,2025. - 186 с.(ВО)(п)</t>
  </si>
  <si>
    <t>ЦИФРОВАЯ ЭКОНОМИКА</t>
  </si>
  <si>
    <t>978-5-16-019134-8</t>
  </si>
  <si>
    <t>820925.01.01</t>
  </si>
  <si>
    <t>Цифровая электроника: Уч.пос. В 2 ч. Ч. 1. Основы/ О.В.Непомнящий-М.:НИЦ ИНФРА-М, СФУ,2024.-234 с.(ВО(п)</t>
  </si>
  <si>
    <t>ЦИФРОВАЯ ЭЛЕКТРОНИКА, Т.1</t>
  </si>
  <si>
    <t>Непомнящий О.В., Медведев М.С., Яблонский А.П. и др.</t>
  </si>
  <si>
    <t>978-5-16-019593-3</t>
  </si>
  <si>
    <t>654523.08.01</t>
  </si>
  <si>
    <t>Цифровой бизнес: Уч. / Под ред. Китовой О.В. - М.:НИЦ ИНФРА-М,2025 - 418 с.(ВО: Магистр.)(П)</t>
  </si>
  <si>
    <t>ЦИФРОВОЙ БИЗНЕС</t>
  </si>
  <si>
    <t>Китова О.В., Брускин С.Н., Дьяконова Л.П. и др.</t>
  </si>
  <si>
    <t>978-5-16-020622-6</t>
  </si>
  <si>
    <t>Рекомендовано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t>
  </si>
  <si>
    <t>815070.01.01</t>
  </si>
  <si>
    <t>Цифровой практикум: текстовый и таблич. процес.: Уч.пос. / Н.В.Апатова-М.:НИЦ ИНФРА-М,2024.-309 с.(ВО)(п)</t>
  </si>
  <si>
    <t>ЦИФРОВОЙ ПРАКТИКУМ: ТЕКСТОВЫЙ И ТАБЛИЧНЫЙ ПРОЦЕССОРЫ</t>
  </si>
  <si>
    <t>Апатова Н.В., Бакуменко М.А.</t>
  </si>
  <si>
    <t>978-5-16-019294-9</t>
  </si>
  <si>
    <t>00.03.03</t>
  </si>
  <si>
    <t>Крымский федеральный университет им. В.И. Вернадского, ф-л Физико-технический институт</t>
  </si>
  <si>
    <t>821074.01.01</t>
  </si>
  <si>
    <t>Цифровые технологии в педагогической деят.: Уч.пос. / А.А.Кузнецов. - М.:НИЦ ИНФРА-М,2025. - 223 с.(ВО)(п)</t>
  </si>
  <si>
    <t>ЦИФРОВЫЕ ТЕХНОЛОГИИ В ПЕДАГОГИЧЕСКОЙ ДЕЯТЕЛЬНОСТИ</t>
  </si>
  <si>
    <t>Кузнецов А.А., Агафонова К.Е., Кичина Е.М. и др.</t>
  </si>
  <si>
    <t>978-5-16-019825-5</t>
  </si>
  <si>
    <t>44.03.01, 44.03.02, 44.03.03, 44.03.04, 44.03.05, 44.04.01, 44.04.04</t>
  </si>
  <si>
    <t>796190.07.01</t>
  </si>
  <si>
    <t>Цифровые технологии в учебном процессе: Уч. / В.И.Блинов. - М.:ИЦ РИОР, НИЦ ИНФРА-М,2025. - 311 с.(ВО)(п)</t>
  </si>
  <si>
    <t>ЦИФРОВЫЕ ТЕХНОЛОГИИ В УЧЕБНОМ ПРОЦЕССЕ</t>
  </si>
  <si>
    <t>Алексахин С.В., Блинов В.И., Сергеев И.С. и др.</t>
  </si>
  <si>
    <t>978-5-369-01922-1</t>
  </si>
  <si>
    <t>44.03.01, 44.06.01</t>
  </si>
  <si>
    <t>796190.06.01</t>
  </si>
  <si>
    <t>Цифровые технологии в учебном процессе: Уч. / С.В.Алексахин - 2 изд. - М.:ИЦ РИОР, НИЦ ИНФРА-М,2025. - 331 с.(п)</t>
  </si>
  <si>
    <t>ЦИФРОВЫЕ ТЕХНОЛОГИИ В УЧЕБНОМ ПРОЦЕССЕ, ИЗД.2</t>
  </si>
  <si>
    <t>978-5-369-01970-2</t>
  </si>
  <si>
    <t>753308.04.01</t>
  </si>
  <si>
    <t>Цифровые технологии как инструмент финанс..: Уч.пос. / И.В.Петрова-М.:Юр.Норма, НИЦ ИНФРА-М,2024.-104 с.(О)</t>
  </si>
  <si>
    <t>ЦИФРОВЫЕ ТЕХНОЛОГИИ КАК ИНСТРУМЕНТ ФИНАНСОВОГО КОНТРОЛЯ</t>
  </si>
  <si>
    <t>Петрова И.В.</t>
  </si>
  <si>
    <t>978-5-00156-155-2</t>
  </si>
  <si>
    <t>38.04.09, 40.03.01</t>
  </si>
  <si>
    <t>796199.02.01</t>
  </si>
  <si>
    <t>Цифровые финансы: Уч. / Под общ. ред. И.П. Хоминич, С.В. Фруминой -М.:НИЦ ИНФРА-М,2025-451 с.(ВО (РЭУ))(п)</t>
  </si>
  <si>
    <t>ЦИФРОВЫЕ ФИНАНСЫ</t>
  </si>
  <si>
    <t>Асяева Э.А., Ахвледиани Ю.Т., Белянчикова Т.В. и др.</t>
  </si>
  <si>
    <t>978-5-16-019163-8</t>
  </si>
  <si>
    <t>38.03.01, 38.03.02, 38.03.05, 38.03.06, 38.04.01, 38.04.02, 38.04.05, 38.04.06, 38.04.08, 38.05.01, 38.05.02</t>
  </si>
  <si>
    <t>Рекомендовано Учебно-методическим отделом высшего образования в качестве учебника и практикума для студентов высших учебных заведений, обучающихся по экономическим направлениям</t>
  </si>
  <si>
    <t>659643.03.01</t>
  </si>
  <si>
    <t>Частицы в современном русском яз. Развитие...: Уч.пос. / В.Н.Шапошников-М.:НИЦ ИНФРА-М,2023-156с(П)</t>
  </si>
  <si>
    <t>ЧАСТИЦЫ В СОВРЕМЕННОМ РУССКОМ ЯЗЫКЕ. РАЗВИТИЕ ГРАММАТИЧЕСКОГО КЛАССА</t>
  </si>
  <si>
    <t>Шапошников В.Н.</t>
  </si>
  <si>
    <t>978-5-16-013026-2</t>
  </si>
  <si>
    <t>45.03.01, 45.03.03</t>
  </si>
  <si>
    <t>Рекомендовано в качестве учебного пособия для студентов высших учебных заведений, обучающихся по направлению подготовки 45.04.01 «Филология» (квалификация (степень) «магистр»)</t>
  </si>
  <si>
    <t>330700.11.01</t>
  </si>
  <si>
    <t>Частная проктология. Геморрой: Уч.пос. / И.В.Макаров - М.:Форум, НИЦ ИНФРА-М,2025. - 96 с.-(ВО)(о)</t>
  </si>
  <si>
    <t>ЧАСТНАЯ ПРОКТОЛОГИЯ. ГЕМОРРОЙ</t>
  </si>
  <si>
    <t>Макаров И.В., Долгих О.Ю.</t>
  </si>
  <si>
    <t>978-5-00091-025-2</t>
  </si>
  <si>
    <t>Рекомендовано в качестве учебного пособия для студентов высших учебных заведений, обучающихся по основным профессиональным образовательным программам высшего образования — программам специалитета «Лечебное дело» и «Педиатрия»</t>
  </si>
  <si>
    <t>416800.09.01</t>
  </si>
  <si>
    <t>Человек в биосфере: Уч.пос. / Л.Н.Ердаков-М.:НИЦ ИНФРА-М,2024.-206 с.(ВО)(п)</t>
  </si>
  <si>
    <t>ЧЕЛОВЕК В БИОСФЕРЕ</t>
  </si>
  <si>
    <t>978-5-16-019159-1</t>
  </si>
  <si>
    <t>05.03.06, 05.04.06, 06.03.01, 06.03.02, 06.04.01</t>
  </si>
  <si>
    <t>431300.05.01</t>
  </si>
  <si>
    <t>Человек и его потребности: Уч. пос. / Б.М. Генкин. - М.: Норма:  НИЦ ИНФРА-М, 2023. - 256 с. (п)</t>
  </si>
  <si>
    <t>ЧЕЛОВЕК И ЕГО ПОТРЕБНОСТИ</t>
  </si>
  <si>
    <t>978-5-91768-348-5</t>
  </si>
  <si>
    <t>38.03.02, 38.03.03, 38.04.02, 38.04.03, 41.03.06, 43.03.01, 43.03.02, 43.03.03, 43.04.01, 43.04.02, 43.04.03</t>
  </si>
  <si>
    <t>258300.13.01</t>
  </si>
  <si>
    <t>Чертеж архитект.сооруж.в ортогон.проекц: Уч.пос. / И.А.Максимова - М.: КУРС,НИЦ ИНФРА-М,2025 - 112 с.(Бакалавр.)(О)</t>
  </si>
  <si>
    <t>ЧЕРТЕЖ АРХИТЕКТУРНОГО СООРУЖЕНИЯ В ОРТОГОНАЛЬНЫХ ПРОЕКЦИЯХ</t>
  </si>
  <si>
    <t>Максимова И. А., Лисенкова Ю. В.</t>
  </si>
  <si>
    <t>978-5-905554-50-6</t>
  </si>
  <si>
    <t>07.03.01, 07.03.02, 07.03.03, 07.03.04, 08.03.01</t>
  </si>
  <si>
    <t>222500.10.01</t>
  </si>
  <si>
    <t>Черчение: Уч. / И.С.Вышнепольский - 3 изд., - М.:НИЦ ИНФРА-М,2024 - 400 с.(СПО)(П)</t>
  </si>
  <si>
    <t>ЧЕРЧЕНИЕ, ИЗД.3</t>
  </si>
  <si>
    <t>Вышнепольский И.С., Вышнепольский В.И.</t>
  </si>
  <si>
    <t>978-5-16-005474-2</t>
  </si>
  <si>
    <t>15.02.03, 15.02.04, 15.02.06, 15.02.09, 15.02.16, 15.02.17, 15.02.18, 15.02.19</t>
  </si>
  <si>
    <t>Рекомендовано в качестве учебника для учебных заведений, реализующих программу среднего профессионального образования по техническим специальностям</t>
  </si>
  <si>
    <t>465950.07.01</t>
  </si>
  <si>
    <t>Численные методы в матем. моделир.: Уч.пос. / Н.П.Савенкова - 2 изд.-М.:НИЦ ИНФРА-М,2023.-176 с.(о)</t>
  </si>
  <si>
    <t>ЧИСЛЕННЫЕ МЕТОДЫ В МАТЕМАТИЧЕСКОМ МОДЕЛИРОВАНИИ, ИЗД.2</t>
  </si>
  <si>
    <t>Савенкова Н.П., Проворова О.Г., Мокин А.Ю.</t>
  </si>
  <si>
    <t>978-5-16-018743-3</t>
  </si>
  <si>
    <t>01.03.04, 02.03.03, 02.04.03, 03.03.02, 09.04.03</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</si>
  <si>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ВО 01.03.04 «Прикладная математика» и 02.03.02 «Фундаментальная информатика и информационные технологии»</t>
  </si>
  <si>
    <t>085730.20.01</t>
  </si>
  <si>
    <t>Численные методы и програм.: Уч.пос. / Под ред. Гагариной Л.Г.-М.:ИД ФОРУМ,НИЦ ИНФРА-М,2025-336с.(СПО)(П)</t>
  </si>
  <si>
    <t>ЧИСЛЕННЫЕ МЕТОДЫ И ПРОГРАММИРОВАНИЕ</t>
  </si>
  <si>
    <t>Колдаев В.Д., Гагарина Л.Г.</t>
  </si>
  <si>
    <t>978-5-8199-0779-5</t>
  </si>
  <si>
    <t>09.02.01, 09.02.02, 09.02.03, 09.02.04, 09.02.05, 09.02.07, 09.02.10</t>
  </si>
  <si>
    <t>753321.02.01</t>
  </si>
  <si>
    <t>Численные методы линейной алгебры: Уч.пос. / Г.С.Шевцов - 3 изд.-М.:Магистр, НИЦ ИНФРА-М,2022.-528 с.(П)</t>
  </si>
  <si>
    <t>ЧИСЛЕННЫЕ МЕТОДЫ ЛИНЕЙНОЙ АЛГЕБРЫ, ИЗД.3</t>
  </si>
  <si>
    <t>Шевцов Г.С., Крюкова О.Г., Мызникова Б.И.</t>
  </si>
  <si>
    <t>978-5-9776-0489-5</t>
  </si>
  <si>
    <t>01.03.01, 01.03.02, 01.03.03, 01.03.04, 02.03.01, 02.03.02, 02.03.03, 03.03.02, 03.03.03, 04.03.02, 24.03.01, 38.03.01</t>
  </si>
  <si>
    <t>289600.05.01</t>
  </si>
  <si>
    <t>Численные методы расчета в энергомаш.: Уч.пос. / А.Н.Гоц - 3изд.- М.:Форум, НИЦ ИНФРА-М,2022-352с(ВО)</t>
  </si>
  <si>
    <t>ЧИСЛЕННЫЕ МЕТОДЫ РАСЧЕТА В ЭНЕРГОМАШИНОСТРОЕНИИ, ИЗД.3</t>
  </si>
  <si>
    <t>978-5-91134-926-4</t>
  </si>
  <si>
    <t>13.03.03, 13.04.03</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</si>
  <si>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13.03.03 «Энергетическое машиностроение», профиль «Двигатели внутреннего сгора</t>
  </si>
  <si>
    <t>635935.03.01</t>
  </si>
  <si>
    <t>Численные методы. Практикум: Уч.пос. / А.В.Пантелеев - М.:НИЦ ИНФРА-М,2023 - 512 с.(ВО)(П)</t>
  </si>
  <si>
    <t>ЧИСЛЕННЫЕ МЕТОДЫ. ПРАКТИКУМ</t>
  </si>
  <si>
    <t>Пантелеев А.В., Кудрявцева И.А.</t>
  </si>
  <si>
    <t>978-5-16-018445-6</t>
  </si>
  <si>
    <t>01.03.01, 01.03.02, 01.03.03, 01.03.04, 02.03.01, 02.03.02, 02.03.03, 03.03.02, 03.03.03, 04.03.02, 26.04.01</t>
  </si>
  <si>
    <t>233600.05.01</t>
  </si>
  <si>
    <t>Численные методы...: Уч.пос. / В.Б.Маничев - М.: НИЦ ИНФРА-М, 2025 - 152 с. (ВО:Бакалавр.)(О)</t>
  </si>
  <si>
    <t>ЧИСЛЕННЫЕ МЕТОДЫ. ДОСТОВЕРНОЕ И ТОЧНОЕ ЧИСЛЕННОЕ РЕШЕНИЕ ДИФФЕРЕНЦИАЛЬНЫХ И АЛГЕБРАИЧЕСКИХ УРАВНЕНИЙ В CAE-СИСТЕМАХ САПР</t>
  </si>
  <si>
    <t>Маничев В.Б., Глазкова В.В., Кузьмина И.А.</t>
  </si>
  <si>
    <t>978-5-16-010366-2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</si>
  <si>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09.03.03 «Прикладная информатика», 09.03.04 «Программная инженерия»</t>
  </si>
  <si>
    <t>670833.01.01</t>
  </si>
  <si>
    <t>Численные методы: Уч.пос. / А.С.Шевченко - М.:НИЦ ИНФРА-М,2022 - 381 с.(ВО: Бакалавриат)(П)</t>
  </si>
  <si>
    <t>ЧИСЛЕННЫЕ МЕТОДЫ</t>
  </si>
  <si>
    <t>978-5-16-014605-8</t>
  </si>
  <si>
    <t>01.03.01, 01.03.02, 01.03.03, 01.03.04, 01.05.01, 02.03.01, 02.03.02, 02.03.03, 03.03.02, 03.03.03, 04.03.02, 12.03.01, 21.05.04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</si>
  <si>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математическим, естественным и техническим направлениям подготовки (квалификация (степень) «бакалавр») (протокол № 6 от 16.06.2021)</t>
  </si>
  <si>
    <t>427350.08.01</t>
  </si>
  <si>
    <t>Швейные нитки и клеевые материалы для одежды: Уч.пос. / Б.А.Бузов - М.:ИД ФОРУМ, НИЦ ИНФРА-М,2022-192с(ВО)(П)</t>
  </si>
  <si>
    <t>ШВЕЙНЫЕ НИТКИ И КЛЕЕВЫЕ МАТЕРИАЛЫ ДЛЯ ОДЕЖДЫ</t>
  </si>
  <si>
    <t>Бузов Б.А., Смирнова Н.А.</t>
  </si>
  <si>
    <t>978-5-8199-0863-1</t>
  </si>
  <si>
    <t>29.03.01, 29.03.02, 29.03.05, 29.04.01, 29.04.02, 43.03.01, 43.04.01</t>
  </si>
  <si>
    <t>Рекомендовано Учебно-методическим объединением по образованию в области технологии, конструировании изделий легкой промышленности в качестве учебного пособия для студентов высших учебных заведений, обучающихся по направлениям подготовки бакалавров и</t>
  </si>
  <si>
    <t>423150.06.01</t>
  </si>
  <si>
    <t>Шизофрения и сахарный диабет типа 2...: Уч.пос. / Л.М.Барденштейн - М.: НИЦ ИНФРА-М,2024-83с.(ВО)(о)</t>
  </si>
  <si>
    <t>ШИЗОФРЕНИЯ И САХАРНЫЙ ДИАБЕТ ТИПА 2 (ВОПРОСЫ КОМОРБИДНОСТИ И ПСИХОФАРМАКОТЕРАПИИ)</t>
  </si>
  <si>
    <t>Барденштейн Л. М., Мкртумян А. М., Алешкина Г. А.</t>
  </si>
  <si>
    <t>978-5-16-006573-1</t>
  </si>
  <si>
    <t>690265.01.01</t>
  </si>
  <si>
    <t>ЭВМ и периферийные устройства: Уч.пос. / В.Ф.Лянг-М.:НИЦ ИНФРА-М,2023.-580 с.(ВО: Бакалавр.)(п)</t>
  </si>
  <si>
    <t>ЭВМ И ПЕРИФЕРИЙНЫЕ УСТРОЙСТВА</t>
  </si>
  <si>
    <t>978-5-16-018135-6</t>
  </si>
  <si>
    <t>09.03.01, 09.05.01</t>
  </si>
  <si>
    <t>664909.02.01</t>
  </si>
  <si>
    <t>Эволюция восприятия маркетинга. Проект..: Уч.практ.пос./В.И.Грушенко-М.:НИЦ ИНФРА-М,2023-360с(ВО)(П)</t>
  </si>
  <si>
    <t>ЭВОЛЮЦИЯ ВОСПРИЯТИЯ МАРКЕТИНГА. ПРОЕКТИРОВАНИЕ МАРКЕТИНГОВОЙ СТРАТЕГИИ</t>
  </si>
  <si>
    <t>Грушенко В.И.</t>
  </si>
  <si>
    <t>978-5-16-013811-4</t>
  </si>
  <si>
    <t>27.03.02, 35.03.03, 35.03.04, 38.03.02, 38.03.05, 38.04.05, 44.03.01, 44.03.05</t>
  </si>
  <si>
    <t>848910.01.01</t>
  </si>
  <si>
    <t>Эволюция российской государственности..: Моногр. / А.Ю.Саломатин -М.:ИЦ РИОР, НИЦ ИНФРА-М,2025.-281 с.(п)</t>
  </si>
  <si>
    <t>ЭВОЛЮЦИЯ РОССИЙСКОЙ ГОСУДАРСТВЕННОСТИ: СРАВНИТЕЛЬНЫЙ ЦИВИЛИЗАЦИОННО-МОДЕРНИЗАЦИОННЫЙ АНАЛИЗ</t>
  </si>
  <si>
    <t>Саломатин А.Ю., Гуляков А.Д., Бахлов И.В.</t>
  </si>
  <si>
    <t>978-5-369-01976-4</t>
  </si>
  <si>
    <t>00.05.18, 40.04.01, 40.05.01, 40.05.02, 40.05.03, 40.05.04, 40.06.01</t>
  </si>
  <si>
    <t>450700.08.01</t>
  </si>
  <si>
    <t>Экодиагностика и сбалансир. разв.: Уч. пос. / Б.И.Кочуров - 2 изд. - М.:НИЦ ИНФРА-М,2024 -362 с.(ВО)(п)</t>
  </si>
  <si>
    <t>ЭКОДИАГНОСТИКА И СБАЛАНСИРОВАННОЕ РАЗВИТИЕ, ИЗД.2</t>
  </si>
  <si>
    <t>Кочуров Б.И.</t>
  </si>
  <si>
    <t>978-5-16-019602-2</t>
  </si>
  <si>
    <t>Рекомендовано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05.03.02 «География»</t>
  </si>
  <si>
    <t>Институт географии Российской академии наук</t>
  </si>
  <si>
    <t>686097.04.01</t>
  </si>
  <si>
    <t>Экологическая безоп.конструкционных матер.: Уч.пос. / В.П.Дмитренко.-М.:НИЦ ИНФРА-М,2023.-228 с.(ВО)(П)</t>
  </si>
  <si>
    <t>ЭКОЛОГИЧЕСКАЯ БЕЗОПАСНОСТЬ КОНСТРУКЦИОННЫХ МАТЕРИАЛОВ</t>
  </si>
  <si>
    <t>Дмитренко В.П., Горбачев С.И., Мануйлова Н.Б. и др.</t>
  </si>
  <si>
    <t>978-5-16-014958-5</t>
  </si>
  <si>
    <t>15.04.01, 15.04.02, 15.05.01, 15.06.01, 22.04.01, 22.04.02, 22.06.01</t>
  </si>
  <si>
    <t>Рекомендовано Редакционно-издательским советом Московского авиационного института (национального исследовательского университета) вкачестве учебного пособия</t>
  </si>
  <si>
    <t>469900.05.01</t>
  </si>
  <si>
    <t>Экологическая безоп.на предпр.легкой промышл.: Уч.пос. /О.Г.Любская-М.:НИЦ ИНФРА-М,2023-158с.(ВО)(о)</t>
  </si>
  <si>
    <t>ЭКОЛОГИЧЕСКАЯ БЕЗОПАСНОСТЬ НА ПРЕДПРИЯТИЯХ ЛЕГКОЙ ПРОМЫШЛЕННОСТИ</t>
  </si>
  <si>
    <t>Любская О.Г., Свищев Г.А., Седляров О.И.</t>
  </si>
  <si>
    <t>978-5-16-010684-7</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</si>
  <si>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бакалавров и магистров 20.03.01 и 20.04.01 « Техносферная безопасность»</t>
  </si>
  <si>
    <t>646430.03.01</t>
  </si>
  <si>
    <t>Экологическая безопасность строит. матер.: Уч.пос. / Н.И.Зубрев - М.:НИЦ ИНФРА-М,2023 - 195 с.(ВО)(П)</t>
  </si>
  <si>
    <t>ЭКОЛОГИЧЕСКАЯ БЕЗОПАСНОСТЬ СТРОИТЕЛЬНЫХ МАТЕРИАЛОВ</t>
  </si>
  <si>
    <t>Зубрев Н.И., Устинова М.В.</t>
  </si>
  <si>
    <t>978-5-16-015019-2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</si>
  <si>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11 от 09.11.2020)</t>
  </si>
  <si>
    <t>677848.03.01</t>
  </si>
  <si>
    <t>Экологическая геология: Уч. / А.О.Серебряков - М.:НИЦ ИНФРА-М,2024 - 235 с.(ВО)(П)</t>
  </si>
  <si>
    <t>ЭКОЛОГИЧЕСКАЯ ГЕОЛОГИЯ</t>
  </si>
  <si>
    <t>Серебряков А.О.</t>
  </si>
  <si>
    <t>978-5-16-020027-9</t>
  </si>
  <si>
    <t>Рекомендовано Федеральным учебно-методическим объединением Минобрнауки России для бакалавров высших учебных заведений, обучающихся по направлению 05.03.01 «Геология»</t>
  </si>
  <si>
    <t>363200.05.01</t>
  </si>
  <si>
    <t>Экологическая и продов.безопасность: Уч.пос./Р.И.Айзман-М.:НИЦ ИНФРА-М,2023-240с.(ВО:Бакалавриат)(п)</t>
  </si>
  <si>
    <t>ЭКОЛОГИЧЕСКАЯ И ПРОДОВОЛЬСТВЕННАЯ БЕЗОПАСНОСТЬ</t>
  </si>
  <si>
    <t>Айзман Р.И., Иашвили М.В., Петров С.В. и др.</t>
  </si>
  <si>
    <t>978-5-16-010973-2</t>
  </si>
  <si>
    <t>Рекомендовано УМО по образованию в области подготовки педагогических кадров в качестве учебного пособия для студентов высших учебных заведений</t>
  </si>
  <si>
    <t>474150.07.01</t>
  </si>
  <si>
    <t>Экологическая токсикология и биотестирование вод..: Уч.пос./С.В.Котелевцев-НИЦ ИНФРА-М,2023-252с.(ВО)</t>
  </si>
  <si>
    <t>ЭКОЛОГИЧЕСКАЯ ТОКСИКОЛОГИЯ И БИОТЕСТИРОВАНИЕ ВОДНЫХ ЭКОСИСТЕМ</t>
  </si>
  <si>
    <t>С.В.Котелевцев, Д.Н.Маторин, А.П.Садчиков</t>
  </si>
  <si>
    <t>978-5-16-010160-6</t>
  </si>
  <si>
    <t>Допущено Учебно-методическим объединением по классическому университетскому образованию в качестве учебного пособия для студентов высших учебних заведений, обучающихся по направлению 06.03.01 «Биология» и смежным направлениям</t>
  </si>
  <si>
    <t>703673.03.01</t>
  </si>
  <si>
    <t>Экологическая эпидемиология и оценка риска: Уч. / В.В.Стрельников-М.:НИЦ ИНФРА-М,2023.-320 с.(ВО: Бакалавр.)(П)</t>
  </si>
  <si>
    <t>ЭКОЛОГИЧЕСКАЯ ЭПИДЕМИОЛОГИЯ И ОЦЕНКА РИСКА</t>
  </si>
  <si>
    <t>Стрельников В.В., Хмара И.В.</t>
  </si>
  <si>
    <t>978-5-16-015167-0</t>
  </si>
  <si>
    <t>05.03.06, 31.05.01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</si>
  <si>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05.03.06 «Экология и природопользование» (квалификация (степень) «бакалавр») (протокол № 10 от 12.10.2020)</t>
  </si>
  <si>
    <t>818407.01.01</t>
  </si>
  <si>
    <t>Экологические основы инновац. деят.: Уч.пос. / А.В.Вершков-М.:НИЦ ИНФРА-М, СФУ,2024.-221 с.(ВО (СФУ))(п)</t>
  </si>
  <si>
    <t>ЭКОЛОГИЧЕСКИЕ ОСНОВЫ ИННОВАЦИОННОЙ ДЕЯТЕЛЬНОСТИ</t>
  </si>
  <si>
    <t>978-5-16-019507-0</t>
  </si>
  <si>
    <t>27.03.05, 38.04.01, 38.04.04</t>
  </si>
  <si>
    <t>084040.19.01</t>
  </si>
  <si>
    <t>Экологические основы природопольз.: Уч.пос. / Е.К.Хандогина - 2 изд. - М.:Форум, НИЦ ИНФРА-М,2025 - 160 с.(СПО)(О)</t>
  </si>
  <si>
    <t>ЭКОЛОГИЧЕСКИЕ ОСНОВЫ ПРИРОДОПОЛЬЗОВАНИЯ, ИЗД.2</t>
  </si>
  <si>
    <t>Хандогина Е.К., Герасимова Н.А., Хандогина А.В. и др.</t>
  </si>
  <si>
    <t>978-5-00091-475-5</t>
  </si>
  <si>
    <t>00.02.36, 05.02.01</t>
  </si>
  <si>
    <t>038200.24.01</t>
  </si>
  <si>
    <t>Экологические основы природопользования: Уч. / М.В.Гальперин - 2 изд.- М.:НИЦ ИНФРА-М,2025 - 256 с.(СПО)(П)</t>
  </si>
  <si>
    <t>Гальперин М.В.</t>
  </si>
  <si>
    <t>978-5-16-016287-4</t>
  </si>
  <si>
    <t>00.02.36</t>
  </si>
  <si>
    <t>799530.01.01</t>
  </si>
  <si>
    <t>Экологические основы природопользования: Уч.пос. / И.С.Коротченко-М.:НИЦ ИНФРА-М,2024-153с.(СПО (КрГАУ))(п)</t>
  </si>
  <si>
    <t>ЭКОЛОГИЧЕСКИЕ ОСНОВЫ ПРИРОДОПОЛЬЗОВАНИЯ</t>
  </si>
  <si>
    <t>Коротченко И.С., Романова. О.В.</t>
  </si>
  <si>
    <t>978-5-16-019009-9</t>
  </si>
  <si>
    <t>35.02.07, 35.02.08, 35.02.14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</si>
  <si>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качестве¶учебного пособия для студентов по специальностям 35.02.07 «Механизация сельского хозяйства», 35.02.08 «Электрификация и автоматизация сельского хозяйства», 35.02.13 «Пчеловодство», 35.02.14 «Охотоведение и звероводство»,19.02.08 «Технология мяса и мясных продуктов»</t>
  </si>
  <si>
    <t>666546.04.01</t>
  </si>
  <si>
    <t>Экологические свойства автомоб. эксплуат. матер.: Уч.пос./А.И.Грушевский-М:НИЦ ИНФРА-М,СФУ,2023-217с</t>
  </si>
  <si>
    <t>ЭКОЛОГИЧЕСКИЕ СВОЙСТВА АВТОМОБИЛЬНЫХ ЭКСПЛУАТАЦИОННЫХ МАТЕРИАЛОВ</t>
  </si>
  <si>
    <t>Грушевский А.И., Кашура А.С., Блянкинштейн И.М. и др.</t>
  </si>
  <si>
    <t>978-5-16-013134-4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</si>
  <si>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направлениям подготовки бакалавров «Технология транспортных процессов» (профиль подготовки: «Организация перевозок и управление на автомобильном транспорте») и «Эксплуатация транспортно-технологических машин и комплексов» (профили подготовки: «Автомобили и автомобильное хозяйство», «Автомобильный сервис», «Сервис транспортных и транспортно-технологических машин и оборудования (Нефте-продуктообеспечение и газоснабжение)», «Сервис транспортных и транспортно-технологических машин и оборудования (Трубопроводный транспорт нефти и газа)»)</t>
  </si>
  <si>
    <t>636266.07.01</t>
  </si>
  <si>
    <t>Экологический каркас территории: Уч.пос. / Л.И.Егоренков - М.:НИЦ ИНФРА-М,2023 -73с(ВО:Бакалавр.)(О)</t>
  </si>
  <si>
    <t>ЭКОЛОГИЧЕСКИЙ КАРКАС ТЕРРИТОРИИ</t>
  </si>
  <si>
    <t>978-5-16-012954-9</t>
  </si>
  <si>
    <t>403850.11.01</t>
  </si>
  <si>
    <t>Экологический мониторинг водных объектов: Уч.пос. / И.О.Тихонова-2изд..-М.:НИЦ ИНФРА-М,2023-202 с(П)</t>
  </si>
  <si>
    <t>ЭКОЛОГИЧЕСКИЙ МОНИТОРИНГ ВОДНЫХ ОБЪЕКТОВ, ИЗД.2</t>
  </si>
  <si>
    <t>978-5-16-015959-1</t>
  </si>
  <si>
    <t>05.03.06, 05.04.06, 18.03.02, 20.03.01, 20.03.02</t>
  </si>
  <si>
    <t>Допущено Учебно-методическим объединением по образованию в области химической технологии и биотехнологии в качестве учебного пособия для студентов вузов, обучающихся по направлению «Энерго- и ресурсосберегающие процессы в химической технологии, нефтехимии и биотехнологии»</t>
  </si>
  <si>
    <t>443350.09.01</t>
  </si>
  <si>
    <t>Экологический мониторинг и экологич. экспертиза: Уч.пос. / Под ред. Ясовеева М.Г.-М.:НИЦ ИНФРА-М,2023.-304с(п)</t>
  </si>
  <si>
    <t>ЭКОЛОГИЧЕСКИЙ МОНИТОРИНГ И ЭКОЛОГИЧЕСКАЯ ЭКСПЕРТИЗА</t>
  </si>
  <si>
    <t>Ясовеев М.Г., Стреха Н.Л., Какарека Э.В. и др.</t>
  </si>
  <si>
    <t>978-5-16-006845-9</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</si>
  <si>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«География. Охрана природы» Рекомендовано в качестве учебного пособия для студентов высших учебных заведений, обучающихся по направлениям подготовки 05.03.06. «Экология и природопользование» и 20.03.02. «Природообустройство и водопользование» (квалификация (степень) «бакалавр»)</t>
  </si>
  <si>
    <t>658444.10.01</t>
  </si>
  <si>
    <t>Экологический мониторинг почв: Уч.пос. / И.О.Тихонова - М.:НИЦ ИНФРА-М,2023 - 106 с.(ВО)(О)</t>
  </si>
  <si>
    <t>ЭКОЛОГИЧЕСКИЙ МОНИТОРИНГ ПОЧВ</t>
  </si>
  <si>
    <t>Тихонова И.О.</t>
  </si>
  <si>
    <t>978-5-16-013155-9</t>
  </si>
  <si>
    <t>05.03.06, 18.03.02, 20.03.01, 20.03.02</t>
  </si>
  <si>
    <t>Допущено Учебно-методическим объединением по образованию в области химической технологии и биотехнологии в качестве учебного пособия для бакалавров и магистров, обучающихся по направлениям подготовки «Экология и природопользование», «Энерго- и ресурсосберегающие процессы в химической технологии, нефтехимии и биотехнологии», «Техносферная безопасность»</t>
  </si>
  <si>
    <t>703670.03.01</t>
  </si>
  <si>
    <t>Экологический мониторинг: Уч. / В.В.Стрельников - М.:НИЦ ИНФРА-М,2023 - 372 с.(ВО: Бакалавриат)(П)</t>
  </si>
  <si>
    <t>ЭКОЛОГИЧЕСКИЙ МОНИТОРИНГ</t>
  </si>
  <si>
    <t>Стрельников В.В., Мельченко А.И.</t>
  </si>
  <si>
    <t>978-5-16-015166-3</t>
  </si>
  <si>
    <t>720048.04.01</t>
  </si>
  <si>
    <t>Экологический мониторинг: Уч.пос. / Е.П.Лысова - М.:НИЦ ИНФРА-М,2023 - 151 с.-(ВО: Бакалавриат)(П)</t>
  </si>
  <si>
    <t>Лысова Е.П., Парамонова О.Н., Самарская Н.С. и др.</t>
  </si>
  <si>
    <t>978-5-16-015918-8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</si>
  <si>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(квалификация (степень) «бакалавр») (протокол № 17 от 11.11.2019)</t>
  </si>
  <si>
    <t>081550.12.01</t>
  </si>
  <si>
    <t>Экологическое право. Практикум: Уч.пос. / Е.И.Майорова - 3 изд. - М.:НИЦ ИНФРА-М,2024 - 133 с.(СПО)(П)</t>
  </si>
  <si>
    <t>ЭКОЛОГИЧЕСКОЕ ПРАВО. ПРАКТИКУМ, ИЗД.3</t>
  </si>
  <si>
    <t>Майорова Е.И., Попов В.А.</t>
  </si>
  <si>
    <t>978-5-16-014317-0</t>
  </si>
  <si>
    <t>Рекомендовано Министерством образования и науки Российской Федерации в качестве учебного пособия для студентов учебных заведений среднего профессионального образования, обучающихся по специальностям правоведческого профиля</t>
  </si>
  <si>
    <t>081550.08.01</t>
  </si>
  <si>
    <t>Экологическое право. Практикум: уч.пос. / Е.И.Майорова, - 2-е изд.-М.:ИД Форум, НИЦ ИНФРА-М,2018.-240 с..-(СПО)(п)</t>
  </si>
  <si>
    <t>ЭКОЛОГИЧЕСКОЕ ПРАВО. ПРАКТИКУМ, ИЗД.2</t>
  </si>
  <si>
    <t>Майорова Е. И., Попов В. А.</t>
  </si>
  <si>
    <t>978-5-8199-0491-6</t>
  </si>
  <si>
    <t>Допущено Министерством образования РФв качестве учебного пособия для студентов учреждений среднего профессионального образования, обучающихся по правоведческим специальностям</t>
  </si>
  <si>
    <t>036720.18.01</t>
  </si>
  <si>
    <t>Экологическое право: Уч. / Б.В.Ерофеев, - 5 изд. - М.:ИД Форум, НИЦ ИНФРА-М,2025. - 399 с.(СПО)(п)</t>
  </si>
  <si>
    <t>ЭКОЛОГИЧЕСКОЕ ПРАВО, ИЗД.5</t>
  </si>
  <si>
    <t>Ерофеев Б.В.</t>
  </si>
  <si>
    <t>978-5-8199-0695-8</t>
  </si>
  <si>
    <t>Рекомендовано Министерством образования и науки Российской Федерации в качестве учебника для студентов учебных заведений среднего профессионального образования, обучающихся по специальностям правоведческого профиля</t>
  </si>
  <si>
    <t>726239.06.01</t>
  </si>
  <si>
    <t>Экологическое право: Уч. / Н.В.Барбашова - М.:НИЦ ИНФРА-М,2025 - 538 с.(ВО: Специалитет)(П)</t>
  </si>
  <si>
    <t>ЭКОЛОГИЧЕСКОЕ ПРАВО</t>
  </si>
  <si>
    <t>Барбашова Н.В.</t>
  </si>
  <si>
    <t>978-5-16-016098-6</t>
  </si>
  <si>
    <t>00.03.08, 40.03.01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</si>
  <si>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направлениям подготовки (квалификация «юрист») (протокол № 6 от 16.06.2021)</t>
  </si>
  <si>
    <t>355600.15.01</t>
  </si>
  <si>
    <t>Экологическое право: Уч. / О.И.Крассов - 4 изд. - М:Юр.Норма,НИЦ ИНФРА-М,2025 - 528 с.(Для юр.вузов и фак.)</t>
  </si>
  <si>
    <t>ЭКОЛОГИЧЕСКОЕ ПРАВО, ИЗД.4</t>
  </si>
  <si>
    <t>978-5-91768-632-5</t>
  </si>
  <si>
    <t>05.03.06, 40.03.01, 40.05.01, 40.05.02, 40.05.03, 40.05.04</t>
  </si>
  <si>
    <t>657184.02.01</t>
  </si>
  <si>
    <t>Экологичные системы защиты воздуш. среды объект. автотр. компл.: Уч.пос./В.А.Михайлов -М.:НИЦ ИНФРА-М,2020-178с.(ВО) (П)</t>
  </si>
  <si>
    <t>ЭКОЛОГИЧНЫЕ СИСТЕМЫ ЗАЩИТЫ ВОЗДУШНОЙ СРЕДЫ ОБЪЕКТОВ АВТОТРАНСПОРТНОГО КОМПЛЕКСА</t>
  </si>
  <si>
    <t>Михайлов В.А., Сотникова Е.В., Калпина Н.Ю.</t>
  </si>
  <si>
    <t>978-5-16-012929-7</t>
  </si>
  <si>
    <t>05.03.06, 20.03.01, 23.03.02, 23.03.03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</si>
  <si>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«Наземные транспортно-технологические средства»</t>
  </si>
  <si>
    <t>657184.03.01</t>
  </si>
  <si>
    <t>Экологичные системы защиты воздуш. среды объект. автотр. компл.: Уч.пос./В.А.Михайлов -М.:НИЦ ИНФРА-М,2022-178с.(ВО) (П)</t>
  </si>
  <si>
    <t>ЭКОЛОГИЧНЫЕ СИСТЕМЫ ЗАЩИТЫ ВОЗДУШНОЙ СРЕДЫ ОБЪЕКТОВ АВТОТРАНСПОРТНОГО КОМПЛЕКСА, ИЗД.2</t>
  </si>
  <si>
    <t>978-5-16-016284-3</t>
  </si>
  <si>
    <t>406750.07.01</t>
  </si>
  <si>
    <t>Экология и бизнес = Green Business: Уч. пос. / З.В.Маньковская - М.: Инфра-М, 2025 - 144 с.(ВО: Бакалавр.) (о)</t>
  </si>
  <si>
    <t>ЭКОЛОГИЯ И БИЗНЕС = GREEN BUSINESS</t>
  </si>
  <si>
    <t>978-5-16-006496-3</t>
  </si>
  <si>
    <t>05.03.06, 38.03.01, 38.03.02, 38.03.03, 38.03.04, 38.03.05, 38.03.06, 38.03.07, 45.03.02, 45.05.01</t>
  </si>
  <si>
    <t>799529.01.01</t>
  </si>
  <si>
    <t>Экология и рационал. природопользование: практикум: Уч.пос. / И.С.Коротченко-М.:НИЦ ИНФРА-М,2024.-164 с.(п)</t>
  </si>
  <si>
    <t>ЭКОЛОГИЯ И РАЦИОНАЛЬНОЕ ПРИРОДОПОЛЬЗОВАНИЕ: ПРАКТИКУМ</t>
  </si>
  <si>
    <t>978-5-16-019000-6</t>
  </si>
  <si>
    <t>06.03.01, 35.03.07, 35.03.10, 36.03.02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</si>
  <si>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по направлению подготовки 35.03.07 «Технология производства и переработки сельскохозяйственной продукции»</t>
  </si>
  <si>
    <t>115600.10.01</t>
  </si>
  <si>
    <t>Экология и экологическая безоп.авто.: Уч. / М.В.Графкина- 2 изд.-М.:Форум,НИЦ ИНФРА-М, 2024-320с.(П)</t>
  </si>
  <si>
    <t>ЭКОЛОГИЯ И ЭКОЛОГИЧЕСКАЯ БЕЗОПАСНОСТЬ АВТОМОБИЛЯ, ИЗД.2</t>
  </si>
  <si>
    <t>Графкина М. В., Михайлов В. А., Иванов К. С.</t>
  </si>
  <si>
    <t>978-5-00091-117-4</t>
  </si>
  <si>
    <t>05.03.06, 15.03.01, 15.03.02, 15.03.03, 15.03.04, 15.03.05, 15.03.06, 23.03.01, 23.03.02, 23.03.03</t>
  </si>
  <si>
    <t>Допущено УМО вузов РФ по образованию в области транспортных машин и транспортно-технологических комплексов честве учебника для студентов, обучающихся по специальности «Автомобиле- и тракторостроение»</t>
  </si>
  <si>
    <t>634133.06.01</t>
  </si>
  <si>
    <t>Экология природопользования: Уч.пос. / В.П.Герасименко - М.:НИЦ ИНФРА-М,2025 - 355 с.(ВО)(П)</t>
  </si>
  <si>
    <t>ЭКОЛОГИЯ ПРИРОДОПОЛЬЗОВАНИЯ</t>
  </si>
  <si>
    <t>Герасименко В.П.</t>
  </si>
  <si>
    <t>978-5-16-012098-0</t>
  </si>
  <si>
    <t>00.03.12, 05.03.06, 20.03.01, 20.03.02, 35.03.04, 35.03.05, 35.03.07</t>
  </si>
  <si>
    <t>Допущено Учебно-методическим объединением вузов РФ по агрономическому образованию в качестве учебного пособия для бакалавров, обучающихся по направлениям подготовки 35.03.04 «Агрономия», 35.03.05 «Садоводство», 35.03.07 «Технология производства и переработки сельскохозяйственной продукции». Рекомендовано к изданию Федеральным учебно-методическим объединением по УГСН «Техносферная безопасность и природообустройство» для студентов, обучающихся по направлению подготовки 20.03.02 «Природообустройство и водопользование»</t>
  </si>
  <si>
    <t>Курский государственный аграрный университет имени И.И. Иванова</t>
  </si>
  <si>
    <t>638070.07.01</t>
  </si>
  <si>
    <t>Экология растений: Уч. / Н.А.Березина - 2 изд. - М.:НИЦ ИНФРА-М,2025 - 408 с.(ВО: Бакалавриат)(П)</t>
  </si>
  <si>
    <t>ЭКОЛОГИЯ РАСТЕНИЙ, ИЗД.2</t>
  </si>
  <si>
    <t>Березина Н.А., Афанасьева Н.Б.</t>
  </si>
  <si>
    <t>978-5-16-012239-7</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</si>
  <si>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05.03.06 «Экология и природопользование»</t>
  </si>
  <si>
    <t>Зоологический институт Российской Академии Наук</t>
  </si>
  <si>
    <t>263300.07.01</t>
  </si>
  <si>
    <t>Экология техносферы: практикум: Уч.пос. / С.А.Медведева-М.:Форум, НИЦ ИНФРА-М,2024.-200с(ВО)(П)</t>
  </si>
  <si>
    <t>ЭКОЛОГИЯ ТЕХНОСФЕРЫ: ПРАКТИКУМ</t>
  </si>
  <si>
    <t>Медведева С. А., Тимофеева С. С.</t>
  </si>
  <si>
    <t>978-5-00091-718-3</t>
  </si>
  <si>
    <t>Рекомендовано научно-методическим советом по экологии и природопользованию Сибирского регионального учебно-методического центра в качестве учебного пособия для студентов высших технических учебных заведений</t>
  </si>
  <si>
    <t>308700.08.01</t>
  </si>
  <si>
    <t>Экология урбаниз. территорий: Уч.пос. / Ясовеев М.Г. - М.:НИЦ ИНФРА-М, Нов.знание,2025 - 293 с.(ВО)(П)</t>
  </si>
  <si>
    <t>ЭКОЛОГИЯ УРБАНИЗИРОВАННЫХ ТЕРРИТОРИЙ</t>
  </si>
  <si>
    <t>Ясовеев М. Г., Стреха Н. Л., Пацыкайлик Д. А., Ясовеев М. Г.</t>
  </si>
  <si>
    <t>978-5-16-018518-7</t>
  </si>
  <si>
    <t>Рекомендовано в качестве учебного пособия для студентов высших учебных заведений, обучающихся по направлениям 05.03.06 "Экология и природопользование", 20.03.01 "Техносферная безопасность"</t>
  </si>
  <si>
    <t>318400.08.01</t>
  </si>
  <si>
    <t>Экология: Уч. / А.Д.Потапов - 2 изд. - М.:НИЦ ИНФРА-М,2024.-528 с.-(ВО: Бакалавриат)(П)</t>
  </si>
  <si>
    <t>ЭКОЛОГИЯ, ИЗД.2</t>
  </si>
  <si>
    <t>Потапов А.Д.</t>
  </si>
  <si>
    <t>978-5-16-010409-6</t>
  </si>
  <si>
    <t>00.03.12, 00.05.12, 08.03.01</t>
  </si>
  <si>
    <t>Допущено Министерством образования Российской Федерации в качестве учебника для студентов высших учебных заведений, обучающихся по направлению «Строительство»</t>
  </si>
  <si>
    <t>479600.07.01</t>
  </si>
  <si>
    <t>Экология: Уч. / В.С.Пушкарь - М.:НИЦ ИНФРА-М,2024 - 397 с.-(ВО: Бакалавриат)(П)</t>
  </si>
  <si>
    <t>ЭКОЛОГИЯ</t>
  </si>
  <si>
    <t>ПушкарьВ.С., ЯкименкоЛ.В.</t>
  </si>
  <si>
    <t>978-5-16-011679-2</t>
  </si>
  <si>
    <t>00.03.12, 00.05.12, 05.03.06, 06.03.01</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</si>
  <si>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06.03.01 «Биология» и смежным направлениям</t>
  </si>
  <si>
    <t>635940.08.01</t>
  </si>
  <si>
    <t>Экология: Уч. / Н.И.Николайкин. - 9 изд. - М.:НИЦ ИНФРА-М,2025 - 615 с.(ВО: Бакалавриат)(П)</t>
  </si>
  <si>
    <t>ЭКОЛОГИЯ, ИЗД.9</t>
  </si>
  <si>
    <t>Николайкин Н.И., Николайкина Н.Е., Мелехова О.П.</t>
  </si>
  <si>
    <t>978-5-16-012241-0</t>
  </si>
  <si>
    <t>Рекомендовано в качестве учебника для студентов высших учебных заведений, обучающихся по техническим направлениям подготовки (квалификация (степень) «бакалавр»)</t>
  </si>
  <si>
    <t>0918</t>
  </si>
  <si>
    <t>187100.14.01</t>
  </si>
  <si>
    <t>Экология: Уч.пос. / В.А.Разумов - М.:НИЦ ИНФРА-М,2024 - 296 с.-(ВО: Бакалавриат)(п)</t>
  </si>
  <si>
    <t>978-5-16-020299-0</t>
  </si>
  <si>
    <t>Допущено Научно-методическим советом по экологии Министерства образования и науки Российской Федерации в качестве учебного пособия для студентов высших учебных заведений, обучающихся по естественнонаучным и техническим направлениям подготовки</t>
  </si>
  <si>
    <t>813799.01.01</t>
  </si>
  <si>
    <t>Экология: Уч.пос. / И.С.Коротченко-М.:НИЦ ИНФРА-М,2024.-270 с.(СПО (КрГАУ))(п)</t>
  </si>
  <si>
    <t>978-5-16-019670-1</t>
  </si>
  <si>
    <t>27.02.03, 35.02.07, 35.02.08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</si>
  <si>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специальностям 35.02.07 «Механизация сельского хозяйства», 35.02.08 «Электрификация и автоматизация сельского хозяйства»</t>
  </si>
  <si>
    <t>315700.04.01</t>
  </si>
  <si>
    <t>Экология: Уч.пос. / Л.Л.Никифоров - М.:НИЦ ИНФРА-М,2019.-204 с.-(ВО: Бакалавриат)(П)</t>
  </si>
  <si>
    <t>Л.Л.Никифоров</t>
  </si>
  <si>
    <t>978-5-16-010377-8</t>
  </si>
  <si>
    <t>416900.10.01</t>
  </si>
  <si>
    <t>Экология: Уч.пос. / Л.Н.Ердаков - М.:НИЦ ИНФРА-М,2024 - 360 с.-(ВО: Магистратура)(П)</t>
  </si>
  <si>
    <t>Ердаков Л. Н., Чернышова О. Н.</t>
  </si>
  <si>
    <t>978-5-16-006248-8</t>
  </si>
  <si>
    <t>00.03.12, 44.03.05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</si>
  <si>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38.04.02 «Менеджмент» (квалификация (степень) «магистр»)</t>
  </si>
  <si>
    <t>299100.07.01</t>
  </si>
  <si>
    <t>Эконометрика - 2: продв. курс с прилож. в финансах: Уч. /С.А.Айвазян-М.: Магистр,НИЦ ИНФРА-М, 2024-944с(п)</t>
  </si>
  <si>
    <t>ЭКОНОМЕТРИКА - 2: ПРОДВИНУТЫЙ КУРС С ПРИЛОЖЕНИЯМИ В ФИНАНСАХ</t>
  </si>
  <si>
    <t>Айвазян С.А., Фантаццини Д.</t>
  </si>
  <si>
    <t>978-5-9776-0333-1</t>
  </si>
  <si>
    <t>01.03.02, 01.04.02, 02.03.02, 03.03.02, 04.03.02, 38.03.01, 38.04.01, 38.04.08</t>
  </si>
  <si>
    <t>658350.03.01</t>
  </si>
  <si>
    <t>Эконометрика и эконом.моделирование: Уч. / Л.О.Бабешко - М.:Вуз.уч., НИЦ ИНФРА-М,2019 - 385с(ВО)(П)</t>
  </si>
  <si>
    <t>ЭКОНОМЕТРИКА И ЭКОНОМЕТРИЧЕСКОЕ  МОДЕЛИРОВАНИЕ</t>
  </si>
  <si>
    <t>Бабешко Л.О., Бич М.Г., Орлова И.В.</t>
  </si>
  <si>
    <t>978-5-9558-0576-4</t>
  </si>
  <si>
    <t>01.03.02, 38.03.01, 38.03.02, 38.03.05, 38.04.01, 38.04.02, 38.04.05, 38.05.01</t>
  </si>
  <si>
    <t>724743.08.01</t>
  </si>
  <si>
    <t>Эконометрика и эконометрич. моделир. в Excel и R: Уч. / Л.О.Бабешко - М.:НИЦ ИНФРА-М,2025. - 300 с.(ВО)(п)</t>
  </si>
  <si>
    <t>ЭКОНОМЕТРИКА И ЭКОНОМЕТРИЧЕСКОЕ МОДЕЛИРОВАНИЕ В EXCEL И R</t>
  </si>
  <si>
    <t>Бабешко Л.О., Орлова И.В.</t>
  </si>
  <si>
    <t>978-5-16-020683-7</t>
  </si>
  <si>
    <t>01.04.02, 38.04.01, 38.04.02, 38.04.03, 38.04.04, 38.04.05, 38.04.06, 38.04.07, 38.04.08, 38.04.09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</si>
  <si>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38.04.00 «Экономика и управление»  (квалификация (степень) «магистр») (протокол № 8 от 22.06.2020)</t>
  </si>
  <si>
    <t>658350.08.01</t>
  </si>
  <si>
    <t>Эконометрика и эконометрич. моделир.: Уч. / Л.О.Бабешко - 2 изд.-М.:НИЦ ИНФРА-М,2025.-387 с.(ВО)(П)</t>
  </si>
  <si>
    <t>ЭКОНОМЕТРИКА И ЭКОНОМЕТРИЧЕСКОЕ МОДЕЛИРОВАНИЕ, ИЗД.2</t>
  </si>
  <si>
    <t>978-5-16-018722-8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</si>
  <si>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«магистр») (протокол № 10 от 12.10.2020)</t>
  </si>
  <si>
    <t>254300.08.01</t>
  </si>
  <si>
    <t>Эконометрика. Практикум: Уч.пос. / С.А. Бородич.- М:ИНФРА-М; Мн.: Нов. знание, 2024.- 329с.-(ВО.Бак.)</t>
  </si>
  <si>
    <t>ЭКОНОМЕТРИКА. ПРАКТИКУМ</t>
  </si>
  <si>
    <t>Бородич С. А.</t>
  </si>
  <si>
    <t>978-5-16-009429-8</t>
  </si>
  <si>
    <t>164100.11.01</t>
  </si>
  <si>
    <t>Эконометрика: теоретические основы: Уч.пос. / Г.А.Соколов - М.:НИЦ ИНФРА-М,2025 - 216 с.(ВО: Бакалавриат)(о)</t>
  </si>
  <si>
    <t>ЭКОНОМЕТРИКА: ТЕОРЕТИЧЕСКИЕ ОСНОВЫ</t>
  </si>
  <si>
    <t>978-5-16-010851-3</t>
  </si>
  <si>
    <t>38.03.01, 38.03.02, 38.03.03, 38.03.04, 38.03.05, 38.03.06, 38.03.07, 38.04.01, 38.04.02, 38.04.03, 38.04.04, 38.04.05, 38.04.06, 38.04.07, 38.04.08, 38.04.09, 38.05.01, 38.05.02, 38.06.01, 38.07.02</t>
  </si>
  <si>
    <t>Рекомендовано Учебно-методическим объединением по образованию в области статистики и антикризисного управления в качестве учебного пособия для магистров и аспирантов высших учебных заведений, обучающихся по направлению 38.03.01 «Экономика» и другим экономическим направлениям</t>
  </si>
  <si>
    <t>655202.02.01</t>
  </si>
  <si>
    <t>Эконометрика: теория и практика: Уч.пос. / Л.И.Ниворожкина-М.:ИЦ РИОР, НИЦ ИНФРА-М,2020-207с.(ВО)(О)</t>
  </si>
  <si>
    <t>ЭКОНОМЕТРИКА: ТЕОРИЯ И ПРАКТИКА</t>
  </si>
  <si>
    <t>Ниворожкина Л.И., Арженовский С.В., Кокина Е.П.</t>
  </si>
  <si>
    <t>978-5-369-01698-5</t>
  </si>
  <si>
    <t>38.03.01, 38.03.02, 38.03.05, 38.03.06, 38.04.01, 38.04.02, 38.04.05, 38.04.06</t>
  </si>
  <si>
    <t>046290.16.01</t>
  </si>
  <si>
    <t>Эконометрика: Уч. пос./А.И.Новиков - 3 изд. - М.:НИЦ ИНФРА-М,2024.-272 с.(ВО: Бакалавриат)(о)</t>
  </si>
  <si>
    <t>ЭКОНОМЕТРИКА, ИЗД.3</t>
  </si>
  <si>
    <t>978-5-16-004634-1</t>
  </si>
  <si>
    <t>826772.01.01</t>
  </si>
  <si>
    <t>Эконометрика: Уч.пос. / Д.А.Власов - М.: НИЦ ИНФРА-М,2025. - 223 с.(ВО (РЭУ))(п)</t>
  </si>
  <si>
    <t>ЭКОНОМЕТРИКА</t>
  </si>
  <si>
    <t>978-5-16-019918-4</t>
  </si>
  <si>
    <t>066950.09.01</t>
  </si>
  <si>
    <t>Эконометрика: Уч.пос. / Л.Е.Басовский - М.:ИЦ РИОР, НИЦ ИНФРА-М,2023  -48 с(Карманное уч.пособие)(О)</t>
  </si>
  <si>
    <t>978-5-369-01569-8</t>
  </si>
  <si>
    <t>676795.03.01</t>
  </si>
  <si>
    <t>Эконометрическая методология исслед. сис.: Уч. / Е.В.Орлова, - 2 изд.-М.:НИЦ ИНФРА-М,2023.-221 с.(ВО)(П)</t>
  </si>
  <si>
    <t>ЭКОНОМЕТРИЧЕСКАЯ МЕТОДОЛОГИЯ ИССЛЕДОВАНИЯ СИСТЕМ, ИЗД.2</t>
  </si>
  <si>
    <t>978-5-16-016405-2</t>
  </si>
  <si>
    <t>38.03.01, 38.03.02, 38.03.03, 38.03.04, 38.03.05, 38.03.06, 38.03.07, 40.03.01</t>
  </si>
  <si>
    <t>Рекомендовано Учебно-методическим советом ВО в качестве учебника для студентов высших учебных заведений, обучающихся по укрупненной группе специальностей и направлений 38.00.00 «Экономика и управление» (квалификация (степень) «бакалавр»)</t>
  </si>
  <si>
    <t>676795.01.01</t>
  </si>
  <si>
    <t>Эконометрическая методология исслед. систем: Уч./Е.В.Орлова-М.:НИЦ ИНФРА-М,2019-216(ВО:Бакалавр.)(П)</t>
  </si>
  <si>
    <t>ЭКОНОМЕТРИЧЕСКАЯ МЕТОДОЛОГИЯ ИССЛЕДОВАНИЯ СИСТЕМ</t>
  </si>
  <si>
    <t>978-5-16-013616-5</t>
  </si>
  <si>
    <t>757883.01.01</t>
  </si>
  <si>
    <t>Эконометрическое моделир. в пакете GRETL: Уч.пос. / А.И.Новиков-М.:НИЦ ИНФРА-М,2023.-236 с.(ВО)(п)</t>
  </si>
  <si>
    <t>ЭКОНОМЕТРИЧЕСКОЕ МОДЕЛИРОВАНИЕ В ПАКЕТЕ GRETL</t>
  </si>
  <si>
    <t>Новиков А.И., Солодкая Т.И.</t>
  </si>
  <si>
    <t>978-5-16-017097-8</t>
  </si>
  <si>
    <t>38.03.01, 38.03.02, 38.03.03, 38.03.04, 38.03.05, 38.03.06, 38.03.07, 38.04.01, 38.04.08, 38.04.10, 38.05.01, 38.05.02</t>
  </si>
  <si>
    <t>653066.11.01</t>
  </si>
  <si>
    <t>Экономика  организации: Уч. / А.М.Фридман - М.:ИЦ РИОР, НИЦ ИНФРА-М,2025 - 239 с.(П)</t>
  </si>
  <si>
    <t>ЭКОНОМИКА ОРГАНИЗАЦИИ</t>
  </si>
  <si>
    <t>978-5-369-01729-6</t>
  </si>
  <si>
    <t>00.02.38, 08.02.01, 08.02.04, 15.02.07, 31.02.04, 31.02.05, 31.02.06, 32.02.01, 33.02.01, 35.02.12, 35.02.18, 38.02.01, 38.02.03, 38.02.07, 38.02.08, 40.02.04, 42.02.01</t>
  </si>
  <si>
    <t>073600.12.01</t>
  </si>
  <si>
    <t>Экономика автотранспортного предприятия: Уч. / В.П.Бычков - 2 изд. -М.:НИЦ ИНФРА-М,2024-404с.(ВО)(П)</t>
  </si>
  <si>
    <t>ЭКОНОМИКА АВТОТРАНСПОРТНОГО ПРЕДПРИЯТИЯ, ИЗД.2</t>
  </si>
  <si>
    <t>Бычков В.П.</t>
  </si>
  <si>
    <t>978-5-16-018767-9</t>
  </si>
  <si>
    <t>23.03.03, 23.04.03, 44.03.01</t>
  </si>
  <si>
    <t>073600.09.01</t>
  </si>
  <si>
    <t>Экономика автотранспортного предприятия: Уч. / В.П.Бычков-М.:НИЦ ИНФРА-М,2016.-384 с..-(ВО)(П)</t>
  </si>
  <si>
    <t>ЭКОНОМИКА АВТОТРАНСПОРТНОГО ПРЕДПРИЯТИЯ</t>
  </si>
  <si>
    <t>978-5-16-002699-2</t>
  </si>
  <si>
    <t>Допущено Учебно-методическим объединением по образованию в области производственного менеджмента в качестве учебника для студентов, обучающихся по специальности 080502 «Экономика и управление на предприятии транспорта»</t>
  </si>
  <si>
    <t>229800.07.01</t>
  </si>
  <si>
    <t>Экономика агропродовольств. рынка: Уч. пос. / И.А.Минаков - М.: НИЦ ИНФРА-М, 2025 - 232 с.(ВО) (п)</t>
  </si>
  <si>
    <t>ЭКОНОМИКА АГРОПРОДОВОЛЬСТВЕННОГО РЫНКА</t>
  </si>
  <si>
    <t>Минаков И. А., Квочкин А. Н., Сабетова Л. А., Дубовицкий А. А., Минаков И. А.</t>
  </si>
  <si>
    <t>978-5-16-009054-2</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</si>
  <si>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080100 «Экономика» и 080200 «Менеджмент»</t>
  </si>
  <si>
    <t>673204.05.01</t>
  </si>
  <si>
    <t>Экономика горного производства: Уч.пос. / З.М.Хашева-М.:ИЦ РИОР, НИЦ ИНФРА-М,2024.-193 с.(П)</t>
  </si>
  <si>
    <t>ЭКОНОМИКА ГОРНОГО ПРОИЗВОДСТВА</t>
  </si>
  <si>
    <t>Хашева З.М., Голик В.И.</t>
  </si>
  <si>
    <t>978-5-369-01741-8</t>
  </si>
  <si>
    <t>437950.11.01</t>
  </si>
  <si>
    <t>Экономика гостиничного предприятия: Уч. пос. / Н.И. Малых. -М.: Форум: НИЦ ИНФРА-М, 2024 -320 с. (ВО) (п)</t>
  </si>
  <si>
    <t>ЭКОНОМИКА ГОСТИНИЧНОГО ПРЕДПРИЯТИЯ</t>
  </si>
  <si>
    <t>Малых Н. И., Можаева Н. Г.</t>
  </si>
  <si>
    <t>978-5-91134-745-1</t>
  </si>
  <si>
    <t>38.03.01, 38.04.01, 43.03.03, 43.04.03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</si>
  <si>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направлению подготовки 101100.62 «Гостиничное дело»</t>
  </si>
  <si>
    <t>842371.01.01</t>
  </si>
  <si>
    <t>Экономика гостиничного предприятия: Уч.пос. / Н.И.Малых - М.:Форум,НИЦ ИНФРА-М,2025 - 320 с.(СПО)(п)</t>
  </si>
  <si>
    <t>978-5-00091-811-1</t>
  </si>
  <si>
    <t>714121.05.01</t>
  </si>
  <si>
    <t>Экономика для юристов: Уч. / А.А.Петров и др. - М.:Юр.Норма, НИЦ ИНФРА-М,2024 - 328 с.(П)</t>
  </si>
  <si>
    <t>ЭКОНОМИКА ДЛЯ ЮРИСТОВ</t>
  </si>
  <si>
    <t>Петров А.А., Бариев С.Р., Чхутиашвили Л.В. и др.</t>
  </si>
  <si>
    <t>978-5-00156-013-5</t>
  </si>
  <si>
    <t>799046.01.01</t>
  </si>
  <si>
    <t>Экономика домашнего хозяйства...: Уч.пос. / Н.Г.Привалов - М.:НИЦ ИНФРА-М,2025. - 215 с.(ВО)(п)</t>
  </si>
  <si>
    <t>ЭКОНОМИКА ДОМАШНЕГО ХОЗЯЙСТВА. НРАВСТВЕННАЯ ЭКОНОМИКА</t>
  </si>
  <si>
    <t>978-5-16-018333-6</t>
  </si>
  <si>
    <t>653085.06.01</t>
  </si>
  <si>
    <t>Экономика Европейского Союза: Уч. для магистр. / Под ред.Зарицкого Б.Е.-М.:Вуз.уч.,НИЦ ИНФРА-М,2023-328с.(П)</t>
  </si>
  <si>
    <t>ЭКОНОМИКА ЕВРОПЕЙСКОГО СОЮЗА</t>
  </si>
  <si>
    <t>Зарицкий Б.Е., Поспелов В.К., Стародубцева Е.Б. и др.</t>
  </si>
  <si>
    <t>978-5-9558-0553-5</t>
  </si>
  <si>
    <t>38.03.01, 38.04.01, 41.03.05, 41.04.05, 44.03.05</t>
  </si>
  <si>
    <t>364900.05.01</t>
  </si>
  <si>
    <t>Экономика жилищной сферы: Уч. / Под ред. Бузырева В.В., - 2 изд.-М.:ИЦ РИОР, НИЦ ИНФРА-М,2024.-363 с.(ВО)(п)</t>
  </si>
  <si>
    <t>ЭКОНОМИКА ЖИЛИЩНОЙ СФЕРЫ, ИЗД.2</t>
  </si>
  <si>
    <t>Бузырев В.В., Васильева Н.В., Чекалин В.С.и др.</t>
  </si>
  <si>
    <t>978-5-369-01471-4</t>
  </si>
  <si>
    <t>38.03.01, 38.03.02, 38.03.10</t>
  </si>
  <si>
    <t>Допущено УМО по образованию в области производственного менеджмента в качестве учебника для студентов высших учебных заведений, обучающихся по направлению подготовки «Менеджмент»(профиль «Производственный менеджмент»)</t>
  </si>
  <si>
    <t>780825.02.01</t>
  </si>
  <si>
    <t>Экономика знаний и цифр. трансформация бизнеса: Уч. / Н.Р.Кельчевская-М.:НИЦ ИНФРА-М,2024.-254 с.(ВО)(п)</t>
  </si>
  <si>
    <t>ЭКОНОМИКА ЗНАНИЙ И ЦИФРОВАЯ ТРАНСФОРМАЦИЯ БИЗНЕСА</t>
  </si>
  <si>
    <t>978-5-16-017839-4</t>
  </si>
  <si>
    <t>38.03.01, 38.03.02, 38.04.02, 41.03.05, 44.03.01</t>
  </si>
  <si>
    <t>637130.06.01</t>
  </si>
  <si>
    <t>Экономика и бух. учет. Общепрофес. дисцип.: Уч. / М.Ю.Елицур - М.:Форум,НИЦ ИНФРА-М,2023 - 544 с.(СПО)(П)</t>
  </si>
  <si>
    <t>ЭКОНОМИКА И БУХГАЛТЕРСКИЙ УЧЕТ. ОБЩЕПРОФЕССИОНАЛЬНЫЕ ДИСЦИПЛИНЫ</t>
  </si>
  <si>
    <t>Елицур М.Ю., Наумов В.П., Носова О.М. и др.</t>
  </si>
  <si>
    <t>978-5-00091-416-8</t>
  </si>
  <si>
    <t>Рекомендовано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t>
  </si>
  <si>
    <t>Колледж малого бизнеса № 4, г. Москва</t>
  </si>
  <si>
    <t>637133.12.01</t>
  </si>
  <si>
    <t>Экономика и бух. учет. Проф. модули: Уч. / М.Ю.Елицур - М.:Форум, НИЦ ИНФРА-М,2025 - 200 с.(СПО)(П)</t>
  </si>
  <si>
    <t>ЭКОНОМИКА И БУХГАЛТЕРСКИЙ УЧЕТ. ПРОФЕССИОНАЛЬНЫЕ МОДУЛИ</t>
  </si>
  <si>
    <t>Елицур М.Ю., Носова О.М., Фролова М.В.</t>
  </si>
  <si>
    <t>978-5-00091-417-5</t>
  </si>
  <si>
    <t>35.01.23, 38.02.01, 38.02.03, 38.02.06, 38.02.07, 38.02.08, 43.01.09, 43.02.16</t>
  </si>
  <si>
    <t>457600.08.01</t>
  </si>
  <si>
    <t>Экономика и коммерциал.  интеллектуал. собств.: Уч. / В.И.Мухопад, - 2 изд.-М.:Магистр, НИЦ ИНФРА-М,2023.-576 с.(п)</t>
  </si>
  <si>
    <t>ЭКОНОМИКА И КОММЕРЦИАЛИЗАЦИЯ  ИНТЕЛЛЕКТУАЛЬНОЙ СОБСТВЕННОСТИ, ИЗД.2</t>
  </si>
  <si>
    <t>Мухопад В.И.</t>
  </si>
  <si>
    <t>978-5-9776-0486-4</t>
  </si>
  <si>
    <t>27.04.07, 28.04.04, 38.03.01, 38.03.06</t>
  </si>
  <si>
    <t>457600.02.98</t>
  </si>
  <si>
    <t>Экономика и коммерциализация  интеллект. собств.: Уч. /В.И.Мухопад -М.:Магистр,НИЦ ИНФРА-М,2017-512с.(П)</t>
  </si>
  <si>
    <t>ЭКОНОМИКА И КОММЕРЦИАЛИЗАЦИЯ  ИНТЕЛЛЕКТУАЛЬНОЙ СОБСТВЕННОСТИ</t>
  </si>
  <si>
    <t>978-5-9776-0406-2</t>
  </si>
  <si>
    <t>720252.02.01</t>
  </si>
  <si>
    <t>Экономика и орг. деят. предпр. питания: Уч.пос. / А.Р.Давыдович, - 2 изд. - М.:НИЦ ИНФРА-М,2025. - 221 с.(П)</t>
  </si>
  <si>
    <t>ЭКОНОМИКА И ОРГАНИЗАЦИЯ ДЕЯТЕЛЬНОСТИ ПРЕДПРИЯТИЙ ПИТАНИЯ, ИЗД.2</t>
  </si>
  <si>
    <t>Давыдович А.Р.</t>
  </si>
  <si>
    <t>978-5-16-015822-8</t>
  </si>
  <si>
    <t>08.02.13, 08.02.14, 15.02.17, 19.02.10, 19.02.11, 19.02.12, 21.02.20, 29.02.08, 29.02.10, 35.02.05, 35.02.07, 35.02.08, 35.02.10, 35.02.14, 35.02.15, 35.02.16, 36.01.03, 36.02.01, 36.02.03, 43.01.04, 43.01.05, 43.01.06, 43.01.07, 43.01.09, 43.01.11, 43.02.01, 43.02.15, 43.02.16,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</si>
  <si>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43.02.15 «Поварское и кондитерское дело», 19.02.10 «Технология продукции общественного питания», 43.02.01 «Организация обслуживания в общественном питании» (протокол № 11 от 09.11.2020)</t>
  </si>
  <si>
    <t>404350.06.01</t>
  </si>
  <si>
    <t>Экономика и орг. инвестир. в строит.: Уч.пос. / Н.В.Казакова-М.:Альфа-М, НИЦ ИНФРА-М,2023.-256 с.(П)</t>
  </si>
  <si>
    <t>ЭКОНОМИКА И ОРГАНИЗАЦИЯ ИНВЕСТИРОВАНИЯ В СТРОИТЕЛЬСТВЕ</t>
  </si>
  <si>
    <t>Казакова Н. В., Плотников А. Н.</t>
  </si>
  <si>
    <t>978-5-98281-315-2</t>
  </si>
  <si>
    <t>201800.09.01</t>
  </si>
  <si>
    <t>Экономика и орг. производства: Уч.пос. / Под ред. Трещевского Ю.И. - М.:НИЦ ИНФРА-М,2025. - 381 с.(ВО)(П)</t>
  </si>
  <si>
    <t>ЭКОНОМИКА И ОРГАНИЗАЦИЯ ПРОИЗВОДСТВА</t>
  </si>
  <si>
    <t>Вертакова Ю.В., Трещевский Ю.И., Франовская Г.Н. и др.</t>
  </si>
  <si>
    <t>978-5-16-020757-5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</si>
  <si>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</si>
  <si>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418900.08.01</t>
  </si>
  <si>
    <t>Экономика и организация малого и сред...: Уч. пос./Н.М.Филимонова - 2 изд. - ИНФРА-М, 2024-222с.(ВО)(п)</t>
  </si>
  <si>
    <t>ЭКОНОМИКА И ОРГАНИЗАЦИЯ МАЛОГО И СРЕДНЕГО БИЗНЕСА, ИЗД.2</t>
  </si>
  <si>
    <t>Филимонова Н.М., Моргунова Н.В., Ловкова Е.С.</t>
  </si>
  <si>
    <t>978-5-16-009934-7</t>
  </si>
  <si>
    <t>400800.06.01</t>
  </si>
  <si>
    <t>Экономика и организация управл. рознич. торг..: Практ./В.П.Чеглов - М: Вуз. учеб.:Инфра-М, 2023-224с (п)</t>
  </si>
  <si>
    <t>ЭКОНОМИКА И ОРГАНИЗАЦИЯ УПРАВЛЕНИЯ РОЗНИЧНЫМИ ТОРГОВЫМИ СЕТЯМИ</t>
  </si>
  <si>
    <t>Чеглов В. П.</t>
  </si>
  <si>
    <t>978-5-9558-0274-9</t>
  </si>
  <si>
    <t>785687.01.01</t>
  </si>
  <si>
    <t>Экономика и предприним. в туризме и гостепр.: Уч.пос. / Т.Ю.Анисимов-М.:НИЦ ИНФРА-М,2024.-207 с.(ВО)(п)</t>
  </si>
  <si>
    <t>ЭКОНОМИКА И ПРЕДПРИНИМАТЕЛЬСТВО В ТУРИЗМЕ И ГОСТЕПРИИМСТВЕ</t>
  </si>
  <si>
    <t>Анисимов Т.Ю., Енова А.Ю., Игнатьева И.Ф. и др.</t>
  </si>
  <si>
    <t>978-5-16-017981-0</t>
  </si>
  <si>
    <t>666706.03.01</t>
  </si>
  <si>
    <t>Экономика и предпринимательство в сервисе и туризме:Уч. / Г.А.Гомилевская и др.-М.:ИЦ РИОР, НИЦ ИНФРА-М,2019.-190 с.(П 7БЦ)</t>
  </si>
  <si>
    <t>ЭКОНОМИКА И ПРЕДПРИНИМАТЕЛЬСТВО В СЕРВИСЕ И ТУРИЗМЕ</t>
  </si>
  <si>
    <t>Гомилевская Г.А., Квасов А.С., Терентьева Т.В.</t>
  </si>
  <si>
    <t>978-5-369-01712-8</t>
  </si>
  <si>
    <t>048050.17.01</t>
  </si>
  <si>
    <t>Экономика и социология труда: Уч. / Под ред. Кибанова А.Я.-М.:НИЦ ИНФРА-М,2024.-584 с.(ВО)(П)</t>
  </si>
  <si>
    <t>ЭКОНОМИКА И СОЦИОЛОГИЯ ТРУДА</t>
  </si>
  <si>
    <t>Кибанов А. Я., Баткаева И. А., Ивановсккая Л. В., Кибанов А. Я.</t>
  </si>
  <si>
    <t>978-5-16-003458-4</t>
  </si>
  <si>
    <t>Допущено Министерством образования РФ в качестве учебника для студентов высших учебных заведений, обучающихся по специальности  062100 "Управление персоналом"</t>
  </si>
  <si>
    <t>409350.07.01</t>
  </si>
  <si>
    <t>Экономика и социология труда: Уч.пос. / А.И.Маскаева. - М.: НИЦ ИНФРА-М, 2023. -172 с.(ВО:Бакалавр.) (о)</t>
  </si>
  <si>
    <t>Маскаева А. И., Амирова Д. Р.</t>
  </si>
  <si>
    <t>978-5-16-006422-2</t>
  </si>
  <si>
    <t>38.04.02, 38.04.03</t>
  </si>
  <si>
    <t>733754.06.01</t>
  </si>
  <si>
    <t>Экономика и управ. матер. ресурс. на ж/д транспорте: Уч. / А.В.Цевелев-М.:НИЦ ИНФРА-М,2024.-365с.(П)</t>
  </si>
  <si>
    <t>ЭКОНОМИКА И УПРАВЛЕНИЕ МАТЕРИАЛЬНЫМИ РЕСУРСАМИ НА ЖЕЛЕЗНОДОРОЖНОМ ТРАНСПОРТЕ</t>
  </si>
  <si>
    <t>978-5-16-016177-8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</si>
  <si>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4 от 02.03.2020)</t>
  </si>
  <si>
    <t>429600.12.01</t>
  </si>
  <si>
    <t>Экономика и управ. недвижимостью: Уч.пос. / Е.А.Савельева - 2 изд. - М.:Вуз. уч., НИЦ ИНФРА-М,2024 - 447с(ВО)(п)</t>
  </si>
  <si>
    <t>ЭКОНОМИКА И УПРАВЛЕНИЕ НЕДВИЖИМОСТЬЮ, ИЗД.2</t>
  </si>
  <si>
    <t>978-5-9558-0621-1</t>
  </si>
  <si>
    <t>38.03.01, 38.03.02, 38.03.04, 38.03.10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</si>
  <si>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3 от 17.02.2020)</t>
  </si>
  <si>
    <t>753523.03.01</t>
  </si>
  <si>
    <t>Экономика и управление инновациями: Уч. / Э.А.Козловская-3 изд.-М.:НИЦ ИНФРА-М,2024.-376 с.(ВО)(п)</t>
  </si>
  <si>
    <t>ЭКОНОМИКА И УПРАВЛЕНИЕ ИННОВАЦИЯМИ, ИЗД.3</t>
  </si>
  <si>
    <t>Козловская Э.А., Яковлева Е.А., Бучаев Я.Г. и др.</t>
  </si>
  <si>
    <t>978-5-16-017367-2</t>
  </si>
  <si>
    <t>429600.09.01</t>
  </si>
  <si>
    <t>Экономика и управление недвижимостью: Уч.пос. / Е.А.Савельева-М.:Вуз. уч., НИЦ ИНФРА-М,2020.-336 с.(ВО)(П)</t>
  </si>
  <si>
    <t>ЭКОНОМИКА И УПРАВЛЕНИЕ НЕДВИЖИМОСТЬЮ</t>
  </si>
  <si>
    <t>978-5-9558-0291-6</t>
  </si>
  <si>
    <t>216500.09.01</t>
  </si>
  <si>
    <t>Экономика и управление чел. ресурсами: Уч.пос. / А.М.Асалиев - М.:НИЦ ИНФРА-М,2024 -143 с.(ВО)(П)</t>
  </si>
  <si>
    <t>ЭКОНОМИКА И УПРАВЛЕНИЕ ЧЕЛОВЕЧЕСКИМИ РЕСУРСАМИ</t>
  </si>
  <si>
    <t>Асалиев А.М., Вукович Г.Г., Строителева Т.Г.</t>
  </si>
  <si>
    <t>978-5-16-018770-9</t>
  </si>
  <si>
    <t>38.03.01, 38.03.03, 38.04.01, 38.04.03, 41.03.06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</si>
  <si>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t>
  </si>
  <si>
    <t>399100.09.01</t>
  </si>
  <si>
    <t>Экономика и финансы оборон. комплекса России: Уч.пос. / А.В.Иванов -М.:Вуз.уч.,НИЦ ИНФРА-М,2023-360с</t>
  </si>
  <si>
    <t>ЭКОНОМИКА И ФИНАНСЫ ОБОРОННОГО КОМПЛЕКСА РОССИИ</t>
  </si>
  <si>
    <t>Иванов А.В., Кузнецов О.В., Шевалкин И.С. и др.</t>
  </si>
  <si>
    <t>978-5-9558-0462-0</t>
  </si>
  <si>
    <t>201500.07.01</t>
  </si>
  <si>
    <t>Экономика и финансы обществ. сектора: Уч. / Е.В.Пономаренко - М.:НИЦ ИНФРА-М,2024.-377 с.(ВО: Магистр.)(П)</t>
  </si>
  <si>
    <t>ЭКОНОМИКА И ФИНАНСЫ ОБЩЕСТВЕННОГО СЕКТОРА</t>
  </si>
  <si>
    <t>Пономаренко Е.В.</t>
  </si>
  <si>
    <t>978-5-16-005663-0</t>
  </si>
  <si>
    <t>449350.05.01</t>
  </si>
  <si>
    <t>Экономика индустр.видов деятел.в России:Моногр./С.В.Казаков-М.:НИЦ ИНФРА-М,2019-304с.(Науч.мысль)(п)</t>
  </si>
  <si>
    <t>ЭКОНОМИКА ИНДУСТРИАЛЬНЫХ ВИДОВ ДЕЯТЕЛЬНОСТИ В РОССИИ</t>
  </si>
  <si>
    <t>Казаков С. В., Поздняков В. Я.</t>
  </si>
  <si>
    <t>978-5-16-009113-6</t>
  </si>
  <si>
    <t>109350.12.01</t>
  </si>
  <si>
    <t>Экономика инноваций: Уч. / Под ред. В.Я.Горфинкеля - 2 изд - М.:Вуз. уч.: НИЦ ИНФРА-М, 2024 - 336 с. (п)</t>
  </si>
  <si>
    <t>ЭКОНОМИКА ИННОВАЦИЙ, ИЗД.2</t>
  </si>
  <si>
    <t>Горфинкель В. Я., Попадюк Т. Г.</t>
  </si>
  <si>
    <t>978-5-9558-0220-6</t>
  </si>
  <si>
    <t>27.03.05, 38.03.01</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</si>
  <si>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в магистратуре по экономическим специальностям</t>
  </si>
  <si>
    <t>683818.02.01</t>
  </si>
  <si>
    <t>Экономика информац. общества: Уч.пос. / Под ред. Башина Ю.Б.-М.:НИЦ ИНФРА-М,2023.-302 с.(ВО)(П)</t>
  </si>
  <si>
    <t>ЭКОНОМИКА ИНФОРМАЦИОННОГО ОБЩЕСТВА</t>
  </si>
  <si>
    <t>Башин Ю.Б., Дремова Ю.Г., Гринёв Г.Н. и др.</t>
  </si>
  <si>
    <t>978-5-16-015543-2</t>
  </si>
  <si>
    <t>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</si>
  <si>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 (протокол № 8 от 22.06.2020)</t>
  </si>
  <si>
    <t>742802.02.01</t>
  </si>
  <si>
    <t>Экономика маркетинг. и рекл. деят.: Уч.пос. / М.Б.Щепакин.-М.:Магистр, НИЦ ИНФРА-М,2024.-232 с.(П)</t>
  </si>
  <si>
    <t>ЭКОНОМИКА МАРКЕТИНГОВОЙ И РЕКЛАМНОЙ ДЕЯТЕЛЬНОСТИ</t>
  </si>
  <si>
    <t>Щепакин М.Б., Хандамова Э.Ф., Михайлова В.М.</t>
  </si>
  <si>
    <t>978-5-9776-0529-8</t>
  </si>
  <si>
    <t>673877.03.01</t>
  </si>
  <si>
    <t>Экономика некоммерческого сектора: Уч. / Н.Г.Привалов, - 2 изд.-М.:НИЦ ИНФРА-М,2024.-552 с.(ВО)(П)</t>
  </si>
  <si>
    <t>ЭКОНОМИКА НЕКОММЕРЧЕСКОГО СЕКТОРА, ИЗД.2</t>
  </si>
  <si>
    <t>978-5-16-014665-2</t>
  </si>
  <si>
    <t>38.03.01, 38.03.02, 41.03.06, 42.03.01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</si>
  <si>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41.03.06 «Публичная политика и социальные науки», 42.03.01 «Реклама и связи с общественностью» (квалификация (степень) «бакалавр») (протокол № 5 от 16.03.2020)</t>
  </si>
  <si>
    <t>788233.01.01</t>
  </si>
  <si>
    <t>Экономика нефтегазового региона: Уч.пос. / И.Л.Беилин-М.:НИЦ ИНФРА-М,2024.-215 с.(ВО:Магистр)(п)</t>
  </si>
  <si>
    <t>ЭКОНОМИКА НЕФТЕГАЗОВОГО РЕГИОНА</t>
  </si>
  <si>
    <t>978-5-16-018099-1</t>
  </si>
  <si>
    <t>21.03.01, 21.05.06, 38.04.01</t>
  </si>
  <si>
    <t>708398.02.01</t>
  </si>
  <si>
    <t>Экономика образов. учр.: Уч.пос. / Л.А.Захарчук - 3 изд. - М.:Форум, НИЦ ИНФРА-М,2023 - 169с.(ВО)(П)</t>
  </si>
  <si>
    <t>ЭКОНОМИКА ОБРАЗОВАТЕЛЬНОГО УЧРЕЖДЕНИЯ, ИЗД.3</t>
  </si>
  <si>
    <t>Захарчук Л.А.</t>
  </si>
  <si>
    <t>978-5-00091-695-7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</si>
  <si>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6 от 25.03.2019)</t>
  </si>
  <si>
    <t>689571.02.01</t>
  </si>
  <si>
    <t>Экономика образования: практикум: Уч.пос. / В.И.Столяров-М.:НИЦ ИНФРА-М,2023-207с.(ВО: Бакалавр.)(П)</t>
  </si>
  <si>
    <t>ЭКОНОМИКА ОБРАЗОВАНИЯ: ПРАКТИКУМ</t>
  </si>
  <si>
    <t>Столяров В.И., Поздняк С.Н.</t>
  </si>
  <si>
    <t>978-5-16-014644-7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</si>
  <si>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12 от 24.06.2019)</t>
  </si>
  <si>
    <t>652891.05.01</t>
  </si>
  <si>
    <t>Экономика образования: практикум: Уч.пос. / Под ред. Василенко Н.В. - М.:НИЦ ИНФРА-М,2025-304с(ВО)(П)</t>
  </si>
  <si>
    <t>Василенко Н.В., Линьков А.Я., Вахитова Л.Р. и др.</t>
  </si>
  <si>
    <t>978-5-16-012768-2</t>
  </si>
  <si>
    <t>38.03.01, 44.03.01, 44.03.02, 44.03.03, 44.03.05</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</si>
  <si>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t>
  </si>
  <si>
    <t>345000.09.01</t>
  </si>
  <si>
    <t>Экономика образования: Уч. / В.И.Столяров - 2 изд. - М.:КУРС, НИЦ ИНФРА-М,2021 - 384 с.(П)</t>
  </si>
  <si>
    <t>ЭКОНОМИКА ОБРАЗОВАНИЯ, ИЗД.2</t>
  </si>
  <si>
    <t>978-5-906923-77-6</t>
  </si>
  <si>
    <t>38.03.01, 44.03.01, 44.03.02, 44.03.03, 44.03.04, 44.03.05</t>
  </si>
  <si>
    <t>Рекомендовано Ученым советом федерального государственного бюджетного образовательного учреждения высшего профессионального образования «Уральский государственный педагогический университет»</t>
  </si>
  <si>
    <t>345000.04.01</t>
  </si>
  <si>
    <t>Экономика образования: Уч. / В.И.Столяров - М.:КУРС, НИЦ ИНФРА-М, 2017.-384 с.(п)</t>
  </si>
  <si>
    <t>ЭКОНОМИКА ОБРАЗОВАНИЯ</t>
  </si>
  <si>
    <t>978-5-906818-33-1</t>
  </si>
  <si>
    <t>632188.05.01</t>
  </si>
  <si>
    <t>Экономика образования: Уч. / Н.В.Василенко-М.:НИЦ ИНФРА-М,2023.-413 с..-(ВО: Бакалавриат)(П)</t>
  </si>
  <si>
    <t>Василенко Н.В., Линьков А.Я.</t>
  </si>
  <si>
    <t>978-5-16-012154-3</t>
  </si>
  <si>
    <t>38.03.01, 38.03.02, 38.03.04, 44.03.01, 44.03.02, 44.03.03, 44.03.04, 44.03.05</t>
  </si>
  <si>
    <t>Рекомендовано в качестве учебника для студентов высших учебных заведений, обучающихся по направлениям подготовки  44.03.01 «Педагогическое образование», 38.03.01 «Экономика», 38.03.02 «Менеджмент» (квалификация (степень) «бакалавр»)</t>
  </si>
  <si>
    <t>469300.07.01</t>
  </si>
  <si>
    <t>Экономика образования: Уч. / О.В.Комарова - М.:НИЦ ИНФРА-М,2024.-205 с.-(ВО: Бакалавриат)(П)</t>
  </si>
  <si>
    <t>Комарова О.В., Зырянова Н.И.</t>
  </si>
  <si>
    <t>978-5-16-011006-6</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</si>
  <si>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44.03.03 «Специальное (дефектологическое) образование», 44.03.05 «Педагогическое образование (с двумя профилями подготовки)» (квалификация (степень) «бакалавр»)</t>
  </si>
  <si>
    <t>233400.11.01</t>
  </si>
  <si>
    <t>Экономика образования: Уч.пос. / Л.Е.Басовский - М.:НИЦ ИНФРА-М,2025. - 219 с.(ВО: Бакалавр.)(п)</t>
  </si>
  <si>
    <t>Басовский Л. Е., Панин В. А.</t>
  </si>
  <si>
    <t>978-5-16-009086-3</t>
  </si>
  <si>
    <t>Рекомендовано Учебно-методическим объединением вузов России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050100 «Педагогическое образование»</t>
  </si>
  <si>
    <t>084300.18.01</t>
  </si>
  <si>
    <t>Экономика образовательного учр.: Уч.пос. / Л.А.Захарчук - 3 изд.-М.:Форум, НИЦ ИНФРА-М,2024-180 с.(СПО)(п)</t>
  </si>
  <si>
    <t>978-5-00091-607-0</t>
  </si>
  <si>
    <t>Допущено Министерством образования и науки РФ в качестве учебного пособия для студентов образовательных организаций среднего профессионального образования</t>
  </si>
  <si>
    <t>116000.13.01</t>
  </si>
  <si>
    <t>Экономика обществ. сектора: Уч. / Под ред. П.В.Савченко-2 изд.-М.:НИЦ ИНФРА-М,2024-556 с.(ВО:Бакалавр.)(п)</t>
  </si>
  <si>
    <t>ЭКОНОМИКА ОБЩЕСТВЕННОГО СЕКТОРА, ИЗД.2</t>
  </si>
  <si>
    <t>Савченко П. В., Погосов И. А., Жильцов Е. Н.</t>
  </si>
  <si>
    <t>978-5-16-010119-4</t>
  </si>
  <si>
    <t>38.03.01, 38.03.02, 38.03.04, 38.04.01, 38.04.02, 38.04.04, 38.04.09, 39.03.02</t>
  </si>
  <si>
    <t>Допущено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</si>
  <si>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146500.09.01</t>
  </si>
  <si>
    <t>Экономика общественного сектора: Уч. / Г.А.Ахинов - М.:НИЦ ИНФРА-М,2017 -331 с.-(ВО: Бакалавриат)(П)</t>
  </si>
  <si>
    <t>ЭКОНОМИКА ОБЩЕСТВЕННОГО СЕКТОРА</t>
  </si>
  <si>
    <t>Ахинов Г.А., Мысляева И.Н.</t>
  </si>
  <si>
    <t>978-5-16-004442-2</t>
  </si>
  <si>
    <t>Допущено Советом Учебно-методического объединения вузов России по образованию в области менеджмента в качестве учебника по направлению подготовки 38.03.02 «Менеджмент»</t>
  </si>
  <si>
    <t>146500.15.01</t>
  </si>
  <si>
    <t>Экономика общественного сектора: Уч. / Г.А.Ахинов, - 2 изд. - М.:НИЦ ИНФРА-М,2025 - 341 с.(ВО)(п)</t>
  </si>
  <si>
    <t>978-5-16-020728-5</t>
  </si>
  <si>
    <t>Рекомендовано в качестве учебника для студентов высших учебных заведений, обучающихся по направлениям подготовки «Экономика» и «Государственное и муниципальное управление» (квалификация (степень) «бакалавр» и «магистр»)</t>
  </si>
  <si>
    <t>094780.19.01</t>
  </si>
  <si>
    <t>Экономика организации (предпр.): Уч. /Н.А.Сафронов - 2 изд. - М.: Магистр, НИЦ ИНФРА-М, 2023 - 256с(П)</t>
  </si>
  <si>
    <t>ЭКОНОМИКА ОРГАНИЗАЦИИ (ПРЕДПРИЯТИЯ), ИЗД.2</t>
  </si>
  <si>
    <t>Сафронов Н. А.</t>
  </si>
  <si>
    <t>978-5-9776-0059-0</t>
  </si>
  <si>
    <t>Допущено Минобрнауки РФ в качестве учебного пособия для студентов образовательных учреждений среднего профессионального образования, обучающихся по финансово-экономическим специальностям</t>
  </si>
  <si>
    <t>163600.06.01</t>
  </si>
  <si>
    <t>Экономика организации (торговля): Уч. / Г.Г. Иванов. - М.: ИД ФОРУМ:  ИНФРА-М, 2022. - 352 с. (ВО) (п)</t>
  </si>
  <si>
    <t>ЭКОНОМИКА ОРГАНИЗАЦИИ (ТОРГОВЛЯ)</t>
  </si>
  <si>
    <t>Иванов Г. Г.</t>
  </si>
  <si>
    <t>978-5-8199-0489-3</t>
  </si>
  <si>
    <t>38.03.01, 38.03.07</t>
  </si>
  <si>
    <t>702147.06.01</t>
  </si>
  <si>
    <t>Экономика организации. Практикум: Уч.пос. / А.М.Фридман - М.:ИЦ РИОР, НИЦ ИНФРА-М,2025 - 180 с.(СПО)(П)</t>
  </si>
  <si>
    <t>ЭКОНОМИКА ОРГАНИЗАЦИИ. ПРАКТИКУМ</t>
  </si>
  <si>
    <t>978-5-369-01830-9</t>
  </si>
  <si>
    <t>00.02.38, 38.02.01, 38.02.02, 38.02.03, 38.02.06, 38.02.07, 38.02.08</t>
  </si>
  <si>
    <t>633953.12.01</t>
  </si>
  <si>
    <t>Экономика организации: Уч. / Е.Б.Маевская - М.:НИЦ ИНФРА-М,2023-351с.(ВО: Бакалавриат)(П)</t>
  </si>
  <si>
    <t>Маевская Е.Б.</t>
  </si>
  <si>
    <t>978-5-16-012769-9</t>
  </si>
  <si>
    <t>053200.21.01</t>
  </si>
  <si>
    <t>Экономика организации: Уч. / Е.Н.Кнышова - М.:ИД ФОРУМ, НИЦ ИНФРА-М,2024 - 335 с(СПО)(п)</t>
  </si>
  <si>
    <t>Кнышова Е.Н., Панфилова Е.Е.</t>
  </si>
  <si>
    <t>978-5-8199-0696-5</t>
  </si>
  <si>
    <t>00.02.38, 08.02.01, 08.02.02, 15.02.07, 31.02.05, 31.02.06, 32.02.01, 33.02.01, 35.02.12, 35.02.18, 38.02.01, 38.02.02, 38.02.03, 38.02.06, 38.02.07, 38.02.08, 40.02.04, 42.02.01</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</si>
  <si>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специальности «Экономика и управление»</t>
  </si>
  <si>
    <t>798637.01.01</t>
  </si>
  <si>
    <t>Экономика организации: Уч. / О.В.Девяткин и др. - М.:НИЦ ИНФРА-М,2025. -  952 с.(ВО)(п)</t>
  </si>
  <si>
    <t>Девяткин О.В., Быстров А.В., Акуленко Н.Б. и др.</t>
  </si>
  <si>
    <t>978-5-16-018289-6</t>
  </si>
  <si>
    <t>38.03.01, 38.03.02, 38.03.03, 38.03.04, 38.03.05, 38.03.06, 38.03.07, 38.05.01, 44.03.01</t>
  </si>
  <si>
    <t>078000.11.01</t>
  </si>
  <si>
    <t>Экономика от "А" до "Я": Тематический справочник / Г.М.Гукасьян - М.:НИЦ ИНФРА-М,2024 - 480 с.(П)</t>
  </si>
  <si>
    <t>ЭКОНОМИКА ОТ "А" ДО "Я": ТЕМАТИЧЕСКИЙ СПРАВОЧНИК</t>
  </si>
  <si>
    <t>Гукасьян Г. М.</t>
  </si>
  <si>
    <t>978-5-16-012527-5</t>
  </si>
  <si>
    <t>00.03.13, 00.05.13</t>
  </si>
  <si>
    <t>079250.22.01</t>
  </si>
  <si>
    <t>Экономика отрасли (авто. транспорт): Уч. / И.С.Туревский - М.:ИД ФОРУМ, НИЦ ИНФРА-М,2025. - 288 с.(СПО)(п)</t>
  </si>
  <si>
    <t>ЭКОНОМИКА ОТРАСЛИ (АВТОМОБИЛЬНЫЙ ТРАНСПОРТ)</t>
  </si>
  <si>
    <t>978-5-8199-0815-0</t>
  </si>
  <si>
    <t>23.02.03, 23.02.07</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</si>
  <si>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</si>
  <si>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062050.24.01</t>
  </si>
  <si>
    <t>Экономика отрасли (строительство): Уч./ В.В.Акимов - 2 изд. - М.:НИЦ ИНФРА-М,2025 - 300 с.(СПО)(П)</t>
  </si>
  <si>
    <t>ЭКОНОМИКА ОТРАСЛИ (СТРОИТЕЛЬСТВО), ИЗД.2</t>
  </si>
  <si>
    <t>Акимов В.В., Герасимова А.Г., Макарова Т.Н. и др.</t>
  </si>
  <si>
    <t>978-5-16-009339-0</t>
  </si>
  <si>
    <t>08.02.01, 08.02.02, 08.02.03, 08.02.04, 08.02.08, 08.02.09, 08.02.12, 08.02.13, 08.02.14</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</si>
  <si>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укрупненной группе специальностей 08.00.00 «Строительство»</t>
  </si>
  <si>
    <t>424600.07.01</t>
  </si>
  <si>
    <t>Экономика отрасли туризм: Уч. / Е.И.Богданова - М.: НИЦ Инфра-М, 2024-318с. (ВО:Бакалавр.) (п)</t>
  </si>
  <si>
    <t>ЭКОНОМИКА ОТРАСЛИ ТУРИЗМ</t>
  </si>
  <si>
    <t>Богданов Е. И., Богомолова Е. С., Орловская В. П., Богданов Е. И.</t>
  </si>
  <si>
    <t>978-5-16-004712-6</t>
  </si>
  <si>
    <t>38.03.01, 38.03.02, 43.03.02, 43.04.02</t>
  </si>
  <si>
    <t>701934.03.01</t>
  </si>
  <si>
    <t>Экономика отрасли туризм: Уч. / Под ред. Богданова Е.И. - М.:НИЦ ИНФРА-М,2024. - 318 с.-(СПО)(П)</t>
  </si>
  <si>
    <t>Богданов Е.И., Богомолова Е.С., Орловская В.П. и др.</t>
  </si>
  <si>
    <t>978-5-16-014813-7</t>
  </si>
  <si>
    <t>102100.15.01</t>
  </si>
  <si>
    <t>Экономика отрасли: Уч.пос. / Л.Е.Басовский - М.:НИЦ ИНФРА-М,2025 - 145 с.(ВО: Бакалавр.)(П)</t>
  </si>
  <si>
    <t>ЭКОНОМИКА ОТРАСЛИ</t>
  </si>
  <si>
    <t>978-5-16-003464-5</t>
  </si>
  <si>
    <t>38.03.01, 38.03.02, 38.03.06, 38.03.07, 38.04.01, 38.04.02, 38.04.06, 44.03.04</t>
  </si>
  <si>
    <t>Рекомендовано в качестве учебного пособия для студентов высших учебных заведений, обучающихся по направлениям подготовки 38.03.02 «Менеджмент», 44.03.04 «Профессиональное обучение» (квалификация (степень) «бакалавр»)</t>
  </si>
  <si>
    <t>720382.04.01</t>
  </si>
  <si>
    <t>Экономика отрасли: Уч.пос. / Л.Е.Басовский - М.:НИЦ ИНФРА-М,2025 - 145 с.-(СПО)(П)</t>
  </si>
  <si>
    <t>978-5-16-015694-1</t>
  </si>
  <si>
    <t>08.02.01, 08.02.15, 09.02.04, 09.02.06, 09.02.07, 13.02.07, 15.02.17, 19.02.11, 19.02.12, 21.02.01, 21.02.12, 21.02.15, 24.02.04, 25.02.02, 25.02.03, 25.02.05, 25.02.06, 27.02.03, 27.02.04, 43.02.02, 43.02.06, 43.02.16, 44.02.06, 53.02.08, 09.02.10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</si>
  <si>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44.02.00 «Образование и педагогические науки» (протокол № 12 от 24.06.2019)</t>
  </si>
  <si>
    <t>134100.10.01</t>
  </si>
  <si>
    <t>Экономика предп. и основы предпр. в сфере авт..: Уч. / В.П.Бычков - 2 изд.-М.:НИЦ ИНФРА-М,2024-394с(п)</t>
  </si>
  <si>
    <t>ЭКОНОМИКА ПРЕДПРИЯТИЯ И ОСНОВЫ ПРЕДПРИНИМАТЕЛЬСТВА В СФЕРЕ АВТОСЕРВИСНЫХ УСЛУГ, ИЗД.2</t>
  </si>
  <si>
    <t>978-5-16-018831-7</t>
  </si>
  <si>
    <t>Допущено УМО Российской Федерации по образованию в области транспортных машин и транспортно-технологического комплекса в качестве учебного пособия для студентов вузов, обучающихся по направлению подготовки 23.03.03 «Эксплуатация наземного транспорта и транспортного оборудования»</t>
  </si>
  <si>
    <t>336800.09.01</t>
  </si>
  <si>
    <t>Экономика предприятий: Уч.пос. / Л.Н.Краснова - М.:НИЦ ИНФРА-М,2024 - 374 с.(ВО:Бакалавр.)(П)</t>
  </si>
  <si>
    <t>ЭКОНОМИКА ПРЕДПРИЯТИЙ</t>
  </si>
  <si>
    <t>Краснова Л.Н., Гинзбург С.Е., Садыкова Р.Р.</t>
  </si>
  <si>
    <t>978-5-16-010700-4</t>
  </si>
  <si>
    <t>20.03.02, 21.05.04, 23.03.03, 29.03.03, 38.03.01, 38.03.02, 38.03.03, 38.03.04, 38.03.05, 38.03.06, 38.03.07, 38.04.01, 38.04.02, 38.04.03, 38.04.04, 38.04.05, 38.04.06, 38.04.08, 41.03.06, 44.03.01</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</si>
  <si>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38.03.02 «Менеджмент»</t>
  </si>
  <si>
    <t>Альметьевский государственный нефтяной институт</t>
  </si>
  <si>
    <t>037840.16.01</t>
  </si>
  <si>
    <t>Экономика предприятия (в схем., табл., расч.): Уч. пос. / В.К.Скляренко - М.:ИНФРА-М, 2022-256с.(ВО)</t>
  </si>
  <si>
    <t>ЭКОНОМИКА ПРЕДПРИЯТИЯ (В СХЕМАХ, ТАБЛИЦАХ, РАСЧЕТАХ)</t>
  </si>
  <si>
    <t>Скляренко В.К., Прудников В.М., Акуленко Н.Б. и др.</t>
  </si>
  <si>
    <t>978-5-16-003753-0</t>
  </si>
  <si>
    <t>17.03.01, 20.03.02, 21.05.04, 23.03.03, 26.03.02, 29.03.03, 35.03.02, 38.03.01, 38.03.02, 38.03.03, 38.03.04, 38.03.05, 38.03.06, 38.03.07, 38.04.01, 38.04.02, 38.04.03, 38.04.04, 38.04.05, 38.04.06, 38.04.07, 38.04.08, 41.03.06, 44.03.01</t>
  </si>
  <si>
    <t>Рекомендовано Учебно-методическим объединением вузов Российской Федерации по образованию в области экономики и экономической теории в качестве учебного пособия для студентов, обучающихся по направлению 38.03.01 «Экономика»</t>
  </si>
  <si>
    <t>412050.07.01</t>
  </si>
  <si>
    <t>Экономика предприятия туризма: Уч. / С.А.Степанова - М.:НИЦ ИНФРА-М,2022 - 346 с..-(ВО: Бакалавриат)(П)</t>
  </si>
  <si>
    <t>ЭКОНОМИКА ПРЕДПРИЯТИЯ ТУРИЗМА</t>
  </si>
  <si>
    <t>Степанова С. А., Крыга А. В.</t>
  </si>
  <si>
    <t>978-5-16-005445-2</t>
  </si>
  <si>
    <t>38.03.01, 38.03.02, 43.03.02</t>
  </si>
  <si>
    <t>Рекомендовано Учебно-методическим объединением по образованию в области производственного менеджмента в качестве учебника для студентов высших учебных заведений, обучающихся по специальности 080502 «Экономика и управление на предприятиях туризма» и н</t>
  </si>
  <si>
    <t>060500.11.01</t>
  </si>
  <si>
    <t>Экономика предприятия: Уч. / В.К.Скляренко - 2 изд. - М.:НИЦ ИНФРА-М,2018-346с(ВО: Бакалавр.)(П)</t>
  </si>
  <si>
    <t>ЭКОНОМИКА ПРЕДПРИЯТИЯ, ИЗД.2</t>
  </si>
  <si>
    <t>Скляренко В.К., Прудников В.М.</t>
  </si>
  <si>
    <t>978-5-16-009163-1</t>
  </si>
  <si>
    <t>Допущено УМО по образованию в области экономики и экономической теории в качестве учебника для студентов, обучающихся по направлению 521600 Экономика и экономическим специальностям</t>
  </si>
  <si>
    <t>005620.23.01</t>
  </si>
  <si>
    <t>Экономика предприятия: Уч. Практ. / В.Д.Грибов - 8 изд. - М.:КУРС,НИЦ ИНФРА-М,2025 - 448 с. - (Бакалавр.)(П)</t>
  </si>
  <si>
    <t>ЭКОНОМИКА ПРЕДПРИЯТИЯ, ИЗД.8</t>
  </si>
  <si>
    <t>Грибов В.Д., Грузинов В.П.</t>
  </si>
  <si>
    <t>978-5-906923-73-8</t>
  </si>
  <si>
    <t>005620.22.01</t>
  </si>
  <si>
    <t>Экономика предприятия: Уч. Практикум /В.Д.Грибов -7 изд. -М.:КУРС, НИЦ ИНФРА-М,2017-448с(Бакалавр.)(П)</t>
  </si>
  <si>
    <t>ЭКОНОМИКА ПРЕДПРИЯТИЯ, ИЗД.7</t>
  </si>
  <si>
    <t>978-5-906818-73-7</t>
  </si>
  <si>
    <t>023992.16.01</t>
  </si>
  <si>
    <t>Экономика предприятия: Уч.пос. / В.В.Жиделева,- 2 изд. -М.:НИЦ ИНФРА-М,2024.-133 с.(ВО)(О)</t>
  </si>
  <si>
    <t>Жиделева В.В., Каптейн Ю.Н.</t>
  </si>
  <si>
    <t>978-5-16-018640-5</t>
  </si>
  <si>
    <t>Рекомендовано Министерством общего и профессионального образования РФ в качестве учебного пособия для студентов экономических вузов</t>
  </si>
  <si>
    <t>033040.14.01</t>
  </si>
  <si>
    <t>Экономика предприятия: Уч.пос. / В.К.Скляренко, - 2-е изд.-М.:НИЦ ИНФРА-М,2022.-192 с..-(ВО)(П)</t>
  </si>
  <si>
    <t>978-5-16-006291-4</t>
  </si>
  <si>
    <t>029009.25.01</t>
  </si>
  <si>
    <t>Экономика предприятия: Уч.пос. / О.И.Волков - 2 изд. - М.:НИЦ ИНФРА-М,2023 - 264 с.(ВО)(П)</t>
  </si>
  <si>
    <t>Волков О.И., Скляренко В.К.</t>
  </si>
  <si>
    <t>978-5-16-018630-6</t>
  </si>
  <si>
    <t>Рекомендовано в качестве учебного пособия для студентов высших учебных заведений, обучающихся по экономическим специальностям и направлениям</t>
  </si>
  <si>
    <t>465400.04.01</t>
  </si>
  <si>
    <t>Экономика производ. электронных средств: Уч. / В.Д.Сыров, - 3 изд.-М.:ИЦ РИОР, НИЦ ИНФРА-М,2024.-216 с.(ВО)(п)</t>
  </si>
  <si>
    <t>ЭКОНОМИКА ПРОИЗВОДСТВА ЭЛЕКТРОННЫХ СРЕДСТВ, ИЗД.3</t>
  </si>
  <si>
    <t>978-5-369-01523-0</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</si>
  <si>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специальностям направления подготовки «Электроника, радиотехника и системы связи»</t>
  </si>
  <si>
    <t>090000.13.01</t>
  </si>
  <si>
    <t>Экономика развития: мод. стан. рын. экон.: Уч. / Р.М.Нуреев - 2 изд. - М:Юр.Норма,НИЦ ИНФРА-М,2024-640с(П)</t>
  </si>
  <si>
    <t>ЭКОНОМИКА РАЗВИТИЯ: МОДЕЛИ СТАНОВЛЕНИЯ РЫНОЧНОЙ ЭКОНОМИКИ, ИЗД.2</t>
  </si>
  <si>
    <t>978-5-91768-536-6</t>
  </si>
  <si>
    <t>653027.06.01</t>
  </si>
  <si>
    <t>Экономика развития: практикум / Под ред. Нуреева Р.М.-М.:Юр.Норма, НИЦ ИНФРА-М,2021.-512 с.(П)</t>
  </si>
  <si>
    <t>ЭКОНОМИКА РАЗВИТИЯ</t>
  </si>
  <si>
    <t>Нуреев Р.М., Алленых М.А., Арефьев П.В. и др.</t>
  </si>
  <si>
    <t>978-5-91768-820-6</t>
  </si>
  <si>
    <t>210700.10.01</t>
  </si>
  <si>
    <t>Экономика сельского хозяйства: Уч. / И.А.Минаков - 3 изд. - М.: ИНФРА-М,2025 - 352 с.(ВО: Магистр.)(п)</t>
  </si>
  <si>
    <t>ЭКОНОМИКА СЕЛЬСКОГО ХОЗЯЙСТВА, ИЗД.3</t>
  </si>
  <si>
    <t>Минаков И. А.</t>
  </si>
  <si>
    <t>978-5-16-006852-7</t>
  </si>
  <si>
    <t>35.03.04, 35.03.05, 35.03.07, 35.04.04, 35.04.05, 38.04.01, 38.04.02</t>
  </si>
  <si>
    <t>172900.12.01</t>
  </si>
  <si>
    <t>Экономика сельского хозяйства: Уч. / Под ред. Петраневой Г.А. - М.:НИЦ ИНФРА-М,2025 - 288 с.(СПО)(П)</t>
  </si>
  <si>
    <t>ЭКОНОМИКА СЕЛЬСКОГО ХОЗЯЙСТВА</t>
  </si>
  <si>
    <t>Петранева Г.А., Коваленко Н.Я., Романов А.Н. и др.</t>
  </si>
  <si>
    <t>978-5-16-013596-0</t>
  </si>
  <si>
    <t>35.02.05, 35.02.07, 35.02.16, 36.02.03</t>
  </si>
  <si>
    <t>Рекомендовано Государственным университетом управления в качестве учебника для студентов среднего профессионального образования, обучающихся по специальностям 35.02.05 «Агрономия», 36.02.02 «Зоотехния», 35.02.06 «Технология производства и переработки сельскохозяйственной продукции»</t>
  </si>
  <si>
    <t>203300.09.01</t>
  </si>
  <si>
    <t>Экономика сельскохозяйственного предпр.: Уч. / И.А.Минаков - 2 изд. - М.:НИЦ ИНФРА-М,2025. - 363 с.(п)</t>
  </si>
  <si>
    <t>ЭКОНОМИКА СЕЛЬСКОХОЗЯЙСТВЕННОГО ПРЕДПРИЯТИЯ, ИЗД.2</t>
  </si>
  <si>
    <t>Минаков И. А., Сабетова Л. А., Касторнов Н. П., Минаков И. А.</t>
  </si>
  <si>
    <t>978-5-16-006012-5</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</si>
  <si>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направлениям 080100 «Экономика» и 080200 «Менеджмент»</t>
  </si>
  <si>
    <t>719138.02.01</t>
  </si>
  <si>
    <t>Экономика строит.-монтаж. орг.: Уч. / В.М.Серов. -  М.:НИЦ ИНФРА-М,2025 - 272 с.(ВО: Бакалавриат)(П)</t>
  </si>
  <si>
    <t>ЭКОНОМИКА СТРОИТЕЛЬНО-МОНТАЖНЫХ ОРГАНИЗАЦИЙ</t>
  </si>
  <si>
    <t>978-5-16-020576-2</t>
  </si>
  <si>
    <t>270800.12.01</t>
  </si>
  <si>
    <t>Экономика строительства: Уч. / Г.М.Загидуллина - 2 изд. - М.:НИЦ ИНФРА-М,2025 - 360 с.-(ВО)(П)</t>
  </si>
  <si>
    <t>ЭКОНОМИКА СТРОИТЕЛЬСТВА, ИЗД.2</t>
  </si>
  <si>
    <t>Загидуллина Г.М., Романова А.И., Мухаррамова Э.Р. и др.</t>
  </si>
  <si>
    <t>978-5-16-020300-3</t>
  </si>
  <si>
    <t>Допущено УМО по образованию в области производственного менеджмента в качестве учебника для студентов, обучающихся по специальности 080502 «Экономика и управление на предприятии строительства» и по направлению подготовки 38.03.02 (080200) «Менеджмент» (профиль «Производственный менеджмент»)</t>
  </si>
  <si>
    <t>652893.03.01</t>
  </si>
  <si>
    <t>Экономика сферы услуг: Уч. / Н.В.Василенко - М.:НИЦ ИНФРА-М,2023 - 439 с.-(ВО: Бакалавриат)(П)</t>
  </si>
  <si>
    <t>ЭКОНОМИКА СФЕРЫ УСЛУГ</t>
  </si>
  <si>
    <t>Василенко Н.В.</t>
  </si>
  <si>
    <t>978-5-16-014659-1</t>
  </si>
  <si>
    <t>38.03.01, 43.03.01, 43.03.02, 43.03.03, 44.03.01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</si>
  <si>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38.00.00 «Экономика и управление», 43.00.00 «Сервис и туризм», 44.00.00 «Образование и педагогические науки» (квалификация (степень) «бакалавр») (протокол № 13 от 16.09.2019)</t>
  </si>
  <si>
    <t>268800.07.01</t>
  </si>
  <si>
    <t>Экономика США: эволюция модели в условиях глобализ.: Уч./ В.Б.Супян - М: Магистр: ИНФРА-М, 2023- 560с. (п)</t>
  </si>
  <si>
    <t>ЭКОНОМИКА США: ЭВОЛЮЦИЯ МОДЕЛИ В УСЛОВИЯХ ГЛОБАЛИЗАЦИИ</t>
  </si>
  <si>
    <t>Супян В. Б., Бабич С. Н., Давыдов А. Ю., Зименков Р. И., Супян В. Б.</t>
  </si>
  <si>
    <t>978-5-9776-0308-9</t>
  </si>
  <si>
    <t>38.03.01, 38.04.01, 41.03.01, 41.03.05, 41.03.06, 41.04.01, 41.04.05</t>
  </si>
  <si>
    <t>147750.07.01</t>
  </si>
  <si>
    <t>Экономика торговли: Уч.пос. / Н.И.Саталкина.-М.:Форум, НИЦ ИНФРА-М,2024.-232 с.(СПО)(о)</t>
  </si>
  <si>
    <t>ЭКОНОМИКА ТОРГОВЛИ</t>
  </si>
  <si>
    <t>Саталкина Н.И., Герасимов Б.И., Терехова Г.И.</t>
  </si>
  <si>
    <t>978-5-91134-485-6</t>
  </si>
  <si>
    <t>38.01.02, 38.02.01, 38.02.06</t>
  </si>
  <si>
    <t>757417.03.01</t>
  </si>
  <si>
    <t>Экономика торговой организации: Уч. / Г.Г.Иванов - М.:НИЦ ИНФРА-М,2025 - 182 с.(СПО)(П)</t>
  </si>
  <si>
    <t>ЭКОНОМИКА ТОРГОВОЙ ОРГАНИЗАЦИИ</t>
  </si>
  <si>
    <t>Иванов Г.Г.</t>
  </si>
  <si>
    <t>978-5-16-016902-6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</si>
  <si>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38.02.05 «Товароведение и экспертиза качества потребительских товаров» (протокол № 10 от 12.10.2020)</t>
  </si>
  <si>
    <t>699765.05.01</t>
  </si>
  <si>
    <t>Экономика торговой организации: Уч. / Г.Г.Иванов - М.:НИЦ ИНФРА-М,2025. - 182 с.(ВО: Бакалавр. (РЭУ))(П)</t>
  </si>
  <si>
    <t>978-5-16-015076-5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</si>
  <si>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 (протокол № 8 от 22.06.2020)</t>
  </si>
  <si>
    <t>439350.05.01</t>
  </si>
  <si>
    <t>Экономика труда в орг. АПК: Уч.пос./ Ю.Н.Шумаков. - М.:НИЦ ИНФРА-М, 2023 - 223 с.(ВО:Бакалавр.) (п)</t>
  </si>
  <si>
    <t>ЭКОНОМИКА ТРУДА В ОРГАНИЗАЦИЯХ АПК</t>
  </si>
  <si>
    <t>Шумаков Ю. Н., Винничек Л. Б., Алексеева С. Н., Максимова Т. А.</t>
  </si>
  <si>
    <t>978-5-16-005661-6</t>
  </si>
  <si>
    <t>35.03.04, 35.03.06</t>
  </si>
  <si>
    <t>Допущено Министерством сельского хозяйства Российской Федерации в качестве учебного пособия для студентов аграрных вузов, обучающихся по направлениям «Экономика» и «Менеджмент»</t>
  </si>
  <si>
    <t>294500.10.01</t>
  </si>
  <si>
    <t>Экономика труда: Уч. / Б.М.Генкин-М.:Юр.Норма, НИЦ ИНФРА-М,2024.-352 с.(П)</t>
  </si>
  <si>
    <t>ЭКОНОМИКА ТРУДА</t>
  </si>
  <si>
    <t>978-5-91768-521-2</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</si>
  <si>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учебника для студентов высших учебных заведений, обучающихся по направлению 38.</t>
  </si>
  <si>
    <t>307600.06.01</t>
  </si>
  <si>
    <t>Экономика труда: Уч. / Д.Г.Щипанова - М.: РИОР, НИЦ ИНФРА-М,2022 - 332 с.(ВО. Бакалавриат)(П)</t>
  </si>
  <si>
    <t>Д.Г.Щипанова, М.В.Мелкумова</t>
  </si>
  <si>
    <t>978-5-369-01390-8</t>
  </si>
  <si>
    <t>651106.06.01</t>
  </si>
  <si>
    <t>Экономика труда: Уч. / Е.В.Михалкина - М.:ИЦ РИОР, НИЦ ИНФРА-М,2023 - 273 с.(ВО:Бакалавриат)(П)</t>
  </si>
  <si>
    <t>Михалкина Е.В., Белокрылова О.С., Фурса Е.В.</t>
  </si>
  <si>
    <t>978-5-369-01672-5</t>
  </si>
  <si>
    <t>635091.04.01</t>
  </si>
  <si>
    <t>Экономика труда: Уч. / М.Б.Щепакин и др.-М.:Магистр, НИЦ ИНФРА-М, 2023.-400 с..-(Бакалавриат) (П)</t>
  </si>
  <si>
    <t>Щепакин М.Б., Молчан А.С., Хандамова Э.Ф.</t>
  </si>
  <si>
    <t>978-5-9776-0447-5</t>
  </si>
  <si>
    <t>253700.11.01</t>
  </si>
  <si>
    <t>Экономика труда: Уч. / Под ред. Асалиева А.М. - М.:НИЦ ИНФРА-М,2025 - 336 с.(ВО: Бакалавриат)(П)</t>
  </si>
  <si>
    <t>Асалиев А. М., Бычин В. Б., Бобков В. Н., Асалиев А. М.</t>
  </si>
  <si>
    <t>978-5-16-009415-1</t>
  </si>
  <si>
    <t>Рекомендовано Учебно-методическим объединением вузов России по образованию в области экономики, экономической теории, национальной экономики и экономики труда в качестве учебника для студентов высших учебных заведений, обучающихся  по направлению подготовки 38.03.01 «Экономика» (квалификация (степень) «бакалавр»)</t>
  </si>
  <si>
    <t>216400.08.01</t>
  </si>
  <si>
    <t>Экономика труда: Уч.пос. / А.М.Асалиев. - М.:НИЦ ИНФРА-М,2025 - 171 с.(ВО: Бакалавриат)(П)</t>
  </si>
  <si>
    <t>Асалиев А. М., Вукович Г. Г., Сланченко Л. И.</t>
  </si>
  <si>
    <t>978-5-16-013239-6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</si>
  <si>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 (квалификация (степень) «бакалавр»)</t>
  </si>
  <si>
    <t>401400.08.01</t>
  </si>
  <si>
    <t>Экономика туризма: Уч.пос. / А.О.Овчаров - 2 изд. - М.:НИЦ ИНФРА-М,2024 - 264 с.(ВО: Бакалавриат)(П)</t>
  </si>
  <si>
    <t>ЭКОНОМИКА ТУРИЗМА, ИЗД.2</t>
  </si>
  <si>
    <t>Овчаров А.О.</t>
  </si>
  <si>
    <t>978-5-16-017365-8</t>
  </si>
  <si>
    <t>Рекомендовано ФГБОУ ВПО «Санкт-Петербургский государственный университет сервиса и экономики» в качестве учебного пособия для студентов высших учебных заведений,обучающихся по направлению 43.03.02 «Туризм» (регистрационный номер рецензии 1772 от 27.03.2012, МГУП)</t>
  </si>
  <si>
    <t>401400.06.01</t>
  </si>
  <si>
    <t>Экономика туризма: Уч.пос. / А.О.Овчаров - М.:НИЦ ИНФРА-М,2022 - 253 с.-(ВО: Бакалавриат)(о)</t>
  </si>
  <si>
    <t>ЭКОНОМИКА ТУРИЗМА</t>
  </si>
  <si>
    <t>978-5-16-005335-6</t>
  </si>
  <si>
    <t>Рекомендовано ФГБОУ ВПО «Санкт-Петербургский государственный университет сервиса и экономики» в качестве учебного пособия для студентов высших учебных заведений, обучающихся по направлению 43.03.02 «Туризм» (регистрационный номер рецензии 1772 от 27.03.2012, МГУП)</t>
  </si>
  <si>
    <t>405200.08.01</t>
  </si>
  <si>
    <t>Экономика туристских предприятий: Уч.пос. / А.О.Овчаров - М.:НИЦ ИНФРА-М,2025. - 176 с.(ВО)(П)</t>
  </si>
  <si>
    <t>ЭКОНОМИКА ТУРИСТСКИХ ПРЕДПРИЯТИЙ</t>
  </si>
  <si>
    <t>978-5-16-005423-0</t>
  </si>
  <si>
    <t>38.03.01, 38.04.01, 43.03.02, 43.03.03, 43.04.02, 43.04.03</t>
  </si>
  <si>
    <t>202300.09.01</t>
  </si>
  <si>
    <t>Экономика упр. персоналом: Уч. / Под ред. Кибанова А.Я. - М.:НИЦ ИНФРА-М,2025 - 427 с.(ВО: Бакалавр.)(П)</t>
  </si>
  <si>
    <t>ЭКОНОМИКА УПРАВЛЕНИЯ ПЕРСОНАЛОМ</t>
  </si>
  <si>
    <t>Кибанов А.Я., Митрофанова Е.А., Эсаулова И.А. и др.</t>
  </si>
  <si>
    <t>978-5-16-006018-7</t>
  </si>
  <si>
    <t>Рекомендовано Советом УМО по образованию в области менеджмента в качестве учебника для студентов высших учебных заведений, обучающихся по направлению 38.03.03 (080400) «Управление персоналом» (квалификация (степень) «бакалавр»)</t>
  </si>
  <si>
    <t>134950.07.01</t>
  </si>
  <si>
    <t>Экономика фирмы: орг. послепрод. обслуж. прод.: Уч. пос./В.Я.Поздняков-М.: ИНФРА-М, 2024-108с(ВО) (о)</t>
  </si>
  <si>
    <t>ЭКОНОМИКА ФИРМЫ: ОРГАНИЗАЦИЯ ПОСЛЕПРОДАЖНОГО ОБСЛУЖИВАНИЯ ПРОДУКЦИИ</t>
  </si>
  <si>
    <t>Поздняков В. Я., Моргунова Е. П., Табачун А. С.</t>
  </si>
  <si>
    <t>978-5-16-004301-2</t>
  </si>
  <si>
    <t>Рекомендовано УМО по образованию в области национальной экономики и экономики труда в качестве учебного пособия для студентов, обуч. по спец. 080103  "Национальная экономика", 080104 "Экономика труда" и другим экономическим специальностям</t>
  </si>
  <si>
    <t>454550.05.01</t>
  </si>
  <si>
    <t>Экономика фирмы: схемы, определения..: Справ. пос. /Е.В.Арсенова - Магистр: ИНФРА-М, 2023-248с (о)</t>
  </si>
  <si>
    <t>ЭКОНОМИКА ФИРМЫ: СХЕМЫ, ОПРЕДЕЛЕНИЯ, ПОКАЗАТЕЛИ</t>
  </si>
  <si>
    <t>Арсенова Е. В., Крюкова О. Г.</t>
  </si>
  <si>
    <t>978-5-9776-0296-9</t>
  </si>
  <si>
    <t>38.03.01, 38.03.02, 38.03.03, 38.03.04, 38.03.05, 38.03.06, 38.04.01, 38.04.02, 41.03.06</t>
  </si>
  <si>
    <t>113700.11.01</t>
  </si>
  <si>
    <t>Экономика фирмы: Уч. пос./ А.Н. Ряховская - М.: Магистр:  НИЦ ИНФРА-М, 2024. - 512 с.(Бакалавр.) (п)</t>
  </si>
  <si>
    <t>ЭКОНОМИКА ФИРМЫ</t>
  </si>
  <si>
    <t>Ряховская А. Н., Арсенова Е. В., Волков Л. В., Данилова О. В., Ряховская А. Н.</t>
  </si>
  <si>
    <t>978-5-9776-0111-5</t>
  </si>
  <si>
    <t>Рекомендовано УМО по образованию в обл. финансов, учета и мировой экономики в качестве уч. пособия для студентов вузов, обучающихся по напр. "Экономика"</t>
  </si>
  <si>
    <t>636368.01.01</t>
  </si>
  <si>
    <t>Экономика, организация и планир. производства: Уч.пос. / Л.Т.Печеная. - М.:НИЦ ИНФРА-М,2025. - 196 с.(ВО)(п)</t>
  </si>
  <si>
    <t>ЭКОНОМИКА, ОРГАНИЗАЦИЯ И ПЛАНИРОВАНИЕ ПРОИЗВОДСТВА</t>
  </si>
  <si>
    <t>Печеная Л.Т., Домарев И.Е., Астраханцева Е.Ю.</t>
  </si>
  <si>
    <t>978-5-16-019092-1</t>
  </si>
  <si>
    <t>417050.07.01</t>
  </si>
  <si>
    <t>Экономика, организация, основы маркетинга в перерабат...: Уч. пос./Е.В.Савватеев-ИНФРА-М,2024-317с. (п)</t>
  </si>
  <si>
    <t>ЭКОНОМИКА, ОРГАНИЗАЦИЯ, ОСНОВЫ МАРКЕТИНГА В ПЕРЕРАБАТЫВАЮЩЕЙ ПРОМЫШЛЕННОСТИ</t>
  </si>
  <si>
    <t>Савватеев Е. В., Рокотянская В. В., Мощенко О. В., Власенкова Т. А., Савватеев Е. В.</t>
  </si>
  <si>
    <t>978-5-16-006503-8</t>
  </si>
  <si>
    <t>36.03.01, 38.03.01, 38.03.07, 38.04.01</t>
  </si>
  <si>
    <t>Рекомендовано Учебно-методическим объединением вузов по образованию в области технологии сырья и продуктов животного происхождения в качестве учебного пособия для студентов высших учебных заведений, обучающихся по направлению подготовки бакалавров 11</t>
  </si>
  <si>
    <t>640872.07.01</t>
  </si>
  <si>
    <t>Экономика,орг.и упр.промыш.предпр.: Уч. / Е.Д.Коршунова-М.:КУРС,НИЦ ИНФРА-М,2023-272с(Бакалавр.)(П)</t>
  </si>
  <si>
    <t>ЭКОНОМИКА, ОРГАНИЗАЦИЯ И УПРАВЛЕНИЕ ПРОМЫШЛЕННЫМ ПРЕДПРИЯТИЕМ</t>
  </si>
  <si>
    <t>Коршунова Е.Д., Попова О.В., Дорожкин И.Н.</t>
  </si>
  <si>
    <t>978-5-906818-90-4</t>
  </si>
  <si>
    <t>Допущено УМО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"Автоматизация технолгических процессов и производств"</t>
  </si>
  <si>
    <t>364800.05.01</t>
  </si>
  <si>
    <t>Экономика. Деловые игры / Б.В.Корнейчук - М.:Магистр, НИЦ ИНФРА-М,2023-208с.(О)</t>
  </si>
  <si>
    <t>ЭКОНОМИКА. ДЕЛОВЫЕ ИГРЫ</t>
  </si>
  <si>
    <t>Корнейчук Б.В.</t>
  </si>
  <si>
    <t>978-5-9776-0366-9</t>
  </si>
  <si>
    <t>00.05.13, 38.03.01, 38.03.02, 38.03.03, 38.03.04, 38.03.05, 38.03.06, 38.03.07, 38.04.01, 38.04.02, 38.04.03, 38.04.04, 38.04.05, 38.04.06, 38.04.07, 38.04.08, 38.04.09, 38.05.01, 38.05.02, 40.03.01, 41.03.06</t>
  </si>
  <si>
    <t>166950.07.01</t>
  </si>
  <si>
    <t>Экономика. Словарь: Уч.пос. / В.М.Пушкарева-М.:Вузовский учебник, ИНФРА-М Изд. Дом,2019.-232 с.(П)</t>
  </si>
  <si>
    <t>ЭКОНОМИКА. СЛОВАРЬ</t>
  </si>
  <si>
    <t>Пушкарева В. М.</t>
  </si>
  <si>
    <t>978-5-9558-0229-9</t>
  </si>
  <si>
    <t>Рекомендовано Методическим советом НОУ высшего профессионального образования "ИНЭП" в качестве учебного пособия для подготовки бакалавров по направлению "Экономика" всех профилей</t>
  </si>
  <si>
    <t>432200.04.01</t>
  </si>
  <si>
    <t>Экономика: бакалаврская работа: Уч.пос. /С.Д.Резник-2изд.-М.:НИЦ ИНФРА-М,2020-222с.(ВО:Бакалавр.)(п)</t>
  </si>
  <si>
    <t>ЭКОНОМИКА: БАКАЛАВРСКАЯ РАБОТА, ИЗД.2</t>
  </si>
  <si>
    <t>Резник С.Д., Мебадури З.А., Белянская Н.М. и др.</t>
  </si>
  <si>
    <t>978-5-16-011293-0</t>
  </si>
  <si>
    <t>Рекомендовано Учебно-методическим объединением по образованию в области экономики, товароведения, торгового дела на базе ФГБОУВО «РЭУим. Г.В. Плеханова» в качестве учебного пособия для студентов высших учебных заведений, обучающихся по направлению38.03.01 «Экономика» (квалификация «бакалавр»)</t>
  </si>
  <si>
    <t>432200.05.01</t>
  </si>
  <si>
    <t>Экономика: выпуск. квалификац. работа бакалавра: Уч.пос. / С.Д.Резник - 4изд.-М.:НИЦ ИНФРА-М,2024.-210 с(п)</t>
  </si>
  <si>
    <t>ЭКОНОМИКА: ВЫПУСКНАЯ КВАЛИФИКАЦИОННАЯ РАБОТА БАКАЛАВРА, ИЗД.4</t>
  </si>
  <si>
    <t>978-5-16-018904-8</t>
  </si>
  <si>
    <t>317700.06.01</t>
  </si>
  <si>
    <t>Экономика: Уч. / А.И.Балашов - М.:Магистр, НИЦ ИНФРА-М,2025 - 432 с.(Бакалавриат)(п)</t>
  </si>
  <si>
    <t>ЭКОНОМИКА</t>
  </si>
  <si>
    <t>А.И.Балашов, С.А.Тертышный</t>
  </si>
  <si>
    <t>978-5-9776-0340-9</t>
  </si>
  <si>
    <t>705370.05.01</t>
  </si>
  <si>
    <t>Экономика: Уч. / В.А.Федотов - 4 изд. - М.:НИЦ ИНФРА-М,2023 - 196 с.-(СПО)(П)</t>
  </si>
  <si>
    <t>ЭКОНОМИКА, ИЗД.4</t>
  </si>
  <si>
    <t>Федотов В.А., Комарова О.В.</t>
  </si>
  <si>
    <t>978-5-16-015038-3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</si>
  <si>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5 от 11.03.2019)</t>
  </si>
  <si>
    <t>376000.05.01</t>
  </si>
  <si>
    <t>Экономика: Уч. / В.А.Федотов, - 4-е изд.-М.:НИЦ ИНФРА-М,2024.-196 с.(ВО)(п)</t>
  </si>
  <si>
    <t>978-5-16-019152-2</t>
  </si>
  <si>
    <t>Рекомендовано в качестве учебника для студентов высших учебных заведений, обучающихся по неэкономическим укрупненным группам специальностей (квалификация (степень) "бакалавр»)</t>
  </si>
  <si>
    <t>745714.01.01</t>
  </si>
  <si>
    <t>Экономика: Уч. / В.П.Бардовский и др. - М.:ИД Форум, НИЦ ИНФРА-М,2021 - 672 с.-(ВО: Специалитет)(п)</t>
  </si>
  <si>
    <t>Бардовский В.П., Рудакова О.В., Самородова Е.М.</t>
  </si>
  <si>
    <t>978-5-8199-0917-1</t>
  </si>
  <si>
    <t>00.05.13, 40.05.01, 40.05.02, 40.05.03, 40.05.04</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</si>
  <si>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неэкономическим специальностям</t>
  </si>
  <si>
    <t>102400.13.01</t>
  </si>
  <si>
    <t>Экономика: Уч. / В.П.Бардовский и др. - М.:ИД ФОРУМ,НИЦ ИНФРА-М,2024 - 672 с.-(ВО)(П)</t>
  </si>
  <si>
    <t>Бардовский В. П., Рудакова О. В., Самородова Е. М.</t>
  </si>
  <si>
    <t>978-5-8199-0912-6</t>
  </si>
  <si>
    <t>139100.05.01</t>
  </si>
  <si>
    <t>Экономика: Уч. / Е.С. Дубровская. - М.: ИЦ РИОР:  ИНФРА-М, 2024. - 256 с.(ВО) (п)</t>
  </si>
  <si>
    <t>Дубровская Е. С.</t>
  </si>
  <si>
    <t>978-5-369-00902-4</t>
  </si>
  <si>
    <t>00.03.13, 00.05.13, 15.03.01, 23.03.01</t>
  </si>
  <si>
    <t>699359.01.01</t>
  </si>
  <si>
    <t>Экономика: Уч. / З.К.Океанова - М.:НИЦ ИНФРА-М,2019 - 566 с.-(ВО: Бакалавриат)(П)</t>
  </si>
  <si>
    <t>978-5-16-014706-2</t>
  </si>
  <si>
    <t>00.05.13, 38.03.01, 38.03.07, 40.03.01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</si>
  <si>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(протокол № 6 от 25.03.2019)</t>
  </si>
  <si>
    <t>070950.13.01</t>
  </si>
  <si>
    <t>Экономика: Уч. / М.В.Кудина-М.:ИД ФОРУМ, НИЦ ИНФРА-М,2024.-368 с.(ВО)(П)</t>
  </si>
  <si>
    <t>978-5-8199-0504-3</t>
  </si>
  <si>
    <t>Рекомендовано Ученым советом факультета государственного управления МГУ имени М.В. Ломоносова в качестве учебника для студентов учреждений высшего и профессионального образования</t>
  </si>
  <si>
    <t>688744.05.01</t>
  </si>
  <si>
    <t>Экономика: Уч. / С.У.Нуралиев - 2 изд., испр. и доп.-М.:НИЦ ИНФРА-М,2023-363 с.-(ВО: Бакалавриат)(П)</t>
  </si>
  <si>
    <t>ЭКОНОМИКА, ИЗД.2</t>
  </si>
  <si>
    <t>Нуралиев С.У., Нуралиева Д.С.</t>
  </si>
  <si>
    <t>978-5-16-014578-5</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</si>
  <si>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t>
  </si>
  <si>
    <t>146600.11.01</t>
  </si>
  <si>
    <t>Экономика: Уч. пос./ Л.Е. Басовский - М.: НИЦ ИНФРА-М, 2025. - 375 с. (ВО: Бакалавриат) (п)</t>
  </si>
  <si>
    <t>978-5-16-004825-3</t>
  </si>
  <si>
    <t>Рекомендовано УМО по образованию в области экономики и экономической теории в качестве учебного пособия для студентов вузов, обучающихся по неэкономическим специальностям</t>
  </si>
  <si>
    <t>321700.09.01</t>
  </si>
  <si>
    <t>Экономика: Уч.пос. / С.Д.Резник. - 3 изд.-М.:НИЦ ИНФРА-М,2024.-236 с.(Менеджмент в высшей школе)(П)</t>
  </si>
  <si>
    <t>ВВЕДЕНИЕ В ЭКОНОМИКУ, ИЗД.3</t>
  </si>
  <si>
    <t>978-5-16-015242-4</t>
  </si>
  <si>
    <t>085690.17.01</t>
  </si>
  <si>
    <t>Экономико-матем. методы и модели..: Уч. пос./И.В.Орлова - 3 изд.-Вуз. уч.:ИНФРА-М,2024-389с. (п)</t>
  </si>
  <si>
    <t>ЭКОНОМИКО-МАТЕМАТИЧЕСКИЕ МЕТОДЫ И МОДЕЛИ: КОМПЬЮТЕРНОЕ МОДЕЛИРОВАНИЕ, ИЗД.3</t>
  </si>
  <si>
    <t>Орлова И. В., Половников В. А.</t>
  </si>
  <si>
    <t>978-5-9558-0208-4</t>
  </si>
  <si>
    <t>Допущено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экономическим направлениям</t>
  </si>
  <si>
    <t>059950.13.01</t>
  </si>
  <si>
    <t>Экономико-матем. модели и прогнозир. рынка труда: Уч. / В.В.Федосеев - 3 изд. - М.:Вуз. уч.,НИЦ ИНФРА-М,2025 - 148 с.(П)</t>
  </si>
  <si>
    <t>ЭКОНОМИКО-МАТЕМАТИЧЕСКИЕ МОДЕЛИ И ПРОГНОЗИРОВАНИЕ РЫНКА ТРУДА, ИЗД.3</t>
  </si>
  <si>
    <t>Федосеев В.В.</t>
  </si>
  <si>
    <t>978-5-9558-0603-7</t>
  </si>
  <si>
    <t>01.03.02, 01.03.04, 01.04.02, 02.03.02, 03.03.02, 09.04.01, 38.03.01, 38.03.03</t>
  </si>
  <si>
    <t>027592.01.01</t>
  </si>
  <si>
    <t>Экономико-матем. моделир. в управ. бизнесом: Уч. / Е.В.Бережная-М.:НИЦ ИНФРА-М,2024.-456 с(ВО)(п)</t>
  </si>
  <si>
    <t>ЭКОНОМИКО-МАТЕМАТИЧЕСКОЕ МОДЕЛИРОВАНИЕ В УПРАВЛЕНИИ БИЗНЕСОМ</t>
  </si>
  <si>
    <t>Бережная Е.В., Бережной В.И., Бережная О.В.</t>
  </si>
  <si>
    <t>978-5-16-018607-8</t>
  </si>
  <si>
    <t>050950.18.01</t>
  </si>
  <si>
    <t>Экономико-матем. моделирование.: Практ.пос. / И.В.Орлова - 3 изд. - М.:Вуз.уч.,НИЦ ИНФРА-М,2025 - 190 с.(п)</t>
  </si>
  <si>
    <t>ЭКОНОМИКО-МАТЕМАТИЧЕСКОЕ МОДЕЛИРОВАНИЕ, ИЗД.3</t>
  </si>
  <si>
    <t>Орлова И.В., Бич М.Г.</t>
  </si>
  <si>
    <t>978-5-9558-0527-6</t>
  </si>
  <si>
    <t>21.03.02, 38.03.01, 38.03.02, 38.03.03, 38.03.04, 38.03.05, 38.03.06, 38.03.07, 38.04.01, 38.04.02, 38.04.03, 38.04.04, 38.04.05, 38.04.06, 38.04.07, 38.04.08, 38.04.09, 38.05.01, 38.05.02, 41.03.06</t>
  </si>
  <si>
    <t>445750.08.01</t>
  </si>
  <si>
    <t>Экономико-матем.методы в примерах...: Уч.пос. / Под ред.Гармаша А.Н. - М.:Вуз.уч.,НИЦ ИНФРА-М,2024 - 416с(П)</t>
  </si>
  <si>
    <t>ЭКОНОМИКО-МАТЕМАТИЧЕСКИЕ МЕТОДЫ В ПРИМЕРАХ И ЗАДАЧАХ</t>
  </si>
  <si>
    <t>Гармаш А.Н., Орлова И.В., Концевая Н.В. и др.</t>
  </si>
  <si>
    <t>978-5-9558-0322-7</t>
  </si>
  <si>
    <t>Рекомендовано Учебно-методическим объединением по образованию в области математических методов в экономике в качестве учебного пособия для студентов высших учебных заведений, обучающихся по направлению «Математические методы в экономике» и другим эко</t>
  </si>
  <si>
    <t>430100.06.01</t>
  </si>
  <si>
    <t>Экономико-математические методы и модели: Уч. пос./Р.Ш.Хуснутдинов - М.: НИЦ ИНФРА-М, 2023-224с.(ВО) (п)</t>
  </si>
  <si>
    <t>ЭКОНОМИКО-МАТЕМАТИЧЕСКИЕ МЕТОДЫ И МОДЕЛИ</t>
  </si>
  <si>
    <t>978-5-16-005313-4</t>
  </si>
  <si>
    <t>21.03.02, 38.03.01, 38.03.02, 38.04.01, 38.04.02</t>
  </si>
  <si>
    <t>Рекомендовано ФБГОУ ВПО «Государственный университет управления» в качестве учебного пособия для студентов высших учебных заведений, обучающихся по специальности 080116 «Математические методы в экономике»</t>
  </si>
  <si>
    <t>059950.08.01</t>
  </si>
  <si>
    <t>Экономико-математические модели..: Уч.пос. / В.В.Федосеев - 2 изд. - М.:Вуз.уч.:ИНФРА-М,2018-144с(о)</t>
  </si>
  <si>
    <t>ЭКОНОМИКО-МАТЕМАТИЧЕСКИЕ МОДЕЛИ И ПРОГНОЗИРОВАНИЕ РЫНКА ТРУДА, ИЗД.2</t>
  </si>
  <si>
    <t>Федосеев В. В.</t>
  </si>
  <si>
    <t>978-5-9558-0159-9</t>
  </si>
  <si>
    <t>Рекомендовано Мин. обр. и науки РФ в качестве учебного пособия для студентов вузов, обучающихся по специальности "Экономика труда"</t>
  </si>
  <si>
    <t>645725.04.01</t>
  </si>
  <si>
    <t>Экономико-математическое и экономет.моделирование: Уч.пос. / В.Ф.Колпаков-М.:НИЦ ИНФРА-М,2024-396с.</t>
  </si>
  <si>
    <t>ЭКОНОМИКО-МАТЕМАТИЧЕСКОЕ И ЭКОНОМЕТРИЧЕСКОЕ МОДЕЛИРОВАНИЕ: КОМПЬЮТЕРНЫЙ ПРАКТИКУМ</t>
  </si>
  <si>
    <t>Колпаков В.Ф.</t>
  </si>
  <si>
    <t>978-5-16-010967-1</t>
  </si>
  <si>
    <t>Рекомендовано в качестве учебного пособия для студентов высших учебных заведений,обучающихся по направлениям подготовки 38.03.01 «Экономика», 38.03.02 «Менеджмент» (квалификация (степень) «бакалавр»)</t>
  </si>
  <si>
    <t>020000.23.01</t>
  </si>
  <si>
    <t>Экономикс: принципы, проблемы и политика: Уч. / К.Р.Макконнелл - 21 изд. - М.:НИЦ ИНФРА-М,2025 -1152 с.(П)</t>
  </si>
  <si>
    <t>ЭКОНОМИКС: ПРИНЦИПЫ, ПРОБЛЕМЫ И ПОЛИТИКА, ИЗД.21</t>
  </si>
  <si>
    <t>Макконнелл К.Р., Брю С.Л., Флинн Ш.М.</t>
  </si>
  <si>
    <t>978-5-16-012985-3</t>
  </si>
  <si>
    <t>38.03.01, 38.03.02, 38.03.03, 38.03.04, 38.03.05, 38.03.06, 38.03.07, 38.03.10, 38.05.01, 38.05.02, 41.03.04, 41.03.06</t>
  </si>
  <si>
    <t>2119</t>
  </si>
  <si>
    <t>020000.15.01</t>
  </si>
  <si>
    <t>Экономикс: принципы, проблемы и политика: Уч. / К.Р.Макконнелл, 19 изд. -М.: НИЦ ИНФРА-М, 2017 -1028с(П)</t>
  </si>
  <si>
    <t>ЭКОНОМИКС: ПРИНЦИПЫ, ПРОБЛЕМЫ И ПОЛИТИКА, ИЗД.19</t>
  </si>
  <si>
    <t>978-5-16-006520-5</t>
  </si>
  <si>
    <t>1913</t>
  </si>
  <si>
    <t>186150.08.01</t>
  </si>
  <si>
    <t>Экономикс: Уч. пос. / В.С.Гродский - М.: ИЦ РИОР: НИЦ Инфра-М, 2025 - 222 с.(ВО: Бакалавр.; Магистр.) (п)</t>
  </si>
  <si>
    <t>ЭКОНОМИКС</t>
  </si>
  <si>
    <t>Гродский В. С.</t>
  </si>
  <si>
    <t>978-5-369-01003-7</t>
  </si>
  <si>
    <t>Рекомендовано Межвузовским центром экономического образования Мин. обр. и науки РФ в качестве учебного пособия для бакалавров, обучающихся по направлениям "Экономика" и "Менеджмент"</t>
  </si>
  <si>
    <t>653879.09.01</t>
  </si>
  <si>
    <t>Экономическая безопас. орг.(предпр.): Уч.пос. / Л.А.Кормишкина - М.:ИЦ РИОР,НИЦ ИНФРА-М,2025 - 293 с.(П)</t>
  </si>
  <si>
    <t>ЭКОНОМИЧЕСКАЯ БЕЗОПАСНОСТЬ ОРГАНИЗАЦИИ (ПРЕДПРИЯТИЯ)</t>
  </si>
  <si>
    <t>Кормишкина Л.А., Кормишкин Е.Д., Илякова И.Е.</t>
  </si>
  <si>
    <t>978-5-369-01671-8</t>
  </si>
  <si>
    <t>38.03.01, 38.05.01</t>
  </si>
  <si>
    <t>709102.04.01</t>
  </si>
  <si>
    <t>Экономическая безопасность предприятия: Уч.пос. / О.А.Коваленко-М.:ИЦ РИОР, НИЦ ИНФРА-М,2023-359с(П)</t>
  </si>
  <si>
    <t>ЭКОНОМИЧЕСКАЯ БЕЗОПАСНОСТЬ ПРЕДПРИЯТИЯ</t>
  </si>
  <si>
    <t>Коваленко О.А., Малютина Т.Д., Ткаченко Д.Д.</t>
  </si>
  <si>
    <t>978-5-369-01814-9</t>
  </si>
  <si>
    <t>716860.07.01</t>
  </si>
  <si>
    <t>Экономическая безопасность. Практ.: Уч.пос. / Н.Г.Гаджиев - М.:НИЦ ИНФРА-М,2024 - 204 с.(ВО: Спец.)(П)</t>
  </si>
  <si>
    <t>ЭКОНОМИЧЕСКАЯ БЕЗОПАСНОСТЬ. ПРАКТИКУМ</t>
  </si>
  <si>
    <t>Гаджиев Н.Г., Газимагомедов М.А., Доронин А.В. и др.</t>
  </si>
  <si>
    <t>978-5-16-015730-6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</si>
  <si>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9 от 28.09.2020)</t>
  </si>
  <si>
    <t>716863.07.01</t>
  </si>
  <si>
    <t>Экономическая безопасность: Уч. / Н.Г.Гаджиев - М.:НИЦ ИНФРА-М,2024 - 526 с.(ВО:Специалитет)(П)</t>
  </si>
  <si>
    <t>ЭКОНОМИЧЕСКАЯ БЕЗОПАСНОСТЬ</t>
  </si>
  <si>
    <t>978-5-16-015729-0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</si>
  <si>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(степень) «экономист») (протокол № 8 от 22.06.2020)</t>
  </si>
  <si>
    <t>223400.10.01</t>
  </si>
  <si>
    <t>Экономическая безопасность: Уч.пос. / Под ред. Манохиной Н.В.-М.:НИЦ ИНФРА-М,2024.-320 с.(ВО)(п)</t>
  </si>
  <si>
    <t>Попов М.В., Манохина Н.В., Колядин Н.П. и др.</t>
  </si>
  <si>
    <t>978-5-16-019319-9</t>
  </si>
  <si>
    <t>Данное учебное издание 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38.05.01 «Экономическая безопасность»</t>
  </si>
  <si>
    <t>155500.11.01</t>
  </si>
  <si>
    <t>Экономическая география и регионалистика: Уч.пос. / И.А.Козьева - 2изд.-М.:НИЦ ИНФРА-М,2024.-319 с.(ВО)(П)</t>
  </si>
  <si>
    <t>ЭКОНОМИЧЕСКАЯ ГЕОГРАФИЯ И РЕГИОНАЛИСТИКА, ИЗД.2</t>
  </si>
  <si>
    <t>Козьева И.А., Кузьбожев Э.Н.</t>
  </si>
  <si>
    <t>978-5-16-006838-1</t>
  </si>
  <si>
    <t>38.03.01, 38.03.03, 38.03.04, 38.04.01, 38.04.04</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</si>
  <si>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080504 "Государственное и муниципальное управление"</t>
  </si>
  <si>
    <t>274200.06.01</t>
  </si>
  <si>
    <t>Экономическая история (философские, социолог...): Уч.пос. / Ю.П.Дусь - Форум: ИНФРА-М,2025 - 240 с.(п)</t>
  </si>
  <si>
    <t>ЭКОНОМИЧЕСКАЯ ИСТОРИЯ (ФИЛОСОФСКИЕ, СОЦИОЛОГИЧЕСКИЕ, ИНФОРМАЦИОННЫЕ АСПЕКТЫ)</t>
  </si>
  <si>
    <t>Дусь Ю.П.</t>
  </si>
  <si>
    <t>978-5-91134-873-1</t>
  </si>
  <si>
    <t>820931.01.01</t>
  </si>
  <si>
    <t>Экономическая культура и финанс. грамотность: Уч.пос. / Е.П.Севастьянова.-М.:НИЦ ИНФРА-М, СФУ,2024.-176 с(п)</t>
  </si>
  <si>
    <t>ЭКОНОМИЧЕСКАЯ КУЛЬТУРА И ФИНАНСОВАЯ ГРАМОТНОСТЬ</t>
  </si>
  <si>
    <t>Севастьянова Е.П., Горячев В.П., Кузьмина Н.Н. и др.</t>
  </si>
  <si>
    <t>978-5-16-019600-8</t>
  </si>
  <si>
    <t>01.03.01, 01.03.02, 02.03.01, 05.03.02, 05.03.06, 38.03.01, 38.03.03, 38.03.04, 40.03.01, 42.03.02, 44.03.01, 44.03.05</t>
  </si>
  <si>
    <t>656771.02.01</t>
  </si>
  <si>
    <t>Экономическая оценка инвестиц. проектов: Уч. / С.А.Сироткин - М.:НИЦ ИНФРА-М,2022 - 274 с.(ВО)(П)</t>
  </si>
  <si>
    <t>ЭКОНОМИЧЕСКАЯ ОЦЕНКА ИНВЕСТИЦИОННЫХ ПРОЕКТОВ</t>
  </si>
  <si>
    <t>978-5-16-015018-5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</si>
  <si>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5 от 16.03.2020)</t>
  </si>
  <si>
    <t>428350.08.01</t>
  </si>
  <si>
    <t>Экономическая оценка инвестиций на транспорте: Уч.пос. / Н.А.Логинова - М.:НИЦ ИНФРА-М,2025. - 252 с.(ВО)(П)</t>
  </si>
  <si>
    <t>ЭКОНОМИЧЕСКАЯ ОЦЕНКА ИНВЕСТИЦИЙ НА ТРАНСПОРТЕ</t>
  </si>
  <si>
    <t>978-5-16-005785-9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</si>
  <si>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«Производственный менеджмент»)</t>
  </si>
  <si>
    <t>787647.01.01</t>
  </si>
  <si>
    <t>Экономическая оценка инвестиций: Уч. пос. / Н.Г.Гаджиев и др. - М.:НИЦ ИНФРА-М,2024. - 211 с.(ВО)(п)</t>
  </si>
  <si>
    <t>ЭКОНОМИЧЕСКАЯ ОЦЕНКА ИНВЕСТИЦИЙ</t>
  </si>
  <si>
    <t>Гаджиев Н.Г., Гаврилова Т.М., Коноваленко С.А. и др.</t>
  </si>
  <si>
    <t>978-5-16-017951-3</t>
  </si>
  <si>
    <t>08.03.01, 09.03.01, 13.03.03, 15.03.05, 27.03.04, 38.03.01, 38.05.01</t>
  </si>
  <si>
    <t>Учебное пособие рекомендовано Межрегиональным учебно-методическим советом профессионального образования в качестве учебного пособия для обучающихся по направлениям подготовки 08.03.01 «Строительство», 09.03.01 «Информатика и вычислительная техника», 27.03.04 «Управление в технических системах», 13.03.03 «Энергетическое машиностроение», 15.03.05 «Конструкторско-технологическое обеспечение машиностроительных производств»</t>
  </si>
  <si>
    <t>078700.14.01</t>
  </si>
  <si>
    <t>Экономическая оценка инвестиций: Уч. пос./ Л.Е.Басовский - М.: ИНФРА-М,2025 - 241с.(ВО: Бакалавр.) (п)</t>
  </si>
  <si>
    <t>978-5-16-009915-6</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</si>
  <si>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предприятии (по отраслям)</t>
  </si>
  <si>
    <t>475850.07.01</t>
  </si>
  <si>
    <t>Экономическая оценка инвестиций: Уч.пос. / Г.В. Маркова - М.: КУРС:  НИЦ ИНФРА-М, 2020-144с. (О)</t>
  </si>
  <si>
    <t>Маркова Г.В.</t>
  </si>
  <si>
    <t>978-5-905554-73-5</t>
  </si>
  <si>
    <t>451100.04.01</t>
  </si>
  <si>
    <t>Экономическая социология: Уч. / М.А.Васьков - М.:ИЦ РИОР,НИЦ ИНФРА-М,2023 - 252с.(ВО:Бакалавр.)(п)</t>
  </si>
  <si>
    <t>ЭКОНОМИЧЕСКАЯ СОЦИОЛОГИЯ</t>
  </si>
  <si>
    <t>ВаськовМ.А., ВоденкоК.В., СамыгинС.И. и др.</t>
  </si>
  <si>
    <t>978-5-369-01478-3</t>
  </si>
  <si>
    <t>Рекомендовано УМО РАЕ по классическому университетскому и техническому образованию в качестве учебника для социально-экономических направлений подготовки (бакалавриат)</t>
  </si>
  <si>
    <t>678770.01.01</t>
  </si>
  <si>
    <t>Экономическая среда промыш. бизнеса: Уч. / С.А.Сироткин-М.:НИЦ ИНФРА-М,2023.-366 с.(ВО: Магистр. (УрФУ))(п)</t>
  </si>
  <si>
    <t>ЭКОНОМИЧЕСКАЯ СРЕДА ПРОМЫШЛЕННОГО БИЗНЕСА</t>
  </si>
  <si>
    <t>Высшее образование: Магистратура (УрФУ)</t>
  </si>
  <si>
    <t>978-5-16-016622-3</t>
  </si>
  <si>
    <t>38.03.03, 38.04.01, 38.04.02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</si>
  <si>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10 от 21.12.2022)</t>
  </si>
  <si>
    <t>642999.07.01</t>
  </si>
  <si>
    <t>Экономическая статистика. Прак.: Уч.пос. / Под ред. Иванова Ю.Н. - М.:НИЦ ИНФРА-М,2025. - 176 с.(ВО)(О)</t>
  </si>
  <si>
    <t>ЭКОНОМИЧЕСКАЯ СТАТИСТИКА. ПРАКТИКУМ</t>
  </si>
  <si>
    <t>Иванов Ю.Н., Громыко Г.Л., Воробьев А.Н. и др.</t>
  </si>
  <si>
    <t>978-5-16-012772-9</t>
  </si>
  <si>
    <t>008528.28.01</t>
  </si>
  <si>
    <t>Экономическая статистика: Уч. / Под ред. Ю.Н.Иванова - 5 изд. - М.:НИЦ ИНФРА-М,2024 - 584 с.(ВО)(П)</t>
  </si>
  <si>
    <t>ЭКОНОМИЧЕСКАЯ СТАТИСТИКА, ИЗД.5</t>
  </si>
  <si>
    <t>Иванов Ю.Н.</t>
  </si>
  <si>
    <t>978-5-16-020030-9</t>
  </si>
  <si>
    <t>Рекомендовано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38.03.01 «Экономика» и 38.03.02 «Менеджмент» (академический бакалавриат) по Федеральному государственному образовательному стандарту высшего образования</t>
  </si>
  <si>
    <t>008728.17.01</t>
  </si>
  <si>
    <t>Экономическая теория (политэкономия): Уч. / Под общ. Г.П. Журавлевой - 5 изд. - ИНФРА-М,2025 - 864 с.(П)</t>
  </si>
  <si>
    <t>ЭКОНОМИЧЕСКАЯ ТЕОРИЯ (ПОЛИТЭКОНОМИЯ), ИЗД.5</t>
  </si>
  <si>
    <t>Журавлева Г.П.</t>
  </si>
  <si>
    <t>978-5-16-004084-4</t>
  </si>
  <si>
    <t>Рекомендовано Министерством образования Российской Федерации в качестве учебника для студентов высших учебных заведений, обучающихся по экономическим специальностям</t>
  </si>
  <si>
    <t>133500.10.01</t>
  </si>
  <si>
    <t>Экономическая теория. Микроэкономика: Уч. / Г.П.Журавлева - М.:НИЦ ИНФРА-М,2025. - 440 с.(ВО: Бакалавр.)(П)</t>
  </si>
  <si>
    <t>ЭКОНОМИЧЕСКАЯ ТЕОРИЯ. МИКРОЭКОНОМИКА</t>
  </si>
  <si>
    <t>Журавлева Г. П., Поздняков Н. А., Поздняков Ю. А.</t>
  </si>
  <si>
    <t>978-5-16-004044-8</t>
  </si>
  <si>
    <t>Рекомендовано УМО по образованию в области экономики и экономической теории в качестве учебного пособия для студентов вузов, обучающихся по направлению 080100 "Экономика" и экономическим специальностям</t>
  </si>
  <si>
    <t>011877.23.01</t>
  </si>
  <si>
    <t>Экономическая теория: ключ. вопр.: Уч.пос. / Г.М.Гукасьян - 4 изд. - М.:НИЦ ИНФРА-М,2025 - 224 с.(ВО)(О)</t>
  </si>
  <si>
    <t>ЭКОНОМИЧЕСКАЯ ТЕОРИЯ: КЛЮЧЕВЫЕ ВОПРОСЫ, ИЗД.4</t>
  </si>
  <si>
    <t>Гукасьян Г.М.</t>
  </si>
  <si>
    <t>978-5-16-017095-4</t>
  </si>
  <si>
    <t>00.03.13, 00.05.13, 38.03.01, 38.03.02, 38.03.03, 38.03.04, 38.03.05, 38.03.06, 38.03.07, 38.03.10, 38.05.01, 38.05.02</t>
  </si>
  <si>
    <t>Рекомендовано Министерством общего и профессионального образования Российской Федерации в качестве учебника для студентов высших экономических заведений</t>
  </si>
  <si>
    <t>0407</t>
  </si>
  <si>
    <t>429650.08.01</t>
  </si>
  <si>
    <t>Экономическая теория: курс лекций по..: Уч. пос./Л.Н.Даниленко - М.: НИЦ ИНФРА-М, 2024-576с.(ВО)</t>
  </si>
  <si>
    <t>ЭКОНОМИЧЕСКАЯ ТЕОРИЯ: КУРС ЛЕКЦИЙ ПО МИКРО- И МАКРОЭКОНОМИКЕ</t>
  </si>
  <si>
    <t>Даниленко Л.Н.</t>
  </si>
  <si>
    <t>978-5-16-004799-7</t>
  </si>
  <si>
    <t>38.03.01, 38.03.02, 38.03.03, 38.03.04, 38.03.05, 38.03.06, 38.03.07, 38.03.10, 38.04.08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</si>
  <si>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0805.00.62 «Менеджмент» по специальностям 080507.65 «Менеджмент организации», 0</t>
  </si>
  <si>
    <t>048070.13.01</t>
  </si>
  <si>
    <t>Экономическая теория: Раб. тетр. / В.Г.Слагода - 5 изд. - М.:Форум, ИНФРА-М,2023 - 176с(Проф.обр.)(о)</t>
  </si>
  <si>
    <t>ЭКОНОМИЧЕСКАЯ ТЕОРИЯ, ИЗД.5</t>
  </si>
  <si>
    <t>Слагода В.Г.</t>
  </si>
  <si>
    <t>978-5-91134-834-2</t>
  </si>
  <si>
    <t>Допущено Министерством образования и науки Российской Федерации в качестве учебного пособия для студентов учреждений среднего специального образования, обучающихся по группе специальностей «Экономика и управление»</t>
  </si>
  <si>
    <t>076900.17.01</t>
  </si>
  <si>
    <t>Экономическая теория: Уч. / В.П.Бардовский и др. - М.:ИД ФОРУМ, НИЦ ИНФРА-М,2025. - 399 с.(СПО)(П)</t>
  </si>
  <si>
    <t>ЭКОНОМИЧЕСКАЯ ТЕОРИЯ</t>
  </si>
  <si>
    <t>978-5-8199-0879-2</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</si>
  <si>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</si>
  <si>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009741.20.01</t>
  </si>
  <si>
    <t>Экономическая теория: Уч. / М.А.Сажина - 3 изд. - М.:ИД ФОРУМ, НИЦ ИНФРА-М,2025 - 608 с.-(п)</t>
  </si>
  <si>
    <t>ЭКОНОМИЧЕСКАЯ ТЕОРИЯ, ИЗД.3</t>
  </si>
  <si>
    <t>Сажина М. А., Чибриков Г. Г.</t>
  </si>
  <si>
    <t>978-5-8199-0459-6</t>
  </si>
  <si>
    <t>00.03.13, 00.05.13, 38.03.01, 38.03.02, 38.03.03, 38.03.04, 38.03.05, 38.03.06, 38.03.07, 38.03.10</t>
  </si>
  <si>
    <t>777409.01.01</t>
  </si>
  <si>
    <t>Экономическая теория: Уч. / Н.Г.Привалов - М.:НИЦ ИНФРА-М,2024-716 с.(ВО:Магистр)(п)</t>
  </si>
  <si>
    <t>978-5-16-017773-1</t>
  </si>
  <si>
    <t>38.03.01, 38.03.03, 38.04.01, 38.04.04, 38.05.01, 38.05.02</t>
  </si>
  <si>
    <t>226400.07.01</t>
  </si>
  <si>
    <t>Экономическая теория: Уч. / Под ред. Р.С. Гайсина. - М.: НИЦ ИНФРА-М, 2024 - 330 с.(ВО: Бакалавриат) (п)</t>
  </si>
  <si>
    <t>Гайсин Р. С., Кирюшин О. И., Кучкин В. Г., Семенович В. С., Гайсин Р. С.</t>
  </si>
  <si>
    <t>978-5-16-005470-4</t>
  </si>
  <si>
    <t>35.03.03, 35.03.04, 35.03.05, 35.03.06, 35.03.07, 38.03.01, 38.03.02, 38.03.03, 38.03.04, 38.03.05, 38.03.06, 38.03.07, 38.03.10</t>
  </si>
  <si>
    <t>Рекомендовано УМО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и другим специальностям</t>
  </si>
  <si>
    <t>421200.06.01</t>
  </si>
  <si>
    <t>Экономическая теория: Уч. / Р.А. Бурганов. - М.: НИЦ Инфра-М, 2023. - 416 с.(ВО: Бакалавр.) (п)</t>
  </si>
  <si>
    <t>Бурганов Р. А.</t>
  </si>
  <si>
    <t>978-5-16-004942-7</t>
  </si>
  <si>
    <t>Рекомендовано УМО по образованию в области финансов, учета и мировой экономики в качестве учебника для студентов, обучающихся по специальностям 080109 «Бухгалтерский учет, анализ и аудит» и 080105 «Финансы и кредит»</t>
  </si>
  <si>
    <t>128350.11.01</t>
  </si>
  <si>
    <t>Экономическая теория: Уч. пос. / Л.Е. Басовский, Е.Н. Басовская. - М.: ИНФРА-М, 2024 -375с.(ВО) (п)</t>
  </si>
  <si>
    <t>978-5-16-003957-2</t>
  </si>
  <si>
    <t>027100.21.01</t>
  </si>
  <si>
    <t>Экономическая теория: Уч./Под общ. ред. А.И.Добрынина - 2 изд. - М.: НИЦ ИНФРА-М, 2024-747с.(ВО) (п)</t>
  </si>
  <si>
    <t>ЭКОНОМИЧЕСКАЯ ТЕОРИЯ, ИЗД.2</t>
  </si>
  <si>
    <t>Багинова В.В., Бродская Т.Г., Громыко В.В. и др.</t>
  </si>
  <si>
    <t>978-5-16-004056-1</t>
  </si>
  <si>
    <t>201300.09.01</t>
  </si>
  <si>
    <t>Экономическая теория: Уч.пос. / А.О.Руднева - М.:НИЦ ИНФРА-М,2025 - 255 с.(ВО: Бакалавр.)(П)</t>
  </si>
  <si>
    <t>Руднева А. О.</t>
  </si>
  <si>
    <t>978-5-16-006491-8</t>
  </si>
  <si>
    <t>00.03.13, 00.05.13, 38.03.01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</si>
  <si>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080100.62 «Экономика» (квалификация (степень) «бакалавр» Регистрационный номер рецензии 270 от 17 июня 2013 г. (ФГАУ ФИРО)</t>
  </si>
  <si>
    <t>083560.08.01</t>
  </si>
  <si>
    <t>Экономическая теория: Уч.пос. / Т.Д.Викулина - 2 изд.-М.:ИЦ РИОР, НИЦ ИНФРА-М,2022-209с.(ВО)(О)</t>
  </si>
  <si>
    <t>Викулина Т.Д.</t>
  </si>
  <si>
    <t>978-5-369-00522-4</t>
  </si>
  <si>
    <t>745025.01.01</t>
  </si>
  <si>
    <t>Экономическая теория: элементы инстит. анализа: Уч.пос. / В.М.Пищулов-М.:НИЦ ИНФРА-М,2023.-185 с.(ВО)(П)</t>
  </si>
  <si>
    <t>ЭКОНОМИЧЕСКАЯ ТЕОРИЯ: ЭЛЕМЕНТЫ ИНСТИТУЦИОНАЛЬНОГО АНАЛИЗА</t>
  </si>
  <si>
    <t>978-5-16-016733-6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</si>
  <si>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7 от 21.09.2022)</t>
  </si>
  <si>
    <t>272600.06.01</t>
  </si>
  <si>
    <t>Экономическая эффективность метролог.обеспечения изд..: Уч.пос. / Д.Д.Грибанов-НИЦ ИНФРА-М,2024-111с(о)</t>
  </si>
  <si>
    <t>ЭКОНОМИЧЕСКАЯ ЭФФЕКТИВНОСТЬ МЕТРОЛОГИЧЕСКОГО ОБЕСПЕЧЕНИЯ ИЗДЕЛИЙ НА ЭТАПАХ ИХ ЖИЗНЕННОГО ЦИКЛА</t>
  </si>
  <si>
    <t>Д.Д.Грибанов</t>
  </si>
  <si>
    <t>978-5-16-009678-0</t>
  </si>
  <si>
    <t>27.03.01, 38.03.01</t>
  </si>
  <si>
    <t>086100.11.01</t>
  </si>
  <si>
    <t>Экономические основы логистики: Уч. / Н.К.Моисеева - М.:НИЦ ИНФРА-М,2021-528 с.-(ВО: Бакалавриат)(П)</t>
  </si>
  <si>
    <t>ЭКОНОМИЧЕСКИЕ ОСНОВЫ ЛОГИСТИКИ</t>
  </si>
  <si>
    <t>Моисеева Н.К., Сергеев В.И.</t>
  </si>
  <si>
    <t>978-5-16-003146-0</t>
  </si>
  <si>
    <t>23.03.01, 38.03.01, 38.03.02, 38.03.04, 38.03.06, 38.03.07, 38.04.01, 38.04.02, 38.04.04, 38.04.05, 38.04.06, 38.04.07</t>
  </si>
  <si>
    <t>Рекомендовано Учебно-методическим объединением вузов России по образованию в области логистики в качестве учебника для студентов высших учебных заведений, обучающихся по специальности «Логистика и управление цепями поставок»</t>
  </si>
  <si>
    <t>086100.13.01</t>
  </si>
  <si>
    <t>Экономические основы логистики: Уч. / С.П.Олейник - 2 изд. - М.:НИЦ ИНФРА-М,2024 - 578 с.-(ВО)(П)</t>
  </si>
  <si>
    <t>ЭКОНОМИЧЕСКИЕ ОСНОВЫ ЛОГИСТИКИ, ИЗД.2</t>
  </si>
  <si>
    <t>Олейник С.П., Моисеева Н.К.</t>
  </si>
  <si>
    <t>978-5-16-020025-5</t>
  </si>
  <si>
    <t>090750.15.01</t>
  </si>
  <si>
    <t>Экономические основы работы с молодежью: Уч.пос. / М.П.Переверзев-М.:НИЦ ИНФРА-М,2024.-208 с.(ВО)(П</t>
  </si>
  <si>
    <t>ЭКОНОМИЧЕСКИЕ ОСНОВЫ РАБОТЫ С МОЛОДЕЖЬЮ</t>
  </si>
  <si>
    <t>Переверзев М. П., Калинина З. Н., Переверзев М. П.</t>
  </si>
  <si>
    <t>978-5-16-010918-3</t>
  </si>
  <si>
    <t>Допущено УМО по классическому университетскому образованию РФ в качестве учебного пособия  для студентов высших учебных заведений, обучающихся по специальности 040104 "Организация работы с молодежью"</t>
  </si>
  <si>
    <t>200400.09.01</t>
  </si>
  <si>
    <t>Экономические основы соц. работы: Уч./В.И.Шарин - М.: НИЦ ИНФРА-М, 2024 - 237с.(ВО:Бакалавр.) (п)</t>
  </si>
  <si>
    <t>ЭКОНОМИЧЕСКИЕ ОСНОВЫ СОЦИАЛЬНОЙ РАБОТЫ</t>
  </si>
  <si>
    <t>Шарин В. И.</t>
  </si>
  <si>
    <t>978-5-16-006435-2</t>
  </si>
  <si>
    <t>Рекомендовано УМО Российской Академии естествознания по классическому университетскому и техническому образованию в качестве учебника для студентов высших учебных заведений, обучающихся по специальности 13.00.08 «Теория и методика профессионального о</t>
  </si>
  <si>
    <t>692944.01.01</t>
  </si>
  <si>
    <t>Экономические основы хоз. религиозных орг.: Уч. / В.И.Столяров-М.:НИЦ ИНФРА-М,2021.-319 с.(ВО)(П)</t>
  </si>
  <si>
    <t>ЭКОНОМИЧЕСКИЕ ОСНОВЫ ХОЗЯЙСТВОВАНИЯ РЕЛИГИОЗНЫХ ОРГАНИЗАЦИЙ</t>
  </si>
  <si>
    <t>978-5-16-015001-7</t>
  </si>
  <si>
    <t>38.03.01, 38.03.02, 38.04.01, 38.04.02, 48.03.01, 48.04.01</t>
  </si>
  <si>
    <t>Рекомендовано Ученым советом негосударственной образовательной организации высшего образования «Миссионерский институт» Екатеринбургской митрополии (решение от 2 октября 2018 г. № 2)</t>
  </si>
  <si>
    <t>082960.10.01</t>
  </si>
  <si>
    <t>Экономический анализ деят. коммерч. банка: Уч. пос./Ю.Г.Вешкин - 2 изд. - Магистр:ИНФРА-М,2024-432с (п)</t>
  </si>
  <si>
    <t>ЭКОНОМИЧЕСКИЙ АНАЛИЗ ДЕЯТЕЛЬНОСТИ КОММЕРЧЕСКОГО БАНКА, ИЗД.2</t>
  </si>
  <si>
    <t>978-5-9776-0301-0</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</si>
  <si>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</si>
  <si>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421100.07.01</t>
  </si>
  <si>
    <t>Экономический анализ деят. предпр.: Уч./И.Н.Иванов - НИЦ Инфра-М, 2024-348с.(ВО: Бакалавр.) (п)</t>
  </si>
  <si>
    <t>ЭКОНОМИЧЕСКИЙ АНАЛИЗ ДЕЯТЕЛЬНОСТИ ПРЕДПРИЯТИЯ</t>
  </si>
  <si>
    <t>Иванов И. Н.</t>
  </si>
  <si>
    <t>978-5-16-005608-1</t>
  </si>
  <si>
    <t>Рекомендовано Учебно-методическим объединением вузов России в области менеджмента в качестве учебника для студентов высших учебных заведений, обучающихся по направлению подготовки 080200 «Менеджмент» квалификация (степень) — «бакалавр»)</t>
  </si>
  <si>
    <t>789149.01.01</t>
  </si>
  <si>
    <t>Экономический анализ и оценка эффективности инвест. деят..: Уч. / Н.С.Пласкова-М.:НИЦ ИНФРА-М,2024-252 с.(п)</t>
  </si>
  <si>
    <t>ЭКОНОМИЧЕСКИЙ АНАЛИЗ И ОЦЕНКА ЭФФЕКТИВНОСТИ ИНВЕСТИЦИОННОЙ ДЕЯТЕЛЬНОСТИ ОРГАНИЗАЦИИ</t>
  </si>
  <si>
    <t>978-5-16-018053-3</t>
  </si>
  <si>
    <t>788177.01.01</t>
  </si>
  <si>
    <t>Экономический анализ развития территорий: Уч. / В.Н.Едронова-М.:Магистр, НИЦ ИНФРА-М,2023.-328 с.(П)</t>
  </si>
  <si>
    <t>ЭКОНОМИЧЕСКИЙ АНАЛИЗ РАЗВИТИЯ ТЕРРИТОРИЙ</t>
  </si>
  <si>
    <t>978-5-9776-0547-2</t>
  </si>
  <si>
    <t>38.03.04, 38.04.01, 38.05.01, 41.03.02</t>
  </si>
  <si>
    <t>683358.04.01</t>
  </si>
  <si>
    <t>Экономический анализ. Практикум: Уч.пос. / Л.М.Куприянова-М.:НИЦ ИНФРА-М,2023-172с(ВО)(П)</t>
  </si>
  <si>
    <t>ЭКОНОМИЧЕСКИЙ АНАЛИЗ. ПРАКТИКУМ</t>
  </si>
  <si>
    <t>Куприянова Л.М., Никифорова Е.В., Шнайдер О.В.</t>
  </si>
  <si>
    <t>978-5-16-016497-7</t>
  </si>
  <si>
    <t>38.03.01, 38.03.02, 38.03.06, 38.03.10, 44.03.05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</si>
  <si>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6 от 25.03.2019)</t>
  </si>
  <si>
    <t>091700.12.01</t>
  </si>
  <si>
    <t>Экономический анализ...: Уч.пос./ Н.В.Климова, - 3 изд., - М.:НИЦ ИНФРА-М,2025. - 306 с.(ВО)(п)</t>
  </si>
  <si>
    <t>ЭКОНОМИЧЕСКИЙ АНАЛИЗ (С ТРАДИЦИОННЫМИ И ИНТЕРАКТИВНЫМИ ФОРМАМИ ОБУЧЕНИЯ), ИЗД.3</t>
  </si>
  <si>
    <t>Климова Н.В.</t>
  </si>
  <si>
    <t>978-5-16-019122-5</t>
  </si>
  <si>
    <t>18.04.01, 38.03.01, 43.04.01</t>
  </si>
  <si>
    <t>091700.11.01</t>
  </si>
  <si>
    <t>Экономический анализ..: Уч.пос. / Н.В.Климова - 2 изд. - М.:Вуз. уч., НИЦ ИНФРА-М,2020 - 296 с.(П)</t>
  </si>
  <si>
    <t>ЭКОНОМИЧЕСКИЙ АНАЛИЗ (С ТРАДИЦИОННЫМИ И ИНТЕРАКТИВНЫМИ ФОРМАМИ ОБУЧЕНИЯ), ИЗД.2</t>
  </si>
  <si>
    <t>978-5-9558-0479-8</t>
  </si>
  <si>
    <t>Рекомендовано в качестве учебного пособия для студентов высших учебных заведений, обучающихся по направлению подготовки  38.03.07 «Экономика»</t>
  </si>
  <si>
    <t>724896.05.01</t>
  </si>
  <si>
    <t>Экономический анализ: практ.: Уч.пос. / Л.М.Куприянова и др. - М.:НИЦ ИНФРА-М,2024 - 172 с.(СПО)(П)</t>
  </si>
  <si>
    <t>978-5-16-015802-0</t>
  </si>
  <si>
    <t>21.02.19, 38.02.01, 38.02.03, 38.02.06, 38.02.07, 38.02.08</t>
  </si>
  <si>
    <t>659756.02.01</t>
  </si>
  <si>
    <t>Экономический анализ: Практикум / Л.В.Салова - М.:ИЦ РИОР, НИЦ ИНФРА-М,2020 - 219 с.-(ВО)(П)</t>
  </si>
  <si>
    <t>ЭКОНОМИЧЕСКИЙ АНАЛИЗ</t>
  </si>
  <si>
    <t>Салова Л.В.</t>
  </si>
  <si>
    <t>978-5-369-01693-0</t>
  </si>
  <si>
    <t>245700.07.01</t>
  </si>
  <si>
    <t>Экономический анализ: теор. и прак.: Уч.пос. / М.Я.Погорелова - М.:ИЦ РИОР, НИЦ ИНФРА-М,2025. - 286 с.(ВО)(о)</t>
  </si>
  <si>
    <t>ЭКОНОМИЧЕСКИЙ АНАЛИЗ: ТЕОРИЯ И ПРАКТИКА</t>
  </si>
  <si>
    <t>978-5-369-01295-6</t>
  </si>
  <si>
    <t>38.03.01, 43.04.01</t>
  </si>
  <si>
    <t>651284.03.01</t>
  </si>
  <si>
    <t>Экономический анализ: Уч. / А.Е.Суглобов и др. - М.:ИЦ РИОР, НИЦ ИНФРА-М,2019 - 439 с.-(ВО)(П)</t>
  </si>
  <si>
    <t>Суглобов А.Е., Жарылгасова Б.Т., Карпович О.Г. и др.</t>
  </si>
  <si>
    <t>978-5-369-01700-5</t>
  </si>
  <si>
    <t>007029.21.01</t>
  </si>
  <si>
    <t>Экономический анализ: Уч. / Г.В.Савицкая - 14 изд. - М.:НИЦ ИНФРА-М,2018-649с.(ВО: Бакалавриат)(П)</t>
  </si>
  <si>
    <t>ЭКОНОМИЧЕСКИЙ АНАЛИЗ, ИЗД.14</t>
  </si>
  <si>
    <t>978-5-16-006502-1</t>
  </si>
  <si>
    <t>Рекомендовано Министерством образования Российской Федерации в качестве учебника для студентов высших учебных заведений, обучающихся по экономическим направлениям и специальностям</t>
  </si>
  <si>
    <t>1411</t>
  </si>
  <si>
    <t>007029.29.01</t>
  </si>
  <si>
    <t>Экономический анализ: Уч. / Г.В.Савицкая - 15 изд. - М.:НИЦ ИНФРА-М,2025 - 587с.(ВО)(П)</t>
  </si>
  <si>
    <t>ЭКОНОМИЧЕСКИЙ АНАЛИЗ, ИЗД.15</t>
  </si>
  <si>
    <t>978-5-16-020114-6</t>
  </si>
  <si>
    <t>1519</t>
  </si>
  <si>
    <t>747731.01.01</t>
  </si>
  <si>
    <t>Экономический анализ: Уч. / Е.Б.Герасимова - М.:НИЦ ИНФРА-М,2022 - 245 с.(СПО (ФинУн))(П)</t>
  </si>
  <si>
    <t>978-5-16-016964-4</t>
  </si>
  <si>
    <t>38.02.01, 38.02.02, 38.02.03, 38.02.06, 38.02.08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</si>
  <si>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21.02.05 «Земельно-имущественные отношения» (протокол № 1 от 12.01.2022)</t>
  </si>
  <si>
    <t>148800.08.01</t>
  </si>
  <si>
    <t>Экономический анализ: Уч. / Н.А. Казакова. - М.: ИНФРА-М, 2025. - 343 с. + CD-ROM. (ВО) (п+cd)</t>
  </si>
  <si>
    <t>978-5-16-004558-0</t>
  </si>
  <si>
    <t>Рекомендовано УМО по образованию в области финансов, учета и мировой экономики в качестве учебника для студентов вузов, обучающихся по экономическим специальностям</t>
  </si>
  <si>
    <t>719716.06.01</t>
  </si>
  <si>
    <t>Экономический анализ: Уч. / Н.С.Пласкова - М.:НИЦ ИНФРА-М,2024. - 324 с.(ВО)(П)</t>
  </si>
  <si>
    <t>Пласкова Н.С., Проданова Н.А.</t>
  </si>
  <si>
    <t>978-5-16-020113-9</t>
  </si>
  <si>
    <t>160500.06.01</t>
  </si>
  <si>
    <t>Экономический анализ: Уч. пос. / В.В.Панков, Н.А.Казакова. - М.: Магистр:  ИНФРА-М, 2023-624с (п)</t>
  </si>
  <si>
    <t>Панков В. В., Казакова Н. А.</t>
  </si>
  <si>
    <t>978-5-9776-0189-4</t>
  </si>
  <si>
    <t>428100.05.01</t>
  </si>
  <si>
    <t>Экономический анализ: Уч. пос. / Н.Б. Клишевич - М.: НИЦ ИНФРА-М, 2023. - 192 с.(ВО: Бакалавр.)(П)</t>
  </si>
  <si>
    <t>Клишевич Н. Б., Непомнящая Н. В., Ферова И. С., Харченко О. Н.</t>
  </si>
  <si>
    <t>978-5-16-006370-6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</si>
  <si>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специальности/профилю «Бухгалтерский учет, анализ и аудит»,</t>
  </si>
  <si>
    <t>240900.06.01</t>
  </si>
  <si>
    <t>Экономический анализ: Уч.пос. / Л.М.Куприянова - М.:НИЦ ИНФРА-М,2025 - 158 с(ВО: Бакалавр.)(П)</t>
  </si>
  <si>
    <t>978-5-16-009246-1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</si>
  <si>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080200.62 «Менеджмент» (квалификация (степень) «бакалавр»)</t>
  </si>
  <si>
    <t>136350.08.01</t>
  </si>
  <si>
    <t>Экономический анализ: Уч.пос. / О.А.Александров-М.:ИНФРА-М,2024.-288 с..-(ВО)(п)</t>
  </si>
  <si>
    <t>Александров О. А., Егоров Ю. Н.</t>
  </si>
  <si>
    <t>978-5-16-003936-7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</si>
  <si>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"Мировая экономика"</t>
  </si>
  <si>
    <t>478400.06.01</t>
  </si>
  <si>
    <t>Экономический анализ: Уч.пос. / О.А.Александров-М.:НИЦ ИНФРА-М,2023.-179 с..-(ВО: Бакалавр.)(П)</t>
  </si>
  <si>
    <t>978-5-16-013027-9</t>
  </si>
  <si>
    <t>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направлениям экономического профиля</t>
  </si>
  <si>
    <t>412500.05.01</t>
  </si>
  <si>
    <t>Экономический анализ: Уч.пос. / Под ред. Акуленко Н.Б.-М.:НИЦ ИНФРА-М,2019.-157 с.(ВО: Бакалавр.)(О)</t>
  </si>
  <si>
    <t>Акуленко Н. Б., Гарнова В. Ю., Колоколов В. А., Акуленко Н. Б.</t>
  </si>
  <si>
    <t>978-5-16-006202-0</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</si>
  <si>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080100 «Экономика» (квалификация (степень) - «бакалавр»)</t>
  </si>
  <si>
    <t>418700.08.01</t>
  </si>
  <si>
    <t>Экономический и финансовый анализ: Уч.пос. / Н.В.Киреева - М.:НИЦ ИНФРА-М,2024 -293 с.(ВО:Бакалавр.) (П)</t>
  </si>
  <si>
    <t>ЭКОНОМИЧЕСКИЙ И ФИНАНСОВЫЙ АНАЛИЗ</t>
  </si>
  <si>
    <t>Киреева Н. В.</t>
  </si>
  <si>
    <t>978-5-16-006267-9</t>
  </si>
  <si>
    <t>838553.01.01</t>
  </si>
  <si>
    <t>Экономический суверенитет: факторы развития гос. в усл...: Моногр. / А.Ю.Филин - М.:НИЦ ИНФРА-М,2024 - 251 с.(п)</t>
  </si>
  <si>
    <t>ЭКОНОМИЧЕСКИЙ СУВЕРЕНИТЕТ: ФАКТОРЫ РАЗВИТИЯ ГОСУДАРСТВА В УСЛОВИЯХ ДЕГЛОБАЛИЗАЦИИ</t>
  </si>
  <si>
    <t>Филин А.Ю., Танимов О.В.</t>
  </si>
  <si>
    <t>978-5-16-020271-6</t>
  </si>
  <si>
    <t>00.03.40, 38.04.01, 38.04.08, 38.05.01, 38.06.01, 40.04.01, 40.06.01</t>
  </si>
  <si>
    <t>156750.10.01</t>
  </si>
  <si>
    <t>Экономическое обосн.инженер.проект..: Уч.пос./А.В.Бабикова -М.:НИЦ ИНФРА-М,2024-143с(ВО:Бакалавр.)(о)</t>
  </si>
  <si>
    <t>ЭКОНОМИЧЕСКОЕ ОБОСНОВАНИЕ ИНЖЕНЕРНЫХ ПРОЕКТОВ В ИННОВАЦИОННОЙ ЭКОНОМИКЕ</t>
  </si>
  <si>
    <t>Бабикова А.В., Задорожняя Е.К., Кобец Е.А. и др.</t>
  </si>
  <si>
    <t>978-5-16-009756-5</t>
  </si>
  <si>
    <t>38.03.01, 38.03.02, 38.04.01, 38.04.02, 38.04.08, 44.03.01</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</si>
  <si>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обучающихся по направлению 38.03.01 «Экономика» и экономическим специальностям</t>
  </si>
  <si>
    <t>804890.02.01</t>
  </si>
  <si>
    <t>Экономическое развит. и экономич. рост на корпоратив. ур: Уч. / В.Л.Уланов-М.:НИЦ ИНФРА-М,2023.-409 с.(ВО)(п)</t>
  </si>
  <si>
    <t>ЭКОНОМИЧЕСКОЕ РАЗВИТИЕ И ЭКОНОМИЧЕСКИЙ РОСТ НА КОРПОРАТИВНОМ УРОВНЕ</t>
  </si>
  <si>
    <t>Уланов В.Л.</t>
  </si>
  <si>
    <t>978-5-16-018708-2</t>
  </si>
  <si>
    <t>154340.11.01</t>
  </si>
  <si>
    <t>Экотерапия как средство коррекции страхов детей..: Уч.-мет.пос. / С.О.Грунина - Форум,2025 - 64 с.(ВО) (о)</t>
  </si>
  <si>
    <t>ЭКОТЕРАПИЯ КАК СРЕДСТВО КОРРЕКЦИИ СТРАХОВ ДЕТЕЙ С НАРУШЕНИЯМИ ОПОРНО-ДВИГАТЕЛЬНОГО АППАРАТА</t>
  </si>
  <si>
    <t>Грунина С. О., Киселева Т. В.</t>
  </si>
  <si>
    <t>978-5-91134-526-6</t>
  </si>
  <si>
    <t>735066.06.01</t>
  </si>
  <si>
    <t>Экскурсионная деят. в индустрии гостеприимства: Уч.пос. / И.С.Барчуков. - М.:Вуз. уч., НИЦ ИНФРА-М,2025. - 204 с.(П)</t>
  </si>
  <si>
    <t>ЭКСКУРСИОННАЯ ДЕЯТЕЛЬНОСТЬ В ИНДУСТРИИ ГОСТЕПРИИМСТВА</t>
  </si>
  <si>
    <t>Барчуков И.С., Башин Ю.Б., Зайцев А.В. и др.</t>
  </si>
  <si>
    <t>978-5-9558-0645-7</t>
  </si>
  <si>
    <t>43.02.06, 43.02.16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</si>
  <si>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5 от 16.03.2020)</t>
  </si>
  <si>
    <t>156150.09.01</t>
  </si>
  <si>
    <t>Экскурсионная деятельность в индустрии гостеприим.:Уч. пос./Ю.Б.Башин - Вуз. уч.:ИНФРА-М, 2024-204с. (п)</t>
  </si>
  <si>
    <t>Башин Ю. Б., Зайцев А. В., Баумгартен Л. В., Барчуков И. С., Башин Ю. Б.</t>
  </si>
  <si>
    <t>978-5-9558-0209-1</t>
  </si>
  <si>
    <t>43.03.01, 43.03.03, 43.04.01, 43.04.03, 51.03.04, 51.04.04</t>
  </si>
  <si>
    <t>270200.09.01</t>
  </si>
  <si>
    <t>Экспериментальная психология: практикум: Уч. пос. / Н.И. Чернецкая. - М.: ИНФРА-М, 2024 - 120 с.(ВО)(о)</t>
  </si>
  <si>
    <t>ЭКСПЕРИМЕНТАЛЬНАЯ ПСИХОЛОГИЯ: ПРАКТИКУМ</t>
  </si>
  <si>
    <t>Чернецкая Н.И.</t>
  </si>
  <si>
    <t>978-5-16-019454-7</t>
  </si>
  <si>
    <t>Рекомендуется в качестве учебного пособия для студентов высших учебных заведений, обучающихся по направлению 37.03.01 (030300) "Психология»</t>
  </si>
  <si>
    <t>Иркутский государственный университет</t>
  </si>
  <si>
    <t>277600.05.01</t>
  </si>
  <si>
    <t>Экспериментальные исслед.в электроэнерг.и..: Уч.пос. / В.Я.Хорольский - М:Форум,НИЦ ИНФРА-М,2022 - 96 с.(О)</t>
  </si>
  <si>
    <t>ЭКСПЕРИМЕНТАЛЬНЫЕ ИССЛЕДОВАНИЯ В ЭЛЕКТРОЭНЕРГЕТИКЕ И АГРОИНЖЕНЕРИИ</t>
  </si>
  <si>
    <t>978-5-91134-882-3</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</si>
  <si>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140400 «Электроэнергетика и электротехника» и 110800 «Агроинженерия»</t>
  </si>
  <si>
    <t>408850.03.01</t>
  </si>
  <si>
    <t>Экспертиза вреда здоровью. Психич..: Науч.-практ.пос. / В.А. Клевно - М.:Норма:Инфра-М,2017 -176с(о)</t>
  </si>
  <si>
    <t>ЭКСПЕРТИЗА ВРЕДА ЗДОРОВЬЮ. ПСИХИЧЕСКОЕ РАССТРОЙСТВО, ЗАБОЛЕВАНИЕ НАРКОМАНИЕЙ ЛИБО ТОКСИКОМАНИЕЙ</t>
  </si>
  <si>
    <t>Клевно В. А., Ткаченко А. А.</t>
  </si>
  <si>
    <t>978-5-91768-351-5</t>
  </si>
  <si>
    <t>31.05.01, 32.05.01, 40.03.01, 40.04.01, 40.05.03</t>
  </si>
  <si>
    <t>Бюро судебно-медицинской экспертизы</t>
  </si>
  <si>
    <t>632306.04.01</t>
  </si>
  <si>
    <t>Экспертиза дикорастущих плодов, ягод и травян..: Уч. / И.Э.Цапалова-6 изд.-М.:НИЦ ИНФРА-М,2024-463с(ВО)(п)</t>
  </si>
  <si>
    <t>ЭКСПЕРТИЗА ДИКОРАСТУЩИХ ПЛОДОВ, ЯГОД И ТРАВЯНИСТЫХ РАСТЕНИЙ. КАЧЕСТВО И БЕЗОПАСНОСТЬ, ИЗД.6</t>
  </si>
  <si>
    <t>Цапалова И.Э., Голуб О.В., Губина М.Д. и др.</t>
  </si>
  <si>
    <t>978-5-16-019306-9</t>
  </si>
  <si>
    <t>Рекомендовано в качестве учебника для студентов высших учебных заведений, обучающихся по направлениям подготовки 38.03.07 и 38.04.07 «Товароведение» (квалификация (степень) «бакалавр» и «магистр»)</t>
  </si>
  <si>
    <t>436250.08.01</t>
  </si>
  <si>
    <t>Экспертиза и атрибуция изд. декор.-прикл..: Уч.пос. / А.Ф.Миронова-2 изд-М.:Форум,НИЦ ИНФРА-М,2024-96с.(О)</t>
  </si>
  <si>
    <t>ЭКСПЕРТИЗА И АТРИБУЦИЯ ИЗДЕЛИЙ ДЕКОРАТИВНО-ПРИКЛАДНОГО ИСКУССТВА, ИЗД.2</t>
  </si>
  <si>
    <t>Миронова А.Ф.</t>
  </si>
  <si>
    <t>978-5-00091-634-6</t>
  </si>
  <si>
    <t>54.03.02, 54.04.02</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</si>
  <si>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54.03.00 «Изобразительное и прикладные виды искусств»</t>
  </si>
  <si>
    <t>694930.04.01</t>
  </si>
  <si>
    <t>Экспертиза и атрибуция изделий декор.-прикл. иск.: Уч.пос. / А.Ф.Миронова - 2 изд.-М.:Форум,НИЦ ИНФРА-М,2024-96с(СПО)</t>
  </si>
  <si>
    <t>978-5-00091-640-7</t>
  </si>
  <si>
    <t>35.01.28, 42.02.01, 43.02.02, 52.02.03, 52.02.04, 52.02.05, 54.01.01, 54.01.05, 54.02.01, 54.02.02, 54.02.03, 54.02.04, 54.02.06, 54.02.08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</si>
  <si>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54.02.00 «Изобразительное и прикладные виды искусств»</t>
  </si>
  <si>
    <t>155700.08.01</t>
  </si>
  <si>
    <t>Экспертиза качества и сертиф. рыбы.: Уч. пос. /О.А. Голубенко - М.: Альфа-М,ИНФРА-М,2024 -256 с. (П)</t>
  </si>
  <si>
    <t>ЭКСПЕРТИЗА КАЧЕСТВА И СЕРТИФИКАЦИЯ РЫБЫ И РЫБНЫХ ПРОДУКТОВ</t>
  </si>
  <si>
    <t>Голубенко О. А., Коник Н. В.</t>
  </si>
  <si>
    <t>978-5-98281-258-2</t>
  </si>
  <si>
    <t>19.01.18, 19.01.19, 19.02.13, 35.01.32, 35.02.09, 35.02.10, 35.02.11, 38.02.08, 43.01.09, 43.02.01</t>
  </si>
  <si>
    <t>Рекомендовано Федеральным государственным учреждением «Федеральный институт развития образования» (ФГУ «ФИРО») в качестве учебного пособия для использования в учебном процессе образовательных учреждений, реализующих программы среднего профессионально образования по специальностям "Организация обслуживания в общественном питании", "Менеджмент (по отраслям)", "Коммерция (по отраслям)", "Стандартизация и сертификация продукции (по отраслям)", "Товароведение и экспертиза качества потребительских товаров"</t>
  </si>
  <si>
    <t>153300.09.01</t>
  </si>
  <si>
    <t>Экспертиза качества и сертификация кондит. товаров: Уч. пос. / О.А.Голубенко - М.: Альфа-М, 2025 - 240 с.(П)</t>
  </si>
  <si>
    <t>ЭКСПЕРТИЗА КАЧЕСТВА И СЕРТИФИКАЦИЯ КОНДИТЕРСКИХ ТОВАРОВ</t>
  </si>
  <si>
    <t>978-5-98281-242-1</t>
  </si>
  <si>
    <t>19.01.18, 19.01.19, 19.02.11, 19.02.13, 38.02.08, 43.01.09, 43.02.15</t>
  </si>
  <si>
    <t>Рекомендовано ФГУ "ФИРО" в качестве уч. пос. для использ. в учеб. процессе образов. учр., реализ. прогр. СПО по спец 100106 Орг-ция обслуж. в обществ. питании, 080501 Менеджмент(по отр.), 080302 Коммерция(по отр.), 200504 Стандарт. и сетриф. прод, 08</t>
  </si>
  <si>
    <t>635869.07.01</t>
  </si>
  <si>
    <t>Экспертиза мучных кондит. изделий. Качество и безоп.: Уч. / Т.В.Рензяева-М:НИЦ ИНФРА-М,2024-274с(ВО)</t>
  </si>
  <si>
    <t>ЭКСПЕРТИЗА МУЧНЫХ КОНДИТЕРСКИХ ИЗДЕЛИЙ. КАЧЕСТВО И БЕЗОПАСНОСТЬ</t>
  </si>
  <si>
    <t>Рензяева Т.В., Резниченко И.Ю., Савенкова Т.В. и др.</t>
  </si>
  <si>
    <t>978-5-16-019091-4</t>
  </si>
  <si>
    <t>19.03.02, 19.03.04, 19.04.04, 38.03.07, 38.04.07</t>
  </si>
  <si>
    <t>Рекомендовано в качестве учебника для студентов высших учебных заведений, обучающихся по направлениям подготовки 38.03.07 «Товароведение», 19.03.02 «Продукты питания из растительного сырья»  (квалификация (степень) «бакалавр»)</t>
  </si>
  <si>
    <t>257700.06.01</t>
  </si>
  <si>
    <t>Экспертиза пищ.концентратов. Качество и безоп.: Уч.-спр.пос. / И.Ю.Резниченко-4изд. М.:НИЦ ИНФРА-М,2024-270с(ВО)(П)</t>
  </si>
  <si>
    <t>ЭКСПЕРТИЗА ПИЩЕВЫХ КОНЦЕНТРАТОВ. КАЧЕСТВО И БЕЗОПАСНОСТЬ, ИЗД.4</t>
  </si>
  <si>
    <t>И.Ю.Резниченко, В.М.Позняковский, А.О.Камбаров и др.</t>
  </si>
  <si>
    <t>978-5-16-009477-9</t>
  </si>
  <si>
    <t>469850.05.01</t>
  </si>
  <si>
    <t>Экспертиза строительных товаров: Уч. пос. / Ф.А. Петрище - М.: ИД ФОРУМ: ИНФРА-М, 2023 - 320 с. (ВО)</t>
  </si>
  <si>
    <t>ЭКСПЕРТИЗА СТРОИТЕЛЬНЫХ ТОВАРОВ</t>
  </si>
  <si>
    <t>978-5-8199-0598-2</t>
  </si>
  <si>
    <t>111050.12.01</t>
  </si>
  <si>
    <t>Экспертные системы САПР: Уч.пос. / А.Л.Ездаков - М.:ИД ФОРУМ,НИЦ ИНФРА-М,2025 - 160 с.(ВО)(П)</t>
  </si>
  <si>
    <t>ЭКСПЕРТНЫЕ СИСТЕМЫ САПР</t>
  </si>
  <si>
    <t>Ездаков А.Л.</t>
  </si>
  <si>
    <t>978-5-8199-0886-0</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</si>
  <si>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09.00.00 «Информатика и вычислительная техника»</t>
  </si>
  <si>
    <t>764234.02.01</t>
  </si>
  <si>
    <t>Эксперты и экспертизы на стр. лит. произвед.: Уч.пос. / Е.А.Чубина - М.:Юр.Норма, НИЦ ИНФРА-М,2024-240с(П)</t>
  </si>
  <si>
    <t>ЭКСПЕРТЫ И ЭКСПЕРТИЗЫ НА СТРАНИЦАХ ЛИТЕРАТУРНЫХ ПРОИЗВЕДЕНИЙ</t>
  </si>
  <si>
    <t>978-5-00156-196-5</t>
  </si>
  <si>
    <t>634695.09.01</t>
  </si>
  <si>
    <t>Эксплуатационная работа ж/д: аксиомы и закономер.: Уч.пос. / Д.Ю.Левин-М.:НИЦ ИНФРА-М,2023-332с.(ВО)</t>
  </si>
  <si>
    <t>ЭКСПЛУАТАЦИОННАЯ РАБОТА ЖЕЛЕЗНЫХ ДОРОГ: АКСИОМЫ И ЗАКОНОМЕРНОСТИ</t>
  </si>
  <si>
    <t>978-5-16-012092-8</t>
  </si>
  <si>
    <t>Рекомендовано в качестве учебного пособия для студентов высших учебных заведений, обучающихся по направлению подготовки 23.05.04 «Эксплуатация железных дорог» (квалификация (степень) «инженер путей сообщения»)</t>
  </si>
  <si>
    <t>786546.01.01</t>
  </si>
  <si>
    <t>Эксплуатация автомобилей и тракторов...: Практи.: Уч.пос. / А.Н.Зинцов-М.:НИЦ ИНФРА-М,2024.-277 с.(п)</t>
  </si>
  <si>
    <t>ЭКСПЛУАТАЦИЯ АВТОМОБИЛЕЙ И ТРАКТОРОВ: КОНТРОЛЬНО-ДИАГНОСТИЧЕСКИЕ И РЕГУЛИРОВОЧНЫЕ РАБОТЫ: ПРАКТИКУМ</t>
  </si>
  <si>
    <t>Зинцов А.Н.</t>
  </si>
  <si>
    <t>978-5-16-017980-3</t>
  </si>
  <si>
    <t>23.05.01, 35.03.06</t>
  </si>
  <si>
    <t>701976.07.01</t>
  </si>
  <si>
    <t>Эксплуатация бронетанковой техники: Уч. / И.Ю.Лепешинский - М.:НИЦ ИНФРА-М,2024 - 273 с.(П)</t>
  </si>
  <si>
    <t>ЭКСПЛУАТАЦИЯ БРОНЕТАНКОВОЙ ТЕХНИКИ</t>
  </si>
  <si>
    <t>Лепешинский И.Ю.</t>
  </si>
  <si>
    <t>978-5-16-015025-3</t>
  </si>
  <si>
    <t>15.02.04, 23.03.01, 23.03.02, 23.03.03, 56.04.04</t>
  </si>
  <si>
    <t>Рекомендуется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заведений,обучающихся по направлению подготовки «Транспортные машины и транспортно-технологические комплексы»</t>
  </si>
  <si>
    <t>476750.08.01</t>
  </si>
  <si>
    <t>Эксплуатация горно-транспорт. машин на карьерах Севера: Уч.пос. / А.М.Ишков - 2 изд. - М.:НИЦ ИНФРА-М,2025 - 201 с.(П)</t>
  </si>
  <si>
    <t>ЭКСПЛУАТАЦИЯ ГОРНО-ТРАНСПОРТНЫХ МАШИН НА КАРЬЕРАХ СЕВЕРА, ИЗД.2</t>
  </si>
  <si>
    <t>Ишков А.М., Викулов М.А., Бочкарев Ю.С.</t>
  </si>
  <si>
    <t>978-5-16-016004-7</t>
  </si>
  <si>
    <t>21.05.04, 23.03.03, 23.04.03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</si>
  <si>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21.05.04 «Горное дело» (квалификация «горный инженер (специалист)») (протокол № 1 от 20.01.2021)</t>
  </si>
  <si>
    <t>476750.04.01</t>
  </si>
  <si>
    <t>Эксплуатация горнотранспортных машин на карьерах Севера: Уч.пос./А.М.Ишков-Форум:ИНФРА-М,2020-144с.(ВО)(О)</t>
  </si>
  <si>
    <t>ЭКСПЛУАТАЦИЯ ГОРНОТРАНСПОРТНЫХ МАШИН НА КАРЬЕРАХ СЕВЕРА</t>
  </si>
  <si>
    <t>Ишков А.М., Викулов М.А.</t>
  </si>
  <si>
    <t>978-5-91134-963-9</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</si>
  <si>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специальности 150402 «Горные машины и оборудование» направле</t>
  </si>
  <si>
    <t>810785.01.01</t>
  </si>
  <si>
    <t>Эксплуатация и ремонт бронетанковой техники: Уч.пос. / К.С.Крюков-М.:НИЦ ИНФРА-М,2024.-199 с.(о)</t>
  </si>
  <si>
    <t>ЭКСПЛУАТАЦИЯ И РЕМОНТ БРОНЕТАНКОВОЙ ТЕХНИКИ</t>
  </si>
  <si>
    <t>Крюков К.С., Пепеляев А.В., Герасимов С.Д. и др.</t>
  </si>
  <si>
    <t>978-5-16-019016-7</t>
  </si>
  <si>
    <t>664723.02.01</t>
  </si>
  <si>
    <t>Эксплуатация месторождений нефти и газа горизонт. скваж.: Уч. / О.И.Серебряков.-М.:НИЦ ИНФРА-М,2023.-200 с.(ВО)(П)</t>
  </si>
  <si>
    <t>ЭКСПЛУАТАЦИЯ МЕСТОРОЖДЕНИЙ НЕФТИ И ГАЗА ГОРИЗОНТАЛЬНЫМИ СКВАЖИНАМИ</t>
  </si>
  <si>
    <t>Серебряков О.И., Серебряков А.О., Журавлев Г.И.</t>
  </si>
  <si>
    <t>978-5-16-014236-4</t>
  </si>
  <si>
    <t>21.04.01, 21.05.06</t>
  </si>
  <si>
    <t>Рекомендовано Федеральным Учебно-методическим объединением Минобрнауки России для магистрантов высших учебных заведений, обучающихся по направлению 05.04.01 «Геология»</t>
  </si>
  <si>
    <t>058750.20.01</t>
  </si>
  <si>
    <t>Эксплуатация оборуд. и сис. водоснабж. и водоотвед.: Уч. / Г.Н.Жмаков - М.:НИЦ ИНФРА-М,2025. - 237 с.(СПО)(п)</t>
  </si>
  <si>
    <t>ЭКСПЛУАТАЦИЯ ОБОРУДОВАНИЯ И СИСТЕМ ВОДОСНАБЖЕНИЯ И ВОДООТВЕДЕНИЯ</t>
  </si>
  <si>
    <t>Жмаков Г. Н.</t>
  </si>
  <si>
    <t>978-5-16-018753-2</t>
  </si>
  <si>
    <t>08.01.29, 08.02.01, 08.02.02, 08.02.04, 08.02.13, 08.02.14, 13.02.02, 18.01.27, 18.01.28, 19.01.01</t>
  </si>
  <si>
    <t>Рекомендовано Управлением кадров и учебных заведений Министерства РФ по земельной политике, строительству и жилищно-комм. хоз-ву в качестве учебника для студентов средних спец. заведений, обуч. по специальности 08.02.04 «Водоснабжение и водоотведение»</t>
  </si>
  <si>
    <t>640318.12.01</t>
  </si>
  <si>
    <t>Эксплуатация объектов сетевой инфраструкт.: Уч. / А.В.Назаров - М.:КУРС, НИЦ ИНФРА-М,2025 - 360 с(СПО)(П)</t>
  </si>
  <si>
    <t>ЭКСПЛУАТАЦИЯ ОБЪЕКТОВ СЕТЕВОЙ ИНФРАСТРУКТУРЫ</t>
  </si>
  <si>
    <t>Назаров А.В., Енгалычев А.Н., Мельников В.П.</t>
  </si>
  <si>
    <t>978-5-906923-06-6</t>
  </si>
  <si>
    <t>09.02.02, 09.02.06, 09.02.08, 10.02.03, 10.02.05, 11.02.15</t>
  </si>
  <si>
    <t>251300.05.01</t>
  </si>
  <si>
    <t>Эксплуатация сельскохоз. техники. Практ.: Уч.пос./А.В.Новиков-М.:НИЦ ИНФРА-М, Нов.зн.,2024.-176с.(П)</t>
  </si>
  <si>
    <t>ЭКСПЛУАТАЦИЯ СЕЛЬСКОХОЗЯЙСТВЕННОЙ ТЕХНИКИ. ПРАКТИКУМ</t>
  </si>
  <si>
    <t>978-5-16-018927-7</t>
  </si>
  <si>
    <t>23.03.02, 23.04.02, 35.03.06, 35.04.06</t>
  </si>
  <si>
    <t>Допущено Министерством образования Республики Беларусь в качестве учебного пособия для студентов учреждений высшего образования по агрономическим специальностям</t>
  </si>
  <si>
    <t>232400.13.01</t>
  </si>
  <si>
    <t>Эксплуатация систем электроснабжения: Уч.пос. / В.Я.Хорольский - М.:НИЦ ИНФРА-М,2025. - 288 с.(П)</t>
  </si>
  <si>
    <t>ЭКСПЛУАТАЦИЯ СИСТЕМ ЭЛЕКТРОСНАБЖЕНИЯ</t>
  </si>
  <si>
    <t>Хорольский В. Я., Таранов М. А.</t>
  </si>
  <si>
    <t>978-5-16-018112-7</t>
  </si>
  <si>
    <t>689279.06.01</t>
  </si>
  <si>
    <t>Эксплуатация систем электроснабжения: Уч.пос./ В.Я.Хорольский - М.:НИЦ ИНФРА-М,2025. - 288 с.-(СПО)(п)</t>
  </si>
  <si>
    <t>978-5-16-014458-0</t>
  </si>
  <si>
    <t>08.02.09, 11.01.02, 11.01.05, 13.01.07, 13.01.10, 13.02.07, 13.02.09, 13.02.12, 13.02.13, 21.01.15, 21.02.12, 26.01.05, 26.02.04, 26.02.05, 26.02.06, 35.01.15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</si>
  <si>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13.02.01 «Тепловые электрические станции», 13.02.03 «Электрические станции, сети и системы», 13.02.07 «Электроснабжение (по отраслям)»</t>
  </si>
  <si>
    <t>756601.01.01</t>
  </si>
  <si>
    <t>Эксплуатация судовых котельных и паропроизв. установок: Уч.пос./ В.В.Кузнецов-М.:НИЦ ИНФРА-М,2024-135с.(о)</t>
  </si>
  <si>
    <t>ЭКСПЛУАТАЦИЯ СУДОВЫХ КОТЕЛЬНЫХ И ПАРОПРОИЗВОДЯЩИХ УСТАНОВОК</t>
  </si>
  <si>
    <t>Кузнецов В.В., Польский Е.В., Печенка С.Н.</t>
  </si>
  <si>
    <t>978-5-16-017930-8</t>
  </si>
  <si>
    <t>18.01.28, 26.01.01, 26.01.03, 26.01.05, 26.01.07, 26.01.09, 26.02.01, 26.02.03, 26.02.04, 26.02.05, 26.02.06, 26.05.02, 26.05.05, 26.05.06, 35.01.32</t>
  </si>
  <si>
    <t>827926.01.01</t>
  </si>
  <si>
    <t>Эксплуатация судовых турбинных установок: Уч.пос. / В.В.Кузнецов - М.:НИЦ ИНФРА-М,2025. - 231 с.(п)</t>
  </si>
  <si>
    <t>ЭКСПЛУАТАЦИЯ СУДОВЫХ ТУРБИННЫХ УСТАНОВОК</t>
  </si>
  <si>
    <t>978-5-16-020089-7</t>
  </si>
  <si>
    <t>Рекомендовано экспертным советом ЧВВМУ имени П.С. Нахимова в качестве учебного пособия по дисциплине «Судовые турбомашины». Предназначено для студентов специальности 26.05.06 «Эксплуатация судовых энергетических установок»</t>
  </si>
  <si>
    <t>725335.02.01</t>
  </si>
  <si>
    <t>Эксплуатация судовых энерг. установок. Сис. охлаждения...: Уч.пос. / В.В.Кузнецов.-М.:НИЦ ИНФРА-М, 2023.- 38с(О)</t>
  </si>
  <si>
    <t>ЭКСПЛУАТАЦИЯ СУДОВЫХ ЭНЕРГЕТИЧЕСКИХ УСТАНОВОК. СИСТЕМЫ ОХЛАЖДЕНИЯ СУДОВЫХ ДИЗЕЛЬНЫХ ЭНЕРГЕТИЧЕСКИХ УСТАНОВОК</t>
  </si>
  <si>
    <t>Кузнецов В.В., Максимов С.В., Толстой С.И. и др.</t>
  </si>
  <si>
    <t>978-5-16-017160-9</t>
  </si>
  <si>
    <t>18.01.28, 26.01.01, 26.01.03, 26.01.05, 26.02.01, 26.02.03, 26.02.04, 26.02.05, 26.02.06</t>
  </si>
  <si>
    <t>Рекомендовано экспертным советом ЧВВМУ имени П.С. Нахимова в качестве учебного пособия по дисциплине «Эксплуатация судовых энергетических установок» для студентов специальности 26.05.06 «Эксплуатация судовых энергетических установок» уровня управления</t>
  </si>
  <si>
    <t>725336.04.01</t>
  </si>
  <si>
    <t>Эксплуатация судовых энергетич. установок..: Уч.пос. / В.В.Кузнецов -  М.:НИЦ ИНФРА-М,2025 - 51 с.(О)</t>
  </si>
  <si>
    <t>ЭКСПЛУАТАЦИЯ СУДОВЫХ ЭНЕРГЕТИЧЕСКИХ УСТАНОВОК. ТОПЛИВНЫЕ СИСТЕМЫ СУДОВЫХ ДИЗЕЛЬНЫХ ЭНЕРГЕТИЧЕСКИХ УСТАНОВОК</t>
  </si>
  <si>
    <t>978-5-16-017163-0</t>
  </si>
  <si>
    <t>666689.06.01</t>
  </si>
  <si>
    <t>Эксплуатация транспортного оборудования: Уч.пос. / П.С.Пушмин и др.-М.:НИЦ ИНФРА-М,СФУ,2024-191с(ВО)(П)</t>
  </si>
  <si>
    <t>ЭКСПЛУАТАЦИЯ ТРАНСПОРТНОГО ОБОРУДОВАНИЯ</t>
  </si>
  <si>
    <t>Пушмин П.С., Нескоромных В.В., Леонов С.О.</t>
  </si>
  <si>
    <t>978-5-16-019301-4</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</si>
  <si>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высших учебных заведений, обучающихся по направлению подготовки 21.05.03 «Технологии геологической разведки»</t>
  </si>
  <si>
    <t>479350.01.01</t>
  </si>
  <si>
    <t>Эксплуатация электрооборудования и устройств...: Уч.пос. / В.А.Дайнеко-М.:ИНФРА-М,Нов.зн.,2015-333с.</t>
  </si>
  <si>
    <t>ЭКСПЛУАТАЦИЯ ЭЛЕКТРООБОРУДОВАНИЯ И УСТРОЙСТВ АВТОМАТИКИ</t>
  </si>
  <si>
    <t>Дайнеко В.А., Забелло Е.П., Прищепова Е.М.</t>
  </si>
  <si>
    <t>978-5-16-010296-2</t>
  </si>
  <si>
    <t>35.03.04, 35.03.06, 35.04.04, 35.04.06</t>
  </si>
  <si>
    <t>272300.11.01</t>
  </si>
  <si>
    <t>Эксплуатация электрооборудования. Задачник: Уч.пос. / В.Я.Хорольский-М.:Форум, НИЦ ИНФРА-М,2025-176с(ВО)(О)</t>
  </si>
  <si>
    <t>ЭКСПЛУАТАЦИЯ ЭЛЕКТРООБОРУДОВАНИЯ. ЗАДАЧНИК</t>
  </si>
  <si>
    <t>Хорольский В.Я., Таранов М.А., Медведько Ю.А.</t>
  </si>
  <si>
    <t>978-5-00091-741-1</t>
  </si>
  <si>
    <t>13.03.01, 13.03.02, 35.03.06</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</si>
  <si>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13.03.01 «Теплоэнергетика», 13.03.02 «Электроэнергетика», 35.03.06 «Агроинженерия»</t>
  </si>
  <si>
    <t>704322.04.01</t>
  </si>
  <si>
    <t>Эксплуатация электрооборудования. Задачник:Уч.пос. / В.Я.Хорольский-М.:Форум, НИЦ ИНФРА-М,2024.-176с</t>
  </si>
  <si>
    <t>978-5-00091-669-8</t>
  </si>
  <si>
    <t>08.02.09, 11.01.02, 11.01.05, 13.01.07, 13.01.10, 13.02.07, 13.02.08, 13.02.09, 13.02.12, 13.02.13, 18.01.28, 21.01.15, 26.01.05, 26.02.04, 26.02.05, 26.02.06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</si>
  <si>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13.02.11 «Техническая эксплуатация и обслуживание электрического и электромеханического оборудования (по отраслям)», 35.02.08 «Электрификация и автоматизация сельского хозяйства» (протокол № 3 от 11.02.2019)</t>
  </si>
  <si>
    <t>240700.07.01</t>
  </si>
  <si>
    <t>Эксплуатация электрооборудования: Уч. / Г.Н. Ерошенко - М.: НИЦ ИНФРА-М, 2019-336с.(ВО) (п)</t>
  </si>
  <si>
    <t>ЭКСПЛУАТАЦИЯ ЭЛЕКТРООБОРУДОВАНИЯ</t>
  </si>
  <si>
    <t>Ерошенко Г.П., Кондратьева Н.П.</t>
  </si>
  <si>
    <t>978-5-16-006017-0</t>
  </si>
  <si>
    <t>742691.10.01</t>
  </si>
  <si>
    <t>Эксплуатация, диагностика и ремонт электрооборуд.: Уч.пос. / В.И.Полищук - М.:НИЦ ИНФРА-М,2025. - 203 с.(СПО)(П)</t>
  </si>
  <si>
    <t>ЭКСПЛУАТАЦИЯ, ДИАГНОСТИКА И РЕМОНТ ЭЛЕКТРООБОРУДОВАНИЯ</t>
  </si>
  <si>
    <t>978-5-16-016457-1</t>
  </si>
  <si>
    <t>08.02.09, 11.01.02, 11.01.05, 13.01.07, 13.01.10, 13.02.01, 13.02.02, 13.02.04, 13.02.07, 13.02.08, 13.02.09, 13.02.12, 13.02.13, 14.02.01, 15.02.06, 18.01.28, 21.01.15, 26.01.05, 26.02.04, 26.02.05, 26.02.06, 35.01.15, 35.02.08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</si>
  <si>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5 от 16.03.2020)</t>
  </si>
  <si>
    <t>712561.07.01</t>
  </si>
  <si>
    <t>Эксплуатация, диагностика и ремонт электрооборуд.: Уч.пос. / В.И.Полищук-М.:НИЦ ИНФРА-М,2025.-203 с.(ВО)(п)</t>
  </si>
  <si>
    <t>978-5-16-018963-5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</si>
  <si>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17 от 11.11.2019)</t>
  </si>
  <si>
    <t>682611.08.01</t>
  </si>
  <si>
    <t>Эксплуатация, обслуж. и диагност. технологич. машин: Уч.пос. / В.Б.Богуцкий - М.:НИЦ ИНФРА-М,2025 - 356 с.(ВО)(П)</t>
  </si>
  <si>
    <t>ЭКСПЛУАТАЦИЯ, ОБСЛУЖИВАНИЕ И ДИАГНОСТИКА ТЕХНОЛОГИЧЕСКИХ МАШИН</t>
  </si>
  <si>
    <t>Богуцкий В.Б., Шрон Л.Б., Ягьяев Э.Э.</t>
  </si>
  <si>
    <t>978-5-16-014425-2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</si>
  <si>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(протокол № 12 от 24.06.2019)</t>
  </si>
  <si>
    <t>693406.06.01</t>
  </si>
  <si>
    <t>Эксплуатация, обслуж. и ремонт общего имущества...: Уч. / В.Б.Акимов. - М.:НИЦ ИНФРА-М,2025. - 295 с.(П)</t>
  </si>
  <si>
    <t>ЭКСПЛУАТАЦИЯ, ОБСЛУЖИВАНИЕ И РЕМОНТ ОБЩЕГО ИМУЩЕСТВА МНОГОКВАРТИРНОГО ДОМА</t>
  </si>
  <si>
    <t>Акимов В.Б., Тимахова Н.С., Комков В.А.</t>
  </si>
  <si>
    <t>978-5-16-015410-7</t>
  </si>
  <si>
    <t>08.02.01, 08.02.13, 08.02.14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</si>
  <si>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08.02.11 «Управление, эксплуатация и обслуживание многоквартирного дома»  (протокол № 11 от 26.10.2020)</t>
  </si>
  <si>
    <t>732044.05.01</t>
  </si>
  <si>
    <t>Эксплуатация, обслуживание и диагностика тех. машин: Уч.пос. / В.Б.Богуцкий - М.:НИЦ ИНФРА-М,2025 - 356 с.(п)</t>
  </si>
  <si>
    <t>978-5-16-015996-6</t>
  </si>
  <si>
    <t>15.01.35, 15.02.01, 21.02.12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</si>
  <si>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3 от 17.02.2020)</t>
  </si>
  <si>
    <t>388300.04.01</t>
  </si>
  <si>
    <t>Экстремальные задачи дискретной математики: Уч./С.А.Канцедал - М.:ИД ФОРУМ, НИЦ ИНФРА-М,2023.-304 с..-(ВО)(П)</t>
  </si>
  <si>
    <t>ЭКСТРЕМАЛЬНЫЕ ЗАДАЧИ ДИСКРЕТНОЙ МАТЕМАТИКИ</t>
  </si>
  <si>
    <t>С.А.Канцедал</t>
  </si>
  <si>
    <t>978-5-8199-0633-0</t>
  </si>
  <si>
    <t>01.03.01, 01.03.02, 01.03.04, 01.04.01, 01.04.02, 01.04.04, 02.03.01, 02.04.01, 03.03.01, 03.03.02, 03.04.01</t>
  </si>
  <si>
    <t>372100.09.01</t>
  </si>
  <si>
    <t>Экстренная проктология: Уч.пос. / Б.Н.Жуков и др. - М.:Форум, НИЦ ИНФРА-М,2025 - 96 с.(ВО)</t>
  </si>
  <si>
    <t>ЭКСТРЕННАЯ ПРОКТОЛОГИЯ</t>
  </si>
  <si>
    <t>Жуков Б.Н., Журавлев А.В., Исаев В.Р. и др.</t>
  </si>
  <si>
    <t>978-5-00091-087-0</t>
  </si>
  <si>
    <t>Рекомендовано Центральным координационно-методическим советом ГБОУ ВПО «Самарский государственный медицинский университет» Министерства здравоохранения Российской федерации</t>
  </si>
  <si>
    <t>702086.07.01</t>
  </si>
  <si>
    <t>Электрические аппараты и цепи подвиж. состава: Уч.пос. / А.С.Мазнев - 2 изд.-М.:НИЦ ИНФРА-М,2025-278с(п)</t>
  </si>
  <si>
    <t>ЭЛЕКТРИЧЕСКИЕ АППАРАТЫ И ЦЕПИ ПОДВИЖНОГО СОСТАВА, ИЗД.2</t>
  </si>
  <si>
    <t>Мазнев А.С., Шатнев О.И.</t>
  </si>
  <si>
    <t>978-5-16-015014-7</t>
  </si>
  <si>
    <t>23.02.06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</si>
  <si>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23.02.06 «Техническая эксплуатация подвижного состава железных дорог» (протокол № 1 от 20.01.2020)</t>
  </si>
  <si>
    <t>289900.10.01</t>
  </si>
  <si>
    <t>Электрические аппараты: Уч.пос. / Е.Ф.Щербаков - М.:Форум, НИЦ ИНФРА-М,2024 - 303 с.(П)</t>
  </si>
  <si>
    <t>ЭЛЕКТРИЧЕСКИЕ АППАРАТЫ</t>
  </si>
  <si>
    <t>Щербаков Е.Ф., Александров Д.С.</t>
  </si>
  <si>
    <t>978-5-00091-797-8</t>
  </si>
  <si>
    <t>Рекомендовано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</si>
  <si>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683136.11.01</t>
  </si>
  <si>
    <t>Электрические аппараты: Уч.пос. / Е.Ф.Щербаков - М.:Форум, НИЦ ИНФРА-М,2025 - 303 с.(СПО)(П)</t>
  </si>
  <si>
    <t>978-5-00091-561-5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</si>
  <si>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13.02.00 «Электроэнергетика и электротехника»</t>
  </si>
  <si>
    <t>672472.07.01</t>
  </si>
  <si>
    <t>Электрические измерения: Уч.пос. / А.В.Кравцов - М.:ИЦ РИОР, НИЦ ИНФРА-М,2025 - 148 с.(О)</t>
  </si>
  <si>
    <t>ЭЛЕКТРИЧЕСКИЕ ИЗМЕРЕНИЯ</t>
  </si>
  <si>
    <t>Кравцов А.В., Пузарин А.В.</t>
  </si>
  <si>
    <t>978-5-369-01736-4</t>
  </si>
  <si>
    <t>04.03.02, 13.03.02</t>
  </si>
  <si>
    <t>822503.01.01</t>
  </si>
  <si>
    <t>Электрические машины и микромашины: Уч.пос./ В.И.Пантелеев-М.:НИЦ ИНФРА-М, СФУ,2024.-275 с.(ВО (СФУ))(п)</t>
  </si>
  <si>
    <t>ЭЛЕКТРИЧЕСКИЕ МАШИНЫ И МИКРОМАШИНЫ</t>
  </si>
  <si>
    <t>Пантелеев В.И.</t>
  </si>
  <si>
    <t>978-5-16-019698-5</t>
  </si>
  <si>
    <t>719249.03.01</t>
  </si>
  <si>
    <t>Электрические машины, электропривод и сис. интеллект...: Уч.пос. / А.Е.Поляков-М.:Форум, НИЦ ИНФРА-М,2024-224с(о)</t>
  </si>
  <si>
    <t>ЭЛЕКТРИЧЕСКИЕ МАШИНЫ, ЭЛЕКТРОПРИВОД И СИСТЕМЫ ИНТЕЛЛЕКТУАЛЬНОГО УПРАВЛЕНИЯ ЭЛЕКТРОТЕХНИЧЕСКИМИ КОМПЛЕКСАМИ</t>
  </si>
  <si>
    <t>Поляков А.Е., Чесноков А.В., Филимонова Е.М.</t>
  </si>
  <si>
    <t>978-5-00091-720-6</t>
  </si>
  <si>
    <t>13.02.13, 15.02.01, 15.02.04, 15.02.07, 15.02.16, 15.02.17, 15.02.18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</si>
  <si>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и специальности 13.02.10 «Электрические машины и аппараты» (протокол № 12 от 24.06.2019)</t>
  </si>
  <si>
    <t>359600.09.01</t>
  </si>
  <si>
    <t>Электрические машины, электропривод и системы: Уч.пос. / А.Е.Поляков-М.:Форум, НИЦ ИНФРА-М,2023.-224 с.(ВО)(О)</t>
  </si>
  <si>
    <t>978-5-00091-707-7</t>
  </si>
  <si>
    <t>00.03.31, 09.03.01, 09.03.02, 13.03.01, 15.03.04, 29.03.02</t>
  </si>
  <si>
    <t>249900.11.01</t>
  </si>
  <si>
    <t>Электрические машины. Лаб. раб.: Уч.пос. / А.В.Глазков - М.:ИЦ РИОР, НИЦ ИНФРА-М,2025. - 96 с.(СПО)(о)</t>
  </si>
  <si>
    <t>ЭЛЕКТРИЧЕСКИЕ МАШИНЫ. ЛАБОРАТОРНЫЕ РАБОТЫ</t>
  </si>
  <si>
    <t>Глазков А.В.</t>
  </si>
  <si>
    <t>978-5-369-01312-0</t>
  </si>
  <si>
    <t>11.02.06, 15.02.01, 15.02.06, 15.02.07, 15.02.18, 23.02.04, 23.02.06, 25.02.01, 25.02.03</t>
  </si>
  <si>
    <t>Рекомендовано федеральным государственным автономным учреждением «Федеральный институт развития образования» (ФГАУ"ФИРО") в качестве учебного пособия для использования в учебном процессе образовательных учреждений, реализующих программы СПО</t>
  </si>
  <si>
    <t>427700.09.01</t>
  </si>
  <si>
    <t>Электрические машины: Уч.пос. / А.Л.Встовский - М.:НИЦ ИНФРА-М, СФУ,2023 - 462 с.(ВО: Бакалавр. (СФУ))(П)</t>
  </si>
  <si>
    <t>ЭЛЕКТРИЧЕСКИЕ МАШИНЫ</t>
  </si>
  <si>
    <t>Встовский А.Л.</t>
  </si>
  <si>
    <t>978-5-16-016213-3</t>
  </si>
  <si>
    <t>Рекомендовано федеральным государственным бюджетным образовательным учреждением высшего образования «Национальный исследовательский университет "МЭИ”»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</si>
  <si>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708645.05.01</t>
  </si>
  <si>
    <t>Электрические машины: Уч.пос. / А.Л.Встовский - М.:НИЦ ИНФРА-М, СФУ,2025 - 462 с.(СПО (СФУ))(п)</t>
  </si>
  <si>
    <t>978-5-16-015261-5</t>
  </si>
  <si>
    <t>08.02.09, 13.02.12, 13.02.13, 15.02.07, 15.02.10, 15.02.18, 27.02.04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</si>
  <si>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4 от 25.02.2019)</t>
  </si>
  <si>
    <t>700582.06.01</t>
  </si>
  <si>
    <t>Электрический привод: Уч. / В.В.Москаленко - М.:НИЦ ИНФРА-М,2024 - 364 с.(СПО)(П)</t>
  </si>
  <si>
    <t>ЭЛЕКТРИЧЕСКИЙ ПРИВОД</t>
  </si>
  <si>
    <t>Москаленко В.В.</t>
  </si>
  <si>
    <t>978-5-16-014733-8</t>
  </si>
  <si>
    <t>13.01.10, 13.02.01, 13.02.02, 13.02.04, 13.02.05, 13.02.07, 13.02.08, 13.02.09, 13.02.12, 13.02.13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</si>
  <si>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13.02.00 «Электро- и теплоэнергетика»</t>
  </si>
  <si>
    <t>257500.09.01</t>
  </si>
  <si>
    <t>Электрический привод: Уч. / В.В.Москаленко -М.:НИЦ ИНФРА-М,2024.-364 с..-(ВО: Бакалавриат)(П)</t>
  </si>
  <si>
    <t>978-5-16-009474-8</t>
  </si>
  <si>
    <t>Рекомендовано УМО вузов России по образованию в области энергетики и электротехники в качестве учебника для студентов высших учебных заведений, обучающихся по направлению подготовки «Электроэнергетика и электротехника»</t>
  </si>
  <si>
    <t>156550.12.01</t>
  </si>
  <si>
    <t>Электрический привод: Уч. / Е.М.Овсянников - М.:Форум, НИЦ ИНФРА-М,2023 - 224 с.-(ВО: Бакалавр.)(П)</t>
  </si>
  <si>
    <t>Овсянников Е. М.</t>
  </si>
  <si>
    <t>978-5-00091-644-5</t>
  </si>
  <si>
    <t>13.03.02, 23.03.02, 23.04.02</t>
  </si>
  <si>
    <t>Рекомендован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«Автомобиле- и тракторостроение»</t>
  </si>
  <si>
    <t>683138.03.01</t>
  </si>
  <si>
    <t>Электрический привод: Уч. / Е.М.Овсянников-М.:Форум, НИЦ ИНФРА-М,2024.-224 с..-(СПО)(П)</t>
  </si>
  <si>
    <t>978-5-00091-562-2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</si>
  <si>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t>
  </si>
  <si>
    <t>054900.21.01</t>
  </si>
  <si>
    <t>Электрическое и электромех. оборуд.: Уч. / В.П.Шеховцов - 3 изд. - М.:НИЦ ИНФРА-М,2025 - 407 с.(СПО)(П)</t>
  </si>
  <si>
    <t>ЭЛЕКТРИЧЕСКОЕ И ЭЛЕКТРОМЕХАНИЧЕСКОЕ ОБОРУДОВАНИЕ, ИЗД.3</t>
  </si>
  <si>
    <t>978-5-16-013394-2</t>
  </si>
  <si>
    <t>08.02.01, 11.01.02, 11.01.09, 11.01.11, 11.01.12, 11.02.14, 12.01.04, 12.01.05, 12.01.06, 12.01.07, 12.02.04, 13.01.05, 13.02.01, 13.02.02, 13.02.07, 13.02.08, 13.02.09, 13.02.12, 13.02.13, 15.02.06, 15.02.09, 15.02.10</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</si>
  <si>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«Электротехника»</t>
  </si>
  <si>
    <t>704321.02.01</t>
  </si>
  <si>
    <t>Электробезопасность эксплуатации сельских электроуст.: Уч.пос. / М.А.Таранов-М.:Форум, НИЦ ИНФРА-М,2022-96 с.(О)</t>
  </si>
  <si>
    <t>ЭЛЕКТРОБЕЗОПАСНОСТЬ ЭКСПЛУАТАЦИИ СЕЛЬСКИХ ЭЛЕКТРОУСТАНОВОК</t>
  </si>
  <si>
    <t>Таранов М.А., Хорольский В.Я., Привалов Е.Е.</t>
  </si>
  <si>
    <t>978-5-00091-668-1</t>
  </si>
  <si>
    <t>13.01.10, 13.02.01, 13.02.02, 13.02.07, 13.02.09, 13.02.12, 13.02.13, 20.02.02, 20.02.03, 20.02.04, 21.01.08, 23.01.18, 35.02.07, 35.02.08, 35.02.16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</si>
  <si>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13.00.00 «Электро- и теплоэнергетика», 20.00.00 «Техносферная безопасность и природообустройство», 35.00.00 «Сельское, лесное и рыбное хозяйство» (протокол № 12 от 14.12.2020)</t>
  </si>
  <si>
    <t>268100.08.01</t>
  </si>
  <si>
    <t>Электробезопасность эксплуатации сельских электроустан.: Уч. пос./М.А.Таранов-Форум:ИНФРА-М,2024-96с (о)</t>
  </si>
  <si>
    <t>Таранов М. А., Хорольский В. Я., Привалов Е. Е.</t>
  </si>
  <si>
    <t>978-5-91134-858-8</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</si>
  <si>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дипломированных специалистов 650800 «Теплоэнергетика», 650900 «Электроэнергетик</t>
  </si>
  <si>
    <t>440450.05.01</t>
  </si>
  <si>
    <t>Электродинамика: Уч.пос. / И.И.Каликинский, - 3-е изд.-М.:НИЦ ИНФРА-М,2023.-159 с..(ВО:Магистр)(п)</t>
  </si>
  <si>
    <t>ЭЛЕКТРОДИНАМИКА, ИЗД.3</t>
  </si>
  <si>
    <t>Каликинский И. И.</t>
  </si>
  <si>
    <t>978-5-16-006771-1</t>
  </si>
  <si>
    <t>03.03.02, 03.04.02, 03.04.03, 04.04.02, 11.03.01</t>
  </si>
  <si>
    <t>412150.06.01</t>
  </si>
  <si>
    <t>Электродинамика: Уч.пос. / И.Ф.Будагян.-М.:Альфа-М, НИЦ ИНФРА-М,2023.-304 с.(Магистратура)(П)</t>
  </si>
  <si>
    <t>ЭЛЕКТРОДИНАМИКА</t>
  </si>
  <si>
    <t>Будагян И. Ф., Дубровин В. Ф., Сигов А. С.</t>
  </si>
  <si>
    <t>978-5-98281-329-9</t>
  </si>
  <si>
    <t>03.03.02, 11.03.01, 11.03.04, 11.04.01, 11.04.04</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</si>
  <si>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специальности 210601 «Радиоэлектронные системы и комплексы»</t>
  </si>
  <si>
    <t>424250.04.01</t>
  </si>
  <si>
    <t>Электромагнитные поля и волны: Уч. пос. / А.В.Стрекалов-М.:ИЦ РИОР, НИЦ ИНФРА-М,2023.-375 с(ВО)(п)</t>
  </si>
  <si>
    <t>ЭЛЕКТРОМАГНИТНЫЕ ПОЛЯ И ВОЛНЫ</t>
  </si>
  <si>
    <t>Стрекалов А.В., Стрекалов Ю.А.</t>
  </si>
  <si>
    <t>978-5-369-01181-2</t>
  </si>
  <si>
    <t>Рекомендовано УМО по образованию в области телекоммуникаций в качестве учебного пособия для студентов высших учебных заведений, обучающихся по направлению подготовки дипломированных специалистов 210400(654400) Телекоммуникации</t>
  </si>
  <si>
    <t>647236.01.01</t>
  </si>
  <si>
    <t>Электромеханика. Основы теории и...: Уч.пос. / А.Ю.Смирнов-М.:НИЦ ИНФРА-М,2024.-349 с.(ВО)(п)</t>
  </si>
  <si>
    <t>ЭЛЕКТРОМЕХАНИКА. ОСНОВЫ ТЕОРИИ И ВЫЧИСЛИТЕЛЬНЫЙ АНАЛИЗ ЭЛЕКТРИЧЕСКИХ МАШИН, ИЗД.2</t>
  </si>
  <si>
    <t>978-5-16-016661-2</t>
  </si>
  <si>
    <t>01.00.00, 01.03.03, 02.03.03, 03.03.03, 15.03.03</t>
  </si>
  <si>
    <t>837101.01.01</t>
  </si>
  <si>
    <t>Электроника и схемотехника: Уч./ А.Ф.Синяговский - М.:НИЦ ИНФРА-М, СФУ,2025. - 581 с.(ВО (СФУ))(п)</t>
  </si>
  <si>
    <t>ЭЛЕКТРОНИКА И СХЕМОТЕХНИКА</t>
  </si>
  <si>
    <t>Синяговский А.Ф., Довгун В.П., Новиков В.В. и др.</t>
  </si>
  <si>
    <t>978-5-16-020172-6</t>
  </si>
  <si>
    <t>09.03.01, 10.05.01, 10.05.02, 10.05.03</t>
  </si>
  <si>
    <t>756361.02.01</t>
  </si>
  <si>
    <t>Электроника: Уч.пос. / А.Л.Марченко-М.:НИЦ ИНФРА-М,2023.-242 с.(ВО: Бакалавриат)(п)</t>
  </si>
  <si>
    <t>ЭЛЕКТРОНИКА</t>
  </si>
  <si>
    <t>Марченко А.Л.</t>
  </si>
  <si>
    <t>978-5-16-017057-2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</si>
  <si>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9 от 17.11.2022)</t>
  </si>
  <si>
    <t>180550.09.01</t>
  </si>
  <si>
    <t>Электронная коммерция: Уч. / Л.А.Брагин, Г.Г.Иванов - М.: ИД ФОРУМ: НИЦ Инфра-М, 2025 - 192 с.(ВО) (п)</t>
  </si>
  <si>
    <t>ЭЛЕКТРОННАЯ КОММЕРЦИЯ</t>
  </si>
  <si>
    <t>Брагин Л. А., Иванов Г. Г., Никишин А. Ф., Панкина Т. В.</t>
  </si>
  <si>
    <t>978-5-8199-0507-4</t>
  </si>
  <si>
    <t>09.04.02, 38.03.01, 38.03.05, 38.03.06, 38.04.01, 38.04.05, 38.04.06</t>
  </si>
  <si>
    <t>042420.17.01</t>
  </si>
  <si>
    <t>Электронная техника: Уч./ М.В.Гальперин, - 2 изд., -М.:НИЦ ИНФРА-М,2024-352 с.(СПО)(П)</t>
  </si>
  <si>
    <t>ЭЛЕКТРОННАЯ ТЕХНИКА, ИЗД.2</t>
  </si>
  <si>
    <t>978-5-16-015415-2</t>
  </si>
  <si>
    <t>10.02.04, 11.02.03, 11.02.06, 11.02.07, 11.02.09, 11.02.11, 11.02.12, 11.02.13, 11.02.14, 11.02.15, 11.02.16, 11.02.17, 11.02.18, 12.02.01, 12.02.02, 12.02.03, 12.02.04, 12.02.05, 12.02.06, 12.02.07, 12.02.09, 12.02.10, 13.02.09, 13.02.12, 14.02.02, 24.02.04, 27.02.06</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</si>
  <si>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группам специальностей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</si>
  <si>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637592.06.01</t>
  </si>
  <si>
    <t>Электронное обуч.в уч.высшего образ.: Уч.мет.пос./ Б.А.Бурняшов-М.:ИЦ РИОР, НИЦ ИНФРА-М,2024-119с(О)</t>
  </si>
  <si>
    <t>ЭЛЕКТРОННОЕ ОБУЧЕНИЕ В УЧРЕЖДЕНИИ ВЫСШЕГО ОБРАЗОВАНИЯ</t>
  </si>
  <si>
    <t>Бурняшов Б.А.</t>
  </si>
  <si>
    <t>978-5-369-01624-4</t>
  </si>
  <si>
    <t>35.04.08, 39.04.02, 45.04.02, 47.04.03, 51.04.04</t>
  </si>
  <si>
    <t>442650.07.01</t>
  </si>
  <si>
    <t>Электронное правительство. Электр. документооб.: Уч.пос. / С.Ю.Кабашов-М:НИЦ ИНФРА-М,2024 -320с.(ВО)</t>
  </si>
  <si>
    <t>ЭЛЕКТРОННОЕ ПРАВИТЕЛЬСТВО. ЭЛЕКТРОННЫЙ ДОКУМЕНТООБОРОТ. ТЕРМИНЫ И ОПРЕДЕЛЕНИЯ</t>
  </si>
  <si>
    <t>978-5-16-019274-1</t>
  </si>
  <si>
    <t>38.03.02, 38.03.04, 40.03.01, 40.04.01, 46.03.02</t>
  </si>
  <si>
    <t>Допущено Учебно-методическим объединением вузов РФ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46.03.02 «Документоведение и архивоведение» (квалификация (степень) «бакалавр»)</t>
  </si>
  <si>
    <t>702448.05.01</t>
  </si>
  <si>
    <t>Электронные и  электромех. сис. упр. электр. машинами...: Уч.пос. / А.С.Мазнев - М.:НИЦ ИНФРА-М,2025-139с(П)</t>
  </si>
  <si>
    <t>ЭЛЕКТРОННЫЕ И ЭЛЕКТРОМЕХАНИЧЕСКИЕ СИСТЕМЫ УПРАВЛЕНИЯ ЭЛЕКТРИЧЕСКИМИ МАШИНАМИ ВЫСОКОСКОРОСТНОГО ТРАНСПОРТА</t>
  </si>
  <si>
    <t>Мазнев А.С., Колпахчьян П.Г., Пахомин С.А.</t>
  </si>
  <si>
    <t>978-5-16-014939-4</t>
  </si>
  <si>
    <t>719355.03.01</t>
  </si>
  <si>
    <t>Электронные сис. управ. работой дизельных двигателей: Уч.пос./Под ред. Головина С.И. - М.:НИЦ ИНФРА-М,2024-160 с.(СПО)</t>
  </si>
  <si>
    <t>ЭЛЕКТРОННЫЕ СИСТЕМЫ УПРАВЛЕНИЯ РАБОТОЙ ДИЗЕЛЬНЫХ ДВИГАТЕЛЕЙ</t>
  </si>
  <si>
    <t>Карелина М.Ю., Кравченко И.Н., Коломейченко А.В. и др.</t>
  </si>
  <si>
    <t>978-5-16-015626-2</t>
  </si>
  <si>
    <t>13.02.13, 23.02.02, 23.02.03, 23.02.04, 23.02.05</t>
  </si>
  <si>
    <t>428950.05.01</t>
  </si>
  <si>
    <t>Электронные системы мобильных машин: Уч.пос. / А.В.Богатырев - М.:НИЦ ИНФРА-М,2023 - 224 с. (ВО)(П)</t>
  </si>
  <si>
    <t>ЭЛЕКТРОННЫЕ СИСТЕМЫ МОБИЛЬНЫХ МАШИН</t>
  </si>
  <si>
    <t>Богатырев А.В.</t>
  </si>
  <si>
    <t>978-5-16-006638-7</t>
  </si>
  <si>
    <t>23.03.02, 23.05.01, 35.03.06, 35.04.06, 44.03.04, 44.03.05, 44.04.04</t>
  </si>
  <si>
    <t>Допущено Министерством сельского хозяйства Российской Федерации в качестве учебного пособия для студентов учебных заведений, обучающихся по направлению 35.03.06 «Агроинженерия»</t>
  </si>
  <si>
    <t>683139.02.01</t>
  </si>
  <si>
    <t>Электронные системы мобильных машин: Уч.пос. / А.В.Богатырев-М.:НИЦ ИНФРА-М,2023.-224 с.(СПО)(П)</t>
  </si>
  <si>
    <t>978-5-16-014015-5</t>
  </si>
  <si>
    <t>633621.06.01</t>
  </si>
  <si>
    <t>Электронные системы упр. работой дизел.двиг.: Уч.пос. / М.Ю.Карелина - М.:НИЦ ИНФРА-М,2023-160с.(ВО)(О)</t>
  </si>
  <si>
    <t>978-5-16-012067-6</t>
  </si>
  <si>
    <t>15.03.01, 15.04.01, 23.03.03, 23.04.03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</si>
  <si>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23.03.03 «Эксплуатация транспортно-технологических машин и комплексов» (квалификация (степень) «бакалавр», профиль подготовки «Автомобили и автомобильное хозяйство»)</t>
  </si>
  <si>
    <t>655199.07.01</t>
  </si>
  <si>
    <t>Электронный док. и обесп. безоп. станд. сред. windows: Уч.пос. / Л.М.Евдокимова - М:КУРС,НИЦ ИНФРА-М,2025 - 296 с.(П)</t>
  </si>
  <si>
    <t>ЭЛЕКТРОННЫЙ ДОКУМЕНТООБОРОТ И ОБЕСПЕЧЕНИЕ БЕЗОПАСНОСТИ СТАНДАРТНЫМИ СРЕДСТВАМИ WINDOWS</t>
  </si>
  <si>
    <t>Евдокимова Л.М., Корябкин В.В., Пылькин А.Н. и др.</t>
  </si>
  <si>
    <t>978-5-906923-24-0</t>
  </si>
  <si>
    <t>09.02.06, 09.03.03, 09.03.04, 10.02.04, 10.02.05, 11.02.15, 46.02.01</t>
  </si>
  <si>
    <t>043400.23.01</t>
  </si>
  <si>
    <t>Электрооборудование автомобилей: Уч.пос. / И.С.Туревский - М.:ИД ФОРУМ,НИЦ ИНФРА-М,2025 - 368 с.-(СПО)(П)</t>
  </si>
  <si>
    <t>ЭЛЕКТРООБОРУДОВАНИЕ АВТОМОБИЛЕЙ</t>
  </si>
  <si>
    <t>978-5-8199-0697-2</t>
  </si>
  <si>
    <t>23.01.03, 23.01.17, 23.02.01, 23.02.02, 23.02.03, 23.02.04, 23.02.05, 23.02.07</t>
  </si>
  <si>
    <t>652894.05.01</t>
  </si>
  <si>
    <t>Электрооборудование и электроника автомобилей.: Сл.-справ. / С.М.Зуев - М.:НИЦ ИНФРА-М,2024 - 200 с.(П)</t>
  </si>
  <si>
    <t>ЭЛЕКТРООБОРУДОВАНИЕ И ЭЛЕКТРОНИКА АВТОМОБИЛЕЙ. КРАТКИЙ ТОЛКОВЫЙ РУССКО-АНГЛИЙСКИЙ ТЕРМИНОЛОГИЧЕСКИЙ СЛОВАРЬ</t>
  </si>
  <si>
    <t>Зуев С.М., Варламов Д.О., Лавриков А.А. и др.</t>
  </si>
  <si>
    <t>978-5-16-016826-5</t>
  </si>
  <si>
    <t>23.03.01, 23.03.02, 23.03.03, 23.04.02</t>
  </si>
  <si>
    <t>679125.05.01</t>
  </si>
  <si>
    <t>Электрооборудование и электроснаб. электротехн. установок: Уч.пос./А.Н.Миронова, -2 изд.-М.:НИЦ ИНФРА-М,2023-470с.(П)</t>
  </si>
  <si>
    <t>ЭЛЕКТРООБОРУДОВАНИЕ И ЭЛЕКТРОСНАБЖЕНИЕ ЭЛЕКТРОТЕХНОЛОГИЧЕСКИХ УСТАНОВОК, ИЗД.2</t>
  </si>
  <si>
    <t>Миронова А.Н., Миронов Ю.М.</t>
  </si>
  <si>
    <t>978-5-16-018519-4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</si>
  <si>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13 от 16.09.2019)</t>
  </si>
  <si>
    <t>093500.11.01</t>
  </si>
  <si>
    <t>Электропреобразовательные устр. РЭС: Уч. / Г.Н.Арсеньев-2 изд.-М.:ИД ФОРУМ,ИНФРА-М,2023-544с(ВО)(П)</t>
  </si>
  <si>
    <t>ЭЛЕКТРОПРЕОБРАЗОВАТЕЛЬНЫЕ УСТРОЙСТВА РЭС, ИЗД.2</t>
  </si>
  <si>
    <t>Арсеньев Г.Н.</t>
  </si>
  <si>
    <t>978-5-8199-0698-9</t>
  </si>
  <si>
    <t>Рекомендовано государственным образовательным учреждением высшего профессионального образования — Общевойсковой академией Вооруженных Сил Российской Федерации в качестве учебника для курсантов высших военно-учебных заведений Космических войск, обучающихся по направлению подготовки «Радиотехника»</t>
  </si>
  <si>
    <t>683140.03.01</t>
  </si>
  <si>
    <t>Электропреобразовательные устр. РЭС: Уч. /Г.Н.Арсеньев-2 изд.-М.:ИД ФОРУМ,НИЦ ИНФРА-М,2023-544с(СПО)</t>
  </si>
  <si>
    <t>978-5-8199-0806-8</t>
  </si>
  <si>
    <t>11.01.01, 11.01.02, 11.01.03, 11.01.04, 11.01.05, 11.01.06, 11.01.07, 11.01.08, 11.01.09, 11.01.10, 11.01.11, 11.01.12, 11.01.13, 11.02.03, 11.02.06, 11.02.07, 11.02.09, 11.02.11, 11.02.12, 11.02.13, 11.02.14, 11.02.15, 11.02.16, 11.02.17, 11.02.18, 24.02.04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</si>
  <si>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11.02.00 «Электроника, радиотехника и системы связи»</t>
  </si>
  <si>
    <t>647902.03.01</t>
  </si>
  <si>
    <t>Электропривод с бесконтактными синхронными двиг.: Уч.пос. / А.Ю.Смирнов-М.:НИЦ ИНФРА-М,2024.-200 с.(ВО)(П)</t>
  </si>
  <si>
    <t>ЭЛЕКТРОПРИВОД С БЕСКОНТАКТНЫМИ СИНХРОННЫМИ ДВИГАТЕЛЯМИ</t>
  </si>
  <si>
    <t>978-5-16-018968-0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</si>
  <si>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13.03.02 «Электроэнергетика и электротехника», 13.04.03 «Энергетическое машиностроение» (квалификация (степень) «бакалавр») (протокол № 10 от 12.10.2020)</t>
  </si>
  <si>
    <t>048900.17.01</t>
  </si>
  <si>
    <t>Электрорадиоизмерения: Уч. / Под ред. Сигова А.С. - 4 изд. - М.:Форум, НИЦ ИНФРА-М,2024 - 383 с.(П)</t>
  </si>
  <si>
    <t>ЭЛЕКТРОРАДИОИЗМЕРЕНИЯ, ИЗД.4</t>
  </si>
  <si>
    <t>Нефедов В.И., Сигов А.С., Битюков В.К. и др.</t>
  </si>
  <si>
    <t>978-5-00091-502-8</t>
  </si>
  <si>
    <t>11.01.02, 11.02.03, 11.02.06, 11.02.07, 11.02.09, 11.02.11, 11.02.13, 11.02.14, 11.02.15, 11.02.16, 11.02.17, 11.02.18, 11.02.19, 12.02.01, 12.02.03, 12.02.06, 12.02.07, 12.02.10, 24.02.04, 26.01.05, 53.02.08</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</si>
  <si>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11.00.00 «Электроника, радиотехника и системы связи»</t>
  </si>
  <si>
    <t>782184.01.01</t>
  </si>
  <si>
    <t>Электроснабжение в тепло- и электроэнергетике: Уч.пос. / Под ред. Зуев С.М.-М.:НИЦ ИНФРА-М,2024.-244 с.(ВО)(п)</t>
  </si>
  <si>
    <t>ЭЛЕКТРОСНАБЖЕНИЕ В ТЕПЛО- И ЭЛЕКТРОЭНЕРГЕТИКЕ</t>
  </si>
  <si>
    <t>Зуев С.М., Верещагин А.С., Малеев Р.А. и др.</t>
  </si>
  <si>
    <t>978-5-16-018009-0</t>
  </si>
  <si>
    <t>766453.01.01</t>
  </si>
  <si>
    <t>Электроснабжение горных предприятий. Проектные предлож.: уч.пос. / А.И.Герасимов и др.-М.:НИЦ ИНФРА-М, СФУ, 2022.-264 с.</t>
  </si>
  <si>
    <t>ЭЛЕКТРОСНАБЖЕНИЕ ГОРНЫХ ПРЕДПРИЯТИЙ. ПРОЕКТНЫЕ ПРЕДЛОЖЕНИЯ ДЛЯ КУРСОВОГО И ДИПЛОМНОГО ПРОЕКТИРОВАНИЯ</t>
  </si>
  <si>
    <t>Герасимов А.И., Кузьмин С.В., Ковалева О.А.</t>
  </si>
  <si>
    <t>978-5-16-017266-8</t>
  </si>
  <si>
    <t>403650.11.01</t>
  </si>
  <si>
    <t>Электроснабжение и электрооборуд..: Уч. / Т.В.Анчарова -2 изд. - М.:Форум, НИЦ ИНФРА-М,2024-415с.(П)</t>
  </si>
  <si>
    <t>ЭЛЕКТРОСНАБЖЕНИЕ И ЭЛЕКТРООБОРУДОВАНИЕ ЗДАНИЙ И СООРУЖЕНИЙ, ИЗД.2</t>
  </si>
  <si>
    <t>Анчарова Т. В., Рашевская М. А., Стебунова Е. Д.</t>
  </si>
  <si>
    <t>978-5-00091-500-4</t>
  </si>
  <si>
    <t>08.03.01, 13.03.02, 13.04.02</t>
  </si>
  <si>
    <t>Рекомендовано УМО высших учебных заведений РФ по образованию в области энергетики и электротехники в качестве учебника для студентов высших учебных заведений, обучающихся по курсу «Электрооборудование и электроснабжение промышленных предприятий»</t>
  </si>
  <si>
    <t>132200.13.01</t>
  </si>
  <si>
    <t>Электроснабжение и электропотр. на предпр.: Уч. пос. / Е.Ф.Щербаков - 2 изд.- Форум:ИНФРА-М, 2025-495 с.(п)</t>
  </si>
  <si>
    <t>ЭЛЕКТРОСНАБЖЕНИЕ И ЭЛЕКТРОПОТРЕБЛЕНИЕ НА ПРЕДПРИЯТИЯХ, ИЗД.2</t>
  </si>
  <si>
    <t>Щербаков Е. Ф., Александров Д. С., Дубов А. Л.</t>
  </si>
  <si>
    <t>978-5-00091-650-6</t>
  </si>
  <si>
    <t>13.02.07, 13.02.13</t>
  </si>
  <si>
    <t>253900.07.01</t>
  </si>
  <si>
    <t>Электроснабжение предпр добычи и перераб...: Уч. / Ю.Д.Сибикин - М.:Форум,НИЦ ИНФРА-М,2022-352с(ПО)(п)</t>
  </si>
  <si>
    <t>ЭЛЕКТРОСНАБЖЕНИЕ ПРЕДПРИЯТИЙ ДОБЫЧИ И ПЕРЕРАБОТКИ НЕФТИ И ГАЗА</t>
  </si>
  <si>
    <t>978-5-91134-840-3</t>
  </si>
  <si>
    <t>13.02.07, 18.01.27, 18.01.28, 19.01.01</t>
  </si>
  <si>
    <t>Допущено Управлением по комплектованию и подготовке кадров в качестве учебника для учащихся средних профессиональных учебных заведений, обучающихся по специальности 240404 «Переработка нефти и газа»</t>
  </si>
  <si>
    <t>719057.04.01</t>
  </si>
  <si>
    <t>Электроснабжение предпр. добычи и перераб. нефти и газа: Уч./Ю.Д.Сибикин-М.:Форум,НИЦ ИНФРА-М,2023-352с(ВО)(П)</t>
  </si>
  <si>
    <t>Сибикин Ю. Д.</t>
  </si>
  <si>
    <t>978-5-00091-715-2</t>
  </si>
  <si>
    <t>13.03.02, 21.03.01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</si>
  <si>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21.03.01 «Нефтегазовое дело» (протокол № 12 от 24.06.2019)</t>
  </si>
  <si>
    <t>379000.08.01</t>
  </si>
  <si>
    <t>Электроснабжение промыш. предпр. и городов: Уч.пос. / Г.Н.Ополева-М.:ИД ФОРУМ, НИЦ ИНФРА-М,2024.-416 с.(ВО)(П)</t>
  </si>
  <si>
    <t>ЭЛЕКТРОСНАБЖЕНИЕ ПРОМЫШЛЕННЫХ ПРЕДПРИЯТИЙ И ГОРОДОВ</t>
  </si>
  <si>
    <t>Ополева Г.Н.</t>
  </si>
  <si>
    <t>978-5-8199-0769-6</t>
  </si>
  <si>
    <t>742798.04.01</t>
  </si>
  <si>
    <t>Электроснабжение промыш. предпр. и установок: Уч.пос. / Ю.Д.Сибикин - 4 изд.-М.:Форум, НИЦ ИНФРА-М,2024.-367 с.(ВО)(П)</t>
  </si>
  <si>
    <t>ЭЛЕКТРОСНАБЖЕНИЕ ПРОМЫШЛЕННЫХ ПРЕДПРИЯТИЙ И УСТАНОВОК, ИЗД.4</t>
  </si>
  <si>
    <t>Сибикин Ю.Д., Сибикин М.Ю., Яшков В.А.</t>
  </si>
  <si>
    <t>978-5-00091-744-2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</si>
  <si>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13.03.00 «Электро- и теплоэнергетика» (квалификация (степень) «бакалавр») (протокол № 8 от 22.06.2020)</t>
  </si>
  <si>
    <t>290700.11.01</t>
  </si>
  <si>
    <t>Электроснабжение промыш. предпр..: Уч.пос. / Ю.Д.Сибикин - 3 изд.-М.:Форум, НИЦ ИНФРА-М,2024.-367с(П)</t>
  </si>
  <si>
    <t>ЭЛЕКТРОСНАБЖЕНИЕ ПРОМЫШЛЕННЫХ ПРЕДПРИЯТИЙ И УСТАНОВОК, ИЗД.3</t>
  </si>
  <si>
    <t>978-5-00091-612-4</t>
  </si>
  <si>
    <t>Рекомендовано Экспертным советом по профессиональному образованию Министерства образования и науки Российской Федерации в качестве учебного пособия</t>
  </si>
  <si>
    <t>664389.10.01</t>
  </si>
  <si>
    <t>Электроснабжение промышленных и гражд. зданий: Уч. / Ю.Д.Сибикин-5 изд.-М.:НИЦ ИНФРА-М,2024-405 с.(СПО)(П)</t>
  </si>
  <si>
    <t>ЭЛЕКТРОСНАБЖЕНИЕ ПРОМЫШЛЕННЫХ И ГРАЖДАНСКИХ ЗДАНИЙ, ИЗД.5</t>
  </si>
  <si>
    <t>978-5-16-013093-4</t>
  </si>
  <si>
    <t>08.01.29, 08.01.30, 08.01.31, 08.01.32, 08.02.09, 08.02.12, 10.02.04, 11.01.05, 11.02.13, 11.02.16, 12.02.01, 12.02.09, 13.01.03, 13.01.04, 13.01.05, 13.01.06, 13.01.07, 13.01.13, 13.01.14, 13.02.07, 13.02.09, 13.02.12, 13.02.13, 15.02.10, 18.01.03, 18.01.06, 18.01.08, 18.01.26, 18.01.27, 18.01.28, 19.01.09, 19.02.14, 21.01.03, 21.01.04, 21.01.10, 23.01.02, 23.01.06, 23.01.07, 23.01.08, 23.01.09, 23.01.10, 23.01.13, 23.01.14, 23.01.15, 23.01.17, 23.02.06, 24.01.04, 24.02.04, 25.02.03, 26.01.05, 26.02.04, 27.02.03, 27.02.04, 27.02.06, 27.02.07, 35.01.06, 35.01.15, 35.01.29, 55.02.01</t>
  </si>
  <si>
    <t>308200.03.01</t>
  </si>
  <si>
    <t>Электроснабжение сельского хоз-ва: Практ. / Г.И.Янукович - М.: ИНФРА-М,2025 - 516 с.(ВО)</t>
  </si>
  <si>
    <t>ЭЛЕКТРОСНАБЖЕНИЕ СЕЛЬСКОГО ХОЗЯЙСТВА</t>
  </si>
  <si>
    <t>Янукович Г.И., Протосовицкий И.В., Зеленькевич А.И.</t>
  </si>
  <si>
    <t>978-5-16-010297-9</t>
  </si>
  <si>
    <t>13.03.02, 35.03.06, 35.04.06</t>
  </si>
  <si>
    <t>814843.01.01</t>
  </si>
  <si>
    <t>Электроснабжение: Уч.пос. / Л.П.Костюченко, - 2 изд. - М.:НИЦ ИНФРА-М,2025. - 395 с. - (ВО (КрГАУ))(п)</t>
  </si>
  <si>
    <t>ЭЛЕКТРОСНАБЖЕНИЕ, ИЗД.2</t>
  </si>
  <si>
    <t>Костюченко Л.П., Чебодаев А.В.</t>
  </si>
  <si>
    <t>978-5-16-019763-0</t>
  </si>
  <si>
    <t>793339.04.01</t>
  </si>
  <si>
    <t>Электроснабжение: Уч.пос. / Ю.Д.Сибикин, - 2 изд. - М.:НИЦ ИНФРА-М,2025 - 328 с.(СПО)(п)</t>
  </si>
  <si>
    <t>978-5-16-018038-0</t>
  </si>
  <si>
    <t>08.02.09, 11.01.02, 11.01.05, 11.02.15, 13.01.03, 13.01.04, 13.01.05, 13.01.06, 13.01.07, 13.01.10, 13.02.07, 13.02.09, 13.02.12, 13.02.13, 21.01.15, 26.01.05, 26.02.04, 26.02.05, 26.02.06, 35.01.15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</si>
  <si>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электроэнергетическим специальностям (протокол № 4 от 13.04.2022)</t>
  </si>
  <si>
    <t>766524.04.01</t>
  </si>
  <si>
    <t>Электроснабжение: Уч.пос. / Ю.Д.Сибикин, - 2 изд. -М.:НИЦ ИНФРА-М,2023.-328 с.(ВО: Бакалавриат)(П )</t>
  </si>
  <si>
    <t>978-5-16-017612-3</t>
  </si>
  <si>
    <t>08.03.01, 08.05.01, 13.03.01, 13.03.02, 35.03.06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</si>
  <si>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энергетическим направлениям подготовки (квалификация (степень) «бакалавр») (протокол № 4 от 13.04.2022)</t>
  </si>
  <si>
    <t>711292.04.01</t>
  </si>
  <si>
    <t>Электротехника в примерах и задачах: Уч. / А.Е.Поляков - М.:Форум, НИЦ ИНФРА-М,2023 - 357 с.-(СПО)(П)</t>
  </si>
  <si>
    <t>ЭЛЕКТРОТЕХНИКА В ПРИМЕРАХ И ЗАДАЧАХ</t>
  </si>
  <si>
    <t>Поляков А.Е., Чесноков А.В.</t>
  </si>
  <si>
    <t>978-5-00091-701-5</t>
  </si>
  <si>
    <t>00.02.39, 13.02.07, 13.02.13, 19.02.14, 23.02.05</t>
  </si>
  <si>
    <t>287500.08.01</t>
  </si>
  <si>
    <t>Электротехника в примерах и задачах: Уч. / А.Е.Поляков - М.:Форум, НИЦ ИНФРА-М,2025 - 357 с.(ВО)(П)</t>
  </si>
  <si>
    <t>978-5-00091-508-0</t>
  </si>
  <si>
    <t>Рекомендовано УМО по образованию в области технологии и проектирования текстильных изделий в качестве учебника для студентов высших учебных заведений, обучающихся по направлениям подготовки 29.03.02 «Технология и проектирование текстильных изделий», 15.03.04 «Автоматизация технологических процессов и производств», 13.03.01 «Теплоэнергетика и теплотехника», 15.03.02 «Технологические машины и оборудование»</t>
  </si>
  <si>
    <t>667631.03.01</t>
  </si>
  <si>
    <t>Электротехника и электроника в электромех...: Уч.пос. / Б.С.Заварыкин-М.:НИЦ ИНФРА-М, СФУ,2023-303 с(П)</t>
  </si>
  <si>
    <t>ЭЛЕКТРОТЕХНИКА И ЭЛЕКТРОНИКА В ЭЛЕКТРОМЕХАНИЧЕСКИХ СИСТЕМАХ ГОРНОГО ПРОИЗВОДСТВА</t>
  </si>
  <si>
    <t>Заварыкин Б.С., Кручек О.А., Сайгина Т.А. и др.</t>
  </si>
  <si>
    <t>978-5-16-016087-0</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</si>
  <si>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обучающихся по направлению подготовки (специальности) «Горное дело», специализация «Электрификация и автоматизация горного производства», peг. № 51-16/413 от 13.03.2014</t>
  </si>
  <si>
    <t>739024.03.01</t>
  </si>
  <si>
    <t>Электротехника и электроника: лаб. прак.: Уч.пос. / Под ред. Полякова А.Е.-М.:НИЦ ИНФРА-М,2024.-378 с.(ВО)(П)</t>
  </si>
  <si>
    <t>ЭЛЕКТРОТЕХНИКА И ЭЛЕКТРОНИКА: ЛАБОРАТОРНЫЙ ПРАКТИКУМ</t>
  </si>
  <si>
    <t>Поляков А.Е., Иванов М.С., Рыжкова Е.А. и др.</t>
  </si>
  <si>
    <t>978-5-16-019359-5</t>
  </si>
  <si>
    <t>11.03.01, 11.03.03, 12.03.03, 12.03.04, 13.03.01, 13.03.03, 14.03.01, 15.03.01, 16.03.02, 17.03.01, 19.03.01, 19.03.02, 19.03.04, 21.05.04, 22.03.01, 24.03.05, 25.03.03, 26.03.02, 27.03.01, 27.03.04, 27.03.05, 29.03.02, 29.03.03, 35.03.02</t>
  </si>
  <si>
    <t>703090.06.01</t>
  </si>
  <si>
    <t>Электротехника и электроника: Уч. / М.В.Гальперин - 2 изд. - М.:Форум, НИЦ ИНФРА-М,2023 - 480 с.-(ВО)(П)</t>
  </si>
  <si>
    <t>ЭЛЕКТРОТЕХНИКА И ЭЛЕКТРОНИКА, ИЗД.2</t>
  </si>
  <si>
    <t>978-5-00091-779-4</t>
  </si>
  <si>
    <t>00.03.31, 11.03.01, 11.03.02, 11.03.03, 11.03.04, 11.05.01, 11.05.02, 11.05.04, 13.03.01, 13.03.02, 13.03.03, 13.05.01, 13.05.02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</si>
  <si>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11.03.00 «Электроника, радиотехника и системы связи», 12.03.00 «Фотоника, приборостроение, оптические и биотехнические системы и технологии» (квалификация (степень) «бакалавр»)</t>
  </si>
  <si>
    <t>078400.19.01</t>
  </si>
  <si>
    <t>Электротехника и электроника: Уч. / М.В.Гальперин - 2 изд. - М.:Форум, НИЦ ИНФРА-М,2025 - 480 с.(СПО)(П)</t>
  </si>
  <si>
    <t>978-5-00091-450-2</t>
  </si>
  <si>
    <t>00.02.39, 08.01.30, 08.02.12, 11.02.03, 13.02.07, 13.02.13, 15.02.18, 18.02.04, 19.01.09, 23.01.17, 23.02.05, 23.02.07</t>
  </si>
  <si>
    <t>230600.13.01</t>
  </si>
  <si>
    <t>Электротехника и электроника: Уч.: В 2 т.Т.1: Электротехника / А.Л.Марченко - М.:НИЦ ИНФРА-М,2025 - 574с.(ВО)</t>
  </si>
  <si>
    <t>ЭЛЕКТРОТЕХНИКА И ЭЛЕКТРОНИКА. В 2 ТОМАХ., Т.1</t>
  </si>
  <si>
    <t>Марченко А.Л., Опадчий Ю.Ф.</t>
  </si>
  <si>
    <t>978-5-16-009061-0</t>
  </si>
  <si>
    <t>11.03.04, 11.04.04, 13.03.02, 13.04.02</t>
  </si>
  <si>
    <t>Допущено Научно-методическим советом по электротехнике и электронике Министерства образования и науки Российской Федерации в качестве учебника для студентов высших учебных заведений, обучающихся по неэлектротехническим направлениям подготовки бакалавров и дипломированных специалистов</t>
  </si>
  <si>
    <t>667068.06.01</t>
  </si>
  <si>
    <t>Электротехника и электроника: Уч.: В 2 т.Т.2: Электроника / А.Л.Марченко-М.:НИЦ ИНФРА-М,2023-391с.(ВО)(П)</t>
  </si>
  <si>
    <t>ЭЛЕКТРОТЕХНИКА И ЭЛЕКТРОНИКА, Т.2</t>
  </si>
  <si>
    <t>978-5-16-014295-1</t>
  </si>
  <si>
    <t>13.03.03, 15.03.01, 19.03.01, 19.03.02, 19.03.04, 21.05.04, 22.03.01, 26.03.02, 27.03.01, 27.03.04, 27.03.05, 35.03.02</t>
  </si>
  <si>
    <t>Допущено Ученым советом Института информационных систем и технологий МАИ в качестве учебника для студентов высших учебных заведений, обучающихся по неэлектротехническим направлениям подготовки бакалавров и дипломированных специалистов</t>
  </si>
  <si>
    <t>837240.01.01</t>
  </si>
  <si>
    <t>Электротехника и электроника: Уч.пос. / А.Ф.Синяговский. - М.:НИЦ ИНФРА-М, СФУ,2025. - 491 с.(ВО)(п)</t>
  </si>
  <si>
    <t>ЭЛЕКТРОТЕХНИКА И ЭЛЕКТРОНИКА</t>
  </si>
  <si>
    <t>978-5-16-020176-4</t>
  </si>
  <si>
    <t>228100.09.01</t>
  </si>
  <si>
    <t>Электротехника и электроника: Уч.пос. / С.Н. Маркелов - М.:Форум:НИЦ ИНФРА-М,2025 - 267 с.(ВО)(П)</t>
  </si>
  <si>
    <t>Маркелов С.Н., Сазанов Б.Я.</t>
  </si>
  <si>
    <t>978-5-00091-620-9</t>
  </si>
  <si>
    <t>13.03.01, 13.03.02, 13.03.03, 23.03.03</t>
  </si>
  <si>
    <t>Допущено Министерством образования Российской Федерации в качестве учебного пособия для студентов учреждений высшего и среднего профессионального образования, обучающихся по группе специальностей «Энергетика», «Электротехника», «Электроснабжение», «Эксплуатация транспортного электрооборудования и автоматики»</t>
  </si>
  <si>
    <t>690182.05.01</t>
  </si>
  <si>
    <t>Электротехника и электроника: Уч.пос. / С.Н.Маркелов - М.:НИЦ ИНФРА-М,2024 - 267 с.-(СПО)(П)</t>
  </si>
  <si>
    <t>978-5-16-014453-5</t>
  </si>
  <si>
    <t>00.02.39, 13.02.02, 13.02.07, 13.02.13, 23.02.05</t>
  </si>
  <si>
    <t>Допущено Министерством образования и науки Российской Федерации в качестве учебного пособия для студентов учреждений высшего и среднего профессионального образования, обучающихся по группе специальностей «Энергетика», «Электротехника», «Электроснабжение», «Эксплуатация транспортного электрооборудования и автоматики»</t>
  </si>
  <si>
    <t>103150.23.01</t>
  </si>
  <si>
    <t>Электротехника с основами электроники: Уч.пос. /А.К. Славинский - М.: ИД ФОРУМ, НИЦ ИНФРА-М, 2025 - 448с.(ПО)</t>
  </si>
  <si>
    <t>ЭЛЕКТРОТЕХНИКА С ОСНОВАМИ ЭЛЕКТРОНИКИ</t>
  </si>
  <si>
    <t>Славинский А. К., Туревский И. С.</t>
  </si>
  <si>
    <t>978-5-8199-0360-5</t>
  </si>
  <si>
    <t>00.02.39, 08.02.01, 12.02.10, 15.01.05, 15.02.06, 15.02.09, 15.02.10, 15.02.18, 18.02.07, 18.02.09, 18.02.12, 18.02.13, 23.02.04, 26.02.04, 27.02.06, 27.02.07</t>
  </si>
  <si>
    <t>756359.05.01</t>
  </si>
  <si>
    <t>Электротехника: Уч.пос. / А.Л.Марченко - М.:НИЦ ИНФРА-М,2025. - 236 с.(ВО: Бакалавриат)(П)</t>
  </si>
  <si>
    <t>ЭЛЕКТРОТЕХНИКА</t>
  </si>
  <si>
    <t>978-5-16-017056-5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</si>
  <si>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4 от 13.04.2022)</t>
  </si>
  <si>
    <t>082460.12.01</t>
  </si>
  <si>
    <t>Электротехника: Уч.пос. / И.С.Рыбков - М.:ИЦ РИОР, НИЦ ИНФРА-М,2025 - 160 с.(ВО: Бакалавриат)(О)</t>
  </si>
  <si>
    <t>Рыбков И.С.</t>
  </si>
  <si>
    <t>978-5-369-00144-8</t>
  </si>
  <si>
    <t>097650.20.01</t>
  </si>
  <si>
    <t>Электротехнические измерения: Уч.пос. / П.К.Хромоин - 3изд..-М.:Форум, НИЦ ИНФРА-М,2024.-288 с.-(П)</t>
  </si>
  <si>
    <t>ЭЛЕКТРОТЕХНИЧЕСКИЕ ИЗМЕРЕНИЯ, ИЗД.3</t>
  </si>
  <si>
    <t>Хромоин П. К.</t>
  </si>
  <si>
    <t>978-5-00091-462-5</t>
  </si>
  <si>
    <t>08.02.09</t>
  </si>
  <si>
    <t>634146.09.01</t>
  </si>
  <si>
    <t>Электротехнические основы источников питания: Уч. / А.В.Ситников-М.:КУРС, НИЦ ИНФРА-М,2024-240с(СПО)</t>
  </si>
  <si>
    <t>ЭЛЕКТРОТЕХНИЧЕСКИЕ ОСНОВЫ ИСТОЧНИКОВ ПИТАНИЯ</t>
  </si>
  <si>
    <t>978-5-906818-76-8</t>
  </si>
  <si>
    <t>09.02.02, 11.02.15, 13.02.07</t>
  </si>
  <si>
    <t>Рекомендовано Экспертным советом при ГБОУ УМЦ ПО ДОгМ для использования в образовательном процессе профессиональных образовательных организаций города Москвы в качестве учебника для студентов среднего профессионального образования по специальности 09.02.02 «Компьютерные сети»</t>
  </si>
  <si>
    <t>669317.07.01</t>
  </si>
  <si>
    <t>Электротехнологические установки: Уч.пос. / А.В.Суворин - М.:НИЦ ИНФРА-М, СФУ,2025 - 376 с.(ВО)(п)</t>
  </si>
  <si>
    <t>ЭЛЕКТРОТЕХНОЛОГИЧЕСКИЕ УСТАНОВКИ</t>
  </si>
  <si>
    <t>978-5-16-020028-6</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</si>
  <si>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</si>
  <si>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453950.05.01</t>
  </si>
  <si>
    <t>Электрохимические процессы в технологии...:Уч.пос. / А.С.Гаврилов, - 2 изд.-М.:ИЦ РИОР, НИЦ ИНФРА-М,2023.-240 с.(П)</t>
  </si>
  <si>
    <t>ЭЛЕКТРОХИМИЧЕСКИЕ ПРОЦЕССЫ В ТЕХНОЛОГИИ МИКРО- И НАНОЭЛЕКТРОНИКИ, ИЗД.2</t>
  </si>
  <si>
    <t>Гаврилов А.С., Белов А.Н.</t>
  </si>
  <si>
    <t>978-5-369-01299-4</t>
  </si>
  <si>
    <t>11.03.03, 11.03.04, 11.04.04, 28.03.01, 28.03.02, 28.03.03, 28.04.01, 28.04.02, 28.04.03, 28.04.04</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</si>
  <si>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t>
  </si>
  <si>
    <t>712196.03.01</t>
  </si>
  <si>
    <t>Электроэнергетика: Уч.пос. / Ю.В.Шаров и др. - М.:Форум, НИЦ ИНФРА-М,2025 - 384 с.(СПО)(П)</t>
  </si>
  <si>
    <t>ЭЛЕКТРОЭНЕРГЕТИКА</t>
  </si>
  <si>
    <t>Шаров Ю.В., Хорольский В.Я., Таранов М.А. и др.</t>
  </si>
  <si>
    <t>978-5-00091-705-3</t>
  </si>
  <si>
    <t>13.02.07, 13.02.09, 13.02.12, 13.02.13, 14.02.01</t>
  </si>
  <si>
    <t>223100.10.01</t>
  </si>
  <si>
    <t>Электроэнергетика: Уч.пос./Ю.В.Шаров-М.:Форум,НИЦ ИНФРА-М,2023-384с.(ВО:Бакалавр.)(п)</t>
  </si>
  <si>
    <t>Шаров Ю. В., Хорольский В. Я., Таранов М. А., Шемякин В. Н.</t>
  </si>
  <si>
    <t>978-5-91134-782-6</t>
  </si>
  <si>
    <t>Рекомендовано федеральным государственным бюджетным образовательным учреждением высшего профессионального образования «Национальный исследовательский университет МЭИ» в качестве учебного пособия для студентов высших учебных заведений, обучающихся по</t>
  </si>
  <si>
    <t>695694.03.01</t>
  </si>
  <si>
    <t>Элементарная экономика: Монография / В.С.Соловьев-М.:НИЦ ИНФРА-М,2023.-424 с.(П)</t>
  </si>
  <si>
    <t>ЭЛЕМЕНТАРНАЯ ЭКОНОМИКА</t>
  </si>
  <si>
    <t>978-5-16-014571-6</t>
  </si>
  <si>
    <t>38.03.01, 38.03.02, 38.04.01, 38.04.02, 38.04.04</t>
  </si>
  <si>
    <t>316500.08.01</t>
  </si>
  <si>
    <t>Элементы квантовой механики и физики атомного ядра: Уч. пос./А.Г.Браун-2изд.-М.:НИЦ ИНФРА-М,2025.-84 с.(ВО)(О)</t>
  </si>
  <si>
    <t>ЭЛЕМЕНТЫ КВАНТОВОЙ МЕХАНИКИ И ФИЗИКИ АТОМНОГО ЯДРА, ИЗД.2</t>
  </si>
  <si>
    <t>А.Г.Браун, И.Г.Левитина</t>
  </si>
  <si>
    <t>978-5-16-010384-6</t>
  </si>
  <si>
    <t>466700.05.01</t>
  </si>
  <si>
    <t>Энергетическое использование древесной биомассы: Уч. / Под ред. Левина А.Б. - М.:НИЦ ИНФРА-М,2022-199 с.(ВО)(П)</t>
  </si>
  <si>
    <t>ЭНЕРГЕТИЧЕСКОЕ ИСПОЛЬЗОВАНИЕ ДРЕВЕСНОЙ БИОМАССЫ</t>
  </si>
  <si>
    <t>Левин А.Б., Малинин В.Г., Семенов Ю.П. и др.</t>
  </si>
  <si>
    <t>978-5-16-011408-8</t>
  </si>
  <si>
    <t>Рекомендовано УМО по образованию в области лесного дела в качестве учебника для студентов высших учебных заведений, обучающихся по направлениям подготовки бакалавриата 35.03.02 «Технология лесозаготовительных и деревоперерабатывающих производств» и магистратуры 35.04.02 «Технология лесозаготовительных и деревоперерабатывающих производств»</t>
  </si>
  <si>
    <t>135050.13.01</t>
  </si>
  <si>
    <t>Энергосберегающие технологии в промыш.: Уч.пос. / А.М.Афонин - 2изд.-М.:Форум, НИЦ ИНФРА-М,2024.-271с(П)</t>
  </si>
  <si>
    <t>ЭНЕРГОСБЕРЕГАЮЩИЕ ТЕХНОЛОГИИ В ПРОМЫШЛЕННОСТИ, ИЗД.2</t>
  </si>
  <si>
    <t>978-5-00091-443-4</t>
  </si>
  <si>
    <t>08.02.01, 13.02.07, 13.02.12, 13.02.13</t>
  </si>
  <si>
    <t>719250.07.01</t>
  </si>
  <si>
    <t>Энергосберегающие технологии в промыш.: Уч.пос. / А.М.Афонин- 2 изд.-М.:Форум, НИЦ ИНФРА-М,2025-271с(ВО)(п)</t>
  </si>
  <si>
    <t>978-5-00091-805-0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</si>
  <si>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13.03.00 «Электро- и теплоэнергетика» (квалификация (степень) «бакалавр») (протокол № 12 от 24.06.2019)</t>
  </si>
  <si>
    <t>123100.18.01</t>
  </si>
  <si>
    <t>Энергосбережение в жилищно-коммун. хоз.: Уч. / В.А.Комков - 2 изд. - М.:НИЦ ИНФРА-М,2025 - 204 с.(СПО)(П)</t>
  </si>
  <si>
    <t>ЭНЕРГОСБЕРЕЖЕНИЕ В ЖИЛИЩНО-КОММУНАЛЬНОМ ХОЗЯЙСТВЕ, ИЗД.2</t>
  </si>
  <si>
    <t>978-5-16-006849-7</t>
  </si>
  <si>
    <t>08.01.29, 08.01.31, 08.02.01, 08.02.02, 08.02.04, 08.02.08, 08.02.09, 08.02.13, 08.02.14</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</si>
  <si>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строительным специальностям</t>
  </si>
  <si>
    <t>175900.12.01</t>
  </si>
  <si>
    <t>Энергосбережение в сис.теплогазоснаб...: Уч.пос. / А.М.Протасевич - М.:ИНФРА-М;,2025 - 286 с.(ВО)(п)</t>
  </si>
  <si>
    <t>ЭНЕРГОСБЕРЕЖЕНИЕ В СИСТЕМАХ ТЕПЛОГАЗОСНАБЖЕНИЯ, ВЕНТИЛЯЦИИ И КОНДИЦИОНИРОВАНИЯ ВОЗДУХА</t>
  </si>
  <si>
    <t>Протасевич А.М.</t>
  </si>
  <si>
    <t>978-5-16-018991-8</t>
  </si>
  <si>
    <t>13.03.01, 13.04.01, 20.03.01, 20.04.01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</si>
  <si>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«Теплогазоснабжение, вентиляция и охрана воздушного бассейна»</t>
  </si>
  <si>
    <t>470500.04.01</t>
  </si>
  <si>
    <t>Энциклопедия рейтингов: экономика, общ.../А.М.Карминский-2 изд -М: ИД ФОРУМ,НИЦ ИНФРА-М,2018-448с(П)</t>
  </si>
  <si>
    <t>ЭНЦИКЛОПЕДИЯ РЕЙТИНГОВ: ЭКОНОМИКА, ОБЩЕСТВО, СПОРТ, ИЗД.2</t>
  </si>
  <si>
    <t>Карминский А.М., Полозов А.А.</t>
  </si>
  <si>
    <t>978-5-8199-0644-6</t>
  </si>
  <si>
    <t>38.03.01, 41.03.01, 41.03.06</t>
  </si>
  <si>
    <t>832125.01.01</t>
  </si>
  <si>
    <t>Эпидемиология и вакцинация: Уч.пос. / И.О.Стома - М.:НИЦ ИНФРА-М, ГомГМУ,2024. - 476 с.:цв.ил.-(ВО (ГомГМУ))(п)</t>
  </si>
  <si>
    <t>ЭПИДЕМИОЛОГИЯ И ВАКЦИНАЦИЯ</t>
  </si>
  <si>
    <t>Стома И.О.</t>
  </si>
  <si>
    <t>978-5-16-019998-6</t>
  </si>
  <si>
    <t>20.02.01, 31.05.01, 31.05.02, 32.02.01, 32.05.01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</si>
  <si>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«Лечебное дело», «Педиатрия», «Медико-профилактическое дело», «Медико-диагностическое дело»</t>
  </si>
  <si>
    <t>777705.02.01</t>
  </si>
  <si>
    <t>Эскизное проектир. и модерниз. судовых...: Уч.пос. Ч. I / ЧВВМУ им. П.С Нахимова-М.:НИЦ ИНФРА-М,2024-270с(П)</t>
  </si>
  <si>
    <t>ЭСКИЗНОЕ ПРОЕКТИРОВАНИЕ И МОДЕРНИЗАЦИЯ СУДОВЫХ ЭНЕРГЕТИЧЕСКИХ УСТАНОВОК. ЧАСТЬ I</t>
  </si>
  <si>
    <t>Кирюхин А.Л., Максимов С.В., Толстой С.И.</t>
  </si>
  <si>
    <t>978-5-16-017736-6</t>
  </si>
  <si>
    <t>26.02.04, 26.03.02</t>
  </si>
  <si>
    <t>828056.01.01</t>
  </si>
  <si>
    <t>Эскизное проектир. и модернизация судовых энергетич..: Уч.пос. Ч.2 / А.Л.Кирюхин - М.:НИЦ ИНФРА-М,2025 - 312 с.(п)</t>
  </si>
  <si>
    <t>ЭСКИЗНОЕ ПРОЕКТИРОВАНИЕ И МОДЕРНИЗАЦИЯ СУДОВЫХ ЭНЕРГЕТИЧЕСКИХ УСТАНОВОК. ЧАСТЬ 2</t>
  </si>
  <si>
    <t>Кирюхин А.Л., Максимов С.В., Толстой С.И. и др.</t>
  </si>
  <si>
    <t>978-5-16-020088-0</t>
  </si>
  <si>
    <t>26.03.02, 26.04.02, 26.05.01, 26.05.02</t>
  </si>
  <si>
    <t>702854.04.01</t>
  </si>
  <si>
    <t>Эскизное проектир. судовых энергетич. установок: Уч.пос. / В.В.Кузнецов - М.:НИЦ ИНФРА-М,2024 - 220с(П)</t>
  </si>
  <si>
    <t>ЭСКИЗНОЕ ПРОЕКТИРОВАНИЕ СУДОВЫХ ЭНЕРГЕТИЧЕСКИХ УСТАНОВОК</t>
  </si>
  <si>
    <t>Кузнецов В.В., Максимов С.В., Толстой С.И.</t>
  </si>
  <si>
    <t>978-5-16-014944-8</t>
  </si>
  <si>
    <t>26.02.02, 26.02.04, 26.05.02, 26.05.06</t>
  </si>
  <si>
    <t>Рекомендовано экспертным советом ЧВВМУ имени П.С. Нахимова в качестве учебного пособия к курсовому и дипломному проектированию по дисциплине «Эксплуатация судовых энергетических установок» для студентов, обучающихся по специальности 26.05.06 «Эксплуатация судовых энергетических установок»</t>
  </si>
  <si>
    <t>699335.02.01</t>
  </si>
  <si>
    <t>Эстетические парадоксы русской драмы: Уч.пос. / Т.С.Злотникова-М.:НИЦ ИНФРА-М,2024.-289 с.(ВО)(П)</t>
  </si>
  <si>
    <t>ЭСТЕТИЧЕСКИЕ ПАРАДОКСЫ РУССКОЙ ДРАМЫ</t>
  </si>
  <si>
    <t>978-5-16-018797-6</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</si>
  <si>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51.03.01 «Культурология», 52.03.05 «Театроведение», 52.03.06 «Драматургия» (квалификация (степень) «бакалавр»)</t>
  </si>
  <si>
    <t>223300.11.01</t>
  </si>
  <si>
    <t>Этика делового общения: Уч.пос. / И.С.Иванова, - 3 изд., - М.:НИЦ ИНФРА-М,2025 - 168 с.(ВО: Бакалавр.)(О)</t>
  </si>
  <si>
    <t>ЭТИКА ДЕЛОВОГО ОБЩЕНИЯ, ИЗД.3</t>
  </si>
  <si>
    <t>Иванова И. С.</t>
  </si>
  <si>
    <t>978-5-16-008998-0</t>
  </si>
  <si>
    <t>38.03.01, 38.03.02, 38.03.03, 38.03.04, 38.03.05, 38.03.06, 38.03.07, 38.04.01, 38.04.02, 38.04.03, 38.04.04, 38.04.05, 38.04.06, 38.04.07, 38.04.08, 38.04.09, 38.05.01, 38.05.02, 39.03.01, 39.03.02, 39.03.03, 39.04.01, 39.04.02, 39.04.03, 40.03.01, 40.04.01, 40.05.01, 40.05.02, 40.05.03, 41.03.01, 41.03.02, 41.03.03, 41.03.04, 41.03.05, 41.03.06, 41.04.01, 41.04.02, 41.04.03, 41.04.04, 41.04.05, 42.03.01, 42.03.02, 42.03.03, 42.03.04, 42.03.05, 42.04.01, 42.04.02, 42.04.03, 42.04.04, 42.04.05, 43.03.01, 43.03.02, 43.03.03, 43.04.01, 43.04.02, 43.04.03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</si>
  <si>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</si>
  <si>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037200.21.01</t>
  </si>
  <si>
    <t>Этика деловых отношений: Уч. / Под ред. Кибанова А.Я. - 2 изд. - М.:НИЦ ИНФРА-М,2023 - 383 с.(ВО)(П)</t>
  </si>
  <si>
    <t>ЭТИКА ДЕЛОВЫХ ОТНОШЕНИЙ, ИЗД.2</t>
  </si>
  <si>
    <t>Кибанов А. Я., Захаров Д. К., Коновалова В. Г., Кибанов А. Я.</t>
  </si>
  <si>
    <t>978-5-16-006723-0</t>
  </si>
  <si>
    <t>38.03.01, 38.03.02, 38.03.03, 38.04.02, 38.04.03</t>
  </si>
  <si>
    <t>Рекомендовано Мин. обр. и науки РФ в качестве учебника для студентов высших учебных заведений, обучающихся по специальностям  "Управление персоналом"</t>
  </si>
  <si>
    <t>072730.15.01</t>
  </si>
  <si>
    <t>Этика деловых отношений: Уч. / Ю.Ю.Петрунин и др., - 2 изд. - М.:НИЦ ИНФРА-М,2025. - 161 с.(СПО)(п)</t>
  </si>
  <si>
    <t>Петрунин Ю.Ю., Борисов В.К., Панина Е.М. и др.</t>
  </si>
  <si>
    <t>978-5-16-017800-4</t>
  </si>
  <si>
    <t>38.02.02, 38.02.08, 39.02.03, 40.02.02, 42.02.01, 42.02.02, 43.02.01, 43.02.02, 43.02.06, 43.02.11, 43.02.16, 46.02.01, 51.02.02, 51.02.03</t>
  </si>
  <si>
    <t>072730.13.01</t>
  </si>
  <si>
    <t>Этика деловых отношений:Уч. / В.К.Борисов и др.-М.:ИД ФОРУМ, НИЦ ИНФРА-М,2020.-176 с..-(СПО)(о)</t>
  </si>
  <si>
    <t>ЭТИКА ДЕЛОВЫХ ОТНОШЕНИЙ</t>
  </si>
  <si>
    <t>Борисов В.К., Панина Е.М., Панов М.И. и др.</t>
  </si>
  <si>
    <t>978-5-8199-0844-0</t>
  </si>
  <si>
    <t>Рекомендовано Учебно-методическим советом СПО в качестве учебника для студентов учебных заведений, реализующих основную программу среднего профессионального образования на базе основного общего образования</t>
  </si>
  <si>
    <t>669446.03.01</t>
  </si>
  <si>
    <t>Этика ответственности: Уч.пос. / В.А.Канке - 2 изд. - М.:НИЦ ИНФРА-М,2024 - 291 с.(ВО: Бакалавр.)(П)</t>
  </si>
  <si>
    <t>ЭТИКА ОТВЕТСТВЕННОСТИ, ИЗД.2</t>
  </si>
  <si>
    <t>978-5-16-013392-8</t>
  </si>
  <si>
    <t>47.03.01, 47.03.02, 47.03.03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</si>
  <si>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47.03.00 «Философия, этика и религиоведение» (квалификация (степень) «бакалавр») (протокол № 17 от 11.11.2019)</t>
  </si>
  <si>
    <t>044104.11.01</t>
  </si>
  <si>
    <t>Этика: Уч. / А.В.Разин, - 4 изд.-М.:НИЦ ИНФРА-М,2024.-415 с.(ВО)(п)</t>
  </si>
  <si>
    <t>ЭТИКА, ИЗД.4</t>
  </si>
  <si>
    <t>Разин А.В.</t>
  </si>
  <si>
    <t>978-5-16-019351-9</t>
  </si>
  <si>
    <t>44.03.05, 47.03.01, 47.03.02, 47.03.03</t>
  </si>
  <si>
    <t>Рекомендовано Отделением по философии, политологии и религиоведению УМО по классическому университетскому образованию в качестве учебного пособия для студентов философских специальностей</t>
  </si>
  <si>
    <t>450350.06.01</t>
  </si>
  <si>
    <t>Этика: Уч. пос. / П.А. Егоров, В.Н. Руднев - М.:НИЦ ИНФРА-М, 2023 - 158 с. (ВО: Бакалавриат) (п)</t>
  </si>
  <si>
    <t>ЭТИКА</t>
  </si>
  <si>
    <t>Егоров П. А., Руднев В. Н.</t>
  </si>
  <si>
    <t>978-5-16-009132-7</t>
  </si>
  <si>
    <t>07.03.03, 21.05.04, 37.05.01, 44.03.05, 47.03.01, 47.04.01, 47.04.02, 51.03.01, 51.03.04</t>
  </si>
  <si>
    <t>634882.06.01</t>
  </si>
  <si>
    <t>Этика: Уч.пос. / А.М.Руденко - М.:ИЦ РИОР, НИЦ ИНФРА-М,2024 - 228 с.(ВО: Бакалавриат)(П)</t>
  </si>
  <si>
    <t>Руденко А.М., Котлярова В.В., Шубина М.М. и др.</t>
  </si>
  <si>
    <t>978-5-369-01642-8</t>
  </si>
  <si>
    <t>07.03.03, 37.03.01, 40.03.01, 44.03.05, 47.03.01, 47.03.02, 47.04.02, 51.03.01, 51.03.04</t>
  </si>
  <si>
    <t>Рекомендовано в качестве учебного пособия для студентов высших учебных заведений, обучающихся по гуманитарным направлениям подготовки</t>
  </si>
  <si>
    <t>736062.01.01</t>
  </si>
  <si>
    <t>Этика: Уч.пос. / П.А.Егоров - М.:НИЦ ИНФРА-М,2020 - 158 с.-(СПО)(П)</t>
  </si>
  <si>
    <t>Егоров П.А., Руднев В.Н.</t>
  </si>
  <si>
    <t>978-5-16-016206-5</t>
  </si>
  <si>
    <t>00.02.33, 34.02.01, 38.02.08, 39.02.03, 43.02.02, 43.02.11, 44.02.01, 44.02.02, 44.02.03, 46.02.01, 51.02.02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</si>
  <si>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19 от 09.12.2019)</t>
  </si>
  <si>
    <t>708231.03.01</t>
  </si>
  <si>
    <t>Этиология, патогенез и лечение рецидивных...: Уч.пос. / В.И.Белоконев - М.:НИЦ ИНФРА-М,2022 - 135 с.(П)</t>
  </si>
  <si>
    <t>ЭТИОЛОГИЯ, ПАТОГЕНЕЗ И ЛЕЧЕНИЕ РЕЦИДИВНЫХ ПОСЛЕОПЕРАЦИОННЫХ ВЕНТРАЛЬНЫХ ГРЫЖ</t>
  </si>
  <si>
    <t>978-5-16-015824-2</t>
  </si>
  <si>
    <t>651621.10.01</t>
  </si>
  <si>
    <t>Этническая психология: Уч. / Под ред. Ермакова П.Н. - М.:НИЦ ИНФРА-М,2024-317 с.-(ВО)(п)</t>
  </si>
  <si>
    <t>ЭТНИЧЕСКАЯ ПСИХОЛОГИЯ</t>
  </si>
  <si>
    <t>Ермаков П.Н., Пищик В.И.</t>
  </si>
  <si>
    <t>978-5-16-019448-6</t>
  </si>
  <si>
    <t>Допущено Советом по психологии УМО по классическому университетскому образованию в качестве практико-ориентированного учебника для преподавателей вузов, для студентов (бакалавров, специалистов и магистров) высших учебных заведений, обучающихся по направлениям подготовки ВО 37.03.01 «Психология» (квалификация (степень) «бакалавр»), 37.04.01 «Психология» (квалификация (степень) «магистр»), 37.03.02 «Конфликтология» (квалификация (степень) «бакалавр»)</t>
  </si>
  <si>
    <t>699499.02.01</t>
  </si>
  <si>
    <t>Этнический образ мира: "свои" и "другие": Уч.пос. / В.Ю.Хотинец - М.:НИЦ ИНФРА-М,2022-207 с.(ВО: Бак.)(П)</t>
  </si>
  <si>
    <t>ЭТНИЧЕСКИЙ ОБРАЗ МИРА: "СВОИ" И "ДРУГИЕ"</t>
  </si>
  <si>
    <t>Хотинец В.Ю., Молчанова Е.А.</t>
  </si>
  <si>
    <t>978-5-16-016736-7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</si>
  <si>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10 от 15.12.2021)</t>
  </si>
  <si>
    <t>733608.01.01</t>
  </si>
  <si>
    <t>Этнокультурное развитие детей...: Уч.пос. / С.Н.Федорова - М.:Форум, НИЦ ИНФРА-М,2020 - 176 с.(П)</t>
  </si>
  <si>
    <t>ЭТНОКУЛЬТУРНОЕ РАЗВИТИЕ ДЕТЕЙ. ПСИХОЛОГО-ПЕДАГОГИЧЕСКОЕ СОПРОВОЖДЕНИЕ</t>
  </si>
  <si>
    <t>Федорова С.Н.</t>
  </si>
  <si>
    <t>978-5-00091-727-5</t>
  </si>
  <si>
    <t>44.02.01, 44.02.02, 44.02.03, 44.02.05, 44.02.06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</si>
  <si>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17 от 11.11.2019)</t>
  </si>
  <si>
    <t>153050.10.01</t>
  </si>
  <si>
    <t>Этнокультурное развитие детей: Псих.-педагог. сопровожд.: Уч. пос. / С.Н.Федорова - М.: Форум,2025 - 176 с. (о)</t>
  </si>
  <si>
    <t>Федорова С. Н.</t>
  </si>
  <si>
    <t>978-5-91134-533-4</t>
  </si>
  <si>
    <t>44.03.01, 44.03.02, 44.03.05, 44.04.01</t>
  </si>
  <si>
    <t>697533.07.01</t>
  </si>
  <si>
    <t>Этнология: Уч.пос. / А.П.Садохин - 4 изд. - М.:ИЦ РИОР, НИЦ ИНФРА-М,2022-331 с.-(ВО: Бакалавриат)(П)</t>
  </si>
  <si>
    <t>ЭТНОЛОГИЯ, ИЗД.4</t>
  </si>
  <si>
    <t>Садохин А.П., Грушевицкая Т.Г.</t>
  </si>
  <si>
    <t>978-5-369-01800-2</t>
  </si>
  <si>
    <t>44.03.01, 44.03.05, 46.03.01, 51.03.02, 51.03.04, 51.03.05</t>
  </si>
  <si>
    <t>764167.03.01</t>
  </si>
  <si>
    <t>Эффективные деловые переговоры: Уч.пос. / Л.И.Заволокина-М.:НИЦ ИНФРА-М,2024.-148с.(ВО: Магистр.)(П)</t>
  </si>
  <si>
    <t>ЭФФЕКТИВНЫЕ ДЕЛОВЫЕ ПЕРЕГОВОРЫ</t>
  </si>
  <si>
    <t>Заволокина Л.И.</t>
  </si>
  <si>
    <t>978-5-16-017208-8</t>
  </si>
  <si>
    <t>38.04.01, 38.04.02, 38.04.04, 38.04.06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</si>
  <si>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6 от 08.06.2022)</t>
  </si>
  <si>
    <t>433750.06.01</t>
  </si>
  <si>
    <t>Эффективный аутсорсинг. Уч.пос. / Н.П.Родинова - 2 изд.-М.:ИЦ РИОР, НИЦ ИНФРА-М,2024.-126 с.(ВО)(О)</t>
  </si>
  <si>
    <t>ЭФФЕКТИВНЫЙ АУТСОРСИНГ, ИЗД.2</t>
  </si>
  <si>
    <t>Родинова Н.П., Березняковский В.С., Остроухов В.М. и др.</t>
  </si>
  <si>
    <t>978-5-369-01855-2</t>
  </si>
  <si>
    <t>38.03.01, 38.03.02, 38.03.03, 38.04.01, 38.04.02, 38.04.03, 38.06.01</t>
  </si>
  <si>
    <t>660681.07.01</t>
  </si>
  <si>
    <t>Эффективный менеджмент организации: Уч.пос. / А.П.Егоршин - М.:НИЦ ИНФРА-М,2023 - 388 с.(ВО)(П)</t>
  </si>
  <si>
    <t>ЭФФЕКТИВНЫЙ МЕНЕДЖМЕНТ ОРГАНИЗАЦИИ</t>
  </si>
  <si>
    <t>978-5-16-013498-7</t>
  </si>
  <si>
    <t>Рекомендовано Министерством образования и науки Российской Федерации в качестве учебного пособия для системы повышения квалификации и переподготовки кадров. Рекомендовано в качестве учебного пособия для студентов высших учебных заведений, обучающихся по направлениям подготовки 38.04.02 «Менеджмент», 38.04.03 «Управление персоналом», 38.04.01 «Экономика» (квалификация (степень) «магистр»)</t>
  </si>
  <si>
    <t>645470.05.01</t>
  </si>
  <si>
    <t>Юридическая диалогика: Уч.пос. / Н.А.Абрамова - М.:Юр.Норма, НИЦ ИНФРА-М,2024 - 192 с.(П)</t>
  </si>
  <si>
    <t>ЮРИДИЧЕСКАЯ ДИАЛОГИКА</t>
  </si>
  <si>
    <t>Абрамова Н.А.</t>
  </si>
  <si>
    <t>978-5-91768-782-7</t>
  </si>
  <si>
    <t>775243.02.01</t>
  </si>
  <si>
    <t>Юридическая конфликтология: теория и ..: Уч.пос. / Марченко М.Н. - М.:Юр.Норма, НИЦ ИНФРА-М,2024-296 с.(П)</t>
  </si>
  <si>
    <t>ЮРИДИЧЕСКАЯ КОНФЛИКТОЛОГИЯ: ТЕОРИЯ И МЕТОДОЛОГИЯ ИССЛЕДОВАНИЯ</t>
  </si>
  <si>
    <t>Марченко М.Н., Куксин И.Н., Дерябина Е.М. и др.</t>
  </si>
  <si>
    <t>978-5-00156-231-3</t>
  </si>
  <si>
    <t>37.03.02, 40.03.01, 40.04.01, 40.05.01, 40.05.02, 40.05.03, 40.05.04</t>
  </si>
  <si>
    <t>356800.11.01</t>
  </si>
  <si>
    <t>Юридическая конфликтология: Уч.пос. / М.Ш.Гунибский - М.:Юр.Норма, НИЦ ИНФРА-М,2024.-176 с.(о)</t>
  </si>
  <si>
    <t>ЮРИДИЧЕСКАЯ КОНФЛИКТОЛОГИЯ</t>
  </si>
  <si>
    <t>Гунибский М.Ш.</t>
  </si>
  <si>
    <t>978-5-91768-613-4</t>
  </si>
  <si>
    <t>37.03.02, 38.03.03, 40.03.01, 40.04.01, 40.05.01, 40.05.02, 40.05.03, 40.05.04, 44.03.05</t>
  </si>
  <si>
    <t>088650.14.01</t>
  </si>
  <si>
    <t>Юридическая педагогика: Уч. /К.М.Левитан - 2 изд. -М.:Юр.Норма,НИЦ ИНФРА-М,2024-416с.(П)</t>
  </si>
  <si>
    <t>ЮРИДИЧЕСКАЯ ПЕДАГОГИКА, ИЗД.2</t>
  </si>
  <si>
    <t>Левитан К. М.</t>
  </si>
  <si>
    <t>978-5-91768-623-3</t>
  </si>
  <si>
    <t>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образования "Уральский государственный юридический университет" в качестве учебника для студентов вузов, обучающихся по направлению "Юриспруденция"</t>
  </si>
  <si>
    <t>059800.17.01</t>
  </si>
  <si>
    <t>Юридическая психология....: Уч. /М.И.Еникеев - 2 изд., - М.:Юр.Норма, НИЦ ИНФРА-М,2025. - 640 с.(П)</t>
  </si>
  <si>
    <t>ЮРИДИЧЕСКАЯ ПСИХОЛОГИЯ. С ОСНОВАМИ ОБЩЕЙ И СОЦИАЛЬНОЙ ПСИХОЛОГИИ, ИЗД.2</t>
  </si>
  <si>
    <t>978-5-91768-251-8</t>
  </si>
  <si>
    <t>031750.13.01</t>
  </si>
  <si>
    <t>Юридическая психология: Краткий учебный курс / М.И. Еникеев. - М.: НОРМА: ИНФРА-М, 2024. - 256 с. (о)</t>
  </si>
  <si>
    <t>ЮРИДИЧЕСКАЯ ПСИХОЛОГИЯ</t>
  </si>
  <si>
    <t>978-5-89123-550-2</t>
  </si>
  <si>
    <t>40.02.02, 40.03.01, 40.04.01, 44.03.05</t>
  </si>
  <si>
    <t>017945.22.01</t>
  </si>
  <si>
    <t>Юридическая психология: Уч. / М.И.Еникеев - М.:Юр. НОРМА, НИЦ ИНФРА-М,2025 - 512 с.(п)</t>
  </si>
  <si>
    <t>978-5-91768-387-4</t>
  </si>
  <si>
    <t>37.03.01, 37.05.01, 37.05.02, 40.03.01, 40.04.01, 44.03.02, 44.03.05, 44.05.01</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</si>
  <si>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t>
  </si>
  <si>
    <t>148950.10.01</t>
  </si>
  <si>
    <t>Юридическая психология: Уч. пос. / Е.Ю. Николаева, М.Ю. Плетнев. - М.: ИЦ РИОР, 2023-94с. (о) к/ф</t>
  </si>
  <si>
    <t>Николаева Е. Ю., Плетнев М. Ю.</t>
  </si>
  <si>
    <t>978-5-369-00621-4</t>
  </si>
  <si>
    <t>Консалтинговая фирма "Verona-Ltd"</t>
  </si>
  <si>
    <t>176650.08.01</t>
  </si>
  <si>
    <t>Юридическая психология: Уч. пос. / И.В. Хамидова. - М.: ИЦ РИОР: НИЦ Инфра-М, 2025 - 176 с. (ВО) (п)</t>
  </si>
  <si>
    <t>Хамидова И. В.</t>
  </si>
  <si>
    <t>978-5-369-01043-3</t>
  </si>
  <si>
    <t>Московский университет Министерства внутренних дел Российской Федерации им. В.Я. Кикотя,  Московский областной ф-л</t>
  </si>
  <si>
    <t>648909.09.01</t>
  </si>
  <si>
    <t>Юридическая психология: Уч. пос. / Т.В.Мальцева - М.:ИЦ РИОР, НИЦ ИНФРА-М,2024. - 147 с.-(ВО)(о)</t>
  </si>
  <si>
    <t>978-5-369-01679-4</t>
  </si>
  <si>
    <t>633579.06.01</t>
  </si>
  <si>
    <t>Юридическая психология: Уч.пос. / А.М.Шевченко - М.:ИЦ РИОР,НИЦ ИНФРА-М,2025 - 270 с.(ВО:Бакалавр.)(П)</t>
  </si>
  <si>
    <t>Шевченко А.М., Самыгин С.И.</t>
  </si>
  <si>
    <t>978-5-369-01581-0</t>
  </si>
  <si>
    <t>294400.13.01</t>
  </si>
  <si>
    <t>Юридическая риторика: Уч. / Л.А.Брусенская и др. - М.:Юр.Норма, НИЦ ИНФРА-М,2024 - 288 с.(П)</t>
  </si>
  <si>
    <t>ЮРИДИЧЕСКАЯ РИТОРИКА</t>
  </si>
  <si>
    <t>978-5-91768-605-9</t>
  </si>
  <si>
    <t>019399.25.01</t>
  </si>
  <si>
    <t>Юридическая этика: Уч. / П.А.Кобликов - 3 изд.- М.:Юр.Норма, НИЦ ИНФРА-М,2025 - 176 с.(О)</t>
  </si>
  <si>
    <t>ЮРИДИЧЕСКАЯ ЭТИКА, ИЗД.3</t>
  </si>
  <si>
    <t>Кобликов П.А.</t>
  </si>
  <si>
    <t>978-5-91768-261-7</t>
  </si>
  <si>
    <t>106200.10.01</t>
  </si>
  <si>
    <t>Юристу о нормах правописания: Практ.пос. / Н.Н.Ивакина - М.: Юр.Норма, НИЦ ИНФРА-М,2025 - 288 с.(П)</t>
  </si>
  <si>
    <t>ЮРИСТУ О НОРМАХ ПРАВОПИСАНИЯ</t>
  </si>
  <si>
    <t>978-5-91768-357-7</t>
  </si>
  <si>
    <t>634734.10.01</t>
  </si>
  <si>
    <t>Язык деловых межкультурных коммун.: Уч. / Под ред. Черкашиной Т.Т. -М.:НИЦ ИНФРА-М,2024-368с.(ВО)(п)</t>
  </si>
  <si>
    <t>ЯЗЫК ДЕЛОВЫХ МЕЖКУЛЬТУРНЫХ КОММУНИКАЦИЙ</t>
  </si>
  <si>
    <t>Черкашина Т.Т.</t>
  </si>
  <si>
    <t>978-5-16-019207-9</t>
  </si>
  <si>
    <t>37.03.01, 38.03.01, 38.03.02, 38.03.03, 38.04.01, 38.04.02, 38.04.03, 41.03.04, 41.03.06, 41.04.04, 42.03.01, 42.03.02, 42.04.01, 42.04.02, 44.03.05, 45.03.01, 45.05.01, 51.03.01, 51.03.02</t>
  </si>
  <si>
    <t>Рекомендовано в качестве учебника для студентов высших учебных заведений, обучающихся по направлениям подготовки 38.03.01 «Экономика», 38.03.02 «Менеджмент», 38.03.03 «Управление персоналом», 42.03.01 «Реклама и связи с общественностью»  (квалификация (степень) «бакалавр»)</t>
  </si>
  <si>
    <t>684156.05.01</t>
  </si>
  <si>
    <t>Язык и среда программирования R: Уч.пос. / А.В.Золотарюк - М.:НИЦ ИНФРА-М,2023 - 162 с.(ВО)(О)</t>
  </si>
  <si>
    <t>ЯЗЫК И СРЕДА ПРОГРАММИРОВАНИЯ R</t>
  </si>
  <si>
    <t>Золотарюк А.В.</t>
  </si>
  <si>
    <t>978-5-16-018723-5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</si>
  <si>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09.03.03 «Прикладная информатика», 38.03.01 «Экономика», 38.03.02 «Менеджмент» (квалификация (степень) «бакалавр»)</t>
  </si>
  <si>
    <t>681551.08.01</t>
  </si>
  <si>
    <t>Язык программирования Python: прак.: Уч.пос. / Р.А.Жуков - М.:НИЦ ИНФРА-М,2024 - 216 с.(ВО)(П)</t>
  </si>
  <si>
    <t>ЯЗЫК ПРОГРАММИРОВАНИЯ PYTHON: ПРАКТИКУМ</t>
  </si>
  <si>
    <t>Жуков Р.А.</t>
  </si>
  <si>
    <t>978-5-16-018516-3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</si>
  <si>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 (протокол № 6 от 25.03.2019)</t>
  </si>
  <si>
    <t>719488.08.01</t>
  </si>
  <si>
    <t>Язык программирования Python: практикум: Уч.пос. / Р.А.Жуков - М.:НИЦ ИНФРА-М,2024-216 с.-(СПО)(П)</t>
  </si>
  <si>
    <t>ЯЗЫК ПРОГРАММИРОВАНИЯ PYTHON. ПРАКТИКУМ</t>
  </si>
  <si>
    <t>978-5-16-015638-5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</si>
  <si>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12 от 24.06.2019)</t>
  </si>
  <si>
    <t>279800.09.01</t>
  </si>
  <si>
    <t>Язык Си: кратко и ясно: Уч.пос. / Д.В.Парфенов - М.:НИЦ ИНФРА-М,2024 - 320 с.(ВО)(п)</t>
  </si>
  <si>
    <t>ЯЗЫК СИ: КРАТКО И ЯСНО</t>
  </si>
  <si>
    <t>Парфенов Д. В.</t>
  </si>
  <si>
    <t>978-5-16-019382-3</t>
  </si>
  <si>
    <t>01.03.02, 02.03.02, 03.03.02, 09.03.01, 09.03.02, 09.03.03, 09.03.04</t>
  </si>
  <si>
    <t>Допущено УМО по классическому образованию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</si>
  <si>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088400.15.01</t>
  </si>
  <si>
    <t>Языки программирования: Уч.пос. / О.Л.Голицына и др., - 3 изд. - М:Форум, НИЦ ИНФРА-М,2025. - 399 с.(СПО)(П)</t>
  </si>
  <si>
    <t>ЯЗЫКИ ПРОГРАММИРОВАНИЯ, ИЗД.3</t>
  </si>
  <si>
    <t>978-5-00091-613-1</t>
  </si>
  <si>
    <t>09.02.03</t>
  </si>
</sst>
</file>

<file path=xl/styles.xml><?xml version="1.0" encoding="utf-8"?>
<styleSheet xmlns="http://schemas.openxmlformats.org/spreadsheetml/2006/main">
  <numFmts count="1">
    <numFmt numFmtId="164" formatCode="[=0]&quot;&quot;;General"/>
  </numFmts>
  <fonts count="10">
    <font>
      <sz val="8"/>
      <name val="Arial"/>
    </font>
    <font>
      <b/>
      <sz val="11"/>
      <color rgb="FF000000"/>
      <name val="Calibri"/>
      <charset val="204"/>
    </font>
    <font>
      <b/>
      <sz val="16"/>
      <color rgb="FF000000"/>
      <name val="Calibri"/>
      <charset val="204"/>
    </font>
    <font>
      <b/>
      <u/>
      <sz val="11"/>
      <color rgb="FF000000"/>
      <name val="Calibri"/>
      <charset val="204"/>
    </font>
    <font>
      <sz val="11"/>
      <color rgb="FF000000"/>
      <name val="Calibri"/>
      <charset val="204"/>
    </font>
    <font>
      <u/>
      <sz val="11"/>
      <color rgb="FF0000FF"/>
      <name val="Calibri"/>
      <charset val="204"/>
    </font>
    <font>
      <sz val="8"/>
      <color rgb="FF000000"/>
      <name val="Arial"/>
      <charset val="204"/>
    </font>
    <font>
      <b/>
      <sz val="8"/>
      <color rgb="FF000000"/>
      <name val="Arial"/>
      <charset val="204"/>
    </font>
    <font>
      <u/>
      <sz val="8"/>
      <color rgb="FF0000FF"/>
      <name val="Calibri"/>
      <charset val="204"/>
    </font>
    <font>
      <u/>
      <sz val="8"/>
      <color theme="10"/>
      <name val="Arial"/>
    </font>
  </fonts>
  <fills count="3">
    <fill>
      <patternFill patternType="none"/>
    </fill>
    <fill>
      <patternFill patternType="gray125"/>
    </fill>
    <fill>
      <patternFill patternType="solid">
        <fgColor rgb="FFFAFAD2"/>
        <bgColor auto="1"/>
      </patternFill>
    </fill>
  </fills>
  <borders count="5">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hair">
        <color rgb="FF000000"/>
      </left>
      <right style="hair">
        <color rgb="FF000000"/>
      </right>
      <top style="hair">
        <color rgb="FF000000"/>
      </top>
      <bottom style="hair">
        <color rgb="FF000000"/>
      </bottom>
      <diagonal/>
    </border>
  </borders>
  <cellStyleXfs count="2">
    <xf numFmtId="0" fontId="0" fillId="0" borderId="0"/>
    <xf numFmtId="0" fontId="9" fillId="0" borderId="0" applyNumberFormat="0" applyFill="0" applyBorder="0" applyAlignment="0" applyProtection="0">
      <alignment vertical="top"/>
      <protection locked="0"/>
    </xf>
  </cellStyleXfs>
  <cellXfs count="25">
    <xf numFmtId="0" fontId="0" fillId="0" borderId="0" xfId="0"/>
    <xf numFmtId="0" fontId="0" fillId="0" borderId="0" xfId="0" applyAlignment="1">
      <alignment horizontal="left" wrapText="1"/>
    </xf>
    <xf numFmtId="0" fontId="6" fillId="0" borderId="0" xfId="0" applyFont="1" applyAlignment="1">
      <alignment horizontal="center" vertical="center" wrapText="1"/>
    </xf>
    <xf numFmtId="0" fontId="6" fillId="0" borderId="3" xfId="0" applyFont="1" applyBorder="1" applyAlignment="1">
      <alignment horizontal="center" vertical="center" wrapText="1"/>
    </xf>
    <xf numFmtId="0" fontId="6" fillId="0" borderId="0" xfId="0" applyFont="1" applyAlignment="1">
      <alignment horizontal="left" vertical="center" wrapText="1"/>
    </xf>
    <xf numFmtId="164" fontId="6" fillId="0" borderId="4" xfId="0" applyNumberFormat="1" applyFont="1" applyBorder="1" applyAlignment="1">
      <alignment horizontal="right" vertical="center" wrapText="1"/>
    </xf>
    <xf numFmtId="0" fontId="6" fillId="0" borderId="4" xfId="0" applyFont="1" applyBorder="1" applyAlignment="1">
      <alignment horizontal="center" vertical="center" wrapText="1"/>
    </xf>
    <xf numFmtId="2" fontId="7" fillId="0" borderId="4" xfId="0" applyNumberFormat="1" applyFont="1" applyBorder="1" applyAlignment="1">
      <alignment horizontal="right" vertical="center" wrapText="1"/>
    </xf>
    <xf numFmtId="0" fontId="6" fillId="0" borderId="4" xfId="0" applyFont="1" applyBorder="1" applyAlignment="1">
      <alignment horizontal="left" vertical="center" wrapText="1"/>
    </xf>
    <xf numFmtId="1" fontId="6" fillId="0" borderId="4" xfId="0" applyNumberFormat="1" applyFont="1" applyBorder="1" applyAlignment="1">
      <alignment horizontal="center" vertical="center" wrapText="1"/>
    </xf>
    <xf numFmtId="0" fontId="6" fillId="0" borderId="4" xfId="0" applyFont="1" applyBorder="1" applyAlignment="1">
      <alignment horizontal="center" vertical="top" wrapText="1"/>
    </xf>
    <xf numFmtId="0" fontId="6" fillId="0" borderId="4" xfId="0" applyFont="1" applyBorder="1" applyAlignment="1">
      <alignment horizontal="left" vertical="top" wrapText="1"/>
    </xf>
    <xf numFmtId="0" fontId="8" fillId="0" borderId="4" xfId="0" applyFont="1" applyBorder="1" applyAlignment="1">
      <alignment horizontal="center" vertical="center" wrapText="1"/>
    </xf>
    <xf numFmtId="4" fontId="7" fillId="0" borderId="4" xfId="0" applyNumberFormat="1" applyFont="1" applyBorder="1" applyAlignment="1">
      <alignment horizontal="right" vertical="center" wrapText="1"/>
    </xf>
    <xf numFmtId="164" fontId="6" fillId="0" borderId="4" xfId="0" applyNumberFormat="1" applyFont="1" applyBorder="1" applyAlignment="1">
      <alignment horizontal="center" vertical="center" wrapText="1"/>
    </xf>
    <xf numFmtId="0" fontId="1" fillId="0" borderId="1" xfId="0" applyFont="1" applyBorder="1" applyAlignment="1">
      <alignment horizontal="left" wrapText="1"/>
    </xf>
    <xf numFmtId="0" fontId="2" fillId="0" borderId="2" xfId="0" applyFont="1" applyBorder="1" applyAlignment="1">
      <alignment horizontal="center" vertical="top" wrapText="1"/>
    </xf>
    <xf numFmtId="0" fontId="2" fillId="0" borderId="0" xfId="0" applyFont="1" applyAlignment="1">
      <alignment horizontal="center" vertical="top" wrapText="1"/>
    </xf>
    <xf numFmtId="0" fontId="3" fillId="2" borderId="1" xfId="0" applyFont="1" applyFill="1" applyBorder="1" applyAlignment="1">
      <alignment horizontal="left" vertical="top" wrapText="1"/>
    </xf>
    <xf numFmtId="0" fontId="4" fillId="0" borderId="1" xfId="0" applyFont="1" applyBorder="1" applyAlignment="1">
      <alignment horizontal="left" wrapText="1"/>
    </xf>
    <xf numFmtId="0" fontId="1" fillId="2" borderId="2" xfId="0" applyFont="1" applyFill="1" applyBorder="1" applyAlignment="1">
      <alignment horizontal="left" vertical="top" wrapText="1"/>
    </xf>
    <xf numFmtId="0" fontId="1" fillId="2" borderId="0" xfId="0" applyFont="1" applyFill="1" applyAlignment="1">
      <alignment horizontal="left" vertical="top" wrapText="1"/>
    </xf>
    <xf numFmtId="0" fontId="5" fillId="0" borderId="1" xfId="0" applyFont="1" applyBorder="1" applyAlignment="1">
      <alignment horizontal="left" wrapText="1"/>
    </xf>
    <xf numFmtId="0" fontId="9" fillId="0" borderId="1" xfId="1" applyBorder="1" applyAlignment="1" applyProtection="1">
      <alignment horizontal="left" wrapText="1"/>
    </xf>
    <xf numFmtId="0" fontId="9" fillId="0" borderId="4" xfId="1" applyBorder="1" applyAlignment="1" applyProtection="1">
      <alignment horizontal="center" vertical="center" wrapText="1"/>
    </xf>
  </cellXfs>
  <cellStyles count="2">
    <cellStyle name="Гиперссылка" xfId="1" builtinId="8"/>
    <cellStyle name="Обычный"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sheetPr>
    <outlinePr summaryBelow="0" summaryRight="0"/>
    <pageSetUpPr autoPageBreaks="0"/>
  </sheetPr>
  <dimension ref="A1:AB6303"/>
  <sheetViews>
    <sheetView tabSelected="1" workbookViewId="0">
      <selection sqref="A1:E1"/>
    </sheetView>
  </sheetViews>
  <sheetFormatPr defaultColWidth="10.5" defaultRowHeight="11.45" customHeight="1"/>
  <cols>
    <col min="1" max="1" width="5.83203125" style="1" customWidth="1"/>
    <col min="2" max="2" width="13.83203125" style="1" customWidth="1"/>
    <col min="3" max="3" width="10.5" style="1" customWidth="1"/>
    <col min="4" max="4" width="53.5" style="1" customWidth="1"/>
    <col min="5" max="5" width="52.6640625" style="1" customWidth="1"/>
    <col min="6" max="6" width="21" style="1" customWidth="1"/>
    <col min="7" max="7" width="13" style="1" customWidth="1"/>
    <col min="8" max="8" width="19.33203125" style="1" customWidth="1"/>
    <col min="9" max="9" width="33.6640625" style="1" customWidth="1"/>
    <col min="10" max="10" width="6.33203125" style="1" customWidth="1"/>
    <col min="11" max="11" width="8.5" style="1" customWidth="1"/>
    <col min="12" max="12" width="8.1640625" style="1" customWidth="1"/>
    <col min="13" max="13" width="21.1640625" style="1" customWidth="1"/>
    <col min="14" max="14" width="43.5" style="1" customWidth="1"/>
    <col min="15" max="15" width="35.5" style="1" customWidth="1"/>
    <col min="16" max="16" width="34" style="1" customWidth="1"/>
    <col min="17" max="17" width="38.1640625" style="1" customWidth="1"/>
    <col min="18" max="19" width="10.5" style="1" customWidth="1"/>
    <col min="20" max="20" width="15.33203125" style="1" customWidth="1"/>
    <col min="21" max="21" width="15.1640625" style="1" customWidth="1"/>
    <col min="22" max="22" width="20.33203125" style="1" customWidth="1"/>
    <col min="23" max="23" width="55.83203125" style="1" customWidth="1"/>
    <col min="24" max="27" width="10.5" style="1" customWidth="1"/>
    <col min="28" max="28" width="17.83203125" style="1" customWidth="1"/>
  </cols>
  <sheetData>
    <row r="1" spans="1:28" s="1" customFormat="1" ht="15" customHeight="1">
      <c r="A1" s="15" t="s">
        <v>0</v>
      </c>
      <c r="B1" s="15"/>
      <c r="C1" s="15"/>
      <c r="D1" s="15"/>
      <c r="E1" s="15"/>
      <c r="F1" s="16" t="s">
        <v>1</v>
      </c>
      <c r="G1" s="16"/>
      <c r="H1" s="16"/>
      <c r="I1" s="16"/>
      <c r="J1" s="18" t="s">
        <v>2</v>
      </c>
      <c r="K1" s="18"/>
      <c r="L1" s="18"/>
      <c r="M1" s="18"/>
      <c r="N1" s="18"/>
      <c r="O1" s="18"/>
    </row>
    <row r="2" spans="1:28" s="1" customFormat="1" ht="15" customHeight="1">
      <c r="A2" s="19" t="s">
        <v>3</v>
      </c>
      <c r="B2" s="19"/>
      <c r="C2" s="19"/>
      <c r="D2" s="19"/>
      <c r="E2" s="19"/>
      <c r="F2" s="17"/>
      <c r="G2" s="17"/>
      <c r="H2" s="17"/>
      <c r="I2" s="17"/>
      <c r="J2" s="20" t="s">
        <v>4</v>
      </c>
      <c r="K2" s="20"/>
      <c r="L2" s="20"/>
      <c r="M2" s="20"/>
      <c r="N2" s="20"/>
      <c r="O2" s="20"/>
    </row>
    <row r="3" spans="1:28" s="1" customFormat="1" ht="15" customHeight="1">
      <c r="A3" s="19" t="s">
        <v>5</v>
      </c>
      <c r="B3" s="19"/>
      <c r="C3" s="19"/>
      <c r="D3" s="19"/>
      <c r="E3" s="19"/>
      <c r="F3" s="17"/>
      <c r="G3" s="17"/>
      <c r="H3" s="17"/>
      <c r="I3" s="17"/>
      <c r="J3" s="21"/>
      <c r="K3" s="21"/>
      <c r="L3" s="21"/>
      <c r="M3" s="21"/>
      <c r="N3" s="21"/>
      <c r="O3" s="21"/>
    </row>
    <row r="4" spans="1:28" s="1" customFormat="1" ht="15" customHeight="1">
      <c r="A4" s="23" t="str">
        <f>HYPERLINK("mailto:books@infra-m.ru", "mailto:books@infra-m.ru")</f>
        <v>mailto:books@infra-m.ru</v>
      </c>
      <c r="B4" s="22"/>
      <c r="C4" s="22"/>
      <c r="D4" s="22"/>
      <c r="E4" s="22"/>
      <c r="F4" s="17"/>
      <c r="G4" s="17"/>
      <c r="H4" s="17"/>
      <c r="I4" s="17"/>
      <c r="J4" s="21"/>
      <c r="K4" s="21"/>
      <c r="L4" s="21"/>
      <c r="M4" s="21"/>
      <c r="N4" s="21"/>
      <c r="O4" s="21"/>
    </row>
    <row r="5" spans="1:28" s="1" customFormat="1" ht="15" customHeight="1">
      <c r="A5" s="23" t="str">
        <f>HYPERLINK("https://infra-m.ru", "https://infra-m.ru")</f>
        <v>https://infra-m.ru</v>
      </c>
      <c r="B5" s="22"/>
      <c r="C5" s="22"/>
      <c r="D5" s="22"/>
      <c r="E5" s="22"/>
      <c r="F5" s="17"/>
      <c r="G5" s="17"/>
      <c r="H5" s="17"/>
      <c r="I5" s="17"/>
      <c r="J5" s="21"/>
      <c r="K5" s="21"/>
      <c r="L5" s="21"/>
      <c r="M5" s="21"/>
      <c r="N5" s="21"/>
      <c r="O5" s="21"/>
    </row>
    <row r="6" spans="1:28" s="1" customFormat="1" ht="11.1" customHeight="1"/>
    <row r="7" spans="1:28" s="2" customFormat="1" ht="21.95" customHeight="1">
      <c r="A7" s="3" t="s">
        <v>6</v>
      </c>
      <c r="B7" s="3" t="s">
        <v>7</v>
      </c>
      <c r="C7" s="3" t="s">
        <v>8</v>
      </c>
      <c r="D7" s="3" t="s">
        <v>9</v>
      </c>
      <c r="E7" s="3" t="s">
        <v>10</v>
      </c>
      <c r="F7" s="3" t="s">
        <v>11</v>
      </c>
      <c r="G7" s="3" t="s">
        <v>12</v>
      </c>
      <c r="H7" s="3" t="s">
        <v>13</v>
      </c>
      <c r="I7" s="3" t="s">
        <v>14</v>
      </c>
      <c r="J7" s="3" t="s">
        <v>15</v>
      </c>
      <c r="K7" s="3" t="s">
        <v>16</v>
      </c>
      <c r="L7" s="3" t="s">
        <v>17</v>
      </c>
      <c r="M7" s="3" t="s">
        <v>18</v>
      </c>
      <c r="N7" s="3" t="s">
        <v>19</v>
      </c>
      <c r="O7" s="3" t="s">
        <v>20</v>
      </c>
      <c r="P7" s="3" t="s">
        <v>21</v>
      </c>
      <c r="Q7" s="3" t="s">
        <v>22</v>
      </c>
      <c r="R7" s="3" t="s">
        <v>23</v>
      </c>
      <c r="S7" s="3" t="s">
        <v>24</v>
      </c>
      <c r="T7" s="3" t="s">
        <v>25</v>
      </c>
      <c r="U7" s="3" t="s">
        <v>26</v>
      </c>
      <c r="V7" s="3" t="s">
        <v>27</v>
      </c>
      <c r="W7" s="3" t="s">
        <v>28</v>
      </c>
      <c r="X7" s="3" t="s">
        <v>29</v>
      </c>
      <c r="Y7" s="3" t="s">
        <v>30</v>
      </c>
      <c r="Z7" s="3" t="s">
        <v>31</v>
      </c>
      <c r="AA7" s="3" t="s">
        <v>32</v>
      </c>
      <c r="AB7" s="3" t="s">
        <v>33</v>
      </c>
    </row>
    <row r="8" spans="1:28" s="4" customFormat="1" ht="42" customHeight="1">
      <c r="A8" s="5">
        <v>0</v>
      </c>
      <c r="B8" s="6" t="s">
        <v>34</v>
      </c>
      <c r="C8" s="7">
        <v>867</v>
      </c>
      <c r="D8" s="8" t="s">
        <v>35</v>
      </c>
      <c r="E8" s="8" t="s">
        <v>36</v>
      </c>
      <c r="F8" s="8" t="s">
        <v>37</v>
      </c>
      <c r="G8" s="6" t="s">
        <v>38</v>
      </c>
      <c r="H8" s="6" t="s">
        <v>39</v>
      </c>
      <c r="I8" s="8"/>
      <c r="J8" s="9">
        <v>1</v>
      </c>
      <c r="K8" s="9">
        <v>128</v>
      </c>
      <c r="L8" s="9">
        <v>2025</v>
      </c>
      <c r="M8" s="8" t="s">
        <v>40</v>
      </c>
      <c r="N8" s="8" t="s">
        <v>41</v>
      </c>
      <c r="O8" s="8" t="s">
        <v>42</v>
      </c>
      <c r="P8" s="6" t="s">
        <v>43</v>
      </c>
      <c r="Q8" s="8" t="s">
        <v>44</v>
      </c>
      <c r="R8" s="10" t="s">
        <v>45</v>
      </c>
      <c r="S8" s="11"/>
      <c r="T8" s="6"/>
      <c r="U8" s="24" t="str">
        <f>HYPERLINK("https://media.infra-m.ru/2201/2201724/cover/2201724.jpg", "Обложка")</f>
        <v>Обложка</v>
      </c>
      <c r="V8" s="12"/>
      <c r="W8" s="8" t="s">
        <v>46</v>
      </c>
      <c r="X8" s="6"/>
      <c r="Y8" s="6"/>
      <c r="Z8" s="6"/>
      <c r="AA8" s="6" t="s">
        <v>47</v>
      </c>
      <c r="AB8" s="8"/>
    </row>
    <row r="9" spans="1:28" s="4" customFormat="1" ht="42" customHeight="1">
      <c r="A9" s="5">
        <v>0</v>
      </c>
      <c r="B9" s="6" t="s">
        <v>48</v>
      </c>
      <c r="C9" s="13">
        <v>1442</v>
      </c>
      <c r="D9" s="8" t="s">
        <v>49</v>
      </c>
      <c r="E9" s="8" t="s">
        <v>50</v>
      </c>
      <c r="F9" s="8" t="s">
        <v>51</v>
      </c>
      <c r="G9" s="6" t="s">
        <v>52</v>
      </c>
      <c r="H9" s="6" t="s">
        <v>53</v>
      </c>
      <c r="I9" s="8" t="s">
        <v>54</v>
      </c>
      <c r="J9" s="9">
        <v>1</v>
      </c>
      <c r="K9" s="9">
        <v>213</v>
      </c>
      <c r="L9" s="9">
        <v>2025</v>
      </c>
      <c r="M9" s="8" t="s">
        <v>55</v>
      </c>
      <c r="N9" s="8" t="s">
        <v>56</v>
      </c>
      <c r="O9" s="8" t="s">
        <v>57</v>
      </c>
      <c r="P9" s="6" t="s">
        <v>43</v>
      </c>
      <c r="Q9" s="8" t="s">
        <v>58</v>
      </c>
      <c r="R9" s="10" t="s">
        <v>59</v>
      </c>
      <c r="S9" s="11"/>
      <c r="T9" s="6"/>
      <c r="U9" s="24" t="str">
        <f>HYPERLINK("https://media.infra-m.ru/2185/2185531/cover/2185531.jpg", "Обложка")</f>
        <v>Обложка</v>
      </c>
      <c r="V9" s="12"/>
      <c r="W9" s="8"/>
      <c r="X9" s="6" t="s">
        <v>60</v>
      </c>
      <c r="Y9" s="6"/>
      <c r="Z9" s="6"/>
      <c r="AA9" s="6" t="s">
        <v>61</v>
      </c>
      <c r="AB9" s="8"/>
    </row>
    <row r="10" spans="1:28" s="4" customFormat="1" ht="51.95" customHeight="1">
      <c r="A10" s="5">
        <v>0</v>
      </c>
      <c r="B10" s="6" t="s">
        <v>62</v>
      </c>
      <c r="C10" s="13">
        <v>1464</v>
      </c>
      <c r="D10" s="8" t="s">
        <v>63</v>
      </c>
      <c r="E10" s="8" t="s">
        <v>64</v>
      </c>
      <c r="F10" s="8" t="s">
        <v>65</v>
      </c>
      <c r="G10" s="6" t="s">
        <v>52</v>
      </c>
      <c r="H10" s="6" t="s">
        <v>66</v>
      </c>
      <c r="I10" s="8"/>
      <c r="J10" s="9">
        <v>1</v>
      </c>
      <c r="K10" s="9">
        <v>292</v>
      </c>
      <c r="L10" s="9">
        <v>2025</v>
      </c>
      <c r="M10" s="8" t="s">
        <v>67</v>
      </c>
      <c r="N10" s="8" t="s">
        <v>68</v>
      </c>
      <c r="O10" s="8" t="s">
        <v>69</v>
      </c>
      <c r="P10" s="6" t="s">
        <v>43</v>
      </c>
      <c r="Q10" s="8" t="s">
        <v>44</v>
      </c>
      <c r="R10" s="10" t="s">
        <v>70</v>
      </c>
      <c r="S10" s="11"/>
      <c r="T10" s="6"/>
      <c r="U10" s="24" t="str">
        <f>HYPERLINK("https://media.infra-m.ru/2172/2172745/cover/2172745.jpg", "Обложка")</f>
        <v>Обложка</v>
      </c>
      <c r="V10" s="24" t="str">
        <f>HYPERLINK("https://znanium.ru/catalog/product/988931", "Ознакомиться")</f>
        <v>Ознакомиться</v>
      </c>
      <c r="W10" s="8" t="s">
        <v>71</v>
      </c>
      <c r="X10" s="6"/>
      <c r="Y10" s="6"/>
      <c r="Z10" s="6"/>
      <c r="AA10" s="6" t="s">
        <v>72</v>
      </c>
      <c r="AB10" s="8"/>
    </row>
    <row r="11" spans="1:28" s="4" customFormat="1" ht="51.95" customHeight="1">
      <c r="A11" s="5">
        <v>0</v>
      </c>
      <c r="B11" s="6" t="s">
        <v>73</v>
      </c>
      <c r="C11" s="7">
        <v>844.9</v>
      </c>
      <c r="D11" s="8" t="s">
        <v>74</v>
      </c>
      <c r="E11" s="8" t="s">
        <v>75</v>
      </c>
      <c r="F11" s="8" t="s">
        <v>76</v>
      </c>
      <c r="G11" s="6" t="s">
        <v>52</v>
      </c>
      <c r="H11" s="6" t="s">
        <v>77</v>
      </c>
      <c r="I11" s="8"/>
      <c r="J11" s="9">
        <v>16</v>
      </c>
      <c r="K11" s="9">
        <v>288</v>
      </c>
      <c r="L11" s="9">
        <v>2017</v>
      </c>
      <c r="M11" s="8" t="s">
        <v>78</v>
      </c>
      <c r="N11" s="8" t="s">
        <v>79</v>
      </c>
      <c r="O11" s="8" t="s">
        <v>80</v>
      </c>
      <c r="P11" s="6" t="s">
        <v>43</v>
      </c>
      <c r="Q11" s="8" t="s">
        <v>44</v>
      </c>
      <c r="R11" s="10" t="s">
        <v>81</v>
      </c>
      <c r="S11" s="11" t="s">
        <v>82</v>
      </c>
      <c r="T11" s="6"/>
      <c r="U11" s="24" t="str">
        <f>HYPERLINK("https://media.infra-m.ru/0772/0772498/cover/772498.jpg", "Обложка")</f>
        <v>Обложка</v>
      </c>
      <c r="V11" s="24" t="str">
        <f>HYPERLINK("https://znanium.ru/catalog/product/2080466", "Ознакомиться")</f>
        <v>Ознакомиться</v>
      </c>
      <c r="W11" s="8" t="s">
        <v>83</v>
      </c>
      <c r="X11" s="6"/>
      <c r="Y11" s="6"/>
      <c r="Z11" s="6"/>
      <c r="AA11" s="6" t="s">
        <v>84</v>
      </c>
      <c r="AB11" s="8"/>
    </row>
    <row r="12" spans="1:28" s="4" customFormat="1" ht="51.95" customHeight="1">
      <c r="A12" s="5">
        <v>0</v>
      </c>
      <c r="B12" s="6" t="s">
        <v>85</v>
      </c>
      <c r="C12" s="13">
        <v>1674</v>
      </c>
      <c r="D12" s="8" t="s">
        <v>86</v>
      </c>
      <c r="E12" s="8" t="s">
        <v>87</v>
      </c>
      <c r="F12" s="8" t="s">
        <v>88</v>
      </c>
      <c r="G12" s="6" t="s">
        <v>89</v>
      </c>
      <c r="H12" s="6" t="s">
        <v>53</v>
      </c>
      <c r="I12" s="8" t="s">
        <v>90</v>
      </c>
      <c r="J12" s="9">
        <v>1</v>
      </c>
      <c r="K12" s="9">
        <v>333</v>
      </c>
      <c r="L12" s="9">
        <v>2025</v>
      </c>
      <c r="M12" s="8" t="s">
        <v>91</v>
      </c>
      <c r="N12" s="8" t="s">
        <v>79</v>
      </c>
      <c r="O12" s="8" t="s">
        <v>80</v>
      </c>
      <c r="P12" s="6" t="s">
        <v>43</v>
      </c>
      <c r="Q12" s="8" t="s">
        <v>44</v>
      </c>
      <c r="R12" s="10" t="s">
        <v>92</v>
      </c>
      <c r="S12" s="11" t="s">
        <v>93</v>
      </c>
      <c r="T12" s="6"/>
      <c r="U12" s="24" t="str">
        <f>HYPERLINK("https://media.infra-m.ru/2186/2186399/cover/2186399.jpg", "Обложка")</f>
        <v>Обложка</v>
      </c>
      <c r="V12" s="24" t="str">
        <f>HYPERLINK("https://znanium.ru/catalog/product/2084152", "Ознакомиться")</f>
        <v>Ознакомиться</v>
      </c>
      <c r="W12" s="8" t="s">
        <v>94</v>
      </c>
      <c r="X12" s="6"/>
      <c r="Y12" s="6"/>
      <c r="Z12" s="6"/>
      <c r="AA12" s="6" t="s">
        <v>95</v>
      </c>
      <c r="AB12" s="8"/>
    </row>
    <row r="13" spans="1:28" s="4" customFormat="1" ht="51.95" customHeight="1">
      <c r="A13" s="5">
        <v>0</v>
      </c>
      <c r="B13" s="6" t="s">
        <v>96</v>
      </c>
      <c r="C13" s="13">
        <v>1670</v>
      </c>
      <c r="D13" s="8" t="s">
        <v>97</v>
      </c>
      <c r="E13" s="8" t="s">
        <v>98</v>
      </c>
      <c r="F13" s="8" t="s">
        <v>99</v>
      </c>
      <c r="G13" s="6" t="s">
        <v>89</v>
      </c>
      <c r="H13" s="6" t="s">
        <v>39</v>
      </c>
      <c r="I13" s="8" t="s">
        <v>100</v>
      </c>
      <c r="J13" s="9">
        <v>1</v>
      </c>
      <c r="K13" s="9">
        <v>333</v>
      </c>
      <c r="L13" s="9">
        <v>2025</v>
      </c>
      <c r="M13" s="8" t="s">
        <v>101</v>
      </c>
      <c r="N13" s="8" t="s">
        <v>79</v>
      </c>
      <c r="O13" s="8" t="s">
        <v>80</v>
      </c>
      <c r="P13" s="6" t="s">
        <v>43</v>
      </c>
      <c r="Q13" s="8" t="s">
        <v>102</v>
      </c>
      <c r="R13" s="10" t="s">
        <v>103</v>
      </c>
      <c r="S13" s="11"/>
      <c r="T13" s="6"/>
      <c r="U13" s="24" t="str">
        <f>HYPERLINK("https://media.infra-m.ru/2170/2170276/cover/2170276.jpg", "Обложка")</f>
        <v>Обложка</v>
      </c>
      <c r="V13" s="24" t="str">
        <f>HYPERLINK("https://znanium.ru/catalog/product/2170276", "Ознакомиться")</f>
        <v>Ознакомиться</v>
      </c>
      <c r="W13" s="8" t="s">
        <v>94</v>
      </c>
      <c r="X13" s="6"/>
      <c r="Y13" s="6"/>
      <c r="Z13" s="6" t="s">
        <v>104</v>
      </c>
      <c r="AA13" s="6" t="s">
        <v>105</v>
      </c>
      <c r="AB13" s="8"/>
    </row>
    <row r="14" spans="1:28" s="4" customFormat="1" ht="51.95" customHeight="1">
      <c r="A14" s="5">
        <v>0</v>
      </c>
      <c r="B14" s="6" t="s">
        <v>106</v>
      </c>
      <c r="C14" s="7">
        <v>810</v>
      </c>
      <c r="D14" s="8" t="s">
        <v>107</v>
      </c>
      <c r="E14" s="8" t="s">
        <v>108</v>
      </c>
      <c r="F14" s="8" t="s">
        <v>88</v>
      </c>
      <c r="G14" s="6" t="s">
        <v>38</v>
      </c>
      <c r="H14" s="6" t="s">
        <v>39</v>
      </c>
      <c r="I14" s="8" t="s">
        <v>90</v>
      </c>
      <c r="J14" s="9">
        <v>1</v>
      </c>
      <c r="K14" s="9">
        <v>270</v>
      </c>
      <c r="L14" s="9">
        <v>2019</v>
      </c>
      <c r="M14" s="8" t="s">
        <v>109</v>
      </c>
      <c r="N14" s="8" t="s">
        <v>79</v>
      </c>
      <c r="O14" s="8" t="s">
        <v>80</v>
      </c>
      <c r="P14" s="6" t="s">
        <v>43</v>
      </c>
      <c r="Q14" s="8" t="s">
        <v>44</v>
      </c>
      <c r="R14" s="10" t="s">
        <v>92</v>
      </c>
      <c r="S14" s="11" t="s">
        <v>110</v>
      </c>
      <c r="T14" s="6"/>
      <c r="U14" s="24" t="str">
        <f>HYPERLINK("https://media.infra-m.ru/0994/0994914/cover/994914.jpg", "Обложка")</f>
        <v>Обложка</v>
      </c>
      <c r="V14" s="24" t="str">
        <f>HYPERLINK("https://znanium.ru/catalog/product/2084152", "Ознакомиться")</f>
        <v>Ознакомиться</v>
      </c>
      <c r="W14" s="8" t="s">
        <v>94</v>
      </c>
      <c r="X14" s="6"/>
      <c r="Y14" s="6"/>
      <c r="Z14" s="6"/>
      <c r="AA14" s="6" t="s">
        <v>111</v>
      </c>
      <c r="AB14" s="8"/>
    </row>
    <row r="15" spans="1:28" s="4" customFormat="1" ht="51.95" customHeight="1">
      <c r="A15" s="5">
        <v>0</v>
      </c>
      <c r="B15" s="6" t="s">
        <v>112</v>
      </c>
      <c r="C15" s="7">
        <v>480</v>
      </c>
      <c r="D15" s="8" t="s">
        <v>113</v>
      </c>
      <c r="E15" s="8" t="s">
        <v>114</v>
      </c>
      <c r="F15" s="8" t="s">
        <v>115</v>
      </c>
      <c r="G15" s="6" t="s">
        <v>38</v>
      </c>
      <c r="H15" s="6" t="s">
        <v>53</v>
      </c>
      <c r="I15" s="8" t="s">
        <v>116</v>
      </c>
      <c r="J15" s="9">
        <v>1</v>
      </c>
      <c r="K15" s="9">
        <v>100</v>
      </c>
      <c r="L15" s="9">
        <v>2024</v>
      </c>
      <c r="M15" s="8" t="s">
        <v>117</v>
      </c>
      <c r="N15" s="8" t="s">
        <v>41</v>
      </c>
      <c r="O15" s="8" t="s">
        <v>118</v>
      </c>
      <c r="P15" s="6" t="s">
        <v>43</v>
      </c>
      <c r="Q15" s="8" t="s">
        <v>58</v>
      </c>
      <c r="R15" s="10" t="s">
        <v>119</v>
      </c>
      <c r="S15" s="11" t="s">
        <v>120</v>
      </c>
      <c r="T15" s="6"/>
      <c r="U15" s="24" t="str">
        <f>HYPERLINK("https://media.infra-m.ru/2107/2107287/cover/2107287.jpg", "Обложка")</f>
        <v>Обложка</v>
      </c>
      <c r="V15" s="24" t="str">
        <f>HYPERLINK("https://znanium.ru/catalog/product/2107287", "Ознакомиться")</f>
        <v>Ознакомиться</v>
      </c>
      <c r="W15" s="8" t="s">
        <v>121</v>
      </c>
      <c r="X15" s="6"/>
      <c r="Y15" s="6"/>
      <c r="Z15" s="6"/>
      <c r="AA15" s="6" t="s">
        <v>122</v>
      </c>
      <c r="AB15" s="8"/>
    </row>
    <row r="16" spans="1:28" s="4" customFormat="1" ht="42" customHeight="1">
      <c r="A16" s="5">
        <v>0</v>
      </c>
      <c r="B16" s="6" t="s">
        <v>123</v>
      </c>
      <c r="C16" s="7">
        <v>800</v>
      </c>
      <c r="D16" s="8" t="s">
        <v>124</v>
      </c>
      <c r="E16" s="8" t="s">
        <v>125</v>
      </c>
      <c r="F16" s="8" t="s">
        <v>126</v>
      </c>
      <c r="G16" s="6" t="s">
        <v>52</v>
      </c>
      <c r="H16" s="6" t="s">
        <v>53</v>
      </c>
      <c r="I16" s="8" t="s">
        <v>127</v>
      </c>
      <c r="J16" s="9">
        <v>1</v>
      </c>
      <c r="K16" s="9">
        <v>146</v>
      </c>
      <c r="L16" s="9">
        <v>2024</v>
      </c>
      <c r="M16" s="8" t="s">
        <v>128</v>
      </c>
      <c r="N16" s="8" t="s">
        <v>41</v>
      </c>
      <c r="O16" s="8" t="s">
        <v>129</v>
      </c>
      <c r="P16" s="6" t="s">
        <v>43</v>
      </c>
      <c r="Q16" s="8" t="s">
        <v>58</v>
      </c>
      <c r="R16" s="10" t="s">
        <v>130</v>
      </c>
      <c r="S16" s="11"/>
      <c r="T16" s="6"/>
      <c r="U16" s="24" t="str">
        <f>HYPERLINK("https://media.infra-m.ru/2139/2139172/cover/2139172.jpg", "Обложка")</f>
        <v>Обложка</v>
      </c>
      <c r="V16" s="24" t="str">
        <f>HYPERLINK("https://znanium.ru/catalog/product/2139172", "Ознакомиться")</f>
        <v>Ознакомиться</v>
      </c>
      <c r="W16" s="8" t="s">
        <v>131</v>
      </c>
      <c r="X16" s="6" t="s">
        <v>132</v>
      </c>
      <c r="Y16" s="6"/>
      <c r="Z16" s="6"/>
      <c r="AA16" s="6" t="s">
        <v>133</v>
      </c>
      <c r="AB16" s="8"/>
    </row>
    <row r="17" spans="1:28" s="4" customFormat="1" ht="51.95" customHeight="1">
      <c r="A17" s="5">
        <v>0</v>
      </c>
      <c r="B17" s="6" t="s">
        <v>134</v>
      </c>
      <c r="C17" s="7">
        <v>490</v>
      </c>
      <c r="D17" s="8" t="s">
        <v>135</v>
      </c>
      <c r="E17" s="8" t="s">
        <v>136</v>
      </c>
      <c r="F17" s="8" t="s">
        <v>137</v>
      </c>
      <c r="G17" s="6" t="s">
        <v>38</v>
      </c>
      <c r="H17" s="6" t="s">
        <v>53</v>
      </c>
      <c r="I17" s="8" t="s">
        <v>116</v>
      </c>
      <c r="J17" s="9">
        <v>1</v>
      </c>
      <c r="K17" s="9">
        <v>103</v>
      </c>
      <c r="L17" s="9">
        <v>2024</v>
      </c>
      <c r="M17" s="8" t="s">
        <v>138</v>
      </c>
      <c r="N17" s="8" t="s">
        <v>56</v>
      </c>
      <c r="O17" s="8" t="s">
        <v>57</v>
      </c>
      <c r="P17" s="6" t="s">
        <v>43</v>
      </c>
      <c r="Q17" s="8" t="s">
        <v>44</v>
      </c>
      <c r="R17" s="10" t="s">
        <v>139</v>
      </c>
      <c r="S17" s="11" t="s">
        <v>140</v>
      </c>
      <c r="T17" s="6"/>
      <c r="U17" s="24" t="str">
        <f>HYPERLINK("https://media.infra-m.ru/2093/2093908/cover/2093908.jpg", "Обложка")</f>
        <v>Обложка</v>
      </c>
      <c r="V17" s="24" t="str">
        <f>HYPERLINK("https://znanium.ru/catalog/product/2093908", "Ознакомиться")</f>
        <v>Ознакомиться</v>
      </c>
      <c r="W17" s="8" t="s">
        <v>141</v>
      </c>
      <c r="X17" s="6"/>
      <c r="Y17" s="6"/>
      <c r="Z17" s="6"/>
      <c r="AA17" s="6" t="s">
        <v>122</v>
      </c>
      <c r="AB17" s="8"/>
    </row>
    <row r="18" spans="1:28" s="4" customFormat="1" ht="51.95" customHeight="1">
      <c r="A18" s="5">
        <v>0</v>
      </c>
      <c r="B18" s="6" t="s">
        <v>142</v>
      </c>
      <c r="C18" s="7">
        <v>670</v>
      </c>
      <c r="D18" s="8" t="s">
        <v>143</v>
      </c>
      <c r="E18" s="8" t="s">
        <v>144</v>
      </c>
      <c r="F18" s="8" t="s">
        <v>145</v>
      </c>
      <c r="G18" s="6" t="s">
        <v>89</v>
      </c>
      <c r="H18" s="6" t="s">
        <v>53</v>
      </c>
      <c r="I18" s="8" t="s">
        <v>146</v>
      </c>
      <c r="J18" s="9">
        <v>1</v>
      </c>
      <c r="K18" s="9">
        <v>143</v>
      </c>
      <c r="L18" s="9">
        <v>2024</v>
      </c>
      <c r="M18" s="8" t="s">
        <v>147</v>
      </c>
      <c r="N18" s="8" t="s">
        <v>79</v>
      </c>
      <c r="O18" s="8" t="s">
        <v>148</v>
      </c>
      <c r="P18" s="6" t="s">
        <v>43</v>
      </c>
      <c r="Q18" s="8" t="s">
        <v>44</v>
      </c>
      <c r="R18" s="10" t="s">
        <v>149</v>
      </c>
      <c r="S18" s="11"/>
      <c r="T18" s="6"/>
      <c r="U18" s="24" t="str">
        <f>HYPERLINK("https://media.infra-m.ru/2083/2083438/cover/2083438.jpg", "Обложка")</f>
        <v>Обложка</v>
      </c>
      <c r="V18" s="24" t="str">
        <f>HYPERLINK("https://znanium.ru/catalog/product/2083438", "Ознакомиться")</f>
        <v>Ознакомиться</v>
      </c>
      <c r="W18" s="8" t="s">
        <v>150</v>
      </c>
      <c r="X18" s="6"/>
      <c r="Y18" s="6"/>
      <c r="Z18" s="6"/>
      <c r="AA18" s="6" t="s">
        <v>151</v>
      </c>
      <c r="AB18" s="8"/>
    </row>
    <row r="19" spans="1:28" s="4" customFormat="1" ht="51.95" customHeight="1">
      <c r="A19" s="5">
        <v>0</v>
      </c>
      <c r="B19" s="6" t="s">
        <v>152</v>
      </c>
      <c r="C19" s="13">
        <v>1227</v>
      </c>
      <c r="D19" s="8" t="s">
        <v>153</v>
      </c>
      <c r="E19" s="8" t="s">
        <v>154</v>
      </c>
      <c r="F19" s="8" t="s">
        <v>155</v>
      </c>
      <c r="G19" s="6" t="s">
        <v>89</v>
      </c>
      <c r="H19" s="6" t="s">
        <v>39</v>
      </c>
      <c r="I19" s="8" t="s">
        <v>90</v>
      </c>
      <c r="J19" s="9">
        <v>1</v>
      </c>
      <c r="K19" s="9">
        <v>183</v>
      </c>
      <c r="L19" s="9">
        <v>2025</v>
      </c>
      <c r="M19" s="8" t="s">
        <v>156</v>
      </c>
      <c r="N19" s="8" t="s">
        <v>56</v>
      </c>
      <c r="O19" s="8" t="s">
        <v>57</v>
      </c>
      <c r="P19" s="6" t="s">
        <v>43</v>
      </c>
      <c r="Q19" s="8" t="s">
        <v>44</v>
      </c>
      <c r="R19" s="10" t="s">
        <v>157</v>
      </c>
      <c r="S19" s="11" t="s">
        <v>158</v>
      </c>
      <c r="T19" s="6"/>
      <c r="U19" s="24" t="str">
        <f>HYPERLINK("https://media.infra-m.ru/2196/2196880/cover/2196880.jpg", "Обложка")</f>
        <v>Обложка</v>
      </c>
      <c r="V19" s="24" t="str">
        <f>HYPERLINK("https://znanium.ru/catalog/product/2110927", "Ознакомиться")</f>
        <v>Ознакомиться</v>
      </c>
      <c r="W19" s="8" t="s">
        <v>159</v>
      </c>
      <c r="X19" s="6"/>
      <c r="Y19" s="6"/>
      <c r="Z19" s="6"/>
      <c r="AA19" s="6" t="s">
        <v>160</v>
      </c>
      <c r="AB19" s="8"/>
    </row>
    <row r="20" spans="1:28" s="4" customFormat="1" ht="51.95" customHeight="1">
      <c r="A20" s="5">
        <v>0</v>
      </c>
      <c r="B20" s="6" t="s">
        <v>161</v>
      </c>
      <c r="C20" s="13">
        <v>1050</v>
      </c>
      <c r="D20" s="8" t="s">
        <v>162</v>
      </c>
      <c r="E20" s="8" t="s">
        <v>163</v>
      </c>
      <c r="F20" s="8" t="s">
        <v>164</v>
      </c>
      <c r="G20" s="6" t="s">
        <v>52</v>
      </c>
      <c r="H20" s="6" t="s">
        <v>53</v>
      </c>
      <c r="I20" s="8" t="s">
        <v>165</v>
      </c>
      <c r="J20" s="9">
        <v>1</v>
      </c>
      <c r="K20" s="9">
        <v>216</v>
      </c>
      <c r="L20" s="9">
        <v>2024</v>
      </c>
      <c r="M20" s="8" t="s">
        <v>166</v>
      </c>
      <c r="N20" s="8" t="s">
        <v>56</v>
      </c>
      <c r="O20" s="8" t="s">
        <v>57</v>
      </c>
      <c r="P20" s="6" t="s">
        <v>167</v>
      </c>
      <c r="Q20" s="8" t="s">
        <v>58</v>
      </c>
      <c r="R20" s="10" t="s">
        <v>168</v>
      </c>
      <c r="S20" s="11"/>
      <c r="T20" s="6"/>
      <c r="U20" s="24" t="str">
        <f>HYPERLINK("https://media.infra-m.ru/2049/2049711/cover/2049711.jpg", "Обложка")</f>
        <v>Обложка</v>
      </c>
      <c r="V20" s="24" t="str">
        <f>HYPERLINK("https://znanium.ru/catalog/product/2049711", "Ознакомиться")</f>
        <v>Ознакомиться</v>
      </c>
      <c r="W20" s="8" t="s">
        <v>83</v>
      </c>
      <c r="X20" s="6"/>
      <c r="Y20" s="6"/>
      <c r="Z20" s="6"/>
      <c r="AA20" s="6" t="s">
        <v>133</v>
      </c>
      <c r="AB20" s="8"/>
    </row>
    <row r="21" spans="1:28" s="4" customFormat="1" ht="51.95" customHeight="1">
      <c r="A21" s="5">
        <v>0</v>
      </c>
      <c r="B21" s="6" t="s">
        <v>169</v>
      </c>
      <c r="C21" s="13">
        <v>1510</v>
      </c>
      <c r="D21" s="8" t="s">
        <v>170</v>
      </c>
      <c r="E21" s="8" t="s">
        <v>171</v>
      </c>
      <c r="F21" s="8" t="s">
        <v>172</v>
      </c>
      <c r="G21" s="6" t="s">
        <v>52</v>
      </c>
      <c r="H21" s="6" t="s">
        <v>53</v>
      </c>
      <c r="I21" s="8"/>
      <c r="J21" s="9">
        <v>1</v>
      </c>
      <c r="K21" s="9">
        <v>306</v>
      </c>
      <c r="L21" s="9">
        <v>2024</v>
      </c>
      <c r="M21" s="8" t="s">
        <v>173</v>
      </c>
      <c r="N21" s="8" t="s">
        <v>79</v>
      </c>
      <c r="O21" s="8" t="s">
        <v>174</v>
      </c>
      <c r="P21" s="6" t="s">
        <v>175</v>
      </c>
      <c r="Q21" s="8" t="s">
        <v>58</v>
      </c>
      <c r="R21" s="10" t="s">
        <v>176</v>
      </c>
      <c r="S21" s="11" t="s">
        <v>177</v>
      </c>
      <c r="T21" s="6"/>
      <c r="U21" s="24" t="str">
        <f>HYPERLINK("https://media.infra-m.ru/2150/2150259/cover/2150259.jpg", "Обложка")</f>
        <v>Обложка</v>
      </c>
      <c r="V21" s="24" t="str">
        <f>HYPERLINK("https://znanium.ru/catalog/product/2150259", "Ознакомиться")</f>
        <v>Ознакомиться</v>
      </c>
      <c r="W21" s="8" t="s">
        <v>178</v>
      </c>
      <c r="X21" s="6" t="s">
        <v>179</v>
      </c>
      <c r="Y21" s="6"/>
      <c r="Z21" s="6"/>
      <c r="AA21" s="6" t="s">
        <v>133</v>
      </c>
      <c r="AB21" s="8"/>
    </row>
    <row r="22" spans="1:28" s="4" customFormat="1" ht="44.1" customHeight="1">
      <c r="A22" s="5">
        <v>0</v>
      </c>
      <c r="B22" s="6" t="s">
        <v>180</v>
      </c>
      <c r="C22" s="7">
        <v>320</v>
      </c>
      <c r="D22" s="8" t="s">
        <v>181</v>
      </c>
      <c r="E22" s="8" t="s">
        <v>182</v>
      </c>
      <c r="F22" s="8" t="s">
        <v>183</v>
      </c>
      <c r="G22" s="6" t="s">
        <v>38</v>
      </c>
      <c r="H22" s="6" t="s">
        <v>184</v>
      </c>
      <c r="I22" s="8" t="s">
        <v>185</v>
      </c>
      <c r="J22" s="9">
        <v>1</v>
      </c>
      <c r="K22" s="9">
        <v>119</v>
      </c>
      <c r="L22" s="9">
        <v>2017</v>
      </c>
      <c r="M22" s="8" t="s">
        <v>186</v>
      </c>
      <c r="N22" s="8" t="s">
        <v>79</v>
      </c>
      <c r="O22" s="8" t="s">
        <v>80</v>
      </c>
      <c r="P22" s="6" t="s">
        <v>187</v>
      </c>
      <c r="Q22" s="8" t="s">
        <v>44</v>
      </c>
      <c r="R22" s="10" t="s">
        <v>188</v>
      </c>
      <c r="S22" s="11"/>
      <c r="T22" s="6"/>
      <c r="U22" s="24" t="str">
        <f>HYPERLINK("https://media.infra-m.ru/0858/0858775/cover/858775.jpg", "Обложка")</f>
        <v>Обложка</v>
      </c>
      <c r="V22" s="24" t="str">
        <f>HYPERLINK("https://znanium.ru/catalog/product/980129", "Ознакомиться")</f>
        <v>Ознакомиться</v>
      </c>
      <c r="W22" s="8" t="s">
        <v>189</v>
      </c>
      <c r="X22" s="6"/>
      <c r="Y22" s="6"/>
      <c r="Z22" s="6"/>
      <c r="AA22" s="6" t="s">
        <v>122</v>
      </c>
      <c r="AB22" s="8"/>
    </row>
    <row r="23" spans="1:28" s="4" customFormat="1" ht="51.95" customHeight="1">
      <c r="A23" s="5">
        <v>0</v>
      </c>
      <c r="B23" s="6" t="s">
        <v>190</v>
      </c>
      <c r="C23" s="7">
        <v>650</v>
      </c>
      <c r="D23" s="8" t="s">
        <v>191</v>
      </c>
      <c r="E23" s="8" t="s">
        <v>192</v>
      </c>
      <c r="F23" s="8" t="s">
        <v>193</v>
      </c>
      <c r="G23" s="6" t="s">
        <v>38</v>
      </c>
      <c r="H23" s="6" t="s">
        <v>184</v>
      </c>
      <c r="I23" s="8" t="s">
        <v>185</v>
      </c>
      <c r="J23" s="9">
        <v>1</v>
      </c>
      <c r="K23" s="9">
        <v>138</v>
      </c>
      <c r="L23" s="9">
        <v>2024</v>
      </c>
      <c r="M23" s="8" t="s">
        <v>194</v>
      </c>
      <c r="N23" s="8" t="s">
        <v>79</v>
      </c>
      <c r="O23" s="8" t="s">
        <v>80</v>
      </c>
      <c r="P23" s="6" t="s">
        <v>187</v>
      </c>
      <c r="Q23" s="8" t="s">
        <v>102</v>
      </c>
      <c r="R23" s="10" t="s">
        <v>195</v>
      </c>
      <c r="S23" s="11"/>
      <c r="T23" s="6"/>
      <c r="U23" s="24" t="str">
        <f>HYPERLINK("https://media.infra-m.ru/2093/2093909/cover/2093909.jpg", "Обложка")</f>
        <v>Обложка</v>
      </c>
      <c r="V23" s="24" t="str">
        <f>HYPERLINK("https://znanium.ru/catalog/product/2093909", "Ознакомиться")</f>
        <v>Ознакомиться</v>
      </c>
      <c r="W23" s="8" t="s">
        <v>189</v>
      </c>
      <c r="X23" s="6"/>
      <c r="Y23" s="6"/>
      <c r="Z23" s="6" t="s">
        <v>104</v>
      </c>
      <c r="AA23" s="6" t="s">
        <v>196</v>
      </c>
      <c r="AB23" s="8"/>
    </row>
    <row r="24" spans="1:28" s="4" customFormat="1" ht="44.1" customHeight="1">
      <c r="A24" s="5">
        <v>0</v>
      </c>
      <c r="B24" s="6" t="s">
        <v>197</v>
      </c>
      <c r="C24" s="7">
        <v>624.9</v>
      </c>
      <c r="D24" s="8" t="s">
        <v>198</v>
      </c>
      <c r="E24" s="8" t="s">
        <v>192</v>
      </c>
      <c r="F24" s="8" t="s">
        <v>193</v>
      </c>
      <c r="G24" s="6" t="s">
        <v>38</v>
      </c>
      <c r="H24" s="6" t="s">
        <v>184</v>
      </c>
      <c r="I24" s="8" t="s">
        <v>185</v>
      </c>
      <c r="J24" s="9">
        <v>1</v>
      </c>
      <c r="K24" s="9">
        <v>138</v>
      </c>
      <c r="L24" s="9">
        <v>2023</v>
      </c>
      <c r="M24" s="8" t="s">
        <v>199</v>
      </c>
      <c r="N24" s="8" t="s">
        <v>79</v>
      </c>
      <c r="O24" s="8" t="s">
        <v>80</v>
      </c>
      <c r="P24" s="6" t="s">
        <v>187</v>
      </c>
      <c r="Q24" s="8" t="s">
        <v>44</v>
      </c>
      <c r="R24" s="10" t="s">
        <v>188</v>
      </c>
      <c r="S24" s="11"/>
      <c r="T24" s="6"/>
      <c r="U24" s="24" t="str">
        <f>HYPERLINK("https://media.infra-m.ru/1915/1915342/cover/1915342.jpg", "Обложка")</f>
        <v>Обложка</v>
      </c>
      <c r="V24" s="24" t="str">
        <f>HYPERLINK("https://znanium.ru/catalog/product/980129", "Ознакомиться")</f>
        <v>Ознакомиться</v>
      </c>
      <c r="W24" s="8" t="s">
        <v>189</v>
      </c>
      <c r="X24" s="6"/>
      <c r="Y24" s="6"/>
      <c r="Z24" s="6"/>
      <c r="AA24" s="6" t="s">
        <v>196</v>
      </c>
      <c r="AB24" s="8"/>
    </row>
    <row r="25" spans="1:28" s="4" customFormat="1" ht="42" customHeight="1">
      <c r="A25" s="5">
        <v>0</v>
      </c>
      <c r="B25" s="6" t="s">
        <v>200</v>
      </c>
      <c r="C25" s="13">
        <v>1200</v>
      </c>
      <c r="D25" s="8" t="s">
        <v>201</v>
      </c>
      <c r="E25" s="8" t="s">
        <v>202</v>
      </c>
      <c r="F25" s="8" t="s">
        <v>203</v>
      </c>
      <c r="G25" s="6" t="s">
        <v>89</v>
      </c>
      <c r="H25" s="6" t="s">
        <v>53</v>
      </c>
      <c r="I25" s="8" t="s">
        <v>116</v>
      </c>
      <c r="J25" s="9">
        <v>1</v>
      </c>
      <c r="K25" s="9">
        <v>214</v>
      </c>
      <c r="L25" s="9">
        <v>2025</v>
      </c>
      <c r="M25" s="8" t="s">
        <v>204</v>
      </c>
      <c r="N25" s="8" t="s">
        <v>79</v>
      </c>
      <c r="O25" s="8" t="s">
        <v>174</v>
      </c>
      <c r="P25" s="6" t="s">
        <v>43</v>
      </c>
      <c r="Q25" s="8" t="s">
        <v>58</v>
      </c>
      <c r="R25" s="10" t="s">
        <v>205</v>
      </c>
      <c r="S25" s="11"/>
      <c r="T25" s="6"/>
      <c r="U25" s="24" t="str">
        <f>HYPERLINK("https://media.infra-m.ru/2174/2174716/cover/2174716.jpg", "Обложка")</f>
        <v>Обложка</v>
      </c>
      <c r="V25" s="24" t="str">
        <f>HYPERLINK("https://znanium.ru/catalog/product/2174716", "Ознакомиться")</f>
        <v>Ознакомиться</v>
      </c>
      <c r="W25" s="8" t="s">
        <v>206</v>
      </c>
      <c r="X25" s="6"/>
      <c r="Y25" s="6"/>
      <c r="Z25" s="6"/>
      <c r="AA25" s="6" t="s">
        <v>207</v>
      </c>
      <c r="AB25" s="8"/>
    </row>
    <row r="26" spans="1:28" s="4" customFormat="1" ht="51.95" customHeight="1">
      <c r="A26" s="5">
        <v>0</v>
      </c>
      <c r="B26" s="6" t="s">
        <v>208</v>
      </c>
      <c r="C26" s="13">
        <v>1444</v>
      </c>
      <c r="D26" s="8" t="s">
        <v>209</v>
      </c>
      <c r="E26" s="8" t="s">
        <v>210</v>
      </c>
      <c r="F26" s="8" t="s">
        <v>211</v>
      </c>
      <c r="G26" s="6" t="s">
        <v>89</v>
      </c>
      <c r="H26" s="6" t="s">
        <v>53</v>
      </c>
      <c r="I26" s="8" t="s">
        <v>212</v>
      </c>
      <c r="J26" s="9">
        <v>1</v>
      </c>
      <c r="K26" s="9">
        <v>314</v>
      </c>
      <c r="L26" s="9">
        <v>2024</v>
      </c>
      <c r="M26" s="8" t="s">
        <v>213</v>
      </c>
      <c r="N26" s="8" t="s">
        <v>56</v>
      </c>
      <c r="O26" s="8" t="s">
        <v>57</v>
      </c>
      <c r="P26" s="6" t="s">
        <v>167</v>
      </c>
      <c r="Q26" s="8" t="s">
        <v>214</v>
      </c>
      <c r="R26" s="10" t="s">
        <v>215</v>
      </c>
      <c r="S26" s="11" t="s">
        <v>216</v>
      </c>
      <c r="T26" s="6"/>
      <c r="U26" s="24" t="str">
        <f>HYPERLINK("https://media.infra-m.ru/2103/2103737/cover/2103737.jpg", "Обложка")</f>
        <v>Обложка</v>
      </c>
      <c r="V26" s="24" t="str">
        <f>HYPERLINK("https://znanium.ru/catalog/product/2103737", "Ознакомиться")</f>
        <v>Ознакомиться</v>
      </c>
      <c r="W26" s="8" t="s">
        <v>217</v>
      </c>
      <c r="X26" s="6"/>
      <c r="Y26" s="6"/>
      <c r="Z26" s="6" t="s">
        <v>218</v>
      </c>
      <c r="AA26" s="6" t="s">
        <v>219</v>
      </c>
      <c r="AB26" s="8"/>
    </row>
    <row r="27" spans="1:28" s="4" customFormat="1" ht="42" customHeight="1">
      <c r="A27" s="5">
        <v>0</v>
      </c>
      <c r="B27" s="6" t="s">
        <v>220</v>
      </c>
      <c r="C27" s="13">
        <v>2250</v>
      </c>
      <c r="D27" s="8" t="s">
        <v>221</v>
      </c>
      <c r="E27" s="8" t="s">
        <v>222</v>
      </c>
      <c r="F27" s="8" t="s">
        <v>164</v>
      </c>
      <c r="G27" s="6" t="s">
        <v>52</v>
      </c>
      <c r="H27" s="6" t="s">
        <v>53</v>
      </c>
      <c r="I27" s="8" t="s">
        <v>223</v>
      </c>
      <c r="J27" s="9">
        <v>1</v>
      </c>
      <c r="K27" s="9">
        <v>437</v>
      </c>
      <c r="L27" s="9">
        <v>2025</v>
      </c>
      <c r="M27" s="8" t="s">
        <v>224</v>
      </c>
      <c r="N27" s="8" t="s">
        <v>56</v>
      </c>
      <c r="O27" s="8" t="s">
        <v>57</v>
      </c>
      <c r="P27" s="6" t="s">
        <v>167</v>
      </c>
      <c r="Q27" s="8" t="s">
        <v>102</v>
      </c>
      <c r="R27" s="10" t="s">
        <v>225</v>
      </c>
      <c r="S27" s="11"/>
      <c r="T27" s="6"/>
      <c r="U27" s="24" t="str">
        <f>HYPERLINK("https://media.infra-m.ru/2167/2167737/cover/2167737.jpg", "Обложка")</f>
        <v>Обложка</v>
      </c>
      <c r="V27" s="24" t="str">
        <f>HYPERLINK("https://znanium.ru/catalog/product/2167737", "Ознакомиться")</f>
        <v>Ознакомиться</v>
      </c>
      <c r="W27" s="8" t="s">
        <v>83</v>
      </c>
      <c r="X27" s="6" t="s">
        <v>226</v>
      </c>
      <c r="Y27" s="6"/>
      <c r="Z27" s="6"/>
      <c r="AA27" s="6" t="s">
        <v>61</v>
      </c>
      <c r="AB27" s="8" t="s">
        <v>227</v>
      </c>
    </row>
    <row r="28" spans="1:28" s="4" customFormat="1" ht="44.1" customHeight="1">
      <c r="A28" s="5">
        <v>0</v>
      </c>
      <c r="B28" s="6" t="s">
        <v>228</v>
      </c>
      <c r="C28" s="13">
        <v>1300</v>
      </c>
      <c r="D28" s="8" t="s">
        <v>229</v>
      </c>
      <c r="E28" s="8" t="s">
        <v>230</v>
      </c>
      <c r="F28" s="8" t="s">
        <v>231</v>
      </c>
      <c r="G28" s="6" t="s">
        <v>52</v>
      </c>
      <c r="H28" s="6" t="s">
        <v>53</v>
      </c>
      <c r="I28" s="8" t="s">
        <v>212</v>
      </c>
      <c r="J28" s="9">
        <v>1</v>
      </c>
      <c r="K28" s="9">
        <v>272</v>
      </c>
      <c r="L28" s="9">
        <v>2023</v>
      </c>
      <c r="M28" s="8" t="s">
        <v>232</v>
      </c>
      <c r="N28" s="8" t="s">
        <v>56</v>
      </c>
      <c r="O28" s="8" t="s">
        <v>57</v>
      </c>
      <c r="P28" s="6" t="s">
        <v>43</v>
      </c>
      <c r="Q28" s="8" t="s">
        <v>214</v>
      </c>
      <c r="R28" s="10" t="s">
        <v>233</v>
      </c>
      <c r="S28" s="11"/>
      <c r="T28" s="6"/>
      <c r="U28" s="24" t="str">
        <f>HYPERLINK("https://media.infra-m.ru/1837/1837050/cover/1837050.jpg", "Обложка")</f>
        <v>Обложка</v>
      </c>
      <c r="V28" s="24" t="str">
        <f>HYPERLINK("https://znanium.ru/catalog/product/1837050", "Ознакомиться")</f>
        <v>Ознакомиться</v>
      </c>
      <c r="W28" s="8" t="s">
        <v>234</v>
      </c>
      <c r="X28" s="6"/>
      <c r="Y28" s="6"/>
      <c r="Z28" s="6"/>
      <c r="AA28" s="6" t="s">
        <v>235</v>
      </c>
      <c r="AB28" s="8"/>
    </row>
    <row r="29" spans="1:28" s="4" customFormat="1" ht="51.95" customHeight="1">
      <c r="A29" s="5">
        <v>0</v>
      </c>
      <c r="B29" s="6" t="s">
        <v>236</v>
      </c>
      <c r="C29" s="13">
        <v>2240</v>
      </c>
      <c r="D29" s="8" t="s">
        <v>237</v>
      </c>
      <c r="E29" s="8" t="s">
        <v>238</v>
      </c>
      <c r="F29" s="8" t="s">
        <v>239</v>
      </c>
      <c r="G29" s="6" t="s">
        <v>89</v>
      </c>
      <c r="H29" s="6" t="s">
        <v>39</v>
      </c>
      <c r="I29" s="8" t="s">
        <v>100</v>
      </c>
      <c r="J29" s="9">
        <v>1</v>
      </c>
      <c r="K29" s="9">
        <v>383</v>
      </c>
      <c r="L29" s="9">
        <v>2023</v>
      </c>
      <c r="M29" s="8" t="s">
        <v>240</v>
      </c>
      <c r="N29" s="8" t="s">
        <v>56</v>
      </c>
      <c r="O29" s="8" t="s">
        <v>57</v>
      </c>
      <c r="P29" s="6" t="s">
        <v>167</v>
      </c>
      <c r="Q29" s="8" t="s">
        <v>102</v>
      </c>
      <c r="R29" s="10" t="s">
        <v>241</v>
      </c>
      <c r="S29" s="11" t="s">
        <v>242</v>
      </c>
      <c r="T29" s="6"/>
      <c r="U29" s="24" t="str">
        <f>HYPERLINK("https://media.infra-m.ru/1921/1921403/cover/1921403.jpg", "Обложка")</f>
        <v>Обложка</v>
      </c>
      <c r="V29" s="24" t="str">
        <f>HYPERLINK("https://znanium.ru/catalog/product/1921403", "Ознакомиться")</f>
        <v>Ознакомиться</v>
      </c>
      <c r="W29" s="8" t="s">
        <v>243</v>
      </c>
      <c r="X29" s="6"/>
      <c r="Y29" s="6"/>
      <c r="Z29" s="6"/>
      <c r="AA29" s="6" t="s">
        <v>244</v>
      </c>
      <c r="AB29" s="8"/>
    </row>
    <row r="30" spans="1:28" s="4" customFormat="1" ht="51.95" customHeight="1">
      <c r="A30" s="5">
        <v>0</v>
      </c>
      <c r="B30" s="6" t="s">
        <v>245</v>
      </c>
      <c r="C30" s="13">
        <v>2130</v>
      </c>
      <c r="D30" s="8" t="s">
        <v>246</v>
      </c>
      <c r="E30" s="8" t="s">
        <v>247</v>
      </c>
      <c r="F30" s="8" t="s">
        <v>248</v>
      </c>
      <c r="G30" s="6" t="s">
        <v>52</v>
      </c>
      <c r="H30" s="6" t="s">
        <v>53</v>
      </c>
      <c r="I30" s="8" t="s">
        <v>223</v>
      </c>
      <c r="J30" s="9">
        <v>1</v>
      </c>
      <c r="K30" s="9">
        <v>462</v>
      </c>
      <c r="L30" s="9">
        <v>2023</v>
      </c>
      <c r="M30" s="8" t="s">
        <v>249</v>
      </c>
      <c r="N30" s="8" t="s">
        <v>56</v>
      </c>
      <c r="O30" s="8" t="s">
        <v>57</v>
      </c>
      <c r="P30" s="6" t="s">
        <v>167</v>
      </c>
      <c r="Q30" s="8" t="s">
        <v>102</v>
      </c>
      <c r="R30" s="10" t="s">
        <v>250</v>
      </c>
      <c r="S30" s="11"/>
      <c r="T30" s="6"/>
      <c r="U30" s="24" t="str">
        <f>HYPERLINK("https://media.infra-m.ru/2016/2016340/cover/2016340.jpg", "Обложка")</f>
        <v>Обложка</v>
      </c>
      <c r="V30" s="24" t="str">
        <f>HYPERLINK("https://znanium.ru/catalog/product/2016340", "Ознакомиться")</f>
        <v>Ознакомиться</v>
      </c>
      <c r="W30" s="8" t="s">
        <v>83</v>
      </c>
      <c r="X30" s="6"/>
      <c r="Y30" s="6"/>
      <c r="Z30" s="6"/>
      <c r="AA30" s="6" t="s">
        <v>207</v>
      </c>
      <c r="AB30" s="8"/>
    </row>
    <row r="31" spans="1:28" s="4" customFormat="1" ht="51.95" customHeight="1">
      <c r="A31" s="5">
        <v>0</v>
      </c>
      <c r="B31" s="6" t="s">
        <v>251</v>
      </c>
      <c r="C31" s="13">
        <v>1330</v>
      </c>
      <c r="D31" s="8" t="s">
        <v>252</v>
      </c>
      <c r="E31" s="8" t="s">
        <v>253</v>
      </c>
      <c r="F31" s="8" t="s">
        <v>254</v>
      </c>
      <c r="G31" s="6" t="s">
        <v>89</v>
      </c>
      <c r="H31" s="6" t="s">
        <v>53</v>
      </c>
      <c r="I31" s="8" t="s">
        <v>100</v>
      </c>
      <c r="J31" s="9">
        <v>1</v>
      </c>
      <c r="K31" s="9">
        <v>282</v>
      </c>
      <c r="L31" s="9">
        <v>2024</v>
      </c>
      <c r="M31" s="8" t="s">
        <v>255</v>
      </c>
      <c r="N31" s="8" t="s">
        <v>56</v>
      </c>
      <c r="O31" s="8" t="s">
        <v>57</v>
      </c>
      <c r="P31" s="6" t="s">
        <v>43</v>
      </c>
      <c r="Q31" s="8" t="s">
        <v>102</v>
      </c>
      <c r="R31" s="10" t="s">
        <v>256</v>
      </c>
      <c r="S31" s="11" t="s">
        <v>257</v>
      </c>
      <c r="T31" s="6"/>
      <c r="U31" s="24" t="str">
        <f>HYPERLINK("https://media.infra-m.ru/2152/2152107/cover/2152107.jpg", "Обложка")</f>
        <v>Обложка</v>
      </c>
      <c r="V31" s="24" t="str">
        <f>HYPERLINK("https://znanium.ru/catalog/product/2152107", "Ознакомиться")</f>
        <v>Ознакомиться</v>
      </c>
      <c r="W31" s="8" t="s">
        <v>131</v>
      </c>
      <c r="X31" s="6"/>
      <c r="Y31" s="6"/>
      <c r="Z31" s="6" t="s">
        <v>104</v>
      </c>
      <c r="AA31" s="6" t="s">
        <v>258</v>
      </c>
      <c r="AB31" s="8"/>
    </row>
    <row r="32" spans="1:28" s="4" customFormat="1" ht="51.95" customHeight="1">
      <c r="A32" s="5">
        <v>0</v>
      </c>
      <c r="B32" s="6" t="s">
        <v>259</v>
      </c>
      <c r="C32" s="13">
        <v>1280</v>
      </c>
      <c r="D32" s="8" t="s">
        <v>260</v>
      </c>
      <c r="E32" s="8" t="s">
        <v>253</v>
      </c>
      <c r="F32" s="8" t="s">
        <v>254</v>
      </c>
      <c r="G32" s="6" t="s">
        <v>89</v>
      </c>
      <c r="H32" s="6" t="s">
        <v>53</v>
      </c>
      <c r="I32" s="8" t="s">
        <v>90</v>
      </c>
      <c r="J32" s="9">
        <v>1</v>
      </c>
      <c r="K32" s="9">
        <v>282</v>
      </c>
      <c r="L32" s="9">
        <v>2023</v>
      </c>
      <c r="M32" s="8" t="s">
        <v>261</v>
      </c>
      <c r="N32" s="8" t="s">
        <v>56</v>
      </c>
      <c r="O32" s="8" t="s">
        <v>57</v>
      </c>
      <c r="P32" s="6" t="s">
        <v>43</v>
      </c>
      <c r="Q32" s="8" t="s">
        <v>44</v>
      </c>
      <c r="R32" s="10" t="s">
        <v>262</v>
      </c>
      <c r="S32" s="11" t="s">
        <v>263</v>
      </c>
      <c r="T32" s="6"/>
      <c r="U32" s="24" t="str">
        <f>HYPERLINK("https://media.infra-m.ru/1915/1915345/cover/1915345.jpg", "Обложка")</f>
        <v>Обложка</v>
      </c>
      <c r="V32" s="24" t="str">
        <f>HYPERLINK("https://znanium.ru/catalog/product/1915345", "Ознакомиться")</f>
        <v>Ознакомиться</v>
      </c>
      <c r="W32" s="8" t="s">
        <v>131</v>
      </c>
      <c r="X32" s="6"/>
      <c r="Y32" s="6"/>
      <c r="Z32" s="6"/>
      <c r="AA32" s="6" t="s">
        <v>47</v>
      </c>
      <c r="AB32" s="8"/>
    </row>
    <row r="33" spans="1:28" s="4" customFormat="1" ht="51.95" customHeight="1">
      <c r="A33" s="5">
        <v>0</v>
      </c>
      <c r="B33" s="6" t="s">
        <v>264</v>
      </c>
      <c r="C33" s="13">
        <v>2044</v>
      </c>
      <c r="D33" s="8" t="s">
        <v>265</v>
      </c>
      <c r="E33" s="8" t="s">
        <v>266</v>
      </c>
      <c r="F33" s="8" t="s">
        <v>267</v>
      </c>
      <c r="G33" s="6" t="s">
        <v>52</v>
      </c>
      <c r="H33" s="6" t="s">
        <v>53</v>
      </c>
      <c r="I33" s="8" t="s">
        <v>90</v>
      </c>
      <c r="J33" s="9">
        <v>1</v>
      </c>
      <c r="K33" s="9">
        <v>393</v>
      </c>
      <c r="L33" s="9">
        <v>2025</v>
      </c>
      <c r="M33" s="8" t="s">
        <v>268</v>
      </c>
      <c r="N33" s="8" t="s">
        <v>41</v>
      </c>
      <c r="O33" s="8" t="s">
        <v>118</v>
      </c>
      <c r="P33" s="6" t="s">
        <v>167</v>
      </c>
      <c r="Q33" s="8" t="s">
        <v>44</v>
      </c>
      <c r="R33" s="10" t="s">
        <v>269</v>
      </c>
      <c r="S33" s="11" t="s">
        <v>270</v>
      </c>
      <c r="T33" s="6"/>
      <c r="U33" s="24" t="str">
        <f>HYPERLINK("https://media.infra-m.ru/2184/2184939/cover/2184939.jpg", "Обложка")</f>
        <v>Обложка</v>
      </c>
      <c r="V33" s="24" t="str">
        <f>HYPERLINK("https://znanium.ru/catalog/product/2203278", "Ознакомиться")</f>
        <v>Ознакомиться</v>
      </c>
      <c r="W33" s="8" t="s">
        <v>189</v>
      </c>
      <c r="X33" s="6"/>
      <c r="Y33" s="6"/>
      <c r="Z33" s="6"/>
      <c r="AA33" s="6" t="s">
        <v>151</v>
      </c>
      <c r="AB33" s="8" t="s">
        <v>271</v>
      </c>
    </row>
    <row r="34" spans="1:28" s="4" customFormat="1" ht="51.95" customHeight="1">
      <c r="A34" s="5">
        <v>0</v>
      </c>
      <c r="B34" s="6" t="s">
        <v>272</v>
      </c>
      <c r="C34" s="7">
        <v>780</v>
      </c>
      <c r="D34" s="8" t="s">
        <v>273</v>
      </c>
      <c r="E34" s="8" t="s">
        <v>274</v>
      </c>
      <c r="F34" s="8" t="s">
        <v>275</v>
      </c>
      <c r="G34" s="6" t="s">
        <v>89</v>
      </c>
      <c r="H34" s="6" t="s">
        <v>53</v>
      </c>
      <c r="I34" s="8" t="s">
        <v>276</v>
      </c>
      <c r="J34" s="9">
        <v>1</v>
      </c>
      <c r="K34" s="9">
        <v>143</v>
      </c>
      <c r="L34" s="9">
        <v>2024</v>
      </c>
      <c r="M34" s="8" t="s">
        <v>277</v>
      </c>
      <c r="N34" s="8" t="s">
        <v>41</v>
      </c>
      <c r="O34" s="8" t="s">
        <v>278</v>
      </c>
      <c r="P34" s="6" t="s">
        <v>43</v>
      </c>
      <c r="Q34" s="8" t="s">
        <v>279</v>
      </c>
      <c r="R34" s="10" t="s">
        <v>280</v>
      </c>
      <c r="S34" s="11"/>
      <c r="T34" s="6"/>
      <c r="U34" s="24" t="str">
        <f>HYPERLINK("https://media.infra-m.ru/2086/2086785/cover/2086785.jpg", "Обложка")</f>
        <v>Обложка</v>
      </c>
      <c r="V34" s="24" t="str">
        <f>HYPERLINK("https://znanium.ru/catalog/product/2086785", "Ознакомиться")</f>
        <v>Ознакомиться</v>
      </c>
      <c r="W34" s="8" t="s">
        <v>83</v>
      </c>
      <c r="X34" s="6"/>
      <c r="Y34" s="6"/>
      <c r="Z34" s="6"/>
      <c r="AA34" s="6" t="s">
        <v>72</v>
      </c>
      <c r="AB34" s="8"/>
    </row>
    <row r="35" spans="1:28" s="4" customFormat="1" ht="42" customHeight="1">
      <c r="A35" s="5">
        <v>0</v>
      </c>
      <c r="B35" s="6" t="s">
        <v>281</v>
      </c>
      <c r="C35" s="13">
        <v>1310</v>
      </c>
      <c r="D35" s="8" t="s">
        <v>282</v>
      </c>
      <c r="E35" s="8" t="s">
        <v>283</v>
      </c>
      <c r="F35" s="8" t="s">
        <v>284</v>
      </c>
      <c r="G35" s="6" t="s">
        <v>89</v>
      </c>
      <c r="H35" s="6" t="s">
        <v>53</v>
      </c>
      <c r="I35" s="8" t="s">
        <v>165</v>
      </c>
      <c r="J35" s="9">
        <v>1</v>
      </c>
      <c r="K35" s="9">
        <v>201</v>
      </c>
      <c r="L35" s="9">
        <v>2024</v>
      </c>
      <c r="M35" s="8" t="s">
        <v>285</v>
      </c>
      <c r="N35" s="8" t="s">
        <v>56</v>
      </c>
      <c r="O35" s="8" t="s">
        <v>57</v>
      </c>
      <c r="P35" s="6" t="s">
        <v>43</v>
      </c>
      <c r="Q35" s="8" t="s">
        <v>58</v>
      </c>
      <c r="R35" s="10" t="s">
        <v>286</v>
      </c>
      <c r="S35" s="11"/>
      <c r="T35" s="6"/>
      <c r="U35" s="24" t="str">
        <f>HYPERLINK("https://media.infra-m.ru/2181/2181000/cover/2181000.jpg", "Обложка")</f>
        <v>Обложка</v>
      </c>
      <c r="V35" s="24" t="str">
        <f>HYPERLINK("https://znanium.ru/catalog/product/2181000", "Ознакомиться")</f>
        <v>Ознакомиться</v>
      </c>
      <c r="W35" s="8" t="s">
        <v>83</v>
      </c>
      <c r="X35" s="6"/>
      <c r="Y35" s="6"/>
      <c r="Z35" s="6"/>
      <c r="AA35" s="6" t="s">
        <v>133</v>
      </c>
      <c r="AB35" s="8"/>
    </row>
    <row r="36" spans="1:28" s="4" customFormat="1" ht="42" customHeight="1">
      <c r="A36" s="5">
        <v>0</v>
      </c>
      <c r="B36" s="6" t="s">
        <v>287</v>
      </c>
      <c r="C36" s="7">
        <v>590</v>
      </c>
      <c r="D36" s="8" t="s">
        <v>288</v>
      </c>
      <c r="E36" s="8" t="s">
        <v>289</v>
      </c>
      <c r="F36" s="8" t="s">
        <v>290</v>
      </c>
      <c r="G36" s="6" t="s">
        <v>38</v>
      </c>
      <c r="H36" s="6" t="s">
        <v>53</v>
      </c>
      <c r="I36" s="8" t="s">
        <v>116</v>
      </c>
      <c r="J36" s="9">
        <v>1</v>
      </c>
      <c r="K36" s="9">
        <v>127</v>
      </c>
      <c r="L36" s="9">
        <v>2024</v>
      </c>
      <c r="M36" s="8" t="s">
        <v>291</v>
      </c>
      <c r="N36" s="8" t="s">
        <v>56</v>
      </c>
      <c r="O36" s="8" t="s">
        <v>57</v>
      </c>
      <c r="P36" s="6" t="s">
        <v>43</v>
      </c>
      <c r="Q36" s="8" t="s">
        <v>44</v>
      </c>
      <c r="R36" s="10" t="s">
        <v>292</v>
      </c>
      <c r="S36" s="11"/>
      <c r="T36" s="6"/>
      <c r="U36" s="24" t="str">
        <f>HYPERLINK("https://media.infra-m.ru/2100/2100921/cover/2100921.jpg", "Обложка")</f>
        <v>Обложка</v>
      </c>
      <c r="V36" s="24" t="str">
        <f>HYPERLINK("https://znanium.ru/catalog/product/2100921", "Ознакомиться")</f>
        <v>Ознакомиться</v>
      </c>
      <c r="W36" s="8" t="s">
        <v>141</v>
      </c>
      <c r="X36" s="6"/>
      <c r="Y36" s="6"/>
      <c r="Z36" s="6"/>
      <c r="AA36" s="6" t="s">
        <v>122</v>
      </c>
      <c r="AB36" s="8"/>
    </row>
    <row r="37" spans="1:28" s="4" customFormat="1" ht="51.95" customHeight="1">
      <c r="A37" s="5">
        <v>0</v>
      </c>
      <c r="B37" s="6" t="s">
        <v>293</v>
      </c>
      <c r="C37" s="13">
        <v>1570</v>
      </c>
      <c r="D37" s="8" t="s">
        <v>294</v>
      </c>
      <c r="E37" s="8" t="s">
        <v>295</v>
      </c>
      <c r="F37" s="8" t="s">
        <v>296</v>
      </c>
      <c r="G37" s="6" t="s">
        <v>89</v>
      </c>
      <c r="H37" s="6" t="s">
        <v>53</v>
      </c>
      <c r="I37" s="8" t="s">
        <v>100</v>
      </c>
      <c r="J37" s="9">
        <v>1</v>
      </c>
      <c r="K37" s="9">
        <v>314</v>
      </c>
      <c r="L37" s="9">
        <v>2025</v>
      </c>
      <c r="M37" s="8" t="s">
        <v>297</v>
      </c>
      <c r="N37" s="8" t="s">
        <v>56</v>
      </c>
      <c r="O37" s="8" t="s">
        <v>57</v>
      </c>
      <c r="P37" s="6" t="s">
        <v>167</v>
      </c>
      <c r="Q37" s="8" t="s">
        <v>102</v>
      </c>
      <c r="R37" s="10" t="s">
        <v>256</v>
      </c>
      <c r="S37" s="11" t="s">
        <v>298</v>
      </c>
      <c r="T37" s="6" t="s">
        <v>299</v>
      </c>
      <c r="U37" s="24" t="str">
        <f>HYPERLINK("https://media.infra-m.ru/2163/2163063/cover/2163063.jpg", "Обложка")</f>
        <v>Обложка</v>
      </c>
      <c r="V37" s="24" t="str">
        <f>HYPERLINK("https://znanium.ru/catalog/product/2163063", "Ознакомиться")</f>
        <v>Ознакомиться</v>
      </c>
      <c r="W37" s="8" t="s">
        <v>217</v>
      </c>
      <c r="X37" s="6"/>
      <c r="Y37" s="6"/>
      <c r="Z37" s="6" t="s">
        <v>104</v>
      </c>
      <c r="AA37" s="6" t="s">
        <v>258</v>
      </c>
      <c r="AB37" s="8"/>
    </row>
    <row r="38" spans="1:28" s="4" customFormat="1" ht="51.95" customHeight="1">
      <c r="A38" s="5">
        <v>0</v>
      </c>
      <c r="B38" s="6" t="s">
        <v>300</v>
      </c>
      <c r="C38" s="13">
        <v>1414.9</v>
      </c>
      <c r="D38" s="8" t="s">
        <v>301</v>
      </c>
      <c r="E38" s="8" t="s">
        <v>302</v>
      </c>
      <c r="F38" s="8" t="s">
        <v>296</v>
      </c>
      <c r="G38" s="6" t="s">
        <v>89</v>
      </c>
      <c r="H38" s="6" t="s">
        <v>53</v>
      </c>
      <c r="I38" s="8" t="s">
        <v>90</v>
      </c>
      <c r="J38" s="9">
        <v>1</v>
      </c>
      <c r="K38" s="9">
        <v>314</v>
      </c>
      <c r="L38" s="9">
        <v>2022</v>
      </c>
      <c r="M38" s="8" t="s">
        <v>303</v>
      </c>
      <c r="N38" s="8" t="s">
        <v>56</v>
      </c>
      <c r="O38" s="8" t="s">
        <v>57</v>
      </c>
      <c r="P38" s="6" t="s">
        <v>167</v>
      </c>
      <c r="Q38" s="8" t="s">
        <v>44</v>
      </c>
      <c r="R38" s="10" t="s">
        <v>304</v>
      </c>
      <c r="S38" s="11" t="s">
        <v>305</v>
      </c>
      <c r="T38" s="6" t="s">
        <v>299</v>
      </c>
      <c r="U38" s="24" t="str">
        <f>HYPERLINK("https://media.infra-m.ru/1913/1913537/cover/1913537.jpg", "Обложка")</f>
        <v>Обложка</v>
      </c>
      <c r="V38" s="24" t="str">
        <f>HYPERLINK("https://znanium.ru/catalog/product/1896437", "Ознакомиться")</f>
        <v>Ознакомиться</v>
      </c>
      <c r="W38" s="8" t="s">
        <v>217</v>
      </c>
      <c r="X38" s="6"/>
      <c r="Y38" s="6"/>
      <c r="Z38" s="6"/>
      <c r="AA38" s="6" t="s">
        <v>160</v>
      </c>
      <c r="AB38" s="8"/>
    </row>
    <row r="39" spans="1:28" s="4" customFormat="1" ht="51.95" customHeight="1">
      <c r="A39" s="5">
        <v>0</v>
      </c>
      <c r="B39" s="6" t="s">
        <v>306</v>
      </c>
      <c r="C39" s="13">
        <v>1494</v>
      </c>
      <c r="D39" s="8" t="s">
        <v>307</v>
      </c>
      <c r="E39" s="8" t="s">
        <v>308</v>
      </c>
      <c r="F39" s="8" t="s">
        <v>309</v>
      </c>
      <c r="G39" s="6" t="s">
        <v>89</v>
      </c>
      <c r="H39" s="6" t="s">
        <v>77</v>
      </c>
      <c r="I39" s="8" t="s">
        <v>100</v>
      </c>
      <c r="J39" s="9">
        <v>1</v>
      </c>
      <c r="K39" s="9">
        <v>298</v>
      </c>
      <c r="L39" s="9">
        <v>2025</v>
      </c>
      <c r="M39" s="8" t="s">
        <v>310</v>
      </c>
      <c r="N39" s="8" t="s">
        <v>41</v>
      </c>
      <c r="O39" s="8" t="s">
        <v>278</v>
      </c>
      <c r="P39" s="6" t="s">
        <v>167</v>
      </c>
      <c r="Q39" s="8" t="s">
        <v>102</v>
      </c>
      <c r="R39" s="10" t="s">
        <v>311</v>
      </c>
      <c r="S39" s="11" t="s">
        <v>312</v>
      </c>
      <c r="T39" s="6"/>
      <c r="U39" s="24" t="str">
        <f>HYPERLINK("https://media.infra-m.ru/2172/2172771/cover/2172771.jpg", "Обложка")</f>
        <v>Обложка</v>
      </c>
      <c r="V39" s="24" t="str">
        <f>HYPERLINK("https://znanium.ru/catalog/product/2094304", "Ознакомиться")</f>
        <v>Ознакомиться</v>
      </c>
      <c r="W39" s="8" t="s">
        <v>83</v>
      </c>
      <c r="X39" s="6"/>
      <c r="Y39" s="6"/>
      <c r="Z39" s="6" t="s">
        <v>104</v>
      </c>
      <c r="AA39" s="6" t="s">
        <v>151</v>
      </c>
      <c r="AB39" s="8"/>
    </row>
    <row r="40" spans="1:28" s="4" customFormat="1" ht="51.95" customHeight="1">
      <c r="A40" s="5">
        <v>0</v>
      </c>
      <c r="B40" s="6" t="s">
        <v>313</v>
      </c>
      <c r="C40" s="13">
        <v>1080</v>
      </c>
      <c r="D40" s="8" t="s">
        <v>314</v>
      </c>
      <c r="E40" s="8" t="s">
        <v>315</v>
      </c>
      <c r="F40" s="8" t="s">
        <v>316</v>
      </c>
      <c r="G40" s="6" t="s">
        <v>89</v>
      </c>
      <c r="H40" s="6" t="s">
        <v>77</v>
      </c>
      <c r="I40" s="8" t="s">
        <v>100</v>
      </c>
      <c r="J40" s="9">
        <v>1</v>
      </c>
      <c r="K40" s="9">
        <v>238</v>
      </c>
      <c r="L40" s="9">
        <v>2023</v>
      </c>
      <c r="M40" s="8" t="s">
        <v>317</v>
      </c>
      <c r="N40" s="8" t="s">
        <v>41</v>
      </c>
      <c r="O40" s="8" t="s">
        <v>278</v>
      </c>
      <c r="P40" s="6" t="s">
        <v>43</v>
      </c>
      <c r="Q40" s="8" t="s">
        <v>102</v>
      </c>
      <c r="R40" s="10" t="s">
        <v>318</v>
      </c>
      <c r="S40" s="11" t="s">
        <v>319</v>
      </c>
      <c r="T40" s="6"/>
      <c r="U40" s="24" t="str">
        <f>HYPERLINK("https://media.infra-m.ru/1904/1904849/cover/1904849.jpg", "Обложка")</f>
        <v>Обложка</v>
      </c>
      <c r="V40" s="24" t="str">
        <f>HYPERLINK("https://znanium.ru/catalog/product/1904849", "Ознакомиться")</f>
        <v>Ознакомиться</v>
      </c>
      <c r="W40" s="8" t="s">
        <v>320</v>
      </c>
      <c r="X40" s="6"/>
      <c r="Y40" s="6"/>
      <c r="Z40" s="6" t="s">
        <v>104</v>
      </c>
      <c r="AA40" s="6" t="s">
        <v>196</v>
      </c>
      <c r="AB40" s="8"/>
    </row>
    <row r="41" spans="1:28" s="4" customFormat="1" ht="51.95" customHeight="1">
      <c r="A41" s="5">
        <v>0</v>
      </c>
      <c r="B41" s="6" t="s">
        <v>321</v>
      </c>
      <c r="C41" s="13">
        <v>1194</v>
      </c>
      <c r="D41" s="8" t="s">
        <v>322</v>
      </c>
      <c r="E41" s="8" t="s">
        <v>315</v>
      </c>
      <c r="F41" s="8" t="s">
        <v>316</v>
      </c>
      <c r="G41" s="6" t="s">
        <v>89</v>
      </c>
      <c r="H41" s="6" t="s">
        <v>53</v>
      </c>
      <c r="I41" s="8" t="s">
        <v>116</v>
      </c>
      <c r="J41" s="9">
        <v>1</v>
      </c>
      <c r="K41" s="9">
        <v>238</v>
      </c>
      <c r="L41" s="9">
        <v>2025</v>
      </c>
      <c r="M41" s="8" t="s">
        <v>323</v>
      </c>
      <c r="N41" s="8" t="s">
        <v>41</v>
      </c>
      <c r="O41" s="8" t="s">
        <v>278</v>
      </c>
      <c r="P41" s="6" t="s">
        <v>43</v>
      </c>
      <c r="Q41" s="8" t="s">
        <v>44</v>
      </c>
      <c r="R41" s="10" t="s">
        <v>324</v>
      </c>
      <c r="S41" s="11" t="s">
        <v>325</v>
      </c>
      <c r="T41" s="6"/>
      <c r="U41" s="24" t="str">
        <f>HYPERLINK("https://media.infra-m.ru/2191/2191602/cover/2191602.jpg", "Обложка")</f>
        <v>Обложка</v>
      </c>
      <c r="V41" s="24" t="str">
        <f>HYPERLINK("https://znanium.ru/catalog/product/2131859", "Ознакомиться")</f>
        <v>Ознакомиться</v>
      </c>
      <c r="W41" s="8" t="s">
        <v>320</v>
      </c>
      <c r="X41" s="6"/>
      <c r="Y41" s="6"/>
      <c r="Z41" s="6"/>
      <c r="AA41" s="6" t="s">
        <v>326</v>
      </c>
      <c r="AB41" s="8"/>
    </row>
    <row r="42" spans="1:28" s="4" customFormat="1" ht="51.95" customHeight="1">
      <c r="A42" s="5">
        <v>0</v>
      </c>
      <c r="B42" s="6" t="s">
        <v>327</v>
      </c>
      <c r="C42" s="7">
        <v>500</v>
      </c>
      <c r="D42" s="8" t="s">
        <v>328</v>
      </c>
      <c r="E42" s="8" t="s">
        <v>329</v>
      </c>
      <c r="F42" s="8" t="s">
        <v>330</v>
      </c>
      <c r="G42" s="6" t="s">
        <v>38</v>
      </c>
      <c r="H42" s="6" t="s">
        <v>53</v>
      </c>
      <c r="I42" s="8" t="s">
        <v>90</v>
      </c>
      <c r="J42" s="9">
        <v>1</v>
      </c>
      <c r="K42" s="9">
        <v>120</v>
      </c>
      <c r="L42" s="9">
        <v>2022</v>
      </c>
      <c r="M42" s="8" t="s">
        <v>331</v>
      </c>
      <c r="N42" s="8" t="s">
        <v>56</v>
      </c>
      <c r="O42" s="8" t="s">
        <v>57</v>
      </c>
      <c r="P42" s="6" t="s">
        <v>167</v>
      </c>
      <c r="Q42" s="8" t="s">
        <v>44</v>
      </c>
      <c r="R42" s="10" t="s">
        <v>332</v>
      </c>
      <c r="S42" s="11" t="s">
        <v>333</v>
      </c>
      <c r="T42" s="6"/>
      <c r="U42" s="24" t="str">
        <f>HYPERLINK("https://media.infra-m.ru/1878/1878653/cover/1878653.jpg", "Обложка")</f>
        <v>Обложка</v>
      </c>
      <c r="V42" s="24" t="str">
        <f>HYPERLINK("https://znanium.ru/catalog/product/1723355", "Ознакомиться")</f>
        <v>Ознакомиться</v>
      </c>
      <c r="W42" s="8" t="s">
        <v>334</v>
      </c>
      <c r="X42" s="6"/>
      <c r="Y42" s="6"/>
      <c r="Z42" s="6" t="s">
        <v>335</v>
      </c>
      <c r="AA42" s="6" t="s">
        <v>258</v>
      </c>
      <c r="AB42" s="8"/>
    </row>
    <row r="43" spans="1:28" s="4" customFormat="1" ht="51.95" customHeight="1">
      <c r="A43" s="5">
        <v>0</v>
      </c>
      <c r="B43" s="6" t="s">
        <v>336</v>
      </c>
      <c r="C43" s="7">
        <v>660</v>
      </c>
      <c r="D43" s="8" t="s">
        <v>337</v>
      </c>
      <c r="E43" s="8" t="s">
        <v>329</v>
      </c>
      <c r="F43" s="8" t="s">
        <v>338</v>
      </c>
      <c r="G43" s="6" t="s">
        <v>38</v>
      </c>
      <c r="H43" s="6" t="s">
        <v>53</v>
      </c>
      <c r="I43" s="8" t="s">
        <v>100</v>
      </c>
      <c r="J43" s="9">
        <v>1</v>
      </c>
      <c r="K43" s="9">
        <v>120</v>
      </c>
      <c r="L43" s="9">
        <v>2025</v>
      </c>
      <c r="M43" s="8" t="s">
        <v>339</v>
      </c>
      <c r="N43" s="8" t="s">
        <v>56</v>
      </c>
      <c r="O43" s="8" t="s">
        <v>57</v>
      </c>
      <c r="P43" s="6" t="s">
        <v>167</v>
      </c>
      <c r="Q43" s="8" t="s">
        <v>102</v>
      </c>
      <c r="R43" s="10" t="s">
        <v>195</v>
      </c>
      <c r="S43" s="11" t="s">
        <v>340</v>
      </c>
      <c r="T43" s="6"/>
      <c r="U43" s="24" t="str">
        <f>HYPERLINK("https://media.infra-m.ru/2187/2187014/cover/2187014.jpg", "Обложка")</f>
        <v>Обложка</v>
      </c>
      <c r="V43" s="24" t="str">
        <f>HYPERLINK("https://znanium.ru/catalog/product/2082173", "Ознакомиться")</f>
        <v>Ознакомиться</v>
      </c>
      <c r="W43" s="8" t="s">
        <v>334</v>
      </c>
      <c r="X43" s="6"/>
      <c r="Y43" s="6"/>
      <c r="Z43" s="6"/>
      <c r="AA43" s="6" t="s">
        <v>84</v>
      </c>
      <c r="AB43" s="8"/>
    </row>
    <row r="44" spans="1:28" s="4" customFormat="1" ht="51.95" customHeight="1">
      <c r="A44" s="5">
        <v>0</v>
      </c>
      <c r="B44" s="6" t="s">
        <v>341</v>
      </c>
      <c r="C44" s="13">
        <v>1590</v>
      </c>
      <c r="D44" s="8" t="s">
        <v>342</v>
      </c>
      <c r="E44" s="8" t="s">
        <v>343</v>
      </c>
      <c r="F44" s="8" t="s">
        <v>344</v>
      </c>
      <c r="G44" s="6" t="s">
        <v>52</v>
      </c>
      <c r="H44" s="6" t="s">
        <v>53</v>
      </c>
      <c r="I44" s="8" t="s">
        <v>116</v>
      </c>
      <c r="J44" s="9">
        <v>1</v>
      </c>
      <c r="K44" s="9">
        <v>339</v>
      </c>
      <c r="L44" s="9">
        <v>2023</v>
      </c>
      <c r="M44" s="8" t="s">
        <v>345</v>
      </c>
      <c r="N44" s="8" t="s">
        <v>41</v>
      </c>
      <c r="O44" s="8" t="s">
        <v>118</v>
      </c>
      <c r="P44" s="6" t="s">
        <v>167</v>
      </c>
      <c r="Q44" s="8" t="s">
        <v>44</v>
      </c>
      <c r="R44" s="10" t="s">
        <v>346</v>
      </c>
      <c r="S44" s="11"/>
      <c r="T44" s="6"/>
      <c r="U44" s="24" t="str">
        <f>HYPERLINK("https://media.infra-m.ru/1859/1859087/cover/1859087.jpg", "Обложка")</f>
        <v>Обложка</v>
      </c>
      <c r="V44" s="24" t="str">
        <f>HYPERLINK("https://znanium.ru/catalog/product/1859087", "Ознакомиться")</f>
        <v>Ознакомиться</v>
      </c>
      <c r="W44" s="8" t="s">
        <v>347</v>
      </c>
      <c r="X44" s="6"/>
      <c r="Y44" s="6"/>
      <c r="Z44" s="6"/>
      <c r="AA44" s="6" t="s">
        <v>207</v>
      </c>
      <c r="AB44" s="8"/>
    </row>
    <row r="45" spans="1:28" s="4" customFormat="1" ht="42" customHeight="1">
      <c r="A45" s="5">
        <v>0</v>
      </c>
      <c r="B45" s="6" t="s">
        <v>348</v>
      </c>
      <c r="C45" s="13">
        <v>1430</v>
      </c>
      <c r="D45" s="8" t="s">
        <v>349</v>
      </c>
      <c r="E45" s="8" t="s">
        <v>350</v>
      </c>
      <c r="F45" s="8" t="s">
        <v>351</v>
      </c>
      <c r="G45" s="6" t="s">
        <v>52</v>
      </c>
      <c r="H45" s="6" t="s">
        <v>53</v>
      </c>
      <c r="I45" s="8" t="s">
        <v>116</v>
      </c>
      <c r="J45" s="9">
        <v>1</v>
      </c>
      <c r="K45" s="9">
        <v>304</v>
      </c>
      <c r="L45" s="9">
        <v>2024</v>
      </c>
      <c r="M45" s="8" t="s">
        <v>352</v>
      </c>
      <c r="N45" s="8" t="s">
        <v>41</v>
      </c>
      <c r="O45" s="8" t="s">
        <v>118</v>
      </c>
      <c r="P45" s="6" t="s">
        <v>167</v>
      </c>
      <c r="Q45" s="8" t="s">
        <v>58</v>
      </c>
      <c r="R45" s="10" t="s">
        <v>353</v>
      </c>
      <c r="S45" s="11"/>
      <c r="T45" s="6"/>
      <c r="U45" s="24" t="str">
        <f>HYPERLINK("https://media.infra-m.ru/2104/2104835/cover/2104835.jpg", "Обложка")</f>
        <v>Обложка</v>
      </c>
      <c r="V45" s="24" t="str">
        <f>HYPERLINK("https://znanium.ru/catalog/product/2104835", "Ознакомиться")</f>
        <v>Ознакомиться</v>
      </c>
      <c r="W45" s="8" t="s">
        <v>354</v>
      </c>
      <c r="X45" s="6"/>
      <c r="Y45" s="6"/>
      <c r="Z45" s="6"/>
      <c r="AA45" s="6" t="s">
        <v>133</v>
      </c>
      <c r="AB45" s="8"/>
    </row>
    <row r="46" spans="1:28" s="4" customFormat="1" ht="42" customHeight="1">
      <c r="A46" s="5">
        <v>0</v>
      </c>
      <c r="B46" s="6" t="s">
        <v>355</v>
      </c>
      <c r="C46" s="7">
        <v>610</v>
      </c>
      <c r="D46" s="8" t="s">
        <v>356</v>
      </c>
      <c r="E46" s="8" t="s">
        <v>357</v>
      </c>
      <c r="F46" s="8" t="s">
        <v>358</v>
      </c>
      <c r="G46" s="6" t="s">
        <v>38</v>
      </c>
      <c r="H46" s="6" t="s">
        <v>53</v>
      </c>
      <c r="I46" s="8" t="s">
        <v>116</v>
      </c>
      <c r="J46" s="9">
        <v>1</v>
      </c>
      <c r="K46" s="9">
        <v>119</v>
      </c>
      <c r="L46" s="9">
        <v>2023</v>
      </c>
      <c r="M46" s="8" t="s">
        <v>359</v>
      </c>
      <c r="N46" s="8" t="s">
        <v>56</v>
      </c>
      <c r="O46" s="8" t="s">
        <v>57</v>
      </c>
      <c r="P46" s="6" t="s">
        <v>43</v>
      </c>
      <c r="Q46" s="8" t="s">
        <v>58</v>
      </c>
      <c r="R46" s="10" t="s">
        <v>360</v>
      </c>
      <c r="S46" s="11"/>
      <c r="T46" s="6"/>
      <c r="U46" s="24" t="str">
        <f>HYPERLINK("https://media.infra-m.ru/1859/1859919/cover/1859919.jpg", "Обложка")</f>
        <v>Обложка</v>
      </c>
      <c r="V46" s="24" t="str">
        <f>HYPERLINK("https://znanium.ru/catalog/product/1859919", "Ознакомиться")</f>
        <v>Ознакомиться</v>
      </c>
      <c r="W46" s="8" t="s">
        <v>354</v>
      </c>
      <c r="X46" s="6"/>
      <c r="Y46" s="6"/>
      <c r="Z46" s="6"/>
      <c r="AA46" s="6" t="s">
        <v>207</v>
      </c>
      <c r="AB46" s="8"/>
    </row>
    <row r="47" spans="1:28" s="4" customFormat="1" ht="51.95" customHeight="1">
      <c r="A47" s="5">
        <v>0</v>
      </c>
      <c r="B47" s="6" t="s">
        <v>361</v>
      </c>
      <c r="C47" s="13">
        <v>1400</v>
      </c>
      <c r="D47" s="8" t="s">
        <v>362</v>
      </c>
      <c r="E47" s="8" t="s">
        <v>363</v>
      </c>
      <c r="F47" s="8" t="s">
        <v>364</v>
      </c>
      <c r="G47" s="6" t="s">
        <v>89</v>
      </c>
      <c r="H47" s="6" t="s">
        <v>53</v>
      </c>
      <c r="I47" s="8" t="s">
        <v>100</v>
      </c>
      <c r="J47" s="9">
        <v>1</v>
      </c>
      <c r="K47" s="9">
        <v>269</v>
      </c>
      <c r="L47" s="9">
        <v>2025</v>
      </c>
      <c r="M47" s="8" t="s">
        <v>365</v>
      </c>
      <c r="N47" s="8" t="s">
        <v>79</v>
      </c>
      <c r="O47" s="8" t="s">
        <v>80</v>
      </c>
      <c r="P47" s="6" t="s">
        <v>366</v>
      </c>
      <c r="Q47" s="8" t="s">
        <v>102</v>
      </c>
      <c r="R47" s="10" t="s">
        <v>367</v>
      </c>
      <c r="S47" s="11"/>
      <c r="T47" s="6" t="s">
        <v>299</v>
      </c>
      <c r="U47" s="24" t="str">
        <f>HYPERLINK("https://media.infra-m.ru/2141/2141697/cover/2141697.jpg", "Обложка")</f>
        <v>Обложка</v>
      </c>
      <c r="V47" s="24" t="str">
        <f>HYPERLINK("https://znanium.ru/catalog/product/1891781", "Ознакомиться")</f>
        <v>Ознакомиться</v>
      </c>
      <c r="W47" s="8" t="s">
        <v>368</v>
      </c>
      <c r="X47" s="6"/>
      <c r="Y47" s="6"/>
      <c r="Z47" s="6" t="s">
        <v>369</v>
      </c>
      <c r="AA47" s="6" t="s">
        <v>151</v>
      </c>
      <c r="AB47" s="8"/>
    </row>
    <row r="48" spans="1:28" s="4" customFormat="1" ht="51.95" customHeight="1">
      <c r="A48" s="5">
        <v>0</v>
      </c>
      <c r="B48" s="6" t="s">
        <v>370</v>
      </c>
      <c r="C48" s="13">
        <v>2162</v>
      </c>
      <c r="D48" s="8" t="s">
        <v>371</v>
      </c>
      <c r="E48" s="8" t="s">
        <v>372</v>
      </c>
      <c r="F48" s="8" t="s">
        <v>373</v>
      </c>
      <c r="G48" s="6" t="s">
        <v>89</v>
      </c>
      <c r="H48" s="6" t="s">
        <v>39</v>
      </c>
      <c r="I48" s="8"/>
      <c r="J48" s="9">
        <v>1</v>
      </c>
      <c r="K48" s="9">
        <v>360</v>
      </c>
      <c r="L48" s="9">
        <v>2024</v>
      </c>
      <c r="M48" s="8" t="s">
        <v>374</v>
      </c>
      <c r="N48" s="8" t="s">
        <v>56</v>
      </c>
      <c r="O48" s="8" t="s">
        <v>57</v>
      </c>
      <c r="P48" s="6" t="s">
        <v>167</v>
      </c>
      <c r="Q48" s="8" t="s">
        <v>44</v>
      </c>
      <c r="R48" s="10" t="s">
        <v>375</v>
      </c>
      <c r="S48" s="11" t="s">
        <v>376</v>
      </c>
      <c r="T48" s="6"/>
      <c r="U48" s="24" t="str">
        <f>HYPERLINK("https://media.infra-m.ru/2124/2124363/cover/2124363.jpg", "Обложка")</f>
        <v>Обложка</v>
      </c>
      <c r="V48" s="24" t="str">
        <f>HYPERLINK("https://znanium.ru/catalog/product/1834667", "Ознакомиться")</f>
        <v>Ознакомиться</v>
      </c>
      <c r="W48" s="8"/>
      <c r="X48" s="6"/>
      <c r="Y48" s="6"/>
      <c r="Z48" s="6"/>
      <c r="AA48" s="6" t="s">
        <v>377</v>
      </c>
      <c r="AB48" s="8"/>
    </row>
    <row r="49" spans="1:28" s="4" customFormat="1" ht="51.95" customHeight="1">
      <c r="A49" s="5">
        <v>0</v>
      </c>
      <c r="B49" s="6" t="s">
        <v>378</v>
      </c>
      <c r="C49" s="13">
        <v>2097</v>
      </c>
      <c r="D49" s="8" t="s">
        <v>379</v>
      </c>
      <c r="E49" s="8" t="s">
        <v>372</v>
      </c>
      <c r="F49" s="8" t="s">
        <v>373</v>
      </c>
      <c r="G49" s="6" t="s">
        <v>89</v>
      </c>
      <c r="H49" s="6" t="s">
        <v>39</v>
      </c>
      <c r="I49" s="8" t="s">
        <v>100</v>
      </c>
      <c r="J49" s="9">
        <v>1</v>
      </c>
      <c r="K49" s="9">
        <v>359</v>
      </c>
      <c r="L49" s="9">
        <v>2023</v>
      </c>
      <c r="M49" s="8" t="s">
        <v>380</v>
      </c>
      <c r="N49" s="8" t="s">
        <v>56</v>
      </c>
      <c r="O49" s="8" t="s">
        <v>57</v>
      </c>
      <c r="P49" s="6" t="s">
        <v>167</v>
      </c>
      <c r="Q49" s="8" t="s">
        <v>102</v>
      </c>
      <c r="R49" s="10" t="s">
        <v>381</v>
      </c>
      <c r="S49" s="11" t="s">
        <v>382</v>
      </c>
      <c r="T49" s="6"/>
      <c r="U49" s="24" t="str">
        <f>HYPERLINK("https://media.infra-m.ru/1891/1891782/cover/1891782.jpg", "Обложка")</f>
        <v>Обложка</v>
      </c>
      <c r="V49" s="24" t="str">
        <f>HYPERLINK("https://znanium.ru/catalog/product/1009557", "Ознакомиться")</f>
        <v>Ознакомиться</v>
      </c>
      <c r="W49" s="8"/>
      <c r="X49" s="6"/>
      <c r="Y49" s="6"/>
      <c r="Z49" s="6" t="s">
        <v>104</v>
      </c>
      <c r="AA49" s="6" t="s">
        <v>196</v>
      </c>
      <c r="AB49" s="8"/>
    </row>
    <row r="50" spans="1:28" s="4" customFormat="1" ht="42" customHeight="1">
      <c r="A50" s="5">
        <v>0</v>
      </c>
      <c r="B50" s="6" t="s">
        <v>383</v>
      </c>
      <c r="C50" s="13">
        <v>1160</v>
      </c>
      <c r="D50" s="8" t="s">
        <v>384</v>
      </c>
      <c r="E50" s="8" t="s">
        <v>385</v>
      </c>
      <c r="F50" s="8" t="s">
        <v>386</v>
      </c>
      <c r="G50" s="6" t="s">
        <v>52</v>
      </c>
      <c r="H50" s="6" t="s">
        <v>53</v>
      </c>
      <c r="I50" s="8" t="s">
        <v>116</v>
      </c>
      <c r="J50" s="9">
        <v>1</v>
      </c>
      <c r="K50" s="9">
        <v>232</v>
      </c>
      <c r="L50" s="9">
        <v>2024</v>
      </c>
      <c r="M50" s="8" t="s">
        <v>387</v>
      </c>
      <c r="N50" s="8" t="s">
        <v>56</v>
      </c>
      <c r="O50" s="8" t="s">
        <v>57</v>
      </c>
      <c r="P50" s="6" t="s">
        <v>167</v>
      </c>
      <c r="Q50" s="8" t="s">
        <v>279</v>
      </c>
      <c r="R50" s="10" t="s">
        <v>292</v>
      </c>
      <c r="S50" s="11"/>
      <c r="T50" s="6"/>
      <c r="U50" s="24" t="str">
        <f>HYPERLINK("https://media.infra-m.ru/2110/2110852/cover/2110852.jpg", "Обложка")</f>
        <v>Обложка</v>
      </c>
      <c r="V50" s="24" t="str">
        <f>HYPERLINK("https://znanium.ru/catalog/product/2110852", "Ознакомиться")</f>
        <v>Ознакомиться</v>
      </c>
      <c r="W50" s="8" t="s">
        <v>388</v>
      </c>
      <c r="X50" s="6" t="s">
        <v>389</v>
      </c>
      <c r="Y50" s="6"/>
      <c r="Z50" s="6"/>
      <c r="AA50" s="6" t="s">
        <v>133</v>
      </c>
      <c r="AB50" s="8"/>
    </row>
    <row r="51" spans="1:28" s="4" customFormat="1" ht="51.95" customHeight="1">
      <c r="A51" s="5">
        <v>0</v>
      </c>
      <c r="B51" s="6" t="s">
        <v>390</v>
      </c>
      <c r="C51" s="13">
        <v>1584</v>
      </c>
      <c r="D51" s="8" t="s">
        <v>391</v>
      </c>
      <c r="E51" s="8" t="s">
        <v>392</v>
      </c>
      <c r="F51" s="8" t="s">
        <v>393</v>
      </c>
      <c r="G51" s="6" t="s">
        <v>89</v>
      </c>
      <c r="H51" s="6" t="s">
        <v>53</v>
      </c>
      <c r="I51" s="8" t="s">
        <v>394</v>
      </c>
      <c r="J51" s="9">
        <v>1</v>
      </c>
      <c r="K51" s="9">
        <v>304</v>
      </c>
      <c r="L51" s="9">
        <v>2025</v>
      </c>
      <c r="M51" s="8" t="s">
        <v>395</v>
      </c>
      <c r="N51" s="8" t="s">
        <v>79</v>
      </c>
      <c r="O51" s="8" t="s">
        <v>396</v>
      </c>
      <c r="P51" s="6" t="s">
        <v>397</v>
      </c>
      <c r="Q51" s="8" t="s">
        <v>58</v>
      </c>
      <c r="R51" s="10" t="s">
        <v>398</v>
      </c>
      <c r="S51" s="11"/>
      <c r="T51" s="6"/>
      <c r="U51" s="24" t="str">
        <f>HYPERLINK("https://media.infra-m.ru/2198/2198920/cover/2198920.jpg", "Обложка")</f>
        <v>Обложка</v>
      </c>
      <c r="V51" s="24" t="str">
        <f>HYPERLINK("https://znanium.ru/catalog/product/2024014", "Ознакомиться")</f>
        <v>Ознакомиться</v>
      </c>
      <c r="W51" s="8" t="s">
        <v>399</v>
      </c>
      <c r="X51" s="6"/>
      <c r="Y51" s="6"/>
      <c r="Z51" s="6"/>
      <c r="AA51" s="6" t="s">
        <v>84</v>
      </c>
      <c r="AB51" s="8"/>
    </row>
    <row r="52" spans="1:28" s="4" customFormat="1" ht="51.95" customHeight="1">
      <c r="A52" s="5">
        <v>0</v>
      </c>
      <c r="B52" s="6" t="s">
        <v>400</v>
      </c>
      <c r="C52" s="13">
        <v>1654</v>
      </c>
      <c r="D52" s="8" t="s">
        <v>401</v>
      </c>
      <c r="E52" s="8" t="s">
        <v>402</v>
      </c>
      <c r="F52" s="8" t="s">
        <v>403</v>
      </c>
      <c r="G52" s="6" t="s">
        <v>89</v>
      </c>
      <c r="H52" s="6" t="s">
        <v>53</v>
      </c>
      <c r="I52" s="8" t="s">
        <v>90</v>
      </c>
      <c r="J52" s="9">
        <v>1</v>
      </c>
      <c r="K52" s="9">
        <v>360</v>
      </c>
      <c r="L52" s="9">
        <v>2024</v>
      </c>
      <c r="M52" s="8" t="s">
        <v>404</v>
      </c>
      <c r="N52" s="8" t="s">
        <v>41</v>
      </c>
      <c r="O52" s="8" t="s">
        <v>278</v>
      </c>
      <c r="P52" s="6" t="s">
        <v>167</v>
      </c>
      <c r="Q52" s="8" t="s">
        <v>44</v>
      </c>
      <c r="R52" s="10" t="s">
        <v>405</v>
      </c>
      <c r="S52" s="11" t="s">
        <v>406</v>
      </c>
      <c r="T52" s="6"/>
      <c r="U52" s="24" t="str">
        <f>HYPERLINK("https://media.infra-m.ru/2091/2091925/cover/2091925.jpg", "Обложка")</f>
        <v>Обложка</v>
      </c>
      <c r="V52" s="24" t="str">
        <f>HYPERLINK("https://znanium.ru/catalog/product/1375902", "Ознакомиться")</f>
        <v>Ознакомиться</v>
      </c>
      <c r="W52" s="8" t="s">
        <v>347</v>
      </c>
      <c r="X52" s="6"/>
      <c r="Y52" s="6"/>
      <c r="Z52" s="6"/>
      <c r="AA52" s="6" t="s">
        <v>407</v>
      </c>
      <c r="AB52" s="8"/>
    </row>
    <row r="53" spans="1:28" s="4" customFormat="1" ht="51.95" customHeight="1">
      <c r="A53" s="5">
        <v>0</v>
      </c>
      <c r="B53" s="6" t="s">
        <v>408</v>
      </c>
      <c r="C53" s="7">
        <v>840</v>
      </c>
      <c r="D53" s="8" t="s">
        <v>409</v>
      </c>
      <c r="E53" s="8" t="s">
        <v>410</v>
      </c>
      <c r="F53" s="8" t="s">
        <v>411</v>
      </c>
      <c r="G53" s="6" t="s">
        <v>89</v>
      </c>
      <c r="H53" s="6" t="s">
        <v>53</v>
      </c>
      <c r="I53" s="8" t="s">
        <v>90</v>
      </c>
      <c r="J53" s="9">
        <v>1</v>
      </c>
      <c r="K53" s="9">
        <v>180</v>
      </c>
      <c r="L53" s="9">
        <v>2024</v>
      </c>
      <c r="M53" s="8" t="s">
        <v>412</v>
      </c>
      <c r="N53" s="8" t="s">
        <v>413</v>
      </c>
      <c r="O53" s="8" t="s">
        <v>414</v>
      </c>
      <c r="P53" s="6" t="s">
        <v>43</v>
      </c>
      <c r="Q53" s="8" t="s">
        <v>44</v>
      </c>
      <c r="R53" s="10" t="s">
        <v>415</v>
      </c>
      <c r="S53" s="11" t="s">
        <v>416</v>
      </c>
      <c r="T53" s="6"/>
      <c r="U53" s="24" t="str">
        <f>HYPERLINK("https://media.infra-m.ru/2126/2126823/cover/2126823.jpg", "Обложка")</f>
        <v>Обложка</v>
      </c>
      <c r="V53" s="24" t="str">
        <f>HYPERLINK("https://znanium.ru/catalog/product/2126823", "Ознакомиться")</f>
        <v>Ознакомиться</v>
      </c>
      <c r="W53" s="8" t="s">
        <v>417</v>
      </c>
      <c r="X53" s="6"/>
      <c r="Y53" s="6"/>
      <c r="Z53" s="6"/>
      <c r="AA53" s="6" t="s">
        <v>418</v>
      </c>
      <c r="AB53" s="8"/>
    </row>
    <row r="54" spans="1:28" s="4" customFormat="1" ht="51.95" customHeight="1">
      <c r="A54" s="5">
        <v>0</v>
      </c>
      <c r="B54" s="6" t="s">
        <v>419</v>
      </c>
      <c r="C54" s="13">
        <v>2080</v>
      </c>
      <c r="D54" s="8" t="s">
        <v>420</v>
      </c>
      <c r="E54" s="8" t="s">
        <v>421</v>
      </c>
      <c r="F54" s="8" t="s">
        <v>422</v>
      </c>
      <c r="G54" s="6" t="s">
        <v>52</v>
      </c>
      <c r="H54" s="6" t="s">
        <v>184</v>
      </c>
      <c r="I54" s="8" t="s">
        <v>90</v>
      </c>
      <c r="J54" s="9">
        <v>1</v>
      </c>
      <c r="K54" s="9">
        <v>452</v>
      </c>
      <c r="L54" s="9">
        <v>2023</v>
      </c>
      <c r="M54" s="8" t="s">
        <v>423</v>
      </c>
      <c r="N54" s="8" t="s">
        <v>79</v>
      </c>
      <c r="O54" s="8" t="s">
        <v>424</v>
      </c>
      <c r="P54" s="6" t="s">
        <v>43</v>
      </c>
      <c r="Q54" s="8" t="s">
        <v>44</v>
      </c>
      <c r="R54" s="10" t="s">
        <v>425</v>
      </c>
      <c r="S54" s="11" t="s">
        <v>426</v>
      </c>
      <c r="T54" s="6"/>
      <c r="U54" s="24" t="str">
        <f>HYPERLINK("https://media.infra-m.ru/2125/2125177/cover/2125177.jpg", "Обложка")</f>
        <v>Обложка</v>
      </c>
      <c r="V54" s="24" t="str">
        <f>HYPERLINK("https://znanium.ru/catalog/product/2125177", "Ознакомиться")</f>
        <v>Ознакомиться</v>
      </c>
      <c r="W54" s="8" t="s">
        <v>427</v>
      </c>
      <c r="X54" s="6"/>
      <c r="Y54" s="6"/>
      <c r="Z54" s="6"/>
      <c r="AA54" s="6" t="s">
        <v>377</v>
      </c>
      <c r="AB54" s="8"/>
    </row>
    <row r="55" spans="1:28" s="4" customFormat="1" ht="51.95" customHeight="1">
      <c r="A55" s="5">
        <v>0</v>
      </c>
      <c r="B55" s="6" t="s">
        <v>428</v>
      </c>
      <c r="C55" s="13">
        <v>1324</v>
      </c>
      <c r="D55" s="8" t="s">
        <v>429</v>
      </c>
      <c r="E55" s="8" t="s">
        <v>430</v>
      </c>
      <c r="F55" s="8" t="s">
        <v>431</v>
      </c>
      <c r="G55" s="6" t="s">
        <v>89</v>
      </c>
      <c r="H55" s="6" t="s">
        <v>53</v>
      </c>
      <c r="I55" s="8" t="s">
        <v>100</v>
      </c>
      <c r="J55" s="9">
        <v>1</v>
      </c>
      <c r="K55" s="9">
        <v>264</v>
      </c>
      <c r="L55" s="9">
        <v>2025</v>
      </c>
      <c r="M55" s="8" t="s">
        <v>432</v>
      </c>
      <c r="N55" s="8" t="s">
        <v>79</v>
      </c>
      <c r="O55" s="8" t="s">
        <v>396</v>
      </c>
      <c r="P55" s="6" t="s">
        <v>43</v>
      </c>
      <c r="Q55" s="8" t="s">
        <v>102</v>
      </c>
      <c r="R55" s="10" t="s">
        <v>433</v>
      </c>
      <c r="S55" s="11" t="s">
        <v>434</v>
      </c>
      <c r="T55" s="6"/>
      <c r="U55" s="24" t="str">
        <f>HYPERLINK("https://media.infra-m.ru/2187/2187670/cover/2187670.jpg", "Обложка")</f>
        <v>Обложка</v>
      </c>
      <c r="V55" s="24" t="str">
        <f>HYPERLINK("https://znanium.ru/catalog/product/1912943", "Ознакомиться")</f>
        <v>Ознакомиться</v>
      </c>
      <c r="W55" s="8" t="s">
        <v>71</v>
      </c>
      <c r="X55" s="6"/>
      <c r="Y55" s="6"/>
      <c r="Z55" s="6"/>
      <c r="AA55" s="6" t="s">
        <v>72</v>
      </c>
      <c r="AB55" s="8"/>
    </row>
    <row r="56" spans="1:28" s="4" customFormat="1" ht="44.1" customHeight="1">
      <c r="A56" s="5">
        <v>0</v>
      </c>
      <c r="B56" s="6" t="s">
        <v>435</v>
      </c>
      <c r="C56" s="13">
        <v>1550</v>
      </c>
      <c r="D56" s="8" t="s">
        <v>436</v>
      </c>
      <c r="E56" s="8" t="s">
        <v>430</v>
      </c>
      <c r="F56" s="8" t="s">
        <v>437</v>
      </c>
      <c r="G56" s="6" t="s">
        <v>89</v>
      </c>
      <c r="H56" s="6" t="s">
        <v>438</v>
      </c>
      <c r="I56" s="8"/>
      <c r="J56" s="9">
        <v>1</v>
      </c>
      <c r="K56" s="9">
        <v>320</v>
      </c>
      <c r="L56" s="9">
        <v>2023</v>
      </c>
      <c r="M56" s="8" t="s">
        <v>439</v>
      </c>
      <c r="N56" s="8" t="s">
        <v>79</v>
      </c>
      <c r="O56" s="8" t="s">
        <v>396</v>
      </c>
      <c r="P56" s="6" t="s">
        <v>167</v>
      </c>
      <c r="Q56" s="8" t="s">
        <v>44</v>
      </c>
      <c r="R56" s="10" t="s">
        <v>440</v>
      </c>
      <c r="S56" s="11"/>
      <c r="T56" s="6"/>
      <c r="U56" s="24" t="str">
        <f>HYPERLINK("https://media.infra-m.ru/1903/1903733/cover/1903733.jpg", "Обложка")</f>
        <v>Обложка</v>
      </c>
      <c r="V56" s="24" t="str">
        <f>HYPERLINK("https://znanium.ru/catalog/product/1903733", "Ознакомиться")</f>
        <v>Ознакомиться</v>
      </c>
      <c r="W56" s="8" t="s">
        <v>441</v>
      </c>
      <c r="X56" s="6"/>
      <c r="Y56" s="6"/>
      <c r="Z56" s="6"/>
      <c r="AA56" s="6" t="s">
        <v>442</v>
      </c>
      <c r="AB56" s="8"/>
    </row>
    <row r="57" spans="1:28" s="4" customFormat="1" ht="51.95" customHeight="1">
      <c r="A57" s="5">
        <v>0</v>
      </c>
      <c r="B57" s="6" t="s">
        <v>443</v>
      </c>
      <c r="C57" s="13">
        <v>1084</v>
      </c>
      <c r="D57" s="8" t="s">
        <v>444</v>
      </c>
      <c r="E57" s="8" t="s">
        <v>445</v>
      </c>
      <c r="F57" s="8" t="s">
        <v>446</v>
      </c>
      <c r="G57" s="6" t="s">
        <v>89</v>
      </c>
      <c r="H57" s="6" t="s">
        <v>53</v>
      </c>
      <c r="I57" s="8" t="s">
        <v>100</v>
      </c>
      <c r="J57" s="9">
        <v>1</v>
      </c>
      <c r="K57" s="9">
        <v>208</v>
      </c>
      <c r="L57" s="9">
        <v>2025</v>
      </c>
      <c r="M57" s="8" t="s">
        <v>447</v>
      </c>
      <c r="N57" s="8" t="s">
        <v>79</v>
      </c>
      <c r="O57" s="8" t="s">
        <v>396</v>
      </c>
      <c r="P57" s="6" t="s">
        <v>43</v>
      </c>
      <c r="Q57" s="8" t="s">
        <v>102</v>
      </c>
      <c r="R57" s="10" t="s">
        <v>448</v>
      </c>
      <c r="S57" s="11" t="s">
        <v>449</v>
      </c>
      <c r="T57" s="6"/>
      <c r="U57" s="24" t="str">
        <f>HYPERLINK("https://media.infra-m.ru/2202/2202670/cover/2202670.jpg", "Обложка")</f>
        <v>Обложка</v>
      </c>
      <c r="V57" s="24" t="str">
        <f>HYPERLINK("https://znanium.ru/catalog/product/2198820", "Ознакомиться")</f>
        <v>Ознакомиться</v>
      </c>
      <c r="W57" s="8" t="s">
        <v>450</v>
      </c>
      <c r="X57" s="6"/>
      <c r="Y57" s="6"/>
      <c r="Z57" s="6" t="s">
        <v>104</v>
      </c>
      <c r="AA57" s="6" t="s">
        <v>151</v>
      </c>
      <c r="AB57" s="8"/>
    </row>
    <row r="58" spans="1:28" s="4" customFormat="1" ht="51.95" customHeight="1">
      <c r="A58" s="5">
        <v>0</v>
      </c>
      <c r="B58" s="6" t="s">
        <v>451</v>
      </c>
      <c r="C58" s="13">
        <v>1050</v>
      </c>
      <c r="D58" s="8" t="s">
        <v>452</v>
      </c>
      <c r="E58" s="8" t="s">
        <v>445</v>
      </c>
      <c r="F58" s="8" t="s">
        <v>446</v>
      </c>
      <c r="G58" s="6" t="s">
        <v>89</v>
      </c>
      <c r="H58" s="6" t="s">
        <v>53</v>
      </c>
      <c r="I58" s="8" t="s">
        <v>116</v>
      </c>
      <c r="J58" s="9">
        <v>1</v>
      </c>
      <c r="K58" s="9">
        <v>208</v>
      </c>
      <c r="L58" s="9">
        <v>2025</v>
      </c>
      <c r="M58" s="8" t="s">
        <v>453</v>
      </c>
      <c r="N58" s="8" t="s">
        <v>79</v>
      </c>
      <c r="O58" s="8" t="s">
        <v>396</v>
      </c>
      <c r="P58" s="6" t="s">
        <v>43</v>
      </c>
      <c r="Q58" s="8" t="s">
        <v>44</v>
      </c>
      <c r="R58" s="10" t="s">
        <v>454</v>
      </c>
      <c r="S58" s="11" t="s">
        <v>455</v>
      </c>
      <c r="T58" s="6"/>
      <c r="U58" s="24" t="str">
        <f>HYPERLINK("https://media.infra-m.ru/2184/2184899/cover/2184899.jpg", "Обложка")</f>
        <v>Обложка</v>
      </c>
      <c r="V58" s="24" t="str">
        <f>HYPERLINK("https://znanium.ru/catalog/product/2184899", "Ознакомиться")</f>
        <v>Ознакомиться</v>
      </c>
      <c r="W58" s="8" t="s">
        <v>450</v>
      </c>
      <c r="X58" s="6"/>
      <c r="Y58" s="6"/>
      <c r="Z58" s="6"/>
      <c r="AA58" s="6" t="s">
        <v>418</v>
      </c>
      <c r="AB58" s="8"/>
    </row>
    <row r="59" spans="1:28" s="4" customFormat="1" ht="51.95" customHeight="1">
      <c r="A59" s="5">
        <v>0</v>
      </c>
      <c r="B59" s="6" t="s">
        <v>456</v>
      </c>
      <c r="C59" s="13">
        <v>1270</v>
      </c>
      <c r="D59" s="8" t="s">
        <v>457</v>
      </c>
      <c r="E59" s="8" t="s">
        <v>445</v>
      </c>
      <c r="F59" s="8" t="s">
        <v>458</v>
      </c>
      <c r="G59" s="6" t="s">
        <v>89</v>
      </c>
      <c r="H59" s="6" t="s">
        <v>53</v>
      </c>
      <c r="I59" s="8" t="s">
        <v>90</v>
      </c>
      <c r="J59" s="9">
        <v>1</v>
      </c>
      <c r="K59" s="9">
        <v>274</v>
      </c>
      <c r="L59" s="9">
        <v>2023</v>
      </c>
      <c r="M59" s="8" t="s">
        <v>459</v>
      </c>
      <c r="N59" s="8" t="s">
        <v>79</v>
      </c>
      <c r="O59" s="8" t="s">
        <v>396</v>
      </c>
      <c r="P59" s="6" t="s">
        <v>43</v>
      </c>
      <c r="Q59" s="8" t="s">
        <v>44</v>
      </c>
      <c r="R59" s="10" t="s">
        <v>460</v>
      </c>
      <c r="S59" s="11" t="s">
        <v>461</v>
      </c>
      <c r="T59" s="6"/>
      <c r="U59" s="24" t="str">
        <f>HYPERLINK("https://media.infra-m.ru/2126/2126766/cover/2126766.jpg", "Обложка")</f>
        <v>Обложка</v>
      </c>
      <c r="V59" s="24" t="str">
        <f>HYPERLINK("https://znanium.ru/catalog/product/2126766", "Ознакомиться")</f>
        <v>Ознакомиться</v>
      </c>
      <c r="W59" s="8" t="s">
        <v>462</v>
      </c>
      <c r="X59" s="6"/>
      <c r="Y59" s="6"/>
      <c r="Z59" s="6"/>
      <c r="AA59" s="6" t="s">
        <v>258</v>
      </c>
      <c r="AB59" s="8"/>
    </row>
    <row r="60" spans="1:28" s="4" customFormat="1" ht="51.95" customHeight="1">
      <c r="A60" s="5">
        <v>0</v>
      </c>
      <c r="B60" s="6" t="s">
        <v>463</v>
      </c>
      <c r="C60" s="13">
        <v>1110</v>
      </c>
      <c r="D60" s="8" t="s">
        <v>464</v>
      </c>
      <c r="E60" s="8" t="s">
        <v>465</v>
      </c>
      <c r="F60" s="8" t="s">
        <v>466</v>
      </c>
      <c r="G60" s="6" t="s">
        <v>38</v>
      </c>
      <c r="H60" s="6" t="s">
        <v>184</v>
      </c>
      <c r="I60" s="8" t="s">
        <v>116</v>
      </c>
      <c r="J60" s="9">
        <v>1</v>
      </c>
      <c r="K60" s="9">
        <v>241</v>
      </c>
      <c r="L60" s="9">
        <v>2024</v>
      </c>
      <c r="M60" s="8" t="s">
        <v>467</v>
      </c>
      <c r="N60" s="8" t="s">
        <v>79</v>
      </c>
      <c r="O60" s="8" t="s">
        <v>424</v>
      </c>
      <c r="P60" s="6" t="s">
        <v>43</v>
      </c>
      <c r="Q60" s="8" t="s">
        <v>58</v>
      </c>
      <c r="R60" s="10" t="s">
        <v>468</v>
      </c>
      <c r="S60" s="11" t="s">
        <v>469</v>
      </c>
      <c r="T60" s="6" t="s">
        <v>299</v>
      </c>
      <c r="U60" s="24" t="str">
        <f>HYPERLINK("https://media.infra-m.ru/2110/2110025/cover/2110025.jpg", "Обложка")</f>
        <v>Обложка</v>
      </c>
      <c r="V60" s="24" t="str">
        <f>HYPERLINK("https://znanium.ru/catalog/product/2110025", "Ознакомиться")</f>
        <v>Ознакомиться</v>
      </c>
      <c r="W60" s="8" t="s">
        <v>470</v>
      </c>
      <c r="X60" s="6"/>
      <c r="Y60" s="6"/>
      <c r="Z60" s="6"/>
      <c r="AA60" s="6" t="s">
        <v>442</v>
      </c>
      <c r="AB60" s="8"/>
    </row>
    <row r="61" spans="1:28" s="4" customFormat="1" ht="51.95" customHeight="1">
      <c r="A61" s="5">
        <v>0</v>
      </c>
      <c r="B61" s="6" t="s">
        <v>471</v>
      </c>
      <c r="C61" s="7">
        <v>990</v>
      </c>
      <c r="D61" s="8" t="s">
        <v>472</v>
      </c>
      <c r="E61" s="8" t="s">
        <v>473</v>
      </c>
      <c r="F61" s="8" t="s">
        <v>474</v>
      </c>
      <c r="G61" s="6" t="s">
        <v>89</v>
      </c>
      <c r="H61" s="6" t="s">
        <v>53</v>
      </c>
      <c r="I61" s="8" t="s">
        <v>100</v>
      </c>
      <c r="J61" s="9">
        <v>1</v>
      </c>
      <c r="K61" s="9">
        <v>192</v>
      </c>
      <c r="L61" s="9">
        <v>2025</v>
      </c>
      <c r="M61" s="8" t="s">
        <v>475</v>
      </c>
      <c r="N61" s="8" t="s">
        <v>79</v>
      </c>
      <c r="O61" s="8" t="s">
        <v>424</v>
      </c>
      <c r="P61" s="6" t="s">
        <v>167</v>
      </c>
      <c r="Q61" s="8" t="s">
        <v>102</v>
      </c>
      <c r="R61" s="10" t="s">
        <v>476</v>
      </c>
      <c r="S61" s="11" t="s">
        <v>477</v>
      </c>
      <c r="T61" s="6" t="s">
        <v>299</v>
      </c>
      <c r="U61" s="24" t="str">
        <f>HYPERLINK("https://media.infra-m.ru/2185/2185917/cover/2185917.jpg", "Обложка")</f>
        <v>Обложка</v>
      </c>
      <c r="V61" s="24" t="str">
        <f>HYPERLINK("https://znanium.ru/catalog/product/2185917", "Ознакомиться")</f>
        <v>Ознакомиться</v>
      </c>
      <c r="W61" s="8" t="s">
        <v>478</v>
      </c>
      <c r="X61" s="6"/>
      <c r="Y61" s="6"/>
      <c r="Z61" s="6"/>
      <c r="AA61" s="6" t="s">
        <v>479</v>
      </c>
      <c r="AB61" s="8"/>
    </row>
    <row r="62" spans="1:28" s="4" customFormat="1" ht="51.95" customHeight="1">
      <c r="A62" s="5">
        <v>0</v>
      </c>
      <c r="B62" s="6" t="s">
        <v>480</v>
      </c>
      <c r="C62" s="13">
        <v>1124</v>
      </c>
      <c r="D62" s="8" t="s">
        <v>481</v>
      </c>
      <c r="E62" s="8" t="s">
        <v>482</v>
      </c>
      <c r="F62" s="8" t="s">
        <v>483</v>
      </c>
      <c r="G62" s="6" t="s">
        <v>89</v>
      </c>
      <c r="H62" s="6" t="s">
        <v>39</v>
      </c>
      <c r="I62" s="8" t="s">
        <v>100</v>
      </c>
      <c r="J62" s="9">
        <v>1</v>
      </c>
      <c r="K62" s="9">
        <v>224</v>
      </c>
      <c r="L62" s="9">
        <v>2025</v>
      </c>
      <c r="M62" s="8" t="s">
        <v>484</v>
      </c>
      <c r="N62" s="8" t="s">
        <v>79</v>
      </c>
      <c r="O62" s="8" t="s">
        <v>396</v>
      </c>
      <c r="P62" s="6" t="s">
        <v>43</v>
      </c>
      <c r="Q62" s="8" t="s">
        <v>102</v>
      </c>
      <c r="R62" s="10" t="s">
        <v>485</v>
      </c>
      <c r="S62" s="11" t="s">
        <v>486</v>
      </c>
      <c r="T62" s="6"/>
      <c r="U62" s="24" t="str">
        <f>HYPERLINK("https://media.infra-m.ru/2187/2187789/cover/2187789.jpg", "Обложка")</f>
        <v>Обложка</v>
      </c>
      <c r="V62" s="24" t="str">
        <f>HYPERLINK("https://znanium.ru/catalog/product/2103176", "Ознакомиться")</f>
        <v>Ознакомиться</v>
      </c>
      <c r="W62" s="8" t="s">
        <v>487</v>
      </c>
      <c r="X62" s="6"/>
      <c r="Y62" s="6"/>
      <c r="Z62" s="6" t="s">
        <v>104</v>
      </c>
      <c r="AA62" s="6" t="s">
        <v>196</v>
      </c>
      <c r="AB62" s="8"/>
    </row>
    <row r="63" spans="1:28" s="4" customFormat="1" ht="51.95" customHeight="1">
      <c r="A63" s="5">
        <v>0</v>
      </c>
      <c r="B63" s="6" t="s">
        <v>488</v>
      </c>
      <c r="C63" s="13">
        <v>1124</v>
      </c>
      <c r="D63" s="8" t="s">
        <v>489</v>
      </c>
      <c r="E63" s="8" t="s">
        <v>482</v>
      </c>
      <c r="F63" s="8" t="s">
        <v>490</v>
      </c>
      <c r="G63" s="6" t="s">
        <v>52</v>
      </c>
      <c r="H63" s="6" t="s">
        <v>39</v>
      </c>
      <c r="I63" s="8" t="s">
        <v>116</v>
      </c>
      <c r="J63" s="9">
        <v>1</v>
      </c>
      <c r="K63" s="9">
        <v>224</v>
      </c>
      <c r="L63" s="9">
        <v>2025</v>
      </c>
      <c r="M63" s="8" t="s">
        <v>491</v>
      </c>
      <c r="N63" s="8" t="s">
        <v>79</v>
      </c>
      <c r="O63" s="8" t="s">
        <v>396</v>
      </c>
      <c r="P63" s="6" t="s">
        <v>43</v>
      </c>
      <c r="Q63" s="8" t="s">
        <v>44</v>
      </c>
      <c r="R63" s="10" t="s">
        <v>492</v>
      </c>
      <c r="S63" s="11" t="s">
        <v>493</v>
      </c>
      <c r="T63" s="6"/>
      <c r="U63" s="24" t="str">
        <f>HYPERLINK("https://media.infra-m.ru/2186/2186897/cover/2186897.jpg", "Обложка")</f>
        <v>Обложка</v>
      </c>
      <c r="V63" s="24" t="str">
        <f>HYPERLINK("https://znanium.ru/catalog/product/2186897", "Ознакомиться")</f>
        <v>Ознакомиться</v>
      </c>
      <c r="W63" s="8" t="s">
        <v>487</v>
      </c>
      <c r="X63" s="6"/>
      <c r="Y63" s="6"/>
      <c r="Z63" s="6"/>
      <c r="AA63" s="6" t="s">
        <v>494</v>
      </c>
      <c r="AB63" s="8"/>
    </row>
    <row r="64" spans="1:28" s="4" customFormat="1" ht="51.95" customHeight="1">
      <c r="A64" s="5">
        <v>0</v>
      </c>
      <c r="B64" s="6" t="s">
        <v>495</v>
      </c>
      <c r="C64" s="7">
        <v>820</v>
      </c>
      <c r="D64" s="8" t="s">
        <v>496</v>
      </c>
      <c r="E64" s="8" t="s">
        <v>497</v>
      </c>
      <c r="F64" s="8" t="s">
        <v>498</v>
      </c>
      <c r="G64" s="6" t="s">
        <v>89</v>
      </c>
      <c r="H64" s="6" t="s">
        <v>39</v>
      </c>
      <c r="I64" s="8" t="s">
        <v>100</v>
      </c>
      <c r="J64" s="9">
        <v>1</v>
      </c>
      <c r="K64" s="9">
        <v>161</v>
      </c>
      <c r="L64" s="9">
        <v>2024</v>
      </c>
      <c r="M64" s="8" t="s">
        <v>499</v>
      </c>
      <c r="N64" s="8" t="s">
        <v>79</v>
      </c>
      <c r="O64" s="8" t="s">
        <v>396</v>
      </c>
      <c r="P64" s="6" t="s">
        <v>43</v>
      </c>
      <c r="Q64" s="8" t="s">
        <v>102</v>
      </c>
      <c r="R64" s="10" t="s">
        <v>500</v>
      </c>
      <c r="S64" s="11" t="s">
        <v>501</v>
      </c>
      <c r="T64" s="6"/>
      <c r="U64" s="24" t="str">
        <f>HYPERLINK("https://media.infra-m.ru/2125/2125245/cover/2125245.jpg", "Обложка")</f>
        <v>Обложка</v>
      </c>
      <c r="V64" s="24" t="str">
        <f>HYPERLINK("https://znanium.ru/catalog/product/2125245", "Ознакомиться")</f>
        <v>Ознакомиться</v>
      </c>
      <c r="W64" s="8" t="s">
        <v>450</v>
      </c>
      <c r="X64" s="6"/>
      <c r="Y64" s="6"/>
      <c r="Z64" s="6" t="s">
        <v>502</v>
      </c>
      <c r="AA64" s="6" t="s">
        <v>151</v>
      </c>
      <c r="AB64" s="8"/>
    </row>
    <row r="65" spans="1:28" s="4" customFormat="1" ht="42" customHeight="1">
      <c r="A65" s="5">
        <v>0</v>
      </c>
      <c r="B65" s="6" t="s">
        <v>503</v>
      </c>
      <c r="C65" s="7">
        <v>884</v>
      </c>
      <c r="D65" s="8" t="s">
        <v>504</v>
      </c>
      <c r="E65" s="8" t="s">
        <v>497</v>
      </c>
      <c r="F65" s="8" t="s">
        <v>505</v>
      </c>
      <c r="G65" s="6" t="s">
        <v>38</v>
      </c>
      <c r="H65" s="6" t="s">
        <v>39</v>
      </c>
      <c r="I65" s="8" t="s">
        <v>90</v>
      </c>
      <c r="J65" s="9">
        <v>1</v>
      </c>
      <c r="K65" s="9">
        <v>192</v>
      </c>
      <c r="L65" s="9">
        <v>2022</v>
      </c>
      <c r="M65" s="8" t="s">
        <v>506</v>
      </c>
      <c r="N65" s="8" t="s">
        <v>79</v>
      </c>
      <c r="O65" s="8" t="s">
        <v>396</v>
      </c>
      <c r="P65" s="6" t="s">
        <v>43</v>
      </c>
      <c r="Q65" s="8" t="s">
        <v>44</v>
      </c>
      <c r="R65" s="10" t="s">
        <v>507</v>
      </c>
      <c r="S65" s="11"/>
      <c r="T65" s="6"/>
      <c r="U65" s="24" t="str">
        <f>HYPERLINK("https://media.infra-m.ru/1817/1817877/cover/1817877.jpg", "Обложка")</f>
        <v>Обложка</v>
      </c>
      <c r="V65" s="24" t="str">
        <f>HYPERLINK("https://znanium.ru/catalog/product/978917", "Ознакомиться")</f>
        <v>Ознакомиться</v>
      </c>
      <c r="W65" s="8" t="s">
        <v>450</v>
      </c>
      <c r="X65" s="6"/>
      <c r="Y65" s="6"/>
      <c r="Z65" s="6"/>
      <c r="AA65" s="6" t="s">
        <v>84</v>
      </c>
      <c r="AB65" s="8"/>
    </row>
    <row r="66" spans="1:28" s="4" customFormat="1" ht="51.95" customHeight="1">
      <c r="A66" s="5">
        <v>0</v>
      </c>
      <c r="B66" s="6" t="s">
        <v>508</v>
      </c>
      <c r="C66" s="13">
        <v>1004</v>
      </c>
      <c r="D66" s="8" t="s">
        <v>509</v>
      </c>
      <c r="E66" s="8" t="s">
        <v>510</v>
      </c>
      <c r="F66" s="8" t="s">
        <v>498</v>
      </c>
      <c r="G66" s="6" t="s">
        <v>89</v>
      </c>
      <c r="H66" s="6" t="s">
        <v>39</v>
      </c>
      <c r="I66" s="8" t="s">
        <v>90</v>
      </c>
      <c r="J66" s="9">
        <v>1</v>
      </c>
      <c r="K66" s="9">
        <v>193</v>
      </c>
      <c r="L66" s="9">
        <v>2025</v>
      </c>
      <c r="M66" s="8" t="s">
        <v>511</v>
      </c>
      <c r="N66" s="8" t="s">
        <v>79</v>
      </c>
      <c r="O66" s="8" t="s">
        <v>396</v>
      </c>
      <c r="P66" s="6" t="s">
        <v>43</v>
      </c>
      <c r="Q66" s="8" t="s">
        <v>58</v>
      </c>
      <c r="R66" s="10" t="s">
        <v>507</v>
      </c>
      <c r="S66" s="11" t="s">
        <v>512</v>
      </c>
      <c r="T66" s="6"/>
      <c r="U66" s="24" t="str">
        <f>HYPERLINK("https://media.infra-m.ru/2194/2194384/cover/2194384.jpg", "Обложка")</f>
        <v>Обложка</v>
      </c>
      <c r="V66" s="24" t="str">
        <f>HYPERLINK("https://znanium.ru/catalog/product/978917", "Ознакомиться")</f>
        <v>Ознакомиться</v>
      </c>
      <c r="W66" s="8" t="s">
        <v>450</v>
      </c>
      <c r="X66" s="6"/>
      <c r="Y66" s="6"/>
      <c r="Z66" s="6"/>
      <c r="AA66" s="6" t="s">
        <v>513</v>
      </c>
      <c r="AB66" s="8"/>
    </row>
    <row r="67" spans="1:28" s="4" customFormat="1" ht="51.95" customHeight="1">
      <c r="A67" s="5">
        <v>0</v>
      </c>
      <c r="B67" s="6" t="s">
        <v>514</v>
      </c>
      <c r="C67" s="13">
        <v>1210</v>
      </c>
      <c r="D67" s="8" t="s">
        <v>515</v>
      </c>
      <c r="E67" s="8" t="s">
        <v>516</v>
      </c>
      <c r="F67" s="8" t="s">
        <v>517</v>
      </c>
      <c r="G67" s="6" t="s">
        <v>89</v>
      </c>
      <c r="H67" s="6" t="s">
        <v>53</v>
      </c>
      <c r="I67" s="8" t="s">
        <v>90</v>
      </c>
      <c r="J67" s="9">
        <v>1</v>
      </c>
      <c r="K67" s="9">
        <v>377</v>
      </c>
      <c r="L67" s="9">
        <v>2022</v>
      </c>
      <c r="M67" s="8" t="s">
        <v>518</v>
      </c>
      <c r="N67" s="8" t="s">
        <v>79</v>
      </c>
      <c r="O67" s="8" t="s">
        <v>396</v>
      </c>
      <c r="P67" s="6" t="s">
        <v>43</v>
      </c>
      <c r="Q67" s="8" t="s">
        <v>44</v>
      </c>
      <c r="R67" s="10" t="s">
        <v>519</v>
      </c>
      <c r="S67" s="11" t="s">
        <v>520</v>
      </c>
      <c r="T67" s="6"/>
      <c r="U67" s="24" t="str">
        <f>HYPERLINK("https://media.infra-m.ru/1005/1005495/cover/1005495.jpg", "Обложка")</f>
        <v>Обложка</v>
      </c>
      <c r="V67" s="24" t="str">
        <f>HYPERLINK("https://znanium.ru/catalog/product/1005495", "Ознакомиться")</f>
        <v>Ознакомиться</v>
      </c>
      <c r="W67" s="8" t="s">
        <v>521</v>
      </c>
      <c r="X67" s="6"/>
      <c r="Y67" s="6"/>
      <c r="Z67" s="6"/>
      <c r="AA67" s="6" t="s">
        <v>111</v>
      </c>
      <c r="AB67" s="8"/>
    </row>
    <row r="68" spans="1:28" s="4" customFormat="1" ht="51.95" customHeight="1">
      <c r="A68" s="5">
        <v>0</v>
      </c>
      <c r="B68" s="6" t="s">
        <v>522</v>
      </c>
      <c r="C68" s="13">
        <v>1274.9000000000001</v>
      </c>
      <c r="D68" s="8" t="s">
        <v>523</v>
      </c>
      <c r="E68" s="8" t="s">
        <v>524</v>
      </c>
      <c r="F68" s="8" t="s">
        <v>490</v>
      </c>
      <c r="G68" s="6" t="s">
        <v>52</v>
      </c>
      <c r="H68" s="6" t="s">
        <v>39</v>
      </c>
      <c r="I68" s="8" t="s">
        <v>116</v>
      </c>
      <c r="J68" s="9">
        <v>1</v>
      </c>
      <c r="K68" s="9">
        <v>336</v>
      </c>
      <c r="L68" s="9">
        <v>2022</v>
      </c>
      <c r="M68" s="8" t="s">
        <v>525</v>
      </c>
      <c r="N68" s="8" t="s">
        <v>79</v>
      </c>
      <c r="O68" s="8" t="s">
        <v>396</v>
      </c>
      <c r="P68" s="6" t="s">
        <v>167</v>
      </c>
      <c r="Q68" s="8" t="s">
        <v>44</v>
      </c>
      <c r="R68" s="10" t="s">
        <v>460</v>
      </c>
      <c r="S68" s="11" t="s">
        <v>526</v>
      </c>
      <c r="T68" s="6"/>
      <c r="U68" s="24" t="str">
        <f>HYPERLINK("https://media.infra-m.ru/1843/1843615/cover/1843615.jpg", "Обложка")</f>
        <v>Обложка</v>
      </c>
      <c r="V68" s="12"/>
      <c r="W68" s="8" t="s">
        <v>487</v>
      </c>
      <c r="X68" s="6"/>
      <c r="Y68" s="6"/>
      <c r="Z68" s="6"/>
      <c r="AA68" s="6" t="s">
        <v>122</v>
      </c>
      <c r="AB68" s="8"/>
    </row>
    <row r="69" spans="1:28" s="4" customFormat="1" ht="51.95" customHeight="1">
      <c r="A69" s="5">
        <v>0</v>
      </c>
      <c r="B69" s="6" t="s">
        <v>527</v>
      </c>
      <c r="C69" s="13">
        <v>1684</v>
      </c>
      <c r="D69" s="8" t="s">
        <v>528</v>
      </c>
      <c r="E69" s="8" t="s">
        <v>524</v>
      </c>
      <c r="F69" s="8" t="s">
        <v>483</v>
      </c>
      <c r="G69" s="6" t="s">
        <v>89</v>
      </c>
      <c r="H69" s="6" t="s">
        <v>39</v>
      </c>
      <c r="I69" s="8" t="s">
        <v>100</v>
      </c>
      <c r="J69" s="9">
        <v>1</v>
      </c>
      <c r="K69" s="9">
        <v>336</v>
      </c>
      <c r="L69" s="9">
        <v>2025</v>
      </c>
      <c r="M69" s="8" t="s">
        <v>529</v>
      </c>
      <c r="N69" s="8" t="s">
        <v>79</v>
      </c>
      <c r="O69" s="8" t="s">
        <v>396</v>
      </c>
      <c r="P69" s="6" t="s">
        <v>167</v>
      </c>
      <c r="Q69" s="8" t="s">
        <v>102</v>
      </c>
      <c r="R69" s="10" t="s">
        <v>530</v>
      </c>
      <c r="S69" s="11" t="s">
        <v>531</v>
      </c>
      <c r="T69" s="6"/>
      <c r="U69" s="24" t="str">
        <f>HYPERLINK("https://media.infra-m.ru/2179/2179725/cover/2179725.jpg", "Обложка")</f>
        <v>Обложка</v>
      </c>
      <c r="V69" s="24" t="str">
        <f>HYPERLINK("https://znanium.ru/catalog/product/2094335", "Ознакомиться")</f>
        <v>Ознакомиться</v>
      </c>
      <c r="W69" s="8" t="s">
        <v>487</v>
      </c>
      <c r="X69" s="6"/>
      <c r="Y69" s="6"/>
      <c r="Z69" s="6" t="s">
        <v>104</v>
      </c>
      <c r="AA69" s="6" t="s">
        <v>151</v>
      </c>
      <c r="AB69" s="8"/>
    </row>
    <row r="70" spans="1:28" s="4" customFormat="1" ht="51.95" customHeight="1">
      <c r="A70" s="5">
        <v>0</v>
      </c>
      <c r="B70" s="6" t="s">
        <v>532</v>
      </c>
      <c r="C70" s="13">
        <v>1644</v>
      </c>
      <c r="D70" s="8" t="s">
        <v>533</v>
      </c>
      <c r="E70" s="8" t="s">
        <v>534</v>
      </c>
      <c r="F70" s="8" t="s">
        <v>535</v>
      </c>
      <c r="G70" s="6" t="s">
        <v>89</v>
      </c>
      <c r="H70" s="6" t="s">
        <v>53</v>
      </c>
      <c r="I70" s="8" t="s">
        <v>100</v>
      </c>
      <c r="J70" s="9">
        <v>1</v>
      </c>
      <c r="K70" s="9">
        <v>329</v>
      </c>
      <c r="L70" s="9">
        <v>2025</v>
      </c>
      <c r="M70" s="8" t="s">
        <v>536</v>
      </c>
      <c r="N70" s="8" t="s">
        <v>79</v>
      </c>
      <c r="O70" s="8" t="s">
        <v>537</v>
      </c>
      <c r="P70" s="6" t="s">
        <v>43</v>
      </c>
      <c r="Q70" s="8" t="s">
        <v>102</v>
      </c>
      <c r="R70" s="10" t="s">
        <v>538</v>
      </c>
      <c r="S70" s="11" t="s">
        <v>539</v>
      </c>
      <c r="T70" s="6"/>
      <c r="U70" s="24" t="str">
        <f>HYPERLINK("https://media.infra-m.ru/2186/2186401/cover/2186401.jpg", "Обложка")</f>
        <v>Обложка</v>
      </c>
      <c r="V70" s="24" t="str">
        <f>HYPERLINK("https://znanium.ru/catalog/product/2101498", "Ознакомиться")</f>
        <v>Ознакомиться</v>
      </c>
      <c r="W70" s="8" t="s">
        <v>540</v>
      </c>
      <c r="X70" s="6"/>
      <c r="Y70" s="6" t="s">
        <v>30</v>
      </c>
      <c r="Z70" s="6"/>
      <c r="AA70" s="6" t="s">
        <v>219</v>
      </c>
      <c r="AB70" s="8"/>
    </row>
    <row r="71" spans="1:28" s="4" customFormat="1" ht="51.95" customHeight="1">
      <c r="A71" s="5">
        <v>0</v>
      </c>
      <c r="B71" s="6" t="s">
        <v>541</v>
      </c>
      <c r="C71" s="13">
        <v>1220</v>
      </c>
      <c r="D71" s="8" t="s">
        <v>542</v>
      </c>
      <c r="E71" s="8" t="s">
        <v>543</v>
      </c>
      <c r="F71" s="8" t="s">
        <v>544</v>
      </c>
      <c r="G71" s="6" t="s">
        <v>52</v>
      </c>
      <c r="H71" s="6" t="s">
        <v>53</v>
      </c>
      <c r="I71" s="8" t="s">
        <v>100</v>
      </c>
      <c r="J71" s="9">
        <v>1</v>
      </c>
      <c r="K71" s="9">
        <v>232</v>
      </c>
      <c r="L71" s="9">
        <v>2025</v>
      </c>
      <c r="M71" s="8" t="s">
        <v>545</v>
      </c>
      <c r="N71" s="8" t="s">
        <v>79</v>
      </c>
      <c r="O71" s="8" t="s">
        <v>424</v>
      </c>
      <c r="P71" s="6" t="s">
        <v>167</v>
      </c>
      <c r="Q71" s="8" t="s">
        <v>102</v>
      </c>
      <c r="R71" s="10" t="s">
        <v>546</v>
      </c>
      <c r="S71" s="11" t="s">
        <v>547</v>
      </c>
      <c r="T71" s="6"/>
      <c r="U71" s="24" t="str">
        <f>HYPERLINK("https://media.infra-m.ru/1920/1920424/cover/1920424.jpg", "Обложка")</f>
        <v>Обложка</v>
      </c>
      <c r="V71" s="24" t="str">
        <f>HYPERLINK("https://znanium.ru/catalog/product/1920424", "Ознакомиться")</f>
        <v>Ознакомиться</v>
      </c>
      <c r="W71" s="8" t="s">
        <v>478</v>
      </c>
      <c r="X71" s="6" t="s">
        <v>548</v>
      </c>
      <c r="Y71" s="6"/>
      <c r="Z71" s="6"/>
      <c r="AA71" s="6" t="s">
        <v>549</v>
      </c>
      <c r="AB71" s="8" t="s">
        <v>550</v>
      </c>
    </row>
    <row r="72" spans="1:28" s="4" customFormat="1" ht="51.95" customHeight="1">
      <c r="A72" s="5">
        <v>0</v>
      </c>
      <c r="B72" s="6" t="s">
        <v>551</v>
      </c>
      <c r="C72" s="13">
        <v>1170</v>
      </c>
      <c r="D72" s="8" t="s">
        <v>552</v>
      </c>
      <c r="E72" s="8" t="s">
        <v>553</v>
      </c>
      <c r="F72" s="8" t="s">
        <v>544</v>
      </c>
      <c r="G72" s="6" t="s">
        <v>89</v>
      </c>
      <c r="H72" s="6" t="s">
        <v>53</v>
      </c>
      <c r="I72" s="8" t="s">
        <v>100</v>
      </c>
      <c r="J72" s="9">
        <v>1</v>
      </c>
      <c r="K72" s="9">
        <v>238</v>
      </c>
      <c r="L72" s="9">
        <v>2023</v>
      </c>
      <c r="M72" s="8" t="s">
        <v>554</v>
      </c>
      <c r="N72" s="8" t="s">
        <v>79</v>
      </c>
      <c r="O72" s="8" t="s">
        <v>424</v>
      </c>
      <c r="P72" s="6" t="s">
        <v>167</v>
      </c>
      <c r="Q72" s="8" t="s">
        <v>102</v>
      </c>
      <c r="R72" s="10" t="s">
        <v>546</v>
      </c>
      <c r="S72" s="11" t="s">
        <v>547</v>
      </c>
      <c r="T72" s="6"/>
      <c r="U72" s="24" t="str">
        <f>HYPERLINK("https://media.infra-m.ru/1895/1895682/cover/1895682.jpg", "Обложка")</f>
        <v>Обложка</v>
      </c>
      <c r="V72" s="24" t="str">
        <f>HYPERLINK("https://znanium.ru/catalog/product/1920424", "Ознакомиться")</f>
        <v>Ознакомиться</v>
      </c>
      <c r="W72" s="8" t="s">
        <v>478</v>
      </c>
      <c r="X72" s="6"/>
      <c r="Y72" s="6"/>
      <c r="Z72" s="6"/>
      <c r="AA72" s="6" t="s">
        <v>555</v>
      </c>
      <c r="AB72" s="8" t="s">
        <v>550</v>
      </c>
    </row>
    <row r="73" spans="1:28" s="4" customFormat="1" ht="51.95" customHeight="1">
      <c r="A73" s="5">
        <v>0</v>
      </c>
      <c r="B73" s="6" t="s">
        <v>556</v>
      </c>
      <c r="C73" s="13">
        <v>1094</v>
      </c>
      <c r="D73" s="8" t="s">
        <v>557</v>
      </c>
      <c r="E73" s="8" t="s">
        <v>558</v>
      </c>
      <c r="F73" s="8" t="s">
        <v>559</v>
      </c>
      <c r="G73" s="6" t="s">
        <v>89</v>
      </c>
      <c r="H73" s="6" t="s">
        <v>53</v>
      </c>
      <c r="I73" s="8" t="s">
        <v>560</v>
      </c>
      <c r="J73" s="9">
        <v>1</v>
      </c>
      <c r="K73" s="9">
        <v>237</v>
      </c>
      <c r="L73" s="9">
        <v>2024</v>
      </c>
      <c r="M73" s="8" t="s">
        <v>561</v>
      </c>
      <c r="N73" s="8" t="s">
        <v>41</v>
      </c>
      <c r="O73" s="8" t="s">
        <v>129</v>
      </c>
      <c r="P73" s="6" t="s">
        <v>43</v>
      </c>
      <c r="Q73" s="8" t="s">
        <v>58</v>
      </c>
      <c r="R73" s="10" t="s">
        <v>562</v>
      </c>
      <c r="S73" s="11" t="s">
        <v>563</v>
      </c>
      <c r="T73" s="6"/>
      <c r="U73" s="24" t="str">
        <f>HYPERLINK("https://media.infra-m.ru/2083/2083439/cover/2083439.jpg", "Обложка")</f>
        <v>Обложка</v>
      </c>
      <c r="V73" s="24" t="str">
        <f>HYPERLINK("https://znanium.ru/catalog/product/1937947", "Ознакомиться")</f>
        <v>Ознакомиться</v>
      </c>
      <c r="W73" s="8" t="s">
        <v>564</v>
      </c>
      <c r="X73" s="6"/>
      <c r="Y73" s="6"/>
      <c r="Z73" s="6"/>
      <c r="AA73" s="6" t="s">
        <v>258</v>
      </c>
      <c r="AB73" s="8"/>
    </row>
    <row r="74" spans="1:28" s="4" customFormat="1" ht="51.95" customHeight="1">
      <c r="A74" s="5">
        <v>0</v>
      </c>
      <c r="B74" s="6" t="s">
        <v>565</v>
      </c>
      <c r="C74" s="13">
        <v>1760</v>
      </c>
      <c r="D74" s="8" t="s">
        <v>566</v>
      </c>
      <c r="E74" s="8" t="s">
        <v>567</v>
      </c>
      <c r="F74" s="8" t="s">
        <v>568</v>
      </c>
      <c r="G74" s="6" t="s">
        <v>89</v>
      </c>
      <c r="H74" s="6" t="s">
        <v>39</v>
      </c>
      <c r="I74" s="8" t="s">
        <v>116</v>
      </c>
      <c r="J74" s="9">
        <v>1</v>
      </c>
      <c r="K74" s="9">
        <v>352</v>
      </c>
      <c r="L74" s="9">
        <v>2025</v>
      </c>
      <c r="M74" s="8" t="s">
        <v>569</v>
      </c>
      <c r="N74" s="8" t="s">
        <v>79</v>
      </c>
      <c r="O74" s="8" t="s">
        <v>570</v>
      </c>
      <c r="P74" s="6" t="s">
        <v>167</v>
      </c>
      <c r="Q74" s="8" t="s">
        <v>44</v>
      </c>
      <c r="R74" s="10" t="s">
        <v>571</v>
      </c>
      <c r="S74" s="11" t="s">
        <v>572</v>
      </c>
      <c r="T74" s="6"/>
      <c r="U74" s="24" t="str">
        <f>HYPERLINK("https://media.infra-m.ru/2162/2162984/cover/2162984.jpg", "Обложка")</f>
        <v>Обложка</v>
      </c>
      <c r="V74" s="24" t="str">
        <f>HYPERLINK("https://znanium.ru/catalog/product/2162984", "Ознакомиться")</f>
        <v>Ознакомиться</v>
      </c>
      <c r="W74" s="8" t="s">
        <v>487</v>
      </c>
      <c r="X74" s="6"/>
      <c r="Y74" s="6"/>
      <c r="Z74" s="6"/>
      <c r="AA74" s="6" t="s">
        <v>111</v>
      </c>
      <c r="AB74" s="8"/>
    </row>
    <row r="75" spans="1:28" s="4" customFormat="1" ht="51.95" customHeight="1">
      <c r="A75" s="5">
        <v>0</v>
      </c>
      <c r="B75" s="6" t="s">
        <v>573</v>
      </c>
      <c r="C75" s="13">
        <v>1720</v>
      </c>
      <c r="D75" s="8" t="s">
        <v>574</v>
      </c>
      <c r="E75" s="8" t="s">
        <v>567</v>
      </c>
      <c r="F75" s="8" t="s">
        <v>568</v>
      </c>
      <c r="G75" s="6" t="s">
        <v>89</v>
      </c>
      <c r="H75" s="6" t="s">
        <v>39</v>
      </c>
      <c r="I75" s="8" t="s">
        <v>100</v>
      </c>
      <c r="J75" s="9">
        <v>1</v>
      </c>
      <c r="K75" s="9">
        <v>352</v>
      </c>
      <c r="L75" s="9">
        <v>2024</v>
      </c>
      <c r="M75" s="8" t="s">
        <v>575</v>
      </c>
      <c r="N75" s="8" t="s">
        <v>79</v>
      </c>
      <c r="O75" s="8" t="s">
        <v>570</v>
      </c>
      <c r="P75" s="6" t="s">
        <v>167</v>
      </c>
      <c r="Q75" s="8" t="s">
        <v>102</v>
      </c>
      <c r="R75" s="10" t="s">
        <v>576</v>
      </c>
      <c r="S75" s="11" t="s">
        <v>577</v>
      </c>
      <c r="T75" s="6"/>
      <c r="U75" s="24" t="str">
        <f>HYPERLINK("https://media.infra-m.ru/2126/2126606/cover/2126606.jpg", "Обложка")</f>
        <v>Обложка</v>
      </c>
      <c r="V75" s="24" t="str">
        <f>HYPERLINK("https://znanium.ru/catalog/product/2126606", "Ознакомиться")</f>
        <v>Ознакомиться</v>
      </c>
      <c r="W75" s="8" t="s">
        <v>487</v>
      </c>
      <c r="X75" s="6"/>
      <c r="Y75" s="6"/>
      <c r="Z75" s="6" t="s">
        <v>104</v>
      </c>
      <c r="AA75" s="6" t="s">
        <v>151</v>
      </c>
      <c r="AB75" s="8"/>
    </row>
    <row r="76" spans="1:28" s="4" customFormat="1" ht="51.95" customHeight="1">
      <c r="A76" s="5">
        <v>0</v>
      </c>
      <c r="B76" s="6" t="s">
        <v>578</v>
      </c>
      <c r="C76" s="13">
        <v>1192</v>
      </c>
      <c r="D76" s="8" t="s">
        <v>579</v>
      </c>
      <c r="E76" s="8" t="s">
        <v>580</v>
      </c>
      <c r="F76" s="8" t="s">
        <v>581</v>
      </c>
      <c r="G76" s="6" t="s">
        <v>89</v>
      </c>
      <c r="H76" s="6" t="s">
        <v>53</v>
      </c>
      <c r="I76" s="8" t="s">
        <v>560</v>
      </c>
      <c r="J76" s="9">
        <v>1</v>
      </c>
      <c r="K76" s="9">
        <v>194</v>
      </c>
      <c r="L76" s="9">
        <v>2024</v>
      </c>
      <c r="M76" s="8" t="s">
        <v>582</v>
      </c>
      <c r="N76" s="8" t="s">
        <v>41</v>
      </c>
      <c r="O76" s="8" t="s">
        <v>129</v>
      </c>
      <c r="P76" s="6" t="s">
        <v>43</v>
      </c>
      <c r="Q76" s="8" t="s">
        <v>58</v>
      </c>
      <c r="R76" s="10" t="s">
        <v>583</v>
      </c>
      <c r="S76" s="11" t="s">
        <v>584</v>
      </c>
      <c r="T76" s="6"/>
      <c r="U76" s="24" t="str">
        <f>HYPERLINK("https://media.infra-m.ru/2145/2145818/cover/2145818.jpg", "Обложка")</f>
        <v>Обложка</v>
      </c>
      <c r="V76" s="24" t="str">
        <f>HYPERLINK("https://znanium.ru/catalog/product/2145818", "Ознакомиться")</f>
        <v>Ознакомиться</v>
      </c>
      <c r="W76" s="8" t="s">
        <v>564</v>
      </c>
      <c r="X76" s="6"/>
      <c r="Y76" s="6"/>
      <c r="Z76" s="6"/>
      <c r="AA76" s="6" t="s">
        <v>258</v>
      </c>
      <c r="AB76" s="8"/>
    </row>
    <row r="77" spans="1:28" s="4" customFormat="1" ht="51.95" customHeight="1">
      <c r="A77" s="5">
        <v>0</v>
      </c>
      <c r="B77" s="6" t="s">
        <v>585</v>
      </c>
      <c r="C77" s="13">
        <v>1140</v>
      </c>
      <c r="D77" s="8" t="s">
        <v>586</v>
      </c>
      <c r="E77" s="8" t="s">
        <v>587</v>
      </c>
      <c r="F77" s="8" t="s">
        <v>588</v>
      </c>
      <c r="G77" s="6" t="s">
        <v>89</v>
      </c>
      <c r="H77" s="6" t="s">
        <v>53</v>
      </c>
      <c r="I77" s="8" t="s">
        <v>100</v>
      </c>
      <c r="J77" s="9">
        <v>1</v>
      </c>
      <c r="K77" s="9">
        <v>219</v>
      </c>
      <c r="L77" s="9">
        <v>2025</v>
      </c>
      <c r="M77" s="8" t="s">
        <v>589</v>
      </c>
      <c r="N77" s="8" t="s">
        <v>79</v>
      </c>
      <c r="O77" s="8" t="s">
        <v>424</v>
      </c>
      <c r="P77" s="6" t="s">
        <v>167</v>
      </c>
      <c r="Q77" s="8" t="s">
        <v>102</v>
      </c>
      <c r="R77" s="10" t="s">
        <v>590</v>
      </c>
      <c r="S77" s="11" t="s">
        <v>591</v>
      </c>
      <c r="T77" s="6"/>
      <c r="U77" s="24" t="str">
        <f>HYPERLINK("https://media.infra-m.ru/2171/2171485/cover/2171485.jpg", "Обложка")</f>
        <v>Обложка</v>
      </c>
      <c r="V77" s="24" t="str">
        <f>HYPERLINK("https://znanium.ru/catalog/product/2171485", "Ознакомиться")</f>
        <v>Ознакомиться</v>
      </c>
      <c r="W77" s="8" t="s">
        <v>478</v>
      </c>
      <c r="X77" s="6"/>
      <c r="Y77" s="6"/>
      <c r="Z77" s="6"/>
      <c r="AA77" s="6" t="s">
        <v>377</v>
      </c>
      <c r="AB77" s="8"/>
    </row>
    <row r="78" spans="1:28" s="4" customFormat="1" ht="51.95" customHeight="1">
      <c r="A78" s="5">
        <v>0</v>
      </c>
      <c r="B78" s="6" t="s">
        <v>592</v>
      </c>
      <c r="C78" s="7">
        <v>864.9</v>
      </c>
      <c r="D78" s="8" t="s">
        <v>593</v>
      </c>
      <c r="E78" s="8" t="s">
        <v>594</v>
      </c>
      <c r="F78" s="8" t="s">
        <v>595</v>
      </c>
      <c r="G78" s="6" t="s">
        <v>52</v>
      </c>
      <c r="H78" s="6" t="s">
        <v>77</v>
      </c>
      <c r="I78" s="8"/>
      <c r="J78" s="9">
        <v>1</v>
      </c>
      <c r="K78" s="9">
        <v>228</v>
      </c>
      <c r="L78" s="9">
        <v>2022</v>
      </c>
      <c r="M78" s="8" t="s">
        <v>596</v>
      </c>
      <c r="N78" s="8" t="s">
        <v>79</v>
      </c>
      <c r="O78" s="8" t="s">
        <v>396</v>
      </c>
      <c r="P78" s="6" t="s">
        <v>167</v>
      </c>
      <c r="Q78" s="8" t="s">
        <v>279</v>
      </c>
      <c r="R78" s="10" t="s">
        <v>597</v>
      </c>
      <c r="S78" s="11"/>
      <c r="T78" s="6"/>
      <c r="U78" s="24" t="str">
        <f>HYPERLINK("https://media.infra-m.ru/1851/1851680/cover/1851680.jpg", "Обложка")</f>
        <v>Обложка</v>
      </c>
      <c r="V78" s="24" t="str">
        <f>HYPERLINK("https://znanium.ru/catalog/product/1851680", "Ознакомиться")</f>
        <v>Ознакомиться</v>
      </c>
      <c r="W78" s="8" t="s">
        <v>150</v>
      </c>
      <c r="X78" s="6"/>
      <c r="Y78" s="6"/>
      <c r="Z78" s="6"/>
      <c r="AA78" s="6" t="s">
        <v>442</v>
      </c>
      <c r="AB78" s="8"/>
    </row>
    <row r="79" spans="1:28" s="4" customFormat="1" ht="51.95" customHeight="1">
      <c r="A79" s="5">
        <v>0</v>
      </c>
      <c r="B79" s="6" t="s">
        <v>598</v>
      </c>
      <c r="C79" s="13">
        <v>1034</v>
      </c>
      <c r="D79" s="8" t="s">
        <v>599</v>
      </c>
      <c r="E79" s="8" t="s">
        <v>600</v>
      </c>
      <c r="F79" s="8" t="s">
        <v>601</v>
      </c>
      <c r="G79" s="6" t="s">
        <v>52</v>
      </c>
      <c r="H79" s="6" t="s">
        <v>39</v>
      </c>
      <c r="I79" s="8" t="s">
        <v>185</v>
      </c>
      <c r="J79" s="9">
        <v>1</v>
      </c>
      <c r="K79" s="9">
        <v>224</v>
      </c>
      <c r="L79" s="9">
        <v>2024</v>
      </c>
      <c r="M79" s="8" t="s">
        <v>602</v>
      </c>
      <c r="N79" s="8" t="s">
        <v>79</v>
      </c>
      <c r="O79" s="8" t="s">
        <v>537</v>
      </c>
      <c r="P79" s="6" t="s">
        <v>43</v>
      </c>
      <c r="Q79" s="8" t="s">
        <v>102</v>
      </c>
      <c r="R79" s="10" t="s">
        <v>603</v>
      </c>
      <c r="S79" s="11" t="s">
        <v>604</v>
      </c>
      <c r="T79" s="6"/>
      <c r="U79" s="24" t="str">
        <f>HYPERLINK("https://media.infra-m.ru/2124/2124729/cover/2124729.jpg", "Обложка")</f>
        <v>Обложка</v>
      </c>
      <c r="V79" s="24" t="str">
        <f>HYPERLINK("https://znanium.ru/catalog/product/1160864", "Ознакомиться")</f>
        <v>Ознакомиться</v>
      </c>
      <c r="W79" s="8" t="s">
        <v>605</v>
      </c>
      <c r="X79" s="6"/>
      <c r="Y79" s="6"/>
      <c r="Z79" s="6"/>
      <c r="AA79" s="6" t="s">
        <v>122</v>
      </c>
      <c r="AB79" s="8"/>
    </row>
    <row r="80" spans="1:28" s="4" customFormat="1" ht="51.95" customHeight="1">
      <c r="A80" s="5">
        <v>0</v>
      </c>
      <c r="B80" s="6" t="s">
        <v>606</v>
      </c>
      <c r="C80" s="13">
        <v>1164</v>
      </c>
      <c r="D80" s="8" t="s">
        <v>607</v>
      </c>
      <c r="E80" s="8" t="s">
        <v>608</v>
      </c>
      <c r="F80" s="8" t="s">
        <v>609</v>
      </c>
      <c r="G80" s="6" t="s">
        <v>89</v>
      </c>
      <c r="H80" s="6" t="s">
        <v>53</v>
      </c>
      <c r="I80" s="8" t="s">
        <v>100</v>
      </c>
      <c r="J80" s="9">
        <v>1</v>
      </c>
      <c r="K80" s="9">
        <v>224</v>
      </c>
      <c r="L80" s="9">
        <v>2025</v>
      </c>
      <c r="M80" s="8" t="s">
        <v>610</v>
      </c>
      <c r="N80" s="8" t="s">
        <v>79</v>
      </c>
      <c r="O80" s="8" t="s">
        <v>537</v>
      </c>
      <c r="P80" s="6" t="s">
        <v>167</v>
      </c>
      <c r="Q80" s="8" t="s">
        <v>102</v>
      </c>
      <c r="R80" s="10" t="s">
        <v>611</v>
      </c>
      <c r="S80" s="11" t="s">
        <v>612</v>
      </c>
      <c r="T80" s="6"/>
      <c r="U80" s="24" t="str">
        <f>HYPERLINK("https://media.infra-m.ru/2196/2196856/cover/2196856.jpg", "Обложка")</f>
        <v>Обложка</v>
      </c>
      <c r="V80" s="24" t="str">
        <f>HYPERLINK("https://znanium.ru/catalog/product/1914758", "Ознакомиться")</f>
        <v>Ознакомиться</v>
      </c>
      <c r="W80" s="8" t="s">
        <v>613</v>
      </c>
      <c r="X80" s="6"/>
      <c r="Y80" s="6"/>
      <c r="Z80" s="6"/>
      <c r="AA80" s="6" t="s">
        <v>614</v>
      </c>
      <c r="AB80" s="8"/>
    </row>
    <row r="81" spans="1:28" s="4" customFormat="1" ht="51.95" customHeight="1">
      <c r="A81" s="5">
        <v>0</v>
      </c>
      <c r="B81" s="6" t="s">
        <v>615</v>
      </c>
      <c r="C81" s="13">
        <v>1200</v>
      </c>
      <c r="D81" s="8" t="s">
        <v>616</v>
      </c>
      <c r="E81" s="8" t="s">
        <v>608</v>
      </c>
      <c r="F81" s="8" t="s">
        <v>617</v>
      </c>
      <c r="G81" s="6" t="s">
        <v>89</v>
      </c>
      <c r="H81" s="6" t="s">
        <v>39</v>
      </c>
      <c r="I81" s="8" t="s">
        <v>100</v>
      </c>
      <c r="J81" s="9">
        <v>1</v>
      </c>
      <c r="K81" s="9">
        <v>240</v>
      </c>
      <c r="L81" s="9">
        <v>2025</v>
      </c>
      <c r="M81" s="8" t="s">
        <v>618</v>
      </c>
      <c r="N81" s="8" t="s">
        <v>79</v>
      </c>
      <c r="O81" s="8" t="s">
        <v>537</v>
      </c>
      <c r="P81" s="6" t="s">
        <v>43</v>
      </c>
      <c r="Q81" s="8" t="s">
        <v>102</v>
      </c>
      <c r="R81" s="10" t="s">
        <v>619</v>
      </c>
      <c r="S81" s="11" t="s">
        <v>620</v>
      </c>
      <c r="T81" s="6"/>
      <c r="U81" s="24" t="str">
        <f>HYPERLINK("https://media.infra-m.ru/2184/2184585/cover/2184585.jpg", "Обложка")</f>
        <v>Обложка</v>
      </c>
      <c r="V81" s="24" t="str">
        <f>HYPERLINK("https://znanium.ru/catalog/product/2184585", "Ознакомиться")</f>
        <v>Ознакомиться</v>
      </c>
      <c r="W81" s="8" t="s">
        <v>621</v>
      </c>
      <c r="X81" s="6"/>
      <c r="Y81" s="6"/>
      <c r="Z81" s="6"/>
      <c r="AA81" s="6" t="s">
        <v>622</v>
      </c>
      <c r="AB81" s="8"/>
    </row>
    <row r="82" spans="1:28" s="4" customFormat="1" ht="51.95" customHeight="1">
      <c r="A82" s="5">
        <v>0</v>
      </c>
      <c r="B82" s="6" t="s">
        <v>623</v>
      </c>
      <c r="C82" s="13">
        <v>1500</v>
      </c>
      <c r="D82" s="8" t="s">
        <v>624</v>
      </c>
      <c r="E82" s="8" t="s">
        <v>625</v>
      </c>
      <c r="F82" s="8" t="s">
        <v>626</v>
      </c>
      <c r="G82" s="6" t="s">
        <v>89</v>
      </c>
      <c r="H82" s="6" t="s">
        <v>53</v>
      </c>
      <c r="I82" s="8" t="s">
        <v>100</v>
      </c>
      <c r="J82" s="9">
        <v>1</v>
      </c>
      <c r="K82" s="9">
        <v>320</v>
      </c>
      <c r="L82" s="9">
        <v>2024</v>
      </c>
      <c r="M82" s="8" t="s">
        <v>627</v>
      </c>
      <c r="N82" s="8" t="s">
        <v>79</v>
      </c>
      <c r="O82" s="8" t="s">
        <v>570</v>
      </c>
      <c r="P82" s="6" t="s">
        <v>43</v>
      </c>
      <c r="Q82" s="8" t="s">
        <v>102</v>
      </c>
      <c r="R82" s="10" t="s">
        <v>628</v>
      </c>
      <c r="S82" s="11" t="s">
        <v>629</v>
      </c>
      <c r="T82" s="6"/>
      <c r="U82" s="24" t="str">
        <f>HYPERLINK("https://media.infra-m.ru/2138/2138503/cover/2138503.jpg", "Обложка")</f>
        <v>Обложка</v>
      </c>
      <c r="V82" s="24" t="str">
        <f>HYPERLINK("https://znanium.ru/catalog/product/2138503", "Ознакомиться")</f>
        <v>Ознакомиться</v>
      </c>
      <c r="W82" s="8" t="s">
        <v>189</v>
      </c>
      <c r="X82" s="6"/>
      <c r="Y82" s="6"/>
      <c r="Z82" s="6"/>
      <c r="AA82" s="6" t="s">
        <v>122</v>
      </c>
      <c r="AB82" s="8"/>
    </row>
    <row r="83" spans="1:28" s="4" customFormat="1" ht="51.95" customHeight="1">
      <c r="A83" s="5">
        <v>0</v>
      </c>
      <c r="B83" s="6" t="s">
        <v>630</v>
      </c>
      <c r="C83" s="13">
        <v>2954</v>
      </c>
      <c r="D83" s="8" t="s">
        <v>631</v>
      </c>
      <c r="E83" s="8" t="s">
        <v>632</v>
      </c>
      <c r="F83" s="8" t="s">
        <v>633</v>
      </c>
      <c r="G83" s="6" t="s">
        <v>89</v>
      </c>
      <c r="H83" s="6" t="s">
        <v>53</v>
      </c>
      <c r="I83" s="8" t="s">
        <v>100</v>
      </c>
      <c r="J83" s="9">
        <v>1</v>
      </c>
      <c r="K83" s="9">
        <v>655</v>
      </c>
      <c r="L83" s="9">
        <v>2023</v>
      </c>
      <c r="M83" s="8" t="s">
        <v>634</v>
      </c>
      <c r="N83" s="8" t="s">
        <v>79</v>
      </c>
      <c r="O83" s="8" t="s">
        <v>570</v>
      </c>
      <c r="P83" s="6" t="s">
        <v>167</v>
      </c>
      <c r="Q83" s="8" t="s">
        <v>102</v>
      </c>
      <c r="R83" s="10" t="s">
        <v>635</v>
      </c>
      <c r="S83" s="11" t="s">
        <v>636</v>
      </c>
      <c r="T83" s="6"/>
      <c r="U83" s="24" t="str">
        <f>HYPERLINK("https://media.infra-m.ru/2015/2015287/cover/2015287.jpg", "Обложка")</f>
        <v>Обложка</v>
      </c>
      <c r="V83" s="24" t="str">
        <f>HYPERLINK("https://znanium.ru/catalog/product/1915603", "Ознакомиться")</f>
        <v>Ознакомиться</v>
      </c>
      <c r="W83" s="8" t="s">
        <v>637</v>
      </c>
      <c r="X83" s="6"/>
      <c r="Y83" s="6"/>
      <c r="Z83" s="6" t="s">
        <v>104</v>
      </c>
      <c r="AA83" s="6" t="s">
        <v>638</v>
      </c>
      <c r="AB83" s="8"/>
    </row>
    <row r="84" spans="1:28" s="4" customFormat="1" ht="51.95" customHeight="1">
      <c r="A84" s="5">
        <v>0</v>
      </c>
      <c r="B84" s="6" t="s">
        <v>639</v>
      </c>
      <c r="C84" s="13">
        <v>1994</v>
      </c>
      <c r="D84" s="8" t="s">
        <v>640</v>
      </c>
      <c r="E84" s="8" t="s">
        <v>632</v>
      </c>
      <c r="F84" s="8" t="s">
        <v>633</v>
      </c>
      <c r="G84" s="6" t="s">
        <v>89</v>
      </c>
      <c r="H84" s="6" t="s">
        <v>53</v>
      </c>
      <c r="I84" s="8" t="s">
        <v>90</v>
      </c>
      <c r="J84" s="9">
        <v>1</v>
      </c>
      <c r="K84" s="9">
        <v>655</v>
      </c>
      <c r="L84" s="9">
        <v>2025</v>
      </c>
      <c r="M84" s="8" t="s">
        <v>641</v>
      </c>
      <c r="N84" s="8" t="s">
        <v>79</v>
      </c>
      <c r="O84" s="8" t="s">
        <v>570</v>
      </c>
      <c r="P84" s="6" t="s">
        <v>167</v>
      </c>
      <c r="Q84" s="8" t="s">
        <v>44</v>
      </c>
      <c r="R84" s="10" t="s">
        <v>642</v>
      </c>
      <c r="S84" s="11" t="s">
        <v>643</v>
      </c>
      <c r="T84" s="6"/>
      <c r="U84" s="24" t="str">
        <f>HYPERLINK("https://media.infra-m.ru/2194/2194380/cover/2194380.jpg", "Обложка")</f>
        <v>Обложка</v>
      </c>
      <c r="V84" s="24" t="str">
        <f>HYPERLINK("https://znanium.ru/catalog/product/2126806", "Ознакомиться")</f>
        <v>Ознакомиться</v>
      </c>
      <c r="W84" s="8" t="s">
        <v>637</v>
      </c>
      <c r="X84" s="6"/>
      <c r="Y84" s="6"/>
      <c r="Z84" s="6"/>
      <c r="AA84" s="6" t="s">
        <v>644</v>
      </c>
      <c r="AB84" s="8"/>
    </row>
    <row r="85" spans="1:28" s="4" customFormat="1" ht="51.95" customHeight="1">
      <c r="A85" s="5">
        <v>0</v>
      </c>
      <c r="B85" s="6" t="s">
        <v>645</v>
      </c>
      <c r="C85" s="13">
        <v>1114</v>
      </c>
      <c r="D85" s="8" t="s">
        <v>646</v>
      </c>
      <c r="E85" s="8" t="s">
        <v>647</v>
      </c>
      <c r="F85" s="8" t="s">
        <v>648</v>
      </c>
      <c r="G85" s="6" t="s">
        <v>89</v>
      </c>
      <c r="H85" s="6" t="s">
        <v>649</v>
      </c>
      <c r="I85" s="8" t="s">
        <v>185</v>
      </c>
      <c r="J85" s="9">
        <v>1</v>
      </c>
      <c r="K85" s="9">
        <v>223</v>
      </c>
      <c r="L85" s="9">
        <v>2025</v>
      </c>
      <c r="M85" s="8" t="s">
        <v>650</v>
      </c>
      <c r="N85" s="8" t="s">
        <v>79</v>
      </c>
      <c r="O85" s="8" t="s">
        <v>570</v>
      </c>
      <c r="P85" s="6" t="s">
        <v>43</v>
      </c>
      <c r="Q85" s="8" t="s">
        <v>102</v>
      </c>
      <c r="R85" s="10" t="s">
        <v>651</v>
      </c>
      <c r="S85" s="11" t="s">
        <v>652</v>
      </c>
      <c r="T85" s="6"/>
      <c r="U85" s="24" t="str">
        <f>HYPERLINK("https://media.infra-m.ru/2188/2188206/cover/2188206.jpg", "Обложка")</f>
        <v>Обложка</v>
      </c>
      <c r="V85" s="24" t="str">
        <f>HYPERLINK("https://znanium.ru/catalog/product/1937950", "Ознакомиться")</f>
        <v>Ознакомиться</v>
      </c>
      <c r="W85" s="8" t="s">
        <v>653</v>
      </c>
      <c r="X85" s="6"/>
      <c r="Y85" s="6" t="s">
        <v>30</v>
      </c>
      <c r="Z85" s="6"/>
      <c r="AA85" s="6" t="s">
        <v>654</v>
      </c>
      <c r="AB85" s="8"/>
    </row>
    <row r="86" spans="1:28" s="4" customFormat="1" ht="51.95" customHeight="1">
      <c r="A86" s="5">
        <v>0</v>
      </c>
      <c r="B86" s="6" t="s">
        <v>655</v>
      </c>
      <c r="C86" s="13">
        <v>1520</v>
      </c>
      <c r="D86" s="8" t="s">
        <v>656</v>
      </c>
      <c r="E86" s="8" t="s">
        <v>657</v>
      </c>
      <c r="F86" s="8" t="s">
        <v>658</v>
      </c>
      <c r="G86" s="6" t="s">
        <v>89</v>
      </c>
      <c r="H86" s="6" t="s">
        <v>649</v>
      </c>
      <c r="I86" s="8" t="s">
        <v>100</v>
      </c>
      <c r="J86" s="9">
        <v>1</v>
      </c>
      <c r="K86" s="9">
        <v>304</v>
      </c>
      <c r="L86" s="9">
        <v>2025</v>
      </c>
      <c r="M86" s="8" t="s">
        <v>659</v>
      </c>
      <c r="N86" s="8" t="s">
        <v>79</v>
      </c>
      <c r="O86" s="8" t="s">
        <v>570</v>
      </c>
      <c r="P86" s="6" t="s">
        <v>43</v>
      </c>
      <c r="Q86" s="8" t="s">
        <v>102</v>
      </c>
      <c r="R86" s="10" t="s">
        <v>660</v>
      </c>
      <c r="S86" s="11" t="s">
        <v>661</v>
      </c>
      <c r="T86" s="6"/>
      <c r="U86" s="24" t="str">
        <f>HYPERLINK("https://media.infra-m.ru/2185/2185413/cover/2185413.jpg", "Обложка")</f>
        <v>Обложка</v>
      </c>
      <c r="V86" s="24" t="str">
        <f>HYPERLINK("https://znanium.ru/catalog/product/2185413", "Ознакомиться")</f>
        <v>Ознакомиться</v>
      </c>
      <c r="W86" s="8" t="s">
        <v>662</v>
      </c>
      <c r="X86" s="6"/>
      <c r="Y86" s="6"/>
      <c r="Z86" s="6"/>
      <c r="AA86" s="6" t="s">
        <v>663</v>
      </c>
      <c r="AB86" s="8"/>
    </row>
    <row r="87" spans="1:28" s="4" customFormat="1" ht="51.95" customHeight="1">
      <c r="A87" s="5">
        <v>0</v>
      </c>
      <c r="B87" s="6" t="s">
        <v>664</v>
      </c>
      <c r="C87" s="13">
        <v>1094.9000000000001</v>
      </c>
      <c r="D87" s="8" t="s">
        <v>665</v>
      </c>
      <c r="E87" s="8" t="s">
        <v>666</v>
      </c>
      <c r="F87" s="8" t="s">
        <v>667</v>
      </c>
      <c r="G87" s="6" t="s">
        <v>52</v>
      </c>
      <c r="H87" s="6" t="s">
        <v>39</v>
      </c>
      <c r="I87" s="8"/>
      <c r="J87" s="9">
        <v>1</v>
      </c>
      <c r="K87" s="9">
        <v>288</v>
      </c>
      <c r="L87" s="9">
        <v>2017</v>
      </c>
      <c r="M87" s="8" t="s">
        <v>668</v>
      </c>
      <c r="N87" s="8" t="s">
        <v>79</v>
      </c>
      <c r="O87" s="8" t="s">
        <v>570</v>
      </c>
      <c r="P87" s="6" t="s">
        <v>43</v>
      </c>
      <c r="Q87" s="8" t="s">
        <v>44</v>
      </c>
      <c r="R87" s="10" t="s">
        <v>669</v>
      </c>
      <c r="S87" s="11"/>
      <c r="T87" s="6"/>
      <c r="U87" s="24" t="str">
        <f>HYPERLINK("https://media.infra-m.ru/0937/0937525/cover/937525.jpg", "Обложка")</f>
        <v>Обложка</v>
      </c>
      <c r="V87" s="12"/>
      <c r="W87" s="8" t="s">
        <v>487</v>
      </c>
      <c r="X87" s="6"/>
      <c r="Y87" s="6"/>
      <c r="Z87" s="6"/>
      <c r="AA87" s="6" t="s">
        <v>494</v>
      </c>
      <c r="AB87" s="8"/>
    </row>
    <row r="88" spans="1:28" s="4" customFormat="1" ht="51.95" customHeight="1">
      <c r="A88" s="5">
        <v>0</v>
      </c>
      <c r="B88" s="6" t="s">
        <v>670</v>
      </c>
      <c r="C88" s="7">
        <v>690</v>
      </c>
      <c r="D88" s="8" t="s">
        <v>671</v>
      </c>
      <c r="E88" s="8" t="s">
        <v>672</v>
      </c>
      <c r="F88" s="8" t="s">
        <v>673</v>
      </c>
      <c r="G88" s="6" t="s">
        <v>89</v>
      </c>
      <c r="H88" s="6" t="s">
        <v>674</v>
      </c>
      <c r="I88" s="8"/>
      <c r="J88" s="9">
        <v>1</v>
      </c>
      <c r="K88" s="9">
        <v>136</v>
      </c>
      <c r="L88" s="9">
        <v>2023</v>
      </c>
      <c r="M88" s="8" t="s">
        <v>675</v>
      </c>
      <c r="N88" s="8" t="s">
        <v>41</v>
      </c>
      <c r="O88" s="8" t="s">
        <v>676</v>
      </c>
      <c r="P88" s="6" t="s">
        <v>43</v>
      </c>
      <c r="Q88" s="8" t="s">
        <v>44</v>
      </c>
      <c r="R88" s="10" t="s">
        <v>677</v>
      </c>
      <c r="S88" s="11"/>
      <c r="T88" s="6"/>
      <c r="U88" s="24" t="str">
        <f>HYPERLINK("https://media.infra-m.ru/1905/1905974/cover/1905974.jpg", "Обложка")</f>
        <v>Обложка</v>
      </c>
      <c r="V88" s="24" t="str">
        <f>HYPERLINK("https://znanium.ru/catalog/product/1905974", "Ознакомиться")</f>
        <v>Ознакомиться</v>
      </c>
      <c r="W88" s="8" t="s">
        <v>678</v>
      </c>
      <c r="X88" s="6"/>
      <c r="Y88" s="6"/>
      <c r="Z88" s="6"/>
      <c r="AA88" s="6" t="s">
        <v>258</v>
      </c>
      <c r="AB88" s="8"/>
    </row>
    <row r="89" spans="1:28" s="4" customFormat="1" ht="51.95" customHeight="1">
      <c r="A89" s="5">
        <v>0</v>
      </c>
      <c r="B89" s="6" t="s">
        <v>679</v>
      </c>
      <c r="C89" s="13">
        <v>3404</v>
      </c>
      <c r="D89" s="8" t="s">
        <v>680</v>
      </c>
      <c r="E89" s="8" t="s">
        <v>681</v>
      </c>
      <c r="F89" s="8" t="s">
        <v>682</v>
      </c>
      <c r="G89" s="6" t="s">
        <v>52</v>
      </c>
      <c r="H89" s="6" t="s">
        <v>53</v>
      </c>
      <c r="I89" s="8" t="s">
        <v>90</v>
      </c>
      <c r="J89" s="9">
        <v>1</v>
      </c>
      <c r="K89" s="9">
        <v>725</v>
      </c>
      <c r="L89" s="9">
        <v>2025</v>
      </c>
      <c r="M89" s="8" t="s">
        <v>683</v>
      </c>
      <c r="N89" s="8" t="s">
        <v>79</v>
      </c>
      <c r="O89" s="8" t="s">
        <v>684</v>
      </c>
      <c r="P89" s="6" t="s">
        <v>43</v>
      </c>
      <c r="Q89" s="8" t="s">
        <v>44</v>
      </c>
      <c r="R89" s="10" t="s">
        <v>685</v>
      </c>
      <c r="S89" s="11" t="s">
        <v>686</v>
      </c>
      <c r="T89" s="6"/>
      <c r="U89" s="24" t="str">
        <f>HYPERLINK("https://media.infra-m.ru/2188/2188756/cover/2188756.jpg", "Обложка")</f>
        <v>Обложка</v>
      </c>
      <c r="V89" s="24" t="str">
        <f>HYPERLINK("https://znanium.ru/catalog/product/1937951", "Ознакомиться")</f>
        <v>Ознакомиться</v>
      </c>
      <c r="W89" s="8" t="s">
        <v>637</v>
      </c>
      <c r="X89" s="6"/>
      <c r="Y89" s="6"/>
      <c r="Z89" s="6"/>
      <c r="AA89" s="6" t="s">
        <v>84</v>
      </c>
      <c r="AB89" s="8"/>
    </row>
    <row r="90" spans="1:28" s="4" customFormat="1" ht="51.95" customHeight="1">
      <c r="A90" s="5">
        <v>0</v>
      </c>
      <c r="B90" s="6" t="s">
        <v>687</v>
      </c>
      <c r="C90" s="13">
        <v>2894</v>
      </c>
      <c r="D90" s="8" t="s">
        <v>688</v>
      </c>
      <c r="E90" s="8" t="s">
        <v>681</v>
      </c>
      <c r="F90" s="8" t="s">
        <v>689</v>
      </c>
      <c r="G90" s="6" t="s">
        <v>89</v>
      </c>
      <c r="H90" s="6" t="s">
        <v>53</v>
      </c>
      <c r="I90" s="8" t="s">
        <v>100</v>
      </c>
      <c r="J90" s="9">
        <v>1</v>
      </c>
      <c r="K90" s="9">
        <v>725</v>
      </c>
      <c r="L90" s="9">
        <v>2024</v>
      </c>
      <c r="M90" s="8" t="s">
        <v>690</v>
      </c>
      <c r="N90" s="8" t="s">
        <v>79</v>
      </c>
      <c r="O90" s="8" t="s">
        <v>684</v>
      </c>
      <c r="P90" s="6" t="s">
        <v>43</v>
      </c>
      <c r="Q90" s="8" t="s">
        <v>102</v>
      </c>
      <c r="R90" s="10" t="s">
        <v>691</v>
      </c>
      <c r="S90" s="11" t="s">
        <v>692</v>
      </c>
      <c r="T90" s="6"/>
      <c r="U90" s="24" t="str">
        <f>HYPERLINK("https://media.infra-m.ru/2122/2122875/cover/2122875.jpg", "Обложка")</f>
        <v>Обложка</v>
      </c>
      <c r="V90" s="24" t="str">
        <f>HYPERLINK("https://znanium.ru/catalog/product/2122874", "Ознакомиться")</f>
        <v>Ознакомиться</v>
      </c>
      <c r="W90" s="8" t="s">
        <v>637</v>
      </c>
      <c r="X90" s="6"/>
      <c r="Y90" s="6"/>
      <c r="Z90" s="6" t="s">
        <v>104</v>
      </c>
      <c r="AA90" s="6" t="s">
        <v>258</v>
      </c>
      <c r="AB90" s="8"/>
    </row>
    <row r="91" spans="1:28" s="4" customFormat="1" ht="51.95" customHeight="1">
      <c r="A91" s="5">
        <v>0</v>
      </c>
      <c r="B91" s="6" t="s">
        <v>693</v>
      </c>
      <c r="C91" s="13">
        <v>1610</v>
      </c>
      <c r="D91" s="8" t="s">
        <v>694</v>
      </c>
      <c r="E91" s="8" t="s">
        <v>695</v>
      </c>
      <c r="F91" s="8" t="s">
        <v>696</v>
      </c>
      <c r="G91" s="6" t="s">
        <v>89</v>
      </c>
      <c r="H91" s="6" t="s">
        <v>53</v>
      </c>
      <c r="I91" s="8" t="s">
        <v>116</v>
      </c>
      <c r="J91" s="9">
        <v>1</v>
      </c>
      <c r="K91" s="9">
        <v>350</v>
      </c>
      <c r="L91" s="9">
        <v>2024</v>
      </c>
      <c r="M91" s="8" t="s">
        <v>697</v>
      </c>
      <c r="N91" s="8" t="s">
        <v>79</v>
      </c>
      <c r="O91" s="8" t="s">
        <v>684</v>
      </c>
      <c r="P91" s="6" t="s">
        <v>167</v>
      </c>
      <c r="Q91" s="8" t="s">
        <v>44</v>
      </c>
      <c r="R91" s="10" t="s">
        <v>698</v>
      </c>
      <c r="S91" s="11" t="s">
        <v>699</v>
      </c>
      <c r="T91" s="6"/>
      <c r="U91" s="24" t="str">
        <f>HYPERLINK("https://media.infra-m.ru/2128/2128806/cover/2128806.jpg", "Обложка")</f>
        <v>Обложка</v>
      </c>
      <c r="V91" s="24" t="str">
        <f>HYPERLINK("https://znanium.ru/catalog/product/2128806", "Ознакомиться")</f>
        <v>Ознакомиться</v>
      </c>
      <c r="W91" s="8" t="s">
        <v>700</v>
      </c>
      <c r="X91" s="6"/>
      <c r="Y91" s="6"/>
      <c r="Z91" s="6"/>
      <c r="AA91" s="6" t="s">
        <v>701</v>
      </c>
      <c r="AB91" s="8"/>
    </row>
    <row r="92" spans="1:28" s="4" customFormat="1" ht="51.95" customHeight="1">
      <c r="A92" s="5">
        <v>0</v>
      </c>
      <c r="B92" s="6" t="s">
        <v>702</v>
      </c>
      <c r="C92" s="13">
        <v>1824</v>
      </c>
      <c r="D92" s="8" t="s">
        <v>703</v>
      </c>
      <c r="E92" s="8" t="s">
        <v>695</v>
      </c>
      <c r="F92" s="8" t="s">
        <v>696</v>
      </c>
      <c r="G92" s="6" t="s">
        <v>52</v>
      </c>
      <c r="H92" s="6" t="s">
        <v>53</v>
      </c>
      <c r="I92" s="8" t="s">
        <v>100</v>
      </c>
      <c r="J92" s="9">
        <v>1</v>
      </c>
      <c r="K92" s="9">
        <v>350</v>
      </c>
      <c r="L92" s="9">
        <v>2025</v>
      </c>
      <c r="M92" s="8" t="s">
        <v>704</v>
      </c>
      <c r="N92" s="8" t="s">
        <v>79</v>
      </c>
      <c r="O92" s="8" t="s">
        <v>684</v>
      </c>
      <c r="P92" s="6" t="s">
        <v>167</v>
      </c>
      <c r="Q92" s="8" t="s">
        <v>102</v>
      </c>
      <c r="R92" s="10" t="s">
        <v>705</v>
      </c>
      <c r="S92" s="11" t="s">
        <v>706</v>
      </c>
      <c r="T92" s="6"/>
      <c r="U92" s="24" t="str">
        <f>HYPERLINK("https://media.infra-m.ru/2191/2191629/cover/2191629.jpg", "Обложка")</f>
        <v>Обложка</v>
      </c>
      <c r="V92" s="24" t="str">
        <f>HYPERLINK("https://znanium.ru/catalog/product/1869167", "Ознакомиться")</f>
        <v>Ознакомиться</v>
      </c>
      <c r="W92" s="8" t="s">
        <v>700</v>
      </c>
      <c r="X92" s="6"/>
      <c r="Y92" s="6" t="s">
        <v>30</v>
      </c>
      <c r="Z92" s="6" t="s">
        <v>104</v>
      </c>
      <c r="AA92" s="6" t="s">
        <v>707</v>
      </c>
      <c r="AB92" s="8"/>
    </row>
    <row r="93" spans="1:28" s="4" customFormat="1" ht="51.95" customHeight="1">
      <c r="A93" s="5">
        <v>0</v>
      </c>
      <c r="B93" s="6" t="s">
        <v>708</v>
      </c>
      <c r="C93" s="7">
        <v>940</v>
      </c>
      <c r="D93" s="8" t="s">
        <v>709</v>
      </c>
      <c r="E93" s="8" t="s">
        <v>710</v>
      </c>
      <c r="F93" s="8" t="s">
        <v>711</v>
      </c>
      <c r="G93" s="6" t="s">
        <v>52</v>
      </c>
      <c r="H93" s="6" t="s">
        <v>53</v>
      </c>
      <c r="I93" s="8" t="s">
        <v>712</v>
      </c>
      <c r="J93" s="9">
        <v>1</v>
      </c>
      <c r="K93" s="9">
        <v>192</v>
      </c>
      <c r="L93" s="9">
        <v>2024</v>
      </c>
      <c r="M93" s="8" t="s">
        <v>713</v>
      </c>
      <c r="N93" s="8" t="s">
        <v>79</v>
      </c>
      <c r="O93" s="8" t="s">
        <v>684</v>
      </c>
      <c r="P93" s="6" t="s">
        <v>43</v>
      </c>
      <c r="Q93" s="8" t="s">
        <v>58</v>
      </c>
      <c r="R93" s="10" t="s">
        <v>714</v>
      </c>
      <c r="S93" s="11" t="s">
        <v>715</v>
      </c>
      <c r="T93" s="6"/>
      <c r="U93" s="24" t="str">
        <f>HYPERLINK("https://media.infra-m.ru/2125/2125283/cover/2125283.jpg", "Обложка")</f>
        <v>Обложка</v>
      </c>
      <c r="V93" s="24" t="str">
        <f>HYPERLINK("https://znanium.ru/catalog/product/2125283", "Ознакомиться")</f>
        <v>Ознакомиться</v>
      </c>
      <c r="W93" s="8" t="s">
        <v>716</v>
      </c>
      <c r="X93" s="6"/>
      <c r="Y93" s="6"/>
      <c r="Z93" s="6"/>
      <c r="AA93" s="6" t="s">
        <v>133</v>
      </c>
      <c r="AB93" s="8"/>
    </row>
    <row r="94" spans="1:28" s="4" customFormat="1" ht="51.95" customHeight="1">
      <c r="A94" s="5">
        <v>0</v>
      </c>
      <c r="B94" s="6" t="s">
        <v>717</v>
      </c>
      <c r="C94" s="13">
        <v>1580</v>
      </c>
      <c r="D94" s="8" t="s">
        <v>718</v>
      </c>
      <c r="E94" s="8" t="s">
        <v>719</v>
      </c>
      <c r="F94" s="8" t="s">
        <v>720</v>
      </c>
      <c r="G94" s="6" t="s">
        <v>89</v>
      </c>
      <c r="H94" s="6" t="s">
        <v>53</v>
      </c>
      <c r="I94" s="8" t="s">
        <v>90</v>
      </c>
      <c r="J94" s="9">
        <v>12</v>
      </c>
      <c r="K94" s="9">
        <v>351</v>
      </c>
      <c r="L94" s="9">
        <v>2023</v>
      </c>
      <c r="M94" s="8" t="s">
        <v>721</v>
      </c>
      <c r="N94" s="8" t="s">
        <v>79</v>
      </c>
      <c r="O94" s="8" t="s">
        <v>684</v>
      </c>
      <c r="P94" s="6" t="s">
        <v>43</v>
      </c>
      <c r="Q94" s="8" t="s">
        <v>44</v>
      </c>
      <c r="R94" s="10" t="s">
        <v>722</v>
      </c>
      <c r="S94" s="11" t="s">
        <v>723</v>
      </c>
      <c r="T94" s="6"/>
      <c r="U94" s="24" t="str">
        <f>HYPERLINK("https://media.infra-m.ru/1937/1937952/cover/1937952.jpg", "Обложка")</f>
        <v>Обложка</v>
      </c>
      <c r="V94" s="24" t="str">
        <f>HYPERLINK("https://znanium.ru/catalog/product/1937952", "Ознакомиться")</f>
        <v>Ознакомиться</v>
      </c>
      <c r="W94" s="8" t="s">
        <v>637</v>
      </c>
      <c r="X94" s="6"/>
      <c r="Y94" s="6"/>
      <c r="Z94" s="6"/>
      <c r="AA94" s="6" t="s">
        <v>111</v>
      </c>
      <c r="AB94" s="8"/>
    </row>
    <row r="95" spans="1:28" s="4" customFormat="1" ht="51.95" customHeight="1">
      <c r="A95" s="5">
        <v>0</v>
      </c>
      <c r="B95" s="6" t="s">
        <v>724</v>
      </c>
      <c r="C95" s="13">
        <v>1824</v>
      </c>
      <c r="D95" s="8" t="s">
        <v>725</v>
      </c>
      <c r="E95" s="8" t="s">
        <v>719</v>
      </c>
      <c r="F95" s="8" t="s">
        <v>720</v>
      </c>
      <c r="G95" s="6" t="s">
        <v>52</v>
      </c>
      <c r="H95" s="6" t="s">
        <v>53</v>
      </c>
      <c r="I95" s="8" t="s">
        <v>100</v>
      </c>
      <c r="J95" s="9">
        <v>1</v>
      </c>
      <c r="K95" s="9">
        <v>351</v>
      </c>
      <c r="L95" s="9">
        <v>2025</v>
      </c>
      <c r="M95" s="8" t="s">
        <v>726</v>
      </c>
      <c r="N95" s="8" t="s">
        <v>79</v>
      </c>
      <c r="O95" s="8" t="s">
        <v>684</v>
      </c>
      <c r="P95" s="6" t="s">
        <v>43</v>
      </c>
      <c r="Q95" s="8" t="s">
        <v>102</v>
      </c>
      <c r="R95" s="10" t="s">
        <v>727</v>
      </c>
      <c r="S95" s="11" t="s">
        <v>728</v>
      </c>
      <c r="T95" s="6"/>
      <c r="U95" s="24" t="str">
        <f>HYPERLINK("https://media.infra-m.ru/2187/2187024/cover/2187024.jpg", "Обложка")</f>
        <v>Обложка</v>
      </c>
      <c r="V95" s="24" t="str">
        <f>HYPERLINK("https://znanium.ru/catalog/product/1147413", "Ознакомиться")</f>
        <v>Ознакомиться</v>
      </c>
      <c r="W95" s="8" t="s">
        <v>637</v>
      </c>
      <c r="X95" s="6"/>
      <c r="Y95" s="6"/>
      <c r="Z95" s="6" t="s">
        <v>104</v>
      </c>
      <c r="AA95" s="6" t="s">
        <v>258</v>
      </c>
      <c r="AB95" s="8"/>
    </row>
    <row r="96" spans="1:28" s="4" customFormat="1" ht="51.95" customHeight="1">
      <c r="A96" s="5">
        <v>0</v>
      </c>
      <c r="B96" s="6" t="s">
        <v>729</v>
      </c>
      <c r="C96" s="13">
        <v>1010</v>
      </c>
      <c r="D96" s="8" t="s">
        <v>730</v>
      </c>
      <c r="E96" s="8" t="s">
        <v>731</v>
      </c>
      <c r="F96" s="8" t="s">
        <v>732</v>
      </c>
      <c r="G96" s="6" t="s">
        <v>89</v>
      </c>
      <c r="H96" s="6" t="s">
        <v>53</v>
      </c>
      <c r="I96" s="8" t="s">
        <v>276</v>
      </c>
      <c r="J96" s="9">
        <v>1</v>
      </c>
      <c r="K96" s="9">
        <v>213</v>
      </c>
      <c r="L96" s="9">
        <v>2024</v>
      </c>
      <c r="M96" s="8" t="s">
        <v>733</v>
      </c>
      <c r="N96" s="8" t="s">
        <v>413</v>
      </c>
      <c r="O96" s="8" t="s">
        <v>414</v>
      </c>
      <c r="P96" s="6" t="s">
        <v>167</v>
      </c>
      <c r="Q96" s="8" t="s">
        <v>279</v>
      </c>
      <c r="R96" s="10" t="s">
        <v>734</v>
      </c>
      <c r="S96" s="11" t="s">
        <v>735</v>
      </c>
      <c r="T96" s="6" t="s">
        <v>299</v>
      </c>
      <c r="U96" s="24" t="str">
        <f>HYPERLINK("https://media.infra-m.ru/2127/2127629/cover/2127629.jpg", "Обложка")</f>
        <v>Обложка</v>
      </c>
      <c r="V96" s="24" t="str">
        <f>HYPERLINK("https://znanium.ru/catalog/product/2127629", "Ознакомиться")</f>
        <v>Ознакомиться</v>
      </c>
      <c r="W96" s="8" t="s">
        <v>637</v>
      </c>
      <c r="X96" s="6"/>
      <c r="Y96" s="6"/>
      <c r="Z96" s="6"/>
      <c r="AA96" s="6" t="s">
        <v>151</v>
      </c>
      <c r="AB96" s="8"/>
    </row>
    <row r="97" spans="1:28" s="4" customFormat="1" ht="51.95" customHeight="1">
      <c r="A97" s="5">
        <v>0</v>
      </c>
      <c r="B97" s="6" t="s">
        <v>736</v>
      </c>
      <c r="C97" s="7">
        <v>970</v>
      </c>
      <c r="D97" s="8" t="s">
        <v>737</v>
      </c>
      <c r="E97" s="8" t="s">
        <v>738</v>
      </c>
      <c r="F97" s="8" t="s">
        <v>739</v>
      </c>
      <c r="G97" s="6" t="s">
        <v>89</v>
      </c>
      <c r="H97" s="6" t="s">
        <v>53</v>
      </c>
      <c r="I97" s="8" t="s">
        <v>100</v>
      </c>
      <c r="J97" s="9">
        <v>1</v>
      </c>
      <c r="K97" s="9">
        <v>209</v>
      </c>
      <c r="L97" s="9">
        <v>2024</v>
      </c>
      <c r="M97" s="8" t="s">
        <v>740</v>
      </c>
      <c r="N97" s="8" t="s">
        <v>56</v>
      </c>
      <c r="O97" s="8" t="s">
        <v>741</v>
      </c>
      <c r="P97" s="6" t="s">
        <v>43</v>
      </c>
      <c r="Q97" s="8" t="s">
        <v>102</v>
      </c>
      <c r="R97" s="10" t="s">
        <v>742</v>
      </c>
      <c r="S97" s="11" t="s">
        <v>743</v>
      </c>
      <c r="T97" s="6"/>
      <c r="U97" s="24" t="str">
        <f>HYPERLINK("https://media.infra-m.ru/2102/2102665/cover/2102665.jpg", "Обложка")</f>
        <v>Обложка</v>
      </c>
      <c r="V97" s="24" t="str">
        <f>HYPERLINK("https://znanium.ru/catalog/product/2102665", "Ознакомиться")</f>
        <v>Ознакомиться</v>
      </c>
      <c r="W97" s="8" t="s">
        <v>744</v>
      </c>
      <c r="X97" s="6"/>
      <c r="Y97" s="6"/>
      <c r="Z97" s="6" t="s">
        <v>104</v>
      </c>
      <c r="AA97" s="6" t="s">
        <v>151</v>
      </c>
      <c r="AB97" s="8"/>
    </row>
    <row r="98" spans="1:28" s="4" customFormat="1" ht="51.95" customHeight="1">
      <c r="A98" s="5">
        <v>0</v>
      </c>
      <c r="B98" s="6" t="s">
        <v>745</v>
      </c>
      <c r="C98" s="13">
        <v>1084</v>
      </c>
      <c r="D98" s="8" t="s">
        <v>746</v>
      </c>
      <c r="E98" s="8" t="s">
        <v>738</v>
      </c>
      <c r="F98" s="8" t="s">
        <v>747</v>
      </c>
      <c r="G98" s="6" t="s">
        <v>38</v>
      </c>
      <c r="H98" s="6" t="s">
        <v>39</v>
      </c>
      <c r="I98" s="8"/>
      <c r="J98" s="9">
        <v>1</v>
      </c>
      <c r="K98" s="9">
        <v>208</v>
      </c>
      <c r="L98" s="9">
        <v>2025</v>
      </c>
      <c r="M98" s="8" t="s">
        <v>748</v>
      </c>
      <c r="N98" s="8" t="s">
        <v>56</v>
      </c>
      <c r="O98" s="8" t="s">
        <v>741</v>
      </c>
      <c r="P98" s="6" t="s">
        <v>43</v>
      </c>
      <c r="Q98" s="8" t="s">
        <v>44</v>
      </c>
      <c r="R98" s="10" t="s">
        <v>749</v>
      </c>
      <c r="S98" s="11" t="s">
        <v>750</v>
      </c>
      <c r="T98" s="6"/>
      <c r="U98" s="24" t="str">
        <f>HYPERLINK("https://media.infra-m.ru/2188/2188747/cover/2188747.jpg", "Обложка")</f>
        <v>Обложка</v>
      </c>
      <c r="V98" s="12"/>
      <c r="W98" s="8" t="s">
        <v>744</v>
      </c>
      <c r="X98" s="6"/>
      <c r="Y98" s="6"/>
      <c r="Z98" s="6"/>
      <c r="AA98" s="6" t="s">
        <v>72</v>
      </c>
      <c r="AB98" s="8"/>
    </row>
    <row r="99" spans="1:28" s="4" customFormat="1" ht="51.95" customHeight="1">
      <c r="A99" s="5">
        <v>0</v>
      </c>
      <c r="B99" s="6" t="s">
        <v>751</v>
      </c>
      <c r="C99" s="13">
        <v>1020</v>
      </c>
      <c r="D99" s="8" t="s">
        <v>752</v>
      </c>
      <c r="E99" s="8" t="s">
        <v>753</v>
      </c>
      <c r="F99" s="8" t="s">
        <v>754</v>
      </c>
      <c r="G99" s="6" t="s">
        <v>89</v>
      </c>
      <c r="H99" s="6" t="s">
        <v>53</v>
      </c>
      <c r="I99" s="8" t="s">
        <v>755</v>
      </c>
      <c r="J99" s="9">
        <v>1</v>
      </c>
      <c r="K99" s="9">
        <v>196</v>
      </c>
      <c r="L99" s="9">
        <v>2025</v>
      </c>
      <c r="M99" s="8" t="s">
        <v>756</v>
      </c>
      <c r="N99" s="8" t="s">
        <v>79</v>
      </c>
      <c r="O99" s="8" t="s">
        <v>396</v>
      </c>
      <c r="P99" s="6" t="s">
        <v>43</v>
      </c>
      <c r="Q99" s="8" t="s">
        <v>58</v>
      </c>
      <c r="R99" s="10" t="s">
        <v>454</v>
      </c>
      <c r="S99" s="11" t="s">
        <v>757</v>
      </c>
      <c r="T99" s="6"/>
      <c r="U99" s="24" t="str">
        <f>HYPERLINK("https://media.infra-m.ru/2188/2188077/cover/2188077.jpg", "Обложка")</f>
        <v>Обложка</v>
      </c>
      <c r="V99" s="24" t="str">
        <f>HYPERLINK("https://znanium.ru/catalog/product/2188077", "Ознакомиться")</f>
        <v>Ознакомиться</v>
      </c>
      <c r="W99" s="8" t="s">
        <v>758</v>
      </c>
      <c r="X99" s="6"/>
      <c r="Y99" s="6"/>
      <c r="Z99" s="6"/>
      <c r="AA99" s="6" t="s">
        <v>258</v>
      </c>
      <c r="AB99" s="8"/>
    </row>
    <row r="100" spans="1:28" s="4" customFormat="1" ht="42" customHeight="1">
      <c r="A100" s="5">
        <v>0</v>
      </c>
      <c r="B100" s="6" t="s">
        <v>759</v>
      </c>
      <c r="C100" s="13">
        <v>1880</v>
      </c>
      <c r="D100" s="8" t="s">
        <v>760</v>
      </c>
      <c r="E100" s="8" t="s">
        <v>761</v>
      </c>
      <c r="F100" s="8" t="s">
        <v>762</v>
      </c>
      <c r="G100" s="6" t="s">
        <v>89</v>
      </c>
      <c r="H100" s="6" t="s">
        <v>53</v>
      </c>
      <c r="I100" s="8" t="s">
        <v>100</v>
      </c>
      <c r="J100" s="9">
        <v>1</v>
      </c>
      <c r="K100" s="9">
        <v>376</v>
      </c>
      <c r="L100" s="9">
        <v>2025</v>
      </c>
      <c r="M100" s="8" t="s">
        <v>763</v>
      </c>
      <c r="N100" s="8" t="s">
        <v>41</v>
      </c>
      <c r="O100" s="8" t="s">
        <v>676</v>
      </c>
      <c r="P100" s="6" t="s">
        <v>167</v>
      </c>
      <c r="Q100" s="8" t="s">
        <v>102</v>
      </c>
      <c r="R100" s="10" t="s">
        <v>256</v>
      </c>
      <c r="S100" s="11"/>
      <c r="T100" s="6"/>
      <c r="U100" s="24" t="str">
        <f>HYPERLINK("https://media.infra-m.ru/2187/2187437/cover/2187437.jpg", "Обложка")</f>
        <v>Обложка</v>
      </c>
      <c r="V100" s="24" t="str">
        <f>HYPERLINK("https://znanium.ru/catalog/product/2187437", "Ознакомиться")</f>
        <v>Ознакомиться</v>
      </c>
      <c r="W100" s="8" t="s">
        <v>764</v>
      </c>
      <c r="X100" s="6"/>
      <c r="Y100" s="6"/>
      <c r="Z100" s="6"/>
      <c r="AA100" s="6" t="s">
        <v>133</v>
      </c>
      <c r="AB100" s="8" t="s">
        <v>550</v>
      </c>
    </row>
    <row r="101" spans="1:28" s="4" customFormat="1" ht="42" customHeight="1">
      <c r="A101" s="5">
        <v>0</v>
      </c>
      <c r="B101" s="6" t="s">
        <v>765</v>
      </c>
      <c r="C101" s="13">
        <v>1180</v>
      </c>
      <c r="D101" s="8" t="s">
        <v>766</v>
      </c>
      <c r="E101" s="8" t="s">
        <v>767</v>
      </c>
      <c r="F101" s="8" t="s">
        <v>768</v>
      </c>
      <c r="G101" s="6" t="s">
        <v>52</v>
      </c>
      <c r="H101" s="6" t="s">
        <v>53</v>
      </c>
      <c r="I101" s="8" t="s">
        <v>116</v>
      </c>
      <c r="J101" s="9">
        <v>1</v>
      </c>
      <c r="K101" s="9">
        <v>222</v>
      </c>
      <c r="L101" s="9">
        <v>2024</v>
      </c>
      <c r="M101" s="8" t="s">
        <v>769</v>
      </c>
      <c r="N101" s="8" t="s">
        <v>41</v>
      </c>
      <c r="O101" s="8" t="s">
        <v>676</v>
      </c>
      <c r="P101" s="6" t="s">
        <v>43</v>
      </c>
      <c r="Q101" s="8" t="s">
        <v>58</v>
      </c>
      <c r="R101" s="10" t="s">
        <v>770</v>
      </c>
      <c r="S101" s="11"/>
      <c r="T101" s="6"/>
      <c r="U101" s="24" t="str">
        <f>HYPERLINK("https://media.infra-m.ru/1977/1977964/cover/1977964.jpg", "Обложка")</f>
        <v>Обложка</v>
      </c>
      <c r="V101" s="24" t="str">
        <f>HYPERLINK("https://znanium.ru/catalog/product/1977964", "Ознакомиться")</f>
        <v>Ознакомиться</v>
      </c>
      <c r="W101" s="8" t="s">
        <v>771</v>
      </c>
      <c r="X101" s="6" t="s">
        <v>772</v>
      </c>
      <c r="Y101" s="6"/>
      <c r="Z101" s="6"/>
      <c r="AA101" s="6" t="s">
        <v>133</v>
      </c>
      <c r="AB101" s="8"/>
    </row>
    <row r="102" spans="1:28" s="4" customFormat="1" ht="42" customHeight="1">
      <c r="A102" s="5">
        <v>0</v>
      </c>
      <c r="B102" s="6" t="s">
        <v>773</v>
      </c>
      <c r="C102" s="13">
        <v>1300</v>
      </c>
      <c r="D102" s="8" t="s">
        <v>774</v>
      </c>
      <c r="E102" s="8" t="s">
        <v>775</v>
      </c>
      <c r="F102" s="8" t="s">
        <v>768</v>
      </c>
      <c r="G102" s="6" t="s">
        <v>52</v>
      </c>
      <c r="H102" s="6" t="s">
        <v>53</v>
      </c>
      <c r="I102" s="8" t="s">
        <v>116</v>
      </c>
      <c r="J102" s="9">
        <v>1</v>
      </c>
      <c r="K102" s="9">
        <v>257</v>
      </c>
      <c r="L102" s="9">
        <v>2025</v>
      </c>
      <c r="M102" s="8" t="s">
        <v>776</v>
      </c>
      <c r="N102" s="8" t="s">
        <v>41</v>
      </c>
      <c r="O102" s="8" t="s">
        <v>676</v>
      </c>
      <c r="P102" s="6" t="s">
        <v>43</v>
      </c>
      <c r="Q102" s="8" t="s">
        <v>58</v>
      </c>
      <c r="R102" s="10" t="s">
        <v>777</v>
      </c>
      <c r="S102" s="11"/>
      <c r="T102" s="6"/>
      <c r="U102" s="24" t="str">
        <f>HYPERLINK("https://media.infra-m.ru/2049/2049714/cover/2049714.jpg", "Обложка")</f>
        <v>Обложка</v>
      </c>
      <c r="V102" s="24" t="str">
        <f>HYPERLINK("https://znanium.ru/catalog/product/2049714", "Ознакомиться")</f>
        <v>Ознакомиться</v>
      </c>
      <c r="W102" s="8" t="s">
        <v>771</v>
      </c>
      <c r="X102" s="6" t="s">
        <v>389</v>
      </c>
      <c r="Y102" s="6"/>
      <c r="Z102" s="6"/>
      <c r="AA102" s="6" t="s">
        <v>61</v>
      </c>
      <c r="AB102" s="8"/>
    </row>
    <row r="103" spans="1:28" s="4" customFormat="1" ht="42" customHeight="1">
      <c r="A103" s="5">
        <v>0</v>
      </c>
      <c r="B103" s="6" t="s">
        <v>778</v>
      </c>
      <c r="C103" s="13">
        <v>2622</v>
      </c>
      <c r="D103" s="8" t="s">
        <v>779</v>
      </c>
      <c r="E103" s="8" t="s">
        <v>780</v>
      </c>
      <c r="F103" s="8" t="s">
        <v>781</v>
      </c>
      <c r="G103" s="6" t="s">
        <v>52</v>
      </c>
      <c r="H103" s="6" t="s">
        <v>53</v>
      </c>
      <c r="I103" s="8" t="s">
        <v>782</v>
      </c>
      <c r="J103" s="9">
        <v>1</v>
      </c>
      <c r="K103" s="9">
        <v>403</v>
      </c>
      <c r="L103" s="9">
        <v>2025</v>
      </c>
      <c r="M103" s="8" t="s">
        <v>783</v>
      </c>
      <c r="N103" s="8" t="s">
        <v>41</v>
      </c>
      <c r="O103" s="8" t="s">
        <v>676</v>
      </c>
      <c r="P103" s="6" t="s">
        <v>43</v>
      </c>
      <c r="Q103" s="8" t="s">
        <v>58</v>
      </c>
      <c r="R103" s="10" t="s">
        <v>777</v>
      </c>
      <c r="S103" s="11"/>
      <c r="T103" s="6"/>
      <c r="U103" s="24" t="str">
        <f>HYPERLINK("https://media.infra-m.ru/2162/2162078/cover/2162078.jpg", "Обложка")</f>
        <v>Обложка</v>
      </c>
      <c r="V103" s="12"/>
      <c r="W103" s="8" t="s">
        <v>784</v>
      </c>
      <c r="X103" s="6" t="s">
        <v>785</v>
      </c>
      <c r="Y103" s="6"/>
      <c r="Z103" s="6"/>
      <c r="AA103" s="6" t="s">
        <v>61</v>
      </c>
      <c r="AB103" s="8"/>
    </row>
    <row r="104" spans="1:28" s="4" customFormat="1" ht="42" customHeight="1">
      <c r="A104" s="5">
        <v>0</v>
      </c>
      <c r="B104" s="6" t="s">
        <v>786</v>
      </c>
      <c r="C104" s="13">
        <v>1170</v>
      </c>
      <c r="D104" s="8" t="s">
        <v>787</v>
      </c>
      <c r="E104" s="8" t="s">
        <v>788</v>
      </c>
      <c r="F104" s="8" t="s">
        <v>789</v>
      </c>
      <c r="G104" s="6" t="s">
        <v>89</v>
      </c>
      <c r="H104" s="6" t="s">
        <v>674</v>
      </c>
      <c r="I104" s="8"/>
      <c r="J104" s="9">
        <v>1</v>
      </c>
      <c r="K104" s="9">
        <v>248</v>
      </c>
      <c r="L104" s="9">
        <v>2024</v>
      </c>
      <c r="M104" s="8" t="s">
        <v>790</v>
      </c>
      <c r="N104" s="8" t="s">
        <v>41</v>
      </c>
      <c r="O104" s="8" t="s">
        <v>676</v>
      </c>
      <c r="P104" s="6" t="s">
        <v>43</v>
      </c>
      <c r="Q104" s="8" t="s">
        <v>44</v>
      </c>
      <c r="R104" s="10" t="s">
        <v>791</v>
      </c>
      <c r="S104" s="11"/>
      <c r="T104" s="6"/>
      <c r="U104" s="24" t="str">
        <f>HYPERLINK("https://media.infra-m.ru/2127/2127592/cover/2127592.jpg", "Обложка")</f>
        <v>Обложка</v>
      </c>
      <c r="V104" s="24" t="str">
        <f>HYPERLINK("https://znanium.ru/catalog/product/2127592", "Ознакомиться")</f>
        <v>Ознакомиться</v>
      </c>
      <c r="W104" s="8" t="s">
        <v>792</v>
      </c>
      <c r="X104" s="6"/>
      <c r="Y104" s="6"/>
      <c r="Z104" s="6"/>
      <c r="AA104" s="6" t="s">
        <v>793</v>
      </c>
      <c r="AB104" s="8"/>
    </row>
    <row r="105" spans="1:28" s="4" customFormat="1" ht="42" customHeight="1">
      <c r="A105" s="5">
        <v>0</v>
      </c>
      <c r="B105" s="6" t="s">
        <v>794</v>
      </c>
      <c r="C105" s="7">
        <v>960</v>
      </c>
      <c r="D105" s="8" t="s">
        <v>795</v>
      </c>
      <c r="E105" s="8" t="s">
        <v>796</v>
      </c>
      <c r="F105" s="8" t="s">
        <v>797</v>
      </c>
      <c r="G105" s="6" t="s">
        <v>52</v>
      </c>
      <c r="H105" s="6" t="s">
        <v>53</v>
      </c>
      <c r="I105" s="8" t="s">
        <v>116</v>
      </c>
      <c r="J105" s="9">
        <v>1</v>
      </c>
      <c r="K105" s="9">
        <v>179</v>
      </c>
      <c r="L105" s="9">
        <v>2025</v>
      </c>
      <c r="M105" s="8" t="s">
        <v>798</v>
      </c>
      <c r="N105" s="8" t="s">
        <v>41</v>
      </c>
      <c r="O105" s="8" t="s">
        <v>676</v>
      </c>
      <c r="P105" s="6" t="s">
        <v>167</v>
      </c>
      <c r="Q105" s="8" t="s">
        <v>58</v>
      </c>
      <c r="R105" s="10" t="s">
        <v>799</v>
      </c>
      <c r="S105" s="11"/>
      <c r="T105" s="6"/>
      <c r="U105" s="24" t="str">
        <f>HYPERLINK("https://media.infra-m.ru/2134/2134524/cover/2134524.jpg", "Обложка")</f>
        <v>Обложка</v>
      </c>
      <c r="V105" s="24" t="str">
        <f>HYPERLINK("https://znanium.ru/catalog/product/2134524", "Ознакомиться")</f>
        <v>Ознакомиться</v>
      </c>
      <c r="W105" s="8" t="s">
        <v>800</v>
      </c>
      <c r="X105" s="6" t="s">
        <v>132</v>
      </c>
      <c r="Y105" s="6"/>
      <c r="Z105" s="6"/>
      <c r="AA105" s="6" t="s">
        <v>61</v>
      </c>
      <c r="AB105" s="8"/>
    </row>
    <row r="106" spans="1:28" s="4" customFormat="1" ht="51.95" customHeight="1">
      <c r="A106" s="5">
        <v>0</v>
      </c>
      <c r="B106" s="6" t="s">
        <v>801</v>
      </c>
      <c r="C106" s="13">
        <v>1464</v>
      </c>
      <c r="D106" s="8" t="s">
        <v>802</v>
      </c>
      <c r="E106" s="8" t="s">
        <v>803</v>
      </c>
      <c r="F106" s="8" t="s">
        <v>804</v>
      </c>
      <c r="G106" s="6" t="s">
        <v>89</v>
      </c>
      <c r="H106" s="6" t="s">
        <v>53</v>
      </c>
      <c r="I106" s="8" t="s">
        <v>116</v>
      </c>
      <c r="J106" s="9">
        <v>1</v>
      </c>
      <c r="K106" s="9">
        <v>293</v>
      </c>
      <c r="L106" s="9">
        <v>2024</v>
      </c>
      <c r="M106" s="8" t="s">
        <v>805</v>
      </c>
      <c r="N106" s="8" t="s">
        <v>41</v>
      </c>
      <c r="O106" s="8" t="s">
        <v>676</v>
      </c>
      <c r="P106" s="6" t="s">
        <v>43</v>
      </c>
      <c r="Q106" s="8" t="s">
        <v>44</v>
      </c>
      <c r="R106" s="10" t="s">
        <v>806</v>
      </c>
      <c r="S106" s="11" t="s">
        <v>807</v>
      </c>
      <c r="T106" s="6"/>
      <c r="U106" s="24" t="str">
        <f>HYPERLINK("https://media.infra-m.ru/2095/2095999/cover/2095999.jpg", "Обложка")</f>
        <v>Обложка</v>
      </c>
      <c r="V106" s="24" t="str">
        <f>HYPERLINK("https://znanium.ru/catalog/product/2095999", "Ознакомиться")</f>
        <v>Ознакомиться</v>
      </c>
      <c r="W106" s="8" t="s">
        <v>808</v>
      </c>
      <c r="X106" s="6"/>
      <c r="Y106" s="6"/>
      <c r="Z106" s="6"/>
      <c r="AA106" s="6" t="s">
        <v>793</v>
      </c>
      <c r="AB106" s="8"/>
    </row>
    <row r="107" spans="1:28" s="4" customFormat="1" ht="42" customHeight="1">
      <c r="A107" s="5">
        <v>0</v>
      </c>
      <c r="B107" s="6" t="s">
        <v>809</v>
      </c>
      <c r="C107" s="13">
        <v>1760</v>
      </c>
      <c r="D107" s="8" t="s">
        <v>810</v>
      </c>
      <c r="E107" s="8" t="s">
        <v>811</v>
      </c>
      <c r="F107" s="8" t="s">
        <v>789</v>
      </c>
      <c r="G107" s="6" t="s">
        <v>89</v>
      </c>
      <c r="H107" s="6" t="s">
        <v>674</v>
      </c>
      <c r="I107" s="8" t="s">
        <v>100</v>
      </c>
      <c r="J107" s="9">
        <v>1</v>
      </c>
      <c r="K107" s="9">
        <v>352</v>
      </c>
      <c r="L107" s="9">
        <v>2025</v>
      </c>
      <c r="M107" s="8" t="s">
        <v>812</v>
      </c>
      <c r="N107" s="8" t="s">
        <v>41</v>
      </c>
      <c r="O107" s="8" t="s">
        <v>676</v>
      </c>
      <c r="P107" s="6" t="s">
        <v>43</v>
      </c>
      <c r="Q107" s="8" t="s">
        <v>102</v>
      </c>
      <c r="R107" s="10" t="s">
        <v>256</v>
      </c>
      <c r="S107" s="11"/>
      <c r="T107" s="6"/>
      <c r="U107" s="24" t="str">
        <f>HYPERLINK("https://media.infra-m.ru/2163/2163182/cover/2163182.jpg", "Обложка")</f>
        <v>Обложка</v>
      </c>
      <c r="V107" s="24" t="str">
        <f>HYPERLINK("https://znanium.ru/catalog/product/2174320", "Ознакомиться")</f>
        <v>Ознакомиться</v>
      </c>
      <c r="W107" s="8" t="s">
        <v>792</v>
      </c>
      <c r="X107" s="6"/>
      <c r="Y107" s="6"/>
      <c r="Z107" s="6" t="s">
        <v>104</v>
      </c>
      <c r="AA107" s="6" t="s">
        <v>813</v>
      </c>
      <c r="AB107" s="8"/>
    </row>
    <row r="108" spans="1:28" s="4" customFormat="1" ht="42" customHeight="1">
      <c r="A108" s="5">
        <v>0</v>
      </c>
      <c r="B108" s="6" t="s">
        <v>814</v>
      </c>
      <c r="C108" s="13">
        <v>1880</v>
      </c>
      <c r="D108" s="8" t="s">
        <v>815</v>
      </c>
      <c r="E108" s="8" t="s">
        <v>816</v>
      </c>
      <c r="F108" s="8" t="s">
        <v>789</v>
      </c>
      <c r="G108" s="6" t="s">
        <v>89</v>
      </c>
      <c r="H108" s="6" t="s">
        <v>674</v>
      </c>
      <c r="I108" s="8" t="s">
        <v>100</v>
      </c>
      <c r="J108" s="9">
        <v>1</v>
      </c>
      <c r="K108" s="9">
        <v>376</v>
      </c>
      <c r="L108" s="9">
        <v>2025</v>
      </c>
      <c r="M108" s="8" t="s">
        <v>817</v>
      </c>
      <c r="N108" s="8" t="s">
        <v>41</v>
      </c>
      <c r="O108" s="8" t="s">
        <v>676</v>
      </c>
      <c r="P108" s="6" t="s">
        <v>43</v>
      </c>
      <c r="Q108" s="8" t="s">
        <v>102</v>
      </c>
      <c r="R108" s="10" t="s">
        <v>256</v>
      </c>
      <c r="S108" s="11"/>
      <c r="T108" s="6"/>
      <c r="U108" s="24" t="str">
        <f>HYPERLINK("https://media.infra-m.ru/2174/2174320/cover/2174320.jpg", "Обложка")</f>
        <v>Обложка</v>
      </c>
      <c r="V108" s="24" t="str">
        <f>HYPERLINK("https://znanium.ru/catalog/product/2174320", "Ознакомиться")</f>
        <v>Ознакомиться</v>
      </c>
      <c r="W108" s="8" t="s">
        <v>792</v>
      </c>
      <c r="X108" s="6" t="s">
        <v>785</v>
      </c>
      <c r="Y108" s="6"/>
      <c r="Z108" s="6" t="s">
        <v>104</v>
      </c>
      <c r="AA108" s="6" t="s">
        <v>818</v>
      </c>
      <c r="AB108" s="8"/>
    </row>
    <row r="109" spans="1:28" s="4" customFormat="1" ht="51.95" customHeight="1">
      <c r="A109" s="5">
        <v>0</v>
      </c>
      <c r="B109" s="6" t="s">
        <v>819</v>
      </c>
      <c r="C109" s="13">
        <v>1880</v>
      </c>
      <c r="D109" s="8" t="s">
        <v>820</v>
      </c>
      <c r="E109" s="8" t="s">
        <v>816</v>
      </c>
      <c r="F109" s="8" t="s">
        <v>789</v>
      </c>
      <c r="G109" s="6" t="s">
        <v>89</v>
      </c>
      <c r="H109" s="6" t="s">
        <v>674</v>
      </c>
      <c r="I109" s="8"/>
      <c r="J109" s="9">
        <v>1</v>
      </c>
      <c r="K109" s="9">
        <v>376</v>
      </c>
      <c r="L109" s="9">
        <v>2025</v>
      </c>
      <c r="M109" s="8" t="s">
        <v>821</v>
      </c>
      <c r="N109" s="8" t="s">
        <v>41</v>
      </c>
      <c r="O109" s="8" t="s">
        <v>676</v>
      </c>
      <c r="P109" s="6" t="s">
        <v>822</v>
      </c>
      <c r="Q109" s="8" t="s">
        <v>44</v>
      </c>
      <c r="R109" s="10" t="s">
        <v>823</v>
      </c>
      <c r="S109" s="11"/>
      <c r="T109" s="6"/>
      <c r="U109" s="24" t="str">
        <f>HYPERLINK("https://media.infra-m.ru/2186/2186853/cover/2186853.jpg", "Обложка")</f>
        <v>Обложка</v>
      </c>
      <c r="V109" s="24" t="str">
        <f>HYPERLINK("https://znanium.ru/catalog/product/2174353", "Ознакомиться")</f>
        <v>Ознакомиться</v>
      </c>
      <c r="W109" s="8" t="s">
        <v>792</v>
      </c>
      <c r="X109" s="6"/>
      <c r="Y109" s="6"/>
      <c r="Z109" s="6"/>
      <c r="AA109" s="6" t="s">
        <v>818</v>
      </c>
      <c r="AB109" s="8"/>
    </row>
    <row r="110" spans="1:28" s="4" customFormat="1" ht="51.95" customHeight="1">
      <c r="A110" s="5">
        <v>0</v>
      </c>
      <c r="B110" s="6" t="s">
        <v>824</v>
      </c>
      <c r="C110" s="13">
        <v>1650</v>
      </c>
      <c r="D110" s="8" t="s">
        <v>825</v>
      </c>
      <c r="E110" s="8" t="s">
        <v>811</v>
      </c>
      <c r="F110" s="8" t="s">
        <v>789</v>
      </c>
      <c r="G110" s="6" t="s">
        <v>89</v>
      </c>
      <c r="H110" s="6" t="s">
        <v>674</v>
      </c>
      <c r="I110" s="8"/>
      <c r="J110" s="9">
        <v>1</v>
      </c>
      <c r="K110" s="9">
        <v>352</v>
      </c>
      <c r="L110" s="9">
        <v>2024</v>
      </c>
      <c r="M110" s="8" t="s">
        <v>826</v>
      </c>
      <c r="N110" s="8" t="s">
        <v>41</v>
      </c>
      <c r="O110" s="8" t="s">
        <v>676</v>
      </c>
      <c r="P110" s="6" t="s">
        <v>822</v>
      </c>
      <c r="Q110" s="8" t="s">
        <v>44</v>
      </c>
      <c r="R110" s="10" t="s">
        <v>823</v>
      </c>
      <c r="S110" s="11"/>
      <c r="T110" s="6"/>
      <c r="U110" s="24" t="str">
        <f>HYPERLINK("https://media.infra-m.ru/2113/2113851/cover/2113851.jpg", "Обложка")</f>
        <v>Обложка</v>
      </c>
      <c r="V110" s="24" t="str">
        <f>HYPERLINK("https://znanium.ru/catalog/product/2174353", "Ознакомиться")</f>
        <v>Ознакомиться</v>
      </c>
      <c r="W110" s="8" t="s">
        <v>792</v>
      </c>
      <c r="X110" s="6"/>
      <c r="Y110" s="6"/>
      <c r="Z110" s="6"/>
      <c r="AA110" s="6" t="s">
        <v>513</v>
      </c>
      <c r="AB110" s="8"/>
    </row>
    <row r="111" spans="1:28" s="4" customFormat="1" ht="51.95" customHeight="1">
      <c r="A111" s="5">
        <v>0</v>
      </c>
      <c r="B111" s="6" t="s">
        <v>827</v>
      </c>
      <c r="C111" s="13">
        <v>1270</v>
      </c>
      <c r="D111" s="8" t="s">
        <v>828</v>
      </c>
      <c r="E111" s="8" t="s">
        <v>829</v>
      </c>
      <c r="F111" s="8" t="s">
        <v>789</v>
      </c>
      <c r="G111" s="6" t="s">
        <v>89</v>
      </c>
      <c r="H111" s="6" t="s">
        <v>674</v>
      </c>
      <c r="I111" s="8"/>
      <c r="J111" s="9">
        <v>1</v>
      </c>
      <c r="K111" s="9">
        <v>352</v>
      </c>
      <c r="L111" s="9">
        <v>2021</v>
      </c>
      <c r="M111" s="8" t="s">
        <v>830</v>
      </c>
      <c r="N111" s="8" t="s">
        <v>41</v>
      </c>
      <c r="O111" s="8" t="s">
        <v>676</v>
      </c>
      <c r="P111" s="6" t="s">
        <v>822</v>
      </c>
      <c r="Q111" s="8" t="s">
        <v>44</v>
      </c>
      <c r="R111" s="10" t="s">
        <v>823</v>
      </c>
      <c r="S111" s="11"/>
      <c r="T111" s="6"/>
      <c r="U111" s="24" t="str">
        <f>HYPERLINK("https://media.infra-m.ru/1222/1222790/cover/1222790.jpg", "Обложка")</f>
        <v>Обложка</v>
      </c>
      <c r="V111" s="24" t="str">
        <f>HYPERLINK("https://znanium.ru/catalog/product/2174353", "Ознакомиться")</f>
        <v>Ознакомиться</v>
      </c>
      <c r="W111" s="8" t="s">
        <v>792</v>
      </c>
      <c r="X111" s="6"/>
      <c r="Y111" s="6"/>
      <c r="Z111" s="6"/>
      <c r="AA111" s="6" t="s">
        <v>442</v>
      </c>
      <c r="AB111" s="8"/>
    </row>
    <row r="112" spans="1:28" s="4" customFormat="1" ht="44.1" customHeight="1">
      <c r="A112" s="5">
        <v>0</v>
      </c>
      <c r="B112" s="6" t="s">
        <v>831</v>
      </c>
      <c r="C112" s="13">
        <v>1270</v>
      </c>
      <c r="D112" s="8" t="s">
        <v>832</v>
      </c>
      <c r="E112" s="8" t="s">
        <v>829</v>
      </c>
      <c r="F112" s="8" t="s">
        <v>789</v>
      </c>
      <c r="G112" s="6" t="s">
        <v>89</v>
      </c>
      <c r="H112" s="6" t="s">
        <v>674</v>
      </c>
      <c r="I112" s="8" t="s">
        <v>100</v>
      </c>
      <c r="J112" s="9">
        <v>1</v>
      </c>
      <c r="K112" s="9">
        <v>352</v>
      </c>
      <c r="L112" s="9">
        <v>2021</v>
      </c>
      <c r="M112" s="8" t="s">
        <v>833</v>
      </c>
      <c r="N112" s="8" t="s">
        <v>41</v>
      </c>
      <c r="O112" s="8" t="s">
        <v>676</v>
      </c>
      <c r="P112" s="6" t="s">
        <v>43</v>
      </c>
      <c r="Q112" s="8" t="s">
        <v>102</v>
      </c>
      <c r="R112" s="10" t="s">
        <v>256</v>
      </c>
      <c r="S112" s="11"/>
      <c r="T112" s="6"/>
      <c r="U112" s="24" t="str">
        <f>HYPERLINK("https://media.infra-m.ru/1215/1215336/cover/1215336.jpg", "Обложка")</f>
        <v>Обложка</v>
      </c>
      <c r="V112" s="24" t="str">
        <f>HYPERLINK("https://znanium.ru/catalog/product/2174320", "Ознакомиться")</f>
        <v>Ознакомиться</v>
      </c>
      <c r="W112" s="8" t="s">
        <v>792</v>
      </c>
      <c r="X112" s="6"/>
      <c r="Y112" s="6"/>
      <c r="Z112" s="6" t="s">
        <v>104</v>
      </c>
      <c r="AA112" s="6" t="s">
        <v>151</v>
      </c>
      <c r="AB112" s="8"/>
    </row>
    <row r="113" spans="1:28" s="4" customFormat="1" ht="51.95" customHeight="1">
      <c r="A113" s="5">
        <v>0</v>
      </c>
      <c r="B113" s="6" t="s">
        <v>834</v>
      </c>
      <c r="C113" s="13">
        <v>2250</v>
      </c>
      <c r="D113" s="8" t="s">
        <v>835</v>
      </c>
      <c r="E113" s="8" t="s">
        <v>836</v>
      </c>
      <c r="F113" s="8" t="s">
        <v>837</v>
      </c>
      <c r="G113" s="6" t="s">
        <v>89</v>
      </c>
      <c r="H113" s="6" t="s">
        <v>184</v>
      </c>
      <c r="I113" s="8" t="s">
        <v>116</v>
      </c>
      <c r="J113" s="9">
        <v>1</v>
      </c>
      <c r="K113" s="9">
        <v>499</v>
      </c>
      <c r="L113" s="9">
        <v>2019</v>
      </c>
      <c r="M113" s="8" t="s">
        <v>838</v>
      </c>
      <c r="N113" s="8" t="s">
        <v>41</v>
      </c>
      <c r="O113" s="8" t="s">
        <v>676</v>
      </c>
      <c r="P113" s="6" t="s">
        <v>167</v>
      </c>
      <c r="Q113" s="8" t="s">
        <v>279</v>
      </c>
      <c r="R113" s="10" t="s">
        <v>839</v>
      </c>
      <c r="S113" s="11"/>
      <c r="T113" s="6"/>
      <c r="U113" s="24" t="str">
        <f>HYPERLINK("https://media.infra-m.ru/1941/1941743/cover/1941743.jpg", "Обложка")</f>
        <v>Обложка</v>
      </c>
      <c r="V113" s="24" t="str">
        <f>HYPERLINK("https://znanium.ru/catalog/product/2166767", "Ознакомиться")</f>
        <v>Ознакомиться</v>
      </c>
      <c r="W113" s="8" t="s">
        <v>189</v>
      </c>
      <c r="X113" s="6"/>
      <c r="Y113" s="6"/>
      <c r="Z113" s="6"/>
      <c r="AA113" s="6" t="s">
        <v>258</v>
      </c>
      <c r="AB113" s="8" t="s">
        <v>840</v>
      </c>
    </row>
    <row r="114" spans="1:28" s="4" customFormat="1" ht="51.95" customHeight="1">
      <c r="A114" s="5">
        <v>0</v>
      </c>
      <c r="B114" s="6" t="s">
        <v>841</v>
      </c>
      <c r="C114" s="13">
        <v>1364</v>
      </c>
      <c r="D114" s="8" t="s">
        <v>842</v>
      </c>
      <c r="E114" s="8" t="s">
        <v>843</v>
      </c>
      <c r="F114" s="8" t="s">
        <v>837</v>
      </c>
      <c r="G114" s="6" t="s">
        <v>89</v>
      </c>
      <c r="H114" s="6" t="s">
        <v>184</v>
      </c>
      <c r="I114" s="8" t="s">
        <v>116</v>
      </c>
      <c r="J114" s="9">
        <v>1</v>
      </c>
      <c r="K114" s="9">
        <v>285</v>
      </c>
      <c r="L114" s="9">
        <v>2024</v>
      </c>
      <c r="M114" s="8" t="s">
        <v>844</v>
      </c>
      <c r="N114" s="8" t="s">
        <v>41</v>
      </c>
      <c r="O114" s="8" t="s">
        <v>676</v>
      </c>
      <c r="P114" s="6" t="s">
        <v>167</v>
      </c>
      <c r="Q114" s="8" t="s">
        <v>279</v>
      </c>
      <c r="R114" s="10" t="s">
        <v>839</v>
      </c>
      <c r="S114" s="11"/>
      <c r="T114" s="6"/>
      <c r="U114" s="24" t="str">
        <f>HYPERLINK("https://media.infra-m.ru/2140/2140287/cover/2140287.jpg", "Обложка")</f>
        <v>Обложка</v>
      </c>
      <c r="V114" s="24" t="str">
        <f>HYPERLINK("https://znanium.ru/catalog/product/2166767", "Ознакомиться")</f>
        <v>Ознакомиться</v>
      </c>
      <c r="W114" s="8" t="s">
        <v>189</v>
      </c>
      <c r="X114" s="6"/>
      <c r="Y114" s="6"/>
      <c r="Z114" s="6"/>
      <c r="AA114" s="6" t="s">
        <v>813</v>
      </c>
      <c r="AB114" s="8" t="s">
        <v>840</v>
      </c>
    </row>
    <row r="115" spans="1:28" s="4" customFormat="1" ht="51.95" customHeight="1">
      <c r="A115" s="5">
        <v>0</v>
      </c>
      <c r="B115" s="6" t="s">
        <v>845</v>
      </c>
      <c r="C115" s="7">
        <v>980</v>
      </c>
      <c r="D115" s="8" t="s">
        <v>846</v>
      </c>
      <c r="E115" s="8" t="s">
        <v>847</v>
      </c>
      <c r="F115" s="8" t="s">
        <v>848</v>
      </c>
      <c r="G115" s="6" t="s">
        <v>89</v>
      </c>
      <c r="H115" s="6" t="s">
        <v>53</v>
      </c>
      <c r="I115" s="8" t="s">
        <v>116</v>
      </c>
      <c r="J115" s="9">
        <v>1</v>
      </c>
      <c r="K115" s="9">
        <v>181</v>
      </c>
      <c r="L115" s="9">
        <v>2024</v>
      </c>
      <c r="M115" s="8" t="s">
        <v>849</v>
      </c>
      <c r="N115" s="8" t="s">
        <v>41</v>
      </c>
      <c r="O115" s="8" t="s">
        <v>676</v>
      </c>
      <c r="P115" s="6" t="s">
        <v>43</v>
      </c>
      <c r="Q115" s="8" t="s">
        <v>44</v>
      </c>
      <c r="R115" s="10" t="s">
        <v>850</v>
      </c>
      <c r="S115" s="11" t="s">
        <v>851</v>
      </c>
      <c r="T115" s="6"/>
      <c r="U115" s="24" t="str">
        <f>HYPERLINK("https://media.infra-m.ru/2151/2151378/cover/2151378.jpg", "Обложка")</f>
        <v>Обложка</v>
      </c>
      <c r="V115" s="24" t="str">
        <f>HYPERLINK("https://znanium.ru/catalog/product/2151378", "Ознакомиться")</f>
        <v>Ознакомиться</v>
      </c>
      <c r="W115" s="8" t="s">
        <v>852</v>
      </c>
      <c r="X115" s="6"/>
      <c r="Y115" s="6"/>
      <c r="Z115" s="6"/>
      <c r="AA115" s="6" t="s">
        <v>793</v>
      </c>
      <c r="AB115" s="8"/>
    </row>
    <row r="116" spans="1:28" s="4" customFormat="1" ht="51.95" customHeight="1">
      <c r="A116" s="5">
        <v>0</v>
      </c>
      <c r="B116" s="6" t="s">
        <v>853</v>
      </c>
      <c r="C116" s="7">
        <v>910</v>
      </c>
      <c r="D116" s="8" t="s">
        <v>854</v>
      </c>
      <c r="E116" s="8" t="s">
        <v>847</v>
      </c>
      <c r="F116" s="8" t="s">
        <v>848</v>
      </c>
      <c r="G116" s="6" t="s">
        <v>89</v>
      </c>
      <c r="H116" s="6" t="s">
        <v>53</v>
      </c>
      <c r="I116" s="8" t="s">
        <v>100</v>
      </c>
      <c r="J116" s="9">
        <v>1</v>
      </c>
      <c r="K116" s="9">
        <v>181</v>
      </c>
      <c r="L116" s="9">
        <v>2025</v>
      </c>
      <c r="M116" s="8" t="s">
        <v>855</v>
      </c>
      <c r="N116" s="8" t="s">
        <v>41</v>
      </c>
      <c r="O116" s="8" t="s">
        <v>676</v>
      </c>
      <c r="P116" s="6" t="s">
        <v>43</v>
      </c>
      <c r="Q116" s="8" t="s">
        <v>102</v>
      </c>
      <c r="R116" s="10" t="s">
        <v>256</v>
      </c>
      <c r="S116" s="11" t="s">
        <v>856</v>
      </c>
      <c r="T116" s="6"/>
      <c r="U116" s="24" t="str">
        <f>HYPERLINK("https://media.infra-m.ru/2167/2167689/cover/2167689.jpg", "Обложка")</f>
        <v>Обложка</v>
      </c>
      <c r="V116" s="24" t="str">
        <f>HYPERLINK("https://znanium.ru/catalog/product/2167689", "Ознакомиться")</f>
        <v>Ознакомиться</v>
      </c>
      <c r="W116" s="8" t="s">
        <v>852</v>
      </c>
      <c r="X116" s="6"/>
      <c r="Y116" s="6"/>
      <c r="Z116" s="6" t="s">
        <v>104</v>
      </c>
      <c r="AA116" s="6" t="s">
        <v>219</v>
      </c>
      <c r="AB116" s="8"/>
    </row>
    <row r="117" spans="1:28" s="4" customFormat="1" ht="51.95" customHeight="1">
      <c r="A117" s="5">
        <v>0</v>
      </c>
      <c r="B117" s="6" t="s">
        <v>857</v>
      </c>
      <c r="C117" s="13">
        <v>1440</v>
      </c>
      <c r="D117" s="8" t="s">
        <v>858</v>
      </c>
      <c r="E117" s="8" t="s">
        <v>859</v>
      </c>
      <c r="F117" s="8" t="s">
        <v>860</v>
      </c>
      <c r="G117" s="6" t="s">
        <v>89</v>
      </c>
      <c r="H117" s="6" t="s">
        <v>649</v>
      </c>
      <c r="I117" s="8" t="s">
        <v>100</v>
      </c>
      <c r="J117" s="9">
        <v>1</v>
      </c>
      <c r="K117" s="9">
        <v>320</v>
      </c>
      <c r="L117" s="9">
        <v>2022</v>
      </c>
      <c r="M117" s="8" t="s">
        <v>861</v>
      </c>
      <c r="N117" s="8" t="s">
        <v>41</v>
      </c>
      <c r="O117" s="8" t="s">
        <v>676</v>
      </c>
      <c r="P117" s="6" t="s">
        <v>167</v>
      </c>
      <c r="Q117" s="8" t="s">
        <v>102</v>
      </c>
      <c r="R117" s="10" t="s">
        <v>256</v>
      </c>
      <c r="S117" s="11" t="s">
        <v>242</v>
      </c>
      <c r="T117" s="6"/>
      <c r="U117" s="24" t="str">
        <f>HYPERLINK("https://media.infra-m.ru/1897/1897880/cover/1897880.jpg", "Обложка")</f>
        <v>Обложка</v>
      </c>
      <c r="V117" s="24" t="str">
        <f>HYPERLINK("https://znanium.ru/catalog/product/2168882", "Ознакомиться")</f>
        <v>Ознакомиться</v>
      </c>
      <c r="W117" s="8" t="s">
        <v>354</v>
      </c>
      <c r="X117" s="6"/>
      <c r="Y117" s="6"/>
      <c r="Z117" s="6"/>
      <c r="AA117" s="6" t="s">
        <v>644</v>
      </c>
      <c r="AB117" s="8"/>
    </row>
    <row r="118" spans="1:28" s="4" customFormat="1" ht="51.95" customHeight="1">
      <c r="A118" s="5">
        <v>0</v>
      </c>
      <c r="B118" s="6" t="s">
        <v>862</v>
      </c>
      <c r="C118" s="13">
        <v>1674</v>
      </c>
      <c r="D118" s="8" t="s">
        <v>863</v>
      </c>
      <c r="E118" s="8" t="s">
        <v>864</v>
      </c>
      <c r="F118" s="8" t="s">
        <v>860</v>
      </c>
      <c r="G118" s="6" t="s">
        <v>89</v>
      </c>
      <c r="H118" s="6" t="s">
        <v>53</v>
      </c>
      <c r="I118" s="8" t="s">
        <v>100</v>
      </c>
      <c r="J118" s="9">
        <v>1</v>
      </c>
      <c r="K118" s="9">
        <v>333</v>
      </c>
      <c r="L118" s="9">
        <v>2025</v>
      </c>
      <c r="M118" s="8" t="s">
        <v>865</v>
      </c>
      <c r="N118" s="8" t="s">
        <v>41</v>
      </c>
      <c r="O118" s="8" t="s">
        <v>676</v>
      </c>
      <c r="P118" s="6" t="s">
        <v>167</v>
      </c>
      <c r="Q118" s="8" t="s">
        <v>102</v>
      </c>
      <c r="R118" s="10" t="s">
        <v>256</v>
      </c>
      <c r="S118" s="11" t="s">
        <v>866</v>
      </c>
      <c r="T118" s="6"/>
      <c r="U118" s="24" t="str">
        <f>HYPERLINK("https://media.infra-m.ru/2175/2175574/cover/2175574.jpg", "Обложка")</f>
        <v>Обложка</v>
      </c>
      <c r="V118" s="24" t="str">
        <f>HYPERLINK("https://znanium.ru/catalog/product/2168882", "Ознакомиться")</f>
        <v>Ознакомиться</v>
      </c>
      <c r="W118" s="8" t="s">
        <v>354</v>
      </c>
      <c r="X118" s="6"/>
      <c r="Y118" s="6"/>
      <c r="Z118" s="6"/>
      <c r="AA118" s="6" t="s">
        <v>867</v>
      </c>
      <c r="AB118" s="8"/>
    </row>
    <row r="119" spans="1:28" s="4" customFormat="1" ht="51.95" customHeight="1">
      <c r="A119" s="5">
        <v>0</v>
      </c>
      <c r="B119" s="6" t="s">
        <v>868</v>
      </c>
      <c r="C119" s="13">
        <v>3100</v>
      </c>
      <c r="D119" s="8" t="s">
        <v>869</v>
      </c>
      <c r="E119" s="8" t="s">
        <v>859</v>
      </c>
      <c r="F119" s="8" t="s">
        <v>870</v>
      </c>
      <c r="G119" s="6" t="s">
        <v>52</v>
      </c>
      <c r="H119" s="6" t="s">
        <v>674</v>
      </c>
      <c r="I119" s="8"/>
      <c r="J119" s="9">
        <v>1</v>
      </c>
      <c r="K119" s="9">
        <v>736</v>
      </c>
      <c r="L119" s="9">
        <v>2025</v>
      </c>
      <c r="M119" s="8" t="s">
        <v>871</v>
      </c>
      <c r="N119" s="8" t="s">
        <v>41</v>
      </c>
      <c r="O119" s="8" t="s">
        <v>676</v>
      </c>
      <c r="P119" s="6" t="s">
        <v>167</v>
      </c>
      <c r="Q119" s="8" t="s">
        <v>58</v>
      </c>
      <c r="R119" s="10" t="s">
        <v>872</v>
      </c>
      <c r="S119" s="11" t="s">
        <v>873</v>
      </c>
      <c r="T119" s="6"/>
      <c r="U119" s="24" t="str">
        <f>HYPERLINK("https://media.infra-m.ru/2178/2178144/cover/2178144.jpg", "Обложка")</f>
        <v>Обложка</v>
      </c>
      <c r="V119" s="24" t="str">
        <f>HYPERLINK("https://znanium.ru/catalog/product/2178144", "Ознакомиться")</f>
        <v>Ознакомиться</v>
      </c>
      <c r="W119" s="8" t="s">
        <v>792</v>
      </c>
      <c r="X119" s="6"/>
      <c r="Y119" s="6"/>
      <c r="Z119" s="6"/>
      <c r="AA119" s="6" t="s">
        <v>874</v>
      </c>
      <c r="AB119" s="8"/>
    </row>
    <row r="120" spans="1:28" s="4" customFormat="1" ht="51.95" customHeight="1">
      <c r="A120" s="5">
        <v>0</v>
      </c>
      <c r="B120" s="6" t="s">
        <v>875</v>
      </c>
      <c r="C120" s="13">
        <v>2300</v>
      </c>
      <c r="D120" s="8" t="s">
        <v>876</v>
      </c>
      <c r="E120" s="8" t="s">
        <v>877</v>
      </c>
      <c r="F120" s="8" t="s">
        <v>878</v>
      </c>
      <c r="G120" s="6" t="s">
        <v>89</v>
      </c>
      <c r="H120" s="6" t="s">
        <v>674</v>
      </c>
      <c r="I120" s="8"/>
      <c r="J120" s="9">
        <v>1</v>
      </c>
      <c r="K120" s="9">
        <v>704</v>
      </c>
      <c r="L120" s="9">
        <v>2019</v>
      </c>
      <c r="M120" s="8" t="s">
        <v>879</v>
      </c>
      <c r="N120" s="8" t="s">
        <v>41</v>
      </c>
      <c r="O120" s="8" t="s">
        <v>676</v>
      </c>
      <c r="P120" s="6" t="s">
        <v>167</v>
      </c>
      <c r="Q120" s="8" t="s">
        <v>58</v>
      </c>
      <c r="R120" s="10" t="s">
        <v>872</v>
      </c>
      <c r="S120" s="11" t="s">
        <v>873</v>
      </c>
      <c r="T120" s="6"/>
      <c r="U120" s="24" t="str">
        <f>HYPERLINK("https://media.infra-m.ru/1071/1071806/cover/1071806.jpg", "Обложка")</f>
        <v>Обложка</v>
      </c>
      <c r="V120" s="24" t="str">
        <f>HYPERLINK("https://znanium.ru/catalog/product/2178144", "Ознакомиться")</f>
        <v>Ознакомиться</v>
      </c>
      <c r="W120" s="8" t="s">
        <v>792</v>
      </c>
      <c r="X120" s="6"/>
      <c r="Y120" s="6"/>
      <c r="Z120" s="6"/>
      <c r="AA120" s="6" t="s">
        <v>160</v>
      </c>
      <c r="AB120" s="8"/>
    </row>
    <row r="121" spans="1:28" s="4" customFormat="1" ht="51.95" customHeight="1">
      <c r="A121" s="5">
        <v>0</v>
      </c>
      <c r="B121" s="6" t="s">
        <v>880</v>
      </c>
      <c r="C121" s="13">
        <v>1489.9</v>
      </c>
      <c r="D121" s="8" t="s">
        <v>881</v>
      </c>
      <c r="E121" s="8" t="s">
        <v>882</v>
      </c>
      <c r="F121" s="8" t="s">
        <v>883</v>
      </c>
      <c r="G121" s="6" t="s">
        <v>52</v>
      </c>
      <c r="H121" s="6" t="s">
        <v>674</v>
      </c>
      <c r="I121" s="8"/>
      <c r="J121" s="9">
        <v>1</v>
      </c>
      <c r="K121" s="9">
        <v>576</v>
      </c>
      <c r="L121" s="9">
        <v>2018</v>
      </c>
      <c r="M121" s="8" t="s">
        <v>884</v>
      </c>
      <c r="N121" s="8" t="s">
        <v>41</v>
      </c>
      <c r="O121" s="8" t="s">
        <v>676</v>
      </c>
      <c r="P121" s="6" t="s">
        <v>167</v>
      </c>
      <c r="Q121" s="8" t="s">
        <v>58</v>
      </c>
      <c r="R121" s="10" t="s">
        <v>885</v>
      </c>
      <c r="S121" s="11" t="s">
        <v>886</v>
      </c>
      <c r="T121" s="6"/>
      <c r="U121" s="24" t="str">
        <f>HYPERLINK("https://media.infra-m.ru/0922/0922707/cover/922707.jpg", "Обложка")</f>
        <v>Обложка</v>
      </c>
      <c r="V121" s="24" t="str">
        <f>HYPERLINK("https://znanium.ru/catalog/product/996119", "Ознакомиться")</f>
        <v>Ознакомиться</v>
      </c>
      <c r="W121" s="8" t="s">
        <v>792</v>
      </c>
      <c r="X121" s="6"/>
      <c r="Y121" s="6"/>
      <c r="Z121" s="6"/>
      <c r="AA121" s="6" t="s">
        <v>887</v>
      </c>
      <c r="AB121" s="8"/>
    </row>
    <row r="122" spans="1:28" s="4" customFormat="1" ht="51.95" customHeight="1">
      <c r="A122" s="5">
        <v>0</v>
      </c>
      <c r="B122" s="6" t="s">
        <v>888</v>
      </c>
      <c r="C122" s="13">
        <v>3270</v>
      </c>
      <c r="D122" s="8" t="s">
        <v>889</v>
      </c>
      <c r="E122" s="8" t="s">
        <v>890</v>
      </c>
      <c r="F122" s="8" t="s">
        <v>883</v>
      </c>
      <c r="G122" s="6" t="s">
        <v>52</v>
      </c>
      <c r="H122" s="6" t="s">
        <v>674</v>
      </c>
      <c r="I122" s="8"/>
      <c r="J122" s="9">
        <v>1</v>
      </c>
      <c r="K122" s="9">
        <v>840</v>
      </c>
      <c r="L122" s="9">
        <v>2025</v>
      </c>
      <c r="M122" s="8" t="s">
        <v>891</v>
      </c>
      <c r="N122" s="8" t="s">
        <v>41</v>
      </c>
      <c r="O122" s="8" t="s">
        <v>676</v>
      </c>
      <c r="P122" s="6" t="s">
        <v>167</v>
      </c>
      <c r="Q122" s="8" t="s">
        <v>58</v>
      </c>
      <c r="R122" s="10" t="s">
        <v>885</v>
      </c>
      <c r="S122" s="11"/>
      <c r="T122" s="6"/>
      <c r="U122" s="24" t="str">
        <f>HYPERLINK("https://media.infra-m.ru/2161/2161963/cover/2161963.jpg", "Обложка")</f>
        <v>Обложка</v>
      </c>
      <c r="V122" s="24" t="str">
        <f>HYPERLINK("https://znanium.ru/catalog/product/996119", "Ознакомиться")</f>
        <v>Ознакомиться</v>
      </c>
      <c r="W122" s="8" t="s">
        <v>792</v>
      </c>
      <c r="X122" s="6" t="s">
        <v>548</v>
      </c>
      <c r="Y122" s="6"/>
      <c r="Z122" s="6"/>
      <c r="AA122" s="6" t="s">
        <v>892</v>
      </c>
      <c r="AB122" s="8"/>
    </row>
    <row r="123" spans="1:28" s="4" customFormat="1" ht="51.95" customHeight="1">
      <c r="A123" s="5">
        <v>0</v>
      </c>
      <c r="B123" s="6" t="s">
        <v>893</v>
      </c>
      <c r="C123" s="13">
        <v>2390</v>
      </c>
      <c r="D123" s="8" t="s">
        <v>894</v>
      </c>
      <c r="E123" s="8" t="s">
        <v>895</v>
      </c>
      <c r="F123" s="8" t="s">
        <v>896</v>
      </c>
      <c r="G123" s="6" t="s">
        <v>89</v>
      </c>
      <c r="H123" s="6" t="s">
        <v>674</v>
      </c>
      <c r="I123" s="8"/>
      <c r="J123" s="9">
        <v>1</v>
      </c>
      <c r="K123" s="9">
        <v>640</v>
      </c>
      <c r="L123" s="9">
        <v>2019</v>
      </c>
      <c r="M123" s="8" t="s">
        <v>897</v>
      </c>
      <c r="N123" s="8" t="s">
        <v>41</v>
      </c>
      <c r="O123" s="8" t="s">
        <v>676</v>
      </c>
      <c r="P123" s="6" t="s">
        <v>167</v>
      </c>
      <c r="Q123" s="8" t="s">
        <v>58</v>
      </c>
      <c r="R123" s="10" t="s">
        <v>885</v>
      </c>
      <c r="S123" s="11"/>
      <c r="T123" s="6"/>
      <c r="U123" s="24" t="str">
        <f>HYPERLINK("https://media.infra-m.ru/1007/1007550/cover/1007550.jpg", "Обложка")</f>
        <v>Обложка</v>
      </c>
      <c r="V123" s="24" t="str">
        <f>HYPERLINK("https://znanium.ru/catalog/product/996119", "Ознакомиться")</f>
        <v>Ознакомиться</v>
      </c>
      <c r="W123" s="8" t="s">
        <v>792</v>
      </c>
      <c r="X123" s="6"/>
      <c r="Y123" s="6"/>
      <c r="Z123" s="6"/>
      <c r="AA123" s="6" t="s">
        <v>898</v>
      </c>
      <c r="AB123" s="8"/>
    </row>
    <row r="124" spans="1:28" s="4" customFormat="1" ht="51.95" customHeight="1">
      <c r="A124" s="5">
        <v>0</v>
      </c>
      <c r="B124" s="6" t="s">
        <v>899</v>
      </c>
      <c r="C124" s="13">
        <v>2260</v>
      </c>
      <c r="D124" s="8" t="s">
        <v>900</v>
      </c>
      <c r="E124" s="8" t="s">
        <v>901</v>
      </c>
      <c r="F124" s="8" t="s">
        <v>902</v>
      </c>
      <c r="G124" s="6" t="s">
        <v>52</v>
      </c>
      <c r="H124" s="6" t="s">
        <v>53</v>
      </c>
      <c r="I124" s="8" t="s">
        <v>100</v>
      </c>
      <c r="J124" s="9">
        <v>1</v>
      </c>
      <c r="K124" s="9">
        <v>481</v>
      </c>
      <c r="L124" s="9">
        <v>2024</v>
      </c>
      <c r="M124" s="8" t="s">
        <v>903</v>
      </c>
      <c r="N124" s="8" t="s">
        <v>41</v>
      </c>
      <c r="O124" s="8" t="s">
        <v>676</v>
      </c>
      <c r="P124" s="6" t="s">
        <v>43</v>
      </c>
      <c r="Q124" s="8" t="s">
        <v>102</v>
      </c>
      <c r="R124" s="10" t="s">
        <v>256</v>
      </c>
      <c r="S124" s="11" t="s">
        <v>904</v>
      </c>
      <c r="T124" s="6"/>
      <c r="U124" s="24" t="str">
        <f>HYPERLINK("https://media.infra-m.ru/2121/2121597/cover/2121597.jpg", "Обложка")</f>
        <v>Обложка</v>
      </c>
      <c r="V124" s="24" t="str">
        <f>HYPERLINK("https://znanium.ru/catalog/product/2121597", "Ознакомиться")</f>
        <v>Ознакомиться</v>
      </c>
      <c r="W124" s="8" t="s">
        <v>905</v>
      </c>
      <c r="X124" s="6"/>
      <c r="Y124" s="6"/>
      <c r="Z124" s="6"/>
      <c r="AA124" s="6" t="s">
        <v>219</v>
      </c>
      <c r="AB124" s="8" t="s">
        <v>906</v>
      </c>
    </row>
    <row r="125" spans="1:28" s="4" customFormat="1" ht="51.95" customHeight="1">
      <c r="A125" s="5">
        <v>0</v>
      </c>
      <c r="B125" s="6" t="s">
        <v>907</v>
      </c>
      <c r="C125" s="13">
        <v>2174</v>
      </c>
      <c r="D125" s="8" t="s">
        <v>908</v>
      </c>
      <c r="E125" s="8" t="s">
        <v>909</v>
      </c>
      <c r="F125" s="8" t="s">
        <v>910</v>
      </c>
      <c r="G125" s="6" t="s">
        <v>89</v>
      </c>
      <c r="H125" s="6" t="s">
        <v>53</v>
      </c>
      <c r="I125" s="8" t="s">
        <v>90</v>
      </c>
      <c r="J125" s="9">
        <v>1</v>
      </c>
      <c r="K125" s="9">
        <v>483</v>
      </c>
      <c r="L125" s="9">
        <v>2023</v>
      </c>
      <c r="M125" s="8" t="s">
        <v>911</v>
      </c>
      <c r="N125" s="8" t="s">
        <v>41</v>
      </c>
      <c r="O125" s="8" t="s">
        <v>676</v>
      </c>
      <c r="P125" s="6" t="s">
        <v>167</v>
      </c>
      <c r="Q125" s="8" t="s">
        <v>44</v>
      </c>
      <c r="R125" s="10" t="s">
        <v>806</v>
      </c>
      <c r="S125" s="11" t="s">
        <v>912</v>
      </c>
      <c r="T125" s="6"/>
      <c r="U125" s="24" t="str">
        <f>HYPERLINK("https://media.infra-m.ru/2021/2021454/cover/2021454.jpg", "Обложка")</f>
        <v>Обложка</v>
      </c>
      <c r="V125" s="24" t="str">
        <f>HYPERLINK("https://znanium.ru/catalog/product/1165264", "Ознакомиться")</f>
        <v>Ознакомиться</v>
      </c>
      <c r="W125" s="8" t="s">
        <v>913</v>
      </c>
      <c r="X125" s="6"/>
      <c r="Y125" s="6"/>
      <c r="Z125" s="6"/>
      <c r="AA125" s="6" t="s">
        <v>258</v>
      </c>
      <c r="AB125" s="8"/>
    </row>
    <row r="126" spans="1:28" s="4" customFormat="1" ht="51.95" customHeight="1">
      <c r="A126" s="5">
        <v>0</v>
      </c>
      <c r="B126" s="6" t="s">
        <v>914</v>
      </c>
      <c r="C126" s="13">
        <v>1690</v>
      </c>
      <c r="D126" s="8" t="s">
        <v>915</v>
      </c>
      <c r="E126" s="8" t="s">
        <v>909</v>
      </c>
      <c r="F126" s="8" t="s">
        <v>916</v>
      </c>
      <c r="G126" s="6" t="s">
        <v>52</v>
      </c>
      <c r="H126" s="6" t="s">
        <v>674</v>
      </c>
      <c r="I126" s="8"/>
      <c r="J126" s="9">
        <v>1</v>
      </c>
      <c r="K126" s="9">
        <v>496</v>
      </c>
      <c r="L126" s="9">
        <v>2020</v>
      </c>
      <c r="M126" s="8" t="s">
        <v>917</v>
      </c>
      <c r="N126" s="8" t="s">
        <v>41</v>
      </c>
      <c r="O126" s="8" t="s">
        <v>676</v>
      </c>
      <c r="P126" s="6" t="s">
        <v>43</v>
      </c>
      <c r="Q126" s="8" t="s">
        <v>44</v>
      </c>
      <c r="R126" s="10" t="s">
        <v>806</v>
      </c>
      <c r="S126" s="11"/>
      <c r="T126" s="6"/>
      <c r="U126" s="24" t="str">
        <f>HYPERLINK("https://media.infra-m.ru/1061/1061587/cover/1061587.jpg", "Обложка")</f>
        <v>Обложка</v>
      </c>
      <c r="V126" s="24" t="str">
        <f>HYPERLINK("https://znanium.ru/catalog/product/2163828", "Ознакомиться")</f>
        <v>Ознакомиться</v>
      </c>
      <c r="W126" s="8" t="s">
        <v>918</v>
      </c>
      <c r="X126" s="6"/>
      <c r="Y126" s="6"/>
      <c r="Z126" s="6"/>
      <c r="AA126" s="6" t="s">
        <v>258</v>
      </c>
      <c r="AB126" s="8"/>
    </row>
    <row r="127" spans="1:28" s="4" customFormat="1" ht="51.95" customHeight="1">
      <c r="A127" s="5">
        <v>0</v>
      </c>
      <c r="B127" s="6" t="s">
        <v>919</v>
      </c>
      <c r="C127" s="13">
        <v>3100</v>
      </c>
      <c r="D127" s="8" t="s">
        <v>920</v>
      </c>
      <c r="E127" s="8" t="s">
        <v>921</v>
      </c>
      <c r="F127" s="8" t="s">
        <v>916</v>
      </c>
      <c r="G127" s="6" t="s">
        <v>52</v>
      </c>
      <c r="H127" s="6" t="s">
        <v>674</v>
      </c>
      <c r="I127" s="8"/>
      <c r="J127" s="9">
        <v>1</v>
      </c>
      <c r="K127" s="9">
        <v>624</v>
      </c>
      <c r="L127" s="9">
        <v>2025</v>
      </c>
      <c r="M127" s="8" t="s">
        <v>922</v>
      </c>
      <c r="N127" s="8" t="s">
        <v>41</v>
      </c>
      <c r="O127" s="8" t="s">
        <v>676</v>
      </c>
      <c r="P127" s="6" t="s">
        <v>43</v>
      </c>
      <c r="Q127" s="8" t="s">
        <v>44</v>
      </c>
      <c r="R127" s="10" t="s">
        <v>806</v>
      </c>
      <c r="S127" s="11"/>
      <c r="T127" s="6" t="s">
        <v>299</v>
      </c>
      <c r="U127" s="24" t="str">
        <f>HYPERLINK("https://media.infra-m.ru/2163/2163828/cover/2163828.jpg", "Обложка")</f>
        <v>Обложка</v>
      </c>
      <c r="V127" s="24" t="str">
        <f>HYPERLINK("https://znanium.ru/catalog/product/2163828", "Ознакомиться")</f>
        <v>Ознакомиться</v>
      </c>
      <c r="W127" s="8" t="s">
        <v>918</v>
      </c>
      <c r="X127" s="6"/>
      <c r="Y127" s="6"/>
      <c r="Z127" s="6"/>
      <c r="AA127" s="6" t="s">
        <v>813</v>
      </c>
      <c r="AB127" s="8"/>
    </row>
    <row r="128" spans="1:28" s="4" customFormat="1" ht="51.95" customHeight="1">
      <c r="A128" s="5">
        <v>0</v>
      </c>
      <c r="B128" s="6" t="s">
        <v>923</v>
      </c>
      <c r="C128" s="7">
        <v>640</v>
      </c>
      <c r="D128" s="8" t="s">
        <v>924</v>
      </c>
      <c r="E128" s="8" t="s">
        <v>925</v>
      </c>
      <c r="F128" s="8" t="s">
        <v>926</v>
      </c>
      <c r="G128" s="6" t="s">
        <v>38</v>
      </c>
      <c r="H128" s="6" t="s">
        <v>674</v>
      </c>
      <c r="I128" s="8"/>
      <c r="J128" s="9">
        <v>1</v>
      </c>
      <c r="K128" s="9">
        <v>128</v>
      </c>
      <c r="L128" s="9">
        <v>2023</v>
      </c>
      <c r="M128" s="8" t="s">
        <v>927</v>
      </c>
      <c r="N128" s="8" t="s">
        <v>41</v>
      </c>
      <c r="O128" s="8" t="s">
        <v>676</v>
      </c>
      <c r="P128" s="6" t="s">
        <v>43</v>
      </c>
      <c r="Q128" s="8" t="s">
        <v>44</v>
      </c>
      <c r="R128" s="10" t="s">
        <v>823</v>
      </c>
      <c r="S128" s="11"/>
      <c r="T128" s="6"/>
      <c r="U128" s="24" t="str">
        <f>HYPERLINK("https://media.infra-m.ru/1899/1899514/cover/1899514.jpg", "Обложка")</f>
        <v>Обложка</v>
      </c>
      <c r="V128" s="24" t="str">
        <f>HYPERLINK("https://znanium.ru/catalog/product/1899514", "Ознакомиться")</f>
        <v>Ознакомиться</v>
      </c>
      <c r="W128" s="8" t="s">
        <v>792</v>
      </c>
      <c r="X128" s="6"/>
      <c r="Y128" s="6"/>
      <c r="Z128" s="6"/>
      <c r="AA128" s="6" t="s">
        <v>151</v>
      </c>
      <c r="AB128" s="8"/>
    </row>
    <row r="129" spans="1:28" s="4" customFormat="1" ht="51.95" customHeight="1">
      <c r="A129" s="5">
        <v>0</v>
      </c>
      <c r="B129" s="6" t="s">
        <v>928</v>
      </c>
      <c r="C129" s="7">
        <v>874</v>
      </c>
      <c r="D129" s="8" t="s">
        <v>929</v>
      </c>
      <c r="E129" s="8" t="s">
        <v>930</v>
      </c>
      <c r="F129" s="8" t="s">
        <v>860</v>
      </c>
      <c r="G129" s="6" t="s">
        <v>52</v>
      </c>
      <c r="H129" s="6" t="s">
        <v>39</v>
      </c>
      <c r="I129" s="8" t="s">
        <v>100</v>
      </c>
      <c r="J129" s="9">
        <v>1</v>
      </c>
      <c r="K129" s="9">
        <v>169</v>
      </c>
      <c r="L129" s="9">
        <v>2025</v>
      </c>
      <c r="M129" s="8" t="s">
        <v>931</v>
      </c>
      <c r="N129" s="8" t="s">
        <v>41</v>
      </c>
      <c r="O129" s="8" t="s">
        <v>676</v>
      </c>
      <c r="P129" s="6" t="s">
        <v>43</v>
      </c>
      <c r="Q129" s="8" t="s">
        <v>102</v>
      </c>
      <c r="R129" s="10" t="s">
        <v>256</v>
      </c>
      <c r="S129" s="11" t="s">
        <v>620</v>
      </c>
      <c r="T129" s="6"/>
      <c r="U129" s="24" t="str">
        <f>HYPERLINK("https://media.infra-m.ru/2195/2195989/cover/2195989.jpg", "Обложка")</f>
        <v>Обложка</v>
      </c>
      <c r="V129" s="24" t="str">
        <f>HYPERLINK("https://znanium.ru/catalog/product/2188393", "Ознакомиться")</f>
        <v>Ознакомиться</v>
      </c>
      <c r="W129" s="8" t="s">
        <v>354</v>
      </c>
      <c r="X129" s="6"/>
      <c r="Y129" s="6"/>
      <c r="Z129" s="6"/>
      <c r="AA129" s="6" t="s">
        <v>196</v>
      </c>
      <c r="AB129" s="8"/>
    </row>
    <row r="130" spans="1:28" s="4" customFormat="1" ht="42" customHeight="1">
      <c r="A130" s="5">
        <v>0</v>
      </c>
      <c r="B130" s="6" t="s">
        <v>932</v>
      </c>
      <c r="C130" s="13">
        <v>1070</v>
      </c>
      <c r="D130" s="8" t="s">
        <v>933</v>
      </c>
      <c r="E130" s="8" t="s">
        <v>934</v>
      </c>
      <c r="F130" s="8" t="s">
        <v>935</v>
      </c>
      <c r="G130" s="6" t="s">
        <v>52</v>
      </c>
      <c r="H130" s="6" t="s">
        <v>53</v>
      </c>
      <c r="I130" s="8" t="s">
        <v>127</v>
      </c>
      <c r="J130" s="9">
        <v>1</v>
      </c>
      <c r="K130" s="9">
        <v>207</v>
      </c>
      <c r="L130" s="9">
        <v>2025</v>
      </c>
      <c r="M130" s="8" t="s">
        <v>936</v>
      </c>
      <c r="N130" s="8" t="s">
        <v>41</v>
      </c>
      <c r="O130" s="8" t="s">
        <v>676</v>
      </c>
      <c r="P130" s="6" t="s">
        <v>937</v>
      </c>
      <c r="Q130" s="8" t="s">
        <v>58</v>
      </c>
      <c r="R130" s="10" t="s">
        <v>938</v>
      </c>
      <c r="S130" s="11"/>
      <c r="T130" s="6"/>
      <c r="U130" s="24" t="str">
        <f>HYPERLINK("https://media.infra-m.ru/2140/2140126/cover/2140126.jpg", "Обложка")</f>
        <v>Обложка</v>
      </c>
      <c r="V130" s="24" t="str">
        <f>HYPERLINK("https://znanium.ru/catalog/product/2140126", "Ознакомиться")</f>
        <v>Ознакомиться</v>
      </c>
      <c r="W130" s="8" t="s">
        <v>939</v>
      </c>
      <c r="X130" s="6" t="s">
        <v>389</v>
      </c>
      <c r="Y130" s="6"/>
      <c r="Z130" s="6"/>
      <c r="AA130" s="6" t="s">
        <v>61</v>
      </c>
      <c r="AB130" s="8"/>
    </row>
    <row r="131" spans="1:28" s="4" customFormat="1" ht="51.95" customHeight="1">
      <c r="A131" s="5">
        <v>0</v>
      </c>
      <c r="B131" s="6" t="s">
        <v>940</v>
      </c>
      <c r="C131" s="7">
        <v>994</v>
      </c>
      <c r="D131" s="8" t="s">
        <v>941</v>
      </c>
      <c r="E131" s="8" t="s">
        <v>942</v>
      </c>
      <c r="F131" s="8" t="s">
        <v>943</v>
      </c>
      <c r="G131" s="6" t="s">
        <v>38</v>
      </c>
      <c r="H131" s="6" t="s">
        <v>39</v>
      </c>
      <c r="I131" s="8"/>
      <c r="J131" s="9">
        <v>1</v>
      </c>
      <c r="K131" s="9">
        <v>192</v>
      </c>
      <c r="L131" s="9">
        <v>2024</v>
      </c>
      <c r="M131" s="8" t="s">
        <v>944</v>
      </c>
      <c r="N131" s="8" t="s">
        <v>56</v>
      </c>
      <c r="O131" s="8" t="s">
        <v>741</v>
      </c>
      <c r="P131" s="6" t="s">
        <v>43</v>
      </c>
      <c r="Q131" s="8" t="s">
        <v>44</v>
      </c>
      <c r="R131" s="10" t="s">
        <v>945</v>
      </c>
      <c r="S131" s="11" t="s">
        <v>946</v>
      </c>
      <c r="T131" s="6"/>
      <c r="U131" s="24" t="str">
        <f>HYPERLINK("https://media.infra-m.ru/2096/2096059/cover/2096059.jpg", "Обложка")</f>
        <v>Обложка</v>
      </c>
      <c r="V131" s="24" t="str">
        <f>HYPERLINK("https://znanium.ru/catalog/product/959860", "Ознакомиться")</f>
        <v>Ознакомиться</v>
      </c>
      <c r="W131" s="8" t="s">
        <v>947</v>
      </c>
      <c r="X131" s="6"/>
      <c r="Y131" s="6"/>
      <c r="Z131" s="6"/>
      <c r="AA131" s="6" t="s">
        <v>47</v>
      </c>
      <c r="AB131" s="8"/>
    </row>
    <row r="132" spans="1:28" s="4" customFormat="1" ht="44.1" customHeight="1">
      <c r="A132" s="5">
        <v>0</v>
      </c>
      <c r="B132" s="6" t="s">
        <v>948</v>
      </c>
      <c r="C132" s="13">
        <v>2044</v>
      </c>
      <c r="D132" s="8" t="s">
        <v>949</v>
      </c>
      <c r="E132" s="8" t="s">
        <v>950</v>
      </c>
      <c r="F132" s="8" t="s">
        <v>951</v>
      </c>
      <c r="G132" s="6" t="s">
        <v>52</v>
      </c>
      <c r="H132" s="6" t="s">
        <v>952</v>
      </c>
      <c r="I132" s="8"/>
      <c r="J132" s="9">
        <v>1</v>
      </c>
      <c r="K132" s="9">
        <v>462</v>
      </c>
      <c r="L132" s="9">
        <v>2024</v>
      </c>
      <c r="M132" s="8" t="s">
        <v>953</v>
      </c>
      <c r="N132" s="8" t="s">
        <v>41</v>
      </c>
      <c r="O132" s="8" t="s">
        <v>278</v>
      </c>
      <c r="P132" s="6" t="s">
        <v>366</v>
      </c>
      <c r="Q132" s="8" t="s">
        <v>44</v>
      </c>
      <c r="R132" s="10" t="s">
        <v>954</v>
      </c>
      <c r="S132" s="11"/>
      <c r="T132" s="6"/>
      <c r="U132" s="24" t="str">
        <f>HYPERLINK("https://media.infra-m.ru/2090/2090015/cover/2090015.jpg", "Обложка")</f>
        <v>Обложка</v>
      </c>
      <c r="V132" s="24" t="str">
        <f>HYPERLINK("https://znanium.ru/catalog/product/927505", "Ознакомиться")</f>
        <v>Ознакомиться</v>
      </c>
      <c r="W132" s="8" t="s">
        <v>955</v>
      </c>
      <c r="X132" s="6"/>
      <c r="Y132" s="6"/>
      <c r="Z132" s="6"/>
      <c r="AA132" s="6" t="s">
        <v>654</v>
      </c>
      <c r="AB132" s="8"/>
    </row>
    <row r="133" spans="1:28" s="4" customFormat="1" ht="51.95" customHeight="1">
      <c r="A133" s="5">
        <v>0</v>
      </c>
      <c r="B133" s="6" t="s">
        <v>956</v>
      </c>
      <c r="C133" s="13">
        <v>1700</v>
      </c>
      <c r="D133" s="8" t="s">
        <v>957</v>
      </c>
      <c r="E133" s="8" t="s">
        <v>958</v>
      </c>
      <c r="F133" s="8" t="s">
        <v>959</v>
      </c>
      <c r="G133" s="6" t="s">
        <v>52</v>
      </c>
      <c r="H133" s="6" t="s">
        <v>53</v>
      </c>
      <c r="I133" s="8" t="s">
        <v>960</v>
      </c>
      <c r="J133" s="9">
        <v>1</v>
      </c>
      <c r="K133" s="9">
        <v>327</v>
      </c>
      <c r="L133" s="9">
        <v>2025</v>
      </c>
      <c r="M133" s="8" t="s">
        <v>961</v>
      </c>
      <c r="N133" s="8" t="s">
        <v>79</v>
      </c>
      <c r="O133" s="8" t="s">
        <v>174</v>
      </c>
      <c r="P133" s="6" t="s">
        <v>175</v>
      </c>
      <c r="Q133" s="8" t="s">
        <v>279</v>
      </c>
      <c r="R133" s="10" t="s">
        <v>962</v>
      </c>
      <c r="S133" s="11" t="s">
        <v>963</v>
      </c>
      <c r="T133" s="6"/>
      <c r="U133" s="24" t="str">
        <f>HYPERLINK("https://media.infra-m.ru/2157/2157887/cover/2157887.jpg", "Обложка")</f>
        <v>Обложка</v>
      </c>
      <c r="V133" s="24" t="str">
        <f>HYPERLINK("https://znanium.ru/catalog/product/2157887", "Ознакомиться")</f>
        <v>Ознакомиться</v>
      </c>
      <c r="W133" s="8" t="s">
        <v>178</v>
      </c>
      <c r="X133" s="6" t="s">
        <v>548</v>
      </c>
      <c r="Y133" s="6"/>
      <c r="Z133" s="6"/>
      <c r="AA133" s="6" t="s">
        <v>61</v>
      </c>
      <c r="AB133" s="8"/>
    </row>
    <row r="134" spans="1:28" s="4" customFormat="1" ht="44.1" customHeight="1">
      <c r="A134" s="5">
        <v>0</v>
      </c>
      <c r="B134" s="6" t="s">
        <v>964</v>
      </c>
      <c r="C134" s="7">
        <v>500</v>
      </c>
      <c r="D134" s="8" t="s">
        <v>965</v>
      </c>
      <c r="E134" s="8" t="s">
        <v>966</v>
      </c>
      <c r="F134" s="8" t="s">
        <v>967</v>
      </c>
      <c r="G134" s="6" t="s">
        <v>38</v>
      </c>
      <c r="H134" s="6" t="s">
        <v>674</v>
      </c>
      <c r="I134" s="8"/>
      <c r="J134" s="9">
        <v>1</v>
      </c>
      <c r="K134" s="9">
        <v>96</v>
      </c>
      <c r="L134" s="9">
        <v>2025</v>
      </c>
      <c r="M134" s="8" t="s">
        <v>968</v>
      </c>
      <c r="N134" s="8" t="s">
        <v>41</v>
      </c>
      <c r="O134" s="8" t="s">
        <v>676</v>
      </c>
      <c r="P134" s="6" t="s">
        <v>43</v>
      </c>
      <c r="Q134" s="8" t="s">
        <v>279</v>
      </c>
      <c r="R134" s="10" t="s">
        <v>969</v>
      </c>
      <c r="S134" s="11"/>
      <c r="T134" s="6"/>
      <c r="U134" s="24" t="str">
        <f>HYPERLINK("https://media.infra-m.ru/2195/2195580/cover/2195580.jpg", "Обложка")</f>
        <v>Обложка</v>
      </c>
      <c r="V134" s="24" t="str">
        <f>HYPERLINK("https://znanium.ru/catalog/product/2195580", "Ознакомиться")</f>
        <v>Ознакомиться</v>
      </c>
      <c r="W134" s="8" t="s">
        <v>792</v>
      </c>
      <c r="X134" s="6"/>
      <c r="Y134" s="6"/>
      <c r="Z134" s="6"/>
      <c r="AA134" s="6" t="s">
        <v>219</v>
      </c>
      <c r="AB134" s="8"/>
    </row>
    <row r="135" spans="1:28" s="4" customFormat="1" ht="51.95" customHeight="1">
      <c r="A135" s="5">
        <v>0</v>
      </c>
      <c r="B135" s="6" t="s">
        <v>970</v>
      </c>
      <c r="C135" s="13">
        <v>1254</v>
      </c>
      <c r="D135" s="8" t="s">
        <v>971</v>
      </c>
      <c r="E135" s="8" t="s">
        <v>972</v>
      </c>
      <c r="F135" s="8" t="s">
        <v>973</v>
      </c>
      <c r="G135" s="6" t="s">
        <v>89</v>
      </c>
      <c r="H135" s="6" t="s">
        <v>53</v>
      </c>
      <c r="I135" s="8" t="s">
        <v>276</v>
      </c>
      <c r="J135" s="9">
        <v>1</v>
      </c>
      <c r="K135" s="9">
        <v>262</v>
      </c>
      <c r="L135" s="9">
        <v>2024</v>
      </c>
      <c r="M135" s="8" t="s">
        <v>974</v>
      </c>
      <c r="N135" s="8" t="s">
        <v>79</v>
      </c>
      <c r="O135" s="8" t="s">
        <v>424</v>
      </c>
      <c r="P135" s="6" t="s">
        <v>43</v>
      </c>
      <c r="Q135" s="8" t="s">
        <v>279</v>
      </c>
      <c r="R135" s="10" t="s">
        <v>975</v>
      </c>
      <c r="S135" s="11" t="s">
        <v>976</v>
      </c>
      <c r="T135" s="6"/>
      <c r="U135" s="24" t="str">
        <f>HYPERLINK("https://media.infra-m.ru/2152/2152133/cover/2152133.jpg", "Обложка")</f>
        <v>Обложка</v>
      </c>
      <c r="V135" s="24" t="str">
        <f>HYPERLINK("https://znanium.ru/catalog/product/1841660", "Ознакомиться")</f>
        <v>Ознакомиться</v>
      </c>
      <c r="W135" s="8" t="s">
        <v>977</v>
      </c>
      <c r="X135" s="6"/>
      <c r="Y135" s="6"/>
      <c r="Z135" s="6"/>
      <c r="AA135" s="6" t="s">
        <v>793</v>
      </c>
      <c r="AB135" s="8" t="s">
        <v>840</v>
      </c>
    </row>
    <row r="136" spans="1:28" s="4" customFormat="1" ht="51.95" customHeight="1">
      <c r="A136" s="5">
        <v>0</v>
      </c>
      <c r="B136" s="6" t="s">
        <v>978</v>
      </c>
      <c r="C136" s="7">
        <v>470</v>
      </c>
      <c r="D136" s="8" t="s">
        <v>979</v>
      </c>
      <c r="E136" s="8" t="s">
        <v>980</v>
      </c>
      <c r="F136" s="8" t="s">
        <v>981</v>
      </c>
      <c r="G136" s="6" t="s">
        <v>38</v>
      </c>
      <c r="H136" s="6" t="s">
        <v>53</v>
      </c>
      <c r="I136" s="8" t="s">
        <v>276</v>
      </c>
      <c r="J136" s="9">
        <v>1</v>
      </c>
      <c r="K136" s="9">
        <v>105</v>
      </c>
      <c r="L136" s="9">
        <v>2023</v>
      </c>
      <c r="M136" s="8" t="s">
        <v>982</v>
      </c>
      <c r="N136" s="8" t="s">
        <v>41</v>
      </c>
      <c r="O136" s="8" t="s">
        <v>676</v>
      </c>
      <c r="P136" s="6" t="s">
        <v>43</v>
      </c>
      <c r="Q136" s="8" t="s">
        <v>279</v>
      </c>
      <c r="R136" s="10" t="s">
        <v>983</v>
      </c>
      <c r="S136" s="11" t="s">
        <v>984</v>
      </c>
      <c r="T136" s="6"/>
      <c r="U136" s="24" t="str">
        <f>HYPERLINK("https://media.infra-m.ru/1937/1937953/cover/1937953.jpg", "Обложка")</f>
        <v>Обложка</v>
      </c>
      <c r="V136" s="24" t="str">
        <f>HYPERLINK("https://znanium.ru/catalog/product/1937953", "Ознакомиться")</f>
        <v>Ознакомиться</v>
      </c>
      <c r="W136" s="8" t="s">
        <v>852</v>
      </c>
      <c r="X136" s="6"/>
      <c r="Y136" s="6"/>
      <c r="Z136" s="6"/>
      <c r="AA136" s="6" t="s">
        <v>95</v>
      </c>
      <c r="AB136" s="8"/>
    </row>
    <row r="137" spans="1:28" s="4" customFormat="1" ht="51.95" customHeight="1">
      <c r="A137" s="5">
        <v>0</v>
      </c>
      <c r="B137" s="6" t="s">
        <v>985</v>
      </c>
      <c r="C137" s="13">
        <v>2014</v>
      </c>
      <c r="D137" s="8" t="s">
        <v>986</v>
      </c>
      <c r="E137" s="8" t="s">
        <v>987</v>
      </c>
      <c r="F137" s="8" t="s">
        <v>988</v>
      </c>
      <c r="G137" s="6" t="s">
        <v>52</v>
      </c>
      <c r="H137" s="6" t="s">
        <v>53</v>
      </c>
      <c r="I137" s="8" t="s">
        <v>276</v>
      </c>
      <c r="J137" s="9">
        <v>1</v>
      </c>
      <c r="K137" s="9">
        <v>402</v>
      </c>
      <c r="L137" s="9">
        <v>2025</v>
      </c>
      <c r="M137" s="8" t="s">
        <v>989</v>
      </c>
      <c r="N137" s="8" t="s">
        <v>41</v>
      </c>
      <c r="O137" s="8" t="s">
        <v>676</v>
      </c>
      <c r="P137" s="6" t="s">
        <v>167</v>
      </c>
      <c r="Q137" s="8" t="s">
        <v>279</v>
      </c>
      <c r="R137" s="10" t="s">
        <v>990</v>
      </c>
      <c r="S137" s="11" t="s">
        <v>991</v>
      </c>
      <c r="T137" s="6"/>
      <c r="U137" s="24" t="str">
        <f>HYPERLINK("https://media.infra-m.ru/2157/2157873/cover/2157873.jpg", "Обложка")</f>
        <v>Обложка</v>
      </c>
      <c r="V137" s="24" t="str">
        <f>HYPERLINK("https://znanium.ru/catalog/product/906258", "Ознакомиться")</f>
        <v>Ознакомиться</v>
      </c>
      <c r="W137" s="8" t="s">
        <v>354</v>
      </c>
      <c r="X137" s="6"/>
      <c r="Y137" s="6"/>
      <c r="Z137" s="6"/>
      <c r="AA137" s="6" t="s">
        <v>235</v>
      </c>
      <c r="AB137" s="8"/>
    </row>
    <row r="138" spans="1:28" s="4" customFormat="1" ht="51.95" customHeight="1">
      <c r="A138" s="5">
        <v>0</v>
      </c>
      <c r="B138" s="6" t="s">
        <v>992</v>
      </c>
      <c r="C138" s="7">
        <v>940</v>
      </c>
      <c r="D138" s="8" t="s">
        <v>993</v>
      </c>
      <c r="E138" s="8" t="s">
        <v>994</v>
      </c>
      <c r="F138" s="8" t="s">
        <v>995</v>
      </c>
      <c r="G138" s="6" t="s">
        <v>89</v>
      </c>
      <c r="H138" s="6" t="s">
        <v>53</v>
      </c>
      <c r="I138" s="8" t="s">
        <v>276</v>
      </c>
      <c r="J138" s="9">
        <v>1</v>
      </c>
      <c r="K138" s="9">
        <v>208</v>
      </c>
      <c r="L138" s="9">
        <v>2023</v>
      </c>
      <c r="M138" s="8" t="s">
        <v>996</v>
      </c>
      <c r="N138" s="8" t="s">
        <v>997</v>
      </c>
      <c r="O138" s="8" t="s">
        <v>998</v>
      </c>
      <c r="P138" s="6" t="s">
        <v>43</v>
      </c>
      <c r="Q138" s="8" t="s">
        <v>279</v>
      </c>
      <c r="R138" s="10" t="s">
        <v>999</v>
      </c>
      <c r="S138" s="11" t="s">
        <v>1000</v>
      </c>
      <c r="T138" s="6"/>
      <c r="U138" s="24" t="str">
        <f>HYPERLINK("https://media.infra-m.ru/1964/1964971/cover/1964971.jpg", "Обложка")</f>
        <v>Обложка</v>
      </c>
      <c r="V138" s="24" t="str">
        <f>HYPERLINK("https://znanium.ru/catalog/product/1964971", "Ознакомиться")</f>
        <v>Ознакомиться</v>
      </c>
      <c r="W138" s="8" t="s">
        <v>1001</v>
      </c>
      <c r="X138" s="6"/>
      <c r="Y138" s="6"/>
      <c r="Z138" s="6"/>
      <c r="AA138" s="6" t="s">
        <v>219</v>
      </c>
      <c r="AB138" s="8"/>
    </row>
    <row r="139" spans="1:28" s="4" customFormat="1" ht="42" customHeight="1">
      <c r="A139" s="5">
        <v>0</v>
      </c>
      <c r="B139" s="6" t="s">
        <v>1002</v>
      </c>
      <c r="C139" s="13">
        <v>2694</v>
      </c>
      <c r="D139" s="8" t="s">
        <v>1003</v>
      </c>
      <c r="E139" s="8" t="s">
        <v>1004</v>
      </c>
      <c r="F139" s="8" t="s">
        <v>1005</v>
      </c>
      <c r="G139" s="6" t="s">
        <v>52</v>
      </c>
      <c r="H139" s="6" t="s">
        <v>952</v>
      </c>
      <c r="I139" s="8"/>
      <c r="J139" s="9">
        <v>1</v>
      </c>
      <c r="K139" s="9">
        <v>520</v>
      </c>
      <c r="L139" s="9">
        <v>2025</v>
      </c>
      <c r="M139" s="8" t="s">
        <v>1006</v>
      </c>
      <c r="N139" s="8" t="s">
        <v>41</v>
      </c>
      <c r="O139" s="8" t="s">
        <v>1007</v>
      </c>
      <c r="P139" s="6" t="s">
        <v>167</v>
      </c>
      <c r="Q139" s="8" t="s">
        <v>58</v>
      </c>
      <c r="R139" s="10" t="s">
        <v>1008</v>
      </c>
      <c r="S139" s="11"/>
      <c r="T139" s="6"/>
      <c r="U139" s="24" t="str">
        <f>HYPERLINK("https://media.infra-m.ru/2192/2192778/cover/2192778.jpg", "Обложка")</f>
        <v>Обложка</v>
      </c>
      <c r="V139" s="24" t="str">
        <f>HYPERLINK("https://znanium.ru/catalog/product/2095548", "Ознакомиться")</f>
        <v>Ознакомиться</v>
      </c>
      <c r="W139" s="8" t="s">
        <v>83</v>
      </c>
      <c r="X139" s="6"/>
      <c r="Y139" s="6"/>
      <c r="Z139" s="6"/>
      <c r="AA139" s="6" t="s">
        <v>207</v>
      </c>
      <c r="AB139" s="8"/>
    </row>
    <row r="140" spans="1:28" s="4" customFormat="1" ht="51.95" customHeight="1">
      <c r="A140" s="5">
        <v>0</v>
      </c>
      <c r="B140" s="6" t="s">
        <v>1009</v>
      </c>
      <c r="C140" s="13">
        <v>2600</v>
      </c>
      <c r="D140" s="8" t="s">
        <v>1010</v>
      </c>
      <c r="E140" s="8" t="s">
        <v>1011</v>
      </c>
      <c r="F140" s="8" t="s">
        <v>1012</v>
      </c>
      <c r="G140" s="6" t="s">
        <v>52</v>
      </c>
      <c r="H140" s="6" t="s">
        <v>674</v>
      </c>
      <c r="I140" s="8"/>
      <c r="J140" s="9">
        <v>1</v>
      </c>
      <c r="K140" s="9">
        <v>576</v>
      </c>
      <c r="L140" s="9">
        <v>2024</v>
      </c>
      <c r="M140" s="8" t="s">
        <v>1013</v>
      </c>
      <c r="N140" s="8" t="s">
        <v>41</v>
      </c>
      <c r="O140" s="8" t="s">
        <v>676</v>
      </c>
      <c r="P140" s="6" t="s">
        <v>43</v>
      </c>
      <c r="Q140" s="8" t="s">
        <v>279</v>
      </c>
      <c r="R140" s="10" t="s">
        <v>806</v>
      </c>
      <c r="S140" s="11" t="s">
        <v>1014</v>
      </c>
      <c r="T140" s="6"/>
      <c r="U140" s="24" t="str">
        <f>HYPERLINK("https://media.infra-m.ru/2129/2129511/cover/2129511.jpg", "Обложка")</f>
        <v>Обложка</v>
      </c>
      <c r="V140" s="24" t="str">
        <f>HYPERLINK("https://znanium.ru/catalog/product/2129511", "Ознакомиться")</f>
        <v>Ознакомиться</v>
      </c>
      <c r="W140" s="8" t="s">
        <v>354</v>
      </c>
      <c r="X140" s="6"/>
      <c r="Y140" s="6"/>
      <c r="Z140" s="6"/>
      <c r="AA140" s="6" t="s">
        <v>479</v>
      </c>
      <c r="AB140" s="8"/>
    </row>
    <row r="141" spans="1:28" s="4" customFormat="1" ht="51.95" customHeight="1">
      <c r="A141" s="5">
        <v>0</v>
      </c>
      <c r="B141" s="6" t="s">
        <v>1015</v>
      </c>
      <c r="C141" s="13">
        <v>1040</v>
      </c>
      <c r="D141" s="8" t="s">
        <v>1016</v>
      </c>
      <c r="E141" s="8" t="s">
        <v>1017</v>
      </c>
      <c r="F141" s="8" t="s">
        <v>1018</v>
      </c>
      <c r="G141" s="6" t="s">
        <v>89</v>
      </c>
      <c r="H141" s="6" t="s">
        <v>53</v>
      </c>
      <c r="I141" s="8" t="s">
        <v>276</v>
      </c>
      <c r="J141" s="9">
        <v>1</v>
      </c>
      <c r="K141" s="9">
        <v>226</v>
      </c>
      <c r="L141" s="9">
        <v>2024</v>
      </c>
      <c r="M141" s="8" t="s">
        <v>1019</v>
      </c>
      <c r="N141" s="8" t="s">
        <v>41</v>
      </c>
      <c r="O141" s="8" t="s">
        <v>118</v>
      </c>
      <c r="P141" s="6" t="s">
        <v>43</v>
      </c>
      <c r="Q141" s="8" t="s">
        <v>279</v>
      </c>
      <c r="R141" s="10" t="s">
        <v>1020</v>
      </c>
      <c r="S141" s="11" t="s">
        <v>1021</v>
      </c>
      <c r="T141" s="6"/>
      <c r="U141" s="24" t="str">
        <f>HYPERLINK("https://media.infra-m.ru/2052/2052366/cover/2052366.jpg", "Обложка")</f>
        <v>Обложка</v>
      </c>
      <c r="V141" s="24" t="str">
        <f>HYPERLINK("https://znanium.ru/catalog/product/2052366", "Ознакомиться")</f>
        <v>Ознакомиться</v>
      </c>
      <c r="W141" s="8" t="s">
        <v>918</v>
      </c>
      <c r="X141" s="6"/>
      <c r="Y141" s="6"/>
      <c r="Z141" s="6"/>
      <c r="AA141" s="6" t="s">
        <v>151</v>
      </c>
      <c r="AB141" s="8"/>
    </row>
    <row r="142" spans="1:28" s="4" customFormat="1" ht="51.95" customHeight="1">
      <c r="A142" s="5">
        <v>0</v>
      </c>
      <c r="B142" s="6" t="s">
        <v>1022</v>
      </c>
      <c r="C142" s="7">
        <v>890</v>
      </c>
      <c r="D142" s="8" t="s">
        <v>1023</v>
      </c>
      <c r="E142" s="8" t="s">
        <v>1024</v>
      </c>
      <c r="F142" s="8" t="s">
        <v>1025</v>
      </c>
      <c r="G142" s="6" t="s">
        <v>89</v>
      </c>
      <c r="H142" s="6" t="s">
        <v>53</v>
      </c>
      <c r="I142" s="8" t="s">
        <v>276</v>
      </c>
      <c r="J142" s="9">
        <v>1</v>
      </c>
      <c r="K142" s="9">
        <v>190</v>
      </c>
      <c r="L142" s="9">
        <v>2023</v>
      </c>
      <c r="M142" s="8" t="s">
        <v>1026</v>
      </c>
      <c r="N142" s="8" t="s">
        <v>41</v>
      </c>
      <c r="O142" s="8" t="s">
        <v>676</v>
      </c>
      <c r="P142" s="6" t="s">
        <v>43</v>
      </c>
      <c r="Q142" s="8" t="s">
        <v>279</v>
      </c>
      <c r="R142" s="10" t="s">
        <v>983</v>
      </c>
      <c r="S142" s="11" t="s">
        <v>1027</v>
      </c>
      <c r="T142" s="6"/>
      <c r="U142" s="24" t="str">
        <f>HYPERLINK("https://media.infra-m.ru/1905/1905679/cover/1905679.jpg", "Обложка")</f>
        <v>Обложка</v>
      </c>
      <c r="V142" s="24" t="str">
        <f>HYPERLINK("https://znanium.ru/catalog/product/1905679", "Ознакомиться")</f>
        <v>Ознакомиться</v>
      </c>
      <c r="W142" s="8" t="s">
        <v>83</v>
      </c>
      <c r="X142" s="6"/>
      <c r="Y142" s="6"/>
      <c r="Z142" s="6"/>
      <c r="AA142" s="6" t="s">
        <v>793</v>
      </c>
      <c r="AB142" s="8"/>
    </row>
    <row r="143" spans="1:28" s="4" customFormat="1" ht="51.95" customHeight="1">
      <c r="A143" s="5">
        <v>0</v>
      </c>
      <c r="B143" s="6" t="s">
        <v>1028</v>
      </c>
      <c r="C143" s="13">
        <v>1444</v>
      </c>
      <c r="D143" s="8" t="s">
        <v>1029</v>
      </c>
      <c r="E143" s="8" t="s">
        <v>1030</v>
      </c>
      <c r="F143" s="8" t="s">
        <v>1031</v>
      </c>
      <c r="G143" s="6" t="s">
        <v>52</v>
      </c>
      <c r="H143" s="6" t="s">
        <v>53</v>
      </c>
      <c r="I143" s="8" t="s">
        <v>276</v>
      </c>
      <c r="J143" s="9">
        <v>1</v>
      </c>
      <c r="K143" s="9">
        <v>307</v>
      </c>
      <c r="L143" s="9">
        <v>2024</v>
      </c>
      <c r="M143" s="8" t="s">
        <v>1032</v>
      </c>
      <c r="N143" s="8" t="s">
        <v>41</v>
      </c>
      <c r="O143" s="8" t="s">
        <v>676</v>
      </c>
      <c r="P143" s="6" t="s">
        <v>167</v>
      </c>
      <c r="Q143" s="8" t="s">
        <v>279</v>
      </c>
      <c r="R143" s="10" t="s">
        <v>990</v>
      </c>
      <c r="S143" s="11" t="s">
        <v>1033</v>
      </c>
      <c r="T143" s="6"/>
      <c r="U143" s="24" t="str">
        <f>HYPERLINK("https://media.infra-m.ru/2131/2131532/cover/2131532.jpg", "Обложка")</f>
        <v>Обложка</v>
      </c>
      <c r="V143" s="24" t="str">
        <f>HYPERLINK("https://znanium.ru/catalog/product/2131532", "Ознакомиться")</f>
        <v>Ознакомиться</v>
      </c>
      <c r="W143" s="8" t="s">
        <v>1034</v>
      </c>
      <c r="X143" s="6"/>
      <c r="Y143" s="6"/>
      <c r="Z143" s="6"/>
      <c r="AA143" s="6" t="s">
        <v>235</v>
      </c>
      <c r="AB143" s="8" t="s">
        <v>1035</v>
      </c>
    </row>
    <row r="144" spans="1:28" s="4" customFormat="1" ht="51.95" customHeight="1">
      <c r="A144" s="5">
        <v>0</v>
      </c>
      <c r="B144" s="6" t="s">
        <v>1036</v>
      </c>
      <c r="C144" s="7">
        <v>360</v>
      </c>
      <c r="D144" s="8" t="s">
        <v>1037</v>
      </c>
      <c r="E144" s="8" t="s">
        <v>1038</v>
      </c>
      <c r="F144" s="8" t="s">
        <v>981</v>
      </c>
      <c r="G144" s="6" t="s">
        <v>38</v>
      </c>
      <c r="H144" s="6" t="s">
        <v>53</v>
      </c>
      <c r="I144" s="8" t="s">
        <v>276</v>
      </c>
      <c r="J144" s="9">
        <v>1</v>
      </c>
      <c r="K144" s="9">
        <v>88</v>
      </c>
      <c r="L144" s="9">
        <v>2019</v>
      </c>
      <c r="M144" s="8" t="s">
        <v>1039</v>
      </c>
      <c r="N144" s="8" t="s">
        <v>41</v>
      </c>
      <c r="O144" s="8" t="s">
        <v>676</v>
      </c>
      <c r="P144" s="6" t="s">
        <v>43</v>
      </c>
      <c r="Q144" s="8" t="s">
        <v>279</v>
      </c>
      <c r="R144" s="10" t="s">
        <v>983</v>
      </c>
      <c r="S144" s="11" t="s">
        <v>1040</v>
      </c>
      <c r="T144" s="6"/>
      <c r="U144" s="24" t="str">
        <f>HYPERLINK("https://media.infra-m.ru/1020/1020717/cover/1020717.jpg", "Обложка")</f>
        <v>Обложка</v>
      </c>
      <c r="V144" s="24" t="str">
        <f>HYPERLINK("https://znanium.ru/catalog/product/1937953", "Ознакомиться")</f>
        <v>Ознакомиться</v>
      </c>
      <c r="W144" s="8" t="s">
        <v>852</v>
      </c>
      <c r="X144" s="6"/>
      <c r="Y144" s="6"/>
      <c r="Z144" s="6"/>
      <c r="AA144" s="6" t="s">
        <v>151</v>
      </c>
      <c r="AB144" s="8"/>
    </row>
    <row r="145" spans="1:28" s="4" customFormat="1" ht="51.95" customHeight="1">
      <c r="A145" s="5">
        <v>0</v>
      </c>
      <c r="B145" s="6" t="s">
        <v>1041</v>
      </c>
      <c r="C145" s="13">
        <v>1640</v>
      </c>
      <c r="D145" s="8" t="s">
        <v>1042</v>
      </c>
      <c r="E145" s="8" t="s">
        <v>1043</v>
      </c>
      <c r="F145" s="8" t="s">
        <v>1044</v>
      </c>
      <c r="G145" s="6" t="s">
        <v>52</v>
      </c>
      <c r="H145" s="6" t="s">
        <v>674</v>
      </c>
      <c r="I145" s="8"/>
      <c r="J145" s="9">
        <v>1</v>
      </c>
      <c r="K145" s="9">
        <v>328</v>
      </c>
      <c r="L145" s="9">
        <v>2025</v>
      </c>
      <c r="M145" s="8" t="s">
        <v>1045</v>
      </c>
      <c r="N145" s="8" t="s">
        <v>41</v>
      </c>
      <c r="O145" s="8" t="s">
        <v>676</v>
      </c>
      <c r="P145" s="6" t="s">
        <v>1046</v>
      </c>
      <c r="Q145" s="8" t="s">
        <v>1047</v>
      </c>
      <c r="R145" s="10" t="s">
        <v>1048</v>
      </c>
      <c r="S145" s="11"/>
      <c r="T145" s="6"/>
      <c r="U145" s="24" t="str">
        <f>HYPERLINK("https://media.infra-m.ru/2157/2157350/cover/2157350.jpg", "Обложка")</f>
        <v>Обложка</v>
      </c>
      <c r="V145" s="24" t="str">
        <f>HYPERLINK("https://znanium.ru/catalog/product/2157350", "Ознакомиться")</f>
        <v>Ознакомиться</v>
      </c>
      <c r="W145" s="8" t="s">
        <v>792</v>
      </c>
      <c r="X145" s="6" t="s">
        <v>1049</v>
      </c>
      <c r="Y145" s="6"/>
      <c r="Z145" s="6"/>
      <c r="AA145" s="6" t="s">
        <v>61</v>
      </c>
      <c r="AB145" s="8"/>
    </row>
    <row r="146" spans="1:28" s="4" customFormat="1" ht="51.95" customHeight="1">
      <c r="A146" s="5">
        <v>0</v>
      </c>
      <c r="B146" s="6" t="s">
        <v>1050</v>
      </c>
      <c r="C146" s="13">
        <v>1220</v>
      </c>
      <c r="D146" s="8" t="s">
        <v>1051</v>
      </c>
      <c r="E146" s="8" t="s">
        <v>1052</v>
      </c>
      <c r="F146" s="8" t="s">
        <v>1053</v>
      </c>
      <c r="G146" s="6" t="s">
        <v>89</v>
      </c>
      <c r="H146" s="6" t="s">
        <v>53</v>
      </c>
      <c r="I146" s="8" t="s">
        <v>1054</v>
      </c>
      <c r="J146" s="9">
        <v>1</v>
      </c>
      <c r="K146" s="9">
        <v>322</v>
      </c>
      <c r="L146" s="9">
        <v>2022</v>
      </c>
      <c r="M146" s="8" t="s">
        <v>1055</v>
      </c>
      <c r="N146" s="8" t="s">
        <v>41</v>
      </c>
      <c r="O146" s="8" t="s">
        <v>676</v>
      </c>
      <c r="P146" s="6" t="s">
        <v>43</v>
      </c>
      <c r="Q146" s="8" t="s">
        <v>279</v>
      </c>
      <c r="R146" s="10" t="s">
        <v>1056</v>
      </c>
      <c r="S146" s="11" t="s">
        <v>1057</v>
      </c>
      <c r="T146" s="6"/>
      <c r="U146" s="24" t="str">
        <f>HYPERLINK("https://media.infra-m.ru/1856/1856883/cover/1856883.jpg", "Обложка")</f>
        <v>Обложка</v>
      </c>
      <c r="V146" s="24" t="str">
        <f>HYPERLINK("https://znanium.ru/catalog/product/1856883", "Ознакомиться")</f>
        <v>Ознакомиться</v>
      </c>
      <c r="W146" s="8" t="s">
        <v>83</v>
      </c>
      <c r="X146" s="6"/>
      <c r="Y146" s="6"/>
      <c r="Z146" s="6"/>
      <c r="AA146" s="6" t="s">
        <v>442</v>
      </c>
      <c r="AB146" s="8"/>
    </row>
    <row r="147" spans="1:28" s="4" customFormat="1" ht="51.95" customHeight="1">
      <c r="A147" s="5">
        <v>0</v>
      </c>
      <c r="B147" s="6" t="s">
        <v>1058</v>
      </c>
      <c r="C147" s="13">
        <v>1280</v>
      </c>
      <c r="D147" s="8" t="s">
        <v>1059</v>
      </c>
      <c r="E147" s="8" t="s">
        <v>1060</v>
      </c>
      <c r="F147" s="8" t="s">
        <v>1061</v>
      </c>
      <c r="G147" s="6" t="s">
        <v>89</v>
      </c>
      <c r="H147" s="6" t="s">
        <v>674</v>
      </c>
      <c r="I147" s="8"/>
      <c r="J147" s="9">
        <v>1</v>
      </c>
      <c r="K147" s="9">
        <v>304</v>
      </c>
      <c r="L147" s="9">
        <v>2022</v>
      </c>
      <c r="M147" s="8" t="s">
        <v>1062</v>
      </c>
      <c r="N147" s="8" t="s">
        <v>41</v>
      </c>
      <c r="O147" s="8" t="s">
        <v>676</v>
      </c>
      <c r="P147" s="6" t="s">
        <v>167</v>
      </c>
      <c r="Q147" s="8" t="s">
        <v>279</v>
      </c>
      <c r="R147" s="10" t="s">
        <v>806</v>
      </c>
      <c r="S147" s="11" t="s">
        <v>1063</v>
      </c>
      <c r="T147" s="6"/>
      <c r="U147" s="24" t="str">
        <f>HYPERLINK("https://media.infra-m.ru/1873/1873767/cover/1873767.jpg", "Обложка")</f>
        <v>Обложка</v>
      </c>
      <c r="V147" s="24" t="str">
        <f>HYPERLINK("https://znanium.ru/catalog/product/2104321", "Ознакомиться")</f>
        <v>Ознакомиться</v>
      </c>
      <c r="W147" s="8" t="s">
        <v>1064</v>
      </c>
      <c r="X147" s="6"/>
      <c r="Y147" s="6"/>
      <c r="Z147" s="6"/>
      <c r="AA147" s="6" t="s">
        <v>111</v>
      </c>
      <c r="AB147" s="8"/>
    </row>
    <row r="148" spans="1:28" s="4" customFormat="1" ht="51.95" customHeight="1">
      <c r="A148" s="5">
        <v>0</v>
      </c>
      <c r="B148" s="6" t="s">
        <v>1065</v>
      </c>
      <c r="C148" s="13">
        <v>1500</v>
      </c>
      <c r="D148" s="8" t="s">
        <v>1066</v>
      </c>
      <c r="E148" s="8" t="s">
        <v>1067</v>
      </c>
      <c r="F148" s="8" t="s">
        <v>1068</v>
      </c>
      <c r="G148" s="6" t="s">
        <v>89</v>
      </c>
      <c r="H148" s="6" t="s">
        <v>674</v>
      </c>
      <c r="I148" s="8"/>
      <c r="J148" s="9">
        <v>1</v>
      </c>
      <c r="K148" s="9">
        <v>320</v>
      </c>
      <c r="L148" s="9">
        <v>2024</v>
      </c>
      <c r="M148" s="8" t="s">
        <v>1069</v>
      </c>
      <c r="N148" s="8" t="s">
        <v>41</v>
      </c>
      <c r="O148" s="8" t="s">
        <v>676</v>
      </c>
      <c r="P148" s="6" t="s">
        <v>167</v>
      </c>
      <c r="Q148" s="8" t="s">
        <v>279</v>
      </c>
      <c r="R148" s="10" t="s">
        <v>806</v>
      </c>
      <c r="S148" s="11" t="s">
        <v>1063</v>
      </c>
      <c r="T148" s="6"/>
      <c r="U148" s="24" t="str">
        <f>HYPERLINK("https://media.infra-m.ru/2104/2104321/cover/2104321.jpg", "Обложка")</f>
        <v>Обложка</v>
      </c>
      <c r="V148" s="24" t="str">
        <f>HYPERLINK("https://znanium.ru/catalog/product/2104321", "Ознакомиться")</f>
        <v>Ознакомиться</v>
      </c>
      <c r="W148" s="8" t="s">
        <v>1064</v>
      </c>
      <c r="X148" s="6"/>
      <c r="Y148" s="6"/>
      <c r="Z148" s="6"/>
      <c r="AA148" s="6" t="s">
        <v>105</v>
      </c>
      <c r="AB148" s="8"/>
    </row>
    <row r="149" spans="1:28" s="4" customFormat="1" ht="51.95" customHeight="1">
      <c r="A149" s="5">
        <v>0</v>
      </c>
      <c r="B149" s="6" t="s">
        <v>1070</v>
      </c>
      <c r="C149" s="13">
        <v>1494</v>
      </c>
      <c r="D149" s="8" t="s">
        <v>1071</v>
      </c>
      <c r="E149" s="8" t="s">
        <v>1072</v>
      </c>
      <c r="F149" s="8" t="s">
        <v>1073</v>
      </c>
      <c r="G149" s="6" t="s">
        <v>89</v>
      </c>
      <c r="H149" s="6" t="s">
        <v>53</v>
      </c>
      <c r="I149" s="8" t="s">
        <v>276</v>
      </c>
      <c r="J149" s="9">
        <v>1</v>
      </c>
      <c r="K149" s="9">
        <v>330</v>
      </c>
      <c r="L149" s="9">
        <v>2023</v>
      </c>
      <c r="M149" s="8" t="s">
        <v>1074</v>
      </c>
      <c r="N149" s="8" t="s">
        <v>41</v>
      </c>
      <c r="O149" s="8" t="s">
        <v>676</v>
      </c>
      <c r="P149" s="6" t="s">
        <v>167</v>
      </c>
      <c r="Q149" s="8" t="s">
        <v>279</v>
      </c>
      <c r="R149" s="10" t="s">
        <v>983</v>
      </c>
      <c r="S149" s="11" t="s">
        <v>1075</v>
      </c>
      <c r="T149" s="6"/>
      <c r="U149" s="24" t="str">
        <f>HYPERLINK("https://media.infra-m.ru/2006/2006021/cover/2006021.jpg", "Обложка")</f>
        <v>Обложка</v>
      </c>
      <c r="V149" s="24" t="str">
        <f>HYPERLINK("https://znanium.ru/catalog/product/1066084", "Ознакомиться")</f>
        <v>Ознакомиться</v>
      </c>
      <c r="W149" s="8" t="s">
        <v>1076</v>
      </c>
      <c r="X149" s="6"/>
      <c r="Y149" s="6"/>
      <c r="Z149" s="6"/>
      <c r="AA149" s="6" t="s">
        <v>151</v>
      </c>
      <c r="AB149" s="8"/>
    </row>
    <row r="150" spans="1:28" s="4" customFormat="1" ht="51.95" customHeight="1">
      <c r="A150" s="5">
        <v>0</v>
      </c>
      <c r="B150" s="6" t="s">
        <v>1077</v>
      </c>
      <c r="C150" s="7">
        <v>994</v>
      </c>
      <c r="D150" s="8" t="s">
        <v>1078</v>
      </c>
      <c r="E150" s="8" t="s">
        <v>1079</v>
      </c>
      <c r="F150" s="8" t="s">
        <v>1080</v>
      </c>
      <c r="G150" s="6" t="s">
        <v>52</v>
      </c>
      <c r="H150" s="6" t="s">
        <v>53</v>
      </c>
      <c r="I150" s="8" t="s">
        <v>276</v>
      </c>
      <c r="J150" s="9">
        <v>1</v>
      </c>
      <c r="K150" s="9">
        <v>219</v>
      </c>
      <c r="L150" s="9">
        <v>2023</v>
      </c>
      <c r="M150" s="8" t="s">
        <v>1081</v>
      </c>
      <c r="N150" s="8" t="s">
        <v>41</v>
      </c>
      <c r="O150" s="8" t="s">
        <v>1007</v>
      </c>
      <c r="P150" s="6" t="s">
        <v>167</v>
      </c>
      <c r="Q150" s="8" t="s">
        <v>279</v>
      </c>
      <c r="R150" s="10" t="s">
        <v>1082</v>
      </c>
      <c r="S150" s="11" t="s">
        <v>1083</v>
      </c>
      <c r="T150" s="6"/>
      <c r="U150" s="24" t="str">
        <f>HYPERLINK("https://media.infra-m.ru/2006/2006819/cover/2006819.jpg", "Обложка")</f>
        <v>Обложка</v>
      </c>
      <c r="V150" s="24" t="str">
        <f>HYPERLINK("https://znanium.ru/catalog/product/1014640", "Ознакомиться")</f>
        <v>Ознакомиться</v>
      </c>
      <c r="W150" s="8"/>
      <c r="X150" s="6"/>
      <c r="Y150" s="6"/>
      <c r="Z150" s="6"/>
      <c r="AA150" s="6" t="s">
        <v>793</v>
      </c>
      <c r="AB150" s="8"/>
    </row>
    <row r="151" spans="1:28" s="4" customFormat="1" ht="51.95" customHeight="1">
      <c r="A151" s="5">
        <v>0</v>
      </c>
      <c r="B151" s="6" t="s">
        <v>1084</v>
      </c>
      <c r="C151" s="13">
        <v>1604</v>
      </c>
      <c r="D151" s="8" t="s">
        <v>1085</v>
      </c>
      <c r="E151" s="8" t="s">
        <v>1086</v>
      </c>
      <c r="F151" s="8" t="s">
        <v>1087</v>
      </c>
      <c r="G151" s="6" t="s">
        <v>52</v>
      </c>
      <c r="H151" s="6" t="s">
        <v>53</v>
      </c>
      <c r="I151" s="8" t="s">
        <v>1054</v>
      </c>
      <c r="J151" s="9">
        <v>1</v>
      </c>
      <c r="K151" s="9">
        <v>320</v>
      </c>
      <c r="L151" s="9">
        <v>2025</v>
      </c>
      <c r="M151" s="8" t="s">
        <v>1088</v>
      </c>
      <c r="N151" s="8" t="s">
        <v>41</v>
      </c>
      <c r="O151" s="8" t="s">
        <v>676</v>
      </c>
      <c r="P151" s="6" t="s">
        <v>167</v>
      </c>
      <c r="Q151" s="8" t="s">
        <v>279</v>
      </c>
      <c r="R151" s="10" t="s">
        <v>990</v>
      </c>
      <c r="S151" s="11" t="s">
        <v>1089</v>
      </c>
      <c r="T151" s="6"/>
      <c r="U151" s="24" t="str">
        <f>HYPERLINK("https://media.infra-m.ru/2184/2184586/cover/2184586.jpg", "Обложка")</f>
        <v>Обложка</v>
      </c>
      <c r="V151" s="24" t="str">
        <f>HYPERLINK("https://znanium.ru/catalog/product/1905104", "Ознакомиться")</f>
        <v>Ознакомиться</v>
      </c>
      <c r="W151" s="8" t="s">
        <v>83</v>
      </c>
      <c r="X151" s="6"/>
      <c r="Y151" s="6"/>
      <c r="Z151" s="6"/>
      <c r="AA151" s="6" t="s">
        <v>219</v>
      </c>
      <c r="AB151" s="8"/>
    </row>
    <row r="152" spans="1:28" s="4" customFormat="1" ht="51.95" customHeight="1">
      <c r="A152" s="5">
        <v>0</v>
      </c>
      <c r="B152" s="6" t="s">
        <v>1090</v>
      </c>
      <c r="C152" s="13">
        <v>1590</v>
      </c>
      <c r="D152" s="8" t="s">
        <v>1091</v>
      </c>
      <c r="E152" s="8" t="s">
        <v>1092</v>
      </c>
      <c r="F152" s="8" t="s">
        <v>1093</v>
      </c>
      <c r="G152" s="6" t="s">
        <v>89</v>
      </c>
      <c r="H152" s="6" t="s">
        <v>1094</v>
      </c>
      <c r="I152" s="8"/>
      <c r="J152" s="9">
        <v>1</v>
      </c>
      <c r="K152" s="9">
        <v>352</v>
      </c>
      <c r="L152" s="9">
        <v>2023</v>
      </c>
      <c r="M152" s="8" t="s">
        <v>1095</v>
      </c>
      <c r="N152" s="8" t="s">
        <v>41</v>
      </c>
      <c r="O152" s="8" t="s">
        <v>676</v>
      </c>
      <c r="P152" s="6" t="s">
        <v>167</v>
      </c>
      <c r="Q152" s="8" t="s">
        <v>279</v>
      </c>
      <c r="R152" s="10" t="s">
        <v>983</v>
      </c>
      <c r="S152" s="11"/>
      <c r="T152" s="6"/>
      <c r="U152" s="24" t="str">
        <f>HYPERLINK("https://media.infra-m.ru/1906/1906884/cover/1906884.jpg", "Обложка")</f>
        <v>Обложка</v>
      </c>
      <c r="V152" s="24" t="str">
        <f>HYPERLINK("https://znanium.ru/catalog/product/1906884", "Ознакомиться")</f>
        <v>Ознакомиться</v>
      </c>
      <c r="W152" s="8" t="s">
        <v>354</v>
      </c>
      <c r="X152" s="6"/>
      <c r="Y152" s="6"/>
      <c r="Z152" s="6"/>
      <c r="AA152" s="6" t="s">
        <v>418</v>
      </c>
      <c r="AB152" s="8"/>
    </row>
    <row r="153" spans="1:28" s="4" customFormat="1" ht="42" customHeight="1">
      <c r="A153" s="5">
        <v>0</v>
      </c>
      <c r="B153" s="6" t="s">
        <v>1096</v>
      </c>
      <c r="C153" s="13">
        <v>1394</v>
      </c>
      <c r="D153" s="8" t="s">
        <v>1097</v>
      </c>
      <c r="E153" s="8" t="s">
        <v>1098</v>
      </c>
      <c r="F153" s="8" t="s">
        <v>1099</v>
      </c>
      <c r="G153" s="6" t="s">
        <v>38</v>
      </c>
      <c r="H153" s="6" t="s">
        <v>674</v>
      </c>
      <c r="I153" s="8"/>
      <c r="J153" s="9">
        <v>1</v>
      </c>
      <c r="K153" s="9">
        <v>304</v>
      </c>
      <c r="L153" s="9">
        <v>2024</v>
      </c>
      <c r="M153" s="8" t="s">
        <v>1100</v>
      </c>
      <c r="N153" s="8" t="s">
        <v>41</v>
      </c>
      <c r="O153" s="8" t="s">
        <v>676</v>
      </c>
      <c r="P153" s="6" t="s">
        <v>822</v>
      </c>
      <c r="Q153" s="8" t="s">
        <v>44</v>
      </c>
      <c r="R153" s="10" t="s">
        <v>1101</v>
      </c>
      <c r="S153" s="11"/>
      <c r="T153" s="6"/>
      <c r="U153" s="24" t="str">
        <f>HYPERLINK("https://media.infra-m.ru/2102/2102181/cover/2102181.jpg", "Обложка")</f>
        <v>Обложка</v>
      </c>
      <c r="V153" s="24" t="str">
        <f>HYPERLINK("https://znanium.ru/catalog/product/1859036", "Ознакомиться")</f>
        <v>Ознакомиться</v>
      </c>
      <c r="W153" s="8" t="s">
        <v>918</v>
      </c>
      <c r="X153" s="6"/>
      <c r="Y153" s="6"/>
      <c r="Z153" s="6"/>
      <c r="AA153" s="6" t="s">
        <v>47</v>
      </c>
      <c r="AB153" s="8"/>
    </row>
    <row r="154" spans="1:28" s="4" customFormat="1" ht="51.95" customHeight="1">
      <c r="A154" s="5">
        <v>0</v>
      </c>
      <c r="B154" s="6" t="s">
        <v>1102</v>
      </c>
      <c r="C154" s="7">
        <v>904</v>
      </c>
      <c r="D154" s="8" t="s">
        <v>1103</v>
      </c>
      <c r="E154" s="8" t="s">
        <v>1104</v>
      </c>
      <c r="F154" s="8" t="s">
        <v>1105</v>
      </c>
      <c r="G154" s="6" t="s">
        <v>89</v>
      </c>
      <c r="H154" s="6" t="s">
        <v>53</v>
      </c>
      <c r="I154" s="8" t="s">
        <v>276</v>
      </c>
      <c r="J154" s="9">
        <v>1</v>
      </c>
      <c r="K154" s="9">
        <v>191</v>
      </c>
      <c r="L154" s="9">
        <v>2024</v>
      </c>
      <c r="M154" s="8" t="s">
        <v>1106</v>
      </c>
      <c r="N154" s="8" t="s">
        <v>41</v>
      </c>
      <c r="O154" s="8" t="s">
        <v>118</v>
      </c>
      <c r="P154" s="6" t="s">
        <v>43</v>
      </c>
      <c r="Q154" s="8" t="s">
        <v>279</v>
      </c>
      <c r="R154" s="10" t="s">
        <v>1107</v>
      </c>
      <c r="S154" s="11" t="s">
        <v>1108</v>
      </c>
      <c r="T154" s="6"/>
      <c r="U154" s="24" t="str">
        <f>HYPERLINK("https://media.infra-m.ru/2084/2084384/cover/2084384.jpg", "Обложка")</f>
        <v>Обложка</v>
      </c>
      <c r="V154" s="24" t="str">
        <f>HYPERLINK("https://znanium.ru/catalog/product/1903466", "Ознакомиться")</f>
        <v>Ознакомиться</v>
      </c>
      <c r="W154" s="8" t="s">
        <v>918</v>
      </c>
      <c r="X154" s="6"/>
      <c r="Y154" s="6"/>
      <c r="Z154" s="6"/>
      <c r="AA154" s="6" t="s">
        <v>151</v>
      </c>
      <c r="AB154" s="8"/>
    </row>
    <row r="155" spans="1:28" s="4" customFormat="1" ht="51.95" customHeight="1">
      <c r="A155" s="5">
        <v>0</v>
      </c>
      <c r="B155" s="6" t="s">
        <v>1109</v>
      </c>
      <c r="C155" s="13">
        <v>1200</v>
      </c>
      <c r="D155" s="8" t="s">
        <v>1110</v>
      </c>
      <c r="E155" s="8" t="s">
        <v>1111</v>
      </c>
      <c r="F155" s="8" t="s">
        <v>1112</v>
      </c>
      <c r="G155" s="6" t="s">
        <v>52</v>
      </c>
      <c r="H155" s="6" t="s">
        <v>53</v>
      </c>
      <c r="I155" s="8" t="s">
        <v>960</v>
      </c>
      <c r="J155" s="9">
        <v>1</v>
      </c>
      <c r="K155" s="9">
        <v>228</v>
      </c>
      <c r="L155" s="9">
        <v>2025</v>
      </c>
      <c r="M155" s="8" t="s">
        <v>1113</v>
      </c>
      <c r="N155" s="8" t="s">
        <v>79</v>
      </c>
      <c r="O155" s="8" t="s">
        <v>174</v>
      </c>
      <c r="P155" s="6" t="s">
        <v>175</v>
      </c>
      <c r="Q155" s="8" t="s">
        <v>214</v>
      </c>
      <c r="R155" s="10" t="s">
        <v>1114</v>
      </c>
      <c r="S155" s="11" t="s">
        <v>1115</v>
      </c>
      <c r="T155" s="6"/>
      <c r="U155" s="24" t="str">
        <f>HYPERLINK("https://media.infra-m.ru/2167/2167517/cover/2167517.jpg", "Обложка")</f>
        <v>Обложка</v>
      </c>
      <c r="V155" s="24" t="str">
        <f>HYPERLINK("https://znanium.ru/catalog/product/2167517", "Ознакомиться")</f>
        <v>Ознакомиться</v>
      </c>
      <c r="W155" s="8" t="s">
        <v>178</v>
      </c>
      <c r="X155" s="6" t="s">
        <v>226</v>
      </c>
      <c r="Y155" s="6"/>
      <c r="Z155" s="6"/>
      <c r="AA155" s="6" t="s">
        <v>61</v>
      </c>
      <c r="AB155" s="8"/>
    </row>
    <row r="156" spans="1:28" s="4" customFormat="1" ht="51.95" customHeight="1">
      <c r="A156" s="5">
        <v>0</v>
      </c>
      <c r="B156" s="6" t="s">
        <v>1116</v>
      </c>
      <c r="C156" s="7">
        <v>824</v>
      </c>
      <c r="D156" s="8" t="s">
        <v>1117</v>
      </c>
      <c r="E156" s="8" t="s">
        <v>1118</v>
      </c>
      <c r="F156" s="8" t="s">
        <v>1119</v>
      </c>
      <c r="G156" s="6" t="s">
        <v>38</v>
      </c>
      <c r="H156" s="6" t="s">
        <v>39</v>
      </c>
      <c r="I156" s="8" t="s">
        <v>116</v>
      </c>
      <c r="J156" s="9">
        <v>1</v>
      </c>
      <c r="K156" s="9">
        <v>176</v>
      </c>
      <c r="L156" s="9">
        <v>2024</v>
      </c>
      <c r="M156" s="8" t="s">
        <v>1120</v>
      </c>
      <c r="N156" s="8" t="s">
        <v>79</v>
      </c>
      <c r="O156" s="8" t="s">
        <v>684</v>
      </c>
      <c r="P156" s="6" t="s">
        <v>43</v>
      </c>
      <c r="Q156" s="8" t="s">
        <v>44</v>
      </c>
      <c r="R156" s="10" t="s">
        <v>1121</v>
      </c>
      <c r="S156" s="11" t="s">
        <v>1122</v>
      </c>
      <c r="T156" s="6"/>
      <c r="U156" s="24" t="str">
        <f>HYPERLINK("https://media.infra-m.ru/1905/1905891/cover/1905891.jpg", "Обложка")</f>
        <v>Обложка</v>
      </c>
      <c r="V156" s="12"/>
      <c r="W156" s="8" t="s">
        <v>1123</v>
      </c>
      <c r="X156" s="6"/>
      <c r="Y156" s="6"/>
      <c r="Z156" s="6"/>
      <c r="AA156" s="6" t="s">
        <v>654</v>
      </c>
      <c r="AB156" s="8"/>
    </row>
    <row r="157" spans="1:28" s="4" customFormat="1" ht="51.95" customHeight="1">
      <c r="A157" s="5">
        <v>0</v>
      </c>
      <c r="B157" s="6" t="s">
        <v>1124</v>
      </c>
      <c r="C157" s="7">
        <v>874</v>
      </c>
      <c r="D157" s="8" t="s">
        <v>1125</v>
      </c>
      <c r="E157" s="8" t="s">
        <v>1118</v>
      </c>
      <c r="F157" s="8" t="s">
        <v>1126</v>
      </c>
      <c r="G157" s="6" t="s">
        <v>89</v>
      </c>
      <c r="H157" s="6" t="s">
        <v>39</v>
      </c>
      <c r="I157" s="8" t="s">
        <v>100</v>
      </c>
      <c r="J157" s="9">
        <v>1</v>
      </c>
      <c r="K157" s="9">
        <v>174</v>
      </c>
      <c r="L157" s="9">
        <v>2025</v>
      </c>
      <c r="M157" s="8" t="s">
        <v>1127</v>
      </c>
      <c r="N157" s="8" t="s">
        <v>79</v>
      </c>
      <c r="O157" s="8" t="s">
        <v>684</v>
      </c>
      <c r="P157" s="6" t="s">
        <v>43</v>
      </c>
      <c r="Q157" s="8" t="s">
        <v>102</v>
      </c>
      <c r="R157" s="10" t="s">
        <v>1128</v>
      </c>
      <c r="S157" s="11" t="s">
        <v>1122</v>
      </c>
      <c r="T157" s="6"/>
      <c r="U157" s="24" t="str">
        <f>HYPERLINK("https://media.infra-m.ru/2163/2163790/cover/2163790.jpg", "Обложка")</f>
        <v>Обложка</v>
      </c>
      <c r="V157" s="24" t="str">
        <f>HYPERLINK("https://znanium.ru/catalog/product/2163243", "Ознакомиться")</f>
        <v>Ознакомиться</v>
      </c>
      <c r="W157" s="8" t="s">
        <v>1123</v>
      </c>
      <c r="X157" s="6"/>
      <c r="Y157" s="6"/>
      <c r="Z157" s="6" t="s">
        <v>104</v>
      </c>
      <c r="AA157" s="6" t="s">
        <v>219</v>
      </c>
      <c r="AB157" s="8"/>
    </row>
    <row r="158" spans="1:28" s="4" customFormat="1" ht="42" customHeight="1">
      <c r="A158" s="5">
        <v>0</v>
      </c>
      <c r="B158" s="6" t="s">
        <v>1129</v>
      </c>
      <c r="C158" s="7">
        <v>830</v>
      </c>
      <c r="D158" s="8" t="s">
        <v>1130</v>
      </c>
      <c r="E158" s="8" t="s">
        <v>1131</v>
      </c>
      <c r="F158" s="8" t="s">
        <v>1132</v>
      </c>
      <c r="G158" s="6" t="s">
        <v>38</v>
      </c>
      <c r="H158" s="6" t="s">
        <v>184</v>
      </c>
      <c r="I158" s="8" t="s">
        <v>116</v>
      </c>
      <c r="J158" s="9">
        <v>1</v>
      </c>
      <c r="K158" s="9">
        <v>271</v>
      </c>
      <c r="L158" s="9">
        <v>2024</v>
      </c>
      <c r="M158" s="8" t="s">
        <v>1133</v>
      </c>
      <c r="N158" s="8" t="s">
        <v>79</v>
      </c>
      <c r="O158" s="8" t="s">
        <v>174</v>
      </c>
      <c r="P158" s="6" t="s">
        <v>43</v>
      </c>
      <c r="Q158" s="8" t="s">
        <v>58</v>
      </c>
      <c r="R158" s="10" t="s">
        <v>1134</v>
      </c>
      <c r="S158" s="11"/>
      <c r="T158" s="6"/>
      <c r="U158" s="24" t="str">
        <f>HYPERLINK("https://media.infra-m.ru/2081/2081025/cover/2081025.jpg", "Обложка")</f>
        <v>Обложка</v>
      </c>
      <c r="V158" s="24" t="str">
        <f>HYPERLINK("https://znanium.ru/catalog/product/2081025", "Ознакомиться")</f>
        <v>Ознакомиться</v>
      </c>
      <c r="W158" s="8"/>
      <c r="X158" s="6"/>
      <c r="Y158" s="6"/>
      <c r="Z158" s="6"/>
      <c r="AA158" s="6" t="s">
        <v>1135</v>
      </c>
      <c r="AB158" s="8"/>
    </row>
    <row r="159" spans="1:28" s="4" customFormat="1" ht="51.95" customHeight="1">
      <c r="A159" s="5">
        <v>0</v>
      </c>
      <c r="B159" s="6" t="s">
        <v>1136</v>
      </c>
      <c r="C159" s="13">
        <v>1240</v>
      </c>
      <c r="D159" s="8" t="s">
        <v>1137</v>
      </c>
      <c r="E159" s="8" t="s">
        <v>1138</v>
      </c>
      <c r="F159" s="8" t="s">
        <v>1139</v>
      </c>
      <c r="G159" s="6" t="s">
        <v>89</v>
      </c>
      <c r="H159" s="6" t="s">
        <v>53</v>
      </c>
      <c r="I159" s="8" t="s">
        <v>90</v>
      </c>
      <c r="J159" s="9">
        <v>1</v>
      </c>
      <c r="K159" s="9">
        <v>272</v>
      </c>
      <c r="L159" s="9">
        <v>2023</v>
      </c>
      <c r="M159" s="8" t="s">
        <v>1140</v>
      </c>
      <c r="N159" s="8" t="s">
        <v>413</v>
      </c>
      <c r="O159" s="8" t="s">
        <v>1141</v>
      </c>
      <c r="P159" s="6" t="s">
        <v>43</v>
      </c>
      <c r="Q159" s="8" t="s">
        <v>44</v>
      </c>
      <c r="R159" s="10" t="s">
        <v>1142</v>
      </c>
      <c r="S159" s="11" t="s">
        <v>1143</v>
      </c>
      <c r="T159" s="6"/>
      <c r="U159" s="24" t="str">
        <f>HYPERLINK("https://media.infra-m.ru/1907/1907684/cover/1907684.jpg", "Обложка")</f>
        <v>Обложка</v>
      </c>
      <c r="V159" s="24" t="str">
        <f>HYPERLINK("https://znanium.ru/catalog/product/1907684", "Ознакомиться")</f>
        <v>Ознакомиться</v>
      </c>
      <c r="W159" s="8" t="s">
        <v>1144</v>
      </c>
      <c r="X159" s="6"/>
      <c r="Y159" s="6"/>
      <c r="Z159" s="6"/>
      <c r="AA159" s="6" t="s">
        <v>418</v>
      </c>
      <c r="AB159" s="8"/>
    </row>
    <row r="160" spans="1:28" s="4" customFormat="1" ht="51.95" customHeight="1">
      <c r="A160" s="5">
        <v>0</v>
      </c>
      <c r="B160" s="6" t="s">
        <v>1145</v>
      </c>
      <c r="C160" s="7">
        <v>824</v>
      </c>
      <c r="D160" s="8" t="s">
        <v>1146</v>
      </c>
      <c r="E160" s="8" t="s">
        <v>1147</v>
      </c>
      <c r="F160" s="8" t="s">
        <v>1148</v>
      </c>
      <c r="G160" s="6" t="s">
        <v>52</v>
      </c>
      <c r="H160" s="6" t="s">
        <v>184</v>
      </c>
      <c r="I160" s="8"/>
      <c r="J160" s="9">
        <v>1</v>
      </c>
      <c r="K160" s="9">
        <v>160</v>
      </c>
      <c r="L160" s="9">
        <v>2025</v>
      </c>
      <c r="M160" s="8" t="s">
        <v>1149</v>
      </c>
      <c r="N160" s="8" t="s">
        <v>413</v>
      </c>
      <c r="O160" s="8" t="s">
        <v>1141</v>
      </c>
      <c r="P160" s="6" t="s">
        <v>43</v>
      </c>
      <c r="Q160" s="8" t="s">
        <v>44</v>
      </c>
      <c r="R160" s="10" t="s">
        <v>1150</v>
      </c>
      <c r="S160" s="11"/>
      <c r="T160" s="6"/>
      <c r="U160" s="24" t="str">
        <f>HYPERLINK("https://media.infra-m.ru/2184/2184911/cover/2184911.jpg", "Обложка")</f>
        <v>Обложка</v>
      </c>
      <c r="V160" s="24" t="str">
        <f>HYPERLINK("https://znanium.ru/catalog/product/1002027", "Ознакомиться")</f>
        <v>Ознакомиться</v>
      </c>
      <c r="W160" s="8" t="s">
        <v>1151</v>
      </c>
      <c r="X160" s="6"/>
      <c r="Y160" s="6"/>
      <c r="Z160" s="6"/>
      <c r="AA160" s="6" t="s">
        <v>151</v>
      </c>
      <c r="AB160" s="8"/>
    </row>
    <row r="161" spans="1:28" s="4" customFormat="1" ht="51.95" customHeight="1">
      <c r="A161" s="5">
        <v>0</v>
      </c>
      <c r="B161" s="6" t="s">
        <v>1152</v>
      </c>
      <c r="C161" s="13">
        <v>2890</v>
      </c>
      <c r="D161" s="8" t="s">
        <v>1153</v>
      </c>
      <c r="E161" s="8" t="s">
        <v>1154</v>
      </c>
      <c r="F161" s="8" t="s">
        <v>1155</v>
      </c>
      <c r="G161" s="6" t="s">
        <v>52</v>
      </c>
      <c r="H161" s="6" t="s">
        <v>53</v>
      </c>
      <c r="I161" s="8" t="s">
        <v>116</v>
      </c>
      <c r="J161" s="9">
        <v>1</v>
      </c>
      <c r="K161" s="9">
        <v>556</v>
      </c>
      <c r="L161" s="9">
        <v>2025</v>
      </c>
      <c r="M161" s="8" t="s">
        <v>1156</v>
      </c>
      <c r="N161" s="8" t="s">
        <v>79</v>
      </c>
      <c r="O161" s="8" t="s">
        <v>80</v>
      </c>
      <c r="P161" s="6" t="s">
        <v>43</v>
      </c>
      <c r="Q161" s="8" t="s">
        <v>58</v>
      </c>
      <c r="R161" s="10" t="s">
        <v>1157</v>
      </c>
      <c r="S161" s="11"/>
      <c r="T161" s="6"/>
      <c r="U161" s="24" t="str">
        <f>HYPERLINK("https://media.infra-m.ru/2021/2021358/cover/2021358.jpg", "Обложка")</f>
        <v>Обложка</v>
      </c>
      <c r="V161" s="24" t="str">
        <f>HYPERLINK("https://znanium.ru/catalog/product/2021358", "Ознакомиться")</f>
        <v>Ознакомиться</v>
      </c>
      <c r="W161" s="8" t="s">
        <v>1158</v>
      </c>
      <c r="X161" s="6" t="s">
        <v>60</v>
      </c>
      <c r="Y161" s="6"/>
      <c r="Z161" s="6"/>
      <c r="AA161" s="6" t="s">
        <v>61</v>
      </c>
      <c r="AB161" s="8" t="s">
        <v>1159</v>
      </c>
    </row>
    <row r="162" spans="1:28" s="4" customFormat="1" ht="51.95" customHeight="1">
      <c r="A162" s="5">
        <v>0</v>
      </c>
      <c r="B162" s="6" t="s">
        <v>1160</v>
      </c>
      <c r="C162" s="13">
        <v>1834</v>
      </c>
      <c r="D162" s="8" t="s">
        <v>1161</v>
      </c>
      <c r="E162" s="8" t="s">
        <v>1162</v>
      </c>
      <c r="F162" s="8" t="s">
        <v>1163</v>
      </c>
      <c r="G162" s="6" t="s">
        <v>89</v>
      </c>
      <c r="H162" s="6" t="s">
        <v>649</v>
      </c>
      <c r="I162" s="8" t="s">
        <v>100</v>
      </c>
      <c r="J162" s="9">
        <v>1</v>
      </c>
      <c r="K162" s="9">
        <v>352</v>
      </c>
      <c r="L162" s="9">
        <v>2025</v>
      </c>
      <c r="M162" s="8" t="s">
        <v>1164</v>
      </c>
      <c r="N162" s="8" t="s">
        <v>79</v>
      </c>
      <c r="O162" s="8" t="s">
        <v>80</v>
      </c>
      <c r="P162" s="6" t="s">
        <v>43</v>
      </c>
      <c r="Q162" s="8" t="s">
        <v>102</v>
      </c>
      <c r="R162" s="10" t="s">
        <v>1165</v>
      </c>
      <c r="S162" s="11" t="s">
        <v>1166</v>
      </c>
      <c r="T162" s="6"/>
      <c r="U162" s="24" t="str">
        <f>HYPERLINK("https://media.infra-m.ru/2193/2193028/cover/2193028.jpg", "Обложка")</f>
        <v>Обложка</v>
      </c>
      <c r="V162" s="24" t="str">
        <f>HYPERLINK("https://znanium.ru/catalog/product/1189320", "Ознакомиться")</f>
        <v>Ознакомиться</v>
      </c>
      <c r="W162" s="8" t="s">
        <v>71</v>
      </c>
      <c r="X162" s="6"/>
      <c r="Y162" s="6"/>
      <c r="Z162" s="6"/>
      <c r="AA162" s="6" t="s">
        <v>654</v>
      </c>
      <c r="AB162" s="8"/>
    </row>
    <row r="163" spans="1:28" s="4" customFormat="1" ht="51.95" customHeight="1">
      <c r="A163" s="5">
        <v>0</v>
      </c>
      <c r="B163" s="6" t="s">
        <v>1167</v>
      </c>
      <c r="C163" s="13">
        <v>1130</v>
      </c>
      <c r="D163" s="8" t="s">
        <v>1168</v>
      </c>
      <c r="E163" s="8" t="s">
        <v>1169</v>
      </c>
      <c r="F163" s="8" t="s">
        <v>1170</v>
      </c>
      <c r="G163" s="6" t="s">
        <v>89</v>
      </c>
      <c r="H163" s="6" t="s">
        <v>438</v>
      </c>
      <c r="I163" s="8" t="s">
        <v>1171</v>
      </c>
      <c r="J163" s="9">
        <v>1</v>
      </c>
      <c r="K163" s="9">
        <v>240</v>
      </c>
      <c r="L163" s="9">
        <v>2023</v>
      </c>
      <c r="M163" s="8" t="s">
        <v>1172</v>
      </c>
      <c r="N163" s="8" t="s">
        <v>79</v>
      </c>
      <c r="O163" s="8" t="s">
        <v>80</v>
      </c>
      <c r="P163" s="6" t="s">
        <v>167</v>
      </c>
      <c r="Q163" s="8" t="s">
        <v>44</v>
      </c>
      <c r="R163" s="10" t="s">
        <v>1173</v>
      </c>
      <c r="S163" s="11" t="s">
        <v>1174</v>
      </c>
      <c r="T163" s="6"/>
      <c r="U163" s="24" t="str">
        <f>HYPERLINK("https://media.infra-m.ru/2110/2110058/cover/2110058.jpg", "Обложка")</f>
        <v>Обложка</v>
      </c>
      <c r="V163" s="24" t="str">
        <f>HYPERLINK("https://znanium.ru/catalog/product/2110058", "Ознакомиться")</f>
        <v>Ознакомиться</v>
      </c>
      <c r="W163" s="8" t="s">
        <v>1175</v>
      </c>
      <c r="X163" s="6"/>
      <c r="Y163" s="6"/>
      <c r="Z163" s="6"/>
      <c r="AA163" s="6" t="s">
        <v>418</v>
      </c>
      <c r="AB163" s="8"/>
    </row>
    <row r="164" spans="1:28" s="4" customFormat="1" ht="42" customHeight="1">
      <c r="A164" s="5">
        <v>0</v>
      </c>
      <c r="B164" s="6" t="s">
        <v>1176</v>
      </c>
      <c r="C164" s="13">
        <v>1090</v>
      </c>
      <c r="D164" s="8" t="s">
        <v>1177</v>
      </c>
      <c r="E164" s="8" t="s">
        <v>1178</v>
      </c>
      <c r="F164" s="8" t="s">
        <v>1179</v>
      </c>
      <c r="G164" s="6" t="s">
        <v>52</v>
      </c>
      <c r="H164" s="6" t="s">
        <v>53</v>
      </c>
      <c r="I164" s="8" t="s">
        <v>116</v>
      </c>
      <c r="J164" s="9">
        <v>1</v>
      </c>
      <c r="K164" s="9">
        <v>209</v>
      </c>
      <c r="L164" s="9">
        <v>2025</v>
      </c>
      <c r="M164" s="8" t="s">
        <v>1180</v>
      </c>
      <c r="N164" s="8" t="s">
        <v>41</v>
      </c>
      <c r="O164" s="8" t="s">
        <v>676</v>
      </c>
      <c r="P164" s="6" t="s">
        <v>43</v>
      </c>
      <c r="Q164" s="8" t="s">
        <v>58</v>
      </c>
      <c r="R164" s="10" t="s">
        <v>990</v>
      </c>
      <c r="S164" s="11"/>
      <c r="T164" s="6"/>
      <c r="U164" s="24" t="str">
        <f>HYPERLINK("https://media.infra-m.ru/2151/2151905/cover/2151905.jpg", "Обложка")</f>
        <v>Обложка</v>
      </c>
      <c r="V164" s="24" t="str">
        <f>HYPERLINK("https://znanium.ru/catalog/product/2151905", "Ознакомиться")</f>
        <v>Ознакомиться</v>
      </c>
      <c r="W164" s="8" t="s">
        <v>1181</v>
      </c>
      <c r="X164" s="6" t="s">
        <v>785</v>
      </c>
      <c r="Y164" s="6"/>
      <c r="Z164" s="6"/>
      <c r="AA164" s="6" t="s">
        <v>61</v>
      </c>
      <c r="AB164" s="8"/>
    </row>
    <row r="165" spans="1:28" s="4" customFormat="1" ht="42" customHeight="1">
      <c r="A165" s="5">
        <v>0</v>
      </c>
      <c r="B165" s="6" t="s">
        <v>1182</v>
      </c>
      <c r="C165" s="13">
        <v>1270</v>
      </c>
      <c r="D165" s="8" t="s">
        <v>1183</v>
      </c>
      <c r="E165" s="8" t="s">
        <v>1184</v>
      </c>
      <c r="F165" s="8" t="s">
        <v>1185</v>
      </c>
      <c r="G165" s="6" t="s">
        <v>89</v>
      </c>
      <c r="H165" s="6" t="s">
        <v>53</v>
      </c>
      <c r="I165" s="8" t="s">
        <v>100</v>
      </c>
      <c r="J165" s="9">
        <v>1</v>
      </c>
      <c r="K165" s="9">
        <v>247</v>
      </c>
      <c r="L165" s="9">
        <v>2025</v>
      </c>
      <c r="M165" s="8" t="s">
        <v>1186</v>
      </c>
      <c r="N165" s="8" t="s">
        <v>79</v>
      </c>
      <c r="O165" s="8" t="s">
        <v>396</v>
      </c>
      <c r="P165" s="6" t="s">
        <v>43</v>
      </c>
      <c r="Q165" s="8" t="s">
        <v>102</v>
      </c>
      <c r="R165" s="10" t="s">
        <v>1187</v>
      </c>
      <c r="S165" s="11"/>
      <c r="T165" s="6"/>
      <c r="U165" s="24" t="str">
        <f>HYPERLINK("https://media.infra-m.ru/2164/2164049/cover/2164049.jpg", "Обложка")</f>
        <v>Обложка</v>
      </c>
      <c r="V165" s="24" t="str">
        <f>HYPERLINK("https://znanium.ru/catalog/product/2164049", "Ознакомиться")</f>
        <v>Ознакомиться</v>
      </c>
      <c r="W165" s="8" t="s">
        <v>71</v>
      </c>
      <c r="X165" s="6" t="s">
        <v>1049</v>
      </c>
      <c r="Y165" s="6"/>
      <c r="Z165" s="6" t="s">
        <v>104</v>
      </c>
      <c r="AA165" s="6" t="s">
        <v>549</v>
      </c>
      <c r="AB165" s="8"/>
    </row>
    <row r="166" spans="1:28" s="4" customFormat="1" ht="42" customHeight="1">
      <c r="A166" s="5">
        <v>0</v>
      </c>
      <c r="B166" s="6" t="s">
        <v>1188</v>
      </c>
      <c r="C166" s="13">
        <v>1250</v>
      </c>
      <c r="D166" s="8" t="s">
        <v>1189</v>
      </c>
      <c r="E166" s="8" t="s">
        <v>1184</v>
      </c>
      <c r="F166" s="8" t="s">
        <v>1185</v>
      </c>
      <c r="G166" s="6" t="s">
        <v>89</v>
      </c>
      <c r="H166" s="6" t="s">
        <v>53</v>
      </c>
      <c r="I166" s="8" t="s">
        <v>116</v>
      </c>
      <c r="J166" s="9">
        <v>1</v>
      </c>
      <c r="K166" s="9">
        <v>247</v>
      </c>
      <c r="L166" s="9">
        <v>2023</v>
      </c>
      <c r="M166" s="8" t="s">
        <v>1190</v>
      </c>
      <c r="N166" s="8" t="s">
        <v>79</v>
      </c>
      <c r="O166" s="8" t="s">
        <v>396</v>
      </c>
      <c r="P166" s="6" t="s">
        <v>43</v>
      </c>
      <c r="Q166" s="8" t="s">
        <v>44</v>
      </c>
      <c r="R166" s="10" t="s">
        <v>1191</v>
      </c>
      <c r="S166" s="11"/>
      <c r="T166" s="6"/>
      <c r="U166" s="24" t="str">
        <f>HYPERLINK("https://media.infra-m.ru/2125/2125722/cover/2125722.jpg", "Обложка")</f>
        <v>Обложка</v>
      </c>
      <c r="V166" s="24" t="str">
        <f>HYPERLINK("https://znanium.ru/catalog/product/2124807", "Ознакомиться")</f>
        <v>Ознакомиться</v>
      </c>
      <c r="W166" s="8" t="s">
        <v>71</v>
      </c>
      <c r="X166" s="6"/>
      <c r="Y166" s="6"/>
      <c r="Z166" s="6"/>
      <c r="AA166" s="6" t="s">
        <v>513</v>
      </c>
      <c r="AB166" s="8"/>
    </row>
    <row r="167" spans="1:28" s="4" customFormat="1" ht="51.95" customHeight="1">
      <c r="A167" s="5">
        <v>0</v>
      </c>
      <c r="B167" s="6" t="s">
        <v>1192</v>
      </c>
      <c r="C167" s="13">
        <v>1380</v>
      </c>
      <c r="D167" s="8" t="s">
        <v>1193</v>
      </c>
      <c r="E167" s="8" t="s">
        <v>1194</v>
      </c>
      <c r="F167" s="8" t="s">
        <v>1195</v>
      </c>
      <c r="G167" s="6" t="s">
        <v>89</v>
      </c>
      <c r="H167" s="6" t="s">
        <v>184</v>
      </c>
      <c r="I167" s="8" t="s">
        <v>185</v>
      </c>
      <c r="J167" s="9">
        <v>1</v>
      </c>
      <c r="K167" s="9">
        <v>264</v>
      </c>
      <c r="L167" s="9">
        <v>2025</v>
      </c>
      <c r="M167" s="8" t="s">
        <v>1196</v>
      </c>
      <c r="N167" s="8" t="s">
        <v>41</v>
      </c>
      <c r="O167" s="8" t="s">
        <v>1007</v>
      </c>
      <c r="P167" s="6" t="s">
        <v>167</v>
      </c>
      <c r="Q167" s="8" t="s">
        <v>102</v>
      </c>
      <c r="R167" s="10" t="s">
        <v>1197</v>
      </c>
      <c r="S167" s="11"/>
      <c r="T167" s="6"/>
      <c r="U167" s="24" t="str">
        <f>HYPERLINK("https://media.infra-m.ru/2160/2160913/cover/2160913.jpg", "Обложка")</f>
        <v>Обложка</v>
      </c>
      <c r="V167" s="24" t="str">
        <f>HYPERLINK("https://znanium.ru/catalog/product/2160913", "Ознакомиться")</f>
        <v>Ознакомиться</v>
      </c>
      <c r="W167" s="8" t="s">
        <v>1198</v>
      </c>
      <c r="X167" s="6"/>
      <c r="Y167" s="6"/>
      <c r="Z167" s="6"/>
      <c r="AA167" s="6" t="s">
        <v>258</v>
      </c>
      <c r="AB167" s="8"/>
    </row>
    <row r="168" spans="1:28" s="4" customFormat="1" ht="42" customHeight="1">
      <c r="A168" s="5">
        <v>0</v>
      </c>
      <c r="B168" s="6" t="s">
        <v>1199</v>
      </c>
      <c r="C168" s="7">
        <v>890</v>
      </c>
      <c r="D168" s="8" t="s">
        <v>1200</v>
      </c>
      <c r="E168" s="8" t="s">
        <v>1201</v>
      </c>
      <c r="F168" s="8" t="s">
        <v>1202</v>
      </c>
      <c r="G168" s="6" t="s">
        <v>52</v>
      </c>
      <c r="H168" s="6" t="s">
        <v>53</v>
      </c>
      <c r="I168" s="8" t="s">
        <v>165</v>
      </c>
      <c r="J168" s="9">
        <v>1</v>
      </c>
      <c r="K168" s="9">
        <v>159</v>
      </c>
      <c r="L168" s="9">
        <v>2025</v>
      </c>
      <c r="M168" s="8" t="s">
        <v>1203</v>
      </c>
      <c r="N168" s="8" t="s">
        <v>41</v>
      </c>
      <c r="O168" s="8" t="s">
        <v>1204</v>
      </c>
      <c r="P168" s="6" t="s">
        <v>43</v>
      </c>
      <c r="Q168" s="8" t="s">
        <v>58</v>
      </c>
      <c r="R168" s="10" t="s">
        <v>1205</v>
      </c>
      <c r="S168" s="11"/>
      <c r="T168" s="6"/>
      <c r="U168" s="24" t="str">
        <f>HYPERLINK("https://media.infra-m.ru/2010/2010441/cover/2010441.jpg", "Обложка")</f>
        <v>Обложка</v>
      </c>
      <c r="V168" s="24" t="str">
        <f>HYPERLINK("https://znanium.ru/catalog/product/2010441", "Ознакомиться")</f>
        <v>Ознакомиться</v>
      </c>
      <c r="W168" s="8" t="s">
        <v>83</v>
      </c>
      <c r="X168" s="6" t="s">
        <v>389</v>
      </c>
      <c r="Y168" s="6"/>
      <c r="Z168" s="6"/>
      <c r="AA168" s="6" t="s">
        <v>61</v>
      </c>
      <c r="AB168" s="8"/>
    </row>
    <row r="169" spans="1:28" s="4" customFormat="1" ht="42" customHeight="1">
      <c r="A169" s="5">
        <v>0</v>
      </c>
      <c r="B169" s="6" t="s">
        <v>1206</v>
      </c>
      <c r="C169" s="13">
        <v>3390</v>
      </c>
      <c r="D169" s="8" t="s">
        <v>1207</v>
      </c>
      <c r="E169" s="8" t="s">
        <v>1208</v>
      </c>
      <c r="F169" s="8" t="s">
        <v>1209</v>
      </c>
      <c r="G169" s="6" t="s">
        <v>52</v>
      </c>
      <c r="H169" s="6" t="s">
        <v>53</v>
      </c>
      <c r="I169" s="8" t="s">
        <v>165</v>
      </c>
      <c r="J169" s="9">
        <v>1</v>
      </c>
      <c r="K169" s="9">
        <v>678</v>
      </c>
      <c r="L169" s="9">
        <v>2025</v>
      </c>
      <c r="M169" s="8" t="s">
        <v>1210</v>
      </c>
      <c r="N169" s="8" t="s">
        <v>413</v>
      </c>
      <c r="O169" s="8" t="s">
        <v>1141</v>
      </c>
      <c r="P169" s="6" t="s">
        <v>43</v>
      </c>
      <c r="Q169" s="8" t="s">
        <v>58</v>
      </c>
      <c r="R169" s="10" t="s">
        <v>1008</v>
      </c>
      <c r="S169" s="11"/>
      <c r="T169" s="6"/>
      <c r="U169" s="24" t="str">
        <f>HYPERLINK("https://media.infra-m.ru/2034/2034420/cover/2034420.jpg", "Обложка")</f>
        <v>Обложка</v>
      </c>
      <c r="V169" s="24" t="str">
        <f>HYPERLINK("https://znanium.ru/catalog/product/2034420", "Ознакомиться")</f>
        <v>Ознакомиться</v>
      </c>
      <c r="W169" s="8" t="s">
        <v>83</v>
      </c>
      <c r="X169" s="6" t="s">
        <v>548</v>
      </c>
      <c r="Y169" s="6"/>
      <c r="Z169" s="6"/>
      <c r="AA169" s="6" t="s">
        <v>61</v>
      </c>
      <c r="AB169" s="8"/>
    </row>
    <row r="170" spans="1:28" s="4" customFormat="1" ht="51.95" customHeight="1">
      <c r="A170" s="5">
        <v>0</v>
      </c>
      <c r="B170" s="6" t="s">
        <v>1211</v>
      </c>
      <c r="C170" s="7">
        <v>724</v>
      </c>
      <c r="D170" s="8" t="s">
        <v>1212</v>
      </c>
      <c r="E170" s="8" t="s">
        <v>1213</v>
      </c>
      <c r="F170" s="8" t="s">
        <v>1214</v>
      </c>
      <c r="G170" s="6" t="s">
        <v>38</v>
      </c>
      <c r="H170" s="6" t="s">
        <v>53</v>
      </c>
      <c r="I170" s="8" t="s">
        <v>90</v>
      </c>
      <c r="J170" s="9">
        <v>1</v>
      </c>
      <c r="K170" s="9">
        <v>159</v>
      </c>
      <c r="L170" s="9">
        <v>2023</v>
      </c>
      <c r="M170" s="8" t="s">
        <v>1215</v>
      </c>
      <c r="N170" s="8" t="s">
        <v>41</v>
      </c>
      <c r="O170" s="8" t="s">
        <v>118</v>
      </c>
      <c r="P170" s="6" t="s">
        <v>43</v>
      </c>
      <c r="Q170" s="8" t="s">
        <v>44</v>
      </c>
      <c r="R170" s="10" t="s">
        <v>1216</v>
      </c>
      <c r="S170" s="11" t="s">
        <v>1217</v>
      </c>
      <c r="T170" s="6"/>
      <c r="U170" s="24" t="str">
        <f>HYPERLINK("https://media.infra-m.ru/1865/1865643/cover/1865643.jpg", "Обложка")</f>
        <v>Обложка</v>
      </c>
      <c r="V170" s="24" t="str">
        <f>HYPERLINK("https://znanium.ru/catalog/product/1497868", "Ознакомиться")</f>
        <v>Ознакомиться</v>
      </c>
      <c r="W170" s="8" t="s">
        <v>1218</v>
      </c>
      <c r="X170" s="6"/>
      <c r="Y170" s="6"/>
      <c r="Z170" s="6"/>
      <c r="AA170" s="6" t="s">
        <v>84</v>
      </c>
      <c r="AB170" s="8"/>
    </row>
    <row r="171" spans="1:28" s="4" customFormat="1" ht="51.95" customHeight="1">
      <c r="A171" s="5">
        <v>0</v>
      </c>
      <c r="B171" s="6" t="s">
        <v>1219</v>
      </c>
      <c r="C171" s="13">
        <v>1464</v>
      </c>
      <c r="D171" s="8" t="s">
        <v>1220</v>
      </c>
      <c r="E171" s="8" t="s">
        <v>1221</v>
      </c>
      <c r="F171" s="8" t="s">
        <v>1222</v>
      </c>
      <c r="G171" s="6" t="s">
        <v>89</v>
      </c>
      <c r="H171" s="6" t="s">
        <v>53</v>
      </c>
      <c r="I171" s="8" t="s">
        <v>1223</v>
      </c>
      <c r="J171" s="9">
        <v>1</v>
      </c>
      <c r="K171" s="9">
        <v>318</v>
      </c>
      <c r="L171" s="9">
        <v>2024</v>
      </c>
      <c r="M171" s="8" t="s">
        <v>1224</v>
      </c>
      <c r="N171" s="8" t="s">
        <v>41</v>
      </c>
      <c r="O171" s="8" t="s">
        <v>1007</v>
      </c>
      <c r="P171" s="6" t="s">
        <v>167</v>
      </c>
      <c r="Q171" s="8" t="s">
        <v>44</v>
      </c>
      <c r="R171" s="10" t="s">
        <v>157</v>
      </c>
      <c r="S171" s="11" t="s">
        <v>1225</v>
      </c>
      <c r="T171" s="6"/>
      <c r="U171" s="24" t="str">
        <f>HYPERLINK("https://media.infra-m.ru/2073/2073408/cover/2073408.jpg", "Обложка")</f>
        <v>Обложка</v>
      </c>
      <c r="V171" s="24" t="str">
        <f>HYPERLINK("https://znanium.ru/catalog/product/2073408", "Ознакомиться")</f>
        <v>Ознакомиться</v>
      </c>
      <c r="W171" s="8" t="s">
        <v>83</v>
      </c>
      <c r="X171" s="6"/>
      <c r="Y171" s="6"/>
      <c r="Z171" s="6"/>
      <c r="AA171" s="6" t="s">
        <v>793</v>
      </c>
      <c r="AB171" s="8"/>
    </row>
    <row r="172" spans="1:28" s="4" customFormat="1" ht="51.95" customHeight="1">
      <c r="A172" s="5">
        <v>0</v>
      </c>
      <c r="B172" s="6" t="s">
        <v>1226</v>
      </c>
      <c r="C172" s="13">
        <v>1900</v>
      </c>
      <c r="D172" s="8" t="s">
        <v>1227</v>
      </c>
      <c r="E172" s="8" t="s">
        <v>1228</v>
      </c>
      <c r="F172" s="8" t="s">
        <v>1229</v>
      </c>
      <c r="G172" s="6" t="s">
        <v>52</v>
      </c>
      <c r="H172" s="6" t="s">
        <v>53</v>
      </c>
      <c r="I172" s="8" t="s">
        <v>90</v>
      </c>
      <c r="J172" s="9">
        <v>1</v>
      </c>
      <c r="K172" s="9">
        <v>421</v>
      </c>
      <c r="L172" s="9">
        <v>2023</v>
      </c>
      <c r="M172" s="8" t="s">
        <v>1230</v>
      </c>
      <c r="N172" s="8" t="s">
        <v>41</v>
      </c>
      <c r="O172" s="8" t="s">
        <v>1007</v>
      </c>
      <c r="P172" s="6" t="s">
        <v>167</v>
      </c>
      <c r="Q172" s="8" t="s">
        <v>44</v>
      </c>
      <c r="R172" s="10" t="s">
        <v>1231</v>
      </c>
      <c r="S172" s="11" t="s">
        <v>1232</v>
      </c>
      <c r="T172" s="6"/>
      <c r="U172" s="24" t="str">
        <f>HYPERLINK("https://media.infra-m.ru/1831/1831614/cover/1831614.jpg", "Обложка")</f>
        <v>Обложка</v>
      </c>
      <c r="V172" s="24" t="str">
        <f>HYPERLINK("https://znanium.ru/catalog/product/1831614", "Ознакомиться")</f>
        <v>Ознакомиться</v>
      </c>
      <c r="W172" s="8" t="s">
        <v>1233</v>
      </c>
      <c r="X172" s="6"/>
      <c r="Y172" s="6"/>
      <c r="Z172" s="6"/>
      <c r="AA172" s="6" t="s">
        <v>813</v>
      </c>
      <c r="AB172" s="8"/>
    </row>
    <row r="173" spans="1:28" s="4" customFormat="1" ht="51.95" customHeight="1">
      <c r="A173" s="5">
        <v>0</v>
      </c>
      <c r="B173" s="6" t="s">
        <v>1234</v>
      </c>
      <c r="C173" s="13">
        <v>1334</v>
      </c>
      <c r="D173" s="8" t="s">
        <v>1235</v>
      </c>
      <c r="E173" s="8" t="s">
        <v>1236</v>
      </c>
      <c r="F173" s="8" t="s">
        <v>1237</v>
      </c>
      <c r="G173" s="6" t="s">
        <v>52</v>
      </c>
      <c r="H173" s="6" t="s">
        <v>53</v>
      </c>
      <c r="I173" s="8" t="s">
        <v>90</v>
      </c>
      <c r="J173" s="9">
        <v>1</v>
      </c>
      <c r="K173" s="9">
        <v>267</v>
      </c>
      <c r="L173" s="9">
        <v>2024</v>
      </c>
      <c r="M173" s="8" t="s">
        <v>1238</v>
      </c>
      <c r="N173" s="8" t="s">
        <v>41</v>
      </c>
      <c r="O173" s="8" t="s">
        <v>278</v>
      </c>
      <c r="P173" s="6" t="s">
        <v>43</v>
      </c>
      <c r="Q173" s="8" t="s">
        <v>44</v>
      </c>
      <c r="R173" s="10" t="s">
        <v>405</v>
      </c>
      <c r="S173" s="11" t="s">
        <v>1239</v>
      </c>
      <c r="T173" s="6"/>
      <c r="U173" s="24" t="str">
        <f>HYPERLINK("https://media.infra-m.ru/2159/2159183/cover/2159183.jpg", "Обложка")</f>
        <v>Обложка</v>
      </c>
      <c r="V173" s="24" t="str">
        <f>HYPERLINK("https://znanium.ru/catalog/product/2107290", "Ознакомиться")</f>
        <v>Ознакомиться</v>
      </c>
      <c r="W173" s="8" t="s">
        <v>399</v>
      </c>
      <c r="X173" s="6"/>
      <c r="Y173" s="6"/>
      <c r="Z173" s="6"/>
      <c r="AA173" s="6" t="s">
        <v>111</v>
      </c>
      <c r="AB173" s="8"/>
    </row>
    <row r="174" spans="1:28" s="4" customFormat="1" ht="42" customHeight="1">
      <c r="A174" s="5">
        <v>0</v>
      </c>
      <c r="B174" s="6" t="s">
        <v>1240</v>
      </c>
      <c r="C174" s="7">
        <v>830</v>
      </c>
      <c r="D174" s="8" t="s">
        <v>1241</v>
      </c>
      <c r="E174" s="8" t="s">
        <v>1242</v>
      </c>
      <c r="F174" s="8" t="s">
        <v>1243</v>
      </c>
      <c r="G174" s="6" t="s">
        <v>89</v>
      </c>
      <c r="H174" s="6" t="s">
        <v>53</v>
      </c>
      <c r="I174" s="8" t="s">
        <v>116</v>
      </c>
      <c r="J174" s="9">
        <v>1</v>
      </c>
      <c r="K174" s="9">
        <v>176</v>
      </c>
      <c r="L174" s="9">
        <v>2024</v>
      </c>
      <c r="M174" s="8" t="s">
        <v>1244</v>
      </c>
      <c r="N174" s="8" t="s">
        <v>41</v>
      </c>
      <c r="O174" s="8" t="s">
        <v>1007</v>
      </c>
      <c r="P174" s="6" t="s">
        <v>43</v>
      </c>
      <c r="Q174" s="8" t="s">
        <v>44</v>
      </c>
      <c r="R174" s="10" t="s">
        <v>1008</v>
      </c>
      <c r="S174" s="11"/>
      <c r="T174" s="6"/>
      <c r="U174" s="24" t="str">
        <f>HYPERLINK("https://media.infra-m.ru/2151/2151955/cover/2151955.jpg", "Обложка")</f>
        <v>Обложка</v>
      </c>
      <c r="V174" s="24" t="str">
        <f>HYPERLINK("https://znanium.ru/catalog/product/2151955", "Ознакомиться")</f>
        <v>Ознакомиться</v>
      </c>
      <c r="W174" s="8" t="s">
        <v>1245</v>
      </c>
      <c r="X174" s="6"/>
      <c r="Y174" s="6"/>
      <c r="Z174" s="6"/>
      <c r="AA174" s="6" t="s">
        <v>111</v>
      </c>
      <c r="AB174" s="8"/>
    </row>
    <row r="175" spans="1:28" s="4" customFormat="1" ht="51.95" customHeight="1">
      <c r="A175" s="5">
        <v>0</v>
      </c>
      <c r="B175" s="6" t="s">
        <v>1246</v>
      </c>
      <c r="C175" s="13">
        <v>1720</v>
      </c>
      <c r="D175" s="8" t="s">
        <v>1247</v>
      </c>
      <c r="E175" s="8" t="s">
        <v>1248</v>
      </c>
      <c r="F175" s="8" t="s">
        <v>1249</v>
      </c>
      <c r="G175" s="6" t="s">
        <v>89</v>
      </c>
      <c r="H175" s="6" t="s">
        <v>53</v>
      </c>
      <c r="I175" s="8" t="s">
        <v>116</v>
      </c>
      <c r="J175" s="9">
        <v>1</v>
      </c>
      <c r="K175" s="9">
        <v>374</v>
      </c>
      <c r="L175" s="9">
        <v>2024</v>
      </c>
      <c r="M175" s="8" t="s">
        <v>1250</v>
      </c>
      <c r="N175" s="8" t="s">
        <v>41</v>
      </c>
      <c r="O175" s="8" t="s">
        <v>1007</v>
      </c>
      <c r="P175" s="6" t="s">
        <v>167</v>
      </c>
      <c r="Q175" s="8" t="s">
        <v>44</v>
      </c>
      <c r="R175" s="10" t="s">
        <v>1251</v>
      </c>
      <c r="S175" s="11" t="s">
        <v>1252</v>
      </c>
      <c r="T175" s="6"/>
      <c r="U175" s="24" t="str">
        <f>HYPERLINK("https://media.infra-m.ru/2067/2067389/cover/2067389.jpg", "Обложка")</f>
        <v>Обложка</v>
      </c>
      <c r="V175" s="24" t="str">
        <f>HYPERLINK("https://znanium.ru/catalog/product/2067389", "Ознакомиться")</f>
        <v>Ознакомиться</v>
      </c>
      <c r="W175" s="8" t="s">
        <v>1253</v>
      </c>
      <c r="X175" s="6"/>
      <c r="Y175" s="6"/>
      <c r="Z175" s="6"/>
      <c r="AA175" s="6" t="s">
        <v>326</v>
      </c>
      <c r="AB175" s="8"/>
    </row>
    <row r="176" spans="1:28" s="4" customFormat="1" ht="51.95" customHeight="1">
      <c r="A176" s="5">
        <v>0</v>
      </c>
      <c r="B176" s="6" t="s">
        <v>1254</v>
      </c>
      <c r="C176" s="13">
        <v>1944</v>
      </c>
      <c r="D176" s="8" t="s">
        <v>1255</v>
      </c>
      <c r="E176" s="8" t="s">
        <v>1248</v>
      </c>
      <c r="F176" s="8" t="s">
        <v>1249</v>
      </c>
      <c r="G176" s="6" t="s">
        <v>89</v>
      </c>
      <c r="H176" s="6" t="s">
        <v>53</v>
      </c>
      <c r="I176" s="8" t="s">
        <v>100</v>
      </c>
      <c r="J176" s="9">
        <v>1</v>
      </c>
      <c r="K176" s="9">
        <v>374</v>
      </c>
      <c r="L176" s="9">
        <v>2025</v>
      </c>
      <c r="M176" s="8" t="s">
        <v>1256</v>
      </c>
      <c r="N176" s="8" t="s">
        <v>41</v>
      </c>
      <c r="O176" s="8" t="s">
        <v>1007</v>
      </c>
      <c r="P176" s="6" t="s">
        <v>167</v>
      </c>
      <c r="Q176" s="8" t="s">
        <v>102</v>
      </c>
      <c r="R176" s="10" t="s">
        <v>1257</v>
      </c>
      <c r="S176" s="11" t="s">
        <v>1258</v>
      </c>
      <c r="T176" s="6"/>
      <c r="U176" s="24" t="str">
        <f>HYPERLINK("https://media.infra-m.ru/2199/2199662/cover/2199662.jpg", "Обложка")</f>
        <v>Обложка</v>
      </c>
      <c r="V176" s="24" t="str">
        <f>HYPERLINK("https://znanium.ru/catalog/product/2181288", "Ознакомиться")</f>
        <v>Ознакомиться</v>
      </c>
      <c r="W176" s="8" t="s">
        <v>1253</v>
      </c>
      <c r="X176" s="6"/>
      <c r="Y176" s="6"/>
      <c r="Z176" s="6" t="s">
        <v>104</v>
      </c>
      <c r="AA176" s="6" t="s">
        <v>1259</v>
      </c>
      <c r="AB176" s="8"/>
    </row>
    <row r="177" spans="1:28" s="4" customFormat="1" ht="51.95" customHeight="1">
      <c r="A177" s="5">
        <v>0</v>
      </c>
      <c r="B177" s="6" t="s">
        <v>1260</v>
      </c>
      <c r="C177" s="13">
        <v>1064.9000000000001</v>
      </c>
      <c r="D177" s="8" t="s">
        <v>1261</v>
      </c>
      <c r="E177" s="8" t="s">
        <v>1262</v>
      </c>
      <c r="F177" s="8" t="s">
        <v>1263</v>
      </c>
      <c r="G177" s="6" t="s">
        <v>52</v>
      </c>
      <c r="H177" s="6" t="s">
        <v>184</v>
      </c>
      <c r="I177" s="8" t="s">
        <v>90</v>
      </c>
      <c r="J177" s="9">
        <v>1</v>
      </c>
      <c r="K177" s="9">
        <v>313</v>
      </c>
      <c r="L177" s="9">
        <v>2020</v>
      </c>
      <c r="M177" s="8" t="s">
        <v>1264</v>
      </c>
      <c r="N177" s="8" t="s">
        <v>41</v>
      </c>
      <c r="O177" s="8" t="s">
        <v>1007</v>
      </c>
      <c r="P177" s="6" t="s">
        <v>43</v>
      </c>
      <c r="Q177" s="8" t="s">
        <v>44</v>
      </c>
      <c r="R177" s="10" t="s">
        <v>1265</v>
      </c>
      <c r="S177" s="11"/>
      <c r="T177" s="6"/>
      <c r="U177" s="24" t="str">
        <f>HYPERLINK("https://media.infra-m.ru/1088/1088083/cover/1088083.jpg", "Обложка")</f>
        <v>Обложка</v>
      </c>
      <c r="V177" s="24" t="str">
        <f>HYPERLINK("https://znanium.ru/catalog/product/982237", "Ознакомиться")</f>
        <v>Ознакомиться</v>
      </c>
      <c r="W177" s="8"/>
      <c r="X177" s="6"/>
      <c r="Y177" s="6"/>
      <c r="Z177" s="6"/>
      <c r="AA177" s="6" t="s">
        <v>479</v>
      </c>
      <c r="AB177" s="8"/>
    </row>
    <row r="178" spans="1:28" s="4" customFormat="1" ht="51.95" customHeight="1">
      <c r="A178" s="5">
        <v>0</v>
      </c>
      <c r="B178" s="6" t="s">
        <v>1266</v>
      </c>
      <c r="C178" s="7">
        <v>890</v>
      </c>
      <c r="D178" s="8" t="s">
        <v>1267</v>
      </c>
      <c r="E178" s="8" t="s">
        <v>1248</v>
      </c>
      <c r="F178" s="8" t="s">
        <v>1268</v>
      </c>
      <c r="G178" s="6" t="s">
        <v>89</v>
      </c>
      <c r="H178" s="6" t="s">
        <v>649</v>
      </c>
      <c r="I178" s="8" t="s">
        <v>116</v>
      </c>
      <c r="J178" s="9">
        <v>1</v>
      </c>
      <c r="K178" s="9">
        <v>192</v>
      </c>
      <c r="L178" s="9">
        <v>2024</v>
      </c>
      <c r="M178" s="8" t="s">
        <v>1269</v>
      </c>
      <c r="N178" s="8" t="s">
        <v>41</v>
      </c>
      <c r="O178" s="8" t="s">
        <v>1007</v>
      </c>
      <c r="P178" s="6" t="s">
        <v>187</v>
      </c>
      <c r="Q178" s="8" t="s">
        <v>44</v>
      </c>
      <c r="R178" s="10" t="s">
        <v>1270</v>
      </c>
      <c r="S178" s="11" t="s">
        <v>1271</v>
      </c>
      <c r="T178" s="6"/>
      <c r="U178" s="24" t="str">
        <f>HYPERLINK("https://media.infra-m.ru/2057/2057646/cover/2057646.jpg", "Обложка")</f>
        <v>Обложка</v>
      </c>
      <c r="V178" s="24" t="str">
        <f>HYPERLINK("https://znanium.ru/catalog/product/2057646", "Ознакомиться")</f>
        <v>Ознакомиться</v>
      </c>
      <c r="W178" s="8" t="s">
        <v>1272</v>
      </c>
      <c r="X178" s="6"/>
      <c r="Y178" s="6"/>
      <c r="Z178" s="6"/>
      <c r="AA178" s="6" t="s">
        <v>377</v>
      </c>
      <c r="AB178" s="8"/>
    </row>
    <row r="179" spans="1:28" s="4" customFormat="1" ht="51.95" customHeight="1">
      <c r="A179" s="5">
        <v>0</v>
      </c>
      <c r="B179" s="6" t="s">
        <v>1273</v>
      </c>
      <c r="C179" s="13">
        <v>1644.9</v>
      </c>
      <c r="D179" s="8" t="s">
        <v>1274</v>
      </c>
      <c r="E179" s="8" t="s">
        <v>1275</v>
      </c>
      <c r="F179" s="8" t="s">
        <v>1276</v>
      </c>
      <c r="G179" s="6" t="s">
        <v>89</v>
      </c>
      <c r="H179" s="6" t="s">
        <v>53</v>
      </c>
      <c r="I179" s="8" t="s">
        <v>90</v>
      </c>
      <c r="J179" s="9">
        <v>1</v>
      </c>
      <c r="K179" s="9">
        <v>366</v>
      </c>
      <c r="L179" s="9">
        <v>2022</v>
      </c>
      <c r="M179" s="8" t="s">
        <v>1277</v>
      </c>
      <c r="N179" s="8" t="s">
        <v>41</v>
      </c>
      <c r="O179" s="8" t="s">
        <v>1007</v>
      </c>
      <c r="P179" s="6" t="s">
        <v>167</v>
      </c>
      <c r="Q179" s="8" t="s">
        <v>44</v>
      </c>
      <c r="R179" s="10" t="s">
        <v>1278</v>
      </c>
      <c r="S179" s="11" t="s">
        <v>1279</v>
      </c>
      <c r="T179" s="6"/>
      <c r="U179" s="24" t="str">
        <f>HYPERLINK("https://media.infra-m.ru/1913/1913511/cover/1913511.jpg", "Обложка")</f>
        <v>Обложка</v>
      </c>
      <c r="V179" s="24" t="str">
        <f>HYPERLINK("https://znanium.ru/catalog/product/1893649", "Ознакомиться")</f>
        <v>Ознакомиться</v>
      </c>
      <c r="W179" s="8" t="s">
        <v>189</v>
      </c>
      <c r="X179" s="6"/>
      <c r="Y179" s="6"/>
      <c r="Z179" s="6"/>
      <c r="AA179" s="6" t="s">
        <v>418</v>
      </c>
      <c r="AB179" s="8"/>
    </row>
    <row r="180" spans="1:28" s="4" customFormat="1" ht="51.95" customHeight="1">
      <c r="A180" s="5">
        <v>0</v>
      </c>
      <c r="B180" s="6" t="s">
        <v>1280</v>
      </c>
      <c r="C180" s="13">
        <v>2184</v>
      </c>
      <c r="D180" s="8" t="s">
        <v>1281</v>
      </c>
      <c r="E180" s="8" t="s">
        <v>1282</v>
      </c>
      <c r="F180" s="8" t="s">
        <v>1283</v>
      </c>
      <c r="G180" s="6" t="s">
        <v>52</v>
      </c>
      <c r="H180" s="6" t="s">
        <v>53</v>
      </c>
      <c r="I180" s="8" t="s">
        <v>90</v>
      </c>
      <c r="J180" s="9">
        <v>1</v>
      </c>
      <c r="K180" s="9">
        <v>421</v>
      </c>
      <c r="L180" s="9">
        <v>2025</v>
      </c>
      <c r="M180" s="8" t="s">
        <v>1284</v>
      </c>
      <c r="N180" s="8" t="s">
        <v>41</v>
      </c>
      <c r="O180" s="8" t="s">
        <v>1007</v>
      </c>
      <c r="P180" s="6" t="s">
        <v>167</v>
      </c>
      <c r="Q180" s="8" t="s">
        <v>44</v>
      </c>
      <c r="R180" s="10" t="s">
        <v>1251</v>
      </c>
      <c r="S180" s="11" t="s">
        <v>1285</v>
      </c>
      <c r="T180" s="6"/>
      <c r="U180" s="24" t="str">
        <f>HYPERLINK("https://media.infra-m.ru/2197/2197792/cover/2197792.jpg", "Обложка")</f>
        <v>Обложка</v>
      </c>
      <c r="V180" s="24" t="str">
        <f>HYPERLINK("https://znanium.ru/catalog/product/2125660", "Ознакомиться")</f>
        <v>Ознакомиться</v>
      </c>
      <c r="W180" s="8" t="s">
        <v>234</v>
      </c>
      <c r="X180" s="6"/>
      <c r="Y180" s="6"/>
      <c r="Z180" s="6"/>
      <c r="AA180" s="6" t="s">
        <v>442</v>
      </c>
      <c r="AB180" s="8"/>
    </row>
    <row r="181" spans="1:28" s="4" customFormat="1" ht="51.95" customHeight="1">
      <c r="A181" s="5">
        <v>0</v>
      </c>
      <c r="B181" s="6" t="s">
        <v>1286</v>
      </c>
      <c r="C181" s="13">
        <v>2390</v>
      </c>
      <c r="D181" s="8" t="s">
        <v>1287</v>
      </c>
      <c r="E181" s="8" t="s">
        <v>1288</v>
      </c>
      <c r="F181" s="8" t="s">
        <v>1289</v>
      </c>
      <c r="G181" s="6" t="s">
        <v>52</v>
      </c>
      <c r="H181" s="6" t="s">
        <v>53</v>
      </c>
      <c r="I181" s="8" t="s">
        <v>116</v>
      </c>
      <c r="J181" s="9">
        <v>1</v>
      </c>
      <c r="K181" s="9">
        <v>471</v>
      </c>
      <c r="L181" s="9">
        <v>2025</v>
      </c>
      <c r="M181" s="8" t="s">
        <v>1290</v>
      </c>
      <c r="N181" s="8" t="s">
        <v>41</v>
      </c>
      <c r="O181" s="8" t="s">
        <v>118</v>
      </c>
      <c r="P181" s="6" t="s">
        <v>167</v>
      </c>
      <c r="Q181" s="8" t="s">
        <v>44</v>
      </c>
      <c r="R181" s="10" t="s">
        <v>1291</v>
      </c>
      <c r="S181" s="11" t="s">
        <v>1292</v>
      </c>
      <c r="T181" s="6" t="s">
        <v>299</v>
      </c>
      <c r="U181" s="24" t="str">
        <f>HYPERLINK("https://media.infra-m.ru/2169/2169529/cover/2169529.jpg", "Обложка")</f>
        <v>Обложка</v>
      </c>
      <c r="V181" s="24" t="str">
        <f>HYPERLINK("https://znanium.ru/catalog/product/2169529", "Ознакомиться")</f>
        <v>Ознакомиться</v>
      </c>
      <c r="W181" s="8" t="s">
        <v>1293</v>
      </c>
      <c r="X181" s="6"/>
      <c r="Y181" s="6"/>
      <c r="Z181" s="6"/>
      <c r="AA181" s="6" t="s">
        <v>549</v>
      </c>
      <c r="AB181" s="8"/>
    </row>
    <row r="182" spans="1:28" s="4" customFormat="1" ht="51.95" customHeight="1">
      <c r="A182" s="5">
        <v>0</v>
      </c>
      <c r="B182" s="6" t="s">
        <v>1294</v>
      </c>
      <c r="C182" s="13">
        <v>1104</v>
      </c>
      <c r="D182" s="8" t="s">
        <v>1295</v>
      </c>
      <c r="E182" s="8" t="s">
        <v>1296</v>
      </c>
      <c r="F182" s="8" t="s">
        <v>1222</v>
      </c>
      <c r="G182" s="6" t="s">
        <v>52</v>
      </c>
      <c r="H182" s="6" t="s">
        <v>53</v>
      </c>
      <c r="I182" s="8" t="s">
        <v>1054</v>
      </c>
      <c r="J182" s="9">
        <v>1</v>
      </c>
      <c r="K182" s="9">
        <v>220</v>
      </c>
      <c r="L182" s="9">
        <v>2024</v>
      </c>
      <c r="M182" s="8" t="s">
        <v>1297</v>
      </c>
      <c r="N182" s="8" t="s">
        <v>41</v>
      </c>
      <c r="O182" s="8" t="s">
        <v>118</v>
      </c>
      <c r="P182" s="6" t="s">
        <v>167</v>
      </c>
      <c r="Q182" s="8" t="s">
        <v>279</v>
      </c>
      <c r="R182" s="10" t="s">
        <v>1298</v>
      </c>
      <c r="S182" s="11" t="s">
        <v>1299</v>
      </c>
      <c r="T182" s="6"/>
      <c r="U182" s="24" t="str">
        <f>HYPERLINK("https://media.infra-m.ru/2170/2170879/cover/2170879.jpg", "Обложка")</f>
        <v>Обложка</v>
      </c>
      <c r="V182" s="24" t="str">
        <f>HYPERLINK("https://znanium.ru/catalog/product/2158060", "Ознакомиться")</f>
        <v>Ознакомиться</v>
      </c>
      <c r="W182" s="8" t="s">
        <v>83</v>
      </c>
      <c r="X182" s="6"/>
      <c r="Y182" s="6"/>
      <c r="Z182" s="6"/>
      <c r="AA182" s="6" t="s">
        <v>207</v>
      </c>
      <c r="AB182" s="8"/>
    </row>
    <row r="183" spans="1:28" s="4" customFormat="1" ht="51.95" customHeight="1">
      <c r="A183" s="5">
        <v>0</v>
      </c>
      <c r="B183" s="6" t="s">
        <v>1300</v>
      </c>
      <c r="C183" s="7">
        <v>650</v>
      </c>
      <c r="D183" s="8" t="s">
        <v>1301</v>
      </c>
      <c r="E183" s="8" t="s">
        <v>1302</v>
      </c>
      <c r="F183" s="8" t="s">
        <v>1303</v>
      </c>
      <c r="G183" s="6" t="s">
        <v>38</v>
      </c>
      <c r="H183" s="6" t="s">
        <v>77</v>
      </c>
      <c r="I183" s="8"/>
      <c r="J183" s="9">
        <v>1</v>
      </c>
      <c r="K183" s="9">
        <v>128</v>
      </c>
      <c r="L183" s="9">
        <v>2024</v>
      </c>
      <c r="M183" s="8" t="s">
        <v>1304</v>
      </c>
      <c r="N183" s="8" t="s">
        <v>79</v>
      </c>
      <c r="O183" s="8" t="s">
        <v>537</v>
      </c>
      <c r="P183" s="6" t="s">
        <v>43</v>
      </c>
      <c r="Q183" s="8" t="s">
        <v>44</v>
      </c>
      <c r="R183" s="10" t="s">
        <v>1305</v>
      </c>
      <c r="S183" s="11"/>
      <c r="T183" s="6"/>
      <c r="U183" s="24" t="str">
        <f>HYPERLINK("https://media.infra-m.ru/2175/2175280/cover/2175280.jpg", "Обложка")</f>
        <v>Обложка</v>
      </c>
      <c r="V183" s="24" t="str">
        <f>HYPERLINK("https://znanium.ru/catalog/product/2175280", "Ознакомиться")</f>
        <v>Ознакомиться</v>
      </c>
      <c r="W183" s="8" t="s">
        <v>150</v>
      </c>
      <c r="X183" s="6"/>
      <c r="Y183" s="6"/>
      <c r="Z183" s="6"/>
      <c r="AA183" s="6" t="s">
        <v>442</v>
      </c>
      <c r="AB183" s="8"/>
    </row>
    <row r="184" spans="1:28" s="4" customFormat="1" ht="51.95" customHeight="1">
      <c r="A184" s="5">
        <v>0</v>
      </c>
      <c r="B184" s="6" t="s">
        <v>1306</v>
      </c>
      <c r="C184" s="13">
        <v>1590</v>
      </c>
      <c r="D184" s="8" t="s">
        <v>1307</v>
      </c>
      <c r="E184" s="8" t="s">
        <v>1308</v>
      </c>
      <c r="F184" s="8" t="s">
        <v>1309</v>
      </c>
      <c r="G184" s="6" t="s">
        <v>89</v>
      </c>
      <c r="H184" s="6" t="s">
        <v>53</v>
      </c>
      <c r="I184" s="8" t="s">
        <v>116</v>
      </c>
      <c r="J184" s="9">
        <v>1</v>
      </c>
      <c r="K184" s="9">
        <v>339</v>
      </c>
      <c r="L184" s="9">
        <v>2024</v>
      </c>
      <c r="M184" s="8" t="s">
        <v>1310</v>
      </c>
      <c r="N184" s="8" t="s">
        <v>413</v>
      </c>
      <c r="O184" s="8" t="s">
        <v>414</v>
      </c>
      <c r="P184" s="6" t="s">
        <v>167</v>
      </c>
      <c r="Q184" s="8" t="s">
        <v>58</v>
      </c>
      <c r="R184" s="10" t="s">
        <v>1311</v>
      </c>
      <c r="S184" s="11" t="s">
        <v>1312</v>
      </c>
      <c r="T184" s="6"/>
      <c r="U184" s="24" t="str">
        <f>HYPERLINK("https://media.infra-m.ru/2109/2109538/cover/2109538.jpg", "Обложка")</f>
        <v>Обложка</v>
      </c>
      <c r="V184" s="24" t="str">
        <f>HYPERLINK("https://znanium.ru/catalog/product/2109538", "Ознакомиться")</f>
        <v>Ознакомиться</v>
      </c>
      <c r="W184" s="8" t="s">
        <v>1313</v>
      </c>
      <c r="X184" s="6"/>
      <c r="Y184" s="6"/>
      <c r="Z184" s="6"/>
      <c r="AA184" s="6" t="s">
        <v>219</v>
      </c>
      <c r="AB184" s="8"/>
    </row>
    <row r="185" spans="1:28" s="4" customFormat="1" ht="51.95" customHeight="1">
      <c r="A185" s="5">
        <v>0</v>
      </c>
      <c r="B185" s="6" t="s">
        <v>1314</v>
      </c>
      <c r="C185" s="13">
        <v>1244</v>
      </c>
      <c r="D185" s="8" t="s">
        <v>1315</v>
      </c>
      <c r="E185" s="8" t="s">
        <v>1316</v>
      </c>
      <c r="F185" s="8" t="s">
        <v>1317</v>
      </c>
      <c r="G185" s="6" t="s">
        <v>89</v>
      </c>
      <c r="H185" s="6" t="s">
        <v>53</v>
      </c>
      <c r="I185" s="8" t="s">
        <v>90</v>
      </c>
      <c r="J185" s="9">
        <v>1</v>
      </c>
      <c r="K185" s="9">
        <v>248</v>
      </c>
      <c r="L185" s="9">
        <v>2025</v>
      </c>
      <c r="M185" s="8" t="s">
        <v>1318</v>
      </c>
      <c r="N185" s="8" t="s">
        <v>41</v>
      </c>
      <c r="O185" s="8" t="s">
        <v>118</v>
      </c>
      <c r="P185" s="6" t="s">
        <v>43</v>
      </c>
      <c r="Q185" s="8" t="s">
        <v>44</v>
      </c>
      <c r="R185" s="10" t="s">
        <v>1319</v>
      </c>
      <c r="S185" s="11" t="s">
        <v>1320</v>
      </c>
      <c r="T185" s="6"/>
      <c r="U185" s="24" t="str">
        <f>HYPERLINK("https://media.infra-m.ru/2178/2178290/cover/2178290.jpg", "Обложка")</f>
        <v>Обложка</v>
      </c>
      <c r="V185" s="24" t="str">
        <f>HYPERLINK("https://znanium.ru/catalog/product/1937180", "Ознакомиться")</f>
        <v>Ознакомиться</v>
      </c>
      <c r="W185" s="8" t="s">
        <v>354</v>
      </c>
      <c r="X185" s="6"/>
      <c r="Y185" s="6"/>
      <c r="Z185" s="6"/>
      <c r="AA185" s="6" t="s">
        <v>638</v>
      </c>
      <c r="AB185" s="8"/>
    </row>
    <row r="186" spans="1:28" s="4" customFormat="1" ht="51.95" customHeight="1">
      <c r="A186" s="5">
        <v>0</v>
      </c>
      <c r="B186" s="6" t="s">
        <v>1321</v>
      </c>
      <c r="C186" s="7">
        <v>630</v>
      </c>
      <c r="D186" s="8" t="s">
        <v>1322</v>
      </c>
      <c r="E186" s="8" t="s">
        <v>1323</v>
      </c>
      <c r="F186" s="8" t="s">
        <v>1324</v>
      </c>
      <c r="G186" s="6" t="s">
        <v>38</v>
      </c>
      <c r="H186" s="6" t="s">
        <v>53</v>
      </c>
      <c r="I186" s="8" t="s">
        <v>1325</v>
      </c>
      <c r="J186" s="9">
        <v>1</v>
      </c>
      <c r="K186" s="9">
        <v>70</v>
      </c>
      <c r="L186" s="9">
        <v>2024</v>
      </c>
      <c r="M186" s="8" t="s">
        <v>1326</v>
      </c>
      <c r="N186" s="8" t="s">
        <v>79</v>
      </c>
      <c r="O186" s="8" t="s">
        <v>570</v>
      </c>
      <c r="P186" s="6" t="s">
        <v>43</v>
      </c>
      <c r="Q186" s="8" t="s">
        <v>58</v>
      </c>
      <c r="R186" s="10" t="s">
        <v>1327</v>
      </c>
      <c r="S186" s="11" t="s">
        <v>1328</v>
      </c>
      <c r="T186" s="6"/>
      <c r="U186" s="24" t="str">
        <f>HYPERLINK("https://media.infra-m.ru/2099/2099970/cover/2099970.jpg", "Обложка")</f>
        <v>Обложка</v>
      </c>
      <c r="V186" s="24" t="str">
        <f>HYPERLINK("https://znanium.ru/catalog/product/2099970", "Ознакомиться")</f>
        <v>Ознакомиться</v>
      </c>
      <c r="W186" s="8" t="s">
        <v>1329</v>
      </c>
      <c r="X186" s="6"/>
      <c r="Y186" s="6"/>
      <c r="Z186" s="6"/>
      <c r="AA186" s="6" t="s">
        <v>258</v>
      </c>
      <c r="AB186" s="8"/>
    </row>
    <row r="187" spans="1:28" s="4" customFormat="1" ht="51.95" customHeight="1">
      <c r="A187" s="5">
        <v>0</v>
      </c>
      <c r="B187" s="6" t="s">
        <v>1330</v>
      </c>
      <c r="C187" s="13">
        <v>1700</v>
      </c>
      <c r="D187" s="8" t="s">
        <v>1331</v>
      </c>
      <c r="E187" s="8" t="s">
        <v>1332</v>
      </c>
      <c r="F187" s="8" t="s">
        <v>1333</v>
      </c>
      <c r="G187" s="6" t="s">
        <v>89</v>
      </c>
      <c r="H187" s="6" t="s">
        <v>53</v>
      </c>
      <c r="I187" s="8" t="s">
        <v>100</v>
      </c>
      <c r="J187" s="9">
        <v>1</v>
      </c>
      <c r="K187" s="9">
        <v>368</v>
      </c>
      <c r="L187" s="9">
        <v>2024</v>
      </c>
      <c r="M187" s="8" t="s">
        <v>1334</v>
      </c>
      <c r="N187" s="8" t="s">
        <v>41</v>
      </c>
      <c r="O187" s="8" t="s">
        <v>1007</v>
      </c>
      <c r="P187" s="6" t="s">
        <v>167</v>
      </c>
      <c r="Q187" s="8" t="s">
        <v>102</v>
      </c>
      <c r="R187" s="10" t="s">
        <v>1335</v>
      </c>
      <c r="S187" s="11" t="s">
        <v>1336</v>
      </c>
      <c r="T187" s="6"/>
      <c r="U187" s="24" t="str">
        <f>HYPERLINK("https://media.infra-m.ru/2126/2126914/cover/2126914.jpg", "Обложка")</f>
        <v>Обложка</v>
      </c>
      <c r="V187" s="24" t="str">
        <f>HYPERLINK("https://znanium.ru/catalog/product/2158214", "Ознакомиться")</f>
        <v>Ознакомиться</v>
      </c>
      <c r="W187" s="8" t="s">
        <v>71</v>
      </c>
      <c r="X187" s="6"/>
      <c r="Y187" s="6"/>
      <c r="Z187" s="6"/>
      <c r="AA187" s="6" t="s">
        <v>1337</v>
      </c>
      <c r="AB187" s="8"/>
    </row>
    <row r="188" spans="1:28" s="4" customFormat="1" ht="51.95" customHeight="1">
      <c r="A188" s="5">
        <v>0</v>
      </c>
      <c r="B188" s="6" t="s">
        <v>1338</v>
      </c>
      <c r="C188" s="13">
        <v>1364</v>
      </c>
      <c r="D188" s="8" t="s">
        <v>1339</v>
      </c>
      <c r="E188" s="8" t="s">
        <v>1340</v>
      </c>
      <c r="F188" s="8" t="s">
        <v>1341</v>
      </c>
      <c r="G188" s="6" t="s">
        <v>89</v>
      </c>
      <c r="H188" s="6" t="s">
        <v>53</v>
      </c>
      <c r="I188" s="8" t="s">
        <v>90</v>
      </c>
      <c r="J188" s="9">
        <v>1</v>
      </c>
      <c r="K188" s="9">
        <v>302</v>
      </c>
      <c r="L188" s="9">
        <v>2023</v>
      </c>
      <c r="M188" s="8" t="s">
        <v>1342</v>
      </c>
      <c r="N188" s="8" t="s">
        <v>41</v>
      </c>
      <c r="O188" s="8" t="s">
        <v>1007</v>
      </c>
      <c r="P188" s="6" t="s">
        <v>167</v>
      </c>
      <c r="Q188" s="8" t="s">
        <v>44</v>
      </c>
      <c r="R188" s="10" t="s">
        <v>1343</v>
      </c>
      <c r="S188" s="11" t="s">
        <v>1344</v>
      </c>
      <c r="T188" s="6"/>
      <c r="U188" s="24" t="str">
        <f>HYPERLINK("https://media.infra-m.ru/2006/2006095/cover/2006095.jpg", "Обложка")</f>
        <v>Обложка</v>
      </c>
      <c r="V188" s="24" t="str">
        <f>HYPERLINK("https://znanium.ru/catalog/product/2006095", "Ознакомиться")</f>
        <v>Ознакомиться</v>
      </c>
      <c r="W188" s="8" t="s">
        <v>1345</v>
      </c>
      <c r="X188" s="6"/>
      <c r="Y188" s="6"/>
      <c r="Z188" s="6"/>
      <c r="AA188" s="6" t="s">
        <v>258</v>
      </c>
      <c r="AB188" s="8"/>
    </row>
    <row r="189" spans="1:28" s="4" customFormat="1" ht="51.95" customHeight="1">
      <c r="A189" s="5">
        <v>0</v>
      </c>
      <c r="B189" s="6" t="s">
        <v>1346</v>
      </c>
      <c r="C189" s="13">
        <v>1510</v>
      </c>
      <c r="D189" s="8" t="s">
        <v>1347</v>
      </c>
      <c r="E189" s="8" t="s">
        <v>1340</v>
      </c>
      <c r="F189" s="8" t="s">
        <v>1341</v>
      </c>
      <c r="G189" s="6" t="s">
        <v>89</v>
      </c>
      <c r="H189" s="6" t="s">
        <v>53</v>
      </c>
      <c r="I189" s="8" t="s">
        <v>100</v>
      </c>
      <c r="J189" s="9">
        <v>1</v>
      </c>
      <c r="K189" s="9">
        <v>302</v>
      </c>
      <c r="L189" s="9">
        <v>2025</v>
      </c>
      <c r="M189" s="8" t="s">
        <v>1348</v>
      </c>
      <c r="N189" s="8" t="s">
        <v>41</v>
      </c>
      <c r="O189" s="8" t="s">
        <v>1007</v>
      </c>
      <c r="P189" s="6" t="s">
        <v>167</v>
      </c>
      <c r="Q189" s="8" t="s">
        <v>102</v>
      </c>
      <c r="R189" s="10" t="s">
        <v>1349</v>
      </c>
      <c r="S189" s="11" t="s">
        <v>1350</v>
      </c>
      <c r="T189" s="6"/>
      <c r="U189" s="24" t="str">
        <f>HYPERLINK("https://media.infra-m.ru/2179/2179081/cover/2179081.jpg", "Обложка")</f>
        <v>Обложка</v>
      </c>
      <c r="V189" s="24" t="str">
        <f>HYPERLINK("https://znanium.ru/catalog/product/1227692", "Ознакомиться")</f>
        <v>Ознакомиться</v>
      </c>
      <c r="W189" s="8" t="s">
        <v>1345</v>
      </c>
      <c r="X189" s="6"/>
      <c r="Y189" s="6"/>
      <c r="Z189" s="6" t="s">
        <v>104</v>
      </c>
      <c r="AA189" s="6" t="s">
        <v>258</v>
      </c>
      <c r="AB189" s="8"/>
    </row>
    <row r="190" spans="1:28" s="4" customFormat="1" ht="51.95" customHeight="1">
      <c r="A190" s="5">
        <v>0</v>
      </c>
      <c r="B190" s="6" t="s">
        <v>1351</v>
      </c>
      <c r="C190" s="7">
        <v>960</v>
      </c>
      <c r="D190" s="8" t="s">
        <v>1352</v>
      </c>
      <c r="E190" s="8" t="s">
        <v>1353</v>
      </c>
      <c r="F190" s="8" t="s">
        <v>1354</v>
      </c>
      <c r="G190" s="6" t="s">
        <v>38</v>
      </c>
      <c r="H190" s="6" t="s">
        <v>53</v>
      </c>
      <c r="I190" s="8" t="s">
        <v>276</v>
      </c>
      <c r="J190" s="9">
        <v>1</v>
      </c>
      <c r="K190" s="9">
        <v>214</v>
      </c>
      <c r="L190" s="9">
        <v>2023</v>
      </c>
      <c r="M190" s="8" t="s">
        <v>1355</v>
      </c>
      <c r="N190" s="8" t="s">
        <v>41</v>
      </c>
      <c r="O190" s="8" t="s">
        <v>1007</v>
      </c>
      <c r="P190" s="6" t="s">
        <v>43</v>
      </c>
      <c r="Q190" s="8" t="s">
        <v>279</v>
      </c>
      <c r="R190" s="10" t="s">
        <v>1356</v>
      </c>
      <c r="S190" s="11" t="s">
        <v>1357</v>
      </c>
      <c r="T190" s="6"/>
      <c r="U190" s="24" t="str">
        <f>HYPERLINK("https://media.infra-m.ru/1937/1937946/cover/1937946.jpg", "Обложка")</f>
        <v>Обложка</v>
      </c>
      <c r="V190" s="24" t="str">
        <f>HYPERLINK("https://znanium.ru/catalog/product/1937946", "Ознакомиться")</f>
        <v>Ознакомиться</v>
      </c>
      <c r="W190" s="8" t="s">
        <v>1358</v>
      </c>
      <c r="X190" s="6"/>
      <c r="Y190" s="6"/>
      <c r="Z190" s="6"/>
      <c r="AA190" s="6" t="s">
        <v>72</v>
      </c>
      <c r="AB190" s="8"/>
    </row>
    <row r="191" spans="1:28" s="4" customFormat="1" ht="51.95" customHeight="1">
      <c r="A191" s="5">
        <v>0</v>
      </c>
      <c r="B191" s="6" t="s">
        <v>1359</v>
      </c>
      <c r="C191" s="13">
        <v>1044</v>
      </c>
      <c r="D191" s="8" t="s">
        <v>1360</v>
      </c>
      <c r="E191" s="8" t="s">
        <v>1361</v>
      </c>
      <c r="F191" s="8" t="s">
        <v>1362</v>
      </c>
      <c r="G191" s="6" t="s">
        <v>89</v>
      </c>
      <c r="H191" s="6" t="s">
        <v>39</v>
      </c>
      <c r="I191" s="8" t="s">
        <v>223</v>
      </c>
      <c r="J191" s="9">
        <v>1</v>
      </c>
      <c r="K191" s="9">
        <v>208</v>
      </c>
      <c r="L191" s="9">
        <v>2025</v>
      </c>
      <c r="M191" s="8" t="s">
        <v>1363</v>
      </c>
      <c r="N191" s="8" t="s">
        <v>41</v>
      </c>
      <c r="O191" s="8" t="s">
        <v>1007</v>
      </c>
      <c r="P191" s="6" t="s">
        <v>43</v>
      </c>
      <c r="Q191" s="8" t="s">
        <v>102</v>
      </c>
      <c r="R191" s="10" t="s">
        <v>1349</v>
      </c>
      <c r="S191" s="11" t="s">
        <v>1364</v>
      </c>
      <c r="T191" s="6"/>
      <c r="U191" s="24" t="str">
        <f>HYPERLINK("https://media.infra-m.ru/2161/2161264/cover/2161264.jpg", "Обложка")</f>
        <v>Обложка</v>
      </c>
      <c r="V191" s="24" t="str">
        <f>HYPERLINK("https://znanium.ru/catalog/product/2054997", "Ознакомиться")</f>
        <v>Ознакомиться</v>
      </c>
      <c r="W191" s="8" t="s">
        <v>83</v>
      </c>
      <c r="X191" s="6"/>
      <c r="Y191" s="6"/>
      <c r="Z191" s="6"/>
      <c r="AA191" s="6" t="s">
        <v>1365</v>
      </c>
      <c r="AB191" s="8"/>
    </row>
    <row r="192" spans="1:28" s="4" customFormat="1" ht="51.95" customHeight="1">
      <c r="A192" s="5">
        <v>0</v>
      </c>
      <c r="B192" s="6" t="s">
        <v>1366</v>
      </c>
      <c r="C192" s="13">
        <v>1350</v>
      </c>
      <c r="D192" s="8" t="s">
        <v>1367</v>
      </c>
      <c r="E192" s="8" t="s">
        <v>1368</v>
      </c>
      <c r="F192" s="8" t="s">
        <v>1369</v>
      </c>
      <c r="G192" s="6" t="s">
        <v>89</v>
      </c>
      <c r="H192" s="6" t="s">
        <v>53</v>
      </c>
      <c r="I192" s="8" t="s">
        <v>116</v>
      </c>
      <c r="J192" s="9">
        <v>1</v>
      </c>
      <c r="K192" s="9">
        <v>292</v>
      </c>
      <c r="L192" s="9">
        <v>2024</v>
      </c>
      <c r="M192" s="8" t="s">
        <v>1370</v>
      </c>
      <c r="N192" s="8" t="s">
        <v>41</v>
      </c>
      <c r="O192" s="8" t="s">
        <v>1007</v>
      </c>
      <c r="P192" s="6" t="s">
        <v>43</v>
      </c>
      <c r="Q192" s="8" t="s">
        <v>44</v>
      </c>
      <c r="R192" s="10" t="s">
        <v>1371</v>
      </c>
      <c r="S192" s="11" t="s">
        <v>1372</v>
      </c>
      <c r="T192" s="6"/>
      <c r="U192" s="24" t="str">
        <f>HYPERLINK("https://media.infra-m.ru/2130/2130083/cover/2130083.jpg", "Обложка")</f>
        <v>Обложка</v>
      </c>
      <c r="V192" s="24" t="str">
        <f>HYPERLINK("https://znanium.ru/catalog/product/2130083", "Ознакомиться")</f>
        <v>Ознакомиться</v>
      </c>
      <c r="W192" s="8" t="s">
        <v>1373</v>
      </c>
      <c r="X192" s="6"/>
      <c r="Y192" s="6"/>
      <c r="Z192" s="6"/>
      <c r="AA192" s="6" t="s">
        <v>1374</v>
      </c>
      <c r="AB192" s="8"/>
    </row>
    <row r="193" spans="1:28" s="4" customFormat="1" ht="51.95" customHeight="1">
      <c r="A193" s="5">
        <v>0</v>
      </c>
      <c r="B193" s="6" t="s">
        <v>1375</v>
      </c>
      <c r="C193" s="13">
        <v>1384</v>
      </c>
      <c r="D193" s="8" t="s">
        <v>1376</v>
      </c>
      <c r="E193" s="8" t="s">
        <v>1377</v>
      </c>
      <c r="F193" s="8" t="s">
        <v>1378</v>
      </c>
      <c r="G193" s="6" t="s">
        <v>89</v>
      </c>
      <c r="H193" s="6" t="s">
        <v>53</v>
      </c>
      <c r="I193" s="8" t="s">
        <v>276</v>
      </c>
      <c r="J193" s="9">
        <v>1</v>
      </c>
      <c r="K193" s="9">
        <v>276</v>
      </c>
      <c r="L193" s="9">
        <v>2025</v>
      </c>
      <c r="M193" s="8" t="s">
        <v>1379</v>
      </c>
      <c r="N193" s="8" t="s">
        <v>41</v>
      </c>
      <c r="O193" s="8" t="s">
        <v>1007</v>
      </c>
      <c r="P193" s="6" t="s">
        <v>167</v>
      </c>
      <c r="Q193" s="8" t="s">
        <v>279</v>
      </c>
      <c r="R193" s="10" t="s">
        <v>1380</v>
      </c>
      <c r="S193" s="11" t="s">
        <v>1381</v>
      </c>
      <c r="T193" s="6"/>
      <c r="U193" s="24" t="str">
        <f>HYPERLINK("https://media.infra-m.ru/2184/2184926/cover/2184926.jpg", "Обложка")</f>
        <v>Обложка</v>
      </c>
      <c r="V193" s="24" t="str">
        <f>HYPERLINK("https://znanium.ru/catalog/product/2084385", "Ознакомиться")</f>
        <v>Ознакомиться</v>
      </c>
      <c r="W193" s="8" t="s">
        <v>189</v>
      </c>
      <c r="X193" s="6"/>
      <c r="Y193" s="6"/>
      <c r="Z193" s="6"/>
      <c r="AA193" s="6" t="s">
        <v>1382</v>
      </c>
      <c r="AB193" s="8" t="s">
        <v>1383</v>
      </c>
    </row>
    <row r="194" spans="1:28" s="4" customFormat="1" ht="42" customHeight="1">
      <c r="A194" s="5">
        <v>0</v>
      </c>
      <c r="B194" s="6" t="s">
        <v>1384</v>
      </c>
      <c r="C194" s="7">
        <v>920</v>
      </c>
      <c r="D194" s="8" t="s">
        <v>1385</v>
      </c>
      <c r="E194" s="8" t="s">
        <v>1386</v>
      </c>
      <c r="F194" s="8" t="s">
        <v>1378</v>
      </c>
      <c r="G194" s="6" t="s">
        <v>89</v>
      </c>
      <c r="H194" s="6" t="s">
        <v>77</v>
      </c>
      <c r="I194" s="8"/>
      <c r="J194" s="9">
        <v>1</v>
      </c>
      <c r="K194" s="9">
        <v>269</v>
      </c>
      <c r="L194" s="9">
        <v>2020</v>
      </c>
      <c r="M194" s="8" t="s">
        <v>1387</v>
      </c>
      <c r="N194" s="8" t="s">
        <v>41</v>
      </c>
      <c r="O194" s="8" t="s">
        <v>1007</v>
      </c>
      <c r="P194" s="6" t="s">
        <v>167</v>
      </c>
      <c r="Q194" s="8" t="s">
        <v>279</v>
      </c>
      <c r="R194" s="10" t="s">
        <v>1380</v>
      </c>
      <c r="S194" s="11"/>
      <c r="T194" s="6"/>
      <c r="U194" s="24" t="str">
        <f>HYPERLINK("https://media.infra-m.ru/1063/1063801/cover/1063801.jpg", "Обложка")</f>
        <v>Обложка</v>
      </c>
      <c r="V194" s="24" t="str">
        <f>HYPERLINK("https://znanium.ru/catalog/product/2084385", "Ознакомиться")</f>
        <v>Ознакомиться</v>
      </c>
      <c r="W194" s="8" t="s">
        <v>189</v>
      </c>
      <c r="X194" s="6"/>
      <c r="Y194" s="6"/>
      <c r="Z194" s="6"/>
      <c r="AA194" s="6" t="s">
        <v>326</v>
      </c>
      <c r="AB194" s="8" t="s">
        <v>1383</v>
      </c>
    </row>
    <row r="195" spans="1:28" s="4" customFormat="1" ht="51.95" customHeight="1">
      <c r="A195" s="5">
        <v>0</v>
      </c>
      <c r="B195" s="6" t="s">
        <v>1388</v>
      </c>
      <c r="C195" s="13">
        <v>1044</v>
      </c>
      <c r="D195" s="8" t="s">
        <v>1389</v>
      </c>
      <c r="E195" s="8" t="s">
        <v>1390</v>
      </c>
      <c r="F195" s="8" t="s">
        <v>1391</v>
      </c>
      <c r="G195" s="6" t="s">
        <v>89</v>
      </c>
      <c r="H195" s="6" t="s">
        <v>53</v>
      </c>
      <c r="I195" s="8" t="s">
        <v>165</v>
      </c>
      <c r="J195" s="9">
        <v>1</v>
      </c>
      <c r="K195" s="9">
        <v>211</v>
      </c>
      <c r="L195" s="9">
        <v>2024</v>
      </c>
      <c r="M195" s="8" t="s">
        <v>1392</v>
      </c>
      <c r="N195" s="8" t="s">
        <v>41</v>
      </c>
      <c r="O195" s="8" t="s">
        <v>118</v>
      </c>
      <c r="P195" s="6" t="s">
        <v>167</v>
      </c>
      <c r="Q195" s="8" t="s">
        <v>58</v>
      </c>
      <c r="R195" s="10" t="s">
        <v>1393</v>
      </c>
      <c r="S195" s="11" t="s">
        <v>1394</v>
      </c>
      <c r="T195" s="6"/>
      <c r="U195" s="24" t="str">
        <f>HYPERLINK("https://media.infra-m.ru/2162/2162467/cover/2162467.jpg", "Обложка")</f>
        <v>Обложка</v>
      </c>
      <c r="V195" s="24" t="str">
        <f>HYPERLINK("https://znanium.ru/catalog/product/1839710", "Ознакомиться")</f>
        <v>Ознакомиться</v>
      </c>
      <c r="W195" s="8" t="s">
        <v>83</v>
      </c>
      <c r="X195" s="6"/>
      <c r="Y195" s="6"/>
      <c r="Z195" s="6"/>
      <c r="AA195" s="6" t="s">
        <v>207</v>
      </c>
      <c r="AB195" s="8"/>
    </row>
    <row r="196" spans="1:28" s="4" customFormat="1" ht="51.95" customHeight="1">
      <c r="A196" s="5">
        <v>0</v>
      </c>
      <c r="B196" s="6" t="s">
        <v>1395</v>
      </c>
      <c r="C196" s="13">
        <v>2010</v>
      </c>
      <c r="D196" s="8" t="s">
        <v>1396</v>
      </c>
      <c r="E196" s="8" t="s">
        <v>1397</v>
      </c>
      <c r="F196" s="8" t="s">
        <v>1398</v>
      </c>
      <c r="G196" s="6" t="s">
        <v>52</v>
      </c>
      <c r="H196" s="6" t="s">
        <v>53</v>
      </c>
      <c r="I196" s="8" t="s">
        <v>165</v>
      </c>
      <c r="J196" s="9">
        <v>1</v>
      </c>
      <c r="K196" s="9">
        <v>434</v>
      </c>
      <c r="L196" s="9">
        <v>2024</v>
      </c>
      <c r="M196" s="8" t="s">
        <v>1399</v>
      </c>
      <c r="N196" s="8" t="s">
        <v>41</v>
      </c>
      <c r="O196" s="8" t="s">
        <v>1007</v>
      </c>
      <c r="P196" s="6" t="s">
        <v>167</v>
      </c>
      <c r="Q196" s="8" t="s">
        <v>58</v>
      </c>
      <c r="R196" s="10" t="s">
        <v>1400</v>
      </c>
      <c r="S196" s="11" t="s">
        <v>1401</v>
      </c>
      <c r="T196" s="6" t="s">
        <v>299</v>
      </c>
      <c r="U196" s="24" t="str">
        <f>HYPERLINK("https://media.infra-m.ru/2131/2131071/cover/2131071.jpg", "Обложка")</f>
        <v>Обложка</v>
      </c>
      <c r="V196" s="24" t="str">
        <f>HYPERLINK("https://znanium.ru/catalog/product/2131071", "Ознакомиться")</f>
        <v>Ознакомиться</v>
      </c>
      <c r="W196" s="8" t="s">
        <v>83</v>
      </c>
      <c r="X196" s="6"/>
      <c r="Y196" s="6"/>
      <c r="Z196" s="6"/>
      <c r="AA196" s="6" t="s">
        <v>1402</v>
      </c>
      <c r="AB196" s="8"/>
    </row>
    <row r="197" spans="1:28" s="4" customFormat="1" ht="51.95" customHeight="1">
      <c r="A197" s="5">
        <v>0</v>
      </c>
      <c r="B197" s="6" t="s">
        <v>1403</v>
      </c>
      <c r="C197" s="13">
        <v>1390</v>
      </c>
      <c r="D197" s="8" t="s">
        <v>1404</v>
      </c>
      <c r="E197" s="8" t="s">
        <v>1405</v>
      </c>
      <c r="F197" s="8" t="s">
        <v>1406</v>
      </c>
      <c r="G197" s="6" t="s">
        <v>89</v>
      </c>
      <c r="H197" s="6" t="s">
        <v>77</v>
      </c>
      <c r="I197" s="8"/>
      <c r="J197" s="9">
        <v>1</v>
      </c>
      <c r="K197" s="9">
        <v>432</v>
      </c>
      <c r="L197" s="9">
        <v>2019</v>
      </c>
      <c r="M197" s="8" t="s">
        <v>1407</v>
      </c>
      <c r="N197" s="8" t="s">
        <v>41</v>
      </c>
      <c r="O197" s="8" t="s">
        <v>1007</v>
      </c>
      <c r="P197" s="6" t="s">
        <v>167</v>
      </c>
      <c r="Q197" s="8" t="s">
        <v>44</v>
      </c>
      <c r="R197" s="10" t="s">
        <v>1400</v>
      </c>
      <c r="S197" s="11" t="s">
        <v>1408</v>
      </c>
      <c r="T197" s="6" t="s">
        <v>299</v>
      </c>
      <c r="U197" s="24" t="str">
        <f>HYPERLINK("https://media.infra-m.ru/1012/1012372/cover/1012372.jpg", "Обложка")</f>
        <v>Обложка</v>
      </c>
      <c r="V197" s="24" t="str">
        <f>HYPERLINK("https://znanium.ru/catalog/product/2131071", "Ознакомиться")</f>
        <v>Ознакомиться</v>
      </c>
      <c r="W197" s="8" t="s">
        <v>83</v>
      </c>
      <c r="X197" s="6"/>
      <c r="Y197" s="6"/>
      <c r="Z197" s="6"/>
      <c r="AA197" s="6" t="s">
        <v>701</v>
      </c>
      <c r="AB197" s="8"/>
    </row>
    <row r="198" spans="1:28" s="4" customFormat="1" ht="51.95" customHeight="1">
      <c r="A198" s="5">
        <v>0</v>
      </c>
      <c r="B198" s="6" t="s">
        <v>1409</v>
      </c>
      <c r="C198" s="13">
        <v>1660</v>
      </c>
      <c r="D198" s="8" t="s">
        <v>1410</v>
      </c>
      <c r="E198" s="8" t="s">
        <v>1390</v>
      </c>
      <c r="F198" s="8" t="s">
        <v>1411</v>
      </c>
      <c r="G198" s="6" t="s">
        <v>89</v>
      </c>
      <c r="H198" s="6" t="s">
        <v>53</v>
      </c>
      <c r="I198" s="8" t="s">
        <v>90</v>
      </c>
      <c r="J198" s="9">
        <v>1</v>
      </c>
      <c r="K198" s="9">
        <v>356</v>
      </c>
      <c r="L198" s="9">
        <v>2023</v>
      </c>
      <c r="M198" s="8" t="s">
        <v>1412</v>
      </c>
      <c r="N198" s="8" t="s">
        <v>41</v>
      </c>
      <c r="O198" s="8" t="s">
        <v>1007</v>
      </c>
      <c r="P198" s="6" t="s">
        <v>167</v>
      </c>
      <c r="Q198" s="8" t="s">
        <v>44</v>
      </c>
      <c r="R198" s="10" t="s">
        <v>1413</v>
      </c>
      <c r="S198" s="11" t="s">
        <v>1414</v>
      </c>
      <c r="T198" s="6"/>
      <c r="U198" s="24" t="str">
        <f>HYPERLINK("https://media.infra-m.ru/2032/2032541/cover/2032541.jpg", "Обложка")</f>
        <v>Обложка</v>
      </c>
      <c r="V198" s="24" t="str">
        <f>HYPERLINK("https://znanium.ru/catalog/product/1844341", "Ознакомиться")</f>
        <v>Ознакомиться</v>
      </c>
      <c r="W198" s="8" t="s">
        <v>1313</v>
      </c>
      <c r="X198" s="6"/>
      <c r="Y198" s="6"/>
      <c r="Z198" s="6"/>
      <c r="AA198" s="6" t="s">
        <v>207</v>
      </c>
      <c r="AB198" s="8"/>
    </row>
    <row r="199" spans="1:28" s="4" customFormat="1" ht="51.95" customHeight="1">
      <c r="A199" s="5">
        <v>0</v>
      </c>
      <c r="B199" s="6" t="s">
        <v>1415</v>
      </c>
      <c r="C199" s="13">
        <v>1724</v>
      </c>
      <c r="D199" s="8" t="s">
        <v>1416</v>
      </c>
      <c r="E199" s="8" t="s">
        <v>1417</v>
      </c>
      <c r="F199" s="8" t="s">
        <v>1222</v>
      </c>
      <c r="G199" s="6" t="s">
        <v>89</v>
      </c>
      <c r="H199" s="6" t="s">
        <v>53</v>
      </c>
      <c r="I199" s="8" t="s">
        <v>1054</v>
      </c>
      <c r="J199" s="9">
        <v>1</v>
      </c>
      <c r="K199" s="9">
        <v>366</v>
      </c>
      <c r="L199" s="9">
        <v>2024</v>
      </c>
      <c r="M199" s="8" t="s">
        <v>1418</v>
      </c>
      <c r="N199" s="8" t="s">
        <v>41</v>
      </c>
      <c r="O199" s="8" t="s">
        <v>1007</v>
      </c>
      <c r="P199" s="6" t="s">
        <v>167</v>
      </c>
      <c r="Q199" s="8" t="s">
        <v>279</v>
      </c>
      <c r="R199" s="10" t="s">
        <v>1419</v>
      </c>
      <c r="S199" s="11" t="s">
        <v>1420</v>
      </c>
      <c r="T199" s="6"/>
      <c r="U199" s="24" t="str">
        <f>HYPERLINK("https://media.infra-m.ru/2149/2149196/cover/2149196.jpg", "Обложка")</f>
        <v>Обложка</v>
      </c>
      <c r="V199" s="24" t="str">
        <f>HYPERLINK("https://znanium.ru/catalog/product/2023199", "Ознакомиться")</f>
        <v>Ознакомиться</v>
      </c>
      <c r="W199" s="8" t="s">
        <v>83</v>
      </c>
      <c r="X199" s="6"/>
      <c r="Y199" s="6"/>
      <c r="Z199" s="6"/>
      <c r="AA199" s="6" t="s">
        <v>258</v>
      </c>
      <c r="AB199" s="8"/>
    </row>
    <row r="200" spans="1:28" s="4" customFormat="1" ht="51.95" customHeight="1">
      <c r="A200" s="5">
        <v>0</v>
      </c>
      <c r="B200" s="6" t="s">
        <v>1421</v>
      </c>
      <c r="C200" s="13">
        <v>1120</v>
      </c>
      <c r="D200" s="8" t="s">
        <v>1422</v>
      </c>
      <c r="E200" s="8" t="s">
        <v>1423</v>
      </c>
      <c r="F200" s="8" t="s">
        <v>1195</v>
      </c>
      <c r="G200" s="6" t="s">
        <v>89</v>
      </c>
      <c r="H200" s="6" t="s">
        <v>184</v>
      </c>
      <c r="I200" s="8" t="s">
        <v>185</v>
      </c>
      <c r="J200" s="9">
        <v>1</v>
      </c>
      <c r="K200" s="9">
        <v>204</v>
      </c>
      <c r="L200" s="9">
        <v>2025</v>
      </c>
      <c r="M200" s="8" t="s">
        <v>1424</v>
      </c>
      <c r="N200" s="8" t="s">
        <v>41</v>
      </c>
      <c r="O200" s="8" t="s">
        <v>1007</v>
      </c>
      <c r="P200" s="6" t="s">
        <v>43</v>
      </c>
      <c r="Q200" s="8" t="s">
        <v>102</v>
      </c>
      <c r="R200" s="10" t="s">
        <v>1349</v>
      </c>
      <c r="S200" s="11"/>
      <c r="T200" s="6"/>
      <c r="U200" s="24" t="str">
        <f>HYPERLINK("https://media.infra-m.ru/2199/2199628/cover/2199628.jpg", "Обложка")</f>
        <v>Обложка</v>
      </c>
      <c r="V200" s="24" t="str">
        <f>HYPERLINK("https://znanium.ru/catalog/product/2199628", "Ознакомиться")</f>
        <v>Ознакомиться</v>
      </c>
      <c r="W200" s="8" t="s">
        <v>1198</v>
      </c>
      <c r="X200" s="6"/>
      <c r="Y200" s="6"/>
      <c r="Z200" s="6"/>
      <c r="AA200" s="6" t="s">
        <v>219</v>
      </c>
      <c r="AB200" s="8"/>
    </row>
    <row r="201" spans="1:28" s="4" customFormat="1" ht="51.95" customHeight="1">
      <c r="A201" s="5">
        <v>0</v>
      </c>
      <c r="B201" s="6" t="s">
        <v>1425</v>
      </c>
      <c r="C201" s="7">
        <v>994</v>
      </c>
      <c r="D201" s="8" t="s">
        <v>1426</v>
      </c>
      <c r="E201" s="8" t="s">
        <v>1427</v>
      </c>
      <c r="F201" s="8" t="s">
        <v>1428</v>
      </c>
      <c r="G201" s="6" t="s">
        <v>89</v>
      </c>
      <c r="H201" s="6" t="s">
        <v>53</v>
      </c>
      <c r="I201" s="8" t="s">
        <v>100</v>
      </c>
      <c r="J201" s="9">
        <v>1</v>
      </c>
      <c r="K201" s="9">
        <v>198</v>
      </c>
      <c r="L201" s="9">
        <v>2025</v>
      </c>
      <c r="M201" s="8" t="s">
        <v>1429</v>
      </c>
      <c r="N201" s="8" t="s">
        <v>41</v>
      </c>
      <c r="O201" s="8" t="s">
        <v>1007</v>
      </c>
      <c r="P201" s="6" t="s">
        <v>43</v>
      </c>
      <c r="Q201" s="8" t="s">
        <v>102</v>
      </c>
      <c r="R201" s="10" t="s">
        <v>1349</v>
      </c>
      <c r="S201" s="11" t="s">
        <v>1430</v>
      </c>
      <c r="T201" s="6"/>
      <c r="U201" s="24" t="str">
        <f>HYPERLINK("https://media.infra-m.ru/2188/2188198/cover/2188198.jpg", "Обложка")</f>
        <v>Обложка</v>
      </c>
      <c r="V201" s="24" t="str">
        <f>HYPERLINK("https://znanium.ru/catalog/product/1844464", "Ознакомиться")</f>
        <v>Ознакомиться</v>
      </c>
      <c r="W201" s="8" t="s">
        <v>1272</v>
      </c>
      <c r="X201" s="6"/>
      <c r="Y201" s="6"/>
      <c r="Z201" s="6"/>
      <c r="AA201" s="6" t="s">
        <v>1382</v>
      </c>
      <c r="AB201" s="8"/>
    </row>
    <row r="202" spans="1:28" s="4" customFormat="1" ht="42" customHeight="1">
      <c r="A202" s="5">
        <v>0</v>
      </c>
      <c r="B202" s="6" t="s">
        <v>1431</v>
      </c>
      <c r="C202" s="13">
        <v>3120</v>
      </c>
      <c r="D202" s="8" t="s">
        <v>1432</v>
      </c>
      <c r="E202" s="8" t="s">
        <v>1433</v>
      </c>
      <c r="F202" s="8" t="s">
        <v>1434</v>
      </c>
      <c r="G202" s="6" t="s">
        <v>52</v>
      </c>
      <c r="H202" s="6" t="s">
        <v>53</v>
      </c>
      <c r="I202" s="8" t="s">
        <v>116</v>
      </c>
      <c r="J202" s="9">
        <v>1</v>
      </c>
      <c r="K202" s="9">
        <v>624</v>
      </c>
      <c r="L202" s="9">
        <v>2025</v>
      </c>
      <c r="M202" s="8" t="s">
        <v>1435</v>
      </c>
      <c r="N202" s="8" t="s">
        <v>41</v>
      </c>
      <c r="O202" s="8" t="s">
        <v>1007</v>
      </c>
      <c r="P202" s="6" t="s">
        <v>167</v>
      </c>
      <c r="Q202" s="8" t="s">
        <v>44</v>
      </c>
      <c r="R202" s="10" t="s">
        <v>1008</v>
      </c>
      <c r="S202" s="11"/>
      <c r="T202" s="6" t="s">
        <v>299</v>
      </c>
      <c r="U202" s="24" t="str">
        <f>HYPERLINK("https://media.infra-m.ru/1081/1081766/cover/1081766.jpg", "Обложка")</f>
        <v>Обложка</v>
      </c>
      <c r="V202" s="24" t="str">
        <f>HYPERLINK("https://znanium.ru/catalog/product/1081766", "Ознакомиться")</f>
        <v>Ознакомиться</v>
      </c>
      <c r="W202" s="8" t="s">
        <v>234</v>
      </c>
      <c r="X202" s="6" t="s">
        <v>1049</v>
      </c>
      <c r="Y202" s="6"/>
      <c r="Z202" s="6"/>
      <c r="AA202" s="6" t="s">
        <v>47</v>
      </c>
      <c r="AB202" s="8"/>
    </row>
    <row r="203" spans="1:28" s="4" customFormat="1" ht="51.95" customHeight="1">
      <c r="A203" s="5">
        <v>0</v>
      </c>
      <c r="B203" s="6" t="s">
        <v>1436</v>
      </c>
      <c r="C203" s="13">
        <v>1350</v>
      </c>
      <c r="D203" s="8" t="s">
        <v>1437</v>
      </c>
      <c r="E203" s="8" t="s">
        <v>1438</v>
      </c>
      <c r="F203" s="8" t="s">
        <v>1439</v>
      </c>
      <c r="G203" s="6" t="s">
        <v>38</v>
      </c>
      <c r="H203" s="6" t="s">
        <v>649</v>
      </c>
      <c r="I203" s="8" t="s">
        <v>185</v>
      </c>
      <c r="J203" s="9">
        <v>1</v>
      </c>
      <c r="K203" s="9">
        <v>288</v>
      </c>
      <c r="L203" s="9">
        <v>2024</v>
      </c>
      <c r="M203" s="8" t="s">
        <v>1440</v>
      </c>
      <c r="N203" s="8" t="s">
        <v>41</v>
      </c>
      <c r="O203" s="8" t="s">
        <v>1007</v>
      </c>
      <c r="P203" s="6" t="s">
        <v>43</v>
      </c>
      <c r="Q203" s="8" t="s">
        <v>102</v>
      </c>
      <c r="R203" s="10" t="s">
        <v>1349</v>
      </c>
      <c r="S203" s="11" t="s">
        <v>1441</v>
      </c>
      <c r="T203" s="6"/>
      <c r="U203" s="24" t="str">
        <f>HYPERLINK("https://media.infra-m.ru/2039/2039079/cover/2039079.jpg", "Обложка")</f>
        <v>Обложка</v>
      </c>
      <c r="V203" s="24" t="str">
        <f>HYPERLINK("https://znanium.ru/catalog/product/2039079", "Ознакомиться")</f>
        <v>Ознакомиться</v>
      </c>
      <c r="W203" s="8" t="s">
        <v>83</v>
      </c>
      <c r="X203" s="6"/>
      <c r="Y203" s="6"/>
      <c r="Z203" s="6"/>
      <c r="AA203" s="6" t="s">
        <v>1442</v>
      </c>
      <c r="AB203" s="8"/>
    </row>
    <row r="204" spans="1:28" s="4" customFormat="1" ht="51.95" customHeight="1">
      <c r="A204" s="5">
        <v>0</v>
      </c>
      <c r="B204" s="6" t="s">
        <v>1443</v>
      </c>
      <c r="C204" s="13">
        <v>1350</v>
      </c>
      <c r="D204" s="8" t="s">
        <v>1444</v>
      </c>
      <c r="E204" s="8" t="s">
        <v>1445</v>
      </c>
      <c r="F204" s="8" t="s">
        <v>1446</v>
      </c>
      <c r="G204" s="6" t="s">
        <v>89</v>
      </c>
      <c r="H204" s="6" t="s">
        <v>53</v>
      </c>
      <c r="I204" s="8" t="s">
        <v>100</v>
      </c>
      <c r="J204" s="9">
        <v>1</v>
      </c>
      <c r="K204" s="9">
        <v>269</v>
      </c>
      <c r="L204" s="9">
        <v>2025</v>
      </c>
      <c r="M204" s="8" t="s">
        <v>1447</v>
      </c>
      <c r="N204" s="8" t="s">
        <v>41</v>
      </c>
      <c r="O204" s="8" t="s">
        <v>1007</v>
      </c>
      <c r="P204" s="6" t="s">
        <v>43</v>
      </c>
      <c r="Q204" s="8" t="s">
        <v>102</v>
      </c>
      <c r="R204" s="10" t="s">
        <v>1197</v>
      </c>
      <c r="S204" s="11" t="s">
        <v>1448</v>
      </c>
      <c r="T204" s="6" t="s">
        <v>299</v>
      </c>
      <c r="U204" s="24" t="str">
        <f>HYPERLINK("https://media.infra-m.ru/2163/2163829/cover/2163829.jpg", "Обложка")</f>
        <v>Обложка</v>
      </c>
      <c r="V204" s="24" t="str">
        <f>HYPERLINK("https://znanium.ru/catalog/product/2163829", "Ознакомиться")</f>
        <v>Ознакомиться</v>
      </c>
      <c r="W204" s="8" t="s">
        <v>1449</v>
      </c>
      <c r="X204" s="6"/>
      <c r="Y204" s="6"/>
      <c r="Z204" s="6"/>
      <c r="AA204" s="6" t="s">
        <v>235</v>
      </c>
      <c r="AB204" s="8"/>
    </row>
    <row r="205" spans="1:28" s="4" customFormat="1" ht="51.95" customHeight="1">
      <c r="A205" s="5">
        <v>0</v>
      </c>
      <c r="B205" s="6" t="s">
        <v>1450</v>
      </c>
      <c r="C205" s="7">
        <v>694.9</v>
      </c>
      <c r="D205" s="8" t="s">
        <v>1451</v>
      </c>
      <c r="E205" s="8" t="s">
        <v>1452</v>
      </c>
      <c r="F205" s="8" t="s">
        <v>1369</v>
      </c>
      <c r="G205" s="6" t="s">
        <v>38</v>
      </c>
      <c r="H205" s="6" t="s">
        <v>53</v>
      </c>
      <c r="I205" s="8" t="s">
        <v>90</v>
      </c>
      <c r="J205" s="9">
        <v>1</v>
      </c>
      <c r="K205" s="9">
        <v>256</v>
      </c>
      <c r="L205" s="9">
        <v>2018</v>
      </c>
      <c r="M205" s="8" t="s">
        <v>1453</v>
      </c>
      <c r="N205" s="8" t="s">
        <v>41</v>
      </c>
      <c r="O205" s="8" t="s">
        <v>1007</v>
      </c>
      <c r="P205" s="6" t="s">
        <v>43</v>
      </c>
      <c r="Q205" s="8" t="s">
        <v>44</v>
      </c>
      <c r="R205" s="10" t="s">
        <v>1371</v>
      </c>
      <c r="S205" s="11" t="s">
        <v>1454</v>
      </c>
      <c r="T205" s="6"/>
      <c r="U205" s="24" t="str">
        <f>HYPERLINK("https://media.infra-m.ru/0946/0946115/cover/946115.jpg", "Обложка")</f>
        <v>Обложка</v>
      </c>
      <c r="V205" s="24" t="str">
        <f>HYPERLINK("https://znanium.ru/catalog/product/2130083", "Ознакомиться")</f>
        <v>Ознакомиться</v>
      </c>
      <c r="W205" s="8" t="s">
        <v>1373</v>
      </c>
      <c r="X205" s="6"/>
      <c r="Y205" s="6"/>
      <c r="Z205" s="6"/>
      <c r="AA205" s="6" t="s">
        <v>111</v>
      </c>
      <c r="AB205" s="8"/>
    </row>
    <row r="206" spans="1:28" s="4" customFormat="1" ht="51.95" customHeight="1">
      <c r="A206" s="5">
        <v>0</v>
      </c>
      <c r="B206" s="6" t="s">
        <v>1455</v>
      </c>
      <c r="C206" s="7">
        <v>730</v>
      </c>
      <c r="D206" s="8" t="s">
        <v>1456</v>
      </c>
      <c r="E206" s="8" t="s">
        <v>1457</v>
      </c>
      <c r="F206" s="8" t="s">
        <v>1458</v>
      </c>
      <c r="G206" s="6" t="s">
        <v>89</v>
      </c>
      <c r="H206" s="6" t="s">
        <v>649</v>
      </c>
      <c r="I206" s="8" t="s">
        <v>100</v>
      </c>
      <c r="J206" s="9">
        <v>1</v>
      </c>
      <c r="K206" s="9">
        <v>192</v>
      </c>
      <c r="L206" s="9">
        <v>2021</v>
      </c>
      <c r="M206" s="8" t="s">
        <v>1459</v>
      </c>
      <c r="N206" s="8" t="s">
        <v>41</v>
      </c>
      <c r="O206" s="8" t="s">
        <v>1007</v>
      </c>
      <c r="P206" s="6" t="s">
        <v>43</v>
      </c>
      <c r="Q206" s="8" t="s">
        <v>102</v>
      </c>
      <c r="R206" s="10" t="s">
        <v>1349</v>
      </c>
      <c r="S206" s="11" t="s">
        <v>1460</v>
      </c>
      <c r="T206" s="6"/>
      <c r="U206" s="24" t="str">
        <f>HYPERLINK("https://media.infra-m.ru/1844/1844464/cover/1844464.jpg", "Обложка")</f>
        <v>Обложка</v>
      </c>
      <c r="V206" s="24" t="str">
        <f>HYPERLINK("https://znanium.ru/catalog/product/1844464", "Ознакомиться")</f>
        <v>Ознакомиться</v>
      </c>
      <c r="W206" s="8" t="s">
        <v>1272</v>
      </c>
      <c r="X206" s="6"/>
      <c r="Y206" s="6"/>
      <c r="Z206" s="6"/>
      <c r="AA206" s="6" t="s">
        <v>1461</v>
      </c>
      <c r="AB206" s="8"/>
    </row>
    <row r="207" spans="1:28" s="4" customFormat="1" ht="51.95" customHeight="1">
      <c r="A207" s="5">
        <v>0</v>
      </c>
      <c r="B207" s="6" t="s">
        <v>1462</v>
      </c>
      <c r="C207" s="13">
        <v>1550</v>
      </c>
      <c r="D207" s="8" t="s">
        <v>1463</v>
      </c>
      <c r="E207" s="8" t="s">
        <v>1464</v>
      </c>
      <c r="F207" s="8" t="s">
        <v>1428</v>
      </c>
      <c r="G207" s="6" t="s">
        <v>89</v>
      </c>
      <c r="H207" s="6" t="s">
        <v>649</v>
      </c>
      <c r="I207" s="8" t="s">
        <v>100</v>
      </c>
      <c r="J207" s="9">
        <v>1</v>
      </c>
      <c r="K207" s="9">
        <v>335</v>
      </c>
      <c r="L207" s="9">
        <v>2024</v>
      </c>
      <c r="M207" s="8" t="s">
        <v>1465</v>
      </c>
      <c r="N207" s="8" t="s">
        <v>41</v>
      </c>
      <c r="O207" s="8" t="s">
        <v>1007</v>
      </c>
      <c r="P207" s="6" t="s">
        <v>167</v>
      </c>
      <c r="Q207" s="8" t="s">
        <v>102</v>
      </c>
      <c r="R207" s="10" t="s">
        <v>1349</v>
      </c>
      <c r="S207" s="11" t="s">
        <v>1466</v>
      </c>
      <c r="T207" s="6"/>
      <c r="U207" s="24" t="str">
        <f>HYPERLINK("https://media.infra-m.ru/2108/2108467/cover/2108467.jpg", "Обложка")</f>
        <v>Обложка</v>
      </c>
      <c r="V207" s="24" t="str">
        <f>HYPERLINK("https://znanium.ru/catalog/product/2108467", "Ознакомиться")</f>
        <v>Ознакомиться</v>
      </c>
      <c r="W207" s="8" t="s">
        <v>1272</v>
      </c>
      <c r="X207" s="6"/>
      <c r="Y207" s="6"/>
      <c r="Z207" s="6"/>
      <c r="AA207" s="6" t="s">
        <v>377</v>
      </c>
      <c r="AB207" s="8"/>
    </row>
    <row r="208" spans="1:28" s="4" customFormat="1" ht="51.95" customHeight="1">
      <c r="A208" s="5">
        <v>0</v>
      </c>
      <c r="B208" s="6" t="s">
        <v>1467</v>
      </c>
      <c r="C208" s="13">
        <v>1284</v>
      </c>
      <c r="D208" s="8" t="s">
        <v>1468</v>
      </c>
      <c r="E208" s="8" t="s">
        <v>1452</v>
      </c>
      <c r="F208" s="8" t="s">
        <v>1369</v>
      </c>
      <c r="G208" s="6" t="s">
        <v>89</v>
      </c>
      <c r="H208" s="6" t="s">
        <v>53</v>
      </c>
      <c r="I208" s="8" t="s">
        <v>100</v>
      </c>
      <c r="J208" s="9">
        <v>1</v>
      </c>
      <c r="K208" s="9">
        <v>256</v>
      </c>
      <c r="L208" s="9">
        <v>2025</v>
      </c>
      <c r="M208" s="8" t="s">
        <v>1469</v>
      </c>
      <c r="N208" s="8" t="s">
        <v>41</v>
      </c>
      <c r="O208" s="8" t="s">
        <v>1007</v>
      </c>
      <c r="P208" s="6" t="s">
        <v>43</v>
      </c>
      <c r="Q208" s="8" t="s">
        <v>102</v>
      </c>
      <c r="R208" s="10" t="s">
        <v>1197</v>
      </c>
      <c r="S208" s="11" t="s">
        <v>1470</v>
      </c>
      <c r="T208" s="6"/>
      <c r="U208" s="24" t="str">
        <f>HYPERLINK("https://media.infra-m.ru/2163/2163787/cover/2163787.jpg", "Обложка")</f>
        <v>Обложка</v>
      </c>
      <c r="V208" s="24" t="str">
        <f>HYPERLINK("https://znanium.ru/catalog/product/1036527", "Ознакомиться")</f>
        <v>Ознакомиться</v>
      </c>
      <c r="W208" s="8" t="s">
        <v>1373</v>
      </c>
      <c r="X208" s="6"/>
      <c r="Y208" s="6" t="s">
        <v>30</v>
      </c>
      <c r="Z208" s="6" t="s">
        <v>104</v>
      </c>
      <c r="AA208" s="6" t="s">
        <v>258</v>
      </c>
      <c r="AB208" s="8"/>
    </row>
    <row r="209" spans="1:28" s="4" customFormat="1" ht="44.1" customHeight="1">
      <c r="A209" s="5">
        <v>0</v>
      </c>
      <c r="B209" s="6" t="s">
        <v>1471</v>
      </c>
      <c r="C209" s="13">
        <v>1250</v>
      </c>
      <c r="D209" s="8" t="s">
        <v>1472</v>
      </c>
      <c r="E209" s="8" t="s">
        <v>1433</v>
      </c>
      <c r="F209" s="8" t="s">
        <v>1473</v>
      </c>
      <c r="G209" s="6" t="s">
        <v>52</v>
      </c>
      <c r="H209" s="6" t="s">
        <v>53</v>
      </c>
      <c r="I209" s="8" t="s">
        <v>116</v>
      </c>
      <c r="J209" s="9">
        <v>1</v>
      </c>
      <c r="K209" s="9">
        <v>235</v>
      </c>
      <c r="L209" s="9">
        <v>2025</v>
      </c>
      <c r="M209" s="8" t="s">
        <v>1474</v>
      </c>
      <c r="N209" s="8" t="s">
        <v>41</v>
      </c>
      <c r="O209" s="8" t="s">
        <v>1007</v>
      </c>
      <c r="P209" s="6" t="s">
        <v>167</v>
      </c>
      <c r="Q209" s="8" t="s">
        <v>44</v>
      </c>
      <c r="R209" s="10" t="s">
        <v>1475</v>
      </c>
      <c r="S209" s="11"/>
      <c r="T209" s="6"/>
      <c r="U209" s="24" t="str">
        <f>HYPERLINK("https://media.infra-m.ru/2162/2162835/cover/2162835.jpg", "Обложка")</f>
        <v>Обложка</v>
      </c>
      <c r="V209" s="24" t="str">
        <f>HYPERLINK("https://znanium.ru/catalog/product/2162835", "Ознакомиться")</f>
        <v>Ознакомиться</v>
      </c>
      <c r="W209" s="8" t="s">
        <v>1245</v>
      </c>
      <c r="X209" s="6" t="s">
        <v>1476</v>
      </c>
      <c r="Y209" s="6"/>
      <c r="Z209" s="6"/>
      <c r="AA209" s="6" t="s">
        <v>61</v>
      </c>
      <c r="AB209" s="8"/>
    </row>
    <row r="210" spans="1:28" s="4" customFormat="1" ht="51.95" customHeight="1">
      <c r="A210" s="5">
        <v>0</v>
      </c>
      <c r="B210" s="6" t="s">
        <v>1477</v>
      </c>
      <c r="C210" s="13">
        <v>1204</v>
      </c>
      <c r="D210" s="8" t="s">
        <v>1478</v>
      </c>
      <c r="E210" s="8" t="s">
        <v>1445</v>
      </c>
      <c r="F210" s="8" t="s">
        <v>1222</v>
      </c>
      <c r="G210" s="6" t="s">
        <v>89</v>
      </c>
      <c r="H210" s="6" t="s">
        <v>53</v>
      </c>
      <c r="I210" s="8" t="s">
        <v>223</v>
      </c>
      <c r="J210" s="9">
        <v>1</v>
      </c>
      <c r="K210" s="9">
        <v>262</v>
      </c>
      <c r="L210" s="9">
        <v>2021</v>
      </c>
      <c r="M210" s="8" t="s">
        <v>1479</v>
      </c>
      <c r="N210" s="8" t="s">
        <v>41</v>
      </c>
      <c r="O210" s="8" t="s">
        <v>1007</v>
      </c>
      <c r="P210" s="6" t="s">
        <v>167</v>
      </c>
      <c r="Q210" s="8" t="s">
        <v>102</v>
      </c>
      <c r="R210" s="10" t="s">
        <v>1349</v>
      </c>
      <c r="S210" s="11" t="s">
        <v>1480</v>
      </c>
      <c r="T210" s="6"/>
      <c r="U210" s="24" t="str">
        <f>HYPERLINK("https://media.infra-m.ru/2116/2116167/cover/2116167.jpg", "Обложка")</f>
        <v>Обложка</v>
      </c>
      <c r="V210" s="24" t="str">
        <f>HYPERLINK("https://znanium.ru/catalog/product/2115758", "Ознакомиться")</f>
        <v>Ознакомиться</v>
      </c>
      <c r="W210" s="8" t="s">
        <v>83</v>
      </c>
      <c r="X210" s="6"/>
      <c r="Y210" s="6"/>
      <c r="Z210" s="6"/>
      <c r="AA210" s="6" t="s">
        <v>219</v>
      </c>
      <c r="AB210" s="8"/>
    </row>
    <row r="211" spans="1:28" s="4" customFormat="1" ht="51.95" customHeight="1">
      <c r="A211" s="5">
        <v>0</v>
      </c>
      <c r="B211" s="6" t="s">
        <v>1481</v>
      </c>
      <c r="C211" s="13">
        <v>2694</v>
      </c>
      <c r="D211" s="8" t="s">
        <v>1482</v>
      </c>
      <c r="E211" s="8" t="s">
        <v>1483</v>
      </c>
      <c r="F211" s="8" t="s">
        <v>1333</v>
      </c>
      <c r="G211" s="6" t="s">
        <v>89</v>
      </c>
      <c r="H211" s="6" t="s">
        <v>53</v>
      </c>
      <c r="I211" s="8" t="s">
        <v>90</v>
      </c>
      <c r="J211" s="9">
        <v>1</v>
      </c>
      <c r="K211" s="9">
        <v>519</v>
      </c>
      <c r="L211" s="9">
        <v>2025</v>
      </c>
      <c r="M211" s="8" t="s">
        <v>1484</v>
      </c>
      <c r="N211" s="8" t="s">
        <v>41</v>
      </c>
      <c r="O211" s="8" t="s">
        <v>1007</v>
      </c>
      <c r="P211" s="6" t="s">
        <v>167</v>
      </c>
      <c r="Q211" s="8" t="s">
        <v>44</v>
      </c>
      <c r="R211" s="10" t="s">
        <v>1485</v>
      </c>
      <c r="S211" s="11" t="s">
        <v>1285</v>
      </c>
      <c r="T211" s="6" t="s">
        <v>299</v>
      </c>
      <c r="U211" s="24" t="str">
        <f>HYPERLINK("https://media.infra-m.ru/2196/2196866/cover/2196866.jpg", "Обложка")</f>
        <v>Обложка</v>
      </c>
      <c r="V211" s="24" t="str">
        <f>HYPERLINK("https://znanium.ru/catalog/product/2126465", "Ознакомиться")</f>
        <v>Ознакомиться</v>
      </c>
      <c r="W211" s="8" t="s">
        <v>71</v>
      </c>
      <c r="X211" s="6"/>
      <c r="Y211" s="6"/>
      <c r="Z211" s="6"/>
      <c r="AA211" s="6" t="s">
        <v>1486</v>
      </c>
      <c r="AB211" s="8"/>
    </row>
    <row r="212" spans="1:28" s="4" customFormat="1" ht="51.95" customHeight="1">
      <c r="A212" s="5">
        <v>0</v>
      </c>
      <c r="B212" s="6" t="s">
        <v>1487</v>
      </c>
      <c r="C212" s="13">
        <v>1944</v>
      </c>
      <c r="D212" s="8" t="s">
        <v>1488</v>
      </c>
      <c r="E212" s="8" t="s">
        <v>1489</v>
      </c>
      <c r="F212" s="8" t="s">
        <v>1333</v>
      </c>
      <c r="G212" s="6" t="s">
        <v>89</v>
      </c>
      <c r="H212" s="6" t="s">
        <v>53</v>
      </c>
      <c r="I212" s="8" t="s">
        <v>100</v>
      </c>
      <c r="J212" s="9">
        <v>1</v>
      </c>
      <c r="K212" s="9">
        <v>378</v>
      </c>
      <c r="L212" s="9">
        <v>2025</v>
      </c>
      <c r="M212" s="8" t="s">
        <v>1490</v>
      </c>
      <c r="N212" s="8" t="s">
        <v>41</v>
      </c>
      <c r="O212" s="8" t="s">
        <v>1007</v>
      </c>
      <c r="P212" s="6" t="s">
        <v>167</v>
      </c>
      <c r="Q212" s="8" t="s">
        <v>102</v>
      </c>
      <c r="R212" s="10" t="s">
        <v>1349</v>
      </c>
      <c r="S212" s="11" t="s">
        <v>1491</v>
      </c>
      <c r="T212" s="6"/>
      <c r="U212" s="24" t="str">
        <f>HYPERLINK("https://media.infra-m.ru/2163/2163826/cover/2163826.jpg", "Обложка")</f>
        <v>Обложка</v>
      </c>
      <c r="V212" s="24" t="str">
        <f>HYPERLINK("https://znanium.ru/catalog/product/2155845", "Ознакомиться")</f>
        <v>Ознакомиться</v>
      </c>
      <c r="W212" s="8" t="s">
        <v>71</v>
      </c>
      <c r="X212" s="6"/>
      <c r="Y212" s="6"/>
      <c r="Z212" s="6"/>
      <c r="AA212" s="6" t="s">
        <v>1492</v>
      </c>
      <c r="AB212" s="8"/>
    </row>
    <row r="213" spans="1:28" s="4" customFormat="1" ht="51.95" customHeight="1">
      <c r="A213" s="5">
        <v>0</v>
      </c>
      <c r="B213" s="6" t="s">
        <v>1493</v>
      </c>
      <c r="C213" s="7">
        <v>680</v>
      </c>
      <c r="D213" s="8" t="s">
        <v>1494</v>
      </c>
      <c r="E213" s="8" t="s">
        <v>1495</v>
      </c>
      <c r="F213" s="8" t="s">
        <v>1496</v>
      </c>
      <c r="G213" s="6" t="s">
        <v>38</v>
      </c>
      <c r="H213" s="6" t="s">
        <v>77</v>
      </c>
      <c r="I213" s="8" t="s">
        <v>77</v>
      </c>
      <c r="J213" s="9">
        <v>1</v>
      </c>
      <c r="K213" s="9">
        <v>136</v>
      </c>
      <c r="L213" s="9">
        <v>2024</v>
      </c>
      <c r="M213" s="8" t="s">
        <v>1497</v>
      </c>
      <c r="N213" s="8" t="s">
        <v>41</v>
      </c>
      <c r="O213" s="8" t="s">
        <v>118</v>
      </c>
      <c r="P213" s="6" t="s">
        <v>43</v>
      </c>
      <c r="Q213" s="8" t="s">
        <v>44</v>
      </c>
      <c r="R213" s="10" t="s">
        <v>1498</v>
      </c>
      <c r="S213" s="11"/>
      <c r="T213" s="6"/>
      <c r="U213" s="24" t="str">
        <f>HYPERLINK("https://media.infra-m.ru/2052/2052368/cover/2052368.jpg", "Обложка")</f>
        <v>Обложка</v>
      </c>
      <c r="V213" s="24" t="str">
        <f>HYPERLINK("https://znanium.ru/catalog/product/2052368", "Ознакомиться")</f>
        <v>Ознакомиться</v>
      </c>
      <c r="W213" s="8" t="s">
        <v>83</v>
      </c>
      <c r="X213" s="6"/>
      <c r="Y213" s="6"/>
      <c r="Z213" s="6"/>
      <c r="AA213" s="6" t="s">
        <v>160</v>
      </c>
      <c r="AB213" s="8"/>
    </row>
    <row r="214" spans="1:28" s="4" customFormat="1" ht="51.95" customHeight="1">
      <c r="A214" s="5">
        <v>0</v>
      </c>
      <c r="B214" s="6" t="s">
        <v>1499</v>
      </c>
      <c r="C214" s="13">
        <v>1054</v>
      </c>
      <c r="D214" s="8" t="s">
        <v>1500</v>
      </c>
      <c r="E214" s="8" t="s">
        <v>1501</v>
      </c>
      <c r="F214" s="8" t="s">
        <v>1502</v>
      </c>
      <c r="G214" s="6" t="s">
        <v>52</v>
      </c>
      <c r="H214" s="6" t="s">
        <v>53</v>
      </c>
      <c r="I214" s="8" t="s">
        <v>116</v>
      </c>
      <c r="J214" s="9">
        <v>1</v>
      </c>
      <c r="K214" s="9">
        <v>210</v>
      </c>
      <c r="L214" s="9">
        <v>2024</v>
      </c>
      <c r="M214" s="8" t="s">
        <v>1503</v>
      </c>
      <c r="N214" s="8" t="s">
        <v>41</v>
      </c>
      <c r="O214" s="8" t="s">
        <v>42</v>
      </c>
      <c r="P214" s="6" t="s">
        <v>43</v>
      </c>
      <c r="Q214" s="8" t="s">
        <v>44</v>
      </c>
      <c r="R214" s="10" t="s">
        <v>1504</v>
      </c>
      <c r="S214" s="11"/>
      <c r="T214" s="6"/>
      <c r="U214" s="24" t="str">
        <f>HYPERLINK("https://media.infra-m.ru/2166/2166377/cover/2166377.jpg", "Обложка")</f>
        <v>Обложка</v>
      </c>
      <c r="V214" s="24" t="str">
        <f>HYPERLINK("https://znanium.ru/catalog/product/2165014", "Ознакомиться")</f>
        <v>Ознакомиться</v>
      </c>
      <c r="W214" s="8" t="s">
        <v>1505</v>
      </c>
      <c r="X214" s="6"/>
      <c r="Y214" s="6"/>
      <c r="Z214" s="6"/>
      <c r="AA214" s="6" t="s">
        <v>207</v>
      </c>
      <c r="AB214" s="8" t="s">
        <v>1506</v>
      </c>
    </row>
    <row r="215" spans="1:28" s="4" customFormat="1" ht="51.95" customHeight="1">
      <c r="A215" s="5">
        <v>0</v>
      </c>
      <c r="B215" s="6" t="s">
        <v>1507</v>
      </c>
      <c r="C215" s="13">
        <v>2484</v>
      </c>
      <c r="D215" s="8" t="s">
        <v>1508</v>
      </c>
      <c r="E215" s="8" t="s">
        <v>1509</v>
      </c>
      <c r="F215" s="8" t="s">
        <v>1510</v>
      </c>
      <c r="G215" s="6" t="s">
        <v>52</v>
      </c>
      <c r="H215" s="6" t="s">
        <v>53</v>
      </c>
      <c r="I215" s="8" t="s">
        <v>90</v>
      </c>
      <c r="J215" s="9">
        <v>1</v>
      </c>
      <c r="K215" s="9">
        <v>496</v>
      </c>
      <c r="L215" s="9">
        <v>2025</v>
      </c>
      <c r="M215" s="8" t="s">
        <v>1511</v>
      </c>
      <c r="N215" s="8" t="s">
        <v>413</v>
      </c>
      <c r="O215" s="8" t="s">
        <v>1141</v>
      </c>
      <c r="P215" s="6" t="s">
        <v>43</v>
      </c>
      <c r="Q215" s="8" t="s">
        <v>44</v>
      </c>
      <c r="R215" s="10" t="s">
        <v>1512</v>
      </c>
      <c r="S215" s="11" t="s">
        <v>1513</v>
      </c>
      <c r="T215" s="6"/>
      <c r="U215" s="24" t="str">
        <f>HYPERLINK("https://media.infra-m.ru/2187/2187817/cover/2187817.jpg", "Обложка")</f>
        <v>Обложка</v>
      </c>
      <c r="V215" s="24" t="str">
        <f>HYPERLINK("https://znanium.ru/catalog/product/1567547", "Ознакомиться")</f>
        <v>Ознакомиться</v>
      </c>
      <c r="W215" s="8" t="s">
        <v>1514</v>
      </c>
      <c r="X215" s="6"/>
      <c r="Y215" s="6"/>
      <c r="Z215" s="6"/>
      <c r="AA215" s="6" t="s">
        <v>160</v>
      </c>
      <c r="AB215" s="8"/>
    </row>
    <row r="216" spans="1:28" s="4" customFormat="1" ht="51.95" customHeight="1">
      <c r="A216" s="5">
        <v>0</v>
      </c>
      <c r="B216" s="6" t="s">
        <v>1515</v>
      </c>
      <c r="C216" s="13">
        <v>2234</v>
      </c>
      <c r="D216" s="8" t="s">
        <v>1516</v>
      </c>
      <c r="E216" s="8" t="s">
        <v>1517</v>
      </c>
      <c r="F216" s="8" t="s">
        <v>1518</v>
      </c>
      <c r="G216" s="6" t="s">
        <v>52</v>
      </c>
      <c r="H216" s="6" t="s">
        <v>53</v>
      </c>
      <c r="I216" s="8" t="s">
        <v>116</v>
      </c>
      <c r="J216" s="9">
        <v>1</v>
      </c>
      <c r="K216" s="9">
        <v>429</v>
      </c>
      <c r="L216" s="9">
        <v>2025</v>
      </c>
      <c r="M216" s="8" t="s">
        <v>1519</v>
      </c>
      <c r="N216" s="8" t="s">
        <v>79</v>
      </c>
      <c r="O216" s="8" t="s">
        <v>174</v>
      </c>
      <c r="P216" s="6" t="s">
        <v>43</v>
      </c>
      <c r="Q216" s="8" t="s">
        <v>44</v>
      </c>
      <c r="R216" s="10" t="s">
        <v>1520</v>
      </c>
      <c r="S216" s="11" t="s">
        <v>1521</v>
      </c>
      <c r="T216" s="6"/>
      <c r="U216" s="24" t="str">
        <f>HYPERLINK("https://media.infra-m.ru/2194/2194325/cover/2194325.jpg", "Обложка")</f>
        <v>Обложка</v>
      </c>
      <c r="V216" s="24" t="str">
        <f>HYPERLINK("https://znanium.ru/catalog/product/419619", "Ознакомиться")</f>
        <v>Ознакомиться</v>
      </c>
      <c r="W216" s="8" t="s">
        <v>1522</v>
      </c>
      <c r="X216" s="6"/>
      <c r="Y216" s="6"/>
      <c r="Z216" s="6"/>
      <c r="AA216" s="6" t="s">
        <v>47</v>
      </c>
      <c r="AB216" s="8"/>
    </row>
    <row r="217" spans="1:28" s="4" customFormat="1" ht="51.95" customHeight="1">
      <c r="A217" s="5">
        <v>0</v>
      </c>
      <c r="B217" s="6" t="s">
        <v>1523</v>
      </c>
      <c r="C217" s="13">
        <v>2644</v>
      </c>
      <c r="D217" s="8" t="s">
        <v>1524</v>
      </c>
      <c r="E217" s="8" t="s">
        <v>1525</v>
      </c>
      <c r="F217" s="8" t="s">
        <v>1526</v>
      </c>
      <c r="G217" s="6" t="s">
        <v>52</v>
      </c>
      <c r="H217" s="6" t="s">
        <v>53</v>
      </c>
      <c r="I217" s="8" t="s">
        <v>90</v>
      </c>
      <c r="J217" s="9">
        <v>1</v>
      </c>
      <c r="K217" s="9">
        <v>542</v>
      </c>
      <c r="L217" s="9">
        <v>2025</v>
      </c>
      <c r="M217" s="8" t="s">
        <v>1527</v>
      </c>
      <c r="N217" s="8" t="s">
        <v>413</v>
      </c>
      <c r="O217" s="8" t="s">
        <v>1528</v>
      </c>
      <c r="P217" s="6" t="s">
        <v>43</v>
      </c>
      <c r="Q217" s="8" t="s">
        <v>44</v>
      </c>
      <c r="R217" s="10" t="s">
        <v>1529</v>
      </c>
      <c r="S217" s="11" t="s">
        <v>1530</v>
      </c>
      <c r="T217" s="6"/>
      <c r="U217" s="24" t="str">
        <f>HYPERLINK("https://media.infra-m.ru/2161/2161684/cover/2161684.jpg", "Обложка")</f>
        <v>Обложка</v>
      </c>
      <c r="V217" s="24" t="str">
        <f>HYPERLINK("https://znanium.ru/catalog/product/1940916", "Ознакомиться")</f>
        <v>Ознакомиться</v>
      </c>
      <c r="W217" s="8" t="s">
        <v>1522</v>
      </c>
      <c r="X217" s="6"/>
      <c r="Y217" s="6"/>
      <c r="Z217" s="6"/>
      <c r="AA217" s="6" t="s">
        <v>1461</v>
      </c>
      <c r="AB217" s="8"/>
    </row>
    <row r="218" spans="1:28" s="4" customFormat="1" ht="51.95" customHeight="1">
      <c r="A218" s="5">
        <v>0</v>
      </c>
      <c r="B218" s="6" t="s">
        <v>1531</v>
      </c>
      <c r="C218" s="7">
        <v>970</v>
      </c>
      <c r="D218" s="8" t="s">
        <v>1532</v>
      </c>
      <c r="E218" s="8" t="s">
        <v>1533</v>
      </c>
      <c r="F218" s="8" t="s">
        <v>1534</v>
      </c>
      <c r="G218" s="6" t="s">
        <v>89</v>
      </c>
      <c r="H218" s="6" t="s">
        <v>53</v>
      </c>
      <c r="I218" s="8" t="s">
        <v>116</v>
      </c>
      <c r="J218" s="9">
        <v>1</v>
      </c>
      <c r="K218" s="9">
        <v>206</v>
      </c>
      <c r="L218" s="9">
        <v>2024</v>
      </c>
      <c r="M218" s="8" t="s">
        <v>1535</v>
      </c>
      <c r="N218" s="8" t="s">
        <v>413</v>
      </c>
      <c r="O218" s="8" t="s">
        <v>1528</v>
      </c>
      <c r="P218" s="6" t="s">
        <v>43</v>
      </c>
      <c r="Q218" s="8" t="s">
        <v>44</v>
      </c>
      <c r="R218" s="10" t="s">
        <v>1536</v>
      </c>
      <c r="S218" s="11" t="s">
        <v>1537</v>
      </c>
      <c r="T218" s="6"/>
      <c r="U218" s="24" t="str">
        <f>HYPERLINK("https://media.infra-m.ru/2139/2139896/cover/2139896.jpg", "Обложка")</f>
        <v>Обложка</v>
      </c>
      <c r="V218" s="24" t="str">
        <f>HYPERLINK("https://znanium.ru/catalog/product/2139896", "Ознакомиться")</f>
        <v>Ознакомиться</v>
      </c>
      <c r="W218" s="8" t="s">
        <v>1522</v>
      </c>
      <c r="X218" s="6"/>
      <c r="Y218" s="6"/>
      <c r="Z218" s="6"/>
      <c r="AA218" s="6" t="s">
        <v>47</v>
      </c>
      <c r="AB218" s="8"/>
    </row>
    <row r="219" spans="1:28" s="4" customFormat="1" ht="51.95" customHeight="1">
      <c r="A219" s="5">
        <v>0</v>
      </c>
      <c r="B219" s="6" t="s">
        <v>1538</v>
      </c>
      <c r="C219" s="13">
        <v>1990</v>
      </c>
      <c r="D219" s="8" t="s">
        <v>1539</v>
      </c>
      <c r="E219" s="8" t="s">
        <v>1540</v>
      </c>
      <c r="F219" s="8" t="s">
        <v>1541</v>
      </c>
      <c r="G219" s="6" t="s">
        <v>52</v>
      </c>
      <c r="H219" s="6" t="s">
        <v>53</v>
      </c>
      <c r="I219" s="8" t="s">
        <v>100</v>
      </c>
      <c r="J219" s="9">
        <v>1</v>
      </c>
      <c r="K219" s="9">
        <v>394</v>
      </c>
      <c r="L219" s="9">
        <v>2025</v>
      </c>
      <c r="M219" s="8" t="s">
        <v>1542</v>
      </c>
      <c r="N219" s="8" t="s">
        <v>413</v>
      </c>
      <c r="O219" s="8" t="s">
        <v>1528</v>
      </c>
      <c r="P219" s="6" t="s">
        <v>167</v>
      </c>
      <c r="Q219" s="8" t="s">
        <v>102</v>
      </c>
      <c r="R219" s="10" t="s">
        <v>1543</v>
      </c>
      <c r="S219" s="11"/>
      <c r="T219" s="6"/>
      <c r="U219" s="24" t="str">
        <f>HYPERLINK("https://media.infra-m.ru/2169/2169779/cover/2169779.jpg", "Обложка")</f>
        <v>Обложка</v>
      </c>
      <c r="V219" s="24" t="str">
        <f>HYPERLINK("https://znanium.ru/catalog/product/2169779", "Ознакомиться")</f>
        <v>Ознакомиться</v>
      </c>
      <c r="W219" s="8" t="s">
        <v>1544</v>
      </c>
      <c r="X219" s="6" t="s">
        <v>785</v>
      </c>
      <c r="Y219" s="6"/>
      <c r="Z219" s="6" t="s">
        <v>104</v>
      </c>
      <c r="AA219" s="6" t="s">
        <v>61</v>
      </c>
      <c r="AB219" s="8"/>
    </row>
    <row r="220" spans="1:28" s="4" customFormat="1" ht="51.95" customHeight="1">
      <c r="A220" s="5">
        <v>0</v>
      </c>
      <c r="B220" s="6" t="s">
        <v>1545</v>
      </c>
      <c r="C220" s="13">
        <v>2044</v>
      </c>
      <c r="D220" s="8" t="s">
        <v>1546</v>
      </c>
      <c r="E220" s="8" t="s">
        <v>1540</v>
      </c>
      <c r="F220" s="8" t="s">
        <v>1541</v>
      </c>
      <c r="G220" s="6" t="s">
        <v>89</v>
      </c>
      <c r="H220" s="6" t="s">
        <v>53</v>
      </c>
      <c r="I220" s="8" t="s">
        <v>90</v>
      </c>
      <c r="J220" s="9">
        <v>1</v>
      </c>
      <c r="K220" s="9">
        <v>394</v>
      </c>
      <c r="L220" s="9">
        <v>2025</v>
      </c>
      <c r="M220" s="8" t="s">
        <v>1547</v>
      </c>
      <c r="N220" s="8" t="s">
        <v>413</v>
      </c>
      <c r="O220" s="8" t="s">
        <v>1528</v>
      </c>
      <c r="P220" s="6" t="s">
        <v>167</v>
      </c>
      <c r="Q220" s="8" t="s">
        <v>44</v>
      </c>
      <c r="R220" s="10" t="s">
        <v>1548</v>
      </c>
      <c r="S220" s="11" t="s">
        <v>1549</v>
      </c>
      <c r="T220" s="6"/>
      <c r="U220" s="24" t="str">
        <f>HYPERLINK("https://media.infra-m.ru/2198/2198261/cover/2198261.jpg", "Обложка")</f>
        <v>Обложка</v>
      </c>
      <c r="V220" s="24" t="str">
        <f>HYPERLINK("https://znanium.ru/catalog/product/2168772", "Ознакомиться")</f>
        <v>Ознакомиться</v>
      </c>
      <c r="W220" s="8" t="s">
        <v>1544</v>
      </c>
      <c r="X220" s="6"/>
      <c r="Y220" s="6"/>
      <c r="Z220" s="6"/>
      <c r="AA220" s="6" t="s">
        <v>418</v>
      </c>
      <c r="AB220" s="8"/>
    </row>
    <row r="221" spans="1:28" s="4" customFormat="1" ht="42" customHeight="1">
      <c r="A221" s="5">
        <v>0</v>
      </c>
      <c r="B221" s="6" t="s">
        <v>1550</v>
      </c>
      <c r="C221" s="7">
        <v>894.9</v>
      </c>
      <c r="D221" s="8" t="s">
        <v>1551</v>
      </c>
      <c r="E221" s="8" t="s">
        <v>1552</v>
      </c>
      <c r="F221" s="8" t="s">
        <v>1553</v>
      </c>
      <c r="G221" s="6" t="s">
        <v>52</v>
      </c>
      <c r="H221" s="6" t="s">
        <v>53</v>
      </c>
      <c r="I221" s="8" t="s">
        <v>90</v>
      </c>
      <c r="J221" s="9">
        <v>1</v>
      </c>
      <c r="K221" s="9">
        <v>172</v>
      </c>
      <c r="L221" s="9">
        <v>2022</v>
      </c>
      <c r="M221" s="8" t="s">
        <v>1554</v>
      </c>
      <c r="N221" s="8" t="s">
        <v>413</v>
      </c>
      <c r="O221" s="8" t="s">
        <v>414</v>
      </c>
      <c r="P221" s="6" t="s">
        <v>43</v>
      </c>
      <c r="Q221" s="8" t="s">
        <v>44</v>
      </c>
      <c r="R221" s="10" t="s">
        <v>1555</v>
      </c>
      <c r="S221" s="11"/>
      <c r="T221" s="6"/>
      <c r="U221" s="24" t="str">
        <f>HYPERLINK("https://media.infra-m.ru/1902/1902791/cover/1902791.jpg", "Обложка")</f>
        <v>Обложка</v>
      </c>
      <c r="V221" s="24" t="str">
        <f>HYPERLINK("https://znanium.ru/catalog/product/1568658", "Ознакомиться")</f>
        <v>Ознакомиться</v>
      </c>
      <c r="W221" s="8"/>
      <c r="X221" s="6"/>
      <c r="Y221" s="6"/>
      <c r="Z221" s="6"/>
      <c r="AA221" s="6" t="s">
        <v>235</v>
      </c>
      <c r="AB221" s="8"/>
    </row>
    <row r="222" spans="1:28" s="4" customFormat="1" ht="51.95" customHeight="1">
      <c r="A222" s="5">
        <v>0</v>
      </c>
      <c r="B222" s="6" t="s">
        <v>1556</v>
      </c>
      <c r="C222" s="13">
        <v>1754.9</v>
      </c>
      <c r="D222" s="8" t="s">
        <v>1557</v>
      </c>
      <c r="E222" s="8" t="s">
        <v>1558</v>
      </c>
      <c r="F222" s="8" t="s">
        <v>1559</v>
      </c>
      <c r="G222" s="6" t="s">
        <v>52</v>
      </c>
      <c r="H222" s="6" t="s">
        <v>53</v>
      </c>
      <c r="I222" s="8" t="s">
        <v>90</v>
      </c>
      <c r="J222" s="9">
        <v>1</v>
      </c>
      <c r="K222" s="9">
        <v>391</v>
      </c>
      <c r="L222" s="9">
        <v>2023</v>
      </c>
      <c r="M222" s="8" t="s">
        <v>1560</v>
      </c>
      <c r="N222" s="8" t="s">
        <v>79</v>
      </c>
      <c r="O222" s="8" t="s">
        <v>148</v>
      </c>
      <c r="P222" s="6" t="s">
        <v>43</v>
      </c>
      <c r="Q222" s="8" t="s">
        <v>44</v>
      </c>
      <c r="R222" s="10" t="s">
        <v>1561</v>
      </c>
      <c r="S222" s="11" t="s">
        <v>1562</v>
      </c>
      <c r="T222" s="6"/>
      <c r="U222" s="24" t="str">
        <f>HYPERLINK("https://media.infra-m.ru/1981/1981681/cover/1981681.jpg", "Обложка")</f>
        <v>Обложка</v>
      </c>
      <c r="V222" s="24" t="str">
        <f>HYPERLINK("https://znanium.ru/catalog/product/1222420", "Ознакомиться")</f>
        <v>Ознакомиться</v>
      </c>
      <c r="W222" s="8" t="s">
        <v>1563</v>
      </c>
      <c r="X222" s="6"/>
      <c r="Y222" s="6"/>
      <c r="Z222" s="6"/>
      <c r="AA222" s="6" t="s">
        <v>47</v>
      </c>
      <c r="AB222" s="8"/>
    </row>
    <row r="223" spans="1:28" s="4" customFormat="1" ht="51.95" customHeight="1">
      <c r="A223" s="5">
        <v>0</v>
      </c>
      <c r="B223" s="6" t="s">
        <v>1564</v>
      </c>
      <c r="C223" s="7">
        <v>600</v>
      </c>
      <c r="D223" s="8" t="s">
        <v>1565</v>
      </c>
      <c r="E223" s="8" t="s">
        <v>1566</v>
      </c>
      <c r="F223" s="8" t="s">
        <v>1567</v>
      </c>
      <c r="G223" s="6" t="s">
        <v>38</v>
      </c>
      <c r="H223" s="6" t="s">
        <v>53</v>
      </c>
      <c r="I223" s="8" t="s">
        <v>90</v>
      </c>
      <c r="J223" s="9">
        <v>1</v>
      </c>
      <c r="K223" s="9">
        <v>176</v>
      </c>
      <c r="L223" s="9">
        <v>2020</v>
      </c>
      <c r="M223" s="8" t="s">
        <v>1568</v>
      </c>
      <c r="N223" s="8" t="s">
        <v>79</v>
      </c>
      <c r="O223" s="8" t="s">
        <v>396</v>
      </c>
      <c r="P223" s="6" t="s">
        <v>43</v>
      </c>
      <c r="Q223" s="8" t="s">
        <v>44</v>
      </c>
      <c r="R223" s="10" t="s">
        <v>1569</v>
      </c>
      <c r="S223" s="11" t="s">
        <v>1570</v>
      </c>
      <c r="T223" s="6"/>
      <c r="U223" s="24" t="str">
        <f>HYPERLINK("https://media.infra-m.ru/1085/1085367/cover/1085367.jpg", "Обложка")</f>
        <v>Обложка</v>
      </c>
      <c r="V223" s="24" t="str">
        <f>HYPERLINK("https://znanium.ru/catalog/product/1085367", "Ознакомиться")</f>
        <v>Ознакомиться</v>
      </c>
      <c r="W223" s="8" t="s">
        <v>1571</v>
      </c>
      <c r="X223" s="6"/>
      <c r="Y223" s="6"/>
      <c r="Z223" s="6"/>
      <c r="AA223" s="6" t="s">
        <v>418</v>
      </c>
      <c r="AB223" s="8"/>
    </row>
    <row r="224" spans="1:28" s="4" customFormat="1" ht="51.95" customHeight="1">
      <c r="A224" s="5">
        <v>0</v>
      </c>
      <c r="B224" s="6" t="s">
        <v>1572</v>
      </c>
      <c r="C224" s="13">
        <v>1490</v>
      </c>
      <c r="D224" s="8" t="s">
        <v>1573</v>
      </c>
      <c r="E224" s="8" t="s">
        <v>1574</v>
      </c>
      <c r="F224" s="8" t="s">
        <v>1575</v>
      </c>
      <c r="G224" s="6" t="s">
        <v>89</v>
      </c>
      <c r="H224" s="6" t="s">
        <v>53</v>
      </c>
      <c r="I224" s="8" t="s">
        <v>116</v>
      </c>
      <c r="J224" s="9">
        <v>1</v>
      </c>
      <c r="K224" s="9">
        <v>288</v>
      </c>
      <c r="L224" s="9">
        <v>2025</v>
      </c>
      <c r="M224" s="8" t="s">
        <v>1576</v>
      </c>
      <c r="N224" s="8" t="s">
        <v>41</v>
      </c>
      <c r="O224" s="8" t="s">
        <v>278</v>
      </c>
      <c r="P224" s="6" t="s">
        <v>43</v>
      </c>
      <c r="Q224" s="8" t="s">
        <v>44</v>
      </c>
      <c r="R224" s="10" t="s">
        <v>1577</v>
      </c>
      <c r="S224" s="11" t="s">
        <v>1578</v>
      </c>
      <c r="T224" s="6"/>
      <c r="U224" s="24" t="str">
        <f>HYPERLINK("https://media.infra-m.ru/2197/2197607/cover/2197607.jpg", "Обложка")</f>
        <v>Обложка</v>
      </c>
      <c r="V224" s="24" t="str">
        <f>HYPERLINK("https://znanium.ru/catalog/product/2197607", "Ознакомиться")</f>
        <v>Ознакомиться</v>
      </c>
      <c r="W224" s="8" t="s">
        <v>399</v>
      </c>
      <c r="X224" s="6"/>
      <c r="Y224" s="6"/>
      <c r="Z224" s="6"/>
      <c r="AA224" s="6" t="s">
        <v>47</v>
      </c>
      <c r="AB224" s="8"/>
    </row>
    <row r="225" spans="1:28" s="4" customFormat="1" ht="51.95" customHeight="1">
      <c r="A225" s="5">
        <v>0</v>
      </c>
      <c r="B225" s="6" t="s">
        <v>1579</v>
      </c>
      <c r="C225" s="13">
        <v>1760</v>
      </c>
      <c r="D225" s="8" t="s">
        <v>1580</v>
      </c>
      <c r="E225" s="8" t="s">
        <v>1581</v>
      </c>
      <c r="F225" s="8" t="s">
        <v>1582</v>
      </c>
      <c r="G225" s="6" t="s">
        <v>89</v>
      </c>
      <c r="H225" s="6" t="s">
        <v>53</v>
      </c>
      <c r="I225" s="8" t="s">
        <v>100</v>
      </c>
      <c r="J225" s="9">
        <v>1</v>
      </c>
      <c r="K225" s="9">
        <v>352</v>
      </c>
      <c r="L225" s="9">
        <v>2025</v>
      </c>
      <c r="M225" s="8" t="s">
        <v>1583</v>
      </c>
      <c r="N225" s="8" t="s">
        <v>413</v>
      </c>
      <c r="O225" s="8" t="s">
        <v>1584</v>
      </c>
      <c r="P225" s="6" t="s">
        <v>167</v>
      </c>
      <c r="Q225" s="8" t="s">
        <v>102</v>
      </c>
      <c r="R225" s="10" t="s">
        <v>1585</v>
      </c>
      <c r="S225" s="11" t="s">
        <v>1586</v>
      </c>
      <c r="T225" s="6"/>
      <c r="U225" s="24" t="str">
        <f>HYPERLINK("https://media.infra-m.ru/2184/2184924/cover/2184924.jpg", "Обложка")</f>
        <v>Обложка</v>
      </c>
      <c r="V225" s="24" t="str">
        <f>HYPERLINK("https://znanium.ru/catalog/product/2184924", "Ознакомиться")</f>
        <v>Ознакомиться</v>
      </c>
      <c r="W225" s="8" t="s">
        <v>1587</v>
      </c>
      <c r="X225" s="6"/>
      <c r="Y225" s="6"/>
      <c r="Z225" s="6" t="s">
        <v>104</v>
      </c>
      <c r="AA225" s="6" t="s">
        <v>258</v>
      </c>
      <c r="AB225" s="8"/>
    </row>
    <row r="226" spans="1:28" s="4" customFormat="1" ht="51.95" customHeight="1">
      <c r="A226" s="5">
        <v>0</v>
      </c>
      <c r="B226" s="6" t="s">
        <v>1588</v>
      </c>
      <c r="C226" s="13">
        <v>1830</v>
      </c>
      <c r="D226" s="8" t="s">
        <v>1589</v>
      </c>
      <c r="E226" s="8" t="s">
        <v>1581</v>
      </c>
      <c r="F226" s="8" t="s">
        <v>1582</v>
      </c>
      <c r="G226" s="6" t="s">
        <v>89</v>
      </c>
      <c r="H226" s="6" t="s">
        <v>53</v>
      </c>
      <c r="I226" s="8" t="s">
        <v>116</v>
      </c>
      <c r="J226" s="9">
        <v>1</v>
      </c>
      <c r="K226" s="9">
        <v>352</v>
      </c>
      <c r="L226" s="9">
        <v>2025</v>
      </c>
      <c r="M226" s="8" t="s">
        <v>1590</v>
      </c>
      <c r="N226" s="8" t="s">
        <v>413</v>
      </c>
      <c r="O226" s="8" t="s">
        <v>1584</v>
      </c>
      <c r="P226" s="6" t="s">
        <v>167</v>
      </c>
      <c r="Q226" s="8" t="s">
        <v>44</v>
      </c>
      <c r="R226" s="10" t="s">
        <v>1591</v>
      </c>
      <c r="S226" s="11" t="s">
        <v>1592</v>
      </c>
      <c r="T226" s="6"/>
      <c r="U226" s="24" t="str">
        <f>HYPERLINK("https://media.infra-m.ru/2191/2191618/cover/2191618.jpg", "Обложка")</f>
        <v>Обложка</v>
      </c>
      <c r="V226" s="24" t="str">
        <f>HYPERLINK("https://znanium.ru/catalog/product/2191618", "Ознакомиться")</f>
        <v>Ознакомиться</v>
      </c>
      <c r="W226" s="8" t="s">
        <v>1587</v>
      </c>
      <c r="X226" s="6"/>
      <c r="Y226" s="6"/>
      <c r="Z226" s="6"/>
      <c r="AA226" s="6" t="s">
        <v>84</v>
      </c>
      <c r="AB226" s="8"/>
    </row>
    <row r="227" spans="1:28" s="4" customFormat="1" ht="51.95" customHeight="1">
      <c r="A227" s="5">
        <v>0</v>
      </c>
      <c r="B227" s="6" t="s">
        <v>1593</v>
      </c>
      <c r="C227" s="7">
        <v>850</v>
      </c>
      <c r="D227" s="8" t="s">
        <v>1594</v>
      </c>
      <c r="E227" s="8" t="s">
        <v>1595</v>
      </c>
      <c r="F227" s="8" t="s">
        <v>1596</v>
      </c>
      <c r="G227" s="6" t="s">
        <v>38</v>
      </c>
      <c r="H227" s="6" t="s">
        <v>53</v>
      </c>
      <c r="I227" s="8" t="s">
        <v>116</v>
      </c>
      <c r="J227" s="9">
        <v>1</v>
      </c>
      <c r="K227" s="9">
        <v>178</v>
      </c>
      <c r="L227" s="9">
        <v>2024</v>
      </c>
      <c r="M227" s="8" t="s">
        <v>1597</v>
      </c>
      <c r="N227" s="8" t="s">
        <v>79</v>
      </c>
      <c r="O227" s="8" t="s">
        <v>174</v>
      </c>
      <c r="P227" s="6" t="s">
        <v>167</v>
      </c>
      <c r="Q227" s="8" t="s">
        <v>44</v>
      </c>
      <c r="R227" s="10" t="s">
        <v>1598</v>
      </c>
      <c r="S227" s="11" t="s">
        <v>1599</v>
      </c>
      <c r="T227" s="6"/>
      <c r="U227" s="24" t="str">
        <f>HYPERLINK("https://media.infra-m.ru/2133/2133001/cover/2133001.jpg", "Обложка")</f>
        <v>Обложка</v>
      </c>
      <c r="V227" s="24" t="str">
        <f>HYPERLINK("https://znanium.ru/catalog/product/2133001", "Ознакомиться")</f>
        <v>Ознакомиться</v>
      </c>
      <c r="W227" s="8" t="s">
        <v>94</v>
      </c>
      <c r="X227" s="6"/>
      <c r="Y227" s="6"/>
      <c r="Z227" s="6"/>
      <c r="AA227" s="6" t="s">
        <v>418</v>
      </c>
      <c r="AB227" s="8"/>
    </row>
    <row r="228" spans="1:28" s="4" customFormat="1" ht="51.95" customHeight="1">
      <c r="A228" s="5">
        <v>0</v>
      </c>
      <c r="B228" s="6" t="s">
        <v>1600</v>
      </c>
      <c r="C228" s="7">
        <v>830</v>
      </c>
      <c r="D228" s="8" t="s">
        <v>1601</v>
      </c>
      <c r="E228" s="8" t="s">
        <v>1595</v>
      </c>
      <c r="F228" s="8" t="s">
        <v>1602</v>
      </c>
      <c r="G228" s="6" t="s">
        <v>89</v>
      </c>
      <c r="H228" s="6" t="s">
        <v>53</v>
      </c>
      <c r="I228" s="8" t="s">
        <v>100</v>
      </c>
      <c r="J228" s="9">
        <v>1</v>
      </c>
      <c r="K228" s="9">
        <v>178</v>
      </c>
      <c r="L228" s="9">
        <v>2024</v>
      </c>
      <c r="M228" s="8" t="s">
        <v>1603</v>
      </c>
      <c r="N228" s="8" t="s">
        <v>79</v>
      </c>
      <c r="O228" s="8" t="s">
        <v>174</v>
      </c>
      <c r="P228" s="6" t="s">
        <v>167</v>
      </c>
      <c r="Q228" s="8" t="s">
        <v>102</v>
      </c>
      <c r="R228" s="10" t="s">
        <v>1604</v>
      </c>
      <c r="S228" s="11" t="s">
        <v>1605</v>
      </c>
      <c r="T228" s="6"/>
      <c r="U228" s="24" t="str">
        <f>HYPERLINK("https://media.infra-m.ru/2133/2133004/cover/2133004.jpg", "Обложка")</f>
        <v>Обложка</v>
      </c>
      <c r="V228" s="24" t="str">
        <f>HYPERLINK("https://znanium.ru/catalog/product/2133004", "Ознакомиться")</f>
        <v>Ознакомиться</v>
      </c>
      <c r="W228" s="8" t="s">
        <v>94</v>
      </c>
      <c r="X228" s="6"/>
      <c r="Y228" s="6"/>
      <c r="Z228" s="6" t="s">
        <v>104</v>
      </c>
      <c r="AA228" s="6" t="s">
        <v>151</v>
      </c>
      <c r="AB228" s="8"/>
    </row>
    <row r="229" spans="1:28" s="4" customFormat="1" ht="51.95" customHeight="1">
      <c r="A229" s="5">
        <v>0</v>
      </c>
      <c r="B229" s="6" t="s">
        <v>1606</v>
      </c>
      <c r="C229" s="13">
        <v>1520</v>
      </c>
      <c r="D229" s="8" t="s">
        <v>1607</v>
      </c>
      <c r="E229" s="8" t="s">
        <v>1608</v>
      </c>
      <c r="F229" s="8" t="s">
        <v>1609</v>
      </c>
      <c r="G229" s="6" t="s">
        <v>89</v>
      </c>
      <c r="H229" s="6" t="s">
        <v>53</v>
      </c>
      <c r="I229" s="8" t="s">
        <v>100</v>
      </c>
      <c r="J229" s="9">
        <v>1</v>
      </c>
      <c r="K229" s="9">
        <v>330</v>
      </c>
      <c r="L229" s="9">
        <v>2024</v>
      </c>
      <c r="M229" s="8" t="s">
        <v>1610</v>
      </c>
      <c r="N229" s="8" t="s">
        <v>79</v>
      </c>
      <c r="O229" s="8" t="s">
        <v>684</v>
      </c>
      <c r="P229" s="6" t="s">
        <v>43</v>
      </c>
      <c r="Q229" s="8" t="s">
        <v>102</v>
      </c>
      <c r="R229" s="10" t="s">
        <v>1611</v>
      </c>
      <c r="S229" s="11" t="s">
        <v>1612</v>
      </c>
      <c r="T229" s="6" t="s">
        <v>299</v>
      </c>
      <c r="U229" s="24" t="str">
        <f>HYPERLINK("https://media.infra-m.ru/2110/2110935/cover/2110935.jpg", "Обложка")</f>
        <v>Обложка</v>
      </c>
      <c r="V229" s="24" t="str">
        <f>HYPERLINK("https://znanium.ru/catalog/product/2110935", "Ознакомиться")</f>
        <v>Ознакомиться</v>
      </c>
      <c r="W229" s="8" t="s">
        <v>1587</v>
      </c>
      <c r="X229" s="6"/>
      <c r="Y229" s="6"/>
      <c r="Z229" s="6" t="s">
        <v>104</v>
      </c>
      <c r="AA229" s="6" t="s">
        <v>1374</v>
      </c>
      <c r="AB229" s="8"/>
    </row>
    <row r="230" spans="1:28" s="4" customFormat="1" ht="42" customHeight="1">
      <c r="A230" s="5">
        <v>0</v>
      </c>
      <c r="B230" s="6" t="s">
        <v>1613</v>
      </c>
      <c r="C230" s="13">
        <v>1514</v>
      </c>
      <c r="D230" s="8" t="s">
        <v>1614</v>
      </c>
      <c r="E230" s="8" t="s">
        <v>1608</v>
      </c>
      <c r="F230" s="8" t="s">
        <v>1615</v>
      </c>
      <c r="G230" s="6" t="s">
        <v>52</v>
      </c>
      <c r="H230" s="6" t="s">
        <v>53</v>
      </c>
      <c r="I230" s="8" t="s">
        <v>90</v>
      </c>
      <c r="J230" s="9">
        <v>1</v>
      </c>
      <c r="K230" s="9">
        <v>330</v>
      </c>
      <c r="L230" s="9">
        <v>2024</v>
      </c>
      <c r="M230" s="8" t="s">
        <v>1616</v>
      </c>
      <c r="N230" s="8" t="s">
        <v>79</v>
      </c>
      <c r="O230" s="8" t="s">
        <v>684</v>
      </c>
      <c r="P230" s="6" t="s">
        <v>43</v>
      </c>
      <c r="Q230" s="8" t="s">
        <v>44</v>
      </c>
      <c r="R230" s="10" t="s">
        <v>1617</v>
      </c>
      <c r="S230" s="11"/>
      <c r="T230" s="6" t="s">
        <v>299</v>
      </c>
      <c r="U230" s="24" t="str">
        <f>HYPERLINK("https://media.infra-m.ru/2125/2125658/cover/2125658.jpg", "Обложка")</f>
        <v>Обложка</v>
      </c>
      <c r="V230" s="24" t="str">
        <f>HYPERLINK("https://znanium.ru/catalog/product/1141772", "Ознакомиться")</f>
        <v>Ознакомиться</v>
      </c>
      <c r="W230" s="8" t="s">
        <v>1587</v>
      </c>
      <c r="X230" s="6"/>
      <c r="Y230" s="6"/>
      <c r="Z230" s="6"/>
      <c r="AA230" s="6" t="s">
        <v>494</v>
      </c>
      <c r="AB230" s="8"/>
    </row>
    <row r="231" spans="1:28" s="4" customFormat="1" ht="51.95" customHeight="1">
      <c r="A231" s="5">
        <v>0</v>
      </c>
      <c r="B231" s="6" t="s">
        <v>1618</v>
      </c>
      <c r="C231" s="7">
        <v>510</v>
      </c>
      <c r="D231" s="8" t="s">
        <v>1619</v>
      </c>
      <c r="E231" s="8" t="s">
        <v>1620</v>
      </c>
      <c r="F231" s="8" t="s">
        <v>1621</v>
      </c>
      <c r="G231" s="6" t="s">
        <v>38</v>
      </c>
      <c r="H231" s="6" t="s">
        <v>53</v>
      </c>
      <c r="I231" s="8" t="s">
        <v>1622</v>
      </c>
      <c r="J231" s="9">
        <v>1</v>
      </c>
      <c r="K231" s="9">
        <v>94</v>
      </c>
      <c r="L231" s="9">
        <v>2025</v>
      </c>
      <c r="M231" s="8" t="s">
        <v>1623</v>
      </c>
      <c r="N231" s="8" t="s">
        <v>79</v>
      </c>
      <c r="O231" s="8" t="s">
        <v>174</v>
      </c>
      <c r="P231" s="6" t="s">
        <v>43</v>
      </c>
      <c r="Q231" s="8" t="s">
        <v>214</v>
      </c>
      <c r="R231" s="10" t="s">
        <v>1624</v>
      </c>
      <c r="S231" s="11" t="s">
        <v>1625</v>
      </c>
      <c r="T231" s="6"/>
      <c r="U231" s="24" t="str">
        <f>HYPERLINK("https://media.infra-m.ru/2175/2175007/cover/2175007.jpg", "Обложка")</f>
        <v>Обложка</v>
      </c>
      <c r="V231" s="24" t="str">
        <f>HYPERLINK("https://znanium.ru/catalog/product/2175007", "Ознакомиться")</f>
        <v>Ознакомиться</v>
      </c>
      <c r="W231" s="8" t="s">
        <v>1626</v>
      </c>
      <c r="X231" s="6"/>
      <c r="Y231" s="6"/>
      <c r="Z231" s="6"/>
      <c r="AA231" s="6" t="s">
        <v>84</v>
      </c>
      <c r="AB231" s="8"/>
    </row>
    <row r="232" spans="1:28" s="4" customFormat="1" ht="51.95" customHeight="1">
      <c r="A232" s="5">
        <v>0</v>
      </c>
      <c r="B232" s="6" t="s">
        <v>1627</v>
      </c>
      <c r="C232" s="13">
        <v>2820</v>
      </c>
      <c r="D232" s="8" t="s">
        <v>1628</v>
      </c>
      <c r="E232" s="8" t="s">
        <v>1629</v>
      </c>
      <c r="F232" s="8" t="s">
        <v>1630</v>
      </c>
      <c r="G232" s="6" t="s">
        <v>52</v>
      </c>
      <c r="H232" s="6" t="s">
        <v>53</v>
      </c>
      <c r="I232" s="8" t="s">
        <v>1631</v>
      </c>
      <c r="J232" s="9">
        <v>1</v>
      </c>
      <c r="K232" s="9">
        <v>600</v>
      </c>
      <c r="L232" s="9">
        <v>2024</v>
      </c>
      <c r="M232" s="8" t="s">
        <v>1632</v>
      </c>
      <c r="N232" s="8" t="s">
        <v>79</v>
      </c>
      <c r="O232" s="8" t="s">
        <v>684</v>
      </c>
      <c r="P232" s="6" t="s">
        <v>167</v>
      </c>
      <c r="Q232" s="8" t="s">
        <v>102</v>
      </c>
      <c r="R232" s="10" t="s">
        <v>1633</v>
      </c>
      <c r="S232" s="11" t="s">
        <v>1634</v>
      </c>
      <c r="T232" s="6" t="s">
        <v>299</v>
      </c>
      <c r="U232" s="24" t="str">
        <f>HYPERLINK("https://media.infra-m.ru/2129/2129068/cover/2129068.jpg", "Обложка")</f>
        <v>Обложка</v>
      </c>
      <c r="V232" s="24" t="str">
        <f>HYPERLINK("https://znanium.ru/catalog/product/2129068", "Ознакомиться")</f>
        <v>Ознакомиться</v>
      </c>
      <c r="W232" s="8" t="s">
        <v>1635</v>
      </c>
      <c r="X232" s="6"/>
      <c r="Y232" s="6"/>
      <c r="Z232" s="6"/>
      <c r="AA232" s="6" t="s">
        <v>418</v>
      </c>
      <c r="AB232" s="8"/>
    </row>
    <row r="233" spans="1:28" s="4" customFormat="1" ht="51.95" customHeight="1">
      <c r="A233" s="5">
        <v>0</v>
      </c>
      <c r="B233" s="6" t="s">
        <v>1636</v>
      </c>
      <c r="C233" s="13">
        <v>2100</v>
      </c>
      <c r="D233" s="8" t="s">
        <v>1637</v>
      </c>
      <c r="E233" s="8" t="s">
        <v>1638</v>
      </c>
      <c r="F233" s="8" t="s">
        <v>1639</v>
      </c>
      <c r="G233" s="6" t="s">
        <v>52</v>
      </c>
      <c r="H233" s="6" t="s">
        <v>53</v>
      </c>
      <c r="I233" s="8" t="s">
        <v>100</v>
      </c>
      <c r="J233" s="9">
        <v>1</v>
      </c>
      <c r="K233" s="9">
        <v>424</v>
      </c>
      <c r="L233" s="9">
        <v>2025</v>
      </c>
      <c r="M233" s="8" t="s">
        <v>1640</v>
      </c>
      <c r="N233" s="8" t="s">
        <v>79</v>
      </c>
      <c r="O233" s="8" t="s">
        <v>174</v>
      </c>
      <c r="P233" s="6" t="s">
        <v>167</v>
      </c>
      <c r="Q233" s="8" t="s">
        <v>102</v>
      </c>
      <c r="R233" s="10" t="s">
        <v>1641</v>
      </c>
      <c r="S233" s="11"/>
      <c r="T233" s="6"/>
      <c r="U233" s="24" t="str">
        <f>HYPERLINK("https://media.infra-m.ru/2182/2182618/cover/2182618.jpg", "Обложка")</f>
        <v>Обложка</v>
      </c>
      <c r="V233" s="24" t="str">
        <f>HYPERLINK("https://znanium.ru/catalog/product/2182618", "Ознакомиться")</f>
        <v>Ознакомиться</v>
      </c>
      <c r="W233" s="8" t="s">
        <v>1642</v>
      </c>
      <c r="X233" s="6"/>
      <c r="Y233" s="6"/>
      <c r="Z233" s="6"/>
      <c r="AA233" s="6" t="s">
        <v>133</v>
      </c>
      <c r="AB233" s="8" t="s">
        <v>550</v>
      </c>
    </row>
    <row r="234" spans="1:28" s="4" customFormat="1" ht="51.95" customHeight="1">
      <c r="A234" s="5">
        <v>0</v>
      </c>
      <c r="B234" s="6" t="s">
        <v>1643</v>
      </c>
      <c r="C234" s="13">
        <v>2384</v>
      </c>
      <c r="D234" s="8" t="s">
        <v>1644</v>
      </c>
      <c r="E234" s="8" t="s">
        <v>1645</v>
      </c>
      <c r="F234" s="8" t="s">
        <v>1646</v>
      </c>
      <c r="G234" s="6" t="s">
        <v>52</v>
      </c>
      <c r="H234" s="6" t="s">
        <v>1647</v>
      </c>
      <c r="I234" s="8" t="s">
        <v>90</v>
      </c>
      <c r="J234" s="9">
        <v>1</v>
      </c>
      <c r="K234" s="9">
        <v>459</v>
      </c>
      <c r="L234" s="9">
        <v>2025</v>
      </c>
      <c r="M234" s="8" t="s">
        <v>1648</v>
      </c>
      <c r="N234" s="8" t="s">
        <v>79</v>
      </c>
      <c r="O234" s="8" t="s">
        <v>174</v>
      </c>
      <c r="P234" s="6" t="s">
        <v>43</v>
      </c>
      <c r="Q234" s="8" t="s">
        <v>44</v>
      </c>
      <c r="R234" s="10" t="s">
        <v>1649</v>
      </c>
      <c r="S234" s="11" t="s">
        <v>1650</v>
      </c>
      <c r="T234" s="6"/>
      <c r="U234" s="24" t="str">
        <f>HYPERLINK("https://media.infra-m.ru/2194/2194318/cover/2194318.jpg", "Обложка")</f>
        <v>Обложка</v>
      </c>
      <c r="V234" s="24" t="str">
        <f>HYPERLINK("https://znanium.ru/catalog/product/1915950", "Ознакомиться")</f>
        <v>Ознакомиться</v>
      </c>
      <c r="W234" s="8" t="s">
        <v>1651</v>
      </c>
      <c r="X234" s="6"/>
      <c r="Y234" s="6"/>
      <c r="Z234" s="6"/>
      <c r="AA234" s="6" t="s">
        <v>47</v>
      </c>
      <c r="AB234" s="8"/>
    </row>
    <row r="235" spans="1:28" s="4" customFormat="1" ht="42" customHeight="1">
      <c r="A235" s="5">
        <v>0</v>
      </c>
      <c r="B235" s="6" t="s">
        <v>1652</v>
      </c>
      <c r="C235" s="13">
        <v>1750</v>
      </c>
      <c r="D235" s="8" t="s">
        <v>1653</v>
      </c>
      <c r="E235" s="8" t="s">
        <v>1654</v>
      </c>
      <c r="F235" s="8" t="s">
        <v>248</v>
      </c>
      <c r="G235" s="6" t="s">
        <v>52</v>
      </c>
      <c r="H235" s="6" t="s">
        <v>53</v>
      </c>
      <c r="I235" s="8" t="s">
        <v>100</v>
      </c>
      <c r="J235" s="9">
        <v>1</v>
      </c>
      <c r="K235" s="9">
        <v>379</v>
      </c>
      <c r="L235" s="9">
        <v>2024</v>
      </c>
      <c r="M235" s="8" t="s">
        <v>1655</v>
      </c>
      <c r="N235" s="8" t="s">
        <v>56</v>
      </c>
      <c r="O235" s="8" t="s">
        <v>57</v>
      </c>
      <c r="P235" s="6" t="s">
        <v>167</v>
      </c>
      <c r="Q235" s="8" t="s">
        <v>102</v>
      </c>
      <c r="R235" s="10" t="s">
        <v>1656</v>
      </c>
      <c r="S235" s="11"/>
      <c r="T235" s="6"/>
      <c r="U235" s="24" t="str">
        <f>HYPERLINK("https://media.infra-m.ru/1906/1906109/cover/1906109.jpg", "Обложка")</f>
        <v>Обложка</v>
      </c>
      <c r="V235" s="24" t="str">
        <f>HYPERLINK("https://znanium.ru/catalog/product/1906109", "Ознакомиться")</f>
        <v>Ознакомиться</v>
      </c>
      <c r="W235" s="8" t="s">
        <v>83</v>
      </c>
      <c r="X235" s="6"/>
      <c r="Y235" s="6"/>
      <c r="Z235" s="6"/>
      <c r="AA235" s="6" t="s">
        <v>133</v>
      </c>
      <c r="AB235" s="8"/>
    </row>
    <row r="236" spans="1:28" s="4" customFormat="1" ht="51.95" customHeight="1">
      <c r="A236" s="5">
        <v>0</v>
      </c>
      <c r="B236" s="6" t="s">
        <v>1657</v>
      </c>
      <c r="C236" s="13">
        <v>1060</v>
      </c>
      <c r="D236" s="8" t="s">
        <v>1658</v>
      </c>
      <c r="E236" s="8" t="s">
        <v>1659</v>
      </c>
      <c r="F236" s="8" t="s">
        <v>1660</v>
      </c>
      <c r="G236" s="6" t="s">
        <v>89</v>
      </c>
      <c r="H236" s="6" t="s">
        <v>77</v>
      </c>
      <c r="I236" s="8" t="s">
        <v>116</v>
      </c>
      <c r="J236" s="9">
        <v>1</v>
      </c>
      <c r="K236" s="9">
        <v>224</v>
      </c>
      <c r="L236" s="9">
        <v>2024</v>
      </c>
      <c r="M236" s="8" t="s">
        <v>1661</v>
      </c>
      <c r="N236" s="8" t="s">
        <v>56</v>
      </c>
      <c r="O236" s="8" t="s">
        <v>57</v>
      </c>
      <c r="P236" s="6" t="s">
        <v>43</v>
      </c>
      <c r="Q236" s="8" t="s">
        <v>44</v>
      </c>
      <c r="R236" s="10" t="s">
        <v>1662</v>
      </c>
      <c r="S236" s="11" t="s">
        <v>1663</v>
      </c>
      <c r="T236" s="6"/>
      <c r="U236" s="24" t="str">
        <f>HYPERLINK("https://media.infra-m.ru/2094/2094348/cover/2094348.jpg", "Обложка")</f>
        <v>Обложка</v>
      </c>
      <c r="V236" s="24" t="str">
        <f>HYPERLINK("https://znanium.ru/catalog/product/2094348", "Ознакомиться")</f>
        <v>Ознакомиться</v>
      </c>
      <c r="W236" s="8" t="s">
        <v>1571</v>
      </c>
      <c r="X236" s="6"/>
      <c r="Y236" s="6"/>
      <c r="Z236" s="6"/>
      <c r="AA236" s="6" t="s">
        <v>84</v>
      </c>
      <c r="AB236" s="8"/>
    </row>
    <row r="237" spans="1:28" s="4" customFormat="1" ht="51.95" customHeight="1">
      <c r="A237" s="5">
        <v>0</v>
      </c>
      <c r="B237" s="6" t="s">
        <v>1664</v>
      </c>
      <c r="C237" s="13">
        <v>1150</v>
      </c>
      <c r="D237" s="8" t="s">
        <v>1665</v>
      </c>
      <c r="E237" s="8" t="s">
        <v>1659</v>
      </c>
      <c r="F237" s="8" t="s">
        <v>1660</v>
      </c>
      <c r="G237" s="6" t="s">
        <v>89</v>
      </c>
      <c r="H237" s="6" t="s">
        <v>77</v>
      </c>
      <c r="I237" s="8" t="s">
        <v>100</v>
      </c>
      <c r="J237" s="9">
        <v>1</v>
      </c>
      <c r="K237" s="9">
        <v>224</v>
      </c>
      <c r="L237" s="9">
        <v>2025</v>
      </c>
      <c r="M237" s="8" t="s">
        <v>1666</v>
      </c>
      <c r="N237" s="8" t="s">
        <v>56</v>
      </c>
      <c r="O237" s="8" t="s">
        <v>57</v>
      </c>
      <c r="P237" s="6" t="s">
        <v>43</v>
      </c>
      <c r="Q237" s="8" t="s">
        <v>102</v>
      </c>
      <c r="R237" s="10" t="s">
        <v>1667</v>
      </c>
      <c r="S237" s="11" t="s">
        <v>1668</v>
      </c>
      <c r="T237" s="6"/>
      <c r="U237" s="24" t="str">
        <f>HYPERLINK("https://media.infra-m.ru/2171/2171961/cover/2171961.jpg", "Обложка")</f>
        <v>Обложка</v>
      </c>
      <c r="V237" s="24" t="str">
        <f>HYPERLINK("https://znanium.ru/catalog/product/2171961", "Ознакомиться")</f>
        <v>Ознакомиться</v>
      </c>
      <c r="W237" s="8" t="s">
        <v>1571</v>
      </c>
      <c r="X237" s="6"/>
      <c r="Y237" s="6"/>
      <c r="Z237" s="6" t="s">
        <v>104</v>
      </c>
      <c r="AA237" s="6" t="s">
        <v>258</v>
      </c>
      <c r="AB237" s="8"/>
    </row>
    <row r="238" spans="1:28" s="4" customFormat="1" ht="51.95" customHeight="1">
      <c r="A238" s="5">
        <v>0</v>
      </c>
      <c r="B238" s="6" t="s">
        <v>1669</v>
      </c>
      <c r="C238" s="7">
        <v>974</v>
      </c>
      <c r="D238" s="8" t="s">
        <v>1670</v>
      </c>
      <c r="E238" s="8" t="s">
        <v>1671</v>
      </c>
      <c r="F238" s="8" t="s">
        <v>1672</v>
      </c>
      <c r="G238" s="6" t="s">
        <v>89</v>
      </c>
      <c r="H238" s="6" t="s">
        <v>77</v>
      </c>
      <c r="I238" s="8"/>
      <c r="J238" s="9">
        <v>1</v>
      </c>
      <c r="K238" s="9">
        <v>188</v>
      </c>
      <c r="L238" s="9">
        <v>2025</v>
      </c>
      <c r="M238" s="8" t="s">
        <v>1673</v>
      </c>
      <c r="N238" s="8" t="s">
        <v>56</v>
      </c>
      <c r="O238" s="8" t="s">
        <v>57</v>
      </c>
      <c r="P238" s="6" t="s">
        <v>43</v>
      </c>
      <c r="Q238" s="8" t="s">
        <v>1674</v>
      </c>
      <c r="R238" s="10" t="s">
        <v>1675</v>
      </c>
      <c r="S238" s="11"/>
      <c r="T238" s="6"/>
      <c r="U238" s="24" t="str">
        <f>HYPERLINK("https://media.infra-m.ru/2196/2196971/cover/2196971.jpg", "Обложка")</f>
        <v>Обложка</v>
      </c>
      <c r="V238" s="24" t="str">
        <f>HYPERLINK("https://znanium.ru/catalog/product/2107431", "Ознакомиться")</f>
        <v>Ознакомиться</v>
      </c>
      <c r="W238" s="8" t="s">
        <v>71</v>
      </c>
      <c r="X238" s="6"/>
      <c r="Y238" s="6"/>
      <c r="Z238" s="6"/>
      <c r="AA238" s="6" t="s">
        <v>160</v>
      </c>
      <c r="AB238" s="8"/>
    </row>
    <row r="239" spans="1:28" s="4" customFormat="1" ht="51.95" customHeight="1">
      <c r="A239" s="5">
        <v>0</v>
      </c>
      <c r="B239" s="6" t="s">
        <v>1676</v>
      </c>
      <c r="C239" s="7">
        <v>794</v>
      </c>
      <c r="D239" s="8" t="s">
        <v>1677</v>
      </c>
      <c r="E239" s="8" t="s">
        <v>1678</v>
      </c>
      <c r="F239" s="8" t="s">
        <v>1679</v>
      </c>
      <c r="G239" s="6" t="s">
        <v>89</v>
      </c>
      <c r="H239" s="6" t="s">
        <v>184</v>
      </c>
      <c r="I239" s="8" t="s">
        <v>185</v>
      </c>
      <c r="J239" s="9">
        <v>1</v>
      </c>
      <c r="K239" s="9">
        <v>132</v>
      </c>
      <c r="L239" s="9">
        <v>2025</v>
      </c>
      <c r="M239" s="8" t="s">
        <v>1680</v>
      </c>
      <c r="N239" s="8" t="s">
        <v>56</v>
      </c>
      <c r="O239" s="8" t="s">
        <v>57</v>
      </c>
      <c r="P239" s="6" t="s">
        <v>167</v>
      </c>
      <c r="Q239" s="8" t="s">
        <v>102</v>
      </c>
      <c r="R239" s="10" t="s">
        <v>1681</v>
      </c>
      <c r="S239" s="11"/>
      <c r="T239" s="6"/>
      <c r="U239" s="24" t="str">
        <f>HYPERLINK("https://media.infra-m.ru/2169/2169664/cover/2169664.jpg", "Обложка")</f>
        <v>Обложка</v>
      </c>
      <c r="V239" s="24" t="str">
        <f>HYPERLINK("https://znanium.ru/catalog/product/2082927", "Ознакомиться")</f>
        <v>Ознакомиться</v>
      </c>
      <c r="W239" s="8" t="s">
        <v>1682</v>
      </c>
      <c r="X239" s="6"/>
      <c r="Y239" s="6"/>
      <c r="Z239" s="6"/>
      <c r="AA239" s="6" t="s">
        <v>258</v>
      </c>
      <c r="AB239" s="8"/>
    </row>
    <row r="240" spans="1:28" s="4" customFormat="1" ht="42" customHeight="1">
      <c r="A240" s="5">
        <v>0</v>
      </c>
      <c r="B240" s="6" t="s">
        <v>1683</v>
      </c>
      <c r="C240" s="13">
        <v>2820</v>
      </c>
      <c r="D240" s="8" t="s">
        <v>1684</v>
      </c>
      <c r="E240" s="8" t="s">
        <v>1685</v>
      </c>
      <c r="F240" s="8" t="s">
        <v>1686</v>
      </c>
      <c r="G240" s="6" t="s">
        <v>52</v>
      </c>
      <c r="H240" s="6" t="s">
        <v>53</v>
      </c>
      <c r="I240" s="8" t="s">
        <v>116</v>
      </c>
      <c r="J240" s="9">
        <v>1</v>
      </c>
      <c r="K240" s="9">
        <v>563</v>
      </c>
      <c r="L240" s="9">
        <v>2024</v>
      </c>
      <c r="M240" s="8" t="s">
        <v>1687</v>
      </c>
      <c r="N240" s="8" t="s">
        <v>56</v>
      </c>
      <c r="O240" s="8" t="s">
        <v>57</v>
      </c>
      <c r="P240" s="6" t="s">
        <v>167</v>
      </c>
      <c r="Q240" s="8" t="s">
        <v>44</v>
      </c>
      <c r="R240" s="10" t="s">
        <v>1688</v>
      </c>
      <c r="S240" s="11"/>
      <c r="T240" s="6"/>
      <c r="U240" s="24" t="str">
        <f>HYPERLINK("https://media.infra-m.ru/1078/1078231/cover/1078231.jpg", "Обложка")</f>
        <v>Обложка</v>
      </c>
      <c r="V240" s="24" t="str">
        <f>HYPERLINK("https://znanium.ru/catalog/product/1078231", "Ознакомиться")</f>
        <v>Ознакомиться</v>
      </c>
      <c r="W240" s="8" t="s">
        <v>1689</v>
      </c>
      <c r="X240" s="6" t="s">
        <v>772</v>
      </c>
      <c r="Y240" s="6"/>
      <c r="Z240" s="6"/>
      <c r="AA240" s="6" t="s">
        <v>133</v>
      </c>
      <c r="AB240" s="8"/>
    </row>
    <row r="241" spans="1:28" s="4" customFormat="1" ht="42" customHeight="1">
      <c r="A241" s="5">
        <v>0</v>
      </c>
      <c r="B241" s="6" t="s">
        <v>1690</v>
      </c>
      <c r="C241" s="7">
        <v>890</v>
      </c>
      <c r="D241" s="8" t="s">
        <v>1691</v>
      </c>
      <c r="E241" s="8" t="s">
        <v>1692</v>
      </c>
      <c r="F241" s="8" t="s">
        <v>1693</v>
      </c>
      <c r="G241" s="6" t="s">
        <v>52</v>
      </c>
      <c r="H241" s="6" t="s">
        <v>53</v>
      </c>
      <c r="I241" s="8" t="s">
        <v>782</v>
      </c>
      <c r="J241" s="9">
        <v>1</v>
      </c>
      <c r="K241" s="9">
        <v>184</v>
      </c>
      <c r="L241" s="9">
        <v>2024</v>
      </c>
      <c r="M241" s="8" t="s">
        <v>1694</v>
      </c>
      <c r="N241" s="8" t="s">
        <v>56</v>
      </c>
      <c r="O241" s="8" t="s">
        <v>57</v>
      </c>
      <c r="P241" s="6" t="s">
        <v>43</v>
      </c>
      <c r="Q241" s="8" t="s">
        <v>44</v>
      </c>
      <c r="R241" s="10" t="s">
        <v>1695</v>
      </c>
      <c r="S241" s="11"/>
      <c r="T241" s="6"/>
      <c r="U241" s="24" t="str">
        <f>HYPERLINK("https://media.infra-m.ru/2125/2125189/cover/2125189.jpg", "Обложка")</f>
        <v>Обложка</v>
      </c>
      <c r="V241" s="12"/>
      <c r="W241" s="8" t="s">
        <v>784</v>
      </c>
      <c r="X241" s="6"/>
      <c r="Y241" s="6"/>
      <c r="Z241" s="6"/>
      <c r="AA241" s="6" t="s">
        <v>133</v>
      </c>
      <c r="AB241" s="8"/>
    </row>
    <row r="242" spans="1:28" s="4" customFormat="1" ht="51.95" customHeight="1">
      <c r="A242" s="5">
        <v>0</v>
      </c>
      <c r="B242" s="6" t="s">
        <v>1696</v>
      </c>
      <c r="C242" s="13">
        <v>1030</v>
      </c>
      <c r="D242" s="8" t="s">
        <v>1697</v>
      </c>
      <c r="E242" s="8" t="s">
        <v>1698</v>
      </c>
      <c r="F242" s="8" t="s">
        <v>1699</v>
      </c>
      <c r="G242" s="6" t="s">
        <v>89</v>
      </c>
      <c r="H242" s="6" t="s">
        <v>53</v>
      </c>
      <c r="I242" s="8" t="s">
        <v>100</v>
      </c>
      <c r="J242" s="9">
        <v>1</v>
      </c>
      <c r="K242" s="9">
        <v>223</v>
      </c>
      <c r="L242" s="9">
        <v>2024</v>
      </c>
      <c r="M242" s="8" t="s">
        <v>1700</v>
      </c>
      <c r="N242" s="8" t="s">
        <v>56</v>
      </c>
      <c r="O242" s="8" t="s">
        <v>57</v>
      </c>
      <c r="P242" s="6" t="s">
        <v>43</v>
      </c>
      <c r="Q242" s="8" t="s">
        <v>102</v>
      </c>
      <c r="R242" s="10" t="s">
        <v>1701</v>
      </c>
      <c r="S242" s="11" t="s">
        <v>1702</v>
      </c>
      <c r="T242" s="6"/>
      <c r="U242" s="24" t="str">
        <f>HYPERLINK("https://media.infra-m.ru/2131/2131530/cover/2131530.jpg", "Обложка")</f>
        <v>Обложка</v>
      </c>
      <c r="V242" s="24" t="str">
        <f>HYPERLINK("https://znanium.ru/catalog/product/2131530", "Ознакомиться")</f>
        <v>Ознакомиться</v>
      </c>
      <c r="W242" s="8" t="s">
        <v>1703</v>
      </c>
      <c r="X242" s="6"/>
      <c r="Y242" s="6"/>
      <c r="Z242" s="6" t="s">
        <v>104</v>
      </c>
      <c r="AA242" s="6" t="s">
        <v>258</v>
      </c>
      <c r="AB242" s="8"/>
    </row>
    <row r="243" spans="1:28" s="4" customFormat="1" ht="42" customHeight="1">
      <c r="A243" s="5">
        <v>0</v>
      </c>
      <c r="B243" s="6" t="s">
        <v>1704</v>
      </c>
      <c r="C243" s="13">
        <v>1470</v>
      </c>
      <c r="D243" s="8" t="s">
        <v>1705</v>
      </c>
      <c r="E243" s="8" t="s">
        <v>1706</v>
      </c>
      <c r="F243" s="8" t="s">
        <v>1707</v>
      </c>
      <c r="G243" s="6" t="s">
        <v>52</v>
      </c>
      <c r="H243" s="6" t="s">
        <v>53</v>
      </c>
      <c r="I243" s="8" t="s">
        <v>165</v>
      </c>
      <c r="J243" s="9">
        <v>1</v>
      </c>
      <c r="K243" s="9">
        <v>294</v>
      </c>
      <c r="L243" s="9">
        <v>2025</v>
      </c>
      <c r="M243" s="8" t="s">
        <v>1708</v>
      </c>
      <c r="N243" s="8" t="s">
        <v>56</v>
      </c>
      <c r="O243" s="8" t="s">
        <v>57</v>
      </c>
      <c r="P243" s="6" t="s">
        <v>167</v>
      </c>
      <c r="Q243" s="8" t="s">
        <v>58</v>
      </c>
      <c r="R243" s="10" t="s">
        <v>1709</v>
      </c>
      <c r="S243" s="11"/>
      <c r="T243" s="6"/>
      <c r="U243" s="24" t="str">
        <f>HYPERLINK("https://media.infra-m.ru/2074/2074256/cover/2074256.jpg", "Обложка")</f>
        <v>Обложка</v>
      </c>
      <c r="V243" s="24" t="str">
        <f>HYPERLINK("https://znanium.ru/catalog/product/2074256", "Ознакомиться")</f>
        <v>Ознакомиться</v>
      </c>
      <c r="W243" s="8" t="s">
        <v>1710</v>
      </c>
      <c r="X243" s="6" t="s">
        <v>389</v>
      </c>
      <c r="Y243" s="6"/>
      <c r="Z243" s="6"/>
      <c r="AA243" s="6" t="s">
        <v>61</v>
      </c>
      <c r="AB243" s="8"/>
    </row>
    <row r="244" spans="1:28" s="4" customFormat="1" ht="51.95" customHeight="1">
      <c r="A244" s="5">
        <v>0</v>
      </c>
      <c r="B244" s="6" t="s">
        <v>1711</v>
      </c>
      <c r="C244" s="13">
        <v>1040</v>
      </c>
      <c r="D244" s="8" t="s">
        <v>1712</v>
      </c>
      <c r="E244" s="8" t="s">
        <v>1713</v>
      </c>
      <c r="F244" s="8" t="s">
        <v>1714</v>
      </c>
      <c r="G244" s="6" t="s">
        <v>89</v>
      </c>
      <c r="H244" s="6" t="s">
        <v>674</v>
      </c>
      <c r="I244" s="8" t="s">
        <v>100</v>
      </c>
      <c r="J244" s="9">
        <v>1</v>
      </c>
      <c r="K244" s="9">
        <v>208</v>
      </c>
      <c r="L244" s="9">
        <v>2025</v>
      </c>
      <c r="M244" s="8" t="s">
        <v>1715</v>
      </c>
      <c r="N244" s="8" t="s">
        <v>56</v>
      </c>
      <c r="O244" s="8" t="s">
        <v>57</v>
      </c>
      <c r="P244" s="6" t="s">
        <v>167</v>
      </c>
      <c r="Q244" s="8" t="s">
        <v>102</v>
      </c>
      <c r="R244" s="10" t="s">
        <v>256</v>
      </c>
      <c r="S244" s="11" t="s">
        <v>873</v>
      </c>
      <c r="T244" s="6"/>
      <c r="U244" s="24" t="str">
        <f>HYPERLINK("https://media.infra-m.ru/2187/2187012/cover/2187012.jpg", "Обложка")</f>
        <v>Обложка</v>
      </c>
      <c r="V244" s="24" t="str">
        <f>HYPERLINK("https://znanium.ru/catalog/product/2037340", "Ознакомиться")</f>
        <v>Ознакомиться</v>
      </c>
      <c r="W244" s="8" t="s">
        <v>1716</v>
      </c>
      <c r="X244" s="6"/>
      <c r="Y244" s="6"/>
      <c r="Z244" s="6" t="s">
        <v>104</v>
      </c>
      <c r="AA244" s="6" t="s">
        <v>151</v>
      </c>
      <c r="AB244" s="8"/>
    </row>
    <row r="245" spans="1:28" s="4" customFormat="1" ht="51.95" customHeight="1">
      <c r="A245" s="5">
        <v>0</v>
      </c>
      <c r="B245" s="6" t="s">
        <v>1717</v>
      </c>
      <c r="C245" s="13">
        <v>2394</v>
      </c>
      <c r="D245" s="8" t="s">
        <v>1718</v>
      </c>
      <c r="E245" s="8" t="s">
        <v>1719</v>
      </c>
      <c r="F245" s="8" t="s">
        <v>248</v>
      </c>
      <c r="G245" s="6" t="s">
        <v>52</v>
      </c>
      <c r="H245" s="6" t="s">
        <v>53</v>
      </c>
      <c r="I245" s="8" t="s">
        <v>223</v>
      </c>
      <c r="J245" s="9">
        <v>1</v>
      </c>
      <c r="K245" s="9">
        <v>460</v>
      </c>
      <c r="L245" s="9">
        <v>2025</v>
      </c>
      <c r="M245" s="8" t="s">
        <v>1720</v>
      </c>
      <c r="N245" s="8" t="s">
        <v>56</v>
      </c>
      <c r="O245" s="8" t="s">
        <v>57</v>
      </c>
      <c r="P245" s="6" t="s">
        <v>167</v>
      </c>
      <c r="Q245" s="8" t="s">
        <v>102</v>
      </c>
      <c r="R245" s="10" t="s">
        <v>1721</v>
      </c>
      <c r="S245" s="11"/>
      <c r="T245" s="6"/>
      <c r="U245" s="24" t="str">
        <f>HYPERLINK("https://media.infra-m.ru/2180/2180534/cover/2180534.jpg", "Обложка")</f>
        <v>Обложка</v>
      </c>
      <c r="V245" s="24" t="str">
        <f>HYPERLINK("https://znanium.ru/catalog/product/2076814", "Ознакомиться")</f>
        <v>Ознакомиться</v>
      </c>
      <c r="W245" s="8" t="s">
        <v>83</v>
      </c>
      <c r="X245" s="6"/>
      <c r="Y245" s="6"/>
      <c r="Z245" s="6"/>
      <c r="AA245" s="6" t="s">
        <v>133</v>
      </c>
      <c r="AB245" s="8"/>
    </row>
    <row r="246" spans="1:28" s="4" customFormat="1" ht="51.95" customHeight="1">
      <c r="A246" s="5">
        <v>0</v>
      </c>
      <c r="B246" s="6" t="s">
        <v>1722</v>
      </c>
      <c r="C246" s="13">
        <v>1067</v>
      </c>
      <c r="D246" s="8" t="s">
        <v>1723</v>
      </c>
      <c r="E246" s="8" t="s">
        <v>1724</v>
      </c>
      <c r="F246" s="8" t="s">
        <v>1725</v>
      </c>
      <c r="G246" s="6" t="s">
        <v>38</v>
      </c>
      <c r="H246" s="6" t="s">
        <v>39</v>
      </c>
      <c r="I246" s="8" t="s">
        <v>116</v>
      </c>
      <c r="J246" s="9">
        <v>1</v>
      </c>
      <c r="K246" s="9">
        <v>160</v>
      </c>
      <c r="L246" s="9">
        <v>2025</v>
      </c>
      <c r="M246" s="8" t="s">
        <v>1726</v>
      </c>
      <c r="N246" s="8" t="s">
        <v>56</v>
      </c>
      <c r="O246" s="8" t="s">
        <v>57</v>
      </c>
      <c r="P246" s="6" t="s">
        <v>43</v>
      </c>
      <c r="Q246" s="8" t="s">
        <v>44</v>
      </c>
      <c r="R246" s="10" t="s">
        <v>1727</v>
      </c>
      <c r="S246" s="11"/>
      <c r="T246" s="6"/>
      <c r="U246" s="24" t="str">
        <f>HYPERLINK("https://media.infra-m.ru/2201/2201843/cover/2201843.jpg", "Обложка")</f>
        <v>Обложка</v>
      </c>
      <c r="V246" s="12"/>
      <c r="W246" s="8" t="s">
        <v>159</v>
      </c>
      <c r="X246" s="6"/>
      <c r="Y246" s="6"/>
      <c r="Z246" s="6"/>
      <c r="AA246" s="6" t="s">
        <v>72</v>
      </c>
      <c r="AB246" s="8"/>
    </row>
    <row r="247" spans="1:28" s="4" customFormat="1" ht="51.95" customHeight="1">
      <c r="A247" s="5">
        <v>0</v>
      </c>
      <c r="B247" s="6" t="s">
        <v>1728</v>
      </c>
      <c r="C247" s="13">
        <v>2520</v>
      </c>
      <c r="D247" s="8" t="s">
        <v>1729</v>
      </c>
      <c r="E247" s="8" t="s">
        <v>1730</v>
      </c>
      <c r="F247" s="8" t="s">
        <v>248</v>
      </c>
      <c r="G247" s="6" t="s">
        <v>52</v>
      </c>
      <c r="H247" s="6" t="s">
        <v>53</v>
      </c>
      <c r="I247" s="8" t="s">
        <v>223</v>
      </c>
      <c r="J247" s="9">
        <v>1</v>
      </c>
      <c r="K247" s="9">
        <v>503</v>
      </c>
      <c r="L247" s="9">
        <v>2025</v>
      </c>
      <c r="M247" s="8" t="s">
        <v>1731</v>
      </c>
      <c r="N247" s="8" t="s">
        <v>56</v>
      </c>
      <c r="O247" s="8" t="s">
        <v>57</v>
      </c>
      <c r="P247" s="6" t="s">
        <v>167</v>
      </c>
      <c r="Q247" s="8" t="s">
        <v>102</v>
      </c>
      <c r="R247" s="10" t="s">
        <v>1732</v>
      </c>
      <c r="S247" s="11"/>
      <c r="T247" s="6" t="s">
        <v>299</v>
      </c>
      <c r="U247" s="24" t="str">
        <f>HYPERLINK("https://media.infra-m.ru/2180/2180535/cover/2180535.jpg", "Обложка")</f>
        <v>Обложка</v>
      </c>
      <c r="V247" s="24" t="str">
        <f>HYPERLINK("https://znanium.ru/catalog/product/2180535", "Ознакомиться")</f>
        <v>Ознакомиться</v>
      </c>
      <c r="W247" s="8" t="s">
        <v>83</v>
      </c>
      <c r="X247" s="6"/>
      <c r="Y247" s="6"/>
      <c r="Z247" s="6"/>
      <c r="AA247" s="6" t="s">
        <v>133</v>
      </c>
      <c r="AB247" s="8" t="s">
        <v>1733</v>
      </c>
    </row>
    <row r="248" spans="1:28" s="4" customFormat="1" ht="51.95" customHeight="1">
      <c r="A248" s="5">
        <v>0</v>
      </c>
      <c r="B248" s="6" t="s">
        <v>1734</v>
      </c>
      <c r="C248" s="7">
        <v>590</v>
      </c>
      <c r="D248" s="8" t="s">
        <v>1735</v>
      </c>
      <c r="E248" s="8" t="s">
        <v>1736</v>
      </c>
      <c r="F248" s="8" t="s">
        <v>1737</v>
      </c>
      <c r="G248" s="6" t="s">
        <v>52</v>
      </c>
      <c r="H248" s="6" t="s">
        <v>1738</v>
      </c>
      <c r="I248" s="8" t="s">
        <v>1739</v>
      </c>
      <c r="J248" s="9">
        <v>1</v>
      </c>
      <c r="K248" s="9">
        <v>192</v>
      </c>
      <c r="L248" s="9">
        <v>2017</v>
      </c>
      <c r="M248" s="8" t="s">
        <v>1740</v>
      </c>
      <c r="N248" s="8" t="s">
        <v>56</v>
      </c>
      <c r="O248" s="8" t="s">
        <v>57</v>
      </c>
      <c r="P248" s="6" t="s">
        <v>43</v>
      </c>
      <c r="Q248" s="8" t="s">
        <v>102</v>
      </c>
      <c r="R248" s="10" t="s">
        <v>1741</v>
      </c>
      <c r="S248" s="11" t="s">
        <v>1742</v>
      </c>
      <c r="T248" s="6"/>
      <c r="U248" s="24" t="str">
        <f>HYPERLINK("https://media.infra-m.ru/0967/0967112/cover/967112.jpg", "Обложка")</f>
        <v>Обложка</v>
      </c>
      <c r="V248" s="24" t="str">
        <f>HYPERLINK("https://znanium.ru/catalog/product/2178879", "Ознакомиться")</f>
        <v>Ознакомиться</v>
      </c>
      <c r="W248" s="8" t="s">
        <v>1743</v>
      </c>
      <c r="X248" s="6"/>
      <c r="Y248" s="6"/>
      <c r="Z248" s="6"/>
      <c r="AA248" s="6" t="s">
        <v>111</v>
      </c>
      <c r="AB248" s="8"/>
    </row>
    <row r="249" spans="1:28" s="4" customFormat="1" ht="51.95" customHeight="1">
      <c r="A249" s="5">
        <v>0</v>
      </c>
      <c r="B249" s="6" t="s">
        <v>1744</v>
      </c>
      <c r="C249" s="7">
        <v>960</v>
      </c>
      <c r="D249" s="8" t="s">
        <v>1745</v>
      </c>
      <c r="E249" s="8" t="s">
        <v>1746</v>
      </c>
      <c r="F249" s="8" t="s">
        <v>1747</v>
      </c>
      <c r="G249" s="6" t="s">
        <v>89</v>
      </c>
      <c r="H249" s="6" t="s">
        <v>53</v>
      </c>
      <c r="I249" s="8" t="s">
        <v>100</v>
      </c>
      <c r="J249" s="9">
        <v>1</v>
      </c>
      <c r="K249" s="9">
        <v>190</v>
      </c>
      <c r="L249" s="9">
        <v>2025</v>
      </c>
      <c r="M249" s="8" t="s">
        <v>1748</v>
      </c>
      <c r="N249" s="8" t="s">
        <v>56</v>
      </c>
      <c r="O249" s="8" t="s">
        <v>57</v>
      </c>
      <c r="P249" s="6" t="s">
        <v>43</v>
      </c>
      <c r="Q249" s="8" t="s">
        <v>102</v>
      </c>
      <c r="R249" s="10" t="s">
        <v>1741</v>
      </c>
      <c r="S249" s="11" t="s">
        <v>1742</v>
      </c>
      <c r="T249" s="6"/>
      <c r="U249" s="24" t="str">
        <f>HYPERLINK("https://media.infra-m.ru/2178/2178879/cover/2178879.jpg", "Обложка")</f>
        <v>Обложка</v>
      </c>
      <c r="V249" s="24" t="str">
        <f>HYPERLINK("https://znanium.ru/catalog/product/2178879", "Ознакомиться")</f>
        <v>Ознакомиться</v>
      </c>
      <c r="W249" s="8" t="s">
        <v>1743</v>
      </c>
      <c r="X249" s="6"/>
      <c r="Y249" s="6"/>
      <c r="Z249" s="6"/>
      <c r="AA249" s="6" t="s">
        <v>196</v>
      </c>
      <c r="AB249" s="8"/>
    </row>
    <row r="250" spans="1:28" s="4" customFormat="1" ht="42" customHeight="1">
      <c r="A250" s="5">
        <v>0</v>
      </c>
      <c r="B250" s="6" t="s">
        <v>1749</v>
      </c>
      <c r="C250" s="13">
        <v>2070</v>
      </c>
      <c r="D250" s="8" t="s">
        <v>1750</v>
      </c>
      <c r="E250" s="8" t="s">
        <v>1751</v>
      </c>
      <c r="F250" s="8" t="s">
        <v>248</v>
      </c>
      <c r="G250" s="6" t="s">
        <v>52</v>
      </c>
      <c r="H250" s="6" t="s">
        <v>53</v>
      </c>
      <c r="I250" s="8" t="s">
        <v>223</v>
      </c>
      <c r="J250" s="9">
        <v>1</v>
      </c>
      <c r="K250" s="9">
        <v>395</v>
      </c>
      <c r="L250" s="9">
        <v>2025</v>
      </c>
      <c r="M250" s="8" t="s">
        <v>1752</v>
      </c>
      <c r="N250" s="8" t="s">
        <v>56</v>
      </c>
      <c r="O250" s="8" t="s">
        <v>57</v>
      </c>
      <c r="P250" s="6" t="s">
        <v>167</v>
      </c>
      <c r="Q250" s="8" t="s">
        <v>102</v>
      </c>
      <c r="R250" s="10" t="s">
        <v>1753</v>
      </c>
      <c r="S250" s="11"/>
      <c r="T250" s="6"/>
      <c r="U250" s="24" t="str">
        <f>HYPERLINK("https://media.infra-m.ru/2165/2165400/cover/2165400.jpg", "Обложка")</f>
        <v>Обложка</v>
      </c>
      <c r="V250" s="24" t="str">
        <f>HYPERLINK("https://znanium.ru/catalog/product/2165400", "Ознакомиться")</f>
        <v>Ознакомиться</v>
      </c>
      <c r="W250" s="8" t="s">
        <v>83</v>
      </c>
      <c r="X250" s="6" t="s">
        <v>226</v>
      </c>
      <c r="Y250" s="6"/>
      <c r="Z250" s="6"/>
      <c r="AA250" s="6" t="s">
        <v>61</v>
      </c>
      <c r="AB250" s="8" t="s">
        <v>227</v>
      </c>
    </row>
    <row r="251" spans="1:28" s="4" customFormat="1" ht="42" customHeight="1">
      <c r="A251" s="5">
        <v>0</v>
      </c>
      <c r="B251" s="6" t="s">
        <v>1754</v>
      </c>
      <c r="C251" s="13">
        <v>2120</v>
      </c>
      <c r="D251" s="8" t="s">
        <v>1755</v>
      </c>
      <c r="E251" s="8" t="s">
        <v>1756</v>
      </c>
      <c r="F251" s="8" t="s">
        <v>248</v>
      </c>
      <c r="G251" s="6" t="s">
        <v>52</v>
      </c>
      <c r="H251" s="6" t="s">
        <v>53</v>
      </c>
      <c r="I251" s="8" t="s">
        <v>223</v>
      </c>
      <c r="J251" s="9">
        <v>1</v>
      </c>
      <c r="K251" s="9">
        <v>399</v>
      </c>
      <c r="L251" s="9">
        <v>2025</v>
      </c>
      <c r="M251" s="8" t="s">
        <v>1757</v>
      </c>
      <c r="N251" s="8" t="s">
        <v>56</v>
      </c>
      <c r="O251" s="8" t="s">
        <v>57</v>
      </c>
      <c r="P251" s="6" t="s">
        <v>167</v>
      </c>
      <c r="Q251" s="8" t="s">
        <v>102</v>
      </c>
      <c r="R251" s="10" t="s">
        <v>1758</v>
      </c>
      <c r="S251" s="11"/>
      <c r="T251" s="6"/>
      <c r="U251" s="24" t="str">
        <f>HYPERLINK("https://media.infra-m.ru/2162/2162082/cover/2162082.jpg", "Обложка")</f>
        <v>Обложка</v>
      </c>
      <c r="V251" s="24" t="str">
        <f>HYPERLINK("https://znanium.ru/catalog/product/2162082", "Ознакомиться")</f>
        <v>Ознакомиться</v>
      </c>
      <c r="W251" s="8" t="s">
        <v>83</v>
      </c>
      <c r="X251" s="6" t="s">
        <v>226</v>
      </c>
      <c r="Y251" s="6"/>
      <c r="Z251" s="6"/>
      <c r="AA251" s="6" t="s">
        <v>61</v>
      </c>
      <c r="AB251" s="8" t="s">
        <v>227</v>
      </c>
    </row>
    <row r="252" spans="1:28" s="4" customFormat="1" ht="42" customHeight="1">
      <c r="A252" s="5">
        <v>0</v>
      </c>
      <c r="B252" s="6" t="s">
        <v>1759</v>
      </c>
      <c r="C252" s="13">
        <v>2020</v>
      </c>
      <c r="D252" s="8" t="s">
        <v>1760</v>
      </c>
      <c r="E252" s="8" t="s">
        <v>1761</v>
      </c>
      <c r="F252" s="8" t="s">
        <v>248</v>
      </c>
      <c r="G252" s="6" t="s">
        <v>52</v>
      </c>
      <c r="H252" s="6" t="s">
        <v>53</v>
      </c>
      <c r="I252" s="8" t="s">
        <v>223</v>
      </c>
      <c r="J252" s="9">
        <v>1</v>
      </c>
      <c r="K252" s="9">
        <v>403</v>
      </c>
      <c r="L252" s="9">
        <v>2025</v>
      </c>
      <c r="M252" s="8" t="s">
        <v>1762</v>
      </c>
      <c r="N252" s="8" t="s">
        <v>56</v>
      </c>
      <c r="O252" s="8" t="s">
        <v>57</v>
      </c>
      <c r="P252" s="6" t="s">
        <v>167</v>
      </c>
      <c r="Q252" s="8" t="s">
        <v>102</v>
      </c>
      <c r="R252" s="10" t="s">
        <v>1763</v>
      </c>
      <c r="S252" s="11"/>
      <c r="T252" s="6"/>
      <c r="U252" s="24" t="str">
        <f>HYPERLINK("https://media.infra-m.ru/2160/2160990/cover/2160990.jpg", "Обложка")</f>
        <v>Обложка</v>
      </c>
      <c r="V252" s="24" t="str">
        <f>HYPERLINK("https://znanium.ru/catalog/product/2160990", "Ознакомиться")</f>
        <v>Ознакомиться</v>
      </c>
      <c r="W252" s="8" t="s">
        <v>83</v>
      </c>
      <c r="X252" s="6" t="s">
        <v>785</v>
      </c>
      <c r="Y252" s="6"/>
      <c r="Z252" s="6"/>
      <c r="AA252" s="6" t="s">
        <v>61</v>
      </c>
      <c r="AB252" s="8"/>
    </row>
    <row r="253" spans="1:28" s="4" customFormat="1" ht="51.95" customHeight="1">
      <c r="A253" s="5">
        <v>0</v>
      </c>
      <c r="B253" s="6" t="s">
        <v>1764</v>
      </c>
      <c r="C253" s="13">
        <v>1370</v>
      </c>
      <c r="D253" s="8" t="s">
        <v>1765</v>
      </c>
      <c r="E253" s="8" t="s">
        <v>1766</v>
      </c>
      <c r="F253" s="8" t="s">
        <v>248</v>
      </c>
      <c r="G253" s="6" t="s">
        <v>52</v>
      </c>
      <c r="H253" s="6" t="s">
        <v>53</v>
      </c>
      <c r="I253" s="8" t="s">
        <v>100</v>
      </c>
      <c r="J253" s="9">
        <v>1</v>
      </c>
      <c r="K253" s="9">
        <v>283</v>
      </c>
      <c r="L253" s="9">
        <v>2024</v>
      </c>
      <c r="M253" s="8" t="s">
        <v>1767</v>
      </c>
      <c r="N253" s="8" t="s">
        <v>56</v>
      </c>
      <c r="O253" s="8" t="s">
        <v>57</v>
      </c>
      <c r="P253" s="6" t="s">
        <v>167</v>
      </c>
      <c r="Q253" s="8" t="s">
        <v>102</v>
      </c>
      <c r="R253" s="10" t="s">
        <v>1768</v>
      </c>
      <c r="S253" s="11"/>
      <c r="T253" s="6"/>
      <c r="U253" s="24" t="str">
        <f>HYPERLINK("https://media.infra-m.ru/1908/1908966/cover/1908966.jpg", "Обложка")</f>
        <v>Обложка</v>
      </c>
      <c r="V253" s="24" t="str">
        <f>HYPERLINK("https://znanium.ru/catalog/product/1908966", "Ознакомиться")</f>
        <v>Ознакомиться</v>
      </c>
      <c r="W253" s="8" t="s">
        <v>83</v>
      </c>
      <c r="X253" s="6"/>
      <c r="Y253" s="6"/>
      <c r="Z253" s="6"/>
      <c r="AA253" s="6" t="s">
        <v>133</v>
      </c>
      <c r="AB253" s="8" t="s">
        <v>1733</v>
      </c>
    </row>
    <row r="254" spans="1:28" s="4" customFormat="1" ht="42" customHeight="1">
      <c r="A254" s="5">
        <v>0</v>
      </c>
      <c r="B254" s="6" t="s">
        <v>1769</v>
      </c>
      <c r="C254" s="13">
        <v>2010</v>
      </c>
      <c r="D254" s="8" t="s">
        <v>1770</v>
      </c>
      <c r="E254" s="8" t="s">
        <v>1771</v>
      </c>
      <c r="F254" s="8" t="s">
        <v>248</v>
      </c>
      <c r="G254" s="6" t="s">
        <v>52</v>
      </c>
      <c r="H254" s="6" t="s">
        <v>53</v>
      </c>
      <c r="I254" s="8" t="s">
        <v>1772</v>
      </c>
      <c r="J254" s="9">
        <v>1</v>
      </c>
      <c r="K254" s="9">
        <v>426</v>
      </c>
      <c r="L254" s="9">
        <v>2024</v>
      </c>
      <c r="M254" s="8" t="s">
        <v>1773</v>
      </c>
      <c r="N254" s="8" t="s">
        <v>56</v>
      </c>
      <c r="O254" s="8" t="s">
        <v>57</v>
      </c>
      <c r="P254" s="6" t="s">
        <v>43</v>
      </c>
      <c r="Q254" s="8" t="s">
        <v>44</v>
      </c>
      <c r="R254" s="10" t="s">
        <v>1774</v>
      </c>
      <c r="S254" s="11"/>
      <c r="T254" s="6"/>
      <c r="U254" s="24" t="str">
        <f>HYPERLINK("https://media.infra-m.ru/1896/1896103/cover/1896103.jpg", "Обложка")</f>
        <v>Обложка</v>
      </c>
      <c r="V254" s="24" t="str">
        <f>HYPERLINK("https://znanium.ru/catalog/product/1896103", "Ознакомиться")</f>
        <v>Ознакомиться</v>
      </c>
      <c r="W254" s="8" t="s">
        <v>83</v>
      </c>
      <c r="X254" s="6"/>
      <c r="Y254" s="6"/>
      <c r="Z254" s="6"/>
      <c r="AA254" s="6" t="s">
        <v>133</v>
      </c>
      <c r="AB254" s="8"/>
    </row>
    <row r="255" spans="1:28" s="4" customFormat="1" ht="51.95" customHeight="1">
      <c r="A255" s="5">
        <v>0</v>
      </c>
      <c r="B255" s="6" t="s">
        <v>1775</v>
      </c>
      <c r="C255" s="7">
        <v>890</v>
      </c>
      <c r="D255" s="8" t="s">
        <v>1776</v>
      </c>
      <c r="E255" s="8" t="s">
        <v>1777</v>
      </c>
      <c r="F255" s="8" t="s">
        <v>1778</v>
      </c>
      <c r="G255" s="6" t="s">
        <v>89</v>
      </c>
      <c r="H255" s="6" t="s">
        <v>53</v>
      </c>
      <c r="I255" s="8" t="s">
        <v>1779</v>
      </c>
      <c r="J255" s="9">
        <v>1</v>
      </c>
      <c r="K255" s="9">
        <v>189</v>
      </c>
      <c r="L255" s="9">
        <v>2024</v>
      </c>
      <c r="M255" s="8" t="s">
        <v>1780</v>
      </c>
      <c r="N255" s="8" t="s">
        <v>56</v>
      </c>
      <c r="O255" s="8" t="s">
        <v>57</v>
      </c>
      <c r="P255" s="6" t="s">
        <v>43</v>
      </c>
      <c r="Q255" s="8" t="s">
        <v>44</v>
      </c>
      <c r="R255" s="10" t="s">
        <v>1781</v>
      </c>
      <c r="S255" s="11" t="s">
        <v>1782</v>
      </c>
      <c r="T255" s="6"/>
      <c r="U255" s="24" t="str">
        <f>HYPERLINK("https://media.infra-m.ru/2103/2103175/cover/2103175.jpg", "Обложка")</f>
        <v>Обложка</v>
      </c>
      <c r="V255" s="24" t="str">
        <f>HYPERLINK("https://znanium.ru/catalog/product/2103175", "Ознакомиться")</f>
        <v>Ознакомиться</v>
      </c>
      <c r="W255" s="8" t="s">
        <v>206</v>
      </c>
      <c r="X255" s="6"/>
      <c r="Y255" s="6"/>
      <c r="Z255" s="6"/>
      <c r="AA255" s="6" t="s">
        <v>258</v>
      </c>
      <c r="AB255" s="8"/>
    </row>
    <row r="256" spans="1:28" s="4" customFormat="1" ht="51.95" customHeight="1">
      <c r="A256" s="5">
        <v>0</v>
      </c>
      <c r="B256" s="6" t="s">
        <v>1783</v>
      </c>
      <c r="C256" s="13">
        <v>1794</v>
      </c>
      <c r="D256" s="8" t="s">
        <v>1784</v>
      </c>
      <c r="E256" s="8" t="s">
        <v>1785</v>
      </c>
      <c r="F256" s="8" t="s">
        <v>248</v>
      </c>
      <c r="G256" s="6" t="s">
        <v>52</v>
      </c>
      <c r="H256" s="6" t="s">
        <v>53</v>
      </c>
      <c r="I256" s="8" t="s">
        <v>223</v>
      </c>
      <c r="J256" s="9">
        <v>1</v>
      </c>
      <c r="K256" s="9">
        <v>358</v>
      </c>
      <c r="L256" s="9">
        <v>2025</v>
      </c>
      <c r="M256" s="8" t="s">
        <v>1786</v>
      </c>
      <c r="N256" s="8" t="s">
        <v>56</v>
      </c>
      <c r="O256" s="8" t="s">
        <v>57</v>
      </c>
      <c r="P256" s="6" t="s">
        <v>167</v>
      </c>
      <c r="Q256" s="8" t="s">
        <v>102</v>
      </c>
      <c r="R256" s="10" t="s">
        <v>1787</v>
      </c>
      <c r="S256" s="11" t="s">
        <v>1788</v>
      </c>
      <c r="T256" s="6"/>
      <c r="U256" s="24" t="str">
        <f>HYPERLINK("https://media.infra-m.ru/2185/2185190/cover/2185190.jpg", "Обложка")</f>
        <v>Обложка</v>
      </c>
      <c r="V256" s="24" t="str">
        <f>HYPERLINK("https://znanium.ru/catalog/product/2113309", "Ознакомиться")</f>
        <v>Ознакомиться</v>
      </c>
      <c r="W256" s="8" t="s">
        <v>83</v>
      </c>
      <c r="X256" s="6"/>
      <c r="Y256" s="6"/>
      <c r="Z256" s="6"/>
      <c r="AA256" s="6" t="s">
        <v>235</v>
      </c>
      <c r="AB256" s="8"/>
    </row>
    <row r="257" spans="1:28" s="4" customFormat="1" ht="51.95" customHeight="1">
      <c r="A257" s="5">
        <v>0</v>
      </c>
      <c r="B257" s="6" t="s">
        <v>1789</v>
      </c>
      <c r="C257" s="13">
        <v>1147</v>
      </c>
      <c r="D257" s="8" t="s">
        <v>1790</v>
      </c>
      <c r="E257" s="8" t="s">
        <v>1791</v>
      </c>
      <c r="F257" s="8" t="s">
        <v>1792</v>
      </c>
      <c r="G257" s="6" t="s">
        <v>38</v>
      </c>
      <c r="H257" s="6" t="s">
        <v>39</v>
      </c>
      <c r="I257" s="8" t="s">
        <v>90</v>
      </c>
      <c r="J257" s="9">
        <v>1</v>
      </c>
      <c r="K257" s="9">
        <v>192</v>
      </c>
      <c r="L257" s="9">
        <v>2024</v>
      </c>
      <c r="M257" s="8" t="s">
        <v>1793</v>
      </c>
      <c r="N257" s="8" t="s">
        <v>56</v>
      </c>
      <c r="O257" s="8" t="s">
        <v>57</v>
      </c>
      <c r="P257" s="6" t="s">
        <v>167</v>
      </c>
      <c r="Q257" s="8" t="s">
        <v>44</v>
      </c>
      <c r="R257" s="10" t="s">
        <v>1794</v>
      </c>
      <c r="S257" s="11" t="s">
        <v>1795</v>
      </c>
      <c r="T257" s="6"/>
      <c r="U257" s="24" t="str">
        <f>HYPERLINK("https://media.infra-m.ru/2104/2104853/cover/2104853.jpg", "Обложка")</f>
        <v>Обложка</v>
      </c>
      <c r="V257" s="24" t="str">
        <f>HYPERLINK("https://znanium.ru/catalog/product/1867601", "Ознакомиться")</f>
        <v>Ознакомиться</v>
      </c>
      <c r="W257" s="8" t="s">
        <v>1796</v>
      </c>
      <c r="X257" s="6"/>
      <c r="Y257" s="6"/>
      <c r="Z257" s="6"/>
      <c r="AA257" s="6" t="s">
        <v>160</v>
      </c>
      <c r="AB257" s="8"/>
    </row>
    <row r="258" spans="1:28" s="4" customFormat="1" ht="51.95" customHeight="1">
      <c r="A258" s="5">
        <v>0</v>
      </c>
      <c r="B258" s="6" t="s">
        <v>1797</v>
      </c>
      <c r="C258" s="13">
        <v>1967</v>
      </c>
      <c r="D258" s="8" t="s">
        <v>1798</v>
      </c>
      <c r="E258" s="8" t="s">
        <v>1799</v>
      </c>
      <c r="F258" s="8" t="s">
        <v>1792</v>
      </c>
      <c r="G258" s="6" t="s">
        <v>89</v>
      </c>
      <c r="H258" s="6" t="s">
        <v>39</v>
      </c>
      <c r="I258" s="8" t="s">
        <v>100</v>
      </c>
      <c r="J258" s="9">
        <v>1</v>
      </c>
      <c r="K258" s="9">
        <v>302</v>
      </c>
      <c r="L258" s="9">
        <v>2024</v>
      </c>
      <c r="M258" s="8" t="s">
        <v>1800</v>
      </c>
      <c r="N258" s="8" t="s">
        <v>56</v>
      </c>
      <c r="O258" s="8" t="s">
        <v>57</v>
      </c>
      <c r="P258" s="6" t="s">
        <v>43</v>
      </c>
      <c r="Q258" s="8" t="s">
        <v>102</v>
      </c>
      <c r="R258" s="10" t="s">
        <v>1801</v>
      </c>
      <c r="S258" s="11" t="s">
        <v>1802</v>
      </c>
      <c r="T258" s="6"/>
      <c r="U258" s="24" t="str">
        <f>HYPERLINK("https://media.infra-m.ru/2156/2156995/cover/2156995.jpg", "Обложка")</f>
        <v>Обложка</v>
      </c>
      <c r="V258" s="24" t="str">
        <f>HYPERLINK("https://znanium.ru/catalog/product/2145517", "Ознакомиться")</f>
        <v>Ознакомиться</v>
      </c>
      <c r="W258" s="8" t="s">
        <v>1796</v>
      </c>
      <c r="X258" s="6"/>
      <c r="Y258" s="6"/>
      <c r="Z258" s="6" t="s">
        <v>104</v>
      </c>
      <c r="AA258" s="6" t="s">
        <v>151</v>
      </c>
      <c r="AB258" s="8"/>
    </row>
    <row r="259" spans="1:28" s="4" customFormat="1" ht="42" customHeight="1">
      <c r="A259" s="5">
        <v>0</v>
      </c>
      <c r="B259" s="6" t="s">
        <v>1803</v>
      </c>
      <c r="C259" s="13">
        <v>2330</v>
      </c>
      <c r="D259" s="8" t="s">
        <v>1804</v>
      </c>
      <c r="E259" s="8" t="s">
        <v>1805</v>
      </c>
      <c r="F259" s="8" t="s">
        <v>248</v>
      </c>
      <c r="G259" s="6" t="s">
        <v>52</v>
      </c>
      <c r="H259" s="6" t="s">
        <v>53</v>
      </c>
      <c r="I259" s="8" t="s">
        <v>223</v>
      </c>
      <c r="J259" s="9">
        <v>1</v>
      </c>
      <c r="K259" s="9">
        <v>467</v>
      </c>
      <c r="L259" s="9">
        <v>2024</v>
      </c>
      <c r="M259" s="8" t="s">
        <v>1806</v>
      </c>
      <c r="N259" s="8" t="s">
        <v>56</v>
      </c>
      <c r="O259" s="8" t="s">
        <v>57</v>
      </c>
      <c r="P259" s="6" t="s">
        <v>167</v>
      </c>
      <c r="Q259" s="8" t="s">
        <v>102</v>
      </c>
      <c r="R259" s="10" t="s">
        <v>1807</v>
      </c>
      <c r="S259" s="11"/>
      <c r="T259" s="6"/>
      <c r="U259" s="24" t="str">
        <f>HYPERLINK("https://media.infra-m.ru/2130/2130861/cover/2130861.jpg", "Обложка")</f>
        <v>Обложка</v>
      </c>
      <c r="V259" s="24" t="str">
        <f>HYPERLINK("https://znanium.ru/catalog/product/2130861", "Ознакомиться")</f>
        <v>Ознакомиться</v>
      </c>
      <c r="W259" s="8" t="s">
        <v>83</v>
      </c>
      <c r="X259" s="6" t="s">
        <v>179</v>
      </c>
      <c r="Y259" s="6"/>
      <c r="Z259" s="6"/>
      <c r="AA259" s="6" t="s">
        <v>133</v>
      </c>
      <c r="AB259" s="8"/>
    </row>
    <row r="260" spans="1:28" s="4" customFormat="1" ht="51.95" customHeight="1">
      <c r="A260" s="5">
        <v>0</v>
      </c>
      <c r="B260" s="6" t="s">
        <v>1808</v>
      </c>
      <c r="C260" s="13">
        <v>1620</v>
      </c>
      <c r="D260" s="8" t="s">
        <v>1809</v>
      </c>
      <c r="E260" s="8" t="s">
        <v>1810</v>
      </c>
      <c r="F260" s="8" t="s">
        <v>248</v>
      </c>
      <c r="G260" s="6" t="s">
        <v>52</v>
      </c>
      <c r="H260" s="6" t="s">
        <v>53</v>
      </c>
      <c r="I260" s="8" t="s">
        <v>223</v>
      </c>
      <c r="J260" s="9">
        <v>1</v>
      </c>
      <c r="K260" s="9">
        <v>340</v>
      </c>
      <c r="L260" s="9">
        <v>2024</v>
      </c>
      <c r="M260" s="8" t="s">
        <v>1811</v>
      </c>
      <c r="N260" s="8" t="s">
        <v>56</v>
      </c>
      <c r="O260" s="8" t="s">
        <v>57</v>
      </c>
      <c r="P260" s="6" t="s">
        <v>167</v>
      </c>
      <c r="Q260" s="8" t="s">
        <v>102</v>
      </c>
      <c r="R260" s="10" t="s">
        <v>1812</v>
      </c>
      <c r="S260" s="11"/>
      <c r="T260" s="6"/>
      <c r="U260" s="24" t="str">
        <f>HYPERLINK("https://media.infra-m.ru/2063/2063440/cover/2063440.jpg", "Обложка")</f>
        <v>Обложка</v>
      </c>
      <c r="V260" s="24" t="str">
        <f>HYPERLINK("https://znanium.ru/catalog/product/2063440", "Ознакомиться")</f>
        <v>Ознакомиться</v>
      </c>
      <c r="W260" s="8" t="s">
        <v>83</v>
      </c>
      <c r="X260" s="6"/>
      <c r="Y260" s="6"/>
      <c r="Z260" s="6"/>
      <c r="AA260" s="6" t="s">
        <v>133</v>
      </c>
      <c r="AB260" s="8" t="s">
        <v>550</v>
      </c>
    </row>
    <row r="261" spans="1:28" s="4" customFormat="1" ht="51.95" customHeight="1">
      <c r="A261" s="5">
        <v>0</v>
      </c>
      <c r="B261" s="6" t="s">
        <v>1813</v>
      </c>
      <c r="C261" s="13">
        <v>1174</v>
      </c>
      <c r="D261" s="8" t="s">
        <v>1814</v>
      </c>
      <c r="E261" s="8" t="s">
        <v>1815</v>
      </c>
      <c r="F261" s="8" t="s">
        <v>1816</v>
      </c>
      <c r="G261" s="6" t="s">
        <v>52</v>
      </c>
      <c r="H261" s="6" t="s">
        <v>53</v>
      </c>
      <c r="I261" s="8" t="s">
        <v>90</v>
      </c>
      <c r="J261" s="9">
        <v>1</v>
      </c>
      <c r="K261" s="9">
        <v>256</v>
      </c>
      <c r="L261" s="9">
        <v>2024</v>
      </c>
      <c r="M261" s="8" t="s">
        <v>1817</v>
      </c>
      <c r="N261" s="8" t="s">
        <v>56</v>
      </c>
      <c r="O261" s="8" t="s">
        <v>57</v>
      </c>
      <c r="P261" s="6" t="s">
        <v>43</v>
      </c>
      <c r="Q261" s="8" t="s">
        <v>44</v>
      </c>
      <c r="R261" s="10" t="s">
        <v>168</v>
      </c>
      <c r="S261" s="11" t="s">
        <v>1818</v>
      </c>
      <c r="T261" s="6"/>
      <c r="U261" s="24" t="str">
        <f>HYPERLINK("https://media.infra-m.ru/2087/2087255/cover/2087255.jpg", "Обложка")</f>
        <v>Обложка</v>
      </c>
      <c r="V261" s="24" t="str">
        <f>HYPERLINK("https://znanium.ru/catalog/product/982756", "Ознакомиться")</f>
        <v>Ознакомиться</v>
      </c>
      <c r="W261" s="8" t="s">
        <v>71</v>
      </c>
      <c r="X261" s="6"/>
      <c r="Y261" s="6"/>
      <c r="Z261" s="6"/>
      <c r="AA261" s="6" t="s">
        <v>111</v>
      </c>
      <c r="AB261" s="8"/>
    </row>
    <row r="262" spans="1:28" s="4" customFormat="1" ht="51.95" customHeight="1">
      <c r="A262" s="5">
        <v>0</v>
      </c>
      <c r="B262" s="6" t="s">
        <v>1819</v>
      </c>
      <c r="C262" s="7">
        <v>450</v>
      </c>
      <c r="D262" s="8" t="s">
        <v>1820</v>
      </c>
      <c r="E262" s="8" t="s">
        <v>1821</v>
      </c>
      <c r="F262" s="8" t="s">
        <v>1822</v>
      </c>
      <c r="G262" s="6" t="s">
        <v>38</v>
      </c>
      <c r="H262" s="6" t="s">
        <v>77</v>
      </c>
      <c r="I262" s="8"/>
      <c r="J262" s="9">
        <v>1</v>
      </c>
      <c r="K262" s="9">
        <v>80</v>
      </c>
      <c r="L262" s="9">
        <v>2025</v>
      </c>
      <c r="M262" s="8" t="s">
        <v>1823</v>
      </c>
      <c r="N262" s="8" t="s">
        <v>56</v>
      </c>
      <c r="O262" s="8" t="s">
        <v>57</v>
      </c>
      <c r="P262" s="6" t="s">
        <v>43</v>
      </c>
      <c r="Q262" s="8" t="s">
        <v>279</v>
      </c>
      <c r="R262" s="10" t="s">
        <v>1824</v>
      </c>
      <c r="S262" s="11" t="s">
        <v>1825</v>
      </c>
      <c r="T262" s="6"/>
      <c r="U262" s="24" t="str">
        <f>HYPERLINK("https://media.infra-m.ru/2159/2159185/cover/2159185.jpg", "Обложка")</f>
        <v>Обложка</v>
      </c>
      <c r="V262" s="24" t="str">
        <f>HYPERLINK("https://znanium.ru/catalog/product/2159185", "Ознакомиться")</f>
        <v>Ознакомиться</v>
      </c>
      <c r="W262" s="8" t="s">
        <v>1826</v>
      </c>
      <c r="X262" s="6"/>
      <c r="Y262" s="6"/>
      <c r="Z262" s="6"/>
      <c r="AA262" s="6" t="s">
        <v>160</v>
      </c>
      <c r="AB262" s="8"/>
    </row>
    <row r="263" spans="1:28" s="4" customFormat="1" ht="51.95" customHeight="1">
      <c r="A263" s="5">
        <v>0</v>
      </c>
      <c r="B263" s="6" t="s">
        <v>1827</v>
      </c>
      <c r="C263" s="13">
        <v>1140</v>
      </c>
      <c r="D263" s="8" t="s">
        <v>1828</v>
      </c>
      <c r="E263" s="8" t="s">
        <v>1829</v>
      </c>
      <c r="F263" s="8" t="s">
        <v>1830</v>
      </c>
      <c r="G263" s="6" t="s">
        <v>89</v>
      </c>
      <c r="H263" s="6" t="s">
        <v>53</v>
      </c>
      <c r="I263" s="8" t="s">
        <v>165</v>
      </c>
      <c r="J263" s="9">
        <v>1</v>
      </c>
      <c r="K263" s="9">
        <v>234</v>
      </c>
      <c r="L263" s="9">
        <v>2024</v>
      </c>
      <c r="M263" s="8" t="s">
        <v>1831</v>
      </c>
      <c r="N263" s="8" t="s">
        <v>56</v>
      </c>
      <c r="O263" s="8" t="s">
        <v>57</v>
      </c>
      <c r="P263" s="6" t="s">
        <v>43</v>
      </c>
      <c r="Q263" s="8" t="s">
        <v>44</v>
      </c>
      <c r="R263" s="10" t="s">
        <v>1832</v>
      </c>
      <c r="S263" s="11" t="s">
        <v>1833</v>
      </c>
      <c r="T263" s="6"/>
      <c r="U263" s="24" t="str">
        <f>HYPERLINK("https://media.infra-m.ru/2141/2141590/cover/2141590.jpg", "Обложка")</f>
        <v>Обложка</v>
      </c>
      <c r="V263" s="24" t="str">
        <f>HYPERLINK("https://znanium.ru/catalog/product/2141590", "Ознакомиться")</f>
        <v>Ознакомиться</v>
      </c>
      <c r="W263" s="8" t="s">
        <v>83</v>
      </c>
      <c r="X263" s="6"/>
      <c r="Y263" s="6"/>
      <c r="Z263" s="6"/>
      <c r="AA263" s="6" t="s">
        <v>133</v>
      </c>
      <c r="AB263" s="8"/>
    </row>
    <row r="264" spans="1:28" s="4" customFormat="1" ht="51.95" customHeight="1">
      <c r="A264" s="5">
        <v>0</v>
      </c>
      <c r="B264" s="6" t="s">
        <v>1834</v>
      </c>
      <c r="C264" s="13">
        <v>1024</v>
      </c>
      <c r="D264" s="8" t="s">
        <v>1835</v>
      </c>
      <c r="E264" s="8" t="s">
        <v>1698</v>
      </c>
      <c r="F264" s="8" t="s">
        <v>1699</v>
      </c>
      <c r="G264" s="6" t="s">
        <v>89</v>
      </c>
      <c r="H264" s="6" t="s">
        <v>53</v>
      </c>
      <c r="I264" s="8" t="s">
        <v>90</v>
      </c>
      <c r="J264" s="9">
        <v>1</v>
      </c>
      <c r="K264" s="9">
        <v>223</v>
      </c>
      <c r="L264" s="9">
        <v>2024</v>
      </c>
      <c r="M264" s="8" t="s">
        <v>1836</v>
      </c>
      <c r="N264" s="8" t="s">
        <v>56</v>
      </c>
      <c r="O264" s="8" t="s">
        <v>57</v>
      </c>
      <c r="P264" s="6" t="s">
        <v>43</v>
      </c>
      <c r="Q264" s="8" t="s">
        <v>44</v>
      </c>
      <c r="R264" s="10" t="s">
        <v>360</v>
      </c>
      <c r="S264" s="11" t="s">
        <v>1837</v>
      </c>
      <c r="T264" s="6"/>
      <c r="U264" s="24" t="str">
        <f>HYPERLINK("https://media.infra-m.ru/2104/2104868/cover/2104868.jpg", "Обложка")</f>
        <v>Обложка</v>
      </c>
      <c r="V264" s="24" t="str">
        <f>HYPERLINK("https://znanium.ru/catalog/product/1914776", "Ознакомиться")</f>
        <v>Ознакомиться</v>
      </c>
      <c r="W264" s="8" t="s">
        <v>1703</v>
      </c>
      <c r="X264" s="6"/>
      <c r="Y264" s="6"/>
      <c r="Z264" s="6"/>
      <c r="AA264" s="6" t="s">
        <v>122</v>
      </c>
      <c r="AB264" s="8"/>
    </row>
    <row r="265" spans="1:28" s="4" customFormat="1" ht="51.95" customHeight="1">
      <c r="A265" s="5">
        <v>0</v>
      </c>
      <c r="B265" s="6" t="s">
        <v>1838</v>
      </c>
      <c r="C265" s="13">
        <v>1780</v>
      </c>
      <c r="D265" s="8" t="s">
        <v>1839</v>
      </c>
      <c r="E265" s="8" t="s">
        <v>1840</v>
      </c>
      <c r="F265" s="8" t="s">
        <v>248</v>
      </c>
      <c r="G265" s="6" t="s">
        <v>52</v>
      </c>
      <c r="H265" s="6" t="s">
        <v>53</v>
      </c>
      <c r="I265" s="8" t="s">
        <v>223</v>
      </c>
      <c r="J265" s="9">
        <v>1</v>
      </c>
      <c r="K265" s="9">
        <v>371</v>
      </c>
      <c r="L265" s="9">
        <v>2024</v>
      </c>
      <c r="M265" s="8" t="s">
        <v>1841</v>
      </c>
      <c r="N265" s="8" t="s">
        <v>56</v>
      </c>
      <c r="O265" s="8" t="s">
        <v>57</v>
      </c>
      <c r="P265" s="6" t="s">
        <v>167</v>
      </c>
      <c r="Q265" s="8" t="s">
        <v>102</v>
      </c>
      <c r="R265" s="10" t="s">
        <v>1842</v>
      </c>
      <c r="S265" s="11"/>
      <c r="T265" s="6"/>
      <c r="U265" s="24" t="str">
        <f>HYPERLINK("https://media.infra-m.ru/2049/2049710/cover/2049710.jpg", "Обложка")</f>
        <v>Обложка</v>
      </c>
      <c r="V265" s="24" t="str">
        <f>HYPERLINK("https://znanium.ru/catalog/product/2049710", "Ознакомиться")</f>
        <v>Ознакомиться</v>
      </c>
      <c r="W265" s="8" t="s">
        <v>83</v>
      </c>
      <c r="X265" s="6"/>
      <c r="Y265" s="6"/>
      <c r="Z265" s="6"/>
      <c r="AA265" s="6" t="s">
        <v>133</v>
      </c>
      <c r="AB265" s="8" t="s">
        <v>550</v>
      </c>
    </row>
    <row r="266" spans="1:28" s="4" customFormat="1" ht="51.95" customHeight="1">
      <c r="A266" s="5">
        <v>0</v>
      </c>
      <c r="B266" s="6" t="s">
        <v>1843</v>
      </c>
      <c r="C266" s="13">
        <v>1044</v>
      </c>
      <c r="D266" s="8" t="s">
        <v>1844</v>
      </c>
      <c r="E266" s="8" t="s">
        <v>1713</v>
      </c>
      <c r="F266" s="8" t="s">
        <v>1714</v>
      </c>
      <c r="G266" s="6" t="s">
        <v>38</v>
      </c>
      <c r="H266" s="6" t="s">
        <v>674</v>
      </c>
      <c r="I266" s="8"/>
      <c r="J266" s="9">
        <v>1</v>
      </c>
      <c r="K266" s="9">
        <v>208</v>
      </c>
      <c r="L266" s="9">
        <v>2025</v>
      </c>
      <c r="M266" s="8" t="s">
        <v>1845</v>
      </c>
      <c r="N266" s="8" t="s">
        <v>56</v>
      </c>
      <c r="O266" s="8" t="s">
        <v>57</v>
      </c>
      <c r="P266" s="6" t="s">
        <v>167</v>
      </c>
      <c r="Q266" s="8" t="s">
        <v>44</v>
      </c>
      <c r="R266" s="10" t="s">
        <v>791</v>
      </c>
      <c r="S266" s="11" t="s">
        <v>873</v>
      </c>
      <c r="T266" s="6"/>
      <c r="U266" s="24" t="str">
        <f>HYPERLINK("https://media.infra-m.ru/2170/2170322/cover/2170322.jpg", "Обложка")</f>
        <v>Обложка</v>
      </c>
      <c r="V266" s="24" t="str">
        <f>HYPERLINK("https://znanium.ru/catalog/product/2129513", "Ознакомиться")</f>
        <v>Ознакомиться</v>
      </c>
      <c r="W266" s="8" t="s">
        <v>1716</v>
      </c>
      <c r="X266" s="6"/>
      <c r="Y266" s="6"/>
      <c r="Z266" s="6"/>
      <c r="AA266" s="6" t="s">
        <v>418</v>
      </c>
      <c r="AB266" s="8"/>
    </row>
    <row r="267" spans="1:28" s="4" customFormat="1" ht="51.95" customHeight="1">
      <c r="A267" s="5">
        <v>0</v>
      </c>
      <c r="B267" s="6" t="s">
        <v>1846</v>
      </c>
      <c r="C267" s="13">
        <v>2562</v>
      </c>
      <c r="D267" s="8" t="s">
        <v>1847</v>
      </c>
      <c r="E267" s="8" t="s">
        <v>1848</v>
      </c>
      <c r="F267" s="8" t="s">
        <v>1849</v>
      </c>
      <c r="G267" s="6" t="s">
        <v>38</v>
      </c>
      <c r="H267" s="6" t="s">
        <v>438</v>
      </c>
      <c r="I267" s="8"/>
      <c r="J267" s="9">
        <v>1</v>
      </c>
      <c r="K267" s="9">
        <v>400</v>
      </c>
      <c r="L267" s="9">
        <v>2023</v>
      </c>
      <c r="M267" s="8" t="s">
        <v>1850</v>
      </c>
      <c r="N267" s="8" t="s">
        <v>56</v>
      </c>
      <c r="O267" s="8" t="s">
        <v>57</v>
      </c>
      <c r="P267" s="6" t="s">
        <v>167</v>
      </c>
      <c r="Q267" s="8" t="s">
        <v>58</v>
      </c>
      <c r="R267" s="10" t="s">
        <v>1851</v>
      </c>
      <c r="S267" s="11" t="s">
        <v>1852</v>
      </c>
      <c r="T267" s="6"/>
      <c r="U267" s="24" t="str">
        <f>HYPERLINK("https://media.infra-m.ru/1976/1976095/cover/1976095.jpg", "Обложка")</f>
        <v>Обложка</v>
      </c>
      <c r="V267" s="24" t="str">
        <f>HYPERLINK("https://znanium.ru/catalog/product/1976095", "Ознакомиться")</f>
        <v>Ознакомиться</v>
      </c>
      <c r="W267" s="8" t="s">
        <v>1853</v>
      </c>
      <c r="X267" s="6"/>
      <c r="Y267" s="6"/>
      <c r="Z267" s="6"/>
      <c r="AA267" s="6" t="s">
        <v>479</v>
      </c>
      <c r="AB267" s="8"/>
    </row>
    <row r="268" spans="1:28" s="4" customFormat="1" ht="42" customHeight="1">
      <c r="A268" s="5">
        <v>0</v>
      </c>
      <c r="B268" s="6" t="s">
        <v>1854</v>
      </c>
      <c r="C268" s="13">
        <v>2690</v>
      </c>
      <c r="D268" s="8" t="s">
        <v>1855</v>
      </c>
      <c r="E268" s="8" t="s">
        <v>1856</v>
      </c>
      <c r="F268" s="8" t="s">
        <v>248</v>
      </c>
      <c r="G268" s="6" t="s">
        <v>52</v>
      </c>
      <c r="H268" s="6" t="s">
        <v>53</v>
      </c>
      <c r="I268" s="8" t="s">
        <v>223</v>
      </c>
      <c r="J268" s="9">
        <v>1</v>
      </c>
      <c r="K268" s="9">
        <v>524</v>
      </c>
      <c r="L268" s="9">
        <v>2025</v>
      </c>
      <c r="M268" s="8" t="s">
        <v>1857</v>
      </c>
      <c r="N268" s="8" t="s">
        <v>56</v>
      </c>
      <c r="O268" s="8" t="s">
        <v>57</v>
      </c>
      <c r="P268" s="6" t="s">
        <v>167</v>
      </c>
      <c r="Q268" s="8" t="s">
        <v>102</v>
      </c>
      <c r="R268" s="10" t="s">
        <v>1858</v>
      </c>
      <c r="S268" s="11"/>
      <c r="T268" s="6"/>
      <c r="U268" s="24" t="str">
        <f>HYPERLINK("https://media.infra-m.ru/2157/2157620/cover/2157620.jpg", "Обложка")</f>
        <v>Обложка</v>
      </c>
      <c r="V268" s="24" t="str">
        <f>HYPERLINK("https://znanium.ru/catalog/product/2157620", "Ознакомиться")</f>
        <v>Ознакомиться</v>
      </c>
      <c r="W268" s="8" t="s">
        <v>83</v>
      </c>
      <c r="X268" s="6" t="s">
        <v>1049</v>
      </c>
      <c r="Y268" s="6"/>
      <c r="Z268" s="6"/>
      <c r="AA268" s="6" t="s">
        <v>61</v>
      </c>
      <c r="AB268" s="8" t="s">
        <v>227</v>
      </c>
    </row>
    <row r="269" spans="1:28" s="4" customFormat="1" ht="51.95" customHeight="1">
      <c r="A269" s="5">
        <v>0</v>
      </c>
      <c r="B269" s="6" t="s">
        <v>1859</v>
      </c>
      <c r="C269" s="13">
        <v>2750</v>
      </c>
      <c r="D269" s="8" t="s">
        <v>1860</v>
      </c>
      <c r="E269" s="8" t="s">
        <v>1861</v>
      </c>
      <c r="F269" s="8" t="s">
        <v>248</v>
      </c>
      <c r="G269" s="6" t="s">
        <v>52</v>
      </c>
      <c r="H269" s="6" t="s">
        <v>53</v>
      </c>
      <c r="I269" s="8" t="s">
        <v>165</v>
      </c>
      <c r="J269" s="9">
        <v>1</v>
      </c>
      <c r="K269" s="9">
        <v>527</v>
      </c>
      <c r="L269" s="9">
        <v>2025</v>
      </c>
      <c r="M269" s="8" t="s">
        <v>1862</v>
      </c>
      <c r="N269" s="8" t="s">
        <v>56</v>
      </c>
      <c r="O269" s="8" t="s">
        <v>57</v>
      </c>
      <c r="P269" s="6" t="s">
        <v>167</v>
      </c>
      <c r="Q269" s="8" t="s">
        <v>58</v>
      </c>
      <c r="R269" s="10" t="s">
        <v>262</v>
      </c>
      <c r="S269" s="11"/>
      <c r="T269" s="6"/>
      <c r="U269" s="24" t="str">
        <f>HYPERLINK("https://media.infra-m.ru/2180/2180370/cover/2180370.jpg", "Обложка")</f>
        <v>Обложка</v>
      </c>
      <c r="V269" s="24" t="str">
        <f>HYPERLINK("https://znanium.ru/catalog/product/2180370", "Ознакомиться")</f>
        <v>Ознакомиться</v>
      </c>
      <c r="W269" s="8" t="s">
        <v>83</v>
      </c>
      <c r="X269" s="6" t="s">
        <v>60</v>
      </c>
      <c r="Y269" s="6"/>
      <c r="Z269" s="6"/>
      <c r="AA269" s="6" t="s">
        <v>61</v>
      </c>
      <c r="AB269" s="8" t="s">
        <v>1863</v>
      </c>
    </row>
    <row r="270" spans="1:28" s="4" customFormat="1" ht="51.95" customHeight="1">
      <c r="A270" s="5">
        <v>0</v>
      </c>
      <c r="B270" s="6" t="s">
        <v>1864</v>
      </c>
      <c r="C270" s="7">
        <v>630</v>
      </c>
      <c r="D270" s="8" t="s">
        <v>1865</v>
      </c>
      <c r="E270" s="8" t="s">
        <v>1866</v>
      </c>
      <c r="F270" s="8" t="s">
        <v>1867</v>
      </c>
      <c r="G270" s="6" t="s">
        <v>38</v>
      </c>
      <c r="H270" s="6" t="s">
        <v>53</v>
      </c>
      <c r="I270" s="8" t="s">
        <v>1868</v>
      </c>
      <c r="J270" s="9">
        <v>1</v>
      </c>
      <c r="K270" s="9">
        <v>140</v>
      </c>
      <c r="L270" s="9">
        <v>2023</v>
      </c>
      <c r="M270" s="8" t="s">
        <v>1869</v>
      </c>
      <c r="N270" s="8" t="s">
        <v>56</v>
      </c>
      <c r="O270" s="8" t="s">
        <v>57</v>
      </c>
      <c r="P270" s="6" t="s">
        <v>43</v>
      </c>
      <c r="Q270" s="8" t="s">
        <v>58</v>
      </c>
      <c r="R270" s="10" t="s">
        <v>1870</v>
      </c>
      <c r="S270" s="11" t="s">
        <v>1871</v>
      </c>
      <c r="T270" s="6"/>
      <c r="U270" s="24" t="str">
        <f>HYPERLINK("https://media.infra-m.ru/1937/1937985/cover/1937985.jpg", "Обложка")</f>
        <v>Обложка</v>
      </c>
      <c r="V270" s="12"/>
      <c r="W270" s="8" t="s">
        <v>784</v>
      </c>
      <c r="X270" s="6"/>
      <c r="Y270" s="6"/>
      <c r="Z270" s="6"/>
      <c r="AA270" s="6" t="s">
        <v>442</v>
      </c>
      <c r="AB270" s="8"/>
    </row>
    <row r="271" spans="1:28" s="4" customFormat="1" ht="51.95" customHeight="1">
      <c r="A271" s="5">
        <v>0</v>
      </c>
      <c r="B271" s="6" t="s">
        <v>1872</v>
      </c>
      <c r="C271" s="13">
        <v>1270</v>
      </c>
      <c r="D271" s="8" t="s">
        <v>1873</v>
      </c>
      <c r="E271" s="8" t="s">
        <v>1874</v>
      </c>
      <c r="F271" s="8" t="s">
        <v>1875</v>
      </c>
      <c r="G271" s="6" t="s">
        <v>89</v>
      </c>
      <c r="H271" s="6" t="s">
        <v>53</v>
      </c>
      <c r="I271" s="8" t="s">
        <v>100</v>
      </c>
      <c r="J271" s="9">
        <v>1</v>
      </c>
      <c r="K271" s="9">
        <v>266</v>
      </c>
      <c r="L271" s="9">
        <v>2024</v>
      </c>
      <c r="M271" s="8" t="s">
        <v>1876</v>
      </c>
      <c r="N271" s="8" t="s">
        <v>56</v>
      </c>
      <c r="O271" s="8" t="s">
        <v>57</v>
      </c>
      <c r="P271" s="6" t="s">
        <v>167</v>
      </c>
      <c r="Q271" s="8" t="s">
        <v>102</v>
      </c>
      <c r="R271" s="10" t="s">
        <v>1877</v>
      </c>
      <c r="S271" s="11" t="s">
        <v>1878</v>
      </c>
      <c r="T271" s="6"/>
      <c r="U271" s="24" t="str">
        <f>HYPERLINK("https://media.infra-m.ru/2130/2130251/cover/2130251.jpg", "Обложка")</f>
        <v>Обложка</v>
      </c>
      <c r="V271" s="24" t="str">
        <f>HYPERLINK("https://znanium.ru/catalog/product/2130251", "Ознакомиться")</f>
        <v>Ознакомиться</v>
      </c>
      <c r="W271" s="8" t="s">
        <v>427</v>
      </c>
      <c r="X271" s="6"/>
      <c r="Y271" s="6"/>
      <c r="Z271" s="6"/>
      <c r="AA271" s="6" t="s">
        <v>207</v>
      </c>
      <c r="AB271" s="8" t="s">
        <v>1879</v>
      </c>
    </row>
    <row r="272" spans="1:28" s="4" customFormat="1" ht="51.95" customHeight="1">
      <c r="A272" s="5">
        <v>0</v>
      </c>
      <c r="B272" s="6" t="s">
        <v>1880</v>
      </c>
      <c r="C272" s="13">
        <v>3870</v>
      </c>
      <c r="D272" s="8" t="s">
        <v>1881</v>
      </c>
      <c r="E272" s="8" t="s">
        <v>1882</v>
      </c>
      <c r="F272" s="8" t="s">
        <v>248</v>
      </c>
      <c r="G272" s="6" t="s">
        <v>52</v>
      </c>
      <c r="H272" s="6" t="s">
        <v>53</v>
      </c>
      <c r="I272" s="8" t="s">
        <v>223</v>
      </c>
      <c r="J272" s="9">
        <v>1</v>
      </c>
      <c r="K272" s="9">
        <v>782</v>
      </c>
      <c r="L272" s="9">
        <v>2025</v>
      </c>
      <c r="M272" s="8" t="s">
        <v>1883</v>
      </c>
      <c r="N272" s="8" t="s">
        <v>56</v>
      </c>
      <c r="O272" s="8" t="s">
        <v>57</v>
      </c>
      <c r="P272" s="6" t="s">
        <v>167</v>
      </c>
      <c r="Q272" s="8" t="s">
        <v>102</v>
      </c>
      <c r="R272" s="10" t="s">
        <v>1884</v>
      </c>
      <c r="S272" s="11"/>
      <c r="T272" s="6"/>
      <c r="U272" s="24" t="str">
        <f>HYPERLINK("https://media.infra-m.ru/2180/2180537/cover/2180537.jpg", "Обложка")</f>
        <v>Обложка</v>
      </c>
      <c r="V272" s="24" t="str">
        <f>HYPERLINK("https://znanium.ru/catalog/product/2180537", "Ознакомиться")</f>
        <v>Ознакомиться</v>
      </c>
      <c r="W272" s="8" t="s">
        <v>83</v>
      </c>
      <c r="X272" s="6"/>
      <c r="Y272" s="6"/>
      <c r="Z272" s="6"/>
      <c r="AA272" s="6" t="s">
        <v>133</v>
      </c>
      <c r="AB272" s="8" t="s">
        <v>1733</v>
      </c>
    </row>
    <row r="273" spans="1:28" s="4" customFormat="1" ht="42" customHeight="1">
      <c r="A273" s="5">
        <v>0</v>
      </c>
      <c r="B273" s="6" t="s">
        <v>1885</v>
      </c>
      <c r="C273" s="13">
        <v>2020</v>
      </c>
      <c r="D273" s="8" t="s">
        <v>1886</v>
      </c>
      <c r="E273" s="8" t="s">
        <v>1887</v>
      </c>
      <c r="F273" s="8" t="s">
        <v>248</v>
      </c>
      <c r="G273" s="6" t="s">
        <v>52</v>
      </c>
      <c r="H273" s="6" t="s">
        <v>53</v>
      </c>
      <c r="I273" s="8" t="s">
        <v>223</v>
      </c>
      <c r="J273" s="9">
        <v>1</v>
      </c>
      <c r="K273" s="9">
        <v>388</v>
      </c>
      <c r="L273" s="9">
        <v>2025</v>
      </c>
      <c r="M273" s="8" t="s">
        <v>1888</v>
      </c>
      <c r="N273" s="8" t="s">
        <v>56</v>
      </c>
      <c r="O273" s="8" t="s">
        <v>57</v>
      </c>
      <c r="P273" s="6" t="s">
        <v>167</v>
      </c>
      <c r="Q273" s="8" t="s">
        <v>102</v>
      </c>
      <c r="R273" s="10" t="s">
        <v>1889</v>
      </c>
      <c r="S273" s="11"/>
      <c r="T273" s="6"/>
      <c r="U273" s="24" t="str">
        <f>HYPERLINK("https://media.infra-m.ru/2171/2171040/cover/2171040.jpg", "Обложка")</f>
        <v>Обложка</v>
      </c>
      <c r="V273" s="24" t="str">
        <f>HYPERLINK("https://znanium.ru/catalog/product/2171040", "Ознакомиться")</f>
        <v>Ознакомиться</v>
      </c>
      <c r="W273" s="8" t="s">
        <v>83</v>
      </c>
      <c r="X273" s="6" t="s">
        <v>60</v>
      </c>
      <c r="Y273" s="6"/>
      <c r="Z273" s="6"/>
      <c r="AA273" s="6" t="s">
        <v>61</v>
      </c>
      <c r="AB273" s="8" t="s">
        <v>227</v>
      </c>
    </row>
    <row r="274" spans="1:28" s="4" customFormat="1" ht="42" customHeight="1">
      <c r="A274" s="5">
        <v>0</v>
      </c>
      <c r="B274" s="6" t="s">
        <v>1890</v>
      </c>
      <c r="C274" s="13">
        <v>1250</v>
      </c>
      <c r="D274" s="8" t="s">
        <v>1891</v>
      </c>
      <c r="E274" s="8" t="s">
        <v>1892</v>
      </c>
      <c r="F274" s="8" t="s">
        <v>164</v>
      </c>
      <c r="G274" s="6" t="s">
        <v>52</v>
      </c>
      <c r="H274" s="6" t="s">
        <v>53</v>
      </c>
      <c r="I274" s="8" t="s">
        <v>165</v>
      </c>
      <c r="J274" s="9">
        <v>1</v>
      </c>
      <c r="K274" s="9">
        <v>258</v>
      </c>
      <c r="L274" s="9">
        <v>2024</v>
      </c>
      <c r="M274" s="8" t="s">
        <v>1893</v>
      </c>
      <c r="N274" s="8" t="s">
        <v>56</v>
      </c>
      <c r="O274" s="8" t="s">
        <v>57</v>
      </c>
      <c r="P274" s="6" t="s">
        <v>167</v>
      </c>
      <c r="Q274" s="8" t="s">
        <v>279</v>
      </c>
      <c r="R274" s="10" t="s">
        <v>1894</v>
      </c>
      <c r="S274" s="11"/>
      <c r="T274" s="6"/>
      <c r="U274" s="24" t="str">
        <f>HYPERLINK("https://media.infra-m.ru/2130/2130666/cover/2130666.jpg", "Обложка")</f>
        <v>Обложка</v>
      </c>
      <c r="V274" s="24" t="str">
        <f>HYPERLINK("https://znanium.ru/catalog/product/2130666", "Ознакомиться")</f>
        <v>Ознакомиться</v>
      </c>
      <c r="W274" s="8" t="s">
        <v>83</v>
      </c>
      <c r="X274" s="6" t="s">
        <v>179</v>
      </c>
      <c r="Y274" s="6"/>
      <c r="Z274" s="6"/>
      <c r="AA274" s="6" t="s">
        <v>133</v>
      </c>
      <c r="AB274" s="8"/>
    </row>
    <row r="275" spans="1:28" s="4" customFormat="1" ht="51.95" customHeight="1">
      <c r="A275" s="5">
        <v>0</v>
      </c>
      <c r="B275" s="6" t="s">
        <v>1895</v>
      </c>
      <c r="C275" s="7">
        <v>997</v>
      </c>
      <c r="D275" s="8" t="s">
        <v>1896</v>
      </c>
      <c r="E275" s="8" t="s">
        <v>1897</v>
      </c>
      <c r="F275" s="8" t="s">
        <v>1898</v>
      </c>
      <c r="G275" s="6" t="s">
        <v>38</v>
      </c>
      <c r="H275" s="6" t="s">
        <v>39</v>
      </c>
      <c r="I275" s="8" t="s">
        <v>116</v>
      </c>
      <c r="J275" s="9">
        <v>1</v>
      </c>
      <c r="K275" s="9">
        <v>152</v>
      </c>
      <c r="L275" s="9">
        <v>2025</v>
      </c>
      <c r="M275" s="8" t="s">
        <v>1899</v>
      </c>
      <c r="N275" s="8" t="s">
        <v>56</v>
      </c>
      <c r="O275" s="8" t="s">
        <v>57</v>
      </c>
      <c r="P275" s="6" t="s">
        <v>43</v>
      </c>
      <c r="Q275" s="8" t="s">
        <v>44</v>
      </c>
      <c r="R275" s="10" t="s">
        <v>1900</v>
      </c>
      <c r="S275" s="11" t="s">
        <v>1901</v>
      </c>
      <c r="T275" s="6"/>
      <c r="U275" s="24" t="str">
        <f>HYPERLINK("https://media.infra-m.ru/2188/2188724/cover/2188724.jpg", "Обложка")</f>
        <v>Обложка</v>
      </c>
      <c r="V275" s="24" t="str">
        <f>HYPERLINK("https://znanium.ru/catalog/product/1913639", "Ознакомиться")</f>
        <v>Ознакомиться</v>
      </c>
      <c r="W275" s="8" t="s">
        <v>1703</v>
      </c>
      <c r="X275" s="6"/>
      <c r="Y275" s="6"/>
      <c r="Z275" s="6"/>
      <c r="AA275" s="6" t="s">
        <v>494</v>
      </c>
      <c r="AB275" s="8"/>
    </row>
    <row r="276" spans="1:28" s="4" customFormat="1" ht="42" customHeight="1">
      <c r="A276" s="5">
        <v>0</v>
      </c>
      <c r="B276" s="6" t="s">
        <v>1902</v>
      </c>
      <c r="C276" s="13">
        <v>2200</v>
      </c>
      <c r="D276" s="8" t="s">
        <v>1903</v>
      </c>
      <c r="E276" s="8" t="s">
        <v>1904</v>
      </c>
      <c r="F276" s="8" t="s">
        <v>248</v>
      </c>
      <c r="G276" s="6" t="s">
        <v>52</v>
      </c>
      <c r="H276" s="6" t="s">
        <v>53</v>
      </c>
      <c r="I276" s="8" t="s">
        <v>223</v>
      </c>
      <c r="J276" s="9">
        <v>1</v>
      </c>
      <c r="K276" s="9">
        <v>422</v>
      </c>
      <c r="L276" s="9">
        <v>2025</v>
      </c>
      <c r="M276" s="8" t="s">
        <v>1905</v>
      </c>
      <c r="N276" s="8" t="s">
        <v>56</v>
      </c>
      <c r="O276" s="8" t="s">
        <v>57</v>
      </c>
      <c r="P276" s="6" t="s">
        <v>167</v>
      </c>
      <c r="Q276" s="8" t="s">
        <v>102</v>
      </c>
      <c r="R276" s="10" t="s">
        <v>1753</v>
      </c>
      <c r="S276" s="11"/>
      <c r="T276" s="6"/>
      <c r="U276" s="24" t="str">
        <f>HYPERLINK("https://media.infra-m.ru/2169/2169270/cover/2169270.jpg", "Обложка")</f>
        <v>Обложка</v>
      </c>
      <c r="V276" s="24" t="str">
        <f>HYPERLINK("https://znanium.ru/catalog/product/2169270", "Ознакомиться")</f>
        <v>Ознакомиться</v>
      </c>
      <c r="W276" s="8" t="s">
        <v>83</v>
      </c>
      <c r="X276" s="6" t="s">
        <v>60</v>
      </c>
      <c r="Y276" s="6"/>
      <c r="Z276" s="6"/>
      <c r="AA276" s="6" t="s">
        <v>61</v>
      </c>
      <c r="AB276" s="8"/>
    </row>
    <row r="277" spans="1:28" s="4" customFormat="1" ht="51.95" customHeight="1">
      <c r="A277" s="5">
        <v>0</v>
      </c>
      <c r="B277" s="6" t="s">
        <v>1906</v>
      </c>
      <c r="C277" s="13">
        <v>1140</v>
      </c>
      <c r="D277" s="8" t="s">
        <v>1907</v>
      </c>
      <c r="E277" s="8" t="s">
        <v>1908</v>
      </c>
      <c r="F277" s="8" t="s">
        <v>1699</v>
      </c>
      <c r="G277" s="6" t="s">
        <v>89</v>
      </c>
      <c r="H277" s="6" t="s">
        <v>53</v>
      </c>
      <c r="I277" s="8" t="s">
        <v>90</v>
      </c>
      <c r="J277" s="9">
        <v>1</v>
      </c>
      <c r="K277" s="9">
        <v>270</v>
      </c>
      <c r="L277" s="9">
        <v>2022</v>
      </c>
      <c r="M277" s="8" t="s">
        <v>1909</v>
      </c>
      <c r="N277" s="8" t="s">
        <v>56</v>
      </c>
      <c r="O277" s="8" t="s">
        <v>57</v>
      </c>
      <c r="P277" s="6" t="s">
        <v>43</v>
      </c>
      <c r="Q277" s="8" t="s">
        <v>44</v>
      </c>
      <c r="R277" s="10" t="s">
        <v>1910</v>
      </c>
      <c r="S277" s="11" t="s">
        <v>1911</v>
      </c>
      <c r="T277" s="6" t="s">
        <v>299</v>
      </c>
      <c r="U277" s="24" t="str">
        <f>HYPERLINK("https://media.infra-m.ru/1843/1843178/cover/1843178.jpg", "Обложка")</f>
        <v>Обложка</v>
      </c>
      <c r="V277" s="24" t="str">
        <f>HYPERLINK("https://znanium.ru/catalog/product/1843178", "Ознакомиться")</f>
        <v>Ознакомиться</v>
      </c>
      <c r="W277" s="8" t="s">
        <v>1703</v>
      </c>
      <c r="X277" s="6"/>
      <c r="Y277" s="6"/>
      <c r="Z277" s="6"/>
      <c r="AA277" s="6" t="s">
        <v>219</v>
      </c>
      <c r="AB277" s="8"/>
    </row>
    <row r="278" spans="1:28" s="4" customFormat="1" ht="51.95" customHeight="1">
      <c r="A278" s="5">
        <v>0</v>
      </c>
      <c r="B278" s="6" t="s">
        <v>1912</v>
      </c>
      <c r="C278" s="13">
        <v>1310</v>
      </c>
      <c r="D278" s="8" t="s">
        <v>1913</v>
      </c>
      <c r="E278" s="8" t="s">
        <v>1914</v>
      </c>
      <c r="F278" s="8" t="s">
        <v>1915</v>
      </c>
      <c r="G278" s="6" t="s">
        <v>89</v>
      </c>
      <c r="H278" s="6" t="s">
        <v>53</v>
      </c>
      <c r="I278" s="8" t="s">
        <v>100</v>
      </c>
      <c r="J278" s="9">
        <v>1</v>
      </c>
      <c r="K278" s="9">
        <v>252</v>
      </c>
      <c r="L278" s="9">
        <v>2025</v>
      </c>
      <c r="M278" s="8" t="s">
        <v>1916</v>
      </c>
      <c r="N278" s="8" t="s">
        <v>56</v>
      </c>
      <c r="O278" s="8" t="s">
        <v>57</v>
      </c>
      <c r="P278" s="6" t="s">
        <v>43</v>
      </c>
      <c r="Q278" s="8" t="s">
        <v>102</v>
      </c>
      <c r="R278" s="10" t="s">
        <v>1917</v>
      </c>
      <c r="S278" s="11" t="s">
        <v>1918</v>
      </c>
      <c r="T278" s="6"/>
      <c r="U278" s="24" t="str">
        <f>HYPERLINK("https://media.infra-m.ru/2162/2162934/cover/2162934.jpg", "Обложка")</f>
        <v>Обложка</v>
      </c>
      <c r="V278" s="24" t="str">
        <f>HYPERLINK("https://znanium.ru/catalog/product/2162934", "Ознакомиться")</f>
        <v>Ознакомиться</v>
      </c>
      <c r="W278" s="8" t="s">
        <v>1919</v>
      </c>
      <c r="X278" s="6"/>
      <c r="Y278" s="6"/>
      <c r="Z278" s="6"/>
      <c r="AA278" s="6" t="s">
        <v>793</v>
      </c>
      <c r="AB278" s="8" t="s">
        <v>906</v>
      </c>
    </row>
    <row r="279" spans="1:28" s="4" customFormat="1" ht="51.95" customHeight="1">
      <c r="A279" s="5">
        <v>0</v>
      </c>
      <c r="B279" s="6" t="s">
        <v>1920</v>
      </c>
      <c r="C279" s="13">
        <v>1667</v>
      </c>
      <c r="D279" s="8" t="s">
        <v>1921</v>
      </c>
      <c r="E279" s="8" t="s">
        <v>1922</v>
      </c>
      <c r="F279" s="8" t="s">
        <v>1923</v>
      </c>
      <c r="G279" s="6" t="s">
        <v>26</v>
      </c>
      <c r="H279" s="6" t="s">
        <v>438</v>
      </c>
      <c r="I279" s="8"/>
      <c r="J279" s="9">
        <v>1</v>
      </c>
      <c r="K279" s="9">
        <v>160</v>
      </c>
      <c r="L279" s="9">
        <v>2025</v>
      </c>
      <c r="M279" s="8" t="s">
        <v>1924</v>
      </c>
      <c r="N279" s="8" t="s">
        <v>56</v>
      </c>
      <c r="O279" s="8" t="s">
        <v>57</v>
      </c>
      <c r="P279" s="6" t="s">
        <v>43</v>
      </c>
      <c r="Q279" s="8" t="s">
        <v>44</v>
      </c>
      <c r="R279" s="10" t="s">
        <v>168</v>
      </c>
      <c r="S279" s="11" t="s">
        <v>1925</v>
      </c>
      <c r="T279" s="6"/>
      <c r="U279" s="24" t="str">
        <f>HYPERLINK("https://media.infra-m.ru/2192/2192229/cover/2192229.jpg", "Обложка")</f>
        <v>Обложка</v>
      </c>
      <c r="V279" s="24" t="str">
        <f>HYPERLINK("https://znanium.ru/catalog/product/1912959", "Ознакомиться")</f>
        <v>Ознакомиться</v>
      </c>
      <c r="W279" s="8" t="s">
        <v>83</v>
      </c>
      <c r="X279" s="6"/>
      <c r="Y279" s="6"/>
      <c r="Z279" s="6"/>
      <c r="AA279" s="6" t="s">
        <v>494</v>
      </c>
      <c r="AB279" s="8"/>
    </row>
    <row r="280" spans="1:28" s="4" customFormat="1" ht="42" customHeight="1">
      <c r="A280" s="5">
        <v>0</v>
      </c>
      <c r="B280" s="6" t="s">
        <v>1926</v>
      </c>
      <c r="C280" s="7">
        <v>920</v>
      </c>
      <c r="D280" s="8" t="s">
        <v>1927</v>
      </c>
      <c r="E280" s="8" t="s">
        <v>1928</v>
      </c>
      <c r="F280" s="8" t="s">
        <v>1929</v>
      </c>
      <c r="G280" s="6" t="s">
        <v>89</v>
      </c>
      <c r="H280" s="6" t="s">
        <v>184</v>
      </c>
      <c r="I280" s="8" t="s">
        <v>116</v>
      </c>
      <c r="J280" s="9">
        <v>1</v>
      </c>
      <c r="K280" s="9">
        <v>192</v>
      </c>
      <c r="L280" s="9">
        <v>2024</v>
      </c>
      <c r="M280" s="8" t="s">
        <v>1930</v>
      </c>
      <c r="N280" s="8" t="s">
        <v>56</v>
      </c>
      <c r="O280" s="8" t="s">
        <v>57</v>
      </c>
      <c r="P280" s="6" t="s">
        <v>167</v>
      </c>
      <c r="Q280" s="8" t="s">
        <v>58</v>
      </c>
      <c r="R280" s="10" t="s">
        <v>1931</v>
      </c>
      <c r="S280" s="11"/>
      <c r="T280" s="6"/>
      <c r="U280" s="24" t="str">
        <f>HYPERLINK("https://media.infra-m.ru/2078/2078399/cover/2078399.jpg", "Обложка")</f>
        <v>Обложка</v>
      </c>
      <c r="V280" s="24" t="str">
        <f>HYPERLINK("https://znanium.ru/catalog/product/2078399", "Ознакомиться")</f>
        <v>Ознакомиться</v>
      </c>
      <c r="W280" s="8" t="s">
        <v>234</v>
      </c>
      <c r="X280" s="6"/>
      <c r="Y280" s="6"/>
      <c r="Z280" s="6"/>
      <c r="AA280" s="6" t="s">
        <v>418</v>
      </c>
      <c r="AB280" s="8"/>
    </row>
    <row r="281" spans="1:28" s="4" customFormat="1" ht="51.95" customHeight="1">
      <c r="A281" s="5">
        <v>0</v>
      </c>
      <c r="B281" s="6" t="s">
        <v>1932</v>
      </c>
      <c r="C281" s="7">
        <v>804</v>
      </c>
      <c r="D281" s="8" t="s">
        <v>1933</v>
      </c>
      <c r="E281" s="8" t="s">
        <v>1934</v>
      </c>
      <c r="F281" s="8" t="s">
        <v>1792</v>
      </c>
      <c r="G281" s="6" t="s">
        <v>52</v>
      </c>
      <c r="H281" s="6" t="s">
        <v>53</v>
      </c>
      <c r="I281" s="8" t="s">
        <v>90</v>
      </c>
      <c r="J281" s="9">
        <v>1</v>
      </c>
      <c r="K281" s="9">
        <v>176</v>
      </c>
      <c r="L281" s="9">
        <v>2024</v>
      </c>
      <c r="M281" s="8" t="s">
        <v>1935</v>
      </c>
      <c r="N281" s="8" t="s">
        <v>56</v>
      </c>
      <c r="O281" s="8" t="s">
        <v>57</v>
      </c>
      <c r="P281" s="6" t="s">
        <v>43</v>
      </c>
      <c r="Q281" s="8" t="s">
        <v>44</v>
      </c>
      <c r="R281" s="10" t="s">
        <v>1936</v>
      </c>
      <c r="S281" s="11" t="s">
        <v>1937</v>
      </c>
      <c r="T281" s="6"/>
      <c r="U281" s="24" t="str">
        <f>HYPERLINK("https://media.infra-m.ru/2104/2104116/cover/2104116.jpg", "Обложка")</f>
        <v>Обложка</v>
      </c>
      <c r="V281" s="24" t="str">
        <f>HYPERLINK("https://znanium.ru/catalog/product/2104116", "Ознакомиться")</f>
        <v>Ознакомиться</v>
      </c>
      <c r="W281" s="8" t="s">
        <v>1796</v>
      </c>
      <c r="X281" s="6"/>
      <c r="Y281" s="6"/>
      <c r="Z281" s="6"/>
      <c r="AA281" s="6" t="s">
        <v>196</v>
      </c>
      <c r="AB281" s="8"/>
    </row>
    <row r="282" spans="1:28" s="4" customFormat="1" ht="42" customHeight="1">
      <c r="A282" s="5">
        <v>0</v>
      </c>
      <c r="B282" s="6" t="s">
        <v>1938</v>
      </c>
      <c r="C282" s="13">
        <v>2160</v>
      </c>
      <c r="D282" s="8" t="s">
        <v>1939</v>
      </c>
      <c r="E282" s="8" t="s">
        <v>1940</v>
      </c>
      <c r="F282" s="8" t="s">
        <v>248</v>
      </c>
      <c r="G282" s="6" t="s">
        <v>52</v>
      </c>
      <c r="H282" s="6" t="s">
        <v>53</v>
      </c>
      <c r="I282" s="8" t="s">
        <v>223</v>
      </c>
      <c r="J282" s="9">
        <v>1</v>
      </c>
      <c r="K282" s="9">
        <v>415</v>
      </c>
      <c r="L282" s="9">
        <v>2025</v>
      </c>
      <c r="M282" s="8" t="s">
        <v>1941</v>
      </c>
      <c r="N282" s="8" t="s">
        <v>56</v>
      </c>
      <c r="O282" s="8" t="s">
        <v>57</v>
      </c>
      <c r="P282" s="6" t="s">
        <v>167</v>
      </c>
      <c r="Q282" s="8" t="s">
        <v>102</v>
      </c>
      <c r="R282" s="10" t="s">
        <v>1942</v>
      </c>
      <c r="S282" s="11"/>
      <c r="T282" s="6"/>
      <c r="U282" s="24" t="str">
        <f>HYPERLINK("https://media.infra-m.ru/2170/2170823/cover/2170823.jpg", "Обложка")</f>
        <v>Обложка</v>
      </c>
      <c r="V282" s="24" t="str">
        <f>HYPERLINK("https://znanium.ru/catalog/product/2170823", "Ознакомиться")</f>
        <v>Ознакомиться</v>
      </c>
      <c r="W282" s="8" t="s">
        <v>83</v>
      </c>
      <c r="X282" s="6" t="s">
        <v>60</v>
      </c>
      <c r="Y282" s="6"/>
      <c r="Z282" s="6"/>
      <c r="AA282" s="6" t="s">
        <v>61</v>
      </c>
      <c r="AB282" s="8"/>
    </row>
    <row r="283" spans="1:28" s="4" customFormat="1" ht="42" customHeight="1">
      <c r="A283" s="5">
        <v>0</v>
      </c>
      <c r="B283" s="6" t="s">
        <v>1943</v>
      </c>
      <c r="C283" s="13">
        <v>2140</v>
      </c>
      <c r="D283" s="8" t="s">
        <v>1944</v>
      </c>
      <c r="E283" s="8" t="s">
        <v>1945</v>
      </c>
      <c r="F283" s="8" t="s">
        <v>248</v>
      </c>
      <c r="G283" s="6" t="s">
        <v>52</v>
      </c>
      <c r="H283" s="6" t="s">
        <v>53</v>
      </c>
      <c r="I283" s="8" t="s">
        <v>116</v>
      </c>
      <c r="J283" s="9">
        <v>1</v>
      </c>
      <c r="K283" s="9">
        <v>410</v>
      </c>
      <c r="L283" s="9">
        <v>2025</v>
      </c>
      <c r="M283" s="8" t="s">
        <v>1946</v>
      </c>
      <c r="N283" s="8" t="s">
        <v>56</v>
      </c>
      <c r="O283" s="8" t="s">
        <v>57</v>
      </c>
      <c r="P283" s="6" t="s">
        <v>167</v>
      </c>
      <c r="Q283" s="8" t="s">
        <v>44</v>
      </c>
      <c r="R283" s="10" t="s">
        <v>1947</v>
      </c>
      <c r="S283" s="11"/>
      <c r="T283" s="6"/>
      <c r="U283" s="24" t="str">
        <f>HYPERLINK("https://media.infra-m.ru/2186/2186788/cover/2186788.jpg", "Обложка")</f>
        <v>Обложка</v>
      </c>
      <c r="V283" s="24" t="str">
        <f>HYPERLINK("https://znanium.ru/catalog/product/2186788", "Ознакомиться")</f>
        <v>Ознакомиться</v>
      </c>
      <c r="W283" s="8" t="s">
        <v>83</v>
      </c>
      <c r="X283" s="6" t="s">
        <v>60</v>
      </c>
      <c r="Y283" s="6"/>
      <c r="Z283" s="6"/>
      <c r="AA283" s="6" t="s">
        <v>61</v>
      </c>
      <c r="AB283" s="8"/>
    </row>
    <row r="284" spans="1:28" s="4" customFormat="1" ht="42" customHeight="1">
      <c r="A284" s="5">
        <v>0</v>
      </c>
      <c r="B284" s="6" t="s">
        <v>1948</v>
      </c>
      <c r="C284" s="7">
        <v>650</v>
      </c>
      <c r="D284" s="8" t="s">
        <v>1949</v>
      </c>
      <c r="E284" s="8" t="s">
        <v>1950</v>
      </c>
      <c r="F284" s="8" t="s">
        <v>1951</v>
      </c>
      <c r="G284" s="6" t="s">
        <v>52</v>
      </c>
      <c r="H284" s="6" t="s">
        <v>53</v>
      </c>
      <c r="I284" s="8" t="s">
        <v>782</v>
      </c>
      <c r="J284" s="9">
        <v>1</v>
      </c>
      <c r="K284" s="9">
        <v>126</v>
      </c>
      <c r="L284" s="9">
        <v>2024</v>
      </c>
      <c r="M284" s="8" t="s">
        <v>1952</v>
      </c>
      <c r="N284" s="8" t="s">
        <v>56</v>
      </c>
      <c r="O284" s="8" t="s">
        <v>57</v>
      </c>
      <c r="P284" s="6" t="s">
        <v>43</v>
      </c>
      <c r="Q284" s="8" t="s">
        <v>58</v>
      </c>
      <c r="R284" s="10" t="s">
        <v>1953</v>
      </c>
      <c r="S284" s="11"/>
      <c r="T284" s="6"/>
      <c r="U284" s="24" t="str">
        <f>HYPERLINK("https://media.infra-m.ru/2130/2130229/cover/2130229.jpg", "Обложка")</f>
        <v>Обложка</v>
      </c>
      <c r="V284" s="12"/>
      <c r="W284" s="8" t="s">
        <v>784</v>
      </c>
      <c r="X284" s="6"/>
      <c r="Y284" s="6"/>
      <c r="Z284" s="6"/>
      <c r="AA284" s="6" t="s">
        <v>133</v>
      </c>
      <c r="AB284" s="8"/>
    </row>
    <row r="285" spans="1:28" s="4" customFormat="1" ht="42" customHeight="1">
      <c r="A285" s="5">
        <v>0</v>
      </c>
      <c r="B285" s="6" t="s">
        <v>1954</v>
      </c>
      <c r="C285" s="13">
        <v>1960</v>
      </c>
      <c r="D285" s="8" t="s">
        <v>1955</v>
      </c>
      <c r="E285" s="8" t="s">
        <v>1956</v>
      </c>
      <c r="F285" s="8" t="s">
        <v>248</v>
      </c>
      <c r="G285" s="6" t="s">
        <v>52</v>
      </c>
      <c r="H285" s="6" t="s">
        <v>53</v>
      </c>
      <c r="I285" s="8" t="s">
        <v>165</v>
      </c>
      <c r="J285" s="9">
        <v>1</v>
      </c>
      <c r="K285" s="9">
        <v>379</v>
      </c>
      <c r="L285" s="9">
        <v>2025</v>
      </c>
      <c r="M285" s="8" t="s">
        <v>1957</v>
      </c>
      <c r="N285" s="8" t="s">
        <v>56</v>
      </c>
      <c r="O285" s="8" t="s">
        <v>57</v>
      </c>
      <c r="P285" s="6" t="s">
        <v>167</v>
      </c>
      <c r="Q285" s="8" t="s">
        <v>58</v>
      </c>
      <c r="R285" s="10" t="s">
        <v>1958</v>
      </c>
      <c r="S285" s="11"/>
      <c r="T285" s="6"/>
      <c r="U285" s="24" t="str">
        <f>HYPERLINK("https://media.infra-m.ru/2137/2137711/cover/2137711.jpg", "Обложка")</f>
        <v>Обложка</v>
      </c>
      <c r="V285" s="24" t="str">
        <f>HYPERLINK("https://znanium.ru/catalog/product/2137711", "Ознакомиться")</f>
        <v>Ознакомиться</v>
      </c>
      <c r="W285" s="8" t="s">
        <v>83</v>
      </c>
      <c r="X285" s="6" t="s">
        <v>548</v>
      </c>
      <c r="Y285" s="6"/>
      <c r="Z285" s="6"/>
      <c r="AA285" s="6" t="s">
        <v>61</v>
      </c>
      <c r="AB285" s="8"/>
    </row>
    <row r="286" spans="1:28" s="4" customFormat="1" ht="42" customHeight="1">
      <c r="A286" s="5">
        <v>0</v>
      </c>
      <c r="B286" s="6" t="s">
        <v>1959</v>
      </c>
      <c r="C286" s="13">
        <v>2370</v>
      </c>
      <c r="D286" s="8" t="s">
        <v>1960</v>
      </c>
      <c r="E286" s="8" t="s">
        <v>1961</v>
      </c>
      <c r="F286" s="8" t="s">
        <v>248</v>
      </c>
      <c r="G286" s="6" t="s">
        <v>52</v>
      </c>
      <c r="H286" s="6" t="s">
        <v>53</v>
      </c>
      <c r="I286" s="8" t="s">
        <v>223</v>
      </c>
      <c r="J286" s="9">
        <v>1</v>
      </c>
      <c r="K286" s="9">
        <v>455</v>
      </c>
      <c r="L286" s="9">
        <v>2025</v>
      </c>
      <c r="M286" s="8" t="s">
        <v>1962</v>
      </c>
      <c r="N286" s="8" t="s">
        <v>56</v>
      </c>
      <c r="O286" s="8" t="s">
        <v>57</v>
      </c>
      <c r="P286" s="6" t="s">
        <v>167</v>
      </c>
      <c r="Q286" s="8" t="s">
        <v>102</v>
      </c>
      <c r="R286" s="10" t="s">
        <v>1963</v>
      </c>
      <c r="S286" s="11"/>
      <c r="T286" s="6"/>
      <c r="U286" s="24" t="str">
        <f>HYPERLINK("https://media.infra-m.ru/2174/2174704/cover/2174704.jpg", "Обложка")</f>
        <v>Обложка</v>
      </c>
      <c r="V286" s="24" t="str">
        <f>HYPERLINK("https://znanium.ru/catalog/product/2174704", "Ознакомиться")</f>
        <v>Ознакомиться</v>
      </c>
      <c r="W286" s="8" t="s">
        <v>83</v>
      </c>
      <c r="X286" s="6" t="s">
        <v>60</v>
      </c>
      <c r="Y286" s="6"/>
      <c r="Z286" s="6"/>
      <c r="AA286" s="6" t="s">
        <v>61</v>
      </c>
      <c r="AB286" s="8" t="s">
        <v>1863</v>
      </c>
    </row>
    <row r="287" spans="1:28" s="4" customFormat="1" ht="51.95" customHeight="1">
      <c r="A287" s="5">
        <v>0</v>
      </c>
      <c r="B287" s="6" t="s">
        <v>1964</v>
      </c>
      <c r="C287" s="13">
        <v>1370</v>
      </c>
      <c r="D287" s="8" t="s">
        <v>1965</v>
      </c>
      <c r="E287" s="8" t="s">
        <v>1785</v>
      </c>
      <c r="F287" s="8" t="s">
        <v>248</v>
      </c>
      <c r="G287" s="6" t="s">
        <v>52</v>
      </c>
      <c r="H287" s="6" t="s">
        <v>53</v>
      </c>
      <c r="I287" s="8" t="s">
        <v>90</v>
      </c>
      <c r="J287" s="9">
        <v>1</v>
      </c>
      <c r="K287" s="9">
        <v>358</v>
      </c>
      <c r="L287" s="9">
        <v>2022</v>
      </c>
      <c r="M287" s="8" t="s">
        <v>1966</v>
      </c>
      <c r="N287" s="8" t="s">
        <v>56</v>
      </c>
      <c r="O287" s="8" t="s">
        <v>57</v>
      </c>
      <c r="P287" s="6" t="s">
        <v>167</v>
      </c>
      <c r="Q287" s="8" t="s">
        <v>44</v>
      </c>
      <c r="R287" s="10" t="s">
        <v>1967</v>
      </c>
      <c r="S287" s="11" t="s">
        <v>1968</v>
      </c>
      <c r="T287" s="6"/>
      <c r="U287" s="24" t="str">
        <f>HYPERLINK("https://media.infra-m.ru/1862/1862789/cover/1862789.jpg", "Обложка")</f>
        <v>Обложка</v>
      </c>
      <c r="V287" s="24" t="str">
        <f>HYPERLINK("https://znanium.ru/catalog/product/1862789", "Ознакомиться")</f>
        <v>Ознакомиться</v>
      </c>
      <c r="W287" s="8" t="s">
        <v>83</v>
      </c>
      <c r="X287" s="6"/>
      <c r="Y287" s="6"/>
      <c r="Z287" s="6" t="s">
        <v>335</v>
      </c>
      <c r="AA287" s="6" t="s">
        <v>235</v>
      </c>
      <c r="AB287" s="8" t="s">
        <v>1969</v>
      </c>
    </row>
    <row r="288" spans="1:28" s="4" customFormat="1" ht="42" customHeight="1">
      <c r="A288" s="5">
        <v>0</v>
      </c>
      <c r="B288" s="6" t="s">
        <v>1970</v>
      </c>
      <c r="C288" s="7">
        <v>674</v>
      </c>
      <c r="D288" s="8" t="s">
        <v>1971</v>
      </c>
      <c r="E288" s="8" t="s">
        <v>1972</v>
      </c>
      <c r="F288" s="8" t="s">
        <v>1973</v>
      </c>
      <c r="G288" s="6" t="s">
        <v>38</v>
      </c>
      <c r="H288" s="6" t="s">
        <v>952</v>
      </c>
      <c r="I288" s="8"/>
      <c r="J288" s="9">
        <v>1</v>
      </c>
      <c r="K288" s="9">
        <v>128</v>
      </c>
      <c r="L288" s="9">
        <v>2025</v>
      </c>
      <c r="M288" s="8" t="s">
        <v>1974</v>
      </c>
      <c r="N288" s="8" t="s">
        <v>56</v>
      </c>
      <c r="O288" s="8" t="s">
        <v>57</v>
      </c>
      <c r="P288" s="6" t="s">
        <v>43</v>
      </c>
      <c r="Q288" s="8" t="s">
        <v>44</v>
      </c>
      <c r="R288" s="10" t="s">
        <v>292</v>
      </c>
      <c r="S288" s="11"/>
      <c r="T288" s="6"/>
      <c r="U288" s="24" t="str">
        <f>HYPERLINK("https://media.infra-m.ru/2192/2192774/cover/2192774.jpg", "Обложка")</f>
        <v>Обложка</v>
      </c>
      <c r="V288" s="24" t="str">
        <f>HYPERLINK("https://znanium.ru/catalog/product/1959269", "Ознакомиться")</f>
        <v>Ознакомиться</v>
      </c>
      <c r="W288" s="8" t="s">
        <v>83</v>
      </c>
      <c r="X288" s="6"/>
      <c r="Y288" s="6"/>
      <c r="Z288" s="6"/>
      <c r="AA288" s="6" t="s">
        <v>793</v>
      </c>
      <c r="AB288" s="8"/>
    </row>
    <row r="289" spans="1:28" s="4" customFormat="1" ht="42" customHeight="1">
      <c r="A289" s="5">
        <v>0</v>
      </c>
      <c r="B289" s="6" t="s">
        <v>1975</v>
      </c>
      <c r="C289" s="13">
        <v>1092</v>
      </c>
      <c r="D289" s="8" t="s">
        <v>1976</v>
      </c>
      <c r="E289" s="8" t="s">
        <v>1977</v>
      </c>
      <c r="F289" s="8" t="s">
        <v>1978</v>
      </c>
      <c r="G289" s="6" t="s">
        <v>52</v>
      </c>
      <c r="H289" s="6" t="s">
        <v>53</v>
      </c>
      <c r="I289" s="8" t="s">
        <v>782</v>
      </c>
      <c r="J289" s="9">
        <v>1</v>
      </c>
      <c r="K289" s="9">
        <v>167</v>
      </c>
      <c r="L289" s="9">
        <v>2024</v>
      </c>
      <c r="M289" s="8" t="s">
        <v>1979</v>
      </c>
      <c r="N289" s="8" t="s">
        <v>56</v>
      </c>
      <c r="O289" s="8" t="s">
        <v>57</v>
      </c>
      <c r="P289" s="6" t="s">
        <v>43</v>
      </c>
      <c r="Q289" s="8" t="s">
        <v>44</v>
      </c>
      <c r="R289" s="10" t="s">
        <v>1980</v>
      </c>
      <c r="S289" s="11"/>
      <c r="T289" s="6"/>
      <c r="U289" s="24" t="str">
        <f>HYPERLINK("https://media.infra-m.ru/2133/2133995/cover/2133995.jpg", "Обложка")</f>
        <v>Обложка</v>
      </c>
      <c r="V289" s="12"/>
      <c r="W289" s="8" t="s">
        <v>784</v>
      </c>
      <c r="X289" s="6" t="s">
        <v>389</v>
      </c>
      <c r="Y289" s="6"/>
      <c r="Z289" s="6"/>
      <c r="AA289" s="6" t="s">
        <v>133</v>
      </c>
      <c r="AB289" s="8"/>
    </row>
    <row r="290" spans="1:28" s="4" customFormat="1" ht="51.95" customHeight="1">
      <c r="A290" s="5">
        <v>0</v>
      </c>
      <c r="B290" s="6" t="s">
        <v>1981</v>
      </c>
      <c r="C290" s="7">
        <v>810</v>
      </c>
      <c r="D290" s="8" t="s">
        <v>1982</v>
      </c>
      <c r="E290" s="8" t="s">
        <v>1983</v>
      </c>
      <c r="F290" s="8" t="s">
        <v>1984</v>
      </c>
      <c r="G290" s="6" t="s">
        <v>52</v>
      </c>
      <c r="H290" s="6" t="s">
        <v>53</v>
      </c>
      <c r="I290" s="8" t="s">
        <v>100</v>
      </c>
      <c r="J290" s="9">
        <v>1</v>
      </c>
      <c r="K290" s="9">
        <v>160</v>
      </c>
      <c r="L290" s="9">
        <v>2024</v>
      </c>
      <c r="M290" s="8" t="s">
        <v>1985</v>
      </c>
      <c r="N290" s="8" t="s">
        <v>56</v>
      </c>
      <c r="O290" s="8" t="s">
        <v>57</v>
      </c>
      <c r="P290" s="6" t="s">
        <v>43</v>
      </c>
      <c r="Q290" s="8" t="s">
        <v>102</v>
      </c>
      <c r="R290" s="10" t="s">
        <v>1986</v>
      </c>
      <c r="S290" s="11"/>
      <c r="T290" s="6"/>
      <c r="U290" s="24" t="str">
        <f>HYPERLINK("https://media.infra-m.ru/1989/1989235/cover/1989235.jpg", "Обложка")</f>
        <v>Обложка</v>
      </c>
      <c r="V290" s="24" t="str">
        <f>HYPERLINK("https://znanium.ru/catalog/product/1989235", "Ознакомиться")</f>
        <v>Ознакомиться</v>
      </c>
      <c r="W290" s="8" t="s">
        <v>1987</v>
      </c>
      <c r="X290" s="6"/>
      <c r="Y290" s="6"/>
      <c r="Z290" s="6"/>
      <c r="AA290" s="6" t="s">
        <v>133</v>
      </c>
      <c r="AB290" s="8" t="s">
        <v>1988</v>
      </c>
    </row>
    <row r="291" spans="1:28" s="4" customFormat="1" ht="42" customHeight="1">
      <c r="A291" s="5">
        <v>0</v>
      </c>
      <c r="B291" s="6" t="s">
        <v>1989</v>
      </c>
      <c r="C291" s="13">
        <v>1594</v>
      </c>
      <c r="D291" s="8" t="s">
        <v>1990</v>
      </c>
      <c r="E291" s="8" t="s">
        <v>1991</v>
      </c>
      <c r="F291" s="8" t="s">
        <v>1992</v>
      </c>
      <c r="G291" s="6" t="s">
        <v>52</v>
      </c>
      <c r="H291" s="6" t="s">
        <v>53</v>
      </c>
      <c r="I291" s="8" t="s">
        <v>90</v>
      </c>
      <c r="J291" s="9">
        <v>1</v>
      </c>
      <c r="K291" s="9">
        <v>319</v>
      </c>
      <c r="L291" s="9">
        <v>2025</v>
      </c>
      <c r="M291" s="8" t="s">
        <v>1993</v>
      </c>
      <c r="N291" s="8" t="s">
        <v>56</v>
      </c>
      <c r="O291" s="8" t="s">
        <v>57</v>
      </c>
      <c r="P291" s="6" t="s">
        <v>43</v>
      </c>
      <c r="Q291" s="8" t="s">
        <v>44</v>
      </c>
      <c r="R291" s="10" t="s">
        <v>157</v>
      </c>
      <c r="S291" s="11"/>
      <c r="T291" s="6"/>
      <c r="U291" s="24" t="str">
        <f>HYPERLINK("https://media.infra-m.ru/2185/2185903/cover/2185903.jpg", "Обложка")</f>
        <v>Обложка</v>
      </c>
      <c r="V291" s="24" t="str">
        <f>HYPERLINK("https://znanium.ru/catalog/product/1815603", "Ознакомиться")</f>
        <v>Ознакомиться</v>
      </c>
      <c r="W291" s="8" t="s">
        <v>71</v>
      </c>
      <c r="X291" s="6"/>
      <c r="Y291" s="6"/>
      <c r="Z291" s="6"/>
      <c r="AA291" s="6" t="s">
        <v>377</v>
      </c>
      <c r="AB291" s="8"/>
    </row>
    <row r="292" spans="1:28" s="4" customFormat="1" ht="51.95" customHeight="1">
      <c r="A292" s="5">
        <v>0</v>
      </c>
      <c r="B292" s="6" t="s">
        <v>1994</v>
      </c>
      <c r="C292" s="13">
        <v>1130</v>
      </c>
      <c r="D292" s="8" t="s">
        <v>1995</v>
      </c>
      <c r="E292" s="8" t="s">
        <v>1996</v>
      </c>
      <c r="F292" s="8" t="s">
        <v>1997</v>
      </c>
      <c r="G292" s="6" t="s">
        <v>38</v>
      </c>
      <c r="H292" s="6" t="s">
        <v>39</v>
      </c>
      <c r="I292" s="8" t="s">
        <v>90</v>
      </c>
      <c r="J292" s="9">
        <v>1</v>
      </c>
      <c r="K292" s="9">
        <v>192</v>
      </c>
      <c r="L292" s="9">
        <v>2023</v>
      </c>
      <c r="M292" s="8" t="s">
        <v>1998</v>
      </c>
      <c r="N292" s="8" t="s">
        <v>56</v>
      </c>
      <c r="O292" s="8" t="s">
        <v>57</v>
      </c>
      <c r="P292" s="6" t="s">
        <v>43</v>
      </c>
      <c r="Q292" s="8" t="s">
        <v>44</v>
      </c>
      <c r="R292" s="10" t="s">
        <v>1999</v>
      </c>
      <c r="S292" s="11" t="s">
        <v>2000</v>
      </c>
      <c r="T292" s="6"/>
      <c r="U292" s="24" t="str">
        <f>HYPERLINK("https://media.infra-m.ru/1913/1913671/cover/1913671.jpg", "Обложка")</f>
        <v>Обложка</v>
      </c>
      <c r="V292" s="24" t="str">
        <f>HYPERLINK("https://znanium.ru/catalog/product/1913671", "Ознакомиться")</f>
        <v>Ознакомиться</v>
      </c>
      <c r="W292" s="8" t="s">
        <v>1796</v>
      </c>
      <c r="X292" s="6"/>
      <c r="Y292" s="6"/>
      <c r="Z292" s="6"/>
      <c r="AA292" s="6" t="s">
        <v>2001</v>
      </c>
      <c r="AB292" s="8"/>
    </row>
    <row r="293" spans="1:28" s="4" customFormat="1" ht="51.95" customHeight="1">
      <c r="A293" s="5">
        <v>0</v>
      </c>
      <c r="B293" s="6" t="s">
        <v>2002</v>
      </c>
      <c r="C293" s="7">
        <v>844.9</v>
      </c>
      <c r="D293" s="8" t="s">
        <v>2003</v>
      </c>
      <c r="E293" s="8" t="s">
        <v>1996</v>
      </c>
      <c r="F293" s="8" t="s">
        <v>1997</v>
      </c>
      <c r="G293" s="6" t="s">
        <v>38</v>
      </c>
      <c r="H293" s="6" t="s">
        <v>39</v>
      </c>
      <c r="I293" s="8" t="s">
        <v>90</v>
      </c>
      <c r="J293" s="9">
        <v>1</v>
      </c>
      <c r="K293" s="9">
        <v>144</v>
      </c>
      <c r="L293" s="9">
        <v>2023</v>
      </c>
      <c r="M293" s="8" t="s">
        <v>2004</v>
      </c>
      <c r="N293" s="8" t="s">
        <v>56</v>
      </c>
      <c r="O293" s="8" t="s">
        <v>57</v>
      </c>
      <c r="P293" s="6" t="s">
        <v>43</v>
      </c>
      <c r="Q293" s="8" t="s">
        <v>44</v>
      </c>
      <c r="R293" s="10" t="s">
        <v>2005</v>
      </c>
      <c r="S293" s="11" t="s">
        <v>2006</v>
      </c>
      <c r="T293" s="6"/>
      <c r="U293" s="24" t="str">
        <f>HYPERLINK("https://media.infra-m.ru/1913/1913678/cover/1913678.jpg", "Обложка")</f>
        <v>Обложка</v>
      </c>
      <c r="V293" s="24" t="str">
        <f>HYPERLINK("https://znanium.ru/catalog/product/1913678", "Ознакомиться")</f>
        <v>Ознакомиться</v>
      </c>
      <c r="W293" s="8" t="s">
        <v>1796</v>
      </c>
      <c r="X293" s="6"/>
      <c r="Y293" s="6"/>
      <c r="Z293" s="6"/>
      <c r="AA293" s="6" t="s">
        <v>2001</v>
      </c>
      <c r="AB293" s="8"/>
    </row>
    <row r="294" spans="1:28" s="4" customFormat="1" ht="42" customHeight="1">
      <c r="A294" s="5">
        <v>0</v>
      </c>
      <c r="B294" s="6" t="s">
        <v>2007</v>
      </c>
      <c r="C294" s="13">
        <v>1364.9</v>
      </c>
      <c r="D294" s="8" t="s">
        <v>2008</v>
      </c>
      <c r="E294" s="8" t="s">
        <v>1799</v>
      </c>
      <c r="F294" s="8" t="s">
        <v>1792</v>
      </c>
      <c r="G294" s="6" t="s">
        <v>52</v>
      </c>
      <c r="H294" s="6" t="s">
        <v>39</v>
      </c>
      <c r="I294" s="8" t="s">
        <v>90</v>
      </c>
      <c r="J294" s="9">
        <v>1</v>
      </c>
      <c r="K294" s="9">
        <v>304</v>
      </c>
      <c r="L294" s="9">
        <v>2023</v>
      </c>
      <c r="M294" s="8" t="s">
        <v>2009</v>
      </c>
      <c r="N294" s="8" t="s">
        <v>56</v>
      </c>
      <c r="O294" s="8" t="s">
        <v>57</v>
      </c>
      <c r="P294" s="6" t="s">
        <v>43</v>
      </c>
      <c r="Q294" s="8" t="s">
        <v>44</v>
      </c>
      <c r="R294" s="10" t="s">
        <v>2010</v>
      </c>
      <c r="S294" s="11"/>
      <c r="T294" s="6"/>
      <c r="U294" s="24" t="str">
        <f>HYPERLINK("https://media.infra-m.ru/1891/1891815/cover/1891815.jpg", "Обложка")</f>
        <v>Обложка</v>
      </c>
      <c r="V294" s="24" t="str">
        <f>HYPERLINK("https://znanium.ru/catalog/product/1891815", "Ознакомиться")</f>
        <v>Ознакомиться</v>
      </c>
      <c r="W294" s="8" t="s">
        <v>1796</v>
      </c>
      <c r="X294" s="6"/>
      <c r="Y294" s="6"/>
      <c r="Z294" s="6"/>
      <c r="AA294" s="6" t="s">
        <v>111</v>
      </c>
      <c r="AB294" s="8"/>
    </row>
    <row r="295" spans="1:28" s="4" customFormat="1" ht="51.95" customHeight="1">
      <c r="A295" s="5">
        <v>0</v>
      </c>
      <c r="B295" s="6" t="s">
        <v>2011</v>
      </c>
      <c r="C295" s="7">
        <v>920</v>
      </c>
      <c r="D295" s="8" t="s">
        <v>2012</v>
      </c>
      <c r="E295" s="8" t="s">
        <v>2013</v>
      </c>
      <c r="F295" s="8" t="s">
        <v>1699</v>
      </c>
      <c r="G295" s="6" t="s">
        <v>89</v>
      </c>
      <c r="H295" s="6" t="s">
        <v>53</v>
      </c>
      <c r="I295" s="8" t="s">
        <v>100</v>
      </c>
      <c r="J295" s="9">
        <v>1</v>
      </c>
      <c r="K295" s="9">
        <v>200</v>
      </c>
      <c r="L295" s="9">
        <v>2024</v>
      </c>
      <c r="M295" s="8" t="s">
        <v>2014</v>
      </c>
      <c r="N295" s="8" t="s">
        <v>56</v>
      </c>
      <c r="O295" s="8" t="s">
        <v>57</v>
      </c>
      <c r="P295" s="6" t="s">
        <v>43</v>
      </c>
      <c r="Q295" s="8" t="s">
        <v>102</v>
      </c>
      <c r="R295" s="10" t="s">
        <v>2015</v>
      </c>
      <c r="S295" s="11" t="s">
        <v>2016</v>
      </c>
      <c r="T295" s="6"/>
      <c r="U295" s="24" t="str">
        <f>HYPERLINK("https://media.infra-m.ru/2128/2128443/cover/2128443.jpg", "Обложка")</f>
        <v>Обложка</v>
      </c>
      <c r="V295" s="24" t="str">
        <f>HYPERLINK("https://znanium.ru/catalog/product/2128443", "Ознакомиться")</f>
        <v>Ознакомиться</v>
      </c>
      <c r="W295" s="8" t="s">
        <v>1703</v>
      </c>
      <c r="X295" s="6"/>
      <c r="Y295" s="6"/>
      <c r="Z295" s="6"/>
      <c r="AA295" s="6" t="s">
        <v>442</v>
      </c>
      <c r="AB295" s="8"/>
    </row>
    <row r="296" spans="1:28" s="4" customFormat="1" ht="51.95" customHeight="1">
      <c r="A296" s="5">
        <v>0</v>
      </c>
      <c r="B296" s="6" t="s">
        <v>2017</v>
      </c>
      <c r="C296" s="13">
        <v>1594</v>
      </c>
      <c r="D296" s="8" t="s">
        <v>2018</v>
      </c>
      <c r="E296" s="8" t="s">
        <v>1991</v>
      </c>
      <c r="F296" s="8" t="s">
        <v>1816</v>
      </c>
      <c r="G296" s="6" t="s">
        <v>89</v>
      </c>
      <c r="H296" s="6" t="s">
        <v>53</v>
      </c>
      <c r="I296" s="8" t="s">
        <v>100</v>
      </c>
      <c r="J296" s="9">
        <v>1</v>
      </c>
      <c r="K296" s="9">
        <v>319</v>
      </c>
      <c r="L296" s="9">
        <v>2025</v>
      </c>
      <c r="M296" s="8" t="s">
        <v>2019</v>
      </c>
      <c r="N296" s="8" t="s">
        <v>56</v>
      </c>
      <c r="O296" s="8" t="s">
        <v>57</v>
      </c>
      <c r="P296" s="6" t="s">
        <v>43</v>
      </c>
      <c r="Q296" s="8" t="s">
        <v>102</v>
      </c>
      <c r="R296" s="10" t="s">
        <v>1349</v>
      </c>
      <c r="S296" s="11" t="s">
        <v>2020</v>
      </c>
      <c r="T296" s="6"/>
      <c r="U296" s="24" t="str">
        <f>HYPERLINK("https://media.infra-m.ru/2174/2174260/cover/2174260.jpg", "Обложка")</f>
        <v>Обложка</v>
      </c>
      <c r="V296" s="24" t="str">
        <f>HYPERLINK("https://znanium.ru/catalog/product/1933138", "Ознакомиться")</f>
        <v>Ознакомиться</v>
      </c>
      <c r="W296" s="8" t="s">
        <v>71</v>
      </c>
      <c r="X296" s="6"/>
      <c r="Y296" s="6"/>
      <c r="Z296" s="6" t="s">
        <v>104</v>
      </c>
      <c r="AA296" s="6" t="s">
        <v>1374</v>
      </c>
      <c r="AB296" s="8"/>
    </row>
    <row r="297" spans="1:28" s="4" customFormat="1" ht="51.95" customHeight="1">
      <c r="A297" s="5">
        <v>0</v>
      </c>
      <c r="B297" s="6" t="s">
        <v>2021</v>
      </c>
      <c r="C297" s="13">
        <v>2020</v>
      </c>
      <c r="D297" s="8" t="s">
        <v>2022</v>
      </c>
      <c r="E297" s="8" t="s">
        <v>2023</v>
      </c>
      <c r="F297" s="8" t="s">
        <v>248</v>
      </c>
      <c r="G297" s="6" t="s">
        <v>52</v>
      </c>
      <c r="H297" s="6" t="s">
        <v>53</v>
      </c>
      <c r="I297" s="8" t="s">
        <v>223</v>
      </c>
      <c r="J297" s="9">
        <v>1</v>
      </c>
      <c r="K297" s="9">
        <v>393</v>
      </c>
      <c r="L297" s="9">
        <v>2025</v>
      </c>
      <c r="M297" s="8" t="s">
        <v>2024</v>
      </c>
      <c r="N297" s="8" t="s">
        <v>56</v>
      </c>
      <c r="O297" s="8" t="s">
        <v>57</v>
      </c>
      <c r="P297" s="6" t="s">
        <v>167</v>
      </c>
      <c r="Q297" s="8" t="s">
        <v>102</v>
      </c>
      <c r="R297" s="10" t="s">
        <v>2025</v>
      </c>
      <c r="S297" s="11"/>
      <c r="T297" s="6"/>
      <c r="U297" s="24" t="str">
        <f>HYPERLINK("https://media.infra-m.ru/2163/2163270/cover/2163270.jpg", "Обложка")</f>
        <v>Обложка</v>
      </c>
      <c r="V297" s="24" t="str">
        <f>HYPERLINK("https://znanium.ru/catalog/product/2163270", "Ознакомиться")</f>
        <v>Ознакомиться</v>
      </c>
      <c r="W297" s="8" t="s">
        <v>83</v>
      </c>
      <c r="X297" s="6" t="s">
        <v>226</v>
      </c>
      <c r="Y297" s="6"/>
      <c r="Z297" s="6"/>
      <c r="AA297" s="6" t="s">
        <v>61</v>
      </c>
      <c r="AB297" s="8"/>
    </row>
    <row r="298" spans="1:28" s="4" customFormat="1" ht="51.95" customHeight="1">
      <c r="A298" s="5">
        <v>0</v>
      </c>
      <c r="B298" s="6" t="s">
        <v>2026</v>
      </c>
      <c r="C298" s="13">
        <v>1234</v>
      </c>
      <c r="D298" s="8" t="s">
        <v>2027</v>
      </c>
      <c r="E298" s="8" t="s">
        <v>2028</v>
      </c>
      <c r="F298" s="8" t="s">
        <v>2029</v>
      </c>
      <c r="G298" s="6" t="s">
        <v>89</v>
      </c>
      <c r="H298" s="6" t="s">
        <v>53</v>
      </c>
      <c r="I298" s="8" t="s">
        <v>90</v>
      </c>
      <c r="J298" s="9">
        <v>1</v>
      </c>
      <c r="K298" s="9">
        <v>246</v>
      </c>
      <c r="L298" s="9">
        <v>2025</v>
      </c>
      <c r="M298" s="8" t="s">
        <v>2030</v>
      </c>
      <c r="N298" s="8" t="s">
        <v>56</v>
      </c>
      <c r="O298" s="8" t="s">
        <v>57</v>
      </c>
      <c r="P298" s="6" t="s">
        <v>43</v>
      </c>
      <c r="Q298" s="8" t="s">
        <v>44</v>
      </c>
      <c r="R298" s="10" t="s">
        <v>2031</v>
      </c>
      <c r="S298" s="11" t="s">
        <v>2032</v>
      </c>
      <c r="T298" s="6"/>
      <c r="U298" s="24" t="str">
        <f>HYPERLINK("https://media.infra-m.ru/2175/2175575/cover/2175575.jpg", "Обложка")</f>
        <v>Обложка</v>
      </c>
      <c r="V298" s="24" t="str">
        <f>HYPERLINK("https://znanium.ru/catalog/product/2067386", "Ознакомиться")</f>
        <v>Ознакомиться</v>
      </c>
      <c r="W298" s="8" t="s">
        <v>2033</v>
      </c>
      <c r="X298" s="6"/>
      <c r="Y298" s="6"/>
      <c r="Z298" s="6"/>
      <c r="AA298" s="6" t="s">
        <v>258</v>
      </c>
      <c r="AB298" s="8"/>
    </row>
    <row r="299" spans="1:28" s="4" customFormat="1" ht="51.95" customHeight="1">
      <c r="A299" s="5">
        <v>0</v>
      </c>
      <c r="B299" s="6" t="s">
        <v>2034</v>
      </c>
      <c r="C299" s="13">
        <v>1250</v>
      </c>
      <c r="D299" s="8" t="s">
        <v>2035</v>
      </c>
      <c r="E299" s="8" t="s">
        <v>2028</v>
      </c>
      <c r="F299" s="8" t="s">
        <v>2029</v>
      </c>
      <c r="G299" s="6" t="s">
        <v>89</v>
      </c>
      <c r="H299" s="6" t="s">
        <v>53</v>
      </c>
      <c r="I299" s="8" t="s">
        <v>100</v>
      </c>
      <c r="J299" s="9">
        <v>1</v>
      </c>
      <c r="K299" s="9">
        <v>246</v>
      </c>
      <c r="L299" s="9">
        <v>2025</v>
      </c>
      <c r="M299" s="8" t="s">
        <v>2036</v>
      </c>
      <c r="N299" s="8" t="s">
        <v>56</v>
      </c>
      <c r="O299" s="8" t="s">
        <v>57</v>
      </c>
      <c r="P299" s="6" t="s">
        <v>43</v>
      </c>
      <c r="Q299" s="8" t="s">
        <v>102</v>
      </c>
      <c r="R299" s="10" t="s">
        <v>2037</v>
      </c>
      <c r="S299" s="11" t="s">
        <v>2038</v>
      </c>
      <c r="T299" s="6"/>
      <c r="U299" s="24" t="str">
        <f>HYPERLINK("https://media.infra-m.ru/2174/2174263/cover/2174263.jpg", "Обложка")</f>
        <v>Обложка</v>
      </c>
      <c r="V299" s="24" t="str">
        <f>HYPERLINK("https://znanium.ru/catalog/product/2174263", "Ознакомиться")</f>
        <v>Ознакомиться</v>
      </c>
      <c r="W299" s="8" t="s">
        <v>2033</v>
      </c>
      <c r="X299" s="6"/>
      <c r="Y299" s="6"/>
      <c r="Z299" s="6" t="s">
        <v>104</v>
      </c>
      <c r="AA299" s="6" t="s">
        <v>258</v>
      </c>
      <c r="AB299" s="8"/>
    </row>
    <row r="300" spans="1:28" s="4" customFormat="1" ht="42" customHeight="1">
      <c r="A300" s="5">
        <v>0</v>
      </c>
      <c r="B300" s="6" t="s">
        <v>2039</v>
      </c>
      <c r="C300" s="7">
        <v>830</v>
      </c>
      <c r="D300" s="8" t="s">
        <v>2040</v>
      </c>
      <c r="E300" s="8" t="s">
        <v>2041</v>
      </c>
      <c r="F300" s="8" t="s">
        <v>2042</v>
      </c>
      <c r="G300" s="6" t="s">
        <v>52</v>
      </c>
      <c r="H300" s="6" t="s">
        <v>53</v>
      </c>
      <c r="I300" s="8" t="s">
        <v>782</v>
      </c>
      <c r="J300" s="9">
        <v>1</v>
      </c>
      <c r="K300" s="9">
        <v>160</v>
      </c>
      <c r="L300" s="9">
        <v>2025</v>
      </c>
      <c r="M300" s="8" t="s">
        <v>2043</v>
      </c>
      <c r="N300" s="8" t="s">
        <v>41</v>
      </c>
      <c r="O300" s="8" t="s">
        <v>42</v>
      </c>
      <c r="P300" s="6" t="s">
        <v>43</v>
      </c>
      <c r="Q300" s="8" t="s">
        <v>58</v>
      </c>
      <c r="R300" s="10" t="s">
        <v>2044</v>
      </c>
      <c r="S300" s="11"/>
      <c r="T300" s="6"/>
      <c r="U300" s="24" t="str">
        <f>HYPERLINK("https://media.infra-m.ru/2162/2162077/cover/2162077.jpg", "Обложка")</f>
        <v>Обложка</v>
      </c>
      <c r="V300" s="12"/>
      <c r="W300" s="8" t="s">
        <v>784</v>
      </c>
      <c r="X300" s="6" t="s">
        <v>1049</v>
      </c>
      <c r="Y300" s="6"/>
      <c r="Z300" s="6"/>
      <c r="AA300" s="6" t="s">
        <v>61</v>
      </c>
      <c r="AB300" s="8"/>
    </row>
    <row r="301" spans="1:28" s="4" customFormat="1" ht="51.95" customHeight="1">
      <c r="A301" s="5">
        <v>0</v>
      </c>
      <c r="B301" s="6" t="s">
        <v>2045</v>
      </c>
      <c r="C301" s="13">
        <v>2440</v>
      </c>
      <c r="D301" s="8" t="s">
        <v>2046</v>
      </c>
      <c r="E301" s="8" t="s">
        <v>2047</v>
      </c>
      <c r="F301" s="8" t="s">
        <v>267</v>
      </c>
      <c r="G301" s="6" t="s">
        <v>52</v>
      </c>
      <c r="H301" s="6" t="s">
        <v>53</v>
      </c>
      <c r="I301" s="8" t="s">
        <v>2048</v>
      </c>
      <c r="J301" s="9">
        <v>1</v>
      </c>
      <c r="K301" s="9">
        <v>506</v>
      </c>
      <c r="L301" s="9">
        <v>2024</v>
      </c>
      <c r="M301" s="8" t="s">
        <v>2049</v>
      </c>
      <c r="N301" s="8" t="s">
        <v>41</v>
      </c>
      <c r="O301" s="8" t="s">
        <v>676</v>
      </c>
      <c r="P301" s="6" t="s">
        <v>167</v>
      </c>
      <c r="Q301" s="8" t="s">
        <v>58</v>
      </c>
      <c r="R301" s="10" t="s">
        <v>2050</v>
      </c>
      <c r="S301" s="11" t="s">
        <v>2051</v>
      </c>
      <c r="T301" s="6"/>
      <c r="U301" s="24" t="str">
        <f>HYPERLINK("https://media.infra-m.ru/2168/2168923/cover/2168923.jpg", "Обложка")</f>
        <v>Обложка</v>
      </c>
      <c r="V301" s="24" t="str">
        <f>HYPERLINK("https://znanium.ru/catalog/product/2168923", "Ознакомиться")</f>
        <v>Ознакомиться</v>
      </c>
      <c r="W301" s="8" t="s">
        <v>189</v>
      </c>
      <c r="X301" s="6"/>
      <c r="Y301" s="6"/>
      <c r="Z301" s="6"/>
      <c r="AA301" s="6" t="s">
        <v>133</v>
      </c>
      <c r="AB301" s="8"/>
    </row>
    <row r="302" spans="1:28" s="4" customFormat="1" ht="51.95" customHeight="1">
      <c r="A302" s="5">
        <v>0</v>
      </c>
      <c r="B302" s="6" t="s">
        <v>2052</v>
      </c>
      <c r="C302" s="13">
        <v>1200</v>
      </c>
      <c r="D302" s="8" t="s">
        <v>2053</v>
      </c>
      <c r="E302" s="8" t="s">
        <v>2054</v>
      </c>
      <c r="F302" s="8" t="s">
        <v>2055</v>
      </c>
      <c r="G302" s="6" t="s">
        <v>89</v>
      </c>
      <c r="H302" s="6" t="s">
        <v>53</v>
      </c>
      <c r="I302" s="8" t="s">
        <v>90</v>
      </c>
      <c r="J302" s="9">
        <v>1</v>
      </c>
      <c r="K302" s="9">
        <v>240</v>
      </c>
      <c r="L302" s="9">
        <v>2024</v>
      </c>
      <c r="M302" s="8" t="s">
        <v>2056</v>
      </c>
      <c r="N302" s="8" t="s">
        <v>41</v>
      </c>
      <c r="O302" s="8" t="s">
        <v>118</v>
      </c>
      <c r="P302" s="6" t="s">
        <v>43</v>
      </c>
      <c r="Q302" s="8" t="s">
        <v>44</v>
      </c>
      <c r="R302" s="10" t="s">
        <v>2057</v>
      </c>
      <c r="S302" s="11" t="s">
        <v>2058</v>
      </c>
      <c r="T302" s="6"/>
      <c r="U302" s="24" t="str">
        <f>HYPERLINK("https://media.infra-m.ru/2138/2138938/cover/2138938.jpg", "Обложка")</f>
        <v>Обложка</v>
      </c>
      <c r="V302" s="24" t="str">
        <f>HYPERLINK("https://znanium.ru/catalog/product/2138938", "Ознакомиться")</f>
        <v>Ознакомиться</v>
      </c>
      <c r="W302" s="8" t="s">
        <v>2059</v>
      </c>
      <c r="X302" s="6"/>
      <c r="Y302" s="6"/>
      <c r="Z302" s="6"/>
      <c r="AA302" s="6" t="s">
        <v>111</v>
      </c>
      <c r="AB302" s="8"/>
    </row>
    <row r="303" spans="1:28" s="4" customFormat="1" ht="51.95" customHeight="1">
      <c r="A303" s="5">
        <v>0</v>
      </c>
      <c r="B303" s="6" t="s">
        <v>2060</v>
      </c>
      <c r="C303" s="7">
        <v>674</v>
      </c>
      <c r="D303" s="8" t="s">
        <v>2061</v>
      </c>
      <c r="E303" s="8" t="s">
        <v>2062</v>
      </c>
      <c r="F303" s="8" t="s">
        <v>2063</v>
      </c>
      <c r="G303" s="6" t="s">
        <v>38</v>
      </c>
      <c r="H303" s="6" t="s">
        <v>53</v>
      </c>
      <c r="I303" s="8" t="s">
        <v>116</v>
      </c>
      <c r="J303" s="9">
        <v>1</v>
      </c>
      <c r="K303" s="9">
        <v>143</v>
      </c>
      <c r="L303" s="9">
        <v>2023</v>
      </c>
      <c r="M303" s="8" t="s">
        <v>2064</v>
      </c>
      <c r="N303" s="8" t="s">
        <v>41</v>
      </c>
      <c r="O303" s="8" t="s">
        <v>118</v>
      </c>
      <c r="P303" s="6" t="s">
        <v>167</v>
      </c>
      <c r="Q303" s="8" t="s">
        <v>58</v>
      </c>
      <c r="R303" s="10" t="s">
        <v>2065</v>
      </c>
      <c r="S303" s="11" t="s">
        <v>2066</v>
      </c>
      <c r="T303" s="6"/>
      <c r="U303" s="24" t="str">
        <f>HYPERLINK("https://media.infra-m.ru/2115/2115737/cover/2115737.jpg", "Обложка")</f>
        <v>Обложка</v>
      </c>
      <c r="V303" s="24" t="str">
        <f>HYPERLINK("https://znanium.ru/catalog/product/2115736", "Ознакомиться")</f>
        <v>Ознакомиться</v>
      </c>
      <c r="W303" s="8"/>
      <c r="X303" s="6"/>
      <c r="Y303" s="6"/>
      <c r="Z303" s="6"/>
      <c r="AA303" s="6" t="s">
        <v>418</v>
      </c>
      <c r="AB303" s="8"/>
    </row>
    <row r="304" spans="1:28" s="4" customFormat="1" ht="51.95" customHeight="1">
      <c r="A304" s="5">
        <v>0</v>
      </c>
      <c r="B304" s="6" t="s">
        <v>2067</v>
      </c>
      <c r="C304" s="13">
        <v>1200</v>
      </c>
      <c r="D304" s="8" t="s">
        <v>2068</v>
      </c>
      <c r="E304" s="8" t="s">
        <v>2069</v>
      </c>
      <c r="F304" s="8" t="s">
        <v>2070</v>
      </c>
      <c r="G304" s="6" t="s">
        <v>89</v>
      </c>
      <c r="H304" s="6" t="s">
        <v>53</v>
      </c>
      <c r="I304" s="8" t="s">
        <v>90</v>
      </c>
      <c r="J304" s="9">
        <v>1</v>
      </c>
      <c r="K304" s="9">
        <v>268</v>
      </c>
      <c r="L304" s="9">
        <v>2019</v>
      </c>
      <c r="M304" s="8" t="s">
        <v>2071</v>
      </c>
      <c r="N304" s="8" t="s">
        <v>41</v>
      </c>
      <c r="O304" s="8" t="s">
        <v>118</v>
      </c>
      <c r="P304" s="6" t="s">
        <v>43</v>
      </c>
      <c r="Q304" s="8" t="s">
        <v>44</v>
      </c>
      <c r="R304" s="10" t="s">
        <v>157</v>
      </c>
      <c r="S304" s="11" t="s">
        <v>2072</v>
      </c>
      <c r="T304" s="6" t="s">
        <v>299</v>
      </c>
      <c r="U304" s="24" t="str">
        <f>HYPERLINK("https://media.infra-m.ru/1008/1008123/cover/1008123.jpg", "Обложка")</f>
        <v>Обложка</v>
      </c>
      <c r="V304" s="24" t="str">
        <f>HYPERLINK("https://znanium.ru/catalog/product/2051467", "Ознакомиться")</f>
        <v>Ознакомиться</v>
      </c>
      <c r="W304" s="8" t="s">
        <v>2073</v>
      </c>
      <c r="X304" s="6"/>
      <c r="Y304" s="6"/>
      <c r="Z304" s="6"/>
      <c r="AA304" s="6" t="s">
        <v>663</v>
      </c>
      <c r="AB304" s="8"/>
    </row>
    <row r="305" spans="1:28" s="4" customFormat="1" ht="51.95" customHeight="1">
      <c r="A305" s="5">
        <v>0</v>
      </c>
      <c r="B305" s="6" t="s">
        <v>2074</v>
      </c>
      <c r="C305" s="13">
        <v>1250</v>
      </c>
      <c r="D305" s="8" t="s">
        <v>2075</v>
      </c>
      <c r="E305" s="8" t="s">
        <v>2076</v>
      </c>
      <c r="F305" s="8" t="s">
        <v>2077</v>
      </c>
      <c r="G305" s="6" t="s">
        <v>89</v>
      </c>
      <c r="H305" s="6" t="s">
        <v>184</v>
      </c>
      <c r="I305" s="8" t="s">
        <v>116</v>
      </c>
      <c r="J305" s="9">
        <v>1</v>
      </c>
      <c r="K305" s="9">
        <v>272</v>
      </c>
      <c r="L305" s="9">
        <v>2023</v>
      </c>
      <c r="M305" s="8" t="s">
        <v>2078</v>
      </c>
      <c r="N305" s="8" t="s">
        <v>41</v>
      </c>
      <c r="O305" s="8" t="s">
        <v>118</v>
      </c>
      <c r="P305" s="6" t="s">
        <v>43</v>
      </c>
      <c r="Q305" s="8" t="s">
        <v>58</v>
      </c>
      <c r="R305" s="10" t="s">
        <v>1251</v>
      </c>
      <c r="S305" s="11" t="s">
        <v>2079</v>
      </c>
      <c r="T305" s="6" t="s">
        <v>299</v>
      </c>
      <c r="U305" s="24" t="str">
        <f>HYPERLINK("https://media.infra-m.ru/2007/2007877/cover/2007877.jpg", "Обложка")</f>
        <v>Обложка</v>
      </c>
      <c r="V305" s="24" t="str">
        <f>HYPERLINK("https://znanium.ru/catalog/product/2007877", "Ознакомиться")</f>
        <v>Ознакомиться</v>
      </c>
      <c r="W305" s="8" t="s">
        <v>2080</v>
      </c>
      <c r="X305" s="6"/>
      <c r="Y305" s="6"/>
      <c r="Z305" s="6"/>
      <c r="AA305" s="6" t="s">
        <v>442</v>
      </c>
      <c r="AB305" s="8"/>
    </row>
    <row r="306" spans="1:28" s="4" customFormat="1" ht="51.95" customHeight="1">
      <c r="A306" s="5">
        <v>0</v>
      </c>
      <c r="B306" s="6" t="s">
        <v>2081</v>
      </c>
      <c r="C306" s="13">
        <v>2454</v>
      </c>
      <c r="D306" s="8" t="s">
        <v>2082</v>
      </c>
      <c r="E306" s="8" t="s">
        <v>2083</v>
      </c>
      <c r="F306" s="8" t="s">
        <v>2084</v>
      </c>
      <c r="G306" s="6" t="s">
        <v>52</v>
      </c>
      <c r="H306" s="6" t="s">
        <v>53</v>
      </c>
      <c r="I306" s="8" t="s">
        <v>116</v>
      </c>
      <c r="J306" s="9">
        <v>1</v>
      </c>
      <c r="K306" s="9">
        <v>541</v>
      </c>
      <c r="L306" s="9">
        <v>2022</v>
      </c>
      <c r="M306" s="8" t="s">
        <v>2085</v>
      </c>
      <c r="N306" s="8" t="s">
        <v>41</v>
      </c>
      <c r="O306" s="8" t="s">
        <v>118</v>
      </c>
      <c r="P306" s="6" t="s">
        <v>43</v>
      </c>
      <c r="Q306" s="8" t="s">
        <v>44</v>
      </c>
      <c r="R306" s="10" t="s">
        <v>157</v>
      </c>
      <c r="S306" s="11" t="s">
        <v>2072</v>
      </c>
      <c r="T306" s="6"/>
      <c r="U306" s="24" t="str">
        <f>HYPERLINK("https://media.infra-m.ru/2083/2083346/cover/2083346.jpg", "Обложка")</f>
        <v>Обложка</v>
      </c>
      <c r="V306" s="24" t="str">
        <f>HYPERLINK("https://znanium.ru/catalog/product/2051467", "Ознакомиться")</f>
        <v>Ознакомиться</v>
      </c>
      <c r="W306" s="8" t="s">
        <v>2073</v>
      </c>
      <c r="X306" s="6"/>
      <c r="Y306" s="6"/>
      <c r="Z306" s="6"/>
      <c r="AA306" s="6" t="s">
        <v>2086</v>
      </c>
      <c r="AB306" s="8"/>
    </row>
    <row r="307" spans="1:28" s="4" customFormat="1" ht="51.95" customHeight="1">
      <c r="A307" s="5">
        <v>0</v>
      </c>
      <c r="B307" s="6" t="s">
        <v>2087</v>
      </c>
      <c r="C307" s="13">
        <v>2300</v>
      </c>
      <c r="D307" s="8" t="s">
        <v>2088</v>
      </c>
      <c r="E307" s="8" t="s">
        <v>2089</v>
      </c>
      <c r="F307" s="8" t="s">
        <v>2084</v>
      </c>
      <c r="G307" s="6" t="s">
        <v>52</v>
      </c>
      <c r="H307" s="6" t="s">
        <v>53</v>
      </c>
      <c r="I307" s="8" t="s">
        <v>165</v>
      </c>
      <c r="J307" s="9">
        <v>1</v>
      </c>
      <c r="K307" s="9">
        <v>500</v>
      </c>
      <c r="L307" s="9">
        <v>2024</v>
      </c>
      <c r="M307" s="8" t="s">
        <v>2090</v>
      </c>
      <c r="N307" s="8" t="s">
        <v>41</v>
      </c>
      <c r="O307" s="8" t="s">
        <v>118</v>
      </c>
      <c r="P307" s="6" t="s">
        <v>43</v>
      </c>
      <c r="Q307" s="8" t="s">
        <v>44</v>
      </c>
      <c r="R307" s="10" t="s">
        <v>2091</v>
      </c>
      <c r="S307" s="11" t="s">
        <v>2092</v>
      </c>
      <c r="T307" s="6"/>
      <c r="U307" s="24" t="str">
        <f>HYPERLINK("https://media.infra-m.ru/1891/1891818/cover/1891818.jpg", "Обложка")</f>
        <v>Обложка</v>
      </c>
      <c r="V307" s="24" t="str">
        <f>HYPERLINK("https://znanium.ru/catalog/product/1891818", "Ознакомиться")</f>
        <v>Ознакомиться</v>
      </c>
      <c r="W307" s="8" t="s">
        <v>2073</v>
      </c>
      <c r="X307" s="6"/>
      <c r="Y307" s="6"/>
      <c r="Z307" s="6"/>
      <c r="AA307" s="6" t="s">
        <v>219</v>
      </c>
      <c r="AB307" s="8"/>
    </row>
    <row r="308" spans="1:28" s="4" customFormat="1" ht="51.95" customHeight="1">
      <c r="A308" s="5">
        <v>0</v>
      </c>
      <c r="B308" s="6" t="s">
        <v>2093</v>
      </c>
      <c r="C308" s="13">
        <v>1440</v>
      </c>
      <c r="D308" s="8" t="s">
        <v>2094</v>
      </c>
      <c r="E308" s="8" t="s">
        <v>2095</v>
      </c>
      <c r="F308" s="8" t="s">
        <v>2096</v>
      </c>
      <c r="G308" s="6" t="s">
        <v>89</v>
      </c>
      <c r="H308" s="6" t="s">
        <v>53</v>
      </c>
      <c r="I308" s="8" t="s">
        <v>276</v>
      </c>
      <c r="J308" s="9">
        <v>1</v>
      </c>
      <c r="K308" s="9">
        <v>293</v>
      </c>
      <c r="L308" s="9">
        <v>2024</v>
      </c>
      <c r="M308" s="8" t="s">
        <v>2097</v>
      </c>
      <c r="N308" s="8" t="s">
        <v>41</v>
      </c>
      <c r="O308" s="8" t="s">
        <v>118</v>
      </c>
      <c r="P308" s="6" t="s">
        <v>167</v>
      </c>
      <c r="Q308" s="8" t="s">
        <v>279</v>
      </c>
      <c r="R308" s="10" t="s">
        <v>2098</v>
      </c>
      <c r="S308" s="11" t="s">
        <v>2099</v>
      </c>
      <c r="T308" s="6"/>
      <c r="U308" s="24" t="str">
        <f>HYPERLINK("https://media.infra-m.ru/2084/2084386/cover/2084386.jpg", "Обложка")</f>
        <v>Обложка</v>
      </c>
      <c r="V308" s="24" t="str">
        <f>HYPERLINK("https://znanium.ru/catalog/product/2084386", "Ознакомиться")</f>
        <v>Ознакомиться</v>
      </c>
      <c r="W308" s="8" t="s">
        <v>2100</v>
      </c>
      <c r="X308" s="6"/>
      <c r="Y308" s="6"/>
      <c r="Z308" s="6"/>
      <c r="AA308" s="6" t="s">
        <v>207</v>
      </c>
      <c r="AB308" s="8"/>
    </row>
    <row r="309" spans="1:28" s="4" customFormat="1" ht="51.95" customHeight="1">
      <c r="A309" s="5">
        <v>0</v>
      </c>
      <c r="B309" s="6" t="s">
        <v>2101</v>
      </c>
      <c r="C309" s="13">
        <v>1320</v>
      </c>
      <c r="D309" s="8" t="s">
        <v>2102</v>
      </c>
      <c r="E309" s="8" t="s">
        <v>2103</v>
      </c>
      <c r="F309" s="8" t="s">
        <v>2104</v>
      </c>
      <c r="G309" s="6" t="s">
        <v>89</v>
      </c>
      <c r="H309" s="6" t="s">
        <v>53</v>
      </c>
      <c r="I309" s="8" t="s">
        <v>116</v>
      </c>
      <c r="J309" s="9">
        <v>1</v>
      </c>
      <c r="K309" s="9">
        <v>252</v>
      </c>
      <c r="L309" s="9">
        <v>2025</v>
      </c>
      <c r="M309" s="8" t="s">
        <v>2105</v>
      </c>
      <c r="N309" s="8" t="s">
        <v>79</v>
      </c>
      <c r="O309" s="8" t="s">
        <v>396</v>
      </c>
      <c r="P309" s="6" t="s">
        <v>167</v>
      </c>
      <c r="Q309" s="8" t="s">
        <v>44</v>
      </c>
      <c r="R309" s="10" t="s">
        <v>2106</v>
      </c>
      <c r="S309" s="11" t="s">
        <v>2107</v>
      </c>
      <c r="T309" s="6"/>
      <c r="U309" s="24" t="str">
        <f>HYPERLINK("https://media.infra-m.ru/2186/2186402/cover/2186402.jpg", "Обложка")</f>
        <v>Обложка</v>
      </c>
      <c r="V309" s="24" t="str">
        <f>HYPERLINK("https://znanium.ru/catalog/product/2186402", "Ознакомиться")</f>
        <v>Ознакомиться</v>
      </c>
      <c r="W309" s="8" t="s">
        <v>1571</v>
      </c>
      <c r="X309" s="6"/>
      <c r="Y309" s="6"/>
      <c r="Z309" s="6"/>
      <c r="AA309" s="6" t="s">
        <v>235</v>
      </c>
      <c r="AB309" s="8"/>
    </row>
    <row r="310" spans="1:28" s="4" customFormat="1" ht="51.95" customHeight="1">
      <c r="A310" s="5">
        <v>0</v>
      </c>
      <c r="B310" s="6" t="s">
        <v>2108</v>
      </c>
      <c r="C310" s="13">
        <v>2400</v>
      </c>
      <c r="D310" s="8" t="s">
        <v>2109</v>
      </c>
      <c r="E310" s="8" t="s">
        <v>2110</v>
      </c>
      <c r="F310" s="8" t="s">
        <v>2111</v>
      </c>
      <c r="G310" s="6" t="s">
        <v>52</v>
      </c>
      <c r="H310" s="6" t="s">
        <v>674</v>
      </c>
      <c r="I310" s="8"/>
      <c r="J310" s="9">
        <v>1</v>
      </c>
      <c r="K310" s="9">
        <v>480</v>
      </c>
      <c r="L310" s="9">
        <v>2025</v>
      </c>
      <c r="M310" s="8" t="s">
        <v>2112</v>
      </c>
      <c r="N310" s="8" t="s">
        <v>41</v>
      </c>
      <c r="O310" s="8" t="s">
        <v>676</v>
      </c>
      <c r="P310" s="6" t="s">
        <v>167</v>
      </c>
      <c r="Q310" s="8" t="s">
        <v>44</v>
      </c>
      <c r="R310" s="10" t="s">
        <v>2113</v>
      </c>
      <c r="S310" s="11"/>
      <c r="T310" s="6"/>
      <c r="U310" s="24" t="str">
        <f>HYPERLINK("https://media.infra-m.ru/2165/2165977/cover/2165977.jpg", "Обложка")</f>
        <v>Обложка</v>
      </c>
      <c r="V310" s="24" t="str">
        <f>HYPERLINK("https://znanium.ru/catalog/product/2165977", "Ознакомиться")</f>
        <v>Ознакомиться</v>
      </c>
      <c r="W310" s="8" t="s">
        <v>2114</v>
      </c>
      <c r="X310" s="6"/>
      <c r="Y310" s="6"/>
      <c r="Z310" s="6"/>
      <c r="AA310" s="6" t="s">
        <v>258</v>
      </c>
      <c r="AB310" s="8"/>
    </row>
    <row r="311" spans="1:28" s="4" customFormat="1" ht="51.95" customHeight="1">
      <c r="A311" s="5">
        <v>0</v>
      </c>
      <c r="B311" s="6" t="s">
        <v>2115</v>
      </c>
      <c r="C311" s="13">
        <v>1130</v>
      </c>
      <c r="D311" s="8" t="s">
        <v>2116</v>
      </c>
      <c r="E311" s="8" t="s">
        <v>2117</v>
      </c>
      <c r="F311" s="8" t="s">
        <v>2118</v>
      </c>
      <c r="G311" s="6" t="s">
        <v>89</v>
      </c>
      <c r="H311" s="6" t="s">
        <v>53</v>
      </c>
      <c r="I311" s="8" t="s">
        <v>116</v>
      </c>
      <c r="J311" s="9">
        <v>1</v>
      </c>
      <c r="K311" s="9">
        <v>240</v>
      </c>
      <c r="L311" s="9">
        <v>2024</v>
      </c>
      <c r="M311" s="8" t="s">
        <v>2119</v>
      </c>
      <c r="N311" s="8" t="s">
        <v>41</v>
      </c>
      <c r="O311" s="8" t="s">
        <v>1204</v>
      </c>
      <c r="P311" s="6" t="s">
        <v>43</v>
      </c>
      <c r="Q311" s="8" t="s">
        <v>44</v>
      </c>
      <c r="R311" s="10" t="s">
        <v>2120</v>
      </c>
      <c r="S311" s="11" t="s">
        <v>2121</v>
      </c>
      <c r="T311" s="6"/>
      <c r="U311" s="24" t="str">
        <f>HYPERLINK("https://media.infra-m.ru/2137/2137075/cover/2137075.jpg", "Обложка")</f>
        <v>Обложка</v>
      </c>
      <c r="V311" s="24" t="str">
        <f>HYPERLINK("https://znanium.ru/catalog/product/2137075", "Ознакомиться")</f>
        <v>Ознакомиться</v>
      </c>
      <c r="W311" s="8" t="s">
        <v>2122</v>
      </c>
      <c r="X311" s="6"/>
      <c r="Y311" s="6"/>
      <c r="Z311" s="6"/>
      <c r="AA311" s="6" t="s">
        <v>654</v>
      </c>
      <c r="AB311" s="8"/>
    </row>
    <row r="312" spans="1:28" s="4" customFormat="1" ht="51.95" customHeight="1">
      <c r="A312" s="5">
        <v>0</v>
      </c>
      <c r="B312" s="6" t="s">
        <v>2123</v>
      </c>
      <c r="C312" s="13">
        <v>1072</v>
      </c>
      <c r="D312" s="8" t="s">
        <v>2124</v>
      </c>
      <c r="E312" s="8" t="s">
        <v>2125</v>
      </c>
      <c r="F312" s="8" t="s">
        <v>2126</v>
      </c>
      <c r="G312" s="6" t="s">
        <v>38</v>
      </c>
      <c r="H312" s="6" t="s">
        <v>53</v>
      </c>
      <c r="I312" s="8" t="s">
        <v>58</v>
      </c>
      <c r="J312" s="9">
        <v>1</v>
      </c>
      <c r="K312" s="9">
        <v>160</v>
      </c>
      <c r="L312" s="9">
        <v>2025</v>
      </c>
      <c r="M312" s="8" t="s">
        <v>2127</v>
      </c>
      <c r="N312" s="8" t="s">
        <v>79</v>
      </c>
      <c r="O312" s="8" t="s">
        <v>396</v>
      </c>
      <c r="P312" s="6" t="s">
        <v>43</v>
      </c>
      <c r="Q312" s="8" t="s">
        <v>58</v>
      </c>
      <c r="R312" s="10" t="s">
        <v>2128</v>
      </c>
      <c r="S312" s="11" t="s">
        <v>620</v>
      </c>
      <c r="T312" s="6"/>
      <c r="U312" s="24" t="str">
        <f>HYPERLINK("https://media.infra-m.ru/2202/2202568/cover/2202568.jpg", "Обложка")</f>
        <v>Обложка</v>
      </c>
      <c r="V312" s="24" t="str">
        <f>HYPERLINK("https://znanium.ru/catalog/product/2202568", "Ознакомиться")</f>
        <v>Ознакомиться</v>
      </c>
      <c r="W312" s="8"/>
      <c r="X312" s="6"/>
      <c r="Y312" s="6"/>
      <c r="Z312" s="6"/>
      <c r="AA312" s="6" t="s">
        <v>622</v>
      </c>
      <c r="AB312" s="8"/>
    </row>
    <row r="313" spans="1:28" s="4" customFormat="1" ht="51.95" customHeight="1">
      <c r="A313" s="5">
        <v>0</v>
      </c>
      <c r="B313" s="6" t="s">
        <v>2129</v>
      </c>
      <c r="C313" s="13">
        <v>1150</v>
      </c>
      <c r="D313" s="8" t="s">
        <v>2130</v>
      </c>
      <c r="E313" s="8" t="s">
        <v>2131</v>
      </c>
      <c r="F313" s="8" t="s">
        <v>2132</v>
      </c>
      <c r="G313" s="6" t="s">
        <v>38</v>
      </c>
      <c r="H313" s="6" t="s">
        <v>674</v>
      </c>
      <c r="I313" s="8"/>
      <c r="J313" s="9">
        <v>1</v>
      </c>
      <c r="K313" s="9">
        <v>400</v>
      </c>
      <c r="L313" s="9">
        <v>2019</v>
      </c>
      <c r="M313" s="8" t="s">
        <v>2133</v>
      </c>
      <c r="N313" s="8" t="s">
        <v>41</v>
      </c>
      <c r="O313" s="8" t="s">
        <v>676</v>
      </c>
      <c r="P313" s="6" t="s">
        <v>2134</v>
      </c>
      <c r="Q313" s="8" t="s">
        <v>58</v>
      </c>
      <c r="R313" s="10" t="s">
        <v>2135</v>
      </c>
      <c r="S313" s="11"/>
      <c r="T313" s="6"/>
      <c r="U313" s="24" t="str">
        <f>HYPERLINK("https://media.infra-m.ru/0996/0996219/cover/996219.jpg", "Обложка")</f>
        <v>Обложка</v>
      </c>
      <c r="V313" s="24" t="str">
        <f>HYPERLINK("https://znanium.ru/catalog/product/1993587", "Ознакомиться")</f>
        <v>Ознакомиться</v>
      </c>
      <c r="W313" s="8" t="s">
        <v>808</v>
      </c>
      <c r="X313" s="6"/>
      <c r="Y313" s="6"/>
      <c r="Z313" s="6"/>
      <c r="AA313" s="6" t="s">
        <v>326</v>
      </c>
      <c r="AB313" s="8"/>
    </row>
    <row r="314" spans="1:28" s="4" customFormat="1" ht="51.95" customHeight="1">
      <c r="A314" s="5">
        <v>0</v>
      </c>
      <c r="B314" s="6" t="s">
        <v>2136</v>
      </c>
      <c r="C314" s="13">
        <v>1700</v>
      </c>
      <c r="D314" s="8" t="s">
        <v>2137</v>
      </c>
      <c r="E314" s="8" t="s">
        <v>2138</v>
      </c>
      <c r="F314" s="8" t="s">
        <v>2139</v>
      </c>
      <c r="G314" s="6" t="s">
        <v>38</v>
      </c>
      <c r="H314" s="6" t="s">
        <v>674</v>
      </c>
      <c r="I314" s="8"/>
      <c r="J314" s="9">
        <v>1</v>
      </c>
      <c r="K314" s="9">
        <v>368</v>
      </c>
      <c r="L314" s="9">
        <v>2024</v>
      </c>
      <c r="M314" s="8" t="s">
        <v>2140</v>
      </c>
      <c r="N314" s="8" t="s">
        <v>41</v>
      </c>
      <c r="O314" s="8" t="s">
        <v>676</v>
      </c>
      <c r="P314" s="6" t="s">
        <v>2134</v>
      </c>
      <c r="Q314" s="8" t="s">
        <v>58</v>
      </c>
      <c r="R314" s="10" t="s">
        <v>2135</v>
      </c>
      <c r="S314" s="11"/>
      <c r="T314" s="6"/>
      <c r="U314" s="24" t="str">
        <f>HYPERLINK("https://media.infra-m.ru/2124/2124325/cover/2124325.jpg", "Обложка")</f>
        <v>Обложка</v>
      </c>
      <c r="V314" s="24" t="str">
        <f>HYPERLINK("https://znanium.ru/catalog/product/1993587", "Ознакомиться")</f>
        <v>Ознакомиться</v>
      </c>
      <c r="W314" s="8"/>
      <c r="X314" s="6"/>
      <c r="Y314" s="6"/>
      <c r="Z314" s="6"/>
      <c r="AA314" s="6" t="s">
        <v>874</v>
      </c>
      <c r="AB314" s="8"/>
    </row>
    <row r="315" spans="1:28" s="4" customFormat="1" ht="42" customHeight="1">
      <c r="A315" s="5">
        <v>0</v>
      </c>
      <c r="B315" s="6" t="s">
        <v>2141</v>
      </c>
      <c r="C315" s="13">
        <v>2574</v>
      </c>
      <c r="D315" s="8" t="s">
        <v>2142</v>
      </c>
      <c r="E315" s="8" t="s">
        <v>2143</v>
      </c>
      <c r="F315" s="8" t="s">
        <v>2144</v>
      </c>
      <c r="G315" s="6" t="s">
        <v>52</v>
      </c>
      <c r="H315" s="6" t="s">
        <v>39</v>
      </c>
      <c r="I315" s="8"/>
      <c r="J315" s="9">
        <v>1</v>
      </c>
      <c r="K315" s="9">
        <v>496</v>
      </c>
      <c r="L315" s="9">
        <v>2025</v>
      </c>
      <c r="M315" s="8" t="s">
        <v>2145</v>
      </c>
      <c r="N315" s="8" t="s">
        <v>413</v>
      </c>
      <c r="O315" s="8" t="s">
        <v>1141</v>
      </c>
      <c r="P315" s="6" t="s">
        <v>43</v>
      </c>
      <c r="Q315" s="8" t="s">
        <v>58</v>
      </c>
      <c r="R315" s="10" t="s">
        <v>2146</v>
      </c>
      <c r="S315" s="11"/>
      <c r="T315" s="6"/>
      <c r="U315" s="24" t="str">
        <f>HYPERLINK("https://media.infra-m.ru/2194/2194352/cover/2194352.jpg", "Обложка")</f>
        <v>Обложка</v>
      </c>
      <c r="V315" s="12"/>
      <c r="W315" s="8" t="s">
        <v>1514</v>
      </c>
      <c r="X315" s="6"/>
      <c r="Y315" s="6"/>
      <c r="Z315" s="6"/>
      <c r="AA315" s="6" t="s">
        <v>84</v>
      </c>
      <c r="AB315" s="8"/>
    </row>
    <row r="316" spans="1:28" s="4" customFormat="1" ht="51.95" customHeight="1">
      <c r="A316" s="5">
        <v>0</v>
      </c>
      <c r="B316" s="6" t="s">
        <v>2147</v>
      </c>
      <c r="C316" s="7">
        <v>870</v>
      </c>
      <c r="D316" s="8" t="s">
        <v>2148</v>
      </c>
      <c r="E316" s="8" t="s">
        <v>2149</v>
      </c>
      <c r="F316" s="8" t="s">
        <v>2150</v>
      </c>
      <c r="G316" s="6" t="s">
        <v>89</v>
      </c>
      <c r="H316" s="6" t="s">
        <v>53</v>
      </c>
      <c r="I316" s="8" t="s">
        <v>90</v>
      </c>
      <c r="J316" s="9">
        <v>1</v>
      </c>
      <c r="K316" s="9">
        <v>194</v>
      </c>
      <c r="L316" s="9">
        <v>2022</v>
      </c>
      <c r="M316" s="8" t="s">
        <v>2151</v>
      </c>
      <c r="N316" s="8" t="s">
        <v>41</v>
      </c>
      <c r="O316" s="8" t="s">
        <v>118</v>
      </c>
      <c r="P316" s="6" t="s">
        <v>167</v>
      </c>
      <c r="Q316" s="8" t="s">
        <v>44</v>
      </c>
      <c r="R316" s="10" t="s">
        <v>2152</v>
      </c>
      <c r="S316" s="11" t="s">
        <v>2153</v>
      </c>
      <c r="T316" s="6" t="s">
        <v>299</v>
      </c>
      <c r="U316" s="24" t="str">
        <f>HYPERLINK("https://media.infra-m.ru/1903/1903238/cover/1903238.jpg", "Обложка")</f>
        <v>Обложка</v>
      </c>
      <c r="V316" s="24" t="str">
        <f>HYPERLINK("https://znanium.ru/catalog/product/1940021", "Ознакомиться")</f>
        <v>Ознакомиться</v>
      </c>
      <c r="W316" s="8" t="s">
        <v>2154</v>
      </c>
      <c r="X316" s="6"/>
      <c r="Y316" s="6"/>
      <c r="Z316" s="6"/>
      <c r="AA316" s="6" t="s">
        <v>442</v>
      </c>
      <c r="AB316" s="8"/>
    </row>
    <row r="317" spans="1:28" s="4" customFormat="1" ht="51.95" customHeight="1">
      <c r="A317" s="5">
        <v>0</v>
      </c>
      <c r="B317" s="6" t="s">
        <v>2155</v>
      </c>
      <c r="C317" s="13">
        <v>1160</v>
      </c>
      <c r="D317" s="8" t="s">
        <v>2156</v>
      </c>
      <c r="E317" s="8" t="s">
        <v>2157</v>
      </c>
      <c r="F317" s="8" t="s">
        <v>2150</v>
      </c>
      <c r="G317" s="6" t="s">
        <v>52</v>
      </c>
      <c r="H317" s="6" t="s">
        <v>53</v>
      </c>
      <c r="I317" s="8" t="s">
        <v>90</v>
      </c>
      <c r="J317" s="9">
        <v>1</v>
      </c>
      <c r="K317" s="9">
        <v>249</v>
      </c>
      <c r="L317" s="9">
        <v>2023</v>
      </c>
      <c r="M317" s="8" t="s">
        <v>2158</v>
      </c>
      <c r="N317" s="8" t="s">
        <v>41</v>
      </c>
      <c r="O317" s="8" t="s">
        <v>118</v>
      </c>
      <c r="P317" s="6" t="s">
        <v>167</v>
      </c>
      <c r="Q317" s="8" t="s">
        <v>44</v>
      </c>
      <c r="R317" s="10" t="s">
        <v>2152</v>
      </c>
      <c r="S317" s="11" t="s">
        <v>2159</v>
      </c>
      <c r="T317" s="6" t="s">
        <v>299</v>
      </c>
      <c r="U317" s="24" t="str">
        <f>HYPERLINK("https://media.infra-m.ru/1852/1852490/cover/1852490.jpg", "Обложка")</f>
        <v>Обложка</v>
      </c>
      <c r="V317" s="24" t="str">
        <f>HYPERLINK("https://znanium.ru/catalog/product/1940021", "Ознакомиться")</f>
        <v>Ознакомиться</v>
      </c>
      <c r="W317" s="8" t="s">
        <v>2154</v>
      </c>
      <c r="X317" s="6"/>
      <c r="Y317" s="6"/>
      <c r="Z317" s="6"/>
      <c r="AA317" s="6" t="s">
        <v>813</v>
      </c>
      <c r="AB317" s="8"/>
    </row>
    <row r="318" spans="1:28" s="4" customFormat="1" ht="51.95" customHeight="1">
      <c r="A318" s="5">
        <v>0</v>
      </c>
      <c r="B318" s="6" t="s">
        <v>2160</v>
      </c>
      <c r="C318" s="13">
        <v>1070</v>
      </c>
      <c r="D318" s="8" t="s">
        <v>2161</v>
      </c>
      <c r="E318" s="8" t="s">
        <v>2162</v>
      </c>
      <c r="F318" s="8" t="s">
        <v>2163</v>
      </c>
      <c r="G318" s="6" t="s">
        <v>89</v>
      </c>
      <c r="H318" s="6" t="s">
        <v>53</v>
      </c>
      <c r="I318" s="8" t="s">
        <v>100</v>
      </c>
      <c r="J318" s="9">
        <v>1</v>
      </c>
      <c r="K318" s="9">
        <v>206</v>
      </c>
      <c r="L318" s="9">
        <v>2025</v>
      </c>
      <c r="M318" s="8" t="s">
        <v>2164</v>
      </c>
      <c r="N318" s="8" t="s">
        <v>41</v>
      </c>
      <c r="O318" s="8" t="s">
        <v>42</v>
      </c>
      <c r="P318" s="6" t="s">
        <v>43</v>
      </c>
      <c r="Q318" s="8" t="s">
        <v>102</v>
      </c>
      <c r="R318" s="10" t="s">
        <v>2165</v>
      </c>
      <c r="S318" s="11"/>
      <c r="T318" s="6"/>
      <c r="U318" s="24" t="str">
        <f>HYPERLINK("https://media.infra-m.ru/2199/2199490/cover/2199490.jpg", "Обложка")</f>
        <v>Обложка</v>
      </c>
      <c r="V318" s="24" t="str">
        <f>HYPERLINK("https://znanium.ru/catalog/product/2157634", "Ознакомиться")</f>
        <v>Ознакомиться</v>
      </c>
      <c r="W318" s="8" t="s">
        <v>2166</v>
      </c>
      <c r="X318" s="6"/>
      <c r="Y318" s="6"/>
      <c r="Z318" s="6" t="s">
        <v>104</v>
      </c>
      <c r="AA318" s="6" t="s">
        <v>61</v>
      </c>
      <c r="AB318" s="8" t="s">
        <v>2167</v>
      </c>
    </row>
    <row r="319" spans="1:28" s="4" customFormat="1" ht="42" customHeight="1">
      <c r="A319" s="5">
        <v>0</v>
      </c>
      <c r="B319" s="6" t="s">
        <v>2168</v>
      </c>
      <c r="C319" s="13">
        <v>1030</v>
      </c>
      <c r="D319" s="8" t="s">
        <v>2169</v>
      </c>
      <c r="E319" s="8" t="s">
        <v>2162</v>
      </c>
      <c r="F319" s="8" t="s">
        <v>2163</v>
      </c>
      <c r="G319" s="6" t="s">
        <v>89</v>
      </c>
      <c r="H319" s="6" t="s">
        <v>53</v>
      </c>
      <c r="I319" s="8" t="s">
        <v>116</v>
      </c>
      <c r="J319" s="9">
        <v>1</v>
      </c>
      <c r="K319" s="9">
        <v>206</v>
      </c>
      <c r="L319" s="9">
        <v>2025</v>
      </c>
      <c r="M319" s="8" t="s">
        <v>2170</v>
      </c>
      <c r="N319" s="8" t="s">
        <v>41</v>
      </c>
      <c r="O319" s="8" t="s">
        <v>42</v>
      </c>
      <c r="P319" s="6" t="s">
        <v>43</v>
      </c>
      <c r="Q319" s="8" t="s">
        <v>44</v>
      </c>
      <c r="R319" s="10" t="s">
        <v>2171</v>
      </c>
      <c r="S319" s="11"/>
      <c r="T319" s="6"/>
      <c r="U319" s="24" t="str">
        <f>HYPERLINK("https://media.infra-m.ru/2183/2183311/cover/2183311.jpg", "Обложка")</f>
        <v>Обложка</v>
      </c>
      <c r="V319" s="24" t="str">
        <f>HYPERLINK("https://znanium.ru/catalog/product/2183311", "Ознакомиться")</f>
        <v>Ознакомиться</v>
      </c>
      <c r="W319" s="8" t="s">
        <v>2166</v>
      </c>
      <c r="X319" s="6"/>
      <c r="Y319" s="6"/>
      <c r="Z319" s="6"/>
      <c r="AA319" s="6" t="s">
        <v>207</v>
      </c>
      <c r="AB319" s="8"/>
    </row>
    <row r="320" spans="1:28" s="4" customFormat="1" ht="42" customHeight="1">
      <c r="A320" s="5">
        <v>0</v>
      </c>
      <c r="B320" s="6" t="s">
        <v>2172</v>
      </c>
      <c r="C320" s="7">
        <v>934</v>
      </c>
      <c r="D320" s="8" t="s">
        <v>2173</v>
      </c>
      <c r="E320" s="8" t="s">
        <v>2174</v>
      </c>
      <c r="F320" s="8" t="s">
        <v>2175</v>
      </c>
      <c r="G320" s="6" t="s">
        <v>52</v>
      </c>
      <c r="H320" s="6" t="s">
        <v>53</v>
      </c>
      <c r="I320" s="8" t="s">
        <v>116</v>
      </c>
      <c r="J320" s="9">
        <v>1</v>
      </c>
      <c r="K320" s="9">
        <v>186</v>
      </c>
      <c r="L320" s="9">
        <v>2025</v>
      </c>
      <c r="M320" s="8" t="s">
        <v>2176</v>
      </c>
      <c r="N320" s="8" t="s">
        <v>41</v>
      </c>
      <c r="O320" s="8" t="s">
        <v>42</v>
      </c>
      <c r="P320" s="6" t="s">
        <v>43</v>
      </c>
      <c r="Q320" s="8" t="s">
        <v>44</v>
      </c>
      <c r="R320" s="10" t="s">
        <v>2177</v>
      </c>
      <c r="S320" s="11"/>
      <c r="T320" s="6"/>
      <c r="U320" s="24" t="str">
        <f>HYPERLINK("https://media.infra-m.ru/2180/2180190/cover/2180190.jpg", "Обложка")</f>
        <v>Обложка</v>
      </c>
      <c r="V320" s="24" t="str">
        <f>HYPERLINK("https://znanium.ru/catalog/product/1894391", "Ознакомиться")</f>
        <v>Ознакомиться</v>
      </c>
      <c r="W320" s="8" t="s">
        <v>243</v>
      </c>
      <c r="X320" s="6"/>
      <c r="Y320" s="6"/>
      <c r="Z320" s="6"/>
      <c r="AA320" s="6" t="s">
        <v>207</v>
      </c>
      <c r="AB320" s="8"/>
    </row>
    <row r="321" spans="1:28" s="4" customFormat="1" ht="51.95" customHeight="1">
      <c r="A321" s="5">
        <v>0</v>
      </c>
      <c r="B321" s="6" t="s">
        <v>2178</v>
      </c>
      <c r="C321" s="13">
        <v>3020</v>
      </c>
      <c r="D321" s="8" t="s">
        <v>2179</v>
      </c>
      <c r="E321" s="8" t="s">
        <v>2180</v>
      </c>
      <c r="F321" s="8" t="s">
        <v>2181</v>
      </c>
      <c r="G321" s="6" t="s">
        <v>89</v>
      </c>
      <c r="H321" s="6" t="s">
        <v>53</v>
      </c>
      <c r="I321" s="8"/>
      <c r="J321" s="9">
        <v>1</v>
      </c>
      <c r="K321" s="9">
        <v>333</v>
      </c>
      <c r="L321" s="9">
        <v>2023</v>
      </c>
      <c r="M321" s="8" t="s">
        <v>2182</v>
      </c>
      <c r="N321" s="8" t="s">
        <v>56</v>
      </c>
      <c r="O321" s="8" t="s">
        <v>2183</v>
      </c>
      <c r="P321" s="6" t="s">
        <v>43</v>
      </c>
      <c r="Q321" s="8" t="s">
        <v>44</v>
      </c>
      <c r="R321" s="10" t="s">
        <v>2184</v>
      </c>
      <c r="S321" s="11" t="s">
        <v>2185</v>
      </c>
      <c r="T321" s="6"/>
      <c r="U321" s="24" t="str">
        <f>HYPERLINK("https://media.infra-m.ru/1923/1923149/cover/1923149.jpg", "Обложка")</f>
        <v>Обложка</v>
      </c>
      <c r="V321" s="24" t="str">
        <f>HYPERLINK("https://znanium.ru/catalog/product/1923149", "Ознакомиться")</f>
        <v>Ознакомиться</v>
      </c>
      <c r="W321" s="8" t="s">
        <v>1571</v>
      </c>
      <c r="X321" s="6"/>
      <c r="Y321" s="6"/>
      <c r="Z321" s="6"/>
      <c r="AA321" s="6" t="s">
        <v>111</v>
      </c>
      <c r="AB321" s="8" t="s">
        <v>271</v>
      </c>
    </row>
    <row r="322" spans="1:28" s="4" customFormat="1" ht="51.95" customHeight="1">
      <c r="A322" s="5">
        <v>0</v>
      </c>
      <c r="B322" s="6" t="s">
        <v>2186</v>
      </c>
      <c r="C322" s="13">
        <v>1614</v>
      </c>
      <c r="D322" s="8" t="s">
        <v>2187</v>
      </c>
      <c r="E322" s="8" t="s">
        <v>2188</v>
      </c>
      <c r="F322" s="8" t="s">
        <v>2189</v>
      </c>
      <c r="G322" s="6" t="s">
        <v>89</v>
      </c>
      <c r="H322" s="6" t="s">
        <v>53</v>
      </c>
      <c r="I322" s="8" t="s">
        <v>100</v>
      </c>
      <c r="J322" s="9">
        <v>1</v>
      </c>
      <c r="K322" s="9">
        <v>319</v>
      </c>
      <c r="L322" s="9">
        <v>2025</v>
      </c>
      <c r="M322" s="8" t="s">
        <v>2190</v>
      </c>
      <c r="N322" s="8" t="s">
        <v>56</v>
      </c>
      <c r="O322" s="8" t="s">
        <v>2183</v>
      </c>
      <c r="P322" s="6" t="s">
        <v>167</v>
      </c>
      <c r="Q322" s="8" t="s">
        <v>102</v>
      </c>
      <c r="R322" s="10" t="s">
        <v>2191</v>
      </c>
      <c r="S322" s="11" t="s">
        <v>2192</v>
      </c>
      <c r="T322" s="6"/>
      <c r="U322" s="24" t="str">
        <f>HYPERLINK("https://media.infra-m.ru/2187/2187630/cover/2187630.jpg", "Обложка")</f>
        <v>Обложка</v>
      </c>
      <c r="V322" s="24" t="str">
        <f>HYPERLINK("https://znanium.ru/catalog/product/2184816", "Ознакомиться")</f>
        <v>Ознакомиться</v>
      </c>
      <c r="W322" s="8" t="s">
        <v>71</v>
      </c>
      <c r="X322" s="6"/>
      <c r="Y322" s="6" t="s">
        <v>30</v>
      </c>
      <c r="Z322" s="6"/>
      <c r="AA322" s="6" t="s">
        <v>2193</v>
      </c>
      <c r="AB322" s="8"/>
    </row>
    <row r="323" spans="1:28" s="4" customFormat="1" ht="51.95" customHeight="1">
      <c r="A323" s="5">
        <v>0</v>
      </c>
      <c r="B323" s="6" t="s">
        <v>2194</v>
      </c>
      <c r="C323" s="13">
        <v>2354</v>
      </c>
      <c r="D323" s="8" t="s">
        <v>2195</v>
      </c>
      <c r="E323" s="8" t="s">
        <v>2196</v>
      </c>
      <c r="F323" s="8" t="s">
        <v>2197</v>
      </c>
      <c r="G323" s="6" t="s">
        <v>89</v>
      </c>
      <c r="H323" s="6" t="s">
        <v>39</v>
      </c>
      <c r="I323" s="8" t="s">
        <v>100</v>
      </c>
      <c r="J323" s="9">
        <v>1</v>
      </c>
      <c r="K323" s="9">
        <v>511</v>
      </c>
      <c r="L323" s="9">
        <v>2024</v>
      </c>
      <c r="M323" s="8" t="s">
        <v>2198</v>
      </c>
      <c r="N323" s="8" t="s">
        <v>79</v>
      </c>
      <c r="O323" s="8" t="s">
        <v>80</v>
      </c>
      <c r="P323" s="6" t="s">
        <v>167</v>
      </c>
      <c r="Q323" s="8" t="s">
        <v>102</v>
      </c>
      <c r="R323" s="10" t="s">
        <v>2199</v>
      </c>
      <c r="S323" s="11" t="s">
        <v>2200</v>
      </c>
      <c r="T323" s="6"/>
      <c r="U323" s="24" t="str">
        <f>HYPERLINK("https://media.infra-m.ru/2110/2110930/cover/2110930.jpg", "Обложка")</f>
        <v>Обложка</v>
      </c>
      <c r="V323" s="24" t="str">
        <f>HYPERLINK("https://znanium.ru/catalog/product/2083334", "Ознакомиться")</f>
        <v>Ознакомиться</v>
      </c>
      <c r="W323" s="8" t="s">
        <v>2201</v>
      </c>
      <c r="X323" s="6"/>
      <c r="Y323" s="6"/>
      <c r="Z323" s="6"/>
      <c r="AA323" s="6" t="s">
        <v>2202</v>
      </c>
      <c r="AB323" s="8"/>
    </row>
    <row r="324" spans="1:28" s="4" customFormat="1" ht="51.95" customHeight="1">
      <c r="A324" s="5">
        <v>0</v>
      </c>
      <c r="B324" s="6" t="s">
        <v>2203</v>
      </c>
      <c r="C324" s="13">
        <v>1804</v>
      </c>
      <c r="D324" s="8" t="s">
        <v>2204</v>
      </c>
      <c r="E324" s="8" t="s">
        <v>2205</v>
      </c>
      <c r="F324" s="8" t="s">
        <v>2206</v>
      </c>
      <c r="G324" s="6" t="s">
        <v>89</v>
      </c>
      <c r="H324" s="6" t="s">
        <v>438</v>
      </c>
      <c r="I324" s="8" t="s">
        <v>100</v>
      </c>
      <c r="J324" s="9">
        <v>1</v>
      </c>
      <c r="K324" s="9">
        <v>384</v>
      </c>
      <c r="L324" s="9">
        <v>2024</v>
      </c>
      <c r="M324" s="8" t="s">
        <v>2207</v>
      </c>
      <c r="N324" s="8" t="s">
        <v>79</v>
      </c>
      <c r="O324" s="8" t="s">
        <v>80</v>
      </c>
      <c r="P324" s="6" t="s">
        <v>167</v>
      </c>
      <c r="Q324" s="8" t="s">
        <v>102</v>
      </c>
      <c r="R324" s="10" t="s">
        <v>2208</v>
      </c>
      <c r="S324" s="11"/>
      <c r="T324" s="6"/>
      <c r="U324" s="24" t="str">
        <f>HYPERLINK("https://media.infra-m.ru/2151/2151383/cover/2151383.jpg", "Обложка")</f>
        <v>Обложка</v>
      </c>
      <c r="V324" s="24" t="str">
        <f>HYPERLINK("https://znanium.ru/catalog/product/1916205", "Ознакомиться")</f>
        <v>Ознакомиться</v>
      </c>
      <c r="W324" s="8" t="s">
        <v>2209</v>
      </c>
      <c r="X324" s="6"/>
      <c r="Y324" s="6" t="s">
        <v>30</v>
      </c>
      <c r="Z324" s="6"/>
      <c r="AA324" s="6" t="s">
        <v>442</v>
      </c>
      <c r="AB324" s="8"/>
    </row>
    <row r="325" spans="1:28" s="4" customFormat="1" ht="51.95" customHeight="1">
      <c r="A325" s="5">
        <v>0</v>
      </c>
      <c r="B325" s="6" t="s">
        <v>2210</v>
      </c>
      <c r="C325" s="13">
        <v>1924</v>
      </c>
      <c r="D325" s="8" t="s">
        <v>2211</v>
      </c>
      <c r="E325" s="8" t="s">
        <v>2212</v>
      </c>
      <c r="F325" s="8" t="s">
        <v>2213</v>
      </c>
      <c r="G325" s="6" t="s">
        <v>89</v>
      </c>
      <c r="H325" s="6" t="s">
        <v>649</v>
      </c>
      <c r="I325" s="8" t="s">
        <v>100</v>
      </c>
      <c r="J325" s="9">
        <v>1</v>
      </c>
      <c r="K325" s="9">
        <v>383</v>
      </c>
      <c r="L325" s="9">
        <v>2025</v>
      </c>
      <c r="M325" s="8" t="s">
        <v>2214</v>
      </c>
      <c r="N325" s="8" t="s">
        <v>79</v>
      </c>
      <c r="O325" s="8" t="s">
        <v>80</v>
      </c>
      <c r="P325" s="6" t="s">
        <v>43</v>
      </c>
      <c r="Q325" s="8" t="s">
        <v>102</v>
      </c>
      <c r="R325" s="10" t="s">
        <v>2215</v>
      </c>
      <c r="S325" s="11" t="s">
        <v>1166</v>
      </c>
      <c r="T325" s="6"/>
      <c r="U325" s="24" t="str">
        <f>HYPERLINK("https://media.infra-m.ru/2188/2188216/cover/2188216.jpg", "Обложка")</f>
        <v>Обложка</v>
      </c>
      <c r="V325" s="24" t="str">
        <f>HYPERLINK("https://znanium.ru/catalog/product/2149040", "Ознакомиться")</f>
        <v>Ознакомиться</v>
      </c>
      <c r="W325" s="8" t="s">
        <v>2216</v>
      </c>
      <c r="X325" s="6"/>
      <c r="Y325" s="6" t="s">
        <v>30</v>
      </c>
      <c r="Z325" s="6"/>
      <c r="AA325" s="6" t="s">
        <v>2217</v>
      </c>
      <c r="AB325" s="8"/>
    </row>
    <row r="326" spans="1:28" s="4" customFormat="1" ht="51.95" customHeight="1">
      <c r="A326" s="5">
        <v>0</v>
      </c>
      <c r="B326" s="6" t="s">
        <v>2218</v>
      </c>
      <c r="C326" s="13">
        <v>1530</v>
      </c>
      <c r="D326" s="8" t="s">
        <v>2219</v>
      </c>
      <c r="E326" s="8" t="s">
        <v>2220</v>
      </c>
      <c r="F326" s="8" t="s">
        <v>2221</v>
      </c>
      <c r="G326" s="6" t="s">
        <v>89</v>
      </c>
      <c r="H326" s="6" t="s">
        <v>53</v>
      </c>
      <c r="I326" s="8" t="s">
        <v>90</v>
      </c>
      <c r="J326" s="9">
        <v>1</v>
      </c>
      <c r="K326" s="9">
        <v>363</v>
      </c>
      <c r="L326" s="9">
        <v>2022</v>
      </c>
      <c r="M326" s="8" t="s">
        <v>2222</v>
      </c>
      <c r="N326" s="8" t="s">
        <v>79</v>
      </c>
      <c r="O326" s="8" t="s">
        <v>424</v>
      </c>
      <c r="P326" s="6" t="s">
        <v>43</v>
      </c>
      <c r="Q326" s="8" t="s">
        <v>44</v>
      </c>
      <c r="R326" s="10" t="s">
        <v>2223</v>
      </c>
      <c r="S326" s="11" t="s">
        <v>2224</v>
      </c>
      <c r="T326" s="6"/>
      <c r="U326" s="24" t="str">
        <f>HYPERLINK("https://media.infra-m.ru/1855/1855813/cover/1855813.jpg", "Обложка")</f>
        <v>Обложка</v>
      </c>
      <c r="V326" s="24" t="str">
        <f>HYPERLINK("https://znanium.ru/catalog/product/1855813", "Ознакомиться")</f>
        <v>Ознакомиться</v>
      </c>
      <c r="W326" s="8" t="s">
        <v>2225</v>
      </c>
      <c r="X326" s="6"/>
      <c r="Y326" s="6"/>
      <c r="Z326" s="6"/>
      <c r="AA326" s="6" t="s">
        <v>418</v>
      </c>
      <c r="AB326" s="8"/>
    </row>
    <row r="327" spans="1:28" s="4" customFormat="1" ht="42" customHeight="1">
      <c r="A327" s="5">
        <v>0</v>
      </c>
      <c r="B327" s="6" t="s">
        <v>2226</v>
      </c>
      <c r="C327" s="7">
        <v>800</v>
      </c>
      <c r="D327" s="8" t="s">
        <v>2227</v>
      </c>
      <c r="E327" s="8" t="s">
        <v>2228</v>
      </c>
      <c r="F327" s="8" t="s">
        <v>2229</v>
      </c>
      <c r="G327" s="6" t="s">
        <v>52</v>
      </c>
      <c r="H327" s="6" t="s">
        <v>53</v>
      </c>
      <c r="I327" s="8" t="s">
        <v>116</v>
      </c>
      <c r="J327" s="9">
        <v>1</v>
      </c>
      <c r="K327" s="9">
        <v>156</v>
      </c>
      <c r="L327" s="9">
        <v>2024</v>
      </c>
      <c r="M327" s="8" t="s">
        <v>2230</v>
      </c>
      <c r="N327" s="8" t="s">
        <v>56</v>
      </c>
      <c r="O327" s="8" t="s">
        <v>2183</v>
      </c>
      <c r="P327" s="6" t="s">
        <v>43</v>
      </c>
      <c r="Q327" s="8" t="s">
        <v>58</v>
      </c>
      <c r="R327" s="10" t="s">
        <v>2231</v>
      </c>
      <c r="S327" s="11"/>
      <c r="T327" s="6"/>
      <c r="U327" s="24" t="str">
        <f>HYPERLINK("https://media.infra-m.ru/2116/2116159/cover/2116159.jpg", "Обложка")</f>
        <v>Обложка</v>
      </c>
      <c r="V327" s="24" t="str">
        <f>HYPERLINK("https://znanium.ru/catalog/product/2116159", "Ознакомиться")</f>
        <v>Ознакомиться</v>
      </c>
      <c r="W327" s="8" t="s">
        <v>1689</v>
      </c>
      <c r="X327" s="6" t="s">
        <v>389</v>
      </c>
      <c r="Y327" s="6"/>
      <c r="Z327" s="6"/>
      <c r="AA327" s="6" t="s">
        <v>133</v>
      </c>
      <c r="AB327" s="8" t="s">
        <v>2232</v>
      </c>
    </row>
    <row r="328" spans="1:28" s="4" customFormat="1" ht="51.95" customHeight="1">
      <c r="A328" s="5">
        <v>0</v>
      </c>
      <c r="B328" s="6" t="s">
        <v>2233</v>
      </c>
      <c r="C328" s="13">
        <v>1870</v>
      </c>
      <c r="D328" s="8" t="s">
        <v>2234</v>
      </c>
      <c r="E328" s="8" t="s">
        <v>2235</v>
      </c>
      <c r="F328" s="8" t="s">
        <v>2236</v>
      </c>
      <c r="G328" s="6" t="s">
        <v>89</v>
      </c>
      <c r="H328" s="6" t="s">
        <v>53</v>
      </c>
      <c r="I328" s="8" t="s">
        <v>116</v>
      </c>
      <c r="J328" s="9">
        <v>1</v>
      </c>
      <c r="K328" s="9">
        <v>373</v>
      </c>
      <c r="L328" s="9">
        <v>2025</v>
      </c>
      <c r="M328" s="8" t="s">
        <v>2237</v>
      </c>
      <c r="N328" s="8" t="s">
        <v>56</v>
      </c>
      <c r="O328" s="8" t="s">
        <v>2183</v>
      </c>
      <c r="P328" s="6" t="s">
        <v>167</v>
      </c>
      <c r="Q328" s="8" t="s">
        <v>279</v>
      </c>
      <c r="R328" s="10" t="s">
        <v>2231</v>
      </c>
      <c r="S328" s="11" t="s">
        <v>2238</v>
      </c>
      <c r="T328" s="6"/>
      <c r="U328" s="24" t="str">
        <f>HYPERLINK("https://media.infra-m.ru/2190/2190467/cover/2190467.jpg", "Обложка")</f>
        <v>Обложка</v>
      </c>
      <c r="V328" s="24" t="str">
        <f>HYPERLINK("https://znanium.ru/catalog/product/2190467", "Ознакомиться")</f>
        <v>Ознакомиться</v>
      </c>
      <c r="W328" s="8" t="s">
        <v>2239</v>
      </c>
      <c r="X328" s="6"/>
      <c r="Y328" s="6"/>
      <c r="Z328" s="6"/>
      <c r="AA328" s="6" t="s">
        <v>813</v>
      </c>
      <c r="AB328" s="8"/>
    </row>
    <row r="329" spans="1:28" s="4" customFormat="1" ht="51.95" customHeight="1">
      <c r="A329" s="5">
        <v>0</v>
      </c>
      <c r="B329" s="6" t="s">
        <v>2240</v>
      </c>
      <c r="C329" s="13">
        <v>1654.9</v>
      </c>
      <c r="D329" s="8" t="s">
        <v>2241</v>
      </c>
      <c r="E329" s="8" t="s">
        <v>2242</v>
      </c>
      <c r="F329" s="8" t="s">
        <v>2236</v>
      </c>
      <c r="G329" s="6" t="s">
        <v>89</v>
      </c>
      <c r="H329" s="6" t="s">
        <v>53</v>
      </c>
      <c r="I329" s="8" t="s">
        <v>276</v>
      </c>
      <c r="J329" s="9">
        <v>1</v>
      </c>
      <c r="K329" s="9">
        <v>368</v>
      </c>
      <c r="L329" s="9">
        <v>2023</v>
      </c>
      <c r="M329" s="8" t="s">
        <v>2243</v>
      </c>
      <c r="N329" s="8" t="s">
        <v>56</v>
      </c>
      <c r="O329" s="8" t="s">
        <v>2183</v>
      </c>
      <c r="P329" s="6" t="s">
        <v>167</v>
      </c>
      <c r="Q329" s="8" t="s">
        <v>279</v>
      </c>
      <c r="R329" s="10" t="s">
        <v>2231</v>
      </c>
      <c r="S329" s="11" t="s">
        <v>2244</v>
      </c>
      <c r="T329" s="6"/>
      <c r="U329" s="24" t="str">
        <f>HYPERLINK("https://media.infra-m.ru/1911/1911808/cover/1911808.jpg", "Обложка")</f>
        <v>Обложка</v>
      </c>
      <c r="V329" s="24" t="str">
        <f>HYPERLINK("https://znanium.ru/catalog/product/2190467", "Ознакомиться")</f>
        <v>Ознакомиться</v>
      </c>
      <c r="W329" s="8" t="s">
        <v>2239</v>
      </c>
      <c r="X329" s="6"/>
      <c r="Y329" s="6"/>
      <c r="Z329" s="6"/>
      <c r="AA329" s="6" t="s">
        <v>418</v>
      </c>
      <c r="AB329" s="8"/>
    </row>
    <row r="330" spans="1:28" s="4" customFormat="1" ht="42" customHeight="1">
      <c r="A330" s="5">
        <v>0</v>
      </c>
      <c r="B330" s="6" t="s">
        <v>2245</v>
      </c>
      <c r="C330" s="13">
        <v>1077</v>
      </c>
      <c r="D330" s="8" t="s">
        <v>2246</v>
      </c>
      <c r="E330" s="8" t="s">
        <v>2247</v>
      </c>
      <c r="F330" s="8" t="s">
        <v>2248</v>
      </c>
      <c r="G330" s="6" t="s">
        <v>38</v>
      </c>
      <c r="H330" s="6" t="s">
        <v>39</v>
      </c>
      <c r="I330" s="8" t="s">
        <v>90</v>
      </c>
      <c r="J330" s="9">
        <v>1</v>
      </c>
      <c r="K330" s="9">
        <v>176</v>
      </c>
      <c r="L330" s="9">
        <v>2024</v>
      </c>
      <c r="M330" s="8" t="s">
        <v>2249</v>
      </c>
      <c r="N330" s="8" t="s">
        <v>56</v>
      </c>
      <c r="O330" s="8" t="s">
        <v>2183</v>
      </c>
      <c r="P330" s="6" t="s">
        <v>43</v>
      </c>
      <c r="Q330" s="8" t="s">
        <v>44</v>
      </c>
      <c r="R330" s="10" t="s">
        <v>2250</v>
      </c>
      <c r="S330" s="11"/>
      <c r="T330" s="6"/>
      <c r="U330" s="24" t="str">
        <f>HYPERLINK("https://media.infra-m.ru/2125/2125107/cover/2125107.jpg", "Обложка")</f>
        <v>Обложка</v>
      </c>
      <c r="V330" s="24" t="str">
        <f>HYPERLINK("https://znanium.ru/catalog/product/1818172", "Ознакомиться")</f>
        <v>Ознакомиться</v>
      </c>
      <c r="W330" s="8" t="s">
        <v>1563</v>
      </c>
      <c r="X330" s="6"/>
      <c r="Y330" s="6"/>
      <c r="Z330" s="6"/>
      <c r="AA330" s="6" t="s">
        <v>111</v>
      </c>
      <c r="AB330" s="8"/>
    </row>
    <row r="331" spans="1:28" s="4" customFormat="1" ht="51.95" customHeight="1">
      <c r="A331" s="5">
        <v>0</v>
      </c>
      <c r="B331" s="6" t="s">
        <v>2251</v>
      </c>
      <c r="C331" s="13">
        <v>1260</v>
      </c>
      <c r="D331" s="8" t="s">
        <v>2252</v>
      </c>
      <c r="E331" s="8" t="s">
        <v>2253</v>
      </c>
      <c r="F331" s="8" t="s">
        <v>2254</v>
      </c>
      <c r="G331" s="6" t="s">
        <v>89</v>
      </c>
      <c r="H331" s="6" t="s">
        <v>53</v>
      </c>
      <c r="I331" s="8" t="s">
        <v>90</v>
      </c>
      <c r="J331" s="9">
        <v>1</v>
      </c>
      <c r="K331" s="9">
        <v>280</v>
      </c>
      <c r="L331" s="9">
        <v>2023</v>
      </c>
      <c r="M331" s="8" t="s">
        <v>2255</v>
      </c>
      <c r="N331" s="8" t="s">
        <v>56</v>
      </c>
      <c r="O331" s="8" t="s">
        <v>2183</v>
      </c>
      <c r="P331" s="6" t="s">
        <v>43</v>
      </c>
      <c r="Q331" s="8" t="s">
        <v>44</v>
      </c>
      <c r="R331" s="10" t="s">
        <v>2256</v>
      </c>
      <c r="S331" s="11" t="s">
        <v>2257</v>
      </c>
      <c r="T331" s="6"/>
      <c r="U331" s="24" t="str">
        <f>HYPERLINK("https://media.infra-m.ru/1894/1894763/cover/1894763.jpg", "Обложка")</f>
        <v>Обложка</v>
      </c>
      <c r="V331" s="24" t="str">
        <f>HYPERLINK("https://znanium.ru/catalog/product/1921385", "Ознакомиться")</f>
        <v>Ознакомиться</v>
      </c>
      <c r="W331" s="8" t="s">
        <v>478</v>
      </c>
      <c r="X331" s="6"/>
      <c r="Y331" s="6"/>
      <c r="Z331" s="6"/>
      <c r="AA331" s="6" t="s">
        <v>418</v>
      </c>
      <c r="AB331" s="8"/>
    </row>
    <row r="332" spans="1:28" s="4" customFormat="1" ht="51.95" customHeight="1">
      <c r="A332" s="5">
        <v>0</v>
      </c>
      <c r="B332" s="6" t="s">
        <v>2258</v>
      </c>
      <c r="C332" s="13">
        <v>1460</v>
      </c>
      <c r="D332" s="8" t="s">
        <v>2259</v>
      </c>
      <c r="E332" s="8" t="s">
        <v>2260</v>
      </c>
      <c r="F332" s="8" t="s">
        <v>2254</v>
      </c>
      <c r="G332" s="6" t="s">
        <v>89</v>
      </c>
      <c r="H332" s="6" t="s">
        <v>53</v>
      </c>
      <c r="I332" s="8" t="s">
        <v>100</v>
      </c>
      <c r="J332" s="9">
        <v>1</v>
      </c>
      <c r="K332" s="9">
        <v>280</v>
      </c>
      <c r="L332" s="9">
        <v>2025</v>
      </c>
      <c r="M332" s="8" t="s">
        <v>2261</v>
      </c>
      <c r="N332" s="8" t="s">
        <v>56</v>
      </c>
      <c r="O332" s="8" t="s">
        <v>2183</v>
      </c>
      <c r="P332" s="6" t="s">
        <v>43</v>
      </c>
      <c r="Q332" s="8" t="s">
        <v>102</v>
      </c>
      <c r="R332" s="10" t="s">
        <v>2262</v>
      </c>
      <c r="S332" s="11" t="s">
        <v>2263</v>
      </c>
      <c r="T332" s="6"/>
      <c r="U332" s="24" t="str">
        <f>HYPERLINK("https://media.infra-m.ru/2184/2184818/cover/2184818.jpg", "Обложка")</f>
        <v>Обложка</v>
      </c>
      <c r="V332" s="24" t="str">
        <f>HYPERLINK("https://znanium.ru/catalog/product/2184818", "Ознакомиться")</f>
        <v>Ознакомиться</v>
      </c>
      <c r="W332" s="8" t="s">
        <v>478</v>
      </c>
      <c r="X332" s="6"/>
      <c r="Y332" s="6"/>
      <c r="Z332" s="6" t="s">
        <v>104</v>
      </c>
      <c r="AA332" s="6" t="s">
        <v>258</v>
      </c>
      <c r="AB332" s="8"/>
    </row>
    <row r="333" spans="1:28" s="4" customFormat="1" ht="51.95" customHeight="1">
      <c r="A333" s="5">
        <v>0</v>
      </c>
      <c r="B333" s="6" t="s">
        <v>2264</v>
      </c>
      <c r="C333" s="13">
        <v>1260</v>
      </c>
      <c r="D333" s="8" t="s">
        <v>2265</v>
      </c>
      <c r="E333" s="8" t="s">
        <v>2266</v>
      </c>
      <c r="F333" s="8" t="s">
        <v>2254</v>
      </c>
      <c r="G333" s="6" t="s">
        <v>89</v>
      </c>
      <c r="H333" s="6" t="s">
        <v>53</v>
      </c>
      <c r="I333" s="8" t="s">
        <v>212</v>
      </c>
      <c r="J333" s="9">
        <v>1</v>
      </c>
      <c r="K333" s="9">
        <v>280</v>
      </c>
      <c r="L333" s="9">
        <v>2023</v>
      </c>
      <c r="M333" s="8" t="s">
        <v>2267</v>
      </c>
      <c r="N333" s="8" t="s">
        <v>56</v>
      </c>
      <c r="O333" s="8" t="s">
        <v>2183</v>
      </c>
      <c r="P333" s="6" t="s">
        <v>43</v>
      </c>
      <c r="Q333" s="8" t="s">
        <v>214</v>
      </c>
      <c r="R333" s="10" t="s">
        <v>2268</v>
      </c>
      <c r="S333" s="11" t="s">
        <v>2269</v>
      </c>
      <c r="T333" s="6"/>
      <c r="U333" s="24" t="str">
        <f>HYPERLINK("https://media.infra-m.ru/1893/1893817/cover/1893817.jpg", "Обложка")</f>
        <v>Обложка</v>
      </c>
      <c r="V333" s="24" t="str">
        <f>HYPERLINK("https://znanium.ru/catalog/product/1893817", "Ознакомиться")</f>
        <v>Ознакомиться</v>
      </c>
      <c r="W333" s="8" t="s">
        <v>478</v>
      </c>
      <c r="X333" s="6"/>
      <c r="Y333" s="6"/>
      <c r="Z333" s="6" t="s">
        <v>218</v>
      </c>
      <c r="AA333" s="6" t="s">
        <v>1374</v>
      </c>
      <c r="AB333" s="8"/>
    </row>
    <row r="334" spans="1:28" s="4" customFormat="1" ht="51.95" customHeight="1">
      <c r="A334" s="5">
        <v>0</v>
      </c>
      <c r="B334" s="6" t="s">
        <v>2270</v>
      </c>
      <c r="C334" s="13">
        <v>1260</v>
      </c>
      <c r="D334" s="8" t="s">
        <v>2271</v>
      </c>
      <c r="E334" s="8" t="s">
        <v>2272</v>
      </c>
      <c r="F334" s="8" t="s">
        <v>2273</v>
      </c>
      <c r="G334" s="6" t="s">
        <v>52</v>
      </c>
      <c r="H334" s="6" t="s">
        <v>53</v>
      </c>
      <c r="I334" s="8" t="s">
        <v>116</v>
      </c>
      <c r="J334" s="9">
        <v>1</v>
      </c>
      <c r="K334" s="9">
        <v>258</v>
      </c>
      <c r="L334" s="9">
        <v>2023</v>
      </c>
      <c r="M334" s="8" t="s">
        <v>2274</v>
      </c>
      <c r="N334" s="8" t="s">
        <v>56</v>
      </c>
      <c r="O334" s="8" t="s">
        <v>2183</v>
      </c>
      <c r="P334" s="6" t="s">
        <v>43</v>
      </c>
      <c r="Q334" s="8" t="s">
        <v>44</v>
      </c>
      <c r="R334" s="10" t="s">
        <v>2256</v>
      </c>
      <c r="S334" s="11" t="s">
        <v>2257</v>
      </c>
      <c r="T334" s="6"/>
      <c r="U334" s="24" t="str">
        <f>HYPERLINK("https://media.infra-m.ru/1921/1921385/cover/1921385.jpg", "Обложка")</f>
        <v>Обложка</v>
      </c>
      <c r="V334" s="24" t="str">
        <f>HYPERLINK("https://znanium.ru/catalog/product/1921385", "Ознакомиться")</f>
        <v>Ознакомиться</v>
      </c>
      <c r="W334" s="8" t="s">
        <v>478</v>
      </c>
      <c r="X334" s="6"/>
      <c r="Y334" s="6"/>
      <c r="Z334" s="6"/>
      <c r="AA334" s="6" t="s">
        <v>1374</v>
      </c>
      <c r="AB334" s="8"/>
    </row>
    <row r="335" spans="1:28" s="4" customFormat="1" ht="42" customHeight="1">
      <c r="A335" s="5">
        <v>0</v>
      </c>
      <c r="B335" s="6" t="s">
        <v>2275</v>
      </c>
      <c r="C335" s="13">
        <v>1722</v>
      </c>
      <c r="D335" s="8" t="s">
        <v>2276</v>
      </c>
      <c r="E335" s="8" t="s">
        <v>2277</v>
      </c>
      <c r="F335" s="8" t="s">
        <v>2278</v>
      </c>
      <c r="G335" s="6" t="s">
        <v>52</v>
      </c>
      <c r="H335" s="6" t="s">
        <v>53</v>
      </c>
      <c r="I335" s="8" t="s">
        <v>782</v>
      </c>
      <c r="J335" s="9">
        <v>1</v>
      </c>
      <c r="K335" s="9">
        <v>172</v>
      </c>
      <c r="L335" s="9">
        <v>2025</v>
      </c>
      <c r="M335" s="8" t="s">
        <v>2279</v>
      </c>
      <c r="N335" s="8" t="s">
        <v>56</v>
      </c>
      <c r="O335" s="8" t="s">
        <v>2183</v>
      </c>
      <c r="P335" s="6" t="s">
        <v>43</v>
      </c>
      <c r="Q335" s="8" t="s">
        <v>58</v>
      </c>
      <c r="R335" s="10" t="s">
        <v>2280</v>
      </c>
      <c r="S335" s="11"/>
      <c r="T335" s="6"/>
      <c r="U335" s="24" t="str">
        <f>HYPERLINK("https://media.infra-m.ru/2162/2162076/cover/2162076.jpg", "Обложка")</f>
        <v>Обложка</v>
      </c>
      <c r="V335" s="12"/>
      <c r="W335" s="8" t="s">
        <v>784</v>
      </c>
      <c r="X335" s="6" t="s">
        <v>1049</v>
      </c>
      <c r="Y335" s="6"/>
      <c r="Z335" s="6"/>
      <c r="AA335" s="6" t="s">
        <v>61</v>
      </c>
      <c r="AB335" s="8"/>
    </row>
    <row r="336" spans="1:28" s="4" customFormat="1" ht="42" customHeight="1">
      <c r="A336" s="5">
        <v>0</v>
      </c>
      <c r="B336" s="6" t="s">
        <v>2281</v>
      </c>
      <c r="C336" s="13">
        <v>1162</v>
      </c>
      <c r="D336" s="8" t="s">
        <v>2282</v>
      </c>
      <c r="E336" s="8" t="s">
        <v>2283</v>
      </c>
      <c r="F336" s="8" t="s">
        <v>2284</v>
      </c>
      <c r="G336" s="6" t="s">
        <v>52</v>
      </c>
      <c r="H336" s="6" t="s">
        <v>53</v>
      </c>
      <c r="I336" s="8" t="s">
        <v>782</v>
      </c>
      <c r="J336" s="9">
        <v>1</v>
      </c>
      <c r="K336" s="9">
        <v>178</v>
      </c>
      <c r="L336" s="9">
        <v>2025</v>
      </c>
      <c r="M336" s="8" t="s">
        <v>2285</v>
      </c>
      <c r="N336" s="8" t="s">
        <v>56</v>
      </c>
      <c r="O336" s="8" t="s">
        <v>2183</v>
      </c>
      <c r="P336" s="6" t="s">
        <v>43</v>
      </c>
      <c r="Q336" s="8" t="s">
        <v>58</v>
      </c>
      <c r="R336" s="10" t="s">
        <v>2286</v>
      </c>
      <c r="S336" s="11"/>
      <c r="T336" s="6"/>
      <c r="U336" s="24" t="str">
        <f>HYPERLINK("https://media.infra-m.ru/2162/2162075/cover/2162075.jpg", "Обложка")</f>
        <v>Обложка</v>
      </c>
      <c r="V336" s="12"/>
      <c r="W336" s="8" t="s">
        <v>784</v>
      </c>
      <c r="X336" s="6" t="s">
        <v>1049</v>
      </c>
      <c r="Y336" s="6"/>
      <c r="Z336" s="6"/>
      <c r="AA336" s="6" t="s">
        <v>61</v>
      </c>
      <c r="AB336" s="8"/>
    </row>
    <row r="337" spans="1:28" s="4" customFormat="1" ht="42" customHeight="1">
      <c r="A337" s="5">
        <v>0</v>
      </c>
      <c r="B337" s="6" t="s">
        <v>2287</v>
      </c>
      <c r="C337" s="7">
        <v>830</v>
      </c>
      <c r="D337" s="8" t="s">
        <v>2288</v>
      </c>
      <c r="E337" s="8" t="s">
        <v>2289</v>
      </c>
      <c r="F337" s="8" t="s">
        <v>2290</v>
      </c>
      <c r="G337" s="6" t="s">
        <v>52</v>
      </c>
      <c r="H337" s="6" t="s">
        <v>53</v>
      </c>
      <c r="I337" s="8" t="s">
        <v>54</v>
      </c>
      <c r="J337" s="9">
        <v>1</v>
      </c>
      <c r="K337" s="9">
        <v>135</v>
      </c>
      <c r="L337" s="9">
        <v>2025</v>
      </c>
      <c r="M337" s="8" t="s">
        <v>2291</v>
      </c>
      <c r="N337" s="8" t="s">
        <v>413</v>
      </c>
      <c r="O337" s="8" t="s">
        <v>1528</v>
      </c>
      <c r="P337" s="6" t="s">
        <v>43</v>
      </c>
      <c r="Q337" s="8" t="s">
        <v>58</v>
      </c>
      <c r="R337" s="10" t="s">
        <v>2292</v>
      </c>
      <c r="S337" s="11"/>
      <c r="T337" s="6"/>
      <c r="U337" s="24" t="str">
        <f>HYPERLINK("https://media.infra-m.ru/2185/2185536/cover/2185536.jpg", "Обложка")</f>
        <v>Обложка</v>
      </c>
      <c r="V337" s="12"/>
      <c r="W337" s="8"/>
      <c r="X337" s="6" t="s">
        <v>60</v>
      </c>
      <c r="Y337" s="6"/>
      <c r="Z337" s="6"/>
      <c r="AA337" s="6" t="s">
        <v>549</v>
      </c>
      <c r="AB337" s="8"/>
    </row>
    <row r="338" spans="1:28" s="4" customFormat="1" ht="51.95" customHeight="1">
      <c r="A338" s="5">
        <v>0</v>
      </c>
      <c r="B338" s="6" t="s">
        <v>2293</v>
      </c>
      <c r="C338" s="13">
        <v>1440</v>
      </c>
      <c r="D338" s="8" t="s">
        <v>2294</v>
      </c>
      <c r="E338" s="8" t="s">
        <v>2295</v>
      </c>
      <c r="F338" s="8" t="s">
        <v>2296</v>
      </c>
      <c r="G338" s="6" t="s">
        <v>89</v>
      </c>
      <c r="H338" s="6" t="s">
        <v>53</v>
      </c>
      <c r="I338" s="8" t="s">
        <v>2297</v>
      </c>
      <c r="J338" s="9">
        <v>1</v>
      </c>
      <c r="K338" s="9">
        <v>400</v>
      </c>
      <c r="L338" s="9">
        <v>2021</v>
      </c>
      <c r="M338" s="8" t="s">
        <v>2298</v>
      </c>
      <c r="N338" s="8" t="s">
        <v>997</v>
      </c>
      <c r="O338" s="8" t="s">
        <v>998</v>
      </c>
      <c r="P338" s="6" t="s">
        <v>167</v>
      </c>
      <c r="Q338" s="8" t="s">
        <v>1674</v>
      </c>
      <c r="R338" s="10" t="s">
        <v>2299</v>
      </c>
      <c r="S338" s="11" t="s">
        <v>2300</v>
      </c>
      <c r="T338" s="6" t="s">
        <v>299</v>
      </c>
      <c r="U338" s="24" t="str">
        <f>HYPERLINK("https://media.infra-m.ru/1200/1200671/cover/1200671.jpg", "Обложка")</f>
        <v>Обложка</v>
      </c>
      <c r="V338" s="24" t="str">
        <f>HYPERLINK("https://znanium.ru/catalog/product/2171399", "Ознакомиться")</f>
        <v>Ознакомиться</v>
      </c>
      <c r="W338" s="8" t="s">
        <v>2080</v>
      </c>
      <c r="X338" s="6"/>
      <c r="Y338" s="6"/>
      <c r="Z338" s="6"/>
      <c r="AA338" s="6" t="s">
        <v>2301</v>
      </c>
      <c r="AB338" s="8"/>
    </row>
    <row r="339" spans="1:28" s="4" customFormat="1" ht="51.95" customHeight="1">
      <c r="A339" s="5">
        <v>0</v>
      </c>
      <c r="B339" s="6" t="s">
        <v>2302</v>
      </c>
      <c r="C339" s="13">
        <v>1950</v>
      </c>
      <c r="D339" s="8" t="s">
        <v>2303</v>
      </c>
      <c r="E339" s="8" t="s">
        <v>2304</v>
      </c>
      <c r="F339" s="8" t="s">
        <v>2296</v>
      </c>
      <c r="G339" s="6" t="s">
        <v>89</v>
      </c>
      <c r="H339" s="6" t="s">
        <v>53</v>
      </c>
      <c r="I339" s="8" t="s">
        <v>2297</v>
      </c>
      <c r="J339" s="9">
        <v>1</v>
      </c>
      <c r="K339" s="9">
        <v>388</v>
      </c>
      <c r="L339" s="9">
        <v>2025</v>
      </c>
      <c r="M339" s="8" t="s">
        <v>2305</v>
      </c>
      <c r="N339" s="8" t="s">
        <v>997</v>
      </c>
      <c r="O339" s="8" t="s">
        <v>998</v>
      </c>
      <c r="P339" s="6" t="s">
        <v>167</v>
      </c>
      <c r="Q339" s="8" t="s">
        <v>1674</v>
      </c>
      <c r="R339" s="10" t="s">
        <v>2299</v>
      </c>
      <c r="S339" s="11" t="s">
        <v>2306</v>
      </c>
      <c r="T339" s="6" t="s">
        <v>299</v>
      </c>
      <c r="U339" s="24" t="str">
        <f>HYPERLINK("https://media.infra-m.ru/2171/2171399/cover/2171399.jpg", "Обложка")</f>
        <v>Обложка</v>
      </c>
      <c r="V339" s="24" t="str">
        <f>HYPERLINK("https://znanium.ru/catalog/product/2171399", "Ознакомиться")</f>
        <v>Ознакомиться</v>
      </c>
      <c r="W339" s="8" t="s">
        <v>2080</v>
      </c>
      <c r="X339" s="6"/>
      <c r="Y339" s="6"/>
      <c r="Z339" s="6"/>
      <c r="AA339" s="6" t="s">
        <v>2307</v>
      </c>
      <c r="AB339" s="8"/>
    </row>
    <row r="340" spans="1:28" s="4" customFormat="1" ht="51.95" customHeight="1">
      <c r="A340" s="5">
        <v>0</v>
      </c>
      <c r="B340" s="6" t="s">
        <v>2308</v>
      </c>
      <c r="C340" s="13">
        <v>1314.9</v>
      </c>
      <c r="D340" s="8" t="s">
        <v>2309</v>
      </c>
      <c r="E340" s="8" t="s">
        <v>2310</v>
      </c>
      <c r="F340" s="8" t="s">
        <v>2296</v>
      </c>
      <c r="G340" s="6" t="s">
        <v>52</v>
      </c>
      <c r="H340" s="6" t="s">
        <v>53</v>
      </c>
      <c r="I340" s="8" t="s">
        <v>2297</v>
      </c>
      <c r="J340" s="9">
        <v>1</v>
      </c>
      <c r="K340" s="9">
        <v>451</v>
      </c>
      <c r="L340" s="9">
        <v>2018</v>
      </c>
      <c r="M340" s="8" t="s">
        <v>2311</v>
      </c>
      <c r="N340" s="8" t="s">
        <v>997</v>
      </c>
      <c r="O340" s="8" t="s">
        <v>998</v>
      </c>
      <c r="P340" s="6" t="s">
        <v>167</v>
      </c>
      <c r="Q340" s="8" t="s">
        <v>1674</v>
      </c>
      <c r="R340" s="10" t="s">
        <v>2299</v>
      </c>
      <c r="S340" s="11" t="s">
        <v>2312</v>
      </c>
      <c r="T340" s="6" t="s">
        <v>299</v>
      </c>
      <c r="U340" s="24" t="str">
        <f>HYPERLINK("https://media.infra-m.ru/0929/0929674/cover/929674.jpg", "Обложка")</f>
        <v>Обложка</v>
      </c>
      <c r="V340" s="24" t="str">
        <f>HYPERLINK("https://znanium.ru/catalog/product/2171399", "Ознакомиться")</f>
        <v>Ознакомиться</v>
      </c>
      <c r="W340" s="8" t="s">
        <v>2080</v>
      </c>
      <c r="X340" s="6"/>
      <c r="Y340" s="6"/>
      <c r="Z340" s="6"/>
      <c r="AA340" s="6" t="s">
        <v>2313</v>
      </c>
      <c r="AB340" s="8"/>
    </row>
    <row r="341" spans="1:28" s="4" customFormat="1" ht="51.95" customHeight="1">
      <c r="A341" s="5">
        <v>0</v>
      </c>
      <c r="B341" s="6" t="s">
        <v>2314</v>
      </c>
      <c r="C341" s="13">
        <v>1254</v>
      </c>
      <c r="D341" s="8" t="s">
        <v>2315</v>
      </c>
      <c r="E341" s="8" t="s">
        <v>2316</v>
      </c>
      <c r="F341" s="8" t="s">
        <v>2317</v>
      </c>
      <c r="G341" s="6" t="s">
        <v>52</v>
      </c>
      <c r="H341" s="6" t="s">
        <v>649</v>
      </c>
      <c r="I341" s="8" t="s">
        <v>116</v>
      </c>
      <c r="J341" s="9">
        <v>1</v>
      </c>
      <c r="K341" s="9">
        <v>272</v>
      </c>
      <c r="L341" s="9">
        <v>2024</v>
      </c>
      <c r="M341" s="8" t="s">
        <v>2318</v>
      </c>
      <c r="N341" s="8" t="s">
        <v>41</v>
      </c>
      <c r="O341" s="8" t="s">
        <v>278</v>
      </c>
      <c r="P341" s="6" t="s">
        <v>43</v>
      </c>
      <c r="Q341" s="8" t="s">
        <v>44</v>
      </c>
      <c r="R341" s="10" t="s">
        <v>2319</v>
      </c>
      <c r="S341" s="11" t="s">
        <v>2320</v>
      </c>
      <c r="T341" s="6"/>
      <c r="U341" s="24" t="str">
        <f>HYPERLINK("https://media.infra-m.ru/1855/1855792/cover/1855792.jpg", "Обложка")</f>
        <v>Обложка</v>
      </c>
      <c r="V341" s="24" t="str">
        <f>HYPERLINK("https://znanium.ru/catalog/product/968744", "Ознакомиться")</f>
        <v>Ознакомиться</v>
      </c>
      <c r="W341" s="8" t="s">
        <v>2321</v>
      </c>
      <c r="X341" s="6"/>
      <c r="Y341" s="6"/>
      <c r="Z341" s="6"/>
      <c r="AA341" s="6" t="s">
        <v>72</v>
      </c>
      <c r="AB341" s="8"/>
    </row>
    <row r="342" spans="1:28" s="4" customFormat="1" ht="51.95" customHeight="1">
      <c r="A342" s="5">
        <v>0</v>
      </c>
      <c r="B342" s="6" t="s">
        <v>2322</v>
      </c>
      <c r="C342" s="13">
        <v>1364</v>
      </c>
      <c r="D342" s="8" t="s">
        <v>2323</v>
      </c>
      <c r="E342" s="8" t="s">
        <v>2316</v>
      </c>
      <c r="F342" s="8" t="s">
        <v>2324</v>
      </c>
      <c r="G342" s="6" t="s">
        <v>89</v>
      </c>
      <c r="H342" s="6" t="s">
        <v>53</v>
      </c>
      <c r="I342" s="8" t="s">
        <v>100</v>
      </c>
      <c r="J342" s="9">
        <v>1</v>
      </c>
      <c r="K342" s="9">
        <v>272</v>
      </c>
      <c r="L342" s="9">
        <v>2025</v>
      </c>
      <c r="M342" s="8" t="s">
        <v>2325</v>
      </c>
      <c r="N342" s="8" t="s">
        <v>41</v>
      </c>
      <c r="O342" s="8" t="s">
        <v>278</v>
      </c>
      <c r="P342" s="6" t="s">
        <v>43</v>
      </c>
      <c r="Q342" s="8" t="s">
        <v>102</v>
      </c>
      <c r="R342" s="10" t="s">
        <v>2326</v>
      </c>
      <c r="S342" s="11" t="s">
        <v>2327</v>
      </c>
      <c r="T342" s="6"/>
      <c r="U342" s="24" t="str">
        <f>HYPERLINK("https://media.infra-m.ru/2173/2173329/cover/2173329.jpg", "Обложка")</f>
        <v>Обложка</v>
      </c>
      <c r="V342" s="24" t="str">
        <f>HYPERLINK("https://znanium.ru/catalog/product/1876328", "Ознакомиться")</f>
        <v>Ознакомиться</v>
      </c>
      <c r="W342" s="8" t="s">
        <v>2321</v>
      </c>
      <c r="X342" s="6"/>
      <c r="Y342" s="6"/>
      <c r="Z342" s="6" t="s">
        <v>104</v>
      </c>
      <c r="AA342" s="6" t="s">
        <v>258</v>
      </c>
      <c r="AB342" s="8"/>
    </row>
    <row r="343" spans="1:28" s="4" customFormat="1" ht="51.95" customHeight="1">
      <c r="A343" s="5">
        <v>0</v>
      </c>
      <c r="B343" s="6" t="s">
        <v>2328</v>
      </c>
      <c r="C343" s="7">
        <v>650</v>
      </c>
      <c r="D343" s="8" t="s">
        <v>2329</v>
      </c>
      <c r="E343" s="8" t="s">
        <v>2330</v>
      </c>
      <c r="F343" s="8" t="s">
        <v>2331</v>
      </c>
      <c r="G343" s="6" t="s">
        <v>38</v>
      </c>
      <c r="H343" s="6" t="s">
        <v>53</v>
      </c>
      <c r="I343" s="8" t="s">
        <v>100</v>
      </c>
      <c r="J343" s="9">
        <v>1</v>
      </c>
      <c r="K343" s="9">
        <v>127</v>
      </c>
      <c r="L343" s="9">
        <v>2023</v>
      </c>
      <c r="M343" s="8" t="s">
        <v>2332</v>
      </c>
      <c r="N343" s="8" t="s">
        <v>413</v>
      </c>
      <c r="O343" s="8" t="s">
        <v>1141</v>
      </c>
      <c r="P343" s="6" t="s">
        <v>43</v>
      </c>
      <c r="Q343" s="8" t="s">
        <v>102</v>
      </c>
      <c r="R343" s="10" t="s">
        <v>2333</v>
      </c>
      <c r="S343" s="11" t="s">
        <v>2334</v>
      </c>
      <c r="T343" s="6"/>
      <c r="U343" s="24" t="str">
        <f>HYPERLINK("https://media.infra-m.ru/1912/1912949/cover/1912949.jpg", "Обложка")</f>
        <v>Обложка</v>
      </c>
      <c r="V343" s="24" t="str">
        <f>HYPERLINK("https://znanium.ru/catalog/product/1912949", "Ознакомиться")</f>
        <v>Ознакомиться</v>
      </c>
      <c r="W343" s="8" t="s">
        <v>2335</v>
      </c>
      <c r="X343" s="6"/>
      <c r="Y343" s="6"/>
      <c r="Z343" s="6"/>
      <c r="AA343" s="6" t="s">
        <v>1259</v>
      </c>
      <c r="AB343" s="8" t="s">
        <v>2336</v>
      </c>
    </row>
    <row r="344" spans="1:28" s="4" customFormat="1" ht="51.95" customHeight="1">
      <c r="A344" s="5">
        <v>0</v>
      </c>
      <c r="B344" s="6" t="s">
        <v>2337</v>
      </c>
      <c r="C344" s="13">
        <v>1140</v>
      </c>
      <c r="D344" s="8" t="s">
        <v>2338</v>
      </c>
      <c r="E344" s="8" t="s">
        <v>2339</v>
      </c>
      <c r="F344" s="8" t="s">
        <v>2340</v>
      </c>
      <c r="G344" s="6" t="s">
        <v>89</v>
      </c>
      <c r="H344" s="6" t="s">
        <v>53</v>
      </c>
      <c r="I344" s="8" t="s">
        <v>100</v>
      </c>
      <c r="J344" s="9">
        <v>1</v>
      </c>
      <c r="K344" s="9">
        <v>272</v>
      </c>
      <c r="L344" s="9">
        <v>2022</v>
      </c>
      <c r="M344" s="8" t="s">
        <v>2341</v>
      </c>
      <c r="N344" s="8" t="s">
        <v>413</v>
      </c>
      <c r="O344" s="8" t="s">
        <v>1141</v>
      </c>
      <c r="P344" s="6" t="s">
        <v>43</v>
      </c>
      <c r="Q344" s="8" t="s">
        <v>102</v>
      </c>
      <c r="R344" s="10" t="s">
        <v>2333</v>
      </c>
      <c r="S344" s="11" t="s">
        <v>2342</v>
      </c>
      <c r="T344" s="6"/>
      <c r="U344" s="24" t="str">
        <f>HYPERLINK("https://media.infra-m.ru/1843/1843982/cover/1843982.jpg", "Обложка")</f>
        <v>Обложка</v>
      </c>
      <c r="V344" s="24" t="str">
        <f>HYPERLINK("https://znanium.ru/catalog/product/1843982", "Ознакомиться")</f>
        <v>Ознакомиться</v>
      </c>
      <c r="W344" s="8" t="s">
        <v>2343</v>
      </c>
      <c r="X344" s="6"/>
      <c r="Y344" s="6"/>
      <c r="Z344" s="6"/>
      <c r="AA344" s="6" t="s">
        <v>793</v>
      </c>
      <c r="AB344" s="8" t="s">
        <v>2344</v>
      </c>
    </row>
    <row r="345" spans="1:28" s="4" customFormat="1" ht="51.95" customHeight="1">
      <c r="A345" s="5">
        <v>0</v>
      </c>
      <c r="B345" s="6" t="s">
        <v>2345</v>
      </c>
      <c r="C345" s="13">
        <v>1794</v>
      </c>
      <c r="D345" s="8" t="s">
        <v>2346</v>
      </c>
      <c r="E345" s="8" t="s">
        <v>2339</v>
      </c>
      <c r="F345" s="8" t="s">
        <v>2347</v>
      </c>
      <c r="G345" s="6" t="s">
        <v>89</v>
      </c>
      <c r="H345" s="6" t="s">
        <v>53</v>
      </c>
      <c r="I345" s="8" t="s">
        <v>100</v>
      </c>
      <c r="J345" s="9">
        <v>1</v>
      </c>
      <c r="K345" s="9">
        <v>359</v>
      </c>
      <c r="L345" s="9">
        <v>2025</v>
      </c>
      <c r="M345" s="8" t="s">
        <v>2348</v>
      </c>
      <c r="N345" s="8" t="s">
        <v>413</v>
      </c>
      <c r="O345" s="8" t="s">
        <v>1141</v>
      </c>
      <c r="P345" s="6" t="s">
        <v>43</v>
      </c>
      <c r="Q345" s="8" t="s">
        <v>102</v>
      </c>
      <c r="R345" s="10" t="s">
        <v>2349</v>
      </c>
      <c r="S345" s="11" t="s">
        <v>2350</v>
      </c>
      <c r="T345" s="6"/>
      <c r="U345" s="24" t="str">
        <f>HYPERLINK("https://media.infra-m.ru/2173/2173383/cover/2173383.jpg", "Обложка")</f>
        <v>Обложка</v>
      </c>
      <c r="V345" s="24" t="str">
        <f>HYPERLINK("https://znanium.ru/catalog/product/1925556", "Ознакомиться")</f>
        <v>Ознакомиться</v>
      </c>
      <c r="W345" s="8" t="s">
        <v>2351</v>
      </c>
      <c r="X345" s="6"/>
      <c r="Y345" s="6"/>
      <c r="Z345" s="6"/>
      <c r="AA345" s="6" t="s">
        <v>219</v>
      </c>
      <c r="AB345" s="8"/>
    </row>
    <row r="346" spans="1:28" s="4" customFormat="1" ht="51.95" customHeight="1">
      <c r="A346" s="5">
        <v>0</v>
      </c>
      <c r="B346" s="6" t="s">
        <v>2352</v>
      </c>
      <c r="C346" s="7">
        <v>490</v>
      </c>
      <c r="D346" s="8" t="s">
        <v>2353</v>
      </c>
      <c r="E346" s="8" t="s">
        <v>2354</v>
      </c>
      <c r="F346" s="8" t="s">
        <v>2355</v>
      </c>
      <c r="G346" s="6" t="s">
        <v>38</v>
      </c>
      <c r="H346" s="6" t="s">
        <v>53</v>
      </c>
      <c r="I346" s="8" t="s">
        <v>2356</v>
      </c>
      <c r="J346" s="9">
        <v>1</v>
      </c>
      <c r="K346" s="9">
        <v>88</v>
      </c>
      <c r="L346" s="9">
        <v>2025</v>
      </c>
      <c r="M346" s="8" t="s">
        <v>2357</v>
      </c>
      <c r="N346" s="8" t="s">
        <v>413</v>
      </c>
      <c r="O346" s="8" t="s">
        <v>1141</v>
      </c>
      <c r="P346" s="6" t="s">
        <v>43</v>
      </c>
      <c r="Q346" s="8" t="s">
        <v>44</v>
      </c>
      <c r="R346" s="10" t="s">
        <v>2358</v>
      </c>
      <c r="S346" s="11" t="s">
        <v>2359</v>
      </c>
      <c r="T346" s="6"/>
      <c r="U346" s="24" t="str">
        <f>HYPERLINK("https://media.infra-m.ru/2165/2165842/cover/2165842.jpg", "Обложка")</f>
        <v>Обложка</v>
      </c>
      <c r="V346" s="24" t="str">
        <f>HYPERLINK("https://znanium.ru/catalog/product/2165842", "Ознакомиться")</f>
        <v>Ознакомиться</v>
      </c>
      <c r="W346" s="8" t="s">
        <v>1514</v>
      </c>
      <c r="X346" s="6"/>
      <c r="Y346" s="6"/>
      <c r="Z346" s="6"/>
      <c r="AA346" s="6" t="s">
        <v>418</v>
      </c>
      <c r="AB346" s="8"/>
    </row>
    <row r="347" spans="1:28" s="4" customFormat="1" ht="51.95" customHeight="1">
      <c r="A347" s="5">
        <v>0</v>
      </c>
      <c r="B347" s="6" t="s">
        <v>2360</v>
      </c>
      <c r="C347" s="13">
        <v>1900</v>
      </c>
      <c r="D347" s="8" t="s">
        <v>2361</v>
      </c>
      <c r="E347" s="8" t="s">
        <v>2362</v>
      </c>
      <c r="F347" s="8" t="s">
        <v>2363</v>
      </c>
      <c r="G347" s="6" t="s">
        <v>52</v>
      </c>
      <c r="H347" s="6" t="s">
        <v>53</v>
      </c>
      <c r="I347" s="8" t="s">
        <v>116</v>
      </c>
      <c r="J347" s="9">
        <v>1</v>
      </c>
      <c r="K347" s="9">
        <v>413</v>
      </c>
      <c r="L347" s="9">
        <v>2024</v>
      </c>
      <c r="M347" s="8" t="s">
        <v>2364</v>
      </c>
      <c r="N347" s="8" t="s">
        <v>41</v>
      </c>
      <c r="O347" s="8" t="s">
        <v>1007</v>
      </c>
      <c r="P347" s="6" t="s">
        <v>167</v>
      </c>
      <c r="Q347" s="8" t="s">
        <v>44</v>
      </c>
      <c r="R347" s="10" t="s">
        <v>2365</v>
      </c>
      <c r="S347" s="11" t="s">
        <v>2366</v>
      </c>
      <c r="T347" s="6"/>
      <c r="U347" s="24" t="str">
        <f>HYPERLINK("https://media.infra-m.ru/2110/2110956/cover/2110956.jpg", "Обложка")</f>
        <v>Обложка</v>
      </c>
      <c r="V347" s="24" t="str">
        <f>HYPERLINK("https://znanium.ru/catalog/product/2110956", "Ознакомиться")</f>
        <v>Ознакомиться</v>
      </c>
      <c r="W347" s="8" t="s">
        <v>334</v>
      </c>
      <c r="X347" s="6"/>
      <c r="Y347" s="6"/>
      <c r="Z347" s="6"/>
      <c r="AA347" s="6" t="s">
        <v>151</v>
      </c>
      <c r="AB347" s="8"/>
    </row>
    <row r="348" spans="1:28" s="4" customFormat="1" ht="51.95" customHeight="1">
      <c r="A348" s="5">
        <v>0</v>
      </c>
      <c r="B348" s="6" t="s">
        <v>2367</v>
      </c>
      <c r="C348" s="13">
        <v>1664.9</v>
      </c>
      <c r="D348" s="8" t="s">
        <v>2368</v>
      </c>
      <c r="E348" s="8" t="s">
        <v>2362</v>
      </c>
      <c r="F348" s="8" t="s">
        <v>2363</v>
      </c>
      <c r="G348" s="6" t="s">
        <v>52</v>
      </c>
      <c r="H348" s="6" t="s">
        <v>53</v>
      </c>
      <c r="I348" s="8" t="s">
        <v>100</v>
      </c>
      <c r="J348" s="9">
        <v>1</v>
      </c>
      <c r="K348" s="9">
        <v>370</v>
      </c>
      <c r="L348" s="9">
        <v>2023</v>
      </c>
      <c r="M348" s="8" t="s">
        <v>2369</v>
      </c>
      <c r="N348" s="8" t="s">
        <v>41</v>
      </c>
      <c r="O348" s="8" t="s">
        <v>1007</v>
      </c>
      <c r="P348" s="6" t="s">
        <v>167</v>
      </c>
      <c r="Q348" s="8" t="s">
        <v>102</v>
      </c>
      <c r="R348" s="10" t="s">
        <v>2370</v>
      </c>
      <c r="S348" s="11" t="s">
        <v>2371</v>
      </c>
      <c r="T348" s="6"/>
      <c r="U348" s="24" t="str">
        <f>HYPERLINK("https://media.infra-m.ru/1976/1976142/cover/1976142.jpg", "Обложка")</f>
        <v>Обложка</v>
      </c>
      <c r="V348" s="24" t="str">
        <f>HYPERLINK("https://znanium.ru/catalog/product/1016620", "Ознакомиться")</f>
        <v>Ознакомиться</v>
      </c>
      <c r="W348" s="8" t="s">
        <v>334</v>
      </c>
      <c r="X348" s="6"/>
      <c r="Y348" s="6"/>
      <c r="Z348" s="6" t="s">
        <v>104</v>
      </c>
      <c r="AA348" s="6" t="s">
        <v>258</v>
      </c>
      <c r="AB348" s="8"/>
    </row>
    <row r="349" spans="1:28" s="4" customFormat="1" ht="51.95" customHeight="1">
      <c r="A349" s="5">
        <v>0</v>
      </c>
      <c r="B349" s="6" t="s">
        <v>2372</v>
      </c>
      <c r="C349" s="13">
        <v>1000</v>
      </c>
      <c r="D349" s="8" t="s">
        <v>2373</v>
      </c>
      <c r="E349" s="8" t="s">
        <v>2374</v>
      </c>
      <c r="F349" s="8" t="s">
        <v>2375</v>
      </c>
      <c r="G349" s="6" t="s">
        <v>52</v>
      </c>
      <c r="H349" s="6" t="s">
        <v>53</v>
      </c>
      <c r="I349" s="8" t="s">
        <v>2376</v>
      </c>
      <c r="J349" s="9">
        <v>1</v>
      </c>
      <c r="K349" s="9">
        <v>345</v>
      </c>
      <c r="L349" s="9">
        <v>2018</v>
      </c>
      <c r="M349" s="8" t="s">
        <v>2377</v>
      </c>
      <c r="N349" s="8" t="s">
        <v>41</v>
      </c>
      <c r="O349" s="8" t="s">
        <v>1007</v>
      </c>
      <c r="P349" s="6" t="s">
        <v>167</v>
      </c>
      <c r="Q349" s="8" t="s">
        <v>279</v>
      </c>
      <c r="R349" s="10" t="s">
        <v>2378</v>
      </c>
      <c r="S349" s="11" t="s">
        <v>2379</v>
      </c>
      <c r="T349" s="6"/>
      <c r="U349" s="24" t="str">
        <f>HYPERLINK("https://media.infra-m.ru/0941/0941135/cover/941135.jpg", "Обложка")</f>
        <v>Обложка</v>
      </c>
      <c r="V349" s="24" t="str">
        <f>HYPERLINK("https://znanium.ru/catalog/product/2127290", "Ознакомиться")</f>
        <v>Ознакомиться</v>
      </c>
      <c r="W349" s="8" t="s">
        <v>189</v>
      </c>
      <c r="X349" s="6"/>
      <c r="Y349" s="6"/>
      <c r="Z349" s="6"/>
      <c r="AA349" s="6" t="s">
        <v>442</v>
      </c>
      <c r="AB349" s="8"/>
    </row>
    <row r="350" spans="1:28" s="4" customFormat="1" ht="42" customHeight="1">
      <c r="A350" s="5">
        <v>0</v>
      </c>
      <c r="B350" s="6" t="s">
        <v>2380</v>
      </c>
      <c r="C350" s="13">
        <v>1930</v>
      </c>
      <c r="D350" s="8" t="s">
        <v>2381</v>
      </c>
      <c r="E350" s="8" t="s">
        <v>2382</v>
      </c>
      <c r="F350" s="8" t="s">
        <v>2383</v>
      </c>
      <c r="G350" s="6" t="s">
        <v>52</v>
      </c>
      <c r="H350" s="6" t="s">
        <v>53</v>
      </c>
      <c r="I350" s="8" t="s">
        <v>116</v>
      </c>
      <c r="J350" s="9">
        <v>1</v>
      </c>
      <c r="K350" s="9">
        <v>385</v>
      </c>
      <c r="L350" s="9">
        <v>2025</v>
      </c>
      <c r="M350" s="8" t="s">
        <v>2384</v>
      </c>
      <c r="N350" s="8" t="s">
        <v>41</v>
      </c>
      <c r="O350" s="8" t="s">
        <v>1007</v>
      </c>
      <c r="P350" s="6" t="s">
        <v>167</v>
      </c>
      <c r="Q350" s="8" t="s">
        <v>279</v>
      </c>
      <c r="R350" s="10" t="s">
        <v>2385</v>
      </c>
      <c r="S350" s="11"/>
      <c r="T350" s="6"/>
      <c r="U350" s="24" t="str">
        <f>HYPERLINK("https://media.infra-m.ru/0556/0556970/cover/556970.jpg", "Обложка")</f>
        <v>Обложка</v>
      </c>
      <c r="V350" s="24" t="str">
        <f>HYPERLINK("https://znanium.ru/catalog/product/556970", "Ознакомиться")</f>
        <v>Ознакомиться</v>
      </c>
      <c r="W350" s="8" t="s">
        <v>83</v>
      </c>
      <c r="X350" s="6" t="s">
        <v>785</v>
      </c>
      <c r="Y350" s="6"/>
      <c r="Z350" s="6"/>
      <c r="AA350" s="6" t="s">
        <v>549</v>
      </c>
      <c r="AB350" s="8"/>
    </row>
    <row r="351" spans="1:28" s="4" customFormat="1" ht="51.95" customHeight="1">
      <c r="A351" s="5">
        <v>0</v>
      </c>
      <c r="B351" s="6" t="s">
        <v>2386</v>
      </c>
      <c r="C351" s="7">
        <v>534</v>
      </c>
      <c r="D351" s="8" t="s">
        <v>2387</v>
      </c>
      <c r="E351" s="8" t="s">
        <v>2388</v>
      </c>
      <c r="F351" s="8" t="s">
        <v>2389</v>
      </c>
      <c r="G351" s="6" t="s">
        <v>52</v>
      </c>
      <c r="H351" s="6" t="s">
        <v>53</v>
      </c>
      <c r="I351" s="8" t="s">
        <v>90</v>
      </c>
      <c r="J351" s="9">
        <v>1</v>
      </c>
      <c r="K351" s="9">
        <v>112</v>
      </c>
      <c r="L351" s="9">
        <v>2024</v>
      </c>
      <c r="M351" s="8" t="s">
        <v>2390</v>
      </c>
      <c r="N351" s="8" t="s">
        <v>41</v>
      </c>
      <c r="O351" s="8" t="s">
        <v>118</v>
      </c>
      <c r="P351" s="6" t="s">
        <v>43</v>
      </c>
      <c r="Q351" s="8" t="s">
        <v>44</v>
      </c>
      <c r="R351" s="10" t="s">
        <v>1291</v>
      </c>
      <c r="S351" s="11" t="s">
        <v>2391</v>
      </c>
      <c r="T351" s="6"/>
      <c r="U351" s="24" t="str">
        <f>HYPERLINK("https://media.infra-m.ru/2155/2155753/cover/2155753.jpg", "Обложка")</f>
        <v>Обложка</v>
      </c>
      <c r="V351" s="24" t="str">
        <f>HYPERLINK("https://znanium.ru/catalog/product/1816632", "Ознакомиться")</f>
        <v>Ознакомиться</v>
      </c>
      <c r="W351" s="8" t="s">
        <v>2392</v>
      </c>
      <c r="X351" s="6"/>
      <c r="Y351" s="6"/>
      <c r="Z351" s="6"/>
      <c r="AA351" s="6" t="s">
        <v>84</v>
      </c>
      <c r="AB351" s="8"/>
    </row>
    <row r="352" spans="1:28" s="4" customFormat="1" ht="51.95" customHeight="1">
      <c r="A352" s="5">
        <v>0</v>
      </c>
      <c r="B352" s="6" t="s">
        <v>2393</v>
      </c>
      <c r="C352" s="13">
        <v>2974</v>
      </c>
      <c r="D352" s="8" t="s">
        <v>2394</v>
      </c>
      <c r="E352" s="8" t="s">
        <v>2395</v>
      </c>
      <c r="F352" s="8" t="s">
        <v>2396</v>
      </c>
      <c r="G352" s="6" t="s">
        <v>89</v>
      </c>
      <c r="H352" s="6" t="s">
        <v>53</v>
      </c>
      <c r="I352" s="8" t="s">
        <v>1223</v>
      </c>
      <c r="J352" s="9">
        <v>1</v>
      </c>
      <c r="K352" s="9">
        <v>594</v>
      </c>
      <c r="L352" s="9">
        <v>2025</v>
      </c>
      <c r="M352" s="8" t="s">
        <v>2397</v>
      </c>
      <c r="N352" s="8" t="s">
        <v>41</v>
      </c>
      <c r="O352" s="8" t="s">
        <v>1007</v>
      </c>
      <c r="P352" s="6" t="s">
        <v>43</v>
      </c>
      <c r="Q352" s="8" t="s">
        <v>44</v>
      </c>
      <c r="R352" s="10" t="s">
        <v>2398</v>
      </c>
      <c r="S352" s="11" t="s">
        <v>2399</v>
      </c>
      <c r="T352" s="6"/>
      <c r="U352" s="24" t="str">
        <f>HYPERLINK("https://media.infra-m.ru/2188/2188211/cover/2188211.jpg", "Обложка")</f>
        <v>Обложка</v>
      </c>
      <c r="V352" s="24" t="str">
        <f>HYPERLINK("https://znanium.ru/catalog/product/1462565", "Ознакомиться")</f>
        <v>Ознакомиться</v>
      </c>
      <c r="W352" s="8" t="s">
        <v>83</v>
      </c>
      <c r="X352" s="6"/>
      <c r="Y352" s="6"/>
      <c r="Z352" s="6"/>
      <c r="AA352" s="6" t="s">
        <v>2086</v>
      </c>
      <c r="AB352" s="8"/>
    </row>
    <row r="353" spans="1:28" s="4" customFormat="1" ht="51.95" customHeight="1">
      <c r="A353" s="5">
        <v>0</v>
      </c>
      <c r="B353" s="6" t="s">
        <v>2400</v>
      </c>
      <c r="C353" s="13">
        <v>1074</v>
      </c>
      <c r="D353" s="8" t="s">
        <v>2401</v>
      </c>
      <c r="E353" s="8" t="s">
        <v>2402</v>
      </c>
      <c r="F353" s="8" t="s">
        <v>2403</v>
      </c>
      <c r="G353" s="6" t="s">
        <v>52</v>
      </c>
      <c r="H353" s="6" t="s">
        <v>53</v>
      </c>
      <c r="I353" s="8" t="s">
        <v>276</v>
      </c>
      <c r="J353" s="9">
        <v>1</v>
      </c>
      <c r="K353" s="9">
        <v>206</v>
      </c>
      <c r="L353" s="9">
        <v>2025</v>
      </c>
      <c r="M353" s="8" t="s">
        <v>2404</v>
      </c>
      <c r="N353" s="8" t="s">
        <v>41</v>
      </c>
      <c r="O353" s="8" t="s">
        <v>1007</v>
      </c>
      <c r="P353" s="6" t="s">
        <v>43</v>
      </c>
      <c r="Q353" s="8" t="s">
        <v>279</v>
      </c>
      <c r="R353" s="10" t="s">
        <v>1008</v>
      </c>
      <c r="S353" s="11" t="s">
        <v>2405</v>
      </c>
      <c r="T353" s="6"/>
      <c r="U353" s="24" t="str">
        <f>HYPERLINK("https://media.infra-m.ru/2199/2199630/cover/2199630.jpg", "Обложка")</f>
        <v>Обложка</v>
      </c>
      <c r="V353" s="24" t="str">
        <f>HYPERLINK("https://znanium.ru/catalog/product/1060348", "Ознакомиться")</f>
        <v>Ознакомиться</v>
      </c>
      <c r="W353" s="8" t="s">
        <v>2406</v>
      </c>
      <c r="X353" s="6"/>
      <c r="Y353" s="6"/>
      <c r="Z353" s="6"/>
      <c r="AA353" s="6" t="s">
        <v>219</v>
      </c>
      <c r="AB353" s="8"/>
    </row>
    <row r="354" spans="1:28" s="4" customFormat="1" ht="51.95" customHeight="1">
      <c r="A354" s="5">
        <v>0</v>
      </c>
      <c r="B354" s="6" t="s">
        <v>2407</v>
      </c>
      <c r="C354" s="13">
        <v>1320</v>
      </c>
      <c r="D354" s="8" t="s">
        <v>2408</v>
      </c>
      <c r="E354" s="8" t="s">
        <v>2409</v>
      </c>
      <c r="F354" s="8" t="s">
        <v>2410</v>
      </c>
      <c r="G354" s="6" t="s">
        <v>89</v>
      </c>
      <c r="H354" s="6" t="s">
        <v>649</v>
      </c>
      <c r="I354" s="8" t="s">
        <v>185</v>
      </c>
      <c r="J354" s="9">
        <v>1</v>
      </c>
      <c r="K354" s="9">
        <v>286</v>
      </c>
      <c r="L354" s="9">
        <v>2024</v>
      </c>
      <c r="M354" s="8" t="s">
        <v>2411</v>
      </c>
      <c r="N354" s="8" t="s">
        <v>41</v>
      </c>
      <c r="O354" s="8" t="s">
        <v>1007</v>
      </c>
      <c r="P354" s="6" t="s">
        <v>43</v>
      </c>
      <c r="Q354" s="8" t="s">
        <v>102</v>
      </c>
      <c r="R354" s="10" t="s">
        <v>2412</v>
      </c>
      <c r="S354" s="11" t="s">
        <v>2413</v>
      </c>
      <c r="T354" s="6"/>
      <c r="U354" s="24" t="str">
        <f>HYPERLINK("https://media.infra-m.ru/2083/2083160/cover/2083160.jpg", "Обложка")</f>
        <v>Обложка</v>
      </c>
      <c r="V354" s="24" t="str">
        <f>HYPERLINK("https://znanium.ru/catalog/product/2083160", "Ознакомиться")</f>
        <v>Ознакомиться</v>
      </c>
      <c r="W354" s="8"/>
      <c r="X354" s="6"/>
      <c r="Y354" s="6"/>
      <c r="Z354" s="6"/>
      <c r="AA354" s="6" t="s">
        <v>2414</v>
      </c>
      <c r="AB354" s="8"/>
    </row>
    <row r="355" spans="1:28" s="4" customFormat="1" ht="51.95" customHeight="1">
      <c r="A355" s="5">
        <v>0</v>
      </c>
      <c r="B355" s="6" t="s">
        <v>2415</v>
      </c>
      <c r="C355" s="13">
        <v>1580</v>
      </c>
      <c r="D355" s="8" t="s">
        <v>2416</v>
      </c>
      <c r="E355" s="8" t="s">
        <v>2417</v>
      </c>
      <c r="F355" s="8" t="s">
        <v>2418</v>
      </c>
      <c r="G355" s="6" t="s">
        <v>89</v>
      </c>
      <c r="H355" s="6" t="s">
        <v>53</v>
      </c>
      <c r="I355" s="8" t="s">
        <v>276</v>
      </c>
      <c r="J355" s="9">
        <v>1</v>
      </c>
      <c r="K355" s="9">
        <v>344</v>
      </c>
      <c r="L355" s="9">
        <v>2024</v>
      </c>
      <c r="M355" s="8" t="s">
        <v>2419</v>
      </c>
      <c r="N355" s="8" t="s">
        <v>41</v>
      </c>
      <c r="O355" s="8" t="s">
        <v>1007</v>
      </c>
      <c r="P355" s="6" t="s">
        <v>167</v>
      </c>
      <c r="Q355" s="8" t="s">
        <v>279</v>
      </c>
      <c r="R355" s="10" t="s">
        <v>2420</v>
      </c>
      <c r="S355" s="11" t="s">
        <v>2421</v>
      </c>
      <c r="T355" s="6" t="s">
        <v>299</v>
      </c>
      <c r="U355" s="24" t="str">
        <f>HYPERLINK("https://media.infra-m.ru/2051/2051468/cover/2051468.jpg", "Обложка")</f>
        <v>Обложка</v>
      </c>
      <c r="V355" s="24" t="str">
        <f>HYPERLINK("https://znanium.ru/catalog/product/2051468", "Ознакомиться")</f>
        <v>Ознакомиться</v>
      </c>
      <c r="W355" s="8" t="s">
        <v>2422</v>
      </c>
      <c r="X355" s="6"/>
      <c r="Y355" s="6"/>
      <c r="Z355" s="6"/>
      <c r="AA355" s="6" t="s">
        <v>2423</v>
      </c>
      <c r="AB355" s="8"/>
    </row>
    <row r="356" spans="1:28" s="4" customFormat="1" ht="51.95" customHeight="1">
      <c r="A356" s="5">
        <v>0</v>
      </c>
      <c r="B356" s="6" t="s">
        <v>2424</v>
      </c>
      <c r="C356" s="13">
        <v>1440</v>
      </c>
      <c r="D356" s="8" t="s">
        <v>2425</v>
      </c>
      <c r="E356" s="8" t="s">
        <v>2426</v>
      </c>
      <c r="F356" s="8" t="s">
        <v>2418</v>
      </c>
      <c r="G356" s="6" t="s">
        <v>89</v>
      </c>
      <c r="H356" s="6" t="s">
        <v>53</v>
      </c>
      <c r="I356" s="8" t="s">
        <v>276</v>
      </c>
      <c r="J356" s="9">
        <v>1</v>
      </c>
      <c r="K356" s="9">
        <v>314</v>
      </c>
      <c r="L356" s="9">
        <v>2023</v>
      </c>
      <c r="M356" s="8" t="s">
        <v>2427</v>
      </c>
      <c r="N356" s="8" t="s">
        <v>41</v>
      </c>
      <c r="O356" s="8" t="s">
        <v>1007</v>
      </c>
      <c r="P356" s="6" t="s">
        <v>167</v>
      </c>
      <c r="Q356" s="8" t="s">
        <v>279</v>
      </c>
      <c r="R356" s="10" t="s">
        <v>1008</v>
      </c>
      <c r="S356" s="11" t="s">
        <v>2421</v>
      </c>
      <c r="T356" s="6"/>
      <c r="U356" s="24" t="str">
        <f>HYPERLINK("https://media.infra-m.ru/2006/2006820/cover/2006820.jpg", "Обложка")</f>
        <v>Обложка</v>
      </c>
      <c r="V356" s="24" t="str">
        <f>HYPERLINK("https://znanium.ru/catalog/product/2006820", "Ознакомиться")</f>
        <v>Ознакомиться</v>
      </c>
      <c r="W356" s="8" t="s">
        <v>2422</v>
      </c>
      <c r="X356" s="6"/>
      <c r="Y356" s="6"/>
      <c r="Z356" s="6"/>
      <c r="AA356" s="6" t="s">
        <v>2423</v>
      </c>
      <c r="AB356" s="8"/>
    </row>
    <row r="357" spans="1:28" s="4" customFormat="1" ht="51.95" customHeight="1">
      <c r="A357" s="5">
        <v>0</v>
      </c>
      <c r="B357" s="6" t="s">
        <v>2428</v>
      </c>
      <c r="C357" s="13">
        <v>1300</v>
      </c>
      <c r="D357" s="8" t="s">
        <v>2429</v>
      </c>
      <c r="E357" s="8" t="s">
        <v>2430</v>
      </c>
      <c r="F357" s="8" t="s">
        <v>2431</v>
      </c>
      <c r="G357" s="6" t="s">
        <v>89</v>
      </c>
      <c r="H357" s="6" t="s">
        <v>53</v>
      </c>
      <c r="I357" s="8" t="s">
        <v>90</v>
      </c>
      <c r="J357" s="9">
        <v>1</v>
      </c>
      <c r="K357" s="9">
        <v>281</v>
      </c>
      <c r="L357" s="9">
        <v>2024</v>
      </c>
      <c r="M357" s="8" t="s">
        <v>2432</v>
      </c>
      <c r="N357" s="8" t="s">
        <v>41</v>
      </c>
      <c r="O357" s="8" t="s">
        <v>1007</v>
      </c>
      <c r="P357" s="6" t="s">
        <v>167</v>
      </c>
      <c r="Q357" s="8" t="s">
        <v>44</v>
      </c>
      <c r="R357" s="10" t="s">
        <v>2433</v>
      </c>
      <c r="S357" s="11" t="s">
        <v>2434</v>
      </c>
      <c r="T357" s="6" t="s">
        <v>299</v>
      </c>
      <c r="U357" s="24" t="str">
        <f>HYPERLINK("https://media.infra-m.ru/2111/2111349/cover/2111349.jpg", "Обложка")</f>
        <v>Обложка</v>
      </c>
      <c r="V357" s="24" t="str">
        <f>HYPERLINK("https://znanium.ru/catalog/product/2111349", "Ознакомиться")</f>
        <v>Ознакомиться</v>
      </c>
      <c r="W357" s="8" t="s">
        <v>388</v>
      </c>
      <c r="X357" s="6"/>
      <c r="Y357" s="6"/>
      <c r="Z357" s="6"/>
      <c r="AA357" s="6" t="s">
        <v>1374</v>
      </c>
      <c r="AB357" s="8"/>
    </row>
    <row r="358" spans="1:28" s="4" customFormat="1" ht="51.95" customHeight="1">
      <c r="A358" s="5">
        <v>0</v>
      </c>
      <c r="B358" s="6" t="s">
        <v>2435</v>
      </c>
      <c r="C358" s="7">
        <v>880</v>
      </c>
      <c r="D358" s="8" t="s">
        <v>2436</v>
      </c>
      <c r="E358" s="8" t="s">
        <v>2437</v>
      </c>
      <c r="F358" s="8" t="s">
        <v>2438</v>
      </c>
      <c r="G358" s="6" t="s">
        <v>89</v>
      </c>
      <c r="H358" s="6" t="s">
        <v>53</v>
      </c>
      <c r="I358" s="8" t="s">
        <v>90</v>
      </c>
      <c r="J358" s="9">
        <v>1</v>
      </c>
      <c r="K358" s="9">
        <v>272</v>
      </c>
      <c r="L358" s="9">
        <v>2019</v>
      </c>
      <c r="M358" s="8" t="s">
        <v>2439</v>
      </c>
      <c r="N358" s="8" t="s">
        <v>41</v>
      </c>
      <c r="O358" s="8" t="s">
        <v>1007</v>
      </c>
      <c r="P358" s="6" t="s">
        <v>167</v>
      </c>
      <c r="Q358" s="8" t="s">
        <v>44</v>
      </c>
      <c r="R358" s="10" t="s">
        <v>2433</v>
      </c>
      <c r="S358" s="11" t="s">
        <v>2440</v>
      </c>
      <c r="T358" s="6" t="s">
        <v>299</v>
      </c>
      <c r="U358" s="24" t="str">
        <f>HYPERLINK("https://media.infra-m.ru/0994/0994379/cover/994379.jpg", "Обложка")</f>
        <v>Обложка</v>
      </c>
      <c r="V358" s="24" t="str">
        <f>HYPERLINK("https://znanium.ru/catalog/product/2111349", "Ознакомиться")</f>
        <v>Ознакомиться</v>
      </c>
      <c r="W358" s="8" t="s">
        <v>388</v>
      </c>
      <c r="X358" s="6"/>
      <c r="Y358" s="6"/>
      <c r="Z358" s="6"/>
      <c r="AA358" s="6" t="s">
        <v>122</v>
      </c>
      <c r="AB358" s="8"/>
    </row>
    <row r="359" spans="1:28" s="4" customFormat="1" ht="51.95" customHeight="1">
      <c r="A359" s="5">
        <v>0</v>
      </c>
      <c r="B359" s="6" t="s">
        <v>2441</v>
      </c>
      <c r="C359" s="7">
        <v>880</v>
      </c>
      <c r="D359" s="8" t="s">
        <v>2442</v>
      </c>
      <c r="E359" s="8" t="s">
        <v>2437</v>
      </c>
      <c r="F359" s="8" t="s">
        <v>2431</v>
      </c>
      <c r="G359" s="6" t="s">
        <v>89</v>
      </c>
      <c r="H359" s="6" t="s">
        <v>53</v>
      </c>
      <c r="I359" s="8" t="s">
        <v>100</v>
      </c>
      <c r="J359" s="9">
        <v>1</v>
      </c>
      <c r="K359" s="9">
        <v>272</v>
      </c>
      <c r="L359" s="9">
        <v>2019</v>
      </c>
      <c r="M359" s="8" t="s">
        <v>2443</v>
      </c>
      <c r="N359" s="8" t="s">
        <v>41</v>
      </c>
      <c r="O359" s="8" t="s">
        <v>1007</v>
      </c>
      <c r="P359" s="6" t="s">
        <v>167</v>
      </c>
      <c r="Q359" s="8" t="s">
        <v>102</v>
      </c>
      <c r="R359" s="10" t="s">
        <v>2444</v>
      </c>
      <c r="S359" s="11" t="s">
        <v>2445</v>
      </c>
      <c r="T359" s="6" t="s">
        <v>299</v>
      </c>
      <c r="U359" s="24" t="str">
        <f>HYPERLINK("https://media.infra-m.ru/1008/1008371/cover/1008371.jpg", "Обложка")</f>
        <v>Обложка</v>
      </c>
      <c r="V359" s="24" t="str">
        <f>HYPERLINK("https://znanium.ru/catalog/product/1065576", "Ознакомиться")</f>
        <v>Ознакомиться</v>
      </c>
      <c r="W359" s="8" t="s">
        <v>388</v>
      </c>
      <c r="X359" s="6"/>
      <c r="Y359" s="6"/>
      <c r="Z359" s="6" t="s">
        <v>104</v>
      </c>
      <c r="AA359" s="6" t="s">
        <v>258</v>
      </c>
      <c r="AB359" s="8"/>
    </row>
    <row r="360" spans="1:28" s="4" customFormat="1" ht="51.95" customHeight="1">
      <c r="A360" s="5">
        <v>0</v>
      </c>
      <c r="B360" s="6" t="s">
        <v>2446</v>
      </c>
      <c r="C360" s="13">
        <v>1604</v>
      </c>
      <c r="D360" s="8" t="s">
        <v>2447</v>
      </c>
      <c r="E360" s="8" t="s">
        <v>2430</v>
      </c>
      <c r="F360" s="8" t="s">
        <v>2448</v>
      </c>
      <c r="G360" s="6" t="s">
        <v>89</v>
      </c>
      <c r="H360" s="6" t="s">
        <v>53</v>
      </c>
      <c r="I360" s="8" t="s">
        <v>276</v>
      </c>
      <c r="J360" s="9">
        <v>1</v>
      </c>
      <c r="K360" s="9">
        <v>308</v>
      </c>
      <c r="L360" s="9">
        <v>2025</v>
      </c>
      <c r="M360" s="8" t="s">
        <v>2449</v>
      </c>
      <c r="N360" s="8" t="s">
        <v>41</v>
      </c>
      <c r="O360" s="8" t="s">
        <v>1007</v>
      </c>
      <c r="P360" s="6" t="s">
        <v>167</v>
      </c>
      <c r="Q360" s="8" t="s">
        <v>279</v>
      </c>
      <c r="R360" s="10" t="s">
        <v>2378</v>
      </c>
      <c r="S360" s="11" t="s">
        <v>2450</v>
      </c>
      <c r="T360" s="6"/>
      <c r="U360" s="24" t="str">
        <f>HYPERLINK("https://media.infra-m.ru/2156/2156991/cover/2156991.jpg", "Обложка")</f>
        <v>Обложка</v>
      </c>
      <c r="V360" s="24" t="str">
        <f>HYPERLINK("https://znanium.ru/catalog/product/2127290", "Ознакомиться")</f>
        <v>Ознакомиться</v>
      </c>
      <c r="W360" s="8" t="s">
        <v>189</v>
      </c>
      <c r="X360" s="6"/>
      <c r="Y360" s="6"/>
      <c r="Z360" s="6"/>
      <c r="AA360" s="6" t="s">
        <v>813</v>
      </c>
      <c r="AB360" s="8"/>
    </row>
    <row r="361" spans="1:28" s="4" customFormat="1" ht="44.1" customHeight="1">
      <c r="A361" s="5">
        <v>0</v>
      </c>
      <c r="B361" s="6" t="s">
        <v>2451</v>
      </c>
      <c r="C361" s="13">
        <v>2290</v>
      </c>
      <c r="D361" s="8" t="s">
        <v>2452</v>
      </c>
      <c r="E361" s="8" t="s">
        <v>2437</v>
      </c>
      <c r="F361" s="8" t="s">
        <v>2453</v>
      </c>
      <c r="G361" s="6" t="s">
        <v>52</v>
      </c>
      <c r="H361" s="6" t="s">
        <v>53</v>
      </c>
      <c r="I361" s="8" t="s">
        <v>116</v>
      </c>
      <c r="J361" s="9">
        <v>1</v>
      </c>
      <c r="K361" s="9">
        <v>449</v>
      </c>
      <c r="L361" s="9">
        <v>2025</v>
      </c>
      <c r="M361" s="8" t="s">
        <v>2454</v>
      </c>
      <c r="N361" s="8" t="s">
        <v>41</v>
      </c>
      <c r="O361" s="8" t="s">
        <v>1007</v>
      </c>
      <c r="P361" s="6" t="s">
        <v>167</v>
      </c>
      <c r="Q361" s="8" t="s">
        <v>58</v>
      </c>
      <c r="R361" s="10" t="s">
        <v>2455</v>
      </c>
      <c r="S361" s="11"/>
      <c r="T361" s="6"/>
      <c r="U361" s="24" t="str">
        <f>HYPERLINK("https://media.infra-m.ru/2110/2110851/cover/2110851.jpg", "Обложка")</f>
        <v>Обложка</v>
      </c>
      <c r="V361" s="24" t="str">
        <f>HYPERLINK("https://znanium.ru/catalog/product/2110851", "Ознакомиться")</f>
        <v>Ознакомиться</v>
      </c>
      <c r="W361" s="8" t="s">
        <v>1233</v>
      </c>
      <c r="X361" s="6" t="s">
        <v>785</v>
      </c>
      <c r="Y361" s="6"/>
      <c r="Z361" s="6"/>
      <c r="AA361" s="6" t="s">
        <v>61</v>
      </c>
      <c r="AB361" s="8" t="s">
        <v>2456</v>
      </c>
    </row>
    <row r="362" spans="1:28" s="4" customFormat="1" ht="51.95" customHeight="1">
      <c r="A362" s="5">
        <v>0</v>
      </c>
      <c r="B362" s="6" t="s">
        <v>2457</v>
      </c>
      <c r="C362" s="7">
        <v>674.9</v>
      </c>
      <c r="D362" s="8" t="s">
        <v>2458</v>
      </c>
      <c r="E362" s="8" t="s">
        <v>2437</v>
      </c>
      <c r="F362" s="8" t="s">
        <v>2459</v>
      </c>
      <c r="G362" s="6" t="s">
        <v>52</v>
      </c>
      <c r="H362" s="6" t="s">
        <v>77</v>
      </c>
      <c r="I362" s="8"/>
      <c r="J362" s="9">
        <v>1</v>
      </c>
      <c r="K362" s="9">
        <v>196</v>
      </c>
      <c r="L362" s="9">
        <v>2020</v>
      </c>
      <c r="M362" s="8" t="s">
        <v>2460</v>
      </c>
      <c r="N362" s="8" t="s">
        <v>41</v>
      </c>
      <c r="O362" s="8" t="s">
        <v>1007</v>
      </c>
      <c r="P362" s="6" t="s">
        <v>43</v>
      </c>
      <c r="Q362" s="8" t="s">
        <v>44</v>
      </c>
      <c r="R362" s="10" t="s">
        <v>2461</v>
      </c>
      <c r="S362" s="11" t="s">
        <v>2462</v>
      </c>
      <c r="T362" s="6" t="s">
        <v>299</v>
      </c>
      <c r="U362" s="24" t="str">
        <f>HYPERLINK("https://media.infra-m.ru/1081/1081924/cover/1081924.jpg", "Обложка")</f>
        <v>Обложка</v>
      </c>
      <c r="V362" s="24" t="str">
        <f>HYPERLINK("https://znanium.ru/catalog/product/2091891", "Ознакомиться")</f>
        <v>Ознакомиться</v>
      </c>
      <c r="W362" s="8" t="s">
        <v>2463</v>
      </c>
      <c r="X362" s="6"/>
      <c r="Y362" s="6"/>
      <c r="Z362" s="6"/>
      <c r="AA362" s="6" t="s">
        <v>418</v>
      </c>
      <c r="AB362" s="8"/>
    </row>
    <row r="363" spans="1:28" s="4" customFormat="1" ht="51.95" customHeight="1">
      <c r="A363" s="5">
        <v>0</v>
      </c>
      <c r="B363" s="6" t="s">
        <v>2464</v>
      </c>
      <c r="C363" s="7">
        <v>614.9</v>
      </c>
      <c r="D363" s="8" t="s">
        <v>2465</v>
      </c>
      <c r="E363" s="8" t="s">
        <v>2437</v>
      </c>
      <c r="F363" s="8" t="s">
        <v>2466</v>
      </c>
      <c r="G363" s="6" t="s">
        <v>38</v>
      </c>
      <c r="H363" s="6" t="s">
        <v>184</v>
      </c>
      <c r="I363" s="8" t="s">
        <v>90</v>
      </c>
      <c r="J363" s="9">
        <v>1</v>
      </c>
      <c r="K363" s="9">
        <v>179</v>
      </c>
      <c r="L363" s="9">
        <v>2019</v>
      </c>
      <c r="M363" s="8" t="s">
        <v>2467</v>
      </c>
      <c r="N363" s="8" t="s">
        <v>41</v>
      </c>
      <c r="O363" s="8" t="s">
        <v>1007</v>
      </c>
      <c r="P363" s="6" t="s">
        <v>43</v>
      </c>
      <c r="Q363" s="8" t="s">
        <v>44</v>
      </c>
      <c r="R363" s="10" t="s">
        <v>2468</v>
      </c>
      <c r="S363" s="11" t="s">
        <v>2469</v>
      </c>
      <c r="T363" s="6"/>
      <c r="U363" s="24" t="str">
        <f>HYPERLINK("https://media.infra-m.ru/1014/1014754/cover/1014754.jpg", "Обложка")</f>
        <v>Обложка</v>
      </c>
      <c r="V363" s="24" t="str">
        <f>HYPERLINK("https://znanium.ru/catalog/product/926709", "Ознакомиться")</f>
        <v>Ознакомиться</v>
      </c>
      <c r="W363" s="8" t="s">
        <v>2470</v>
      </c>
      <c r="X363" s="6"/>
      <c r="Y363" s="6"/>
      <c r="Z363" s="6"/>
      <c r="AA363" s="6" t="s">
        <v>418</v>
      </c>
      <c r="AB363" s="8"/>
    </row>
    <row r="364" spans="1:28" s="4" customFormat="1" ht="51.95" customHeight="1">
      <c r="A364" s="5">
        <v>0</v>
      </c>
      <c r="B364" s="6" t="s">
        <v>2471</v>
      </c>
      <c r="C364" s="7">
        <v>670</v>
      </c>
      <c r="D364" s="8" t="s">
        <v>2472</v>
      </c>
      <c r="E364" s="8" t="s">
        <v>2437</v>
      </c>
      <c r="F364" s="8" t="s">
        <v>2459</v>
      </c>
      <c r="G364" s="6" t="s">
        <v>89</v>
      </c>
      <c r="H364" s="6" t="s">
        <v>77</v>
      </c>
      <c r="I364" s="8" t="s">
        <v>100</v>
      </c>
      <c r="J364" s="9">
        <v>1</v>
      </c>
      <c r="K364" s="9">
        <v>196</v>
      </c>
      <c r="L364" s="9">
        <v>2020</v>
      </c>
      <c r="M364" s="8" t="s">
        <v>2473</v>
      </c>
      <c r="N364" s="8" t="s">
        <v>41</v>
      </c>
      <c r="O364" s="8" t="s">
        <v>1007</v>
      </c>
      <c r="P364" s="6" t="s">
        <v>43</v>
      </c>
      <c r="Q364" s="8" t="s">
        <v>102</v>
      </c>
      <c r="R364" s="10" t="s">
        <v>2474</v>
      </c>
      <c r="S364" s="11" t="s">
        <v>2475</v>
      </c>
      <c r="T364" s="6" t="s">
        <v>299</v>
      </c>
      <c r="U364" s="24" t="str">
        <f>HYPERLINK("https://media.infra-m.ru/1064/1064072/cover/1064072.jpg", "Обложка")</f>
        <v>Обложка</v>
      </c>
      <c r="V364" s="24" t="str">
        <f>HYPERLINK("https://znanium.ru/catalog/product/2201252", "Ознакомиться")</f>
        <v>Ознакомиться</v>
      </c>
      <c r="W364" s="8" t="s">
        <v>2463</v>
      </c>
      <c r="X364" s="6"/>
      <c r="Y364" s="6"/>
      <c r="Z364" s="6" t="s">
        <v>104</v>
      </c>
      <c r="AA364" s="6" t="s">
        <v>258</v>
      </c>
      <c r="AB364" s="8"/>
    </row>
    <row r="365" spans="1:28" s="4" customFormat="1" ht="51.95" customHeight="1">
      <c r="A365" s="5">
        <v>0</v>
      </c>
      <c r="B365" s="6" t="s">
        <v>2476</v>
      </c>
      <c r="C365" s="13">
        <v>1044</v>
      </c>
      <c r="D365" s="8" t="s">
        <v>2477</v>
      </c>
      <c r="E365" s="8" t="s">
        <v>2430</v>
      </c>
      <c r="F365" s="8" t="s">
        <v>2459</v>
      </c>
      <c r="G365" s="6" t="s">
        <v>52</v>
      </c>
      <c r="H365" s="6" t="s">
        <v>53</v>
      </c>
      <c r="I365" s="8" t="s">
        <v>90</v>
      </c>
      <c r="J365" s="9">
        <v>1</v>
      </c>
      <c r="K365" s="9">
        <v>200</v>
      </c>
      <c r="L365" s="9">
        <v>2025</v>
      </c>
      <c r="M365" s="8" t="s">
        <v>2478</v>
      </c>
      <c r="N365" s="8" t="s">
        <v>41</v>
      </c>
      <c r="O365" s="8" t="s">
        <v>1007</v>
      </c>
      <c r="P365" s="6" t="s">
        <v>43</v>
      </c>
      <c r="Q365" s="8" t="s">
        <v>44</v>
      </c>
      <c r="R365" s="10" t="s">
        <v>2461</v>
      </c>
      <c r="S365" s="11" t="s">
        <v>2479</v>
      </c>
      <c r="T365" s="6"/>
      <c r="U365" s="24" t="str">
        <f>HYPERLINK("https://media.infra-m.ru/2197/2197269/cover/2197269.jpg", "Обложка")</f>
        <v>Обложка</v>
      </c>
      <c r="V365" s="24" t="str">
        <f>HYPERLINK("https://znanium.ru/catalog/product/2091891", "Ознакомиться")</f>
        <v>Ознакомиться</v>
      </c>
      <c r="W365" s="8" t="s">
        <v>2463</v>
      </c>
      <c r="X365" s="6"/>
      <c r="Y365" s="6"/>
      <c r="Z365" s="6"/>
      <c r="AA365" s="6" t="s">
        <v>513</v>
      </c>
      <c r="AB365" s="8"/>
    </row>
    <row r="366" spans="1:28" s="4" customFormat="1" ht="51.95" customHeight="1">
      <c r="A366" s="5">
        <v>0</v>
      </c>
      <c r="B366" s="6" t="s">
        <v>2480</v>
      </c>
      <c r="C366" s="13">
        <v>1070</v>
      </c>
      <c r="D366" s="8" t="s">
        <v>2481</v>
      </c>
      <c r="E366" s="8" t="s">
        <v>2430</v>
      </c>
      <c r="F366" s="8" t="s">
        <v>2459</v>
      </c>
      <c r="G366" s="6" t="s">
        <v>89</v>
      </c>
      <c r="H366" s="6" t="s">
        <v>53</v>
      </c>
      <c r="I366" s="8" t="s">
        <v>100</v>
      </c>
      <c r="J366" s="9">
        <v>1</v>
      </c>
      <c r="K366" s="9">
        <v>200</v>
      </c>
      <c r="L366" s="9">
        <v>2025</v>
      </c>
      <c r="M366" s="8" t="s">
        <v>2482</v>
      </c>
      <c r="N366" s="8" t="s">
        <v>41</v>
      </c>
      <c r="O366" s="8" t="s">
        <v>1007</v>
      </c>
      <c r="P366" s="6" t="s">
        <v>43</v>
      </c>
      <c r="Q366" s="8" t="s">
        <v>102</v>
      </c>
      <c r="R366" s="10" t="s">
        <v>2474</v>
      </c>
      <c r="S366" s="11" t="s">
        <v>2483</v>
      </c>
      <c r="T366" s="6" t="s">
        <v>299</v>
      </c>
      <c r="U366" s="24" t="str">
        <f>HYPERLINK("https://media.infra-m.ru/2201/2201252/cover/2201252.jpg", "Обложка")</f>
        <v>Обложка</v>
      </c>
      <c r="V366" s="24" t="str">
        <f>HYPERLINK("https://znanium.ru/catalog/product/2201252", "Ознакомиться")</f>
        <v>Ознакомиться</v>
      </c>
      <c r="W366" s="8" t="s">
        <v>2463</v>
      </c>
      <c r="X366" s="6"/>
      <c r="Y366" s="6"/>
      <c r="Z366" s="6" t="s">
        <v>104</v>
      </c>
      <c r="AA366" s="6" t="s">
        <v>813</v>
      </c>
      <c r="AB366" s="8"/>
    </row>
    <row r="367" spans="1:28" s="4" customFormat="1" ht="51.95" customHeight="1">
      <c r="A367" s="5">
        <v>0</v>
      </c>
      <c r="B367" s="6" t="s">
        <v>2484</v>
      </c>
      <c r="C367" s="13">
        <v>1270</v>
      </c>
      <c r="D367" s="8" t="s">
        <v>2485</v>
      </c>
      <c r="E367" s="8" t="s">
        <v>2430</v>
      </c>
      <c r="F367" s="8" t="s">
        <v>2431</v>
      </c>
      <c r="G367" s="6" t="s">
        <v>89</v>
      </c>
      <c r="H367" s="6" t="s">
        <v>53</v>
      </c>
      <c r="I367" s="8" t="s">
        <v>100</v>
      </c>
      <c r="J367" s="9">
        <v>1</v>
      </c>
      <c r="K367" s="9">
        <v>281</v>
      </c>
      <c r="L367" s="9">
        <v>2023</v>
      </c>
      <c r="M367" s="8" t="s">
        <v>2486</v>
      </c>
      <c r="N367" s="8" t="s">
        <v>41</v>
      </c>
      <c r="O367" s="8" t="s">
        <v>1007</v>
      </c>
      <c r="P367" s="6" t="s">
        <v>167</v>
      </c>
      <c r="Q367" s="8" t="s">
        <v>102</v>
      </c>
      <c r="R367" s="10" t="s">
        <v>2444</v>
      </c>
      <c r="S367" s="11" t="s">
        <v>2445</v>
      </c>
      <c r="T367" s="6" t="s">
        <v>299</v>
      </c>
      <c r="U367" s="24" t="str">
        <f>HYPERLINK("https://media.infra-m.ru/1065/1065576/cover/1065576.jpg", "Обложка")</f>
        <v>Обложка</v>
      </c>
      <c r="V367" s="24" t="str">
        <f>HYPERLINK("https://znanium.ru/catalog/product/1065576", "Ознакомиться")</f>
        <v>Ознакомиться</v>
      </c>
      <c r="W367" s="8" t="s">
        <v>388</v>
      </c>
      <c r="X367" s="6"/>
      <c r="Y367" s="6"/>
      <c r="Z367" s="6" t="s">
        <v>104</v>
      </c>
      <c r="AA367" s="6" t="s">
        <v>813</v>
      </c>
      <c r="AB367" s="8"/>
    </row>
    <row r="368" spans="1:28" s="4" customFormat="1" ht="51.95" customHeight="1">
      <c r="A368" s="5">
        <v>0</v>
      </c>
      <c r="B368" s="6" t="s">
        <v>2487</v>
      </c>
      <c r="C368" s="13">
        <v>1590</v>
      </c>
      <c r="D368" s="8" t="s">
        <v>2488</v>
      </c>
      <c r="E368" s="8" t="s">
        <v>2489</v>
      </c>
      <c r="F368" s="8" t="s">
        <v>2490</v>
      </c>
      <c r="G368" s="6" t="s">
        <v>52</v>
      </c>
      <c r="H368" s="6" t="s">
        <v>53</v>
      </c>
      <c r="I368" s="8" t="s">
        <v>212</v>
      </c>
      <c r="J368" s="9">
        <v>1</v>
      </c>
      <c r="K368" s="9">
        <v>303</v>
      </c>
      <c r="L368" s="9">
        <v>2024</v>
      </c>
      <c r="M368" s="8" t="s">
        <v>2491</v>
      </c>
      <c r="N368" s="8" t="s">
        <v>79</v>
      </c>
      <c r="O368" s="8" t="s">
        <v>174</v>
      </c>
      <c r="P368" s="6" t="s">
        <v>43</v>
      </c>
      <c r="Q368" s="8" t="s">
        <v>214</v>
      </c>
      <c r="R368" s="10" t="s">
        <v>1114</v>
      </c>
      <c r="S368" s="11" t="s">
        <v>2492</v>
      </c>
      <c r="T368" s="6"/>
      <c r="U368" s="24" t="str">
        <f>HYPERLINK("https://media.infra-m.ru/1859/1859896/cover/1859896.jpg", "Обложка")</f>
        <v>Обложка</v>
      </c>
      <c r="V368" s="24" t="str">
        <f>HYPERLINK("https://znanium.ru/catalog/product/1859896", "Ознакомиться")</f>
        <v>Ознакомиться</v>
      </c>
      <c r="W368" s="8" t="s">
        <v>2493</v>
      </c>
      <c r="X368" s="6"/>
      <c r="Y368" s="6"/>
      <c r="Z368" s="6"/>
      <c r="AA368" s="6" t="s">
        <v>133</v>
      </c>
      <c r="AB368" s="8" t="s">
        <v>1969</v>
      </c>
    </row>
    <row r="369" spans="1:28" s="4" customFormat="1" ht="51.95" customHeight="1">
      <c r="A369" s="5">
        <v>0</v>
      </c>
      <c r="B369" s="6" t="s">
        <v>2494</v>
      </c>
      <c r="C369" s="13">
        <v>1190</v>
      </c>
      <c r="D369" s="8" t="s">
        <v>2495</v>
      </c>
      <c r="E369" s="8" t="s">
        <v>2496</v>
      </c>
      <c r="F369" s="8" t="s">
        <v>2497</v>
      </c>
      <c r="G369" s="6" t="s">
        <v>89</v>
      </c>
      <c r="H369" s="6" t="s">
        <v>53</v>
      </c>
      <c r="I369" s="8" t="s">
        <v>90</v>
      </c>
      <c r="J369" s="9">
        <v>1</v>
      </c>
      <c r="K369" s="9">
        <v>313</v>
      </c>
      <c r="L369" s="9">
        <v>2022</v>
      </c>
      <c r="M369" s="8" t="s">
        <v>2498</v>
      </c>
      <c r="N369" s="8" t="s">
        <v>41</v>
      </c>
      <c r="O369" s="8" t="s">
        <v>118</v>
      </c>
      <c r="P369" s="6" t="s">
        <v>43</v>
      </c>
      <c r="Q369" s="8" t="s">
        <v>44</v>
      </c>
      <c r="R369" s="10" t="s">
        <v>2499</v>
      </c>
      <c r="S369" s="11" t="s">
        <v>2500</v>
      </c>
      <c r="T369" s="6"/>
      <c r="U369" s="24" t="str">
        <f>HYPERLINK("https://media.infra-m.ru/1863/1863376/cover/1863376.jpg", "Обложка")</f>
        <v>Обложка</v>
      </c>
      <c r="V369" s="24" t="str">
        <f>HYPERLINK("https://znanium.ru/catalog/product/1442619", "Ознакомиться")</f>
        <v>Ознакомиться</v>
      </c>
      <c r="W369" s="8" t="s">
        <v>1345</v>
      </c>
      <c r="X369" s="6"/>
      <c r="Y369" s="6"/>
      <c r="Z369" s="6"/>
      <c r="AA369" s="6" t="s">
        <v>2501</v>
      </c>
      <c r="AB369" s="8"/>
    </row>
    <row r="370" spans="1:28" s="4" customFormat="1" ht="51.95" customHeight="1">
      <c r="A370" s="5">
        <v>0</v>
      </c>
      <c r="B370" s="6" t="s">
        <v>2502</v>
      </c>
      <c r="C370" s="13">
        <v>1130</v>
      </c>
      <c r="D370" s="8" t="s">
        <v>2503</v>
      </c>
      <c r="E370" s="8" t="s">
        <v>2504</v>
      </c>
      <c r="F370" s="8" t="s">
        <v>2497</v>
      </c>
      <c r="G370" s="6" t="s">
        <v>89</v>
      </c>
      <c r="H370" s="6" t="s">
        <v>53</v>
      </c>
      <c r="I370" s="8" t="s">
        <v>90</v>
      </c>
      <c r="J370" s="9">
        <v>1</v>
      </c>
      <c r="K370" s="9">
        <v>330</v>
      </c>
      <c r="L370" s="9">
        <v>2020</v>
      </c>
      <c r="M370" s="8" t="s">
        <v>2505</v>
      </c>
      <c r="N370" s="8" t="s">
        <v>41</v>
      </c>
      <c r="O370" s="8" t="s">
        <v>118</v>
      </c>
      <c r="P370" s="6" t="s">
        <v>43</v>
      </c>
      <c r="Q370" s="8" t="s">
        <v>44</v>
      </c>
      <c r="R370" s="10" t="s">
        <v>2499</v>
      </c>
      <c r="S370" s="11" t="s">
        <v>2506</v>
      </c>
      <c r="T370" s="6"/>
      <c r="U370" s="24" t="str">
        <f>HYPERLINK("https://media.infra-m.ru/1086/1086416/cover/1086416.jpg", "Обложка")</f>
        <v>Обложка</v>
      </c>
      <c r="V370" s="24" t="str">
        <f>HYPERLINK("https://znanium.ru/catalog/product/1442619", "Ознакомиться")</f>
        <v>Ознакомиться</v>
      </c>
      <c r="W370" s="8" t="s">
        <v>1345</v>
      </c>
      <c r="X370" s="6"/>
      <c r="Y370" s="6"/>
      <c r="Z370" s="6"/>
      <c r="AA370" s="6" t="s">
        <v>1365</v>
      </c>
      <c r="AB370" s="8"/>
    </row>
    <row r="371" spans="1:28" s="4" customFormat="1" ht="51.95" customHeight="1">
      <c r="A371" s="5">
        <v>0</v>
      </c>
      <c r="B371" s="6" t="s">
        <v>2507</v>
      </c>
      <c r="C371" s="7">
        <v>854</v>
      </c>
      <c r="D371" s="8" t="s">
        <v>2508</v>
      </c>
      <c r="E371" s="8" t="s">
        <v>2509</v>
      </c>
      <c r="F371" s="8" t="s">
        <v>2510</v>
      </c>
      <c r="G371" s="6" t="s">
        <v>89</v>
      </c>
      <c r="H371" s="6" t="s">
        <v>53</v>
      </c>
      <c r="I371" s="8" t="s">
        <v>2511</v>
      </c>
      <c r="J371" s="9">
        <v>1</v>
      </c>
      <c r="K371" s="9">
        <v>187</v>
      </c>
      <c r="L371" s="9">
        <v>2023</v>
      </c>
      <c r="M371" s="8" t="s">
        <v>2512</v>
      </c>
      <c r="N371" s="8" t="s">
        <v>56</v>
      </c>
      <c r="O371" s="8" t="s">
        <v>57</v>
      </c>
      <c r="P371" s="6" t="s">
        <v>1046</v>
      </c>
      <c r="Q371" s="8" t="s">
        <v>58</v>
      </c>
      <c r="R371" s="10" t="s">
        <v>2513</v>
      </c>
      <c r="S371" s="11"/>
      <c r="T371" s="6"/>
      <c r="U371" s="24" t="str">
        <f>HYPERLINK("https://media.infra-m.ru/2006/2006083/cover/2006083.jpg", "Обложка")</f>
        <v>Обложка</v>
      </c>
      <c r="V371" s="24" t="str">
        <f>HYPERLINK("https://znanium.ru/catalog/product/1541979", "Ознакомиться")</f>
        <v>Ознакомиться</v>
      </c>
      <c r="W371" s="8" t="s">
        <v>2514</v>
      </c>
      <c r="X371" s="6"/>
      <c r="Y371" s="6"/>
      <c r="Z371" s="6"/>
      <c r="AA371" s="6" t="s">
        <v>442</v>
      </c>
      <c r="AB371" s="8"/>
    </row>
    <row r="372" spans="1:28" s="4" customFormat="1" ht="44.1" customHeight="1">
      <c r="A372" s="5">
        <v>0</v>
      </c>
      <c r="B372" s="6" t="s">
        <v>2515</v>
      </c>
      <c r="C372" s="13">
        <v>1294.9000000000001</v>
      </c>
      <c r="D372" s="8" t="s">
        <v>2516</v>
      </c>
      <c r="E372" s="8" t="s">
        <v>2517</v>
      </c>
      <c r="F372" s="8" t="s">
        <v>2518</v>
      </c>
      <c r="G372" s="6" t="s">
        <v>52</v>
      </c>
      <c r="H372" s="6" t="s">
        <v>39</v>
      </c>
      <c r="I372" s="8" t="s">
        <v>90</v>
      </c>
      <c r="J372" s="9">
        <v>1</v>
      </c>
      <c r="K372" s="9">
        <v>288</v>
      </c>
      <c r="L372" s="9">
        <v>2023</v>
      </c>
      <c r="M372" s="8" t="s">
        <v>2519</v>
      </c>
      <c r="N372" s="8" t="s">
        <v>413</v>
      </c>
      <c r="O372" s="8" t="s">
        <v>1141</v>
      </c>
      <c r="P372" s="6" t="s">
        <v>43</v>
      </c>
      <c r="Q372" s="8" t="s">
        <v>44</v>
      </c>
      <c r="R372" s="10" t="s">
        <v>2520</v>
      </c>
      <c r="S372" s="11"/>
      <c r="T372" s="6"/>
      <c r="U372" s="24" t="str">
        <f>HYPERLINK("https://media.infra-m.ru/1911/1911772/cover/1911772.jpg", "Обложка")</f>
        <v>Обложка</v>
      </c>
      <c r="V372" s="24" t="str">
        <f>HYPERLINK("https://znanium.ru/catalog/product/1238969", "Ознакомиться")</f>
        <v>Ознакомиться</v>
      </c>
      <c r="W372" s="8" t="s">
        <v>2521</v>
      </c>
      <c r="X372" s="6"/>
      <c r="Y372" s="6"/>
      <c r="Z372" s="6"/>
      <c r="AA372" s="6" t="s">
        <v>494</v>
      </c>
      <c r="AB372" s="8"/>
    </row>
    <row r="373" spans="1:28" s="4" customFormat="1" ht="51.95" customHeight="1">
      <c r="A373" s="5">
        <v>0</v>
      </c>
      <c r="B373" s="6" t="s">
        <v>2522</v>
      </c>
      <c r="C373" s="13">
        <v>1984</v>
      </c>
      <c r="D373" s="8" t="s">
        <v>2523</v>
      </c>
      <c r="E373" s="8" t="s">
        <v>2524</v>
      </c>
      <c r="F373" s="8" t="s">
        <v>2525</v>
      </c>
      <c r="G373" s="6" t="s">
        <v>89</v>
      </c>
      <c r="H373" s="6" t="s">
        <v>649</v>
      </c>
      <c r="I373" s="8" t="s">
        <v>116</v>
      </c>
      <c r="J373" s="9">
        <v>1</v>
      </c>
      <c r="K373" s="9">
        <v>383</v>
      </c>
      <c r="L373" s="9">
        <v>2025</v>
      </c>
      <c r="M373" s="8" t="s">
        <v>2526</v>
      </c>
      <c r="N373" s="8" t="s">
        <v>79</v>
      </c>
      <c r="O373" s="8" t="s">
        <v>80</v>
      </c>
      <c r="P373" s="6" t="s">
        <v>167</v>
      </c>
      <c r="Q373" s="8" t="s">
        <v>44</v>
      </c>
      <c r="R373" s="10" t="s">
        <v>2527</v>
      </c>
      <c r="S373" s="11" t="s">
        <v>2528</v>
      </c>
      <c r="T373" s="6"/>
      <c r="U373" s="24" t="str">
        <f>HYPERLINK("https://media.infra-m.ru/2194/2194350/cover/2194350.jpg", "Обложка")</f>
        <v>Обложка</v>
      </c>
      <c r="V373" s="24" t="str">
        <f>HYPERLINK("https://znanium.ru/catalog/product/1893910", "Ознакомиться")</f>
        <v>Ознакомиться</v>
      </c>
      <c r="W373" s="8"/>
      <c r="X373" s="6"/>
      <c r="Y373" s="6"/>
      <c r="Z373" s="6"/>
      <c r="AA373" s="6" t="s">
        <v>84</v>
      </c>
      <c r="AB373" s="8"/>
    </row>
    <row r="374" spans="1:28" s="4" customFormat="1" ht="51.95" customHeight="1">
      <c r="A374" s="5">
        <v>0</v>
      </c>
      <c r="B374" s="6" t="s">
        <v>2529</v>
      </c>
      <c r="C374" s="13">
        <v>1350</v>
      </c>
      <c r="D374" s="8" t="s">
        <v>2530</v>
      </c>
      <c r="E374" s="8" t="s">
        <v>2531</v>
      </c>
      <c r="F374" s="8" t="s">
        <v>2532</v>
      </c>
      <c r="G374" s="6" t="s">
        <v>89</v>
      </c>
      <c r="H374" s="6" t="s">
        <v>39</v>
      </c>
      <c r="I374" s="8" t="s">
        <v>100</v>
      </c>
      <c r="J374" s="9">
        <v>1</v>
      </c>
      <c r="K374" s="9">
        <v>287</v>
      </c>
      <c r="L374" s="9">
        <v>2021</v>
      </c>
      <c r="M374" s="8" t="s">
        <v>2533</v>
      </c>
      <c r="N374" s="8" t="s">
        <v>79</v>
      </c>
      <c r="O374" s="8" t="s">
        <v>80</v>
      </c>
      <c r="P374" s="6" t="s">
        <v>187</v>
      </c>
      <c r="Q374" s="8" t="s">
        <v>102</v>
      </c>
      <c r="R374" s="10" t="s">
        <v>2534</v>
      </c>
      <c r="S374" s="11" t="s">
        <v>2535</v>
      </c>
      <c r="T374" s="6"/>
      <c r="U374" s="24" t="str">
        <f>HYPERLINK("https://media.infra-m.ru/1241/1241807/cover/1241807.jpg", "Обложка")</f>
        <v>Обложка</v>
      </c>
      <c r="V374" s="24" t="str">
        <f>HYPERLINK("https://znanium.ru/catalog/product/1241807", "Ознакомиться")</f>
        <v>Ознакомиться</v>
      </c>
      <c r="W374" s="8" t="s">
        <v>2536</v>
      </c>
      <c r="X374" s="6"/>
      <c r="Y374" s="6"/>
      <c r="Z374" s="6" t="s">
        <v>104</v>
      </c>
      <c r="AA374" s="6" t="s">
        <v>151</v>
      </c>
      <c r="AB374" s="8"/>
    </row>
    <row r="375" spans="1:28" s="4" customFormat="1" ht="51.95" customHeight="1">
      <c r="A375" s="5">
        <v>0</v>
      </c>
      <c r="B375" s="6" t="s">
        <v>2537</v>
      </c>
      <c r="C375" s="13">
        <v>1270</v>
      </c>
      <c r="D375" s="8" t="s">
        <v>2538</v>
      </c>
      <c r="E375" s="8" t="s">
        <v>2539</v>
      </c>
      <c r="F375" s="8" t="s">
        <v>2532</v>
      </c>
      <c r="G375" s="6" t="s">
        <v>52</v>
      </c>
      <c r="H375" s="6" t="s">
        <v>39</v>
      </c>
      <c r="I375" s="8" t="s">
        <v>100</v>
      </c>
      <c r="J375" s="9">
        <v>1</v>
      </c>
      <c r="K375" s="9">
        <v>303</v>
      </c>
      <c r="L375" s="9">
        <v>2019</v>
      </c>
      <c r="M375" s="8" t="s">
        <v>2540</v>
      </c>
      <c r="N375" s="8" t="s">
        <v>79</v>
      </c>
      <c r="O375" s="8" t="s">
        <v>80</v>
      </c>
      <c r="P375" s="6" t="s">
        <v>43</v>
      </c>
      <c r="Q375" s="8" t="s">
        <v>102</v>
      </c>
      <c r="R375" s="10" t="s">
        <v>2541</v>
      </c>
      <c r="S375" s="11" t="s">
        <v>2542</v>
      </c>
      <c r="T375" s="6"/>
      <c r="U375" s="24" t="str">
        <f>HYPERLINK("https://media.infra-m.ru/0961/0961507/cover/961507.jpg", "Обложка")</f>
        <v>Обложка</v>
      </c>
      <c r="V375" s="24" t="str">
        <f>HYPERLINK("https://znanium.ru/catalog/product/961507", "Ознакомиться")</f>
        <v>Ознакомиться</v>
      </c>
      <c r="W375" s="8" t="s">
        <v>2536</v>
      </c>
      <c r="X375" s="6"/>
      <c r="Y375" s="6"/>
      <c r="Z375" s="6" t="s">
        <v>104</v>
      </c>
      <c r="AA375" s="6" t="s">
        <v>258</v>
      </c>
      <c r="AB375" s="8"/>
    </row>
    <row r="376" spans="1:28" s="4" customFormat="1" ht="51.95" customHeight="1">
      <c r="A376" s="5">
        <v>0</v>
      </c>
      <c r="B376" s="6" t="s">
        <v>2543</v>
      </c>
      <c r="C376" s="13">
        <v>1684.9</v>
      </c>
      <c r="D376" s="8" t="s">
        <v>2544</v>
      </c>
      <c r="E376" s="8" t="s">
        <v>2531</v>
      </c>
      <c r="F376" s="8" t="s">
        <v>2532</v>
      </c>
      <c r="G376" s="6" t="s">
        <v>52</v>
      </c>
      <c r="H376" s="6" t="s">
        <v>39</v>
      </c>
      <c r="I376" s="8" t="s">
        <v>90</v>
      </c>
      <c r="J376" s="9">
        <v>1</v>
      </c>
      <c r="K376" s="9">
        <v>288</v>
      </c>
      <c r="L376" s="9">
        <v>2023</v>
      </c>
      <c r="M376" s="8" t="s">
        <v>2545</v>
      </c>
      <c r="N376" s="8" t="s">
        <v>79</v>
      </c>
      <c r="O376" s="8" t="s">
        <v>80</v>
      </c>
      <c r="P376" s="6" t="s">
        <v>187</v>
      </c>
      <c r="Q376" s="8" t="s">
        <v>44</v>
      </c>
      <c r="R376" s="10" t="s">
        <v>2546</v>
      </c>
      <c r="S376" s="11"/>
      <c r="T376" s="6"/>
      <c r="U376" s="24" t="str">
        <f>HYPERLINK("https://media.infra-m.ru/1911/1911813/cover/1911813.jpg", "Обложка")</f>
        <v>Обложка</v>
      </c>
      <c r="V376" s="24" t="str">
        <f>HYPERLINK("https://znanium.ru/catalog/product/983576", "Ознакомиться")</f>
        <v>Ознакомиться</v>
      </c>
      <c r="W376" s="8" t="s">
        <v>2536</v>
      </c>
      <c r="X376" s="6"/>
      <c r="Y376" s="6"/>
      <c r="Z376" s="6"/>
      <c r="AA376" s="6" t="s">
        <v>111</v>
      </c>
      <c r="AB376" s="8"/>
    </row>
    <row r="377" spans="1:28" s="4" customFormat="1" ht="51.95" customHeight="1">
      <c r="A377" s="5">
        <v>0</v>
      </c>
      <c r="B377" s="6" t="s">
        <v>2547</v>
      </c>
      <c r="C377" s="13">
        <v>1817</v>
      </c>
      <c r="D377" s="8" t="s">
        <v>2548</v>
      </c>
      <c r="E377" s="8" t="s">
        <v>2549</v>
      </c>
      <c r="F377" s="8" t="s">
        <v>2532</v>
      </c>
      <c r="G377" s="6" t="s">
        <v>52</v>
      </c>
      <c r="H377" s="6" t="s">
        <v>39</v>
      </c>
      <c r="I377" s="8" t="s">
        <v>90</v>
      </c>
      <c r="J377" s="9">
        <v>1</v>
      </c>
      <c r="K377" s="9">
        <v>304</v>
      </c>
      <c r="L377" s="9">
        <v>2024</v>
      </c>
      <c r="M377" s="8" t="s">
        <v>2550</v>
      </c>
      <c r="N377" s="8" t="s">
        <v>79</v>
      </c>
      <c r="O377" s="8" t="s">
        <v>80</v>
      </c>
      <c r="P377" s="6" t="s">
        <v>43</v>
      </c>
      <c r="Q377" s="8" t="s">
        <v>44</v>
      </c>
      <c r="R377" s="10" t="s">
        <v>2546</v>
      </c>
      <c r="S377" s="11" t="s">
        <v>2551</v>
      </c>
      <c r="T377" s="6"/>
      <c r="U377" s="24" t="str">
        <f>HYPERLINK("https://media.infra-m.ru/2088/2088256/cover/2088256.jpg", "Обложка")</f>
        <v>Обложка</v>
      </c>
      <c r="V377" s="24" t="str">
        <f>HYPERLINK("https://znanium.ru/catalog/product/1010026", "Ознакомиться")</f>
        <v>Ознакомиться</v>
      </c>
      <c r="W377" s="8" t="s">
        <v>2536</v>
      </c>
      <c r="X377" s="6"/>
      <c r="Y377" s="6"/>
      <c r="Z377" s="6"/>
      <c r="AA377" s="6" t="s">
        <v>111</v>
      </c>
      <c r="AB377" s="8"/>
    </row>
    <row r="378" spans="1:28" s="4" customFormat="1" ht="51.95" customHeight="1">
      <c r="A378" s="5">
        <v>0</v>
      </c>
      <c r="B378" s="6" t="s">
        <v>2552</v>
      </c>
      <c r="C378" s="13">
        <v>1050</v>
      </c>
      <c r="D378" s="8" t="s">
        <v>2553</v>
      </c>
      <c r="E378" s="8" t="s">
        <v>2554</v>
      </c>
      <c r="F378" s="8" t="s">
        <v>2555</v>
      </c>
      <c r="G378" s="6" t="s">
        <v>89</v>
      </c>
      <c r="H378" s="6" t="s">
        <v>53</v>
      </c>
      <c r="I378" s="8" t="s">
        <v>116</v>
      </c>
      <c r="J378" s="9">
        <v>1</v>
      </c>
      <c r="K378" s="9">
        <v>210</v>
      </c>
      <c r="L378" s="9">
        <v>2025</v>
      </c>
      <c r="M378" s="8" t="s">
        <v>2556</v>
      </c>
      <c r="N378" s="8" t="s">
        <v>79</v>
      </c>
      <c r="O378" s="8" t="s">
        <v>80</v>
      </c>
      <c r="P378" s="6" t="s">
        <v>43</v>
      </c>
      <c r="Q378" s="8" t="s">
        <v>214</v>
      </c>
      <c r="R378" s="10" t="s">
        <v>2557</v>
      </c>
      <c r="S378" s="11" t="s">
        <v>2558</v>
      </c>
      <c r="T378" s="6"/>
      <c r="U378" s="24" t="str">
        <f>HYPERLINK("https://media.infra-m.ru/2178/2178803/cover/2178803.jpg", "Обложка")</f>
        <v>Обложка</v>
      </c>
      <c r="V378" s="24" t="str">
        <f>HYPERLINK("https://znanium.ru/catalog/product/2178803", "Ознакомиться")</f>
        <v>Ознакомиться</v>
      </c>
      <c r="W378" s="8" t="s">
        <v>2559</v>
      </c>
      <c r="X378" s="6"/>
      <c r="Y378" s="6"/>
      <c r="Z378" s="6"/>
      <c r="AA378" s="6" t="s">
        <v>793</v>
      </c>
      <c r="AB378" s="8"/>
    </row>
    <row r="379" spans="1:28" s="4" customFormat="1" ht="51.95" customHeight="1">
      <c r="A379" s="5">
        <v>0</v>
      </c>
      <c r="B379" s="6" t="s">
        <v>2560</v>
      </c>
      <c r="C379" s="13">
        <v>1094</v>
      </c>
      <c r="D379" s="8" t="s">
        <v>2561</v>
      </c>
      <c r="E379" s="8" t="s">
        <v>2554</v>
      </c>
      <c r="F379" s="8" t="s">
        <v>2555</v>
      </c>
      <c r="G379" s="6" t="s">
        <v>89</v>
      </c>
      <c r="H379" s="6" t="s">
        <v>53</v>
      </c>
      <c r="I379" s="8" t="s">
        <v>100</v>
      </c>
      <c r="J379" s="9">
        <v>1</v>
      </c>
      <c r="K379" s="9">
        <v>210</v>
      </c>
      <c r="L379" s="9">
        <v>2025</v>
      </c>
      <c r="M379" s="8" t="s">
        <v>2562</v>
      </c>
      <c r="N379" s="8" t="s">
        <v>79</v>
      </c>
      <c r="O379" s="8" t="s">
        <v>80</v>
      </c>
      <c r="P379" s="6" t="s">
        <v>43</v>
      </c>
      <c r="Q379" s="8" t="s">
        <v>102</v>
      </c>
      <c r="R379" s="10" t="s">
        <v>2563</v>
      </c>
      <c r="S379" s="11" t="s">
        <v>2564</v>
      </c>
      <c r="T379" s="6"/>
      <c r="U379" s="24" t="str">
        <f>HYPERLINK("https://media.infra-m.ru/2201/2201136/cover/2201136.jpg", "Обложка")</f>
        <v>Обложка</v>
      </c>
      <c r="V379" s="24" t="str">
        <f>HYPERLINK("https://znanium.ru/catalog/product/2136720", "Ознакомиться")</f>
        <v>Ознакомиться</v>
      </c>
      <c r="W379" s="8" t="s">
        <v>2559</v>
      </c>
      <c r="X379" s="6"/>
      <c r="Y379" s="6"/>
      <c r="Z379" s="6" t="s">
        <v>2565</v>
      </c>
      <c r="AA379" s="6" t="s">
        <v>219</v>
      </c>
      <c r="AB379" s="8"/>
    </row>
    <row r="380" spans="1:28" s="4" customFormat="1" ht="51.95" customHeight="1">
      <c r="A380" s="5">
        <v>0</v>
      </c>
      <c r="B380" s="6" t="s">
        <v>2566</v>
      </c>
      <c r="C380" s="13">
        <v>1700</v>
      </c>
      <c r="D380" s="8" t="s">
        <v>2567</v>
      </c>
      <c r="E380" s="8" t="s">
        <v>2568</v>
      </c>
      <c r="F380" s="8" t="s">
        <v>2569</v>
      </c>
      <c r="G380" s="6" t="s">
        <v>89</v>
      </c>
      <c r="H380" s="6" t="s">
        <v>649</v>
      </c>
      <c r="I380" s="8" t="s">
        <v>116</v>
      </c>
      <c r="J380" s="9">
        <v>1</v>
      </c>
      <c r="K380" s="9">
        <v>368</v>
      </c>
      <c r="L380" s="9">
        <v>2024</v>
      </c>
      <c r="M380" s="8" t="s">
        <v>2570</v>
      </c>
      <c r="N380" s="8" t="s">
        <v>79</v>
      </c>
      <c r="O380" s="8" t="s">
        <v>80</v>
      </c>
      <c r="P380" s="6" t="s">
        <v>43</v>
      </c>
      <c r="Q380" s="8" t="s">
        <v>44</v>
      </c>
      <c r="R380" s="10" t="s">
        <v>2571</v>
      </c>
      <c r="S380" s="11" t="s">
        <v>2572</v>
      </c>
      <c r="T380" s="6"/>
      <c r="U380" s="24" t="str">
        <f>HYPERLINK("https://media.infra-m.ru/2096/2096940/cover/2096940.jpg", "Обложка")</f>
        <v>Обложка</v>
      </c>
      <c r="V380" s="24" t="str">
        <f>HYPERLINK("https://znanium.ru/catalog/product/2096940", "Ознакомиться")</f>
        <v>Ознакомиться</v>
      </c>
      <c r="W380" s="8" t="s">
        <v>2573</v>
      </c>
      <c r="X380" s="6"/>
      <c r="Y380" s="6"/>
      <c r="Z380" s="6"/>
      <c r="AA380" s="6" t="s">
        <v>418</v>
      </c>
      <c r="AB380" s="8"/>
    </row>
    <row r="381" spans="1:28" s="4" customFormat="1" ht="51.95" customHeight="1">
      <c r="A381" s="5">
        <v>0</v>
      </c>
      <c r="B381" s="6" t="s">
        <v>2574</v>
      </c>
      <c r="C381" s="13">
        <v>1660</v>
      </c>
      <c r="D381" s="8" t="s">
        <v>2575</v>
      </c>
      <c r="E381" s="8" t="s">
        <v>2576</v>
      </c>
      <c r="F381" s="8" t="s">
        <v>2569</v>
      </c>
      <c r="G381" s="6" t="s">
        <v>89</v>
      </c>
      <c r="H381" s="6" t="s">
        <v>649</v>
      </c>
      <c r="I381" s="8" t="s">
        <v>100</v>
      </c>
      <c r="J381" s="9">
        <v>1</v>
      </c>
      <c r="K381" s="9">
        <v>368</v>
      </c>
      <c r="L381" s="9">
        <v>2023</v>
      </c>
      <c r="M381" s="8" t="s">
        <v>2577</v>
      </c>
      <c r="N381" s="8" t="s">
        <v>79</v>
      </c>
      <c r="O381" s="8" t="s">
        <v>80</v>
      </c>
      <c r="P381" s="6" t="s">
        <v>43</v>
      </c>
      <c r="Q381" s="8" t="s">
        <v>102</v>
      </c>
      <c r="R381" s="10" t="s">
        <v>2578</v>
      </c>
      <c r="S381" s="11" t="s">
        <v>2579</v>
      </c>
      <c r="T381" s="6"/>
      <c r="U381" s="24" t="str">
        <f>HYPERLINK("https://media.infra-m.ru/1912/1912454/cover/1912454.jpg", "Обложка")</f>
        <v>Обложка</v>
      </c>
      <c r="V381" s="24" t="str">
        <f>HYPERLINK("https://znanium.ru/catalog/product/1912454", "Ознакомиться")</f>
        <v>Ознакомиться</v>
      </c>
      <c r="W381" s="8" t="s">
        <v>2573</v>
      </c>
      <c r="X381" s="6"/>
      <c r="Y381" s="6"/>
      <c r="Z381" s="6" t="s">
        <v>104</v>
      </c>
      <c r="AA381" s="6" t="s">
        <v>151</v>
      </c>
      <c r="AB381" s="8"/>
    </row>
    <row r="382" spans="1:28" s="4" customFormat="1" ht="51.95" customHeight="1">
      <c r="A382" s="5">
        <v>0</v>
      </c>
      <c r="B382" s="6" t="s">
        <v>2580</v>
      </c>
      <c r="C382" s="13">
        <v>1520</v>
      </c>
      <c r="D382" s="8" t="s">
        <v>2581</v>
      </c>
      <c r="E382" s="8" t="s">
        <v>2582</v>
      </c>
      <c r="F382" s="8" t="s">
        <v>2569</v>
      </c>
      <c r="G382" s="6" t="s">
        <v>52</v>
      </c>
      <c r="H382" s="6" t="s">
        <v>53</v>
      </c>
      <c r="I382" s="8" t="s">
        <v>90</v>
      </c>
      <c r="J382" s="9">
        <v>1</v>
      </c>
      <c r="K382" s="9">
        <v>325</v>
      </c>
      <c r="L382" s="9">
        <v>2022</v>
      </c>
      <c r="M382" s="8" t="s">
        <v>2583</v>
      </c>
      <c r="N382" s="8" t="s">
        <v>79</v>
      </c>
      <c r="O382" s="8" t="s">
        <v>80</v>
      </c>
      <c r="P382" s="6" t="s">
        <v>43</v>
      </c>
      <c r="Q382" s="8" t="s">
        <v>44</v>
      </c>
      <c r="R382" s="10" t="s">
        <v>2584</v>
      </c>
      <c r="S382" s="11" t="s">
        <v>2585</v>
      </c>
      <c r="T382" s="6" t="s">
        <v>299</v>
      </c>
      <c r="U382" s="24" t="str">
        <f>HYPERLINK("https://media.infra-m.ru/1830/1830834/cover/1830834.jpg", "Обложка")</f>
        <v>Обложка</v>
      </c>
      <c r="V382" s="24" t="str">
        <f>HYPERLINK("https://znanium.ru/catalog/product/1830834", "Ознакомиться")</f>
        <v>Ознакомиться</v>
      </c>
      <c r="W382" s="8" t="s">
        <v>2573</v>
      </c>
      <c r="X382" s="6"/>
      <c r="Y382" s="6"/>
      <c r="Z382" s="6"/>
      <c r="AA382" s="6" t="s">
        <v>235</v>
      </c>
      <c r="AB382" s="8"/>
    </row>
    <row r="383" spans="1:28" s="4" customFormat="1" ht="51.95" customHeight="1">
      <c r="A383" s="5">
        <v>0</v>
      </c>
      <c r="B383" s="6" t="s">
        <v>2586</v>
      </c>
      <c r="C383" s="13">
        <v>1100</v>
      </c>
      <c r="D383" s="8" t="s">
        <v>2587</v>
      </c>
      <c r="E383" s="8" t="s">
        <v>2588</v>
      </c>
      <c r="F383" s="8" t="s">
        <v>2569</v>
      </c>
      <c r="G383" s="6" t="s">
        <v>89</v>
      </c>
      <c r="H383" s="6" t="s">
        <v>53</v>
      </c>
      <c r="I383" s="8" t="s">
        <v>116</v>
      </c>
      <c r="J383" s="9">
        <v>1</v>
      </c>
      <c r="K383" s="9">
        <v>235</v>
      </c>
      <c r="L383" s="9">
        <v>2024</v>
      </c>
      <c r="M383" s="8" t="s">
        <v>2589</v>
      </c>
      <c r="N383" s="8" t="s">
        <v>79</v>
      </c>
      <c r="O383" s="8" t="s">
        <v>80</v>
      </c>
      <c r="P383" s="6" t="s">
        <v>43</v>
      </c>
      <c r="Q383" s="8" t="s">
        <v>44</v>
      </c>
      <c r="R383" s="10" t="s">
        <v>2590</v>
      </c>
      <c r="S383" s="11" t="s">
        <v>2591</v>
      </c>
      <c r="T383" s="6" t="s">
        <v>299</v>
      </c>
      <c r="U383" s="24" t="str">
        <f>HYPERLINK("https://media.infra-m.ru/2139/2139860/cover/2139860.jpg", "Обложка")</f>
        <v>Обложка</v>
      </c>
      <c r="V383" s="24" t="str">
        <f>HYPERLINK("https://znanium.ru/catalog/product/2139860", "Ознакомиться")</f>
        <v>Ознакомиться</v>
      </c>
      <c r="W383" s="8" t="s">
        <v>2573</v>
      </c>
      <c r="X383" s="6"/>
      <c r="Y383" s="6"/>
      <c r="Z383" s="6"/>
      <c r="AA383" s="6" t="s">
        <v>258</v>
      </c>
      <c r="AB383" s="8"/>
    </row>
    <row r="384" spans="1:28" s="4" customFormat="1" ht="51.95" customHeight="1">
      <c r="A384" s="5">
        <v>0</v>
      </c>
      <c r="B384" s="6" t="s">
        <v>2592</v>
      </c>
      <c r="C384" s="13">
        <v>1090</v>
      </c>
      <c r="D384" s="8" t="s">
        <v>2593</v>
      </c>
      <c r="E384" s="8" t="s">
        <v>2588</v>
      </c>
      <c r="F384" s="8" t="s">
        <v>2569</v>
      </c>
      <c r="G384" s="6" t="s">
        <v>89</v>
      </c>
      <c r="H384" s="6" t="s">
        <v>53</v>
      </c>
      <c r="I384" s="8" t="s">
        <v>100</v>
      </c>
      <c r="J384" s="9">
        <v>1</v>
      </c>
      <c r="K384" s="9">
        <v>235</v>
      </c>
      <c r="L384" s="9">
        <v>2023</v>
      </c>
      <c r="M384" s="8" t="s">
        <v>2594</v>
      </c>
      <c r="N384" s="8" t="s">
        <v>79</v>
      </c>
      <c r="O384" s="8" t="s">
        <v>80</v>
      </c>
      <c r="P384" s="6" t="s">
        <v>43</v>
      </c>
      <c r="Q384" s="8" t="s">
        <v>102</v>
      </c>
      <c r="R384" s="10" t="s">
        <v>2595</v>
      </c>
      <c r="S384" s="11" t="s">
        <v>2596</v>
      </c>
      <c r="T384" s="6" t="s">
        <v>299</v>
      </c>
      <c r="U384" s="24" t="str">
        <f>HYPERLINK("https://media.infra-m.ru/2111/2111334/cover/2111334.jpg", "Обложка")</f>
        <v>Обложка</v>
      </c>
      <c r="V384" s="24" t="str">
        <f>HYPERLINK("https://znanium.ru/catalog/product/2111334", "Ознакомиться")</f>
        <v>Ознакомиться</v>
      </c>
      <c r="W384" s="8" t="s">
        <v>2573</v>
      </c>
      <c r="X384" s="6"/>
      <c r="Y384" s="6"/>
      <c r="Z384" s="6" t="s">
        <v>104</v>
      </c>
      <c r="AA384" s="6" t="s">
        <v>793</v>
      </c>
      <c r="AB384" s="8"/>
    </row>
    <row r="385" spans="1:28" s="4" customFormat="1" ht="51.95" customHeight="1">
      <c r="A385" s="5">
        <v>0</v>
      </c>
      <c r="B385" s="6" t="s">
        <v>2597</v>
      </c>
      <c r="C385" s="13">
        <v>1430</v>
      </c>
      <c r="D385" s="8" t="s">
        <v>2598</v>
      </c>
      <c r="E385" s="8" t="s">
        <v>2599</v>
      </c>
      <c r="F385" s="8" t="s">
        <v>2600</v>
      </c>
      <c r="G385" s="6" t="s">
        <v>89</v>
      </c>
      <c r="H385" s="6" t="s">
        <v>53</v>
      </c>
      <c r="I385" s="8" t="s">
        <v>100</v>
      </c>
      <c r="J385" s="9">
        <v>1</v>
      </c>
      <c r="K385" s="9">
        <v>304</v>
      </c>
      <c r="L385" s="9">
        <v>2024</v>
      </c>
      <c r="M385" s="8" t="s">
        <v>2601</v>
      </c>
      <c r="N385" s="8" t="s">
        <v>79</v>
      </c>
      <c r="O385" s="8" t="s">
        <v>80</v>
      </c>
      <c r="P385" s="6" t="s">
        <v>167</v>
      </c>
      <c r="Q385" s="8" t="s">
        <v>102</v>
      </c>
      <c r="R385" s="10" t="s">
        <v>2602</v>
      </c>
      <c r="S385" s="11" t="s">
        <v>2603</v>
      </c>
      <c r="T385" s="6" t="s">
        <v>299</v>
      </c>
      <c r="U385" s="24" t="str">
        <f>HYPERLINK("https://media.infra-m.ru/2149/2149043/cover/2149043.jpg", "Обложка")</f>
        <v>Обложка</v>
      </c>
      <c r="V385" s="24" t="str">
        <f>HYPERLINK("https://znanium.ru/catalog/product/2149043", "Ознакомиться")</f>
        <v>Ознакомиться</v>
      </c>
      <c r="W385" s="8" t="s">
        <v>2201</v>
      </c>
      <c r="X385" s="6"/>
      <c r="Y385" s="6"/>
      <c r="Z385" s="6" t="s">
        <v>104</v>
      </c>
      <c r="AA385" s="6" t="s">
        <v>151</v>
      </c>
      <c r="AB385" s="8"/>
    </row>
    <row r="386" spans="1:28" s="4" customFormat="1" ht="51.95" customHeight="1">
      <c r="A386" s="5">
        <v>0</v>
      </c>
      <c r="B386" s="6" t="s">
        <v>2604</v>
      </c>
      <c r="C386" s="13">
        <v>1584</v>
      </c>
      <c r="D386" s="8" t="s">
        <v>2605</v>
      </c>
      <c r="E386" s="8" t="s">
        <v>2599</v>
      </c>
      <c r="F386" s="8" t="s">
        <v>2600</v>
      </c>
      <c r="G386" s="6" t="s">
        <v>52</v>
      </c>
      <c r="H386" s="6" t="s">
        <v>53</v>
      </c>
      <c r="I386" s="8" t="s">
        <v>90</v>
      </c>
      <c r="J386" s="9">
        <v>1</v>
      </c>
      <c r="K386" s="9">
        <v>304</v>
      </c>
      <c r="L386" s="9">
        <v>2025</v>
      </c>
      <c r="M386" s="8" t="s">
        <v>2606</v>
      </c>
      <c r="N386" s="8" t="s">
        <v>79</v>
      </c>
      <c r="O386" s="8" t="s">
        <v>80</v>
      </c>
      <c r="P386" s="6" t="s">
        <v>167</v>
      </c>
      <c r="Q386" s="8" t="s">
        <v>44</v>
      </c>
      <c r="R386" s="10" t="s">
        <v>2607</v>
      </c>
      <c r="S386" s="11" t="s">
        <v>2608</v>
      </c>
      <c r="T386" s="6" t="s">
        <v>299</v>
      </c>
      <c r="U386" s="24" t="str">
        <f>HYPERLINK("https://media.infra-m.ru/2196/2196893/cover/2196893.jpg", "Обложка")</f>
        <v>Обложка</v>
      </c>
      <c r="V386" s="24" t="str">
        <f>HYPERLINK("https://znanium.ru/catalog/product/1986697", "Ознакомиться")</f>
        <v>Ознакомиться</v>
      </c>
      <c r="W386" s="8" t="s">
        <v>2201</v>
      </c>
      <c r="X386" s="6"/>
      <c r="Y386" s="6"/>
      <c r="Z386" s="6"/>
      <c r="AA386" s="6" t="s">
        <v>418</v>
      </c>
      <c r="AB386" s="8"/>
    </row>
    <row r="387" spans="1:28" s="4" customFormat="1" ht="51.95" customHeight="1">
      <c r="A387" s="5">
        <v>0</v>
      </c>
      <c r="B387" s="6" t="s">
        <v>2609</v>
      </c>
      <c r="C387" s="13">
        <v>1754</v>
      </c>
      <c r="D387" s="8" t="s">
        <v>2610</v>
      </c>
      <c r="E387" s="8" t="s">
        <v>2611</v>
      </c>
      <c r="F387" s="8" t="s">
        <v>2612</v>
      </c>
      <c r="G387" s="6" t="s">
        <v>52</v>
      </c>
      <c r="H387" s="6" t="s">
        <v>649</v>
      </c>
      <c r="I387" s="8" t="s">
        <v>116</v>
      </c>
      <c r="J387" s="9">
        <v>1</v>
      </c>
      <c r="K387" s="9">
        <v>352</v>
      </c>
      <c r="L387" s="9">
        <v>2025</v>
      </c>
      <c r="M387" s="8" t="s">
        <v>2613</v>
      </c>
      <c r="N387" s="8" t="s">
        <v>79</v>
      </c>
      <c r="O387" s="8" t="s">
        <v>80</v>
      </c>
      <c r="P387" s="6" t="s">
        <v>167</v>
      </c>
      <c r="Q387" s="8" t="s">
        <v>44</v>
      </c>
      <c r="R387" s="10" t="s">
        <v>2614</v>
      </c>
      <c r="S387" s="11" t="s">
        <v>2615</v>
      </c>
      <c r="T387" s="6"/>
      <c r="U387" s="24" t="str">
        <f>HYPERLINK("https://media.infra-m.ru/2162/2162084/cover/2162084.jpg", "Обложка")</f>
        <v>Обложка</v>
      </c>
      <c r="V387" s="24" t="str">
        <f>HYPERLINK("https://znanium.ru/catalog/product/2162084", "Ознакомиться")</f>
        <v>Ознакомиться</v>
      </c>
      <c r="W387" s="8" t="s">
        <v>399</v>
      </c>
      <c r="X387" s="6"/>
      <c r="Y387" s="6"/>
      <c r="Z387" s="6"/>
      <c r="AA387" s="6" t="s">
        <v>663</v>
      </c>
      <c r="AB387" s="8"/>
    </row>
    <row r="388" spans="1:28" s="4" customFormat="1" ht="51.95" customHeight="1">
      <c r="A388" s="5">
        <v>0</v>
      </c>
      <c r="B388" s="6" t="s">
        <v>2616</v>
      </c>
      <c r="C388" s="13">
        <v>1280</v>
      </c>
      <c r="D388" s="8" t="s">
        <v>2617</v>
      </c>
      <c r="E388" s="8" t="s">
        <v>2599</v>
      </c>
      <c r="F388" s="8" t="s">
        <v>2618</v>
      </c>
      <c r="G388" s="6" t="s">
        <v>89</v>
      </c>
      <c r="H388" s="6" t="s">
        <v>649</v>
      </c>
      <c r="I388" s="8" t="s">
        <v>116</v>
      </c>
      <c r="J388" s="9">
        <v>1</v>
      </c>
      <c r="K388" s="9">
        <v>271</v>
      </c>
      <c r="L388" s="9">
        <v>2024</v>
      </c>
      <c r="M388" s="8" t="s">
        <v>2619</v>
      </c>
      <c r="N388" s="8" t="s">
        <v>79</v>
      </c>
      <c r="O388" s="8" t="s">
        <v>80</v>
      </c>
      <c r="P388" s="6" t="s">
        <v>167</v>
      </c>
      <c r="Q388" s="8" t="s">
        <v>44</v>
      </c>
      <c r="R388" s="10" t="s">
        <v>2620</v>
      </c>
      <c r="S388" s="11" t="s">
        <v>2621</v>
      </c>
      <c r="T388" s="6"/>
      <c r="U388" s="24" t="str">
        <f>HYPERLINK("https://media.infra-m.ru/2138/2138458/cover/2138458.jpg", "Обложка")</f>
        <v>Обложка</v>
      </c>
      <c r="V388" s="24" t="str">
        <f>HYPERLINK("https://znanium.ru/catalog/product/2138458", "Ознакомиться")</f>
        <v>Ознакомиться</v>
      </c>
      <c r="W388" s="8" t="s">
        <v>399</v>
      </c>
      <c r="X388" s="6"/>
      <c r="Y388" s="6"/>
      <c r="Z388" s="6"/>
      <c r="AA388" s="6" t="s">
        <v>2217</v>
      </c>
      <c r="AB388" s="8"/>
    </row>
    <row r="389" spans="1:28" s="4" customFormat="1" ht="51.95" customHeight="1">
      <c r="A389" s="5">
        <v>0</v>
      </c>
      <c r="B389" s="6" t="s">
        <v>2622</v>
      </c>
      <c r="C389" s="13">
        <v>1030</v>
      </c>
      <c r="D389" s="8" t="s">
        <v>2623</v>
      </c>
      <c r="E389" s="8" t="s">
        <v>2599</v>
      </c>
      <c r="F389" s="8" t="s">
        <v>2624</v>
      </c>
      <c r="G389" s="6" t="s">
        <v>52</v>
      </c>
      <c r="H389" s="6" t="s">
        <v>53</v>
      </c>
      <c r="I389" s="8" t="s">
        <v>116</v>
      </c>
      <c r="J389" s="9">
        <v>1</v>
      </c>
      <c r="K389" s="9">
        <v>202</v>
      </c>
      <c r="L389" s="9">
        <v>2025</v>
      </c>
      <c r="M389" s="8" t="s">
        <v>2625</v>
      </c>
      <c r="N389" s="8" t="s">
        <v>79</v>
      </c>
      <c r="O389" s="8" t="s">
        <v>80</v>
      </c>
      <c r="P389" s="6" t="s">
        <v>43</v>
      </c>
      <c r="Q389" s="8" t="s">
        <v>58</v>
      </c>
      <c r="R389" s="10" t="s">
        <v>2626</v>
      </c>
      <c r="S389" s="11"/>
      <c r="T389" s="6"/>
      <c r="U389" s="24" t="str">
        <f>HYPERLINK("https://media.infra-m.ru/2169/2169541/cover/2169541.jpg", "Обложка")</f>
        <v>Обложка</v>
      </c>
      <c r="V389" s="24" t="str">
        <f>HYPERLINK("https://znanium.ru/catalog/product/2169541", "Ознакомиться")</f>
        <v>Ознакомиться</v>
      </c>
      <c r="W389" s="8" t="s">
        <v>46</v>
      </c>
      <c r="X389" s="6" t="s">
        <v>785</v>
      </c>
      <c r="Y389" s="6"/>
      <c r="Z389" s="6" t="s">
        <v>2627</v>
      </c>
      <c r="AA389" s="6" t="s">
        <v>61</v>
      </c>
      <c r="AB389" s="8"/>
    </row>
    <row r="390" spans="1:28" s="4" customFormat="1" ht="51.95" customHeight="1">
      <c r="A390" s="5">
        <v>0</v>
      </c>
      <c r="B390" s="6" t="s">
        <v>2628</v>
      </c>
      <c r="C390" s="13">
        <v>1050</v>
      </c>
      <c r="D390" s="8" t="s">
        <v>2629</v>
      </c>
      <c r="E390" s="8" t="s">
        <v>2599</v>
      </c>
      <c r="F390" s="8" t="s">
        <v>2624</v>
      </c>
      <c r="G390" s="6" t="s">
        <v>52</v>
      </c>
      <c r="H390" s="6" t="s">
        <v>53</v>
      </c>
      <c r="I390" s="8" t="s">
        <v>100</v>
      </c>
      <c r="J390" s="9">
        <v>1</v>
      </c>
      <c r="K390" s="9">
        <v>202</v>
      </c>
      <c r="L390" s="9">
        <v>2025</v>
      </c>
      <c r="M390" s="8" t="s">
        <v>2630</v>
      </c>
      <c r="N390" s="8" t="s">
        <v>79</v>
      </c>
      <c r="O390" s="8" t="s">
        <v>80</v>
      </c>
      <c r="P390" s="6" t="s">
        <v>43</v>
      </c>
      <c r="Q390" s="8" t="s">
        <v>102</v>
      </c>
      <c r="R390" s="10" t="s">
        <v>2631</v>
      </c>
      <c r="S390" s="11"/>
      <c r="T390" s="6"/>
      <c r="U390" s="24" t="str">
        <f>HYPERLINK("https://media.infra-m.ru/1171/1171948/cover/1171948.jpg", "Обложка")</f>
        <v>Обложка</v>
      </c>
      <c r="V390" s="24" t="str">
        <f>HYPERLINK("https://znanium.ru/catalog/product/1171948", "Ознакомиться")</f>
        <v>Ознакомиться</v>
      </c>
      <c r="W390" s="8" t="s">
        <v>46</v>
      </c>
      <c r="X390" s="6" t="s">
        <v>548</v>
      </c>
      <c r="Y390" s="6"/>
      <c r="Z390" s="6"/>
      <c r="AA390" s="6" t="s">
        <v>61</v>
      </c>
      <c r="AB390" s="8"/>
    </row>
    <row r="391" spans="1:28" s="4" customFormat="1" ht="51.95" customHeight="1">
      <c r="A391" s="5">
        <v>0</v>
      </c>
      <c r="B391" s="6" t="s">
        <v>2632</v>
      </c>
      <c r="C391" s="13">
        <v>1994</v>
      </c>
      <c r="D391" s="8" t="s">
        <v>2633</v>
      </c>
      <c r="E391" s="8" t="s">
        <v>2634</v>
      </c>
      <c r="F391" s="8" t="s">
        <v>2635</v>
      </c>
      <c r="G391" s="6" t="s">
        <v>89</v>
      </c>
      <c r="H391" s="6" t="s">
        <v>39</v>
      </c>
      <c r="I391" s="8" t="s">
        <v>100</v>
      </c>
      <c r="J391" s="9">
        <v>1</v>
      </c>
      <c r="K391" s="9">
        <v>400</v>
      </c>
      <c r="L391" s="9">
        <v>2025</v>
      </c>
      <c r="M391" s="8" t="s">
        <v>2636</v>
      </c>
      <c r="N391" s="8" t="s">
        <v>79</v>
      </c>
      <c r="O391" s="8" t="s">
        <v>80</v>
      </c>
      <c r="P391" s="6" t="s">
        <v>43</v>
      </c>
      <c r="Q391" s="8" t="s">
        <v>102</v>
      </c>
      <c r="R391" s="10" t="s">
        <v>2637</v>
      </c>
      <c r="S391" s="11" t="s">
        <v>2638</v>
      </c>
      <c r="T391" s="6"/>
      <c r="U391" s="24" t="str">
        <f>HYPERLINK("https://media.infra-m.ru/2169/2169726/cover/2169726.jpg", "Обложка")</f>
        <v>Обложка</v>
      </c>
      <c r="V391" s="24" t="str">
        <f>HYPERLINK("https://znanium.ru/catalog/product/1091314", "Ознакомиться")</f>
        <v>Ознакомиться</v>
      </c>
      <c r="W391" s="8" t="s">
        <v>2201</v>
      </c>
      <c r="X391" s="6"/>
      <c r="Y391" s="6"/>
      <c r="Z391" s="6" t="s">
        <v>104</v>
      </c>
      <c r="AA391" s="6" t="s">
        <v>1402</v>
      </c>
      <c r="AB391" s="8"/>
    </row>
    <row r="392" spans="1:28" s="4" customFormat="1" ht="51.95" customHeight="1">
      <c r="A392" s="5">
        <v>0</v>
      </c>
      <c r="B392" s="6" t="s">
        <v>2639</v>
      </c>
      <c r="C392" s="13">
        <v>2004</v>
      </c>
      <c r="D392" s="8" t="s">
        <v>2640</v>
      </c>
      <c r="E392" s="8" t="s">
        <v>2634</v>
      </c>
      <c r="F392" s="8" t="s">
        <v>2635</v>
      </c>
      <c r="G392" s="6" t="s">
        <v>89</v>
      </c>
      <c r="H392" s="6" t="s">
        <v>39</v>
      </c>
      <c r="I392" s="8" t="s">
        <v>90</v>
      </c>
      <c r="J392" s="9">
        <v>1</v>
      </c>
      <c r="K392" s="9">
        <v>400</v>
      </c>
      <c r="L392" s="9">
        <v>2025</v>
      </c>
      <c r="M392" s="8" t="s">
        <v>2641</v>
      </c>
      <c r="N392" s="8" t="s">
        <v>79</v>
      </c>
      <c r="O392" s="8" t="s">
        <v>80</v>
      </c>
      <c r="P392" s="6" t="s">
        <v>43</v>
      </c>
      <c r="Q392" s="8" t="s">
        <v>44</v>
      </c>
      <c r="R392" s="10" t="s">
        <v>2642</v>
      </c>
      <c r="S392" s="11" t="s">
        <v>2643</v>
      </c>
      <c r="T392" s="6"/>
      <c r="U392" s="24" t="str">
        <f>HYPERLINK("https://media.infra-m.ru/2184/2184957/cover/2184957.jpg", "Обложка")</f>
        <v>Обложка</v>
      </c>
      <c r="V392" s="24" t="str">
        <f>HYPERLINK("https://znanium.ru/catalog/product/1937956", "Ознакомиться")</f>
        <v>Ознакомиться</v>
      </c>
      <c r="W392" s="8" t="s">
        <v>2201</v>
      </c>
      <c r="X392" s="6"/>
      <c r="Y392" s="6"/>
      <c r="Z392" s="6"/>
      <c r="AA392" s="6" t="s">
        <v>2644</v>
      </c>
      <c r="AB392" s="8"/>
    </row>
    <row r="393" spans="1:28" s="4" customFormat="1" ht="51.95" customHeight="1">
      <c r="A393" s="5">
        <v>0</v>
      </c>
      <c r="B393" s="6" t="s">
        <v>2645</v>
      </c>
      <c r="C393" s="13">
        <v>1514.9</v>
      </c>
      <c r="D393" s="8" t="s">
        <v>2646</v>
      </c>
      <c r="E393" s="8" t="s">
        <v>2647</v>
      </c>
      <c r="F393" s="8" t="s">
        <v>2648</v>
      </c>
      <c r="G393" s="6" t="s">
        <v>52</v>
      </c>
      <c r="H393" s="6" t="s">
        <v>649</v>
      </c>
      <c r="I393" s="8" t="s">
        <v>100</v>
      </c>
      <c r="J393" s="9">
        <v>1</v>
      </c>
      <c r="K393" s="9">
        <v>336</v>
      </c>
      <c r="L393" s="9">
        <v>2023</v>
      </c>
      <c r="M393" s="8" t="s">
        <v>2649</v>
      </c>
      <c r="N393" s="8" t="s">
        <v>41</v>
      </c>
      <c r="O393" s="8" t="s">
        <v>1007</v>
      </c>
      <c r="P393" s="6" t="s">
        <v>167</v>
      </c>
      <c r="Q393" s="8" t="s">
        <v>102</v>
      </c>
      <c r="R393" s="10" t="s">
        <v>1656</v>
      </c>
      <c r="S393" s="11" t="s">
        <v>2650</v>
      </c>
      <c r="T393" s="6"/>
      <c r="U393" s="24" t="str">
        <f>HYPERLINK("https://media.infra-m.ru/1918/1918609/cover/1918609.jpg", "Обложка")</f>
        <v>Обложка</v>
      </c>
      <c r="V393" s="24" t="str">
        <f>HYPERLINK("https://znanium.ru/catalog/product/1914538", "Ознакомиться")</f>
        <v>Ознакомиться</v>
      </c>
      <c r="W393" s="8"/>
      <c r="X393" s="6"/>
      <c r="Y393" s="6"/>
      <c r="Z393" s="6"/>
      <c r="AA393" s="6" t="s">
        <v>479</v>
      </c>
      <c r="AB393" s="8"/>
    </row>
    <row r="394" spans="1:28" s="4" customFormat="1" ht="51.95" customHeight="1">
      <c r="A394" s="5">
        <v>0</v>
      </c>
      <c r="B394" s="6" t="s">
        <v>2651</v>
      </c>
      <c r="C394" s="13">
        <v>1524</v>
      </c>
      <c r="D394" s="8" t="s">
        <v>2652</v>
      </c>
      <c r="E394" s="8" t="s">
        <v>2653</v>
      </c>
      <c r="F394" s="8" t="s">
        <v>2654</v>
      </c>
      <c r="G394" s="6" t="s">
        <v>52</v>
      </c>
      <c r="H394" s="6" t="s">
        <v>53</v>
      </c>
      <c r="I394" s="8" t="s">
        <v>223</v>
      </c>
      <c r="J394" s="9">
        <v>1</v>
      </c>
      <c r="K394" s="9">
        <v>303</v>
      </c>
      <c r="L394" s="9">
        <v>2025</v>
      </c>
      <c r="M394" s="8" t="s">
        <v>2655</v>
      </c>
      <c r="N394" s="8" t="s">
        <v>41</v>
      </c>
      <c r="O394" s="8" t="s">
        <v>1007</v>
      </c>
      <c r="P394" s="6" t="s">
        <v>167</v>
      </c>
      <c r="Q394" s="8" t="s">
        <v>102</v>
      </c>
      <c r="R394" s="10" t="s">
        <v>1656</v>
      </c>
      <c r="S394" s="11" t="s">
        <v>2656</v>
      </c>
      <c r="T394" s="6"/>
      <c r="U394" s="24" t="str">
        <f>HYPERLINK("https://media.infra-m.ru/2185/2185900/cover/2185900.jpg", "Обложка")</f>
        <v>Обложка</v>
      </c>
      <c r="V394" s="24" t="str">
        <f>HYPERLINK("https://znanium.ru/catalog/product/1914538", "Ознакомиться")</f>
        <v>Ознакомиться</v>
      </c>
      <c r="W394" s="8" t="s">
        <v>83</v>
      </c>
      <c r="X394" s="6"/>
      <c r="Y394" s="6"/>
      <c r="Z394" s="6"/>
      <c r="AA394" s="6" t="s">
        <v>2657</v>
      </c>
      <c r="AB394" s="8"/>
    </row>
    <row r="395" spans="1:28" s="4" customFormat="1" ht="51.95" customHeight="1">
      <c r="A395" s="5">
        <v>0</v>
      </c>
      <c r="B395" s="6" t="s">
        <v>2658</v>
      </c>
      <c r="C395" s="13">
        <v>2024</v>
      </c>
      <c r="D395" s="8" t="s">
        <v>2659</v>
      </c>
      <c r="E395" s="8" t="s">
        <v>2660</v>
      </c>
      <c r="F395" s="8" t="s">
        <v>2661</v>
      </c>
      <c r="G395" s="6" t="s">
        <v>52</v>
      </c>
      <c r="H395" s="6" t="s">
        <v>952</v>
      </c>
      <c r="I395" s="8" t="s">
        <v>2662</v>
      </c>
      <c r="J395" s="9">
        <v>1</v>
      </c>
      <c r="K395" s="9">
        <v>448</v>
      </c>
      <c r="L395" s="9">
        <v>2023</v>
      </c>
      <c r="M395" s="8" t="s">
        <v>2663</v>
      </c>
      <c r="N395" s="8" t="s">
        <v>41</v>
      </c>
      <c r="O395" s="8" t="s">
        <v>1007</v>
      </c>
      <c r="P395" s="6" t="s">
        <v>43</v>
      </c>
      <c r="Q395" s="8" t="s">
        <v>102</v>
      </c>
      <c r="R395" s="10" t="s">
        <v>2664</v>
      </c>
      <c r="S395" s="11" t="s">
        <v>2665</v>
      </c>
      <c r="T395" s="6"/>
      <c r="U395" s="24" t="str">
        <f>HYPERLINK("https://media.infra-m.ru/1912/1912956/cover/1912956.jpg", "Обложка")</f>
        <v>Обложка</v>
      </c>
      <c r="V395" s="24" t="str">
        <f>HYPERLINK("https://znanium.ru/catalog/product/1209221", "Ознакомиться")</f>
        <v>Ознакомиться</v>
      </c>
      <c r="W395" s="8" t="s">
        <v>2666</v>
      </c>
      <c r="X395" s="6"/>
      <c r="Y395" s="6"/>
      <c r="Z395" s="6"/>
      <c r="AA395" s="6" t="s">
        <v>1135</v>
      </c>
      <c r="AB395" s="8"/>
    </row>
    <row r="396" spans="1:28" s="4" customFormat="1" ht="42" customHeight="1">
      <c r="A396" s="5">
        <v>0</v>
      </c>
      <c r="B396" s="6" t="s">
        <v>2667</v>
      </c>
      <c r="C396" s="7">
        <v>704</v>
      </c>
      <c r="D396" s="8" t="s">
        <v>2668</v>
      </c>
      <c r="E396" s="8" t="s">
        <v>2669</v>
      </c>
      <c r="F396" s="8" t="s">
        <v>2670</v>
      </c>
      <c r="G396" s="6" t="s">
        <v>38</v>
      </c>
      <c r="H396" s="6" t="s">
        <v>184</v>
      </c>
      <c r="I396" s="8" t="s">
        <v>116</v>
      </c>
      <c r="J396" s="9">
        <v>1</v>
      </c>
      <c r="K396" s="9">
        <v>141</v>
      </c>
      <c r="L396" s="9">
        <v>2023</v>
      </c>
      <c r="M396" s="8" t="s">
        <v>2671</v>
      </c>
      <c r="N396" s="8" t="s">
        <v>41</v>
      </c>
      <c r="O396" s="8" t="s">
        <v>1007</v>
      </c>
      <c r="P396" s="6" t="s">
        <v>43</v>
      </c>
      <c r="Q396" s="8" t="s">
        <v>58</v>
      </c>
      <c r="R396" s="10" t="s">
        <v>157</v>
      </c>
      <c r="S396" s="11"/>
      <c r="T396" s="6"/>
      <c r="U396" s="24" t="str">
        <f>HYPERLINK("https://media.infra-m.ru/2125/2125160/cover/2125160.jpg", "Обложка")</f>
        <v>Обложка</v>
      </c>
      <c r="V396" s="12"/>
      <c r="W396" s="8" t="s">
        <v>2672</v>
      </c>
      <c r="X396" s="6"/>
      <c r="Y396" s="6"/>
      <c r="Z396" s="6"/>
      <c r="AA396" s="6" t="s">
        <v>207</v>
      </c>
      <c r="AB396" s="8"/>
    </row>
    <row r="397" spans="1:28" s="4" customFormat="1" ht="51.95" customHeight="1">
      <c r="A397" s="5">
        <v>0</v>
      </c>
      <c r="B397" s="6" t="s">
        <v>2673</v>
      </c>
      <c r="C397" s="13">
        <v>2484</v>
      </c>
      <c r="D397" s="8" t="s">
        <v>2674</v>
      </c>
      <c r="E397" s="8" t="s">
        <v>2675</v>
      </c>
      <c r="F397" s="8" t="s">
        <v>2676</v>
      </c>
      <c r="G397" s="6" t="s">
        <v>52</v>
      </c>
      <c r="H397" s="6" t="s">
        <v>952</v>
      </c>
      <c r="I397" s="8" t="s">
        <v>1171</v>
      </c>
      <c r="J397" s="9">
        <v>1</v>
      </c>
      <c r="K397" s="9">
        <v>480</v>
      </c>
      <c r="L397" s="9">
        <v>2025</v>
      </c>
      <c r="M397" s="8" t="s">
        <v>2677</v>
      </c>
      <c r="N397" s="8" t="s">
        <v>41</v>
      </c>
      <c r="O397" s="8" t="s">
        <v>118</v>
      </c>
      <c r="P397" s="6" t="s">
        <v>167</v>
      </c>
      <c r="Q397" s="8" t="s">
        <v>44</v>
      </c>
      <c r="R397" s="10" t="s">
        <v>2678</v>
      </c>
      <c r="S397" s="11" t="s">
        <v>2679</v>
      </c>
      <c r="T397" s="6"/>
      <c r="U397" s="24" t="str">
        <f>HYPERLINK("https://media.infra-m.ru/2192/2192744/cover/2192744.jpg", "Обложка")</f>
        <v>Обложка</v>
      </c>
      <c r="V397" s="24" t="str">
        <f>HYPERLINK("https://znanium.ru/catalog/product/1949127", "Ознакомиться")</f>
        <v>Ознакомиться</v>
      </c>
      <c r="W397" s="8" t="s">
        <v>189</v>
      </c>
      <c r="X397" s="6"/>
      <c r="Y397" s="6"/>
      <c r="Z397" s="6"/>
      <c r="AA397" s="6" t="s">
        <v>111</v>
      </c>
      <c r="AB397" s="8"/>
    </row>
    <row r="398" spans="1:28" s="4" customFormat="1" ht="51.95" customHeight="1">
      <c r="A398" s="5">
        <v>0</v>
      </c>
      <c r="B398" s="6" t="s">
        <v>2680</v>
      </c>
      <c r="C398" s="13">
        <v>1750</v>
      </c>
      <c r="D398" s="8" t="s">
        <v>2681</v>
      </c>
      <c r="E398" s="8" t="s">
        <v>2675</v>
      </c>
      <c r="F398" s="8" t="s">
        <v>2682</v>
      </c>
      <c r="G398" s="6" t="s">
        <v>89</v>
      </c>
      <c r="H398" s="6" t="s">
        <v>53</v>
      </c>
      <c r="I398" s="8" t="s">
        <v>116</v>
      </c>
      <c r="J398" s="9">
        <v>1</v>
      </c>
      <c r="K398" s="9">
        <v>379</v>
      </c>
      <c r="L398" s="9">
        <v>2024</v>
      </c>
      <c r="M398" s="8" t="s">
        <v>2683</v>
      </c>
      <c r="N398" s="8" t="s">
        <v>41</v>
      </c>
      <c r="O398" s="8" t="s">
        <v>1007</v>
      </c>
      <c r="P398" s="6" t="s">
        <v>167</v>
      </c>
      <c r="Q398" s="8" t="s">
        <v>44</v>
      </c>
      <c r="R398" s="10" t="s">
        <v>2684</v>
      </c>
      <c r="S398" s="11" t="s">
        <v>2685</v>
      </c>
      <c r="T398" s="6"/>
      <c r="U398" s="24" t="str">
        <f>HYPERLINK("https://media.infra-m.ru/2096/2096118/cover/2096118.jpg", "Обложка")</f>
        <v>Обложка</v>
      </c>
      <c r="V398" s="24" t="str">
        <f>HYPERLINK("https://znanium.ru/catalog/product/2096118", "Ознакомиться")</f>
        <v>Ознакомиться</v>
      </c>
      <c r="W398" s="8" t="s">
        <v>1358</v>
      </c>
      <c r="X398" s="6"/>
      <c r="Y398" s="6"/>
      <c r="Z398" s="6"/>
      <c r="AA398" s="6" t="s">
        <v>793</v>
      </c>
      <c r="AB398" s="8"/>
    </row>
    <row r="399" spans="1:28" s="4" customFormat="1" ht="51.95" customHeight="1">
      <c r="A399" s="5">
        <v>0</v>
      </c>
      <c r="B399" s="6" t="s">
        <v>2686</v>
      </c>
      <c r="C399" s="7">
        <v>619.9</v>
      </c>
      <c r="D399" s="8" t="s">
        <v>2687</v>
      </c>
      <c r="E399" s="8" t="s">
        <v>2688</v>
      </c>
      <c r="F399" s="8" t="s">
        <v>2689</v>
      </c>
      <c r="G399" s="6" t="s">
        <v>52</v>
      </c>
      <c r="H399" s="6" t="s">
        <v>674</v>
      </c>
      <c r="I399" s="8"/>
      <c r="J399" s="9">
        <v>1</v>
      </c>
      <c r="K399" s="9">
        <v>176</v>
      </c>
      <c r="L399" s="9">
        <v>2018</v>
      </c>
      <c r="M399" s="8" t="s">
        <v>2690</v>
      </c>
      <c r="N399" s="8" t="s">
        <v>41</v>
      </c>
      <c r="O399" s="8" t="s">
        <v>676</v>
      </c>
      <c r="P399" s="6" t="s">
        <v>43</v>
      </c>
      <c r="Q399" s="8" t="s">
        <v>279</v>
      </c>
      <c r="R399" s="10" t="s">
        <v>806</v>
      </c>
      <c r="S399" s="11"/>
      <c r="T399" s="6"/>
      <c r="U399" s="24" t="str">
        <f>HYPERLINK("https://media.infra-m.ru/0968/0968405/cover/968405.jpg", "Обложка")</f>
        <v>Обложка</v>
      </c>
      <c r="V399" s="24" t="str">
        <f>HYPERLINK("https://znanium.ru/catalog/product/1693531", "Ознакомиться")</f>
        <v>Ознакомиться</v>
      </c>
      <c r="W399" s="8" t="s">
        <v>792</v>
      </c>
      <c r="X399" s="6"/>
      <c r="Y399" s="6"/>
      <c r="Z399" s="6"/>
      <c r="AA399" s="6" t="s">
        <v>151</v>
      </c>
      <c r="AB399" s="8"/>
    </row>
    <row r="400" spans="1:28" s="4" customFormat="1" ht="51.95" customHeight="1">
      <c r="A400" s="5">
        <v>0</v>
      </c>
      <c r="B400" s="6" t="s">
        <v>2691</v>
      </c>
      <c r="C400" s="7">
        <v>904</v>
      </c>
      <c r="D400" s="8" t="s">
        <v>2692</v>
      </c>
      <c r="E400" s="8" t="s">
        <v>2693</v>
      </c>
      <c r="F400" s="8" t="s">
        <v>2689</v>
      </c>
      <c r="G400" s="6" t="s">
        <v>89</v>
      </c>
      <c r="H400" s="6" t="s">
        <v>674</v>
      </c>
      <c r="I400" s="8"/>
      <c r="J400" s="9">
        <v>1</v>
      </c>
      <c r="K400" s="9">
        <v>192</v>
      </c>
      <c r="L400" s="9">
        <v>2024</v>
      </c>
      <c r="M400" s="8" t="s">
        <v>2694</v>
      </c>
      <c r="N400" s="8" t="s">
        <v>41</v>
      </c>
      <c r="O400" s="8" t="s">
        <v>676</v>
      </c>
      <c r="P400" s="6" t="s">
        <v>43</v>
      </c>
      <c r="Q400" s="8" t="s">
        <v>279</v>
      </c>
      <c r="R400" s="10" t="s">
        <v>806</v>
      </c>
      <c r="S400" s="11"/>
      <c r="T400" s="6"/>
      <c r="U400" s="24" t="str">
        <f>HYPERLINK("https://media.infra-m.ru/2093/2093914/cover/2093914.jpg", "Обложка")</f>
        <v>Обложка</v>
      </c>
      <c r="V400" s="24" t="str">
        <f>HYPERLINK("https://znanium.ru/catalog/product/1693531", "Ознакомиться")</f>
        <v>Ознакомиться</v>
      </c>
      <c r="W400" s="8" t="s">
        <v>792</v>
      </c>
      <c r="X400" s="6"/>
      <c r="Y400" s="6"/>
      <c r="Z400" s="6"/>
      <c r="AA400" s="6" t="s">
        <v>513</v>
      </c>
      <c r="AB400" s="8"/>
    </row>
    <row r="401" spans="1:28" s="4" customFormat="1" ht="42" customHeight="1">
      <c r="A401" s="5">
        <v>0</v>
      </c>
      <c r="B401" s="6" t="s">
        <v>2695</v>
      </c>
      <c r="C401" s="13">
        <v>1480</v>
      </c>
      <c r="D401" s="8" t="s">
        <v>2696</v>
      </c>
      <c r="E401" s="8" t="s">
        <v>2697</v>
      </c>
      <c r="F401" s="8" t="s">
        <v>2698</v>
      </c>
      <c r="G401" s="6" t="s">
        <v>89</v>
      </c>
      <c r="H401" s="6" t="s">
        <v>438</v>
      </c>
      <c r="I401" s="8" t="s">
        <v>2699</v>
      </c>
      <c r="J401" s="9">
        <v>1</v>
      </c>
      <c r="K401" s="9">
        <v>320</v>
      </c>
      <c r="L401" s="9">
        <v>2024</v>
      </c>
      <c r="M401" s="8" t="s">
        <v>2700</v>
      </c>
      <c r="N401" s="8" t="s">
        <v>41</v>
      </c>
      <c r="O401" s="8" t="s">
        <v>118</v>
      </c>
      <c r="P401" s="6" t="s">
        <v>43</v>
      </c>
      <c r="Q401" s="8" t="s">
        <v>279</v>
      </c>
      <c r="R401" s="10" t="s">
        <v>2701</v>
      </c>
      <c r="S401" s="11"/>
      <c r="T401" s="6"/>
      <c r="U401" s="24" t="str">
        <f>HYPERLINK("https://media.infra-m.ru/2109/2109049/cover/2109049.jpg", "Обложка")</f>
        <v>Обложка</v>
      </c>
      <c r="V401" s="24" t="str">
        <f>HYPERLINK("https://znanium.ru/catalog/product/1489744", "Ознакомиться")</f>
        <v>Ознакомиться</v>
      </c>
      <c r="W401" s="8" t="s">
        <v>2702</v>
      </c>
      <c r="X401" s="6"/>
      <c r="Y401" s="6"/>
      <c r="Z401" s="6"/>
      <c r="AA401" s="6" t="s">
        <v>377</v>
      </c>
      <c r="AB401" s="8"/>
    </row>
    <row r="402" spans="1:28" s="4" customFormat="1" ht="51.95" customHeight="1">
      <c r="A402" s="5">
        <v>0</v>
      </c>
      <c r="B402" s="6" t="s">
        <v>2703</v>
      </c>
      <c r="C402" s="13">
        <v>2260</v>
      </c>
      <c r="D402" s="8" t="s">
        <v>2704</v>
      </c>
      <c r="E402" s="8" t="s">
        <v>2705</v>
      </c>
      <c r="F402" s="8" t="s">
        <v>2706</v>
      </c>
      <c r="G402" s="6" t="s">
        <v>52</v>
      </c>
      <c r="H402" s="6" t="s">
        <v>53</v>
      </c>
      <c r="I402" s="8" t="s">
        <v>90</v>
      </c>
      <c r="J402" s="9">
        <v>1</v>
      </c>
      <c r="K402" s="9">
        <v>502</v>
      </c>
      <c r="L402" s="9">
        <v>2023</v>
      </c>
      <c r="M402" s="8" t="s">
        <v>2707</v>
      </c>
      <c r="N402" s="8" t="s">
        <v>41</v>
      </c>
      <c r="O402" s="8" t="s">
        <v>1007</v>
      </c>
      <c r="P402" s="6" t="s">
        <v>167</v>
      </c>
      <c r="Q402" s="8" t="s">
        <v>44</v>
      </c>
      <c r="R402" s="10" t="s">
        <v>1008</v>
      </c>
      <c r="S402" s="11" t="s">
        <v>406</v>
      </c>
      <c r="T402" s="6" t="s">
        <v>299</v>
      </c>
      <c r="U402" s="24" t="str">
        <f>HYPERLINK("https://media.infra-m.ru/2126/2126511/cover/2126511.jpg", "Обложка")</f>
        <v>Обложка</v>
      </c>
      <c r="V402" s="24" t="str">
        <f>HYPERLINK("https://znanium.ru/catalog/product/2126511", "Ознакомиться")</f>
        <v>Ознакомиться</v>
      </c>
      <c r="W402" s="8" t="s">
        <v>1233</v>
      </c>
      <c r="X402" s="6"/>
      <c r="Y402" s="6"/>
      <c r="Z402" s="6"/>
      <c r="AA402" s="6" t="s">
        <v>442</v>
      </c>
      <c r="AB402" s="8"/>
    </row>
    <row r="403" spans="1:28" s="4" customFormat="1" ht="51.95" customHeight="1">
      <c r="A403" s="5">
        <v>0</v>
      </c>
      <c r="B403" s="6" t="s">
        <v>2708</v>
      </c>
      <c r="C403" s="13">
        <v>2324</v>
      </c>
      <c r="D403" s="8" t="s">
        <v>2709</v>
      </c>
      <c r="E403" s="8" t="s">
        <v>2710</v>
      </c>
      <c r="F403" s="8" t="s">
        <v>2711</v>
      </c>
      <c r="G403" s="6" t="s">
        <v>52</v>
      </c>
      <c r="H403" s="6" t="s">
        <v>649</v>
      </c>
      <c r="I403" s="8" t="s">
        <v>116</v>
      </c>
      <c r="J403" s="9">
        <v>1</v>
      </c>
      <c r="K403" s="9">
        <v>464</v>
      </c>
      <c r="L403" s="9">
        <v>2025</v>
      </c>
      <c r="M403" s="8" t="s">
        <v>2712</v>
      </c>
      <c r="N403" s="8" t="s">
        <v>41</v>
      </c>
      <c r="O403" s="8" t="s">
        <v>1007</v>
      </c>
      <c r="P403" s="6" t="s">
        <v>167</v>
      </c>
      <c r="Q403" s="8" t="s">
        <v>44</v>
      </c>
      <c r="R403" s="10" t="s">
        <v>2713</v>
      </c>
      <c r="S403" s="11" t="s">
        <v>2714</v>
      </c>
      <c r="T403" s="6"/>
      <c r="U403" s="24" t="str">
        <f>HYPERLINK("https://media.infra-m.ru/2161/2161266/cover/2161266.jpg", "Обложка")</f>
        <v>Обложка</v>
      </c>
      <c r="V403" s="24" t="str">
        <f>HYPERLINK("https://znanium.ru/catalog/product/2085056", "Ознакомиться")</f>
        <v>Ознакомиться</v>
      </c>
      <c r="W403" s="8" t="s">
        <v>83</v>
      </c>
      <c r="X403" s="6"/>
      <c r="Y403" s="6"/>
      <c r="Z403" s="6"/>
      <c r="AA403" s="6" t="s">
        <v>84</v>
      </c>
      <c r="AB403" s="8"/>
    </row>
    <row r="404" spans="1:28" s="4" customFormat="1" ht="51.95" customHeight="1">
      <c r="A404" s="5">
        <v>0</v>
      </c>
      <c r="B404" s="6" t="s">
        <v>2715</v>
      </c>
      <c r="C404" s="13">
        <v>2100</v>
      </c>
      <c r="D404" s="8" t="s">
        <v>2716</v>
      </c>
      <c r="E404" s="8" t="s">
        <v>2717</v>
      </c>
      <c r="F404" s="8" t="s">
        <v>2718</v>
      </c>
      <c r="G404" s="6" t="s">
        <v>89</v>
      </c>
      <c r="H404" s="6" t="s">
        <v>952</v>
      </c>
      <c r="I404" s="8"/>
      <c r="J404" s="9">
        <v>1</v>
      </c>
      <c r="K404" s="9">
        <v>592</v>
      </c>
      <c r="L404" s="9">
        <v>2023</v>
      </c>
      <c r="M404" s="8" t="s">
        <v>2719</v>
      </c>
      <c r="N404" s="8" t="s">
        <v>41</v>
      </c>
      <c r="O404" s="8" t="s">
        <v>1007</v>
      </c>
      <c r="P404" s="6" t="s">
        <v>167</v>
      </c>
      <c r="Q404" s="8" t="s">
        <v>44</v>
      </c>
      <c r="R404" s="10" t="s">
        <v>2720</v>
      </c>
      <c r="S404" s="11" t="s">
        <v>2721</v>
      </c>
      <c r="T404" s="6"/>
      <c r="U404" s="24" t="str">
        <f>HYPERLINK("https://media.infra-m.ru/1933/1933181/cover/1933181.jpg", "Обложка")</f>
        <v>Обложка</v>
      </c>
      <c r="V404" s="24" t="str">
        <f>HYPERLINK("https://znanium.ru/catalog/product/1933181", "Ознакомиться")</f>
        <v>Ознакомиться</v>
      </c>
      <c r="W404" s="8" t="s">
        <v>2666</v>
      </c>
      <c r="X404" s="6"/>
      <c r="Y404" s="6"/>
      <c r="Z404" s="6"/>
      <c r="AA404" s="6" t="s">
        <v>663</v>
      </c>
      <c r="AB404" s="8"/>
    </row>
    <row r="405" spans="1:28" s="4" customFormat="1" ht="42" customHeight="1">
      <c r="A405" s="5">
        <v>0</v>
      </c>
      <c r="B405" s="6" t="s">
        <v>2722</v>
      </c>
      <c r="C405" s="13">
        <v>1180</v>
      </c>
      <c r="D405" s="8" t="s">
        <v>2723</v>
      </c>
      <c r="E405" s="8" t="s">
        <v>2724</v>
      </c>
      <c r="F405" s="8" t="s">
        <v>2725</v>
      </c>
      <c r="G405" s="6" t="s">
        <v>52</v>
      </c>
      <c r="H405" s="6" t="s">
        <v>674</v>
      </c>
      <c r="I405" s="8" t="s">
        <v>100</v>
      </c>
      <c r="J405" s="9">
        <v>1</v>
      </c>
      <c r="K405" s="9">
        <v>368</v>
      </c>
      <c r="L405" s="9">
        <v>2018</v>
      </c>
      <c r="M405" s="8" t="s">
        <v>2726</v>
      </c>
      <c r="N405" s="8" t="s">
        <v>41</v>
      </c>
      <c r="O405" s="8" t="s">
        <v>676</v>
      </c>
      <c r="P405" s="6" t="s">
        <v>167</v>
      </c>
      <c r="Q405" s="8" t="s">
        <v>102</v>
      </c>
      <c r="R405" s="10" t="s">
        <v>2727</v>
      </c>
      <c r="S405" s="11"/>
      <c r="T405" s="6"/>
      <c r="U405" s="24" t="str">
        <f>HYPERLINK("https://media.infra-m.ru/0988/0988551/cover/988551.jpg", "Обложка")</f>
        <v>Обложка</v>
      </c>
      <c r="V405" s="24" t="str">
        <f>HYPERLINK("https://znanium.ru/catalog/product/1927297", "Ознакомиться")</f>
        <v>Ознакомиться</v>
      </c>
      <c r="W405" s="8" t="s">
        <v>792</v>
      </c>
      <c r="X405" s="6"/>
      <c r="Y405" s="6"/>
      <c r="Z405" s="6" t="s">
        <v>104</v>
      </c>
      <c r="AA405" s="6" t="s">
        <v>151</v>
      </c>
      <c r="AB405" s="8"/>
    </row>
    <row r="406" spans="1:28" s="4" customFormat="1" ht="42" customHeight="1">
      <c r="A406" s="5">
        <v>0</v>
      </c>
      <c r="B406" s="6" t="s">
        <v>2728</v>
      </c>
      <c r="C406" s="13">
        <v>1684</v>
      </c>
      <c r="D406" s="8" t="s">
        <v>2729</v>
      </c>
      <c r="E406" s="8" t="s">
        <v>2730</v>
      </c>
      <c r="F406" s="8" t="s">
        <v>2725</v>
      </c>
      <c r="G406" s="6" t="s">
        <v>89</v>
      </c>
      <c r="H406" s="6" t="s">
        <v>674</v>
      </c>
      <c r="I406" s="8" t="s">
        <v>100</v>
      </c>
      <c r="J406" s="9">
        <v>1</v>
      </c>
      <c r="K406" s="9">
        <v>336</v>
      </c>
      <c r="L406" s="9">
        <v>2025</v>
      </c>
      <c r="M406" s="8" t="s">
        <v>2731</v>
      </c>
      <c r="N406" s="8" t="s">
        <v>41</v>
      </c>
      <c r="O406" s="8" t="s">
        <v>676</v>
      </c>
      <c r="P406" s="6" t="s">
        <v>167</v>
      </c>
      <c r="Q406" s="8" t="s">
        <v>102</v>
      </c>
      <c r="R406" s="10" t="s">
        <v>2727</v>
      </c>
      <c r="S406" s="11"/>
      <c r="T406" s="6"/>
      <c r="U406" s="24" t="str">
        <f>HYPERLINK("https://media.infra-m.ru/2170/2170387/cover/2170387.jpg", "Обложка")</f>
        <v>Обложка</v>
      </c>
      <c r="V406" s="24" t="str">
        <f>HYPERLINK("https://znanium.ru/catalog/product/1927297", "Ознакомиться")</f>
        <v>Ознакомиться</v>
      </c>
      <c r="W406" s="8" t="s">
        <v>792</v>
      </c>
      <c r="X406" s="6"/>
      <c r="Y406" s="6"/>
      <c r="Z406" s="6" t="s">
        <v>104</v>
      </c>
      <c r="AA406" s="6" t="s">
        <v>95</v>
      </c>
      <c r="AB406" s="8"/>
    </row>
    <row r="407" spans="1:28" s="4" customFormat="1" ht="51.95" customHeight="1">
      <c r="A407" s="5">
        <v>0</v>
      </c>
      <c r="B407" s="6" t="s">
        <v>2732</v>
      </c>
      <c r="C407" s="13">
        <v>1180</v>
      </c>
      <c r="D407" s="8" t="s">
        <v>2733</v>
      </c>
      <c r="E407" s="8" t="s">
        <v>2734</v>
      </c>
      <c r="F407" s="8" t="s">
        <v>2725</v>
      </c>
      <c r="G407" s="6" t="s">
        <v>52</v>
      </c>
      <c r="H407" s="6" t="s">
        <v>674</v>
      </c>
      <c r="I407" s="8"/>
      <c r="J407" s="9">
        <v>1</v>
      </c>
      <c r="K407" s="9">
        <v>368</v>
      </c>
      <c r="L407" s="9">
        <v>2019</v>
      </c>
      <c r="M407" s="8" t="s">
        <v>2735</v>
      </c>
      <c r="N407" s="8" t="s">
        <v>41</v>
      </c>
      <c r="O407" s="8" t="s">
        <v>676</v>
      </c>
      <c r="P407" s="6" t="s">
        <v>167</v>
      </c>
      <c r="Q407" s="8" t="s">
        <v>44</v>
      </c>
      <c r="R407" s="10" t="s">
        <v>2736</v>
      </c>
      <c r="S407" s="11"/>
      <c r="T407" s="6"/>
      <c r="U407" s="24" t="str">
        <f>HYPERLINK("https://media.infra-m.ru/1020/1020224/cover/1020224.jpg", "Обложка")</f>
        <v>Обложка</v>
      </c>
      <c r="V407" s="24" t="str">
        <f>HYPERLINK("https://znanium.ru/catalog/product/1137865", "Ознакомиться")</f>
        <v>Ознакомиться</v>
      </c>
      <c r="W407" s="8" t="s">
        <v>792</v>
      </c>
      <c r="X407" s="6"/>
      <c r="Y407" s="6"/>
      <c r="Z407" s="6"/>
      <c r="AA407" s="6" t="s">
        <v>2001</v>
      </c>
      <c r="AB407" s="8"/>
    </row>
    <row r="408" spans="1:28" s="4" customFormat="1" ht="51.95" customHeight="1">
      <c r="A408" s="5">
        <v>0</v>
      </c>
      <c r="B408" s="6" t="s">
        <v>2737</v>
      </c>
      <c r="C408" s="13">
        <v>1574</v>
      </c>
      <c r="D408" s="8" t="s">
        <v>2738</v>
      </c>
      <c r="E408" s="8" t="s">
        <v>2739</v>
      </c>
      <c r="F408" s="8" t="s">
        <v>2725</v>
      </c>
      <c r="G408" s="6" t="s">
        <v>52</v>
      </c>
      <c r="H408" s="6" t="s">
        <v>674</v>
      </c>
      <c r="I408" s="8"/>
      <c r="J408" s="9">
        <v>1</v>
      </c>
      <c r="K408" s="9">
        <v>336</v>
      </c>
      <c r="L408" s="9">
        <v>2024</v>
      </c>
      <c r="M408" s="8" t="s">
        <v>2740</v>
      </c>
      <c r="N408" s="8" t="s">
        <v>41</v>
      </c>
      <c r="O408" s="8" t="s">
        <v>676</v>
      </c>
      <c r="P408" s="6" t="s">
        <v>167</v>
      </c>
      <c r="Q408" s="8" t="s">
        <v>44</v>
      </c>
      <c r="R408" s="10" t="s">
        <v>2736</v>
      </c>
      <c r="S408" s="11"/>
      <c r="T408" s="6"/>
      <c r="U408" s="24" t="str">
        <f>HYPERLINK("https://media.infra-m.ru/1893/1893957/cover/1893957.jpg", "Обложка")</f>
        <v>Обложка</v>
      </c>
      <c r="V408" s="24" t="str">
        <f>HYPERLINK("https://znanium.ru/catalog/product/1137865", "Ознакомиться")</f>
        <v>Ознакомиться</v>
      </c>
      <c r="W408" s="8" t="s">
        <v>792</v>
      </c>
      <c r="X408" s="6"/>
      <c r="Y408" s="6"/>
      <c r="Z408" s="6"/>
      <c r="AA408" s="6" t="s">
        <v>867</v>
      </c>
      <c r="AB408" s="8"/>
    </row>
    <row r="409" spans="1:28" s="4" customFormat="1" ht="42" customHeight="1">
      <c r="A409" s="5">
        <v>0</v>
      </c>
      <c r="B409" s="6" t="s">
        <v>2741</v>
      </c>
      <c r="C409" s="13">
        <v>1994</v>
      </c>
      <c r="D409" s="8" t="s">
        <v>2742</v>
      </c>
      <c r="E409" s="8" t="s">
        <v>2743</v>
      </c>
      <c r="F409" s="8" t="s">
        <v>2744</v>
      </c>
      <c r="G409" s="6" t="s">
        <v>52</v>
      </c>
      <c r="H409" s="6" t="s">
        <v>674</v>
      </c>
      <c r="I409" s="8"/>
      <c r="J409" s="9">
        <v>1</v>
      </c>
      <c r="K409" s="9">
        <v>384</v>
      </c>
      <c r="L409" s="9">
        <v>2025</v>
      </c>
      <c r="M409" s="8" t="s">
        <v>2745</v>
      </c>
      <c r="N409" s="8" t="s">
        <v>41</v>
      </c>
      <c r="O409" s="8" t="s">
        <v>676</v>
      </c>
      <c r="P409" s="6" t="s">
        <v>167</v>
      </c>
      <c r="Q409" s="8" t="s">
        <v>44</v>
      </c>
      <c r="R409" s="10" t="s">
        <v>791</v>
      </c>
      <c r="S409" s="11"/>
      <c r="T409" s="6"/>
      <c r="U409" s="24" t="str">
        <f>HYPERLINK("https://media.infra-m.ru/2192/2192713/cover/2192713.jpg", "Обложка")</f>
        <v>Обложка</v>
      </c>
      <c r="V409" s="24" t="str">
        <f>HYPERLINK("https://znanium.ru/catalog/product/1405583", "Ознакомиться")</f>
        <v>Ознакомиться</v>
      </c>
      <c r="W409" s="8" t="s">
        <v>792</v>
      </c>
      <c r="X409" s="6"/>
      <c r="Y409" s="6"/>
      <c r="Z409" s="6"/>
      <c r="AA409" s="6" t="s">
        <v>219</v>
      </c>
      <c r="AB409" s="8"/>
    </row>
    <row r="410" spans="1:28" s="4" customFormat="1" ht="51.95" customHeight="1">
      <c r="A410" s="5">
        <v>0</v>
      </c>
      <c r="B410" s="6" t="s">
        <v>2746</v>
      </c>
      <c r="C410" s="13">
        <v>1064</v>
      </c>
      <c r="D410" s="8" t="s">
        <v>2747</v>
      </c>
      <c r="E410" s="8" t="s">
        <v>2748</v>
      </c>
      <c r="F410" s="8" t="s">
        <v>2749</v>
      </c>
      <c r="G410" s="6" t="s">
        <v>89</v>
      </c>
      <c r="H410" s="6" t="s">
        <v>53</v>
      </c>
      <c r="I410" s="8" t="s">
        <v>90</v>
      </c>
      <c r="J410" s="9">
        <v>1</v>
      </c>
      <c r="K410" s="9">
        <v>205</v>
      </c>
      <c r="L410" s="9">
        <v>2025</v>
      </c>
      <c r="M410" s="8" t="s">
        <v>2750</v>
      </c>
      <c r="N410" s="8" t="s">
        <v>79</v>
      </c>
      <c r="O410" s="8" t="s">
        <v>396</v>
      </c>
      <c r="P410" s="6" t="s">
        <v>43</v>
      </c>
      <c r="Q410" s="8" t="s">
        <v>44</v>
      </c>
      <c r="R410" s="10" t="s">
        <v>2751</v>
      </c>
      <c r="S410" s="11" t="s">
        <v>2752</v>
      </c>
      <c r="T410" s="6"/>
      <c r="U410" s="24" t="str">
        <f>HYPERLINK("https://media.infra-m.ru/2202/2202335/cover/2202335.jpg", "Обложка")</f>
        <v>Обложка</v>
      </c>
      <c r="V410" s="24" t="str">
        <f>HYPERLINK("https://znanium.ru/catalog/product/2117623", "Ознакомиться")</f>
        <v>Ознакомиться</v>
      </c>
      <c r="W410" s="8" t="s">
        <v>487</v>
      </c>
      <c r="X410" s="6"/>
      <c r="Y410" s="6"/>
      <c r="Z410" s="6"/>
      <c r="AA410" s="6" t="s">
        <v>235</v>
      </c>
      <c r="AB410" s="8"/>
    </row>
    <row r="411" spans="1:28" s="4" customFormat="1" ht="51.95" customHeight="1">
      <c r="A411" s="5">
        <v>0</v>
      </c>
      <c r="B411" s="6" t="s">
        <v>2753</v>
      </c>
      <c r="C411" s="13">
        <v>1124</v>
      </c>
      <c r="D411" s="8" t="s">
        <v>2754</v>
      </c>
      <c r="E411" s="8" t="s">
        <v>2755</v>
      </c>
      <c r="F411" s="8" t="s">
        <v>2756</v>
      </c>
      <c r="G411" s="6" t="s">
        <v>89</v>
      </c>
      <c r="H411" s="6" t="s">
        <v>184</v>
      </c>
      <c r="I411" s="8" t="s">
        <v>116</v>
      </c>
      <c r="J411" s="9">
        <v>1</v>
      </c>
      <c r="K411" s="9">
        <v>224</v>
      </c>
      <c r="L411" s="9">
        <v>2025</v>
      </c>
      <c r="M411" s="8" t="s">
        <v>2757</v>
      </c>
      <c r="N411" s="8" t="s">
        <v>41</v>
      </c>
      <c r="O411" s="8" t="s">
        <v>129</v>
      </c>
      <c r="P411" s="6" t="s">
        <v>167</v>
      </c>
      <c r="Q411" s="8" t="s">
        <v>58</v>
      </c>
      <c r="R411" s="10" t="s">
        <v>2758</v>
      </c>
      <c r="S411" s="11"/>
      <c r="T411" s="6"/>
      <c r="U411" s="24" t="str">
        <f>HYPERLINK("https://media.infra-m.ru/2159/2159139/cover/2159139.jpg", "Обложка")</f>
        <v>Обложка</v>
      </c>
      <c r="V411" s="24" t="str">
        <f>HYPERLINK("https://znanium.ru/catalog/product/2129962", "Ознакомиться")</f>
        <v>Ознакомиться</v>
      </c>
      <c r="W411" s="8" t="s">
        <v>427</v>
      </c>
      <c r="X411" s="6"/>
      <c r="Y411" s="6"/>
      <c r="Z411" s="6" t="s">
        <v>2627</v>
      </c>
      <c r="AA411" s="6" t="s">
        <v>207</v>
      </c>
      <c r="AB411" s="8"/>
    </row>
    <row r="412" spans="1:28" s="4" customFormat="1" ht="51.95" customHeight="1">
      <c r="A412" s="5">
        <v>0</v>
      </c>
      <c r="B412" s="6" t="s">
        <v>2759</v>
      </c>
      <c r="C412" s="13">
        <v>1200</v>
      </c>
      <c r="D412" s="8" t="s">
        <v>2760</v>
      </c>
      <c r="E412" s="8" t="s">
        <v>2761</v>
      </c>
      <c r="F412" s="8" t="s">
        <v>2762</v>
      </c>
      <c r="G412" s="6" t="s">
        <v>89</v>
      </c>
      <c r="H412" s="6" t="s">
        <v>77</v>
      </c>
      <c r="I412" s="8" t="s">
        <v>116</v>
      </c>
      <c r="J412" s="9">
        <v>1</v>
      </c>
      <c r="K412" s="9">
        <v>251</v>
      </c>
      <c r="L412" s="9">
        <v>2024</v>
      </c>
      <c r="M412" s="8" t="s">
        <v>2763</v>
      </c>
      <c r="N412" s="8" t="s">
        <v>413</v>
      </c>
      <c r="O412" s="8" t="s">
        <v>414</v>
      </c>
      <c r="P412" s="6" t="s">
        <v>167</v>
      </c>
      <c r="Q412" s="8" t="s">
        <v>44</v>
      </c>
      <c r="R412" s="10" t="s">
        <v>2764</v>
      </c>
      <c r="S412" s="11" t="s">
        <v>2765</v>
      </c>
      <c r="T412" s="6"/>
      <c r="U412" s="24" t="str">
        <f>HYPERLINK("https://media.infra-m.ru/2130/2130798/cover/2130798.jpg", "Обложка")</f>
        <v>Обложка</v>
      </c>
      <c r="V412" s="24" t="str">
        <f>HYPERLINK("https://znanium.ru/catalog/product/2130798", "Ознакомиться")</f>
        <v>Ознакомиться</v>
      </c>
      <c r="W412" s="8" t="s">
        <v>2073</v>
      </c>
      <c r="X412" s="6"/>
      <c r="Y412" s="6"/>
      <c r="Z412" s="6"/>
      <c r="AA412" s="6" t="s">
        <v>72</v>
      </c>
      <c r="AB412" s="8"/>
    </row>
    <row r="413" spans="1:28" s="4" customFormat="1" ht="51.95" customHeight="1">
      <c r="A413" s="5">
        <v>0</v>
      </c>
      <c r="B413" s="6" t="s">
        <v>2766</v>
      </c>
      <c r="C413" s="7">
        <v>814</v>
      </c>
      <c r="D413" s="8" t="s">
        <v>2767</v>
      </c>
      <c r="E413" s="8" t="s">
        <v>2768</v>
      </c>
      <c r="F413" s="8" t="s">
        <v>2769</v>
      </c>
      <c r="G413" s="6" t="s">
        <v>38</v>
      </c>
      <c r="H413" s="6" t="s">
        <v>39</v>
      </c>
      <c r="I413" s="8" t="s">
        <v>116</v>
      </c>
      <c r="J413" s="9">
        <v>1</v>
      </c>
      <c r="K413" s="9">
        <v>176</v>
      </c>
      <c r="L413" s="9">
        <v>2024</v>
      </c>
      <c r="M413" s="8" t="s">
        <v>2770</v>
      </c>
      <c r="N413" s="8" t="s">
        <v>413</v>
      </c>
      <c r="O413" s="8" t="s">
        <v>2771</v>
      </c>
      <c r="P413" s="6" t="s">
        <v>43</v>
      </c>
      <c r="Q413" s="8" t="s">
        <v>44</v>
      </c>
      <c r="R413" s="10" t="s">
        <v>2772</v>
      </c>
      <c r="S413" s="11" t="s">
        <v>2773</v>
      </c>
      <c r="T413" s="6"/>
      <c r="U413" s="24" t="str">
        <f>HYPERLINK("https://media.infra-m.ru/2056/2056647/cover/2056647.jpg", "Обложка")</f>
        <v>Обложка</v>
      </c>
      <c r="V413" s="12"/>
      <c r="W413" s="8" t="s">
        <v>2774</v>
      </c>
      <c r="X413" s="6"/>
      <c r="Y413" s="6"/>
      <c r="Z413" s="6"/>
      <c r="AA413" s="6" t="s">
        <v>377</v>
      </c>
      <c r="AB413" s="8"/>
    </row>
    <row r="414" spans="1:28" s="4" customFormat="1" ht="51.95" customHeight="1">
      <c r="A414" s="5">
        <v>0</v>
      </c>
      <c r="B414" s="6" t="s">
        <v>2775</v>
      </c>
      <c r="C414" s="7">
        <v>784.9</v>
      </c>
      <c r="D414" s="8" t="s">
        <v>2776</v>
      </c>
      <c r="E414" s="8" t="s">
        <v>2768</v>
      </c>
      <c r="F414" s="8" t="s">
        <v>2777</v>
      </c>
      <c r="G414" s="6" t="s">
        <v>52</v>
      </c>
      <c r="H414" s="6" t="s">
        <v>39</v>
      </c>
      <c r="I414" s="8" t="s">
        <v>100</v>
      </c>
      <c r="J414" s="9">
        <v>1</v>
      </c>
      <c r="K414" s="9">
        <v>175</v>
      </c>
      <c r="L414" s="9">
        <v>2023</v>
      </c>
      <c r="M414" s="8" t="s">
        <v>2778</v>
      </c>
      <c r="N414" s="8" t="s">
        <v>41</v>
      </c>
      <c r="O414" s="8" t="s">
        <v>278</v>
      </c>
      <c r="P414" s="6" t="s">
        <v>43</v>
      </c>
      <c r="Q414" s="8" t="s">
        <v>102</v>
      </c>
      <c r="R414" s="10" t="s">
        <v>2779</v>
      </c>
      <c r="S414" s="11" t="s">
        <v>2780</v>
      </c>
      <c r="T414" s="6"/>
      <c r="U414" s="24" t="str">
        <f>HYPERLINK("https://media.infra-m.ru/1965/1965748/cover/1965748.jpg", "Обложка")</f>
        <v>Обложка</v>
      </c>
      <c r="V414" s="24" t="str">
        <f>HYPERLINK("https://znanium.ru/catalog/product/1668634", "Ознакомиться")</f>
        <v>Ознакомиться</v>
      </c>
      <c r="W414" s="8" t="s">
        <v>2774</v>
      </c>
      <c r="X414" s="6"/>
      <c r="Y414" s="6"/>
      <c r="Z414" s="6" t="s">
        <v>104</v>
      </c>
      <c r="AA414" s="6" t="s">
        <v>1374</v>
      </c>
      <c r="AB414" s="8"/>
    </row>
    <row r="415" spans="1:28" s="4" customFormat="1" ht="42" customHeight="1">
      <c r="A415" s="5">
        <v>0</v>
      </c>
      <c r="B415" s="6" t="s">
        <v>2781</v>
      </c>
      <c r="C415" s="13">
        <v>1354</v>
      </c>
      <c r="D415" s="8" t="s">
        <v>2782</v>
      </c>
      <c r="E415" s="8" t="s">
        <v>2783</v>
      </c>
      <c r="F415" s="8" t="s">
        <v>797</v>
      </c>
      <c r="G415" s="6" t="s">
        <v>89</v>
      </c>
      <c r="H415" s="6" t="s">
        <v>77</v>
      </c>
      <c r="I415" s="8"/>
      <c r="J415" s="9">
        <v>1</v>
      </c>
      <c r="K415" s="9">
        <v>272</v>
      </c>
      <c r="L415" s="9">
        <v>2024</v>
      </c>
      <c r="M415" s="8" t="s">
        <v>2784</v>
      </c>
      <c r="N415" s="8" t="s">
        <v>79</v>
      </c>
      <c r="O415" s="8" t="s">
        <v>570</v>
      </c>
      <c r="P415" s="6" t="s">
        <v>43</v>
      </c>
      <c r="Q415" s="8" t="s">
        <v>102</v>
      </c>
      <c r="R415" s="10" t="s">
        <v>2785</v>
      </c>
      <c r="S415" s="11"/>
      <c r="T415" s="6"/>
      <c r="U415" s="24" t="str">
        <f>HYPERLINK("https://media.infra-m.ru/2079/2079926/cover/2079926.jpg", "Обложка")</f>
        <v>Обложка</v>
      </c>
      <c r="V415" s="24" t="str">
        <f>HYPERLINK("https://znanium.ru/catalog/product/2158499", "Ознакомиться")</f>
        <v>Ознакомиться</v>
      </c>
      <c r="W415" s="8" t="s">
        <v>800</v>
      </c>
      <c r="X415" s="6"/>
      <c r="Y415" s="6"/>
      <c r="Z415" s="6"/>
      <c r="AA415" s="6" t="s">
        <v>418</v>
      </c>
      <c r="AB415" s="8"/>
    </row>
    <row r="416" spans="1:28" s="4" customFormat="1" ht="42" customHeight="1">
      <c r="A416" s="5">
        <v>0</v>
      </c>
      <c r="B416" s="6" t="s">
        <v>2786</v>
      </c>
      <c r="C416" s="13">
        <v>1630</v>
      </c>
      <c r="D416" s="8" t="s">
        <v>2787</v>
      </c>
      <c r="E416" s="8" t="s">
        <v>2788</v>
      </c>
      <c r="F416" s="8" t="s">
        <v>797</v>
      </c>
      <c r="G416" s="6" t="s">
        <v>89</v>
      </c>
      <c r="H416" s="6" t="s">
        <v>53</v>
      </c>
      <c r="I416" s="8" t="s">
        <v>100</v>
      </c>
      <c r="J416" s="9">
        <v>1</v>
      </c>
      <c r="K416" s="9">
        <v>320</v>
      </c>
      <c r="L416" s="9">
        <v>2025</v>
      </c>
      <c r="M416" s="8" t="s">
        <v>2789</v>
      </c>
      <c r="N416" s="8" t="s">
        <v>79</v>
      </c>
      <c r="O416" s="8" t="s">
        <v>570</v>
      </c>
      <c r="P416" s="6" t="s">
        <v>43</v>
      </c>
      <c r="Q416" s="8" t="s">
        <v>102</v>
      </c>
      <c r="R416" s="10" t="s">
        <v>2785</v>
      </c>
      <c r="S416" s="11"/>
      <c r="T416" s="6"/>
      <c r="U416" s="24" t="str">
        <f>HYPERLINK("https://media.infra-m.ru/2158/2158499/cover/2158499.jpg", "Обложка")</f>
        <v>Обложка</v>
      </c>
      <c r="V416" s="24" t="str">
        <f>HYPERLINK("https://znanium.ru/catalog/product/2158499", "Ознакомиться")</f>
        <v>Ознакомиться</v>
      </c>
      <c r="W416" s="8" t="s">
        <v>800</v>
      </c>
      <c r="X416" s="6" t="s">
        <v>2790</v>
      </c>
      <c r="Y416" s="6"/>
      <c r="Z416" s="6"/>
      <c r="AA416" s="6" t="s">
        <v>549</v>
      </c>
      <c r="AB416" s="8"/>
    </row>
    <row r="417" spans="1:28" s="4" customFormat="1" ht="51.95" customHeight="1">
      <c r="A417" s="5">
        <v>0</v>
      </c>
      <c r="B417" s="6" t="s">
        <v>2791</v>
      </c>
      <c r="C417" s="13">
        <v>1160</v>
      </c>
      <c r="D417" s="8" t="s">
        <v>2792</v>
      </c>
      <c r="E417" s="8" t="s">
        <v>2793</v>
      </c>
      <c r="F417" s="8" t="s">
        <v>2794</v>
      </c>
      <c r="G417" s="6" t="s">
        <v>89</v>
      </c>
      <c r="H417" s="6" t="s">
        <v>184</v>
      </c>
      <c r="I417" s="8"/>
      <c r="J417" s="9">
        <v>1</v>
      </c>
      <c r="K417" s="9">
        <v>251</v>
      </c>
      <c r="L417" s="9">
        <v>2024</v>
      </c>
      <c r="M417" s="8" t="s">
        <v>2795</v>
      </c>
      <c r="N417" s="8" t="s">
        <v>413</v>
      </c>
      <c r="O417" s="8" t="s">
        <v>414</v>
      </c>
      <c r="P417" s="6" t="s">
        <v>43</v>
      </c>
      <c r="Q417" s="8" t="s">
        <v>44</v>
      </c>
      <c r="R417" s="10" t="s">
        <v>2796</v>
      </c>
      <c r="S417" s="11" t="s">
        <v>2797</v>
      </c>
      <c r="T417" s="6"/>
      <c r="U417" s="24" t="str">
        <f>HYPERLINK("https://media.infra-m.ru/2122/2122055/cover/2122055.jpg", "Обложка")</f>
        <v>Обложка</v>
      </c>
      <c r="V417" s="24" t="str">
        <f>HYPERLINK("https://znanium.ru/catalog/product/2122055", "Ознакомиться")</f>
        <v>Ознакомиться</v>
      </c>
      <c r="W417" s="8" t="s">
        <v>913</v>
      </c>
      <c r="X417" s="6"/>
      <c r="Y417" s="6"/>
      <c r="Z417" s="6"/>
      <c r="AA417" s="6" t="s">
        <v>418</v>
      </c>
      <c r="AB417" s="8"/>
    </row>
    <row r="418" spans="1:28" s="4" customFormat="1" ht="51.95" customHeight="1">
      <c r="A418" s="5">
        <v>0</v>
      </c>
      <c r="B418" s="6" t="s">
        <v>2798</v>
      </c>
      <c r="C418" s="7">
        <v>944</v>
      </c>
      <c r="D418" s="8" t="s">
        <v>2799</v>
      </c>
      <c r="E418" s="8" t="s">
        <v>2800</v>
      </c>
      <c r="F418" s="8" t="s">
        <v>2801</v>
      </c>
      <c r="G418" s="6" t="s">
        <v>52</v>
      </c>
      <c r="H418" s="6" t="s">
        <v>39</v>
      </c>
      <c r="I418" s="8" t="s">
        <v>100</v>
      </c>
      <c r="J418" s="9">
        <v>1</v>
      </c>
      <c r="K418" s="9">
        <v>207</v>
      </c>
      <c r="L418" s="9">
        <v>2023</v>
      </c>
      <c r="M418" s="8" t="s">
        <v>2802</v>
      </c>
      <c r="N418" s="8" t="s">
        <v>79</v>
      </c>
      <c r="O418" s="8" t="s">
        <v>396</v>
      </c>
      <c r="P418" s="6" t="s">
        <v>43</v>
      </c>
      <c r="Q418" s="8" t="s">
        <v>102</v>
      </c>
      <c r="R418" s="10" t="s">
        <v>2803</v>
      </c>
      <c r="S418" s="11" t="s">
        <v>2804</v>
      </c>
      <c r="T418" s="6"/>
      <c r="U418" s="24" t="str">
        <f>HYPERLINK("https://media.infra-m.ru/2021/2021414/cover/2021414.jpg", "Обложка")</f>
        <v>Обложка</v>
      </c>
      <c r="V418" s="24" t="str">
        <f>HYPERLINK("https://znanium.ru/catalog/product/960106", "Ознакомиться")</f>
        <v>Ознакомиться</v>
      </c>
      <c r="W418" s="8"/>
      <c r="X418" s="6"/>
      <c r="Y418" s="6"/>
      <c r="Z418" s="6" t="s">
        <v>502</v>
      </c>
      <c r="AA418" s="6" t="s">
        <v>874</v>
      </c>
      <c r="AB418" s="8"/>
    </row>
    <row r="419" spans="1:28" s="4" customFormat="1" ht="51.95" customHeight="1">
      <c r="A419" s="5">
        <v>0</v>
      </c>
      <c r="B419" s="6" t="s">
        <v>2805</v>
      </c>
      <c r="C419" s="13">
        <v>1084</v>
      </c>
      <c r="D419" s="8" t="s">
        <v>2806</v>
      </c>
      <c r="E419" s="8" t="s">
        <v>2800</v>
      </c>
      <c r="F419" s="8" t="s">
        <v>2807</v>
      </c>
      <c r="G419" s="6" t="s">
        <v>89</v>
      </c>
      <c r="H419" s="6" t="s">
        <v>39</v>
      </c>
      <c r="I419" s="8" t="s">
        <v>90</v>
      </c>
      <c r="J419" s="9">
        <v>1</v>
      </c>
      <c r="K419" s="9">
        <v>207</v>
      </c>
      <c r="L419" s="9">
        <v>2025</v>
      </c>
      <c r="M419" s="8" t="s">
        <v>2808</v>
      </c>
      <c r="N419" s="8" t="s">
        <v>79</v>
      </c>
      <c r="O419" s="8" t="s">
        <v>396</v>
      </c>
      <c r="P419" s="6" t="s">
        <v>43</v>
      </c>
      <c r="Q419" s="8" t="s">
        <v>58</v>
      </c>
      <c r="R419" s="10" t="s">
        <v>2809</v>
      </c>
      <c r="S419" s="11" t="s">
        <v>2810</v>
      </c>
      <c r="T419" s="6"/>
      <c r="U419" s="24" t="str">
        <f>HYPERLINK("https://media.infra-m.ru/2202/2202592/cover/2202592.jpg", "Обложка")</f>
        <v>Обложка</v>
      </c>
      <c r="V419" s="24" t="str">
        <f>HYPERLINK("https://znanium.ru/catalog/product/1895509", "Ознакомиться")</f>
        <v>Ознакомиться</v>
      </c>
      <c r="W419" s="8"/>
      <c r="X419" s="6"/>
      <c r="Y419" s="6"/>
      <c r="Z419" s="6"/>
      <c r="AA419" s="6" t="s">
        <v>2001</v>
      </c>
      <c r="AB419" s="8"/>
    </row>
    <row r="420" spans="1:28" s="4" customFormat="1" ht="42" customHeight="1">
      <c r="A420" s="5">
        <v>0</v>
      </c>
      <c r="B420" s="6" t="s">
        <v>2811</v>
      </c>
      <c r="C420" s="13">
        <v>1844</v>
      </c>
      <c r="D420" s="8" t="s">
        <v>2812</v>
      </c>
      <c r="E420" s="8" t="s">
        <v>2813</v>
      </c>
      <c r="F420" s="8" t="s">
        <v>2814</v>
      </c>
      <c r="G420" s="6" t="s">
        <v>52</v>
      </c>
      <c r="H420" s="6" t="s">
        <v>39</v>
      </c>
      <c r="I420" s="8" t="s">
        <v>90</v>
      </c>
      <c r="J420" s="9">
        <v>1</v>
      </c>
      <c r="K420" s="9">
        <v>400</v>
      </c>
      <c r="L420" s="9">
        <v>2024</v>
      </c>
      <c r="M420" s="8" t="s">
        <v>2815</v>
      </c>
      <c r="N420" s="8" t="s">
        <v>413</v>
      </c>
      <c r="O420" s="8" t="s">
        <v>414</v>
      </c>
      <c r="P420" s="6" t="s">
        <v>43</v>
      </c>
      <c r="Q420" s="8" t="s">
        <v>44</v>
      </c>
      <c r="R420" s="10" t="s">
        <v>2816</v>
      </c>
      <c r="S420" s="11"/>
      <c r="T420" s="6"/>
      <c r="U420" s="24" t="str">
        <f>HYPERLINK("https://media.infra-m.ru/2122/2122056/cover/2122056.jpg", "Обложка")</f>
        <v>Обложка</v>
      </c>
      <c r="V420" s="24" t="str">
        <f>HYPERLINK("https://znanium.ru/catalog/product/1037073", "Ознакомиться")</f>
        <v>Ознакомиться</v>
      </c>
      <c r="W420" s="8" t="s">
        <v>2817</v>
      </c>
      <c r="X420" s="6"/>
      <c r="Y420" s="6"/>
      <c r="Z420" s="6"/>
      <c r="AA420" s="6" t="s">
        <v>84</v>
      </c>
      <c r="AB420" s="8"/>
    </row>
    <row r="421" spans="1:28" s="4" customFormat="1" ht="42" customHeight="1">
      <c r="A421" s="5">
        <v>0</v>
      </c>
      <c r="B421" s="6" t="s">
        <v>2818</v>
      </c>
      <c r="C421" s="7">
        <v>780</v>
      </c>
      <c r="D421" s="8" t="s">
        <v>2819</v>
      </c>
      <c r="E421" s="8" t="s">
        <v>2820</v>
      </c>
      <c r="F421" s="8" t="s">
        <v>2756</v>
      </c>
      <c r="G421" s="6" t="s">
        <v>38</v>
      </c>
      <c r="H421" s="6" t="s">
        <v>184</v>
      </c>
      <c r="I421" s="8" t="s">
        <v>185</v>
      </c>
      <c r="J421" s="9">
        <v>1</v>
      </c>
      <c r="K421" s="9">
        <v>150</v>
      </c>
      <c r="L421" s="9">
        <v>2025</v>
      </c>
      <c r="M421" s="8" t="s">
        <v>2821</v>
      </c>
      <c r="N421" s="8" t="s">
        <v>413</v>
      </c>
      <c r="O421" s="8" t="s">
        <v>2771</v>
      </c>
      <c r="P421" s="6" t="s">
        <v>43</v>
      </c>
      <c r="Q421" s="8" t="s">
        <v>102</v>
      </c>
      <c r="R421" s="10" t="s">
        <v>2822</v>
      </c>
      <c r="S421" s="11"/>
      <c r="T421" s="6"/>
      <c r="U421" s="24" t="str">
        <f>HYPERLINK("https://media.infra-m.ru/2177/2177794/cover/2177794.jpg", "Обложка")</f>
        <v>Обложка</v>
      </c>
      <c r="V421" s="24" t="str">
        <f>HYPERLINK("https://znanium.ru/catalog/product/2177794", "Ознакомиться")</f>
        <v>Ознакомиться</v>
      </c>
      <c r="W421" s="8" t="s">
        <v>427</v>
      </c>
      <c r="X421" s="6"/>
      <c r="Y421" s="6"/>
      <c r="Z421" s="6"/>
      <c r="AA421" s="6" t="s">
        <v>258</v>
      </c>
      <c r="AB421" s="8"/>
    </row>
    <row r="422" spans="1:28" s="4" customFormat="1" ht="51.95" customHeight="1">
      <c r="A422" s="5">
        <v>0</v>
      </c>
      <c r="B422" s="6" t="s">
        <v>2823</v>
      </c>
      <c r="C422" s="13">
        <v>1850</v>
      </c>
      <c r="D422" s="8" t="s">
        <v>2824</v>
      </c>
      <c r="E422" s="8" t="s">
        <v>2813</v>
      </c>
      <c r="F422" s="8" t="s">
        <v>2825</v>
      </c>
      <c r="G422" s="6" t="s">
        <v>89</v>
      </c>
      <c r="H422" s="6" t="s">
        <v>53</v>
      </c>
      <c r="I422" s="8" t="s">
        <v>100</v>
      </c>
      <c r="J422" s="9">
        <v>1</v>
      </c>
      <c r="K422" s="9">
        <v>400</v>
      </c>
      <c r="L422" s="9">
        <v>2023</v>
      </c>
      <c r="M422" s="8" t="s">
        <v>2826</v>
      </c>
      <c r="N422" s="8" t="s">
        <v>413</v>
      </c>
      <c r="O422" s="8" t="s">
        <v>2771</v>
      </c>
      <c r="P422" s="6" t="s">
        <v>43</v>
      </c>
      <c r="Q422" s="8" t="s">
        <v>102</v>
      </c>
      <c r="R422" s="10" t="s">
        <v>2822</v>
      </c>
      <c r="S422" s="11" t="s">
        <v>2827</v>
      </c>
      <c r="T422" s="6"/>
      <c r="U422" s="24" t="str">
        <f>HYPERLINK("https://media.infra-m.ru/2016/2016215/cover/2016215.jpg", "Обложка")</f>
        <v>Обложка</v>
      </c>
      <c r="V422" s="24" t="str">
        <f>HYPERLINK("https://znanium.ru/catalog/product/2016215", "Ознакомиться")</f>
        <v>Ознакомиться</v>
      </c>
      <c r="W422" s="8" t="s">
        <v>2817</v>
      </c>
      <c r="X422" s="6"/>
      <c r="Y422" s="6"/>
      <c r="Z422" s="6" t="s">
        <v>104</v>
      </c>
      <c r="AA422" s="6" t="s">
        <v>219</v>
      </c>
      <c r="AB422" s="8"/>
    </row>
    <row r="423" spans="1:28" s="4" customFormat="1" ht="51.95" customHeight="1">
      <c r="A423" s="5">
        <v>0</v>
      </c>
      <c r="B423" s="6" t="s">
        <v>2828</v>
      </c>
      <c r="C423" s="7">
        <v>900</v>
      </c>
      <c r="D423" s="8" t="s">
        <v>2829</v>
      </c>
      <c r="E423" s="8" t="s">
        <v>2830</v>
      </c>
      <c r="F423" s="8" t="s">
        <v>2831</v>
      </c>
      <c r="G423" s="6" t="s">
        <v>52</v>
      </c>
      <c r="H423" s="6" t="s">
        <v>53</v>
      </c>
      <c r="I423" s="8" t="s">
        <v>90</v>
      </c>
      <c r="J423" s="9">
        <v>1</v>
      </c>
      <c r="K423" s="9">
        <v>215</v>
      </c>
      <c r="L423" s="9">
        <v>2022</v>
      </c>
      <c r="M423" s="8" t="s">
        <v>2832</v>
      </c>
      <c r="N423" s="8" t="s">
        <v>997</v>
      </c>
      <c r="O423" s="8" t="s">
        <v>998</v>
      </c>
      <c r="P423" s="6" t="s">
        <v>43</v>
      </c>
      <c r="Q423" s="8" t="s">
        <v>44</v>
      </c>
      <c r="R423" s="10" t="s">
        <v>2833</v>
      </c>
      <c r="S423" s="11" t="s">
        <v>2834</v>
      </c>
      <c r="T423" s="6"/>
      <c r="U423" s="24" t="str">
        <f>HYPERLINK("https://media.infra-m.ru/1072/1072205/cover/1072205.jpg", "Обложка")</f>
        <v>Обложка</v>
      </c>
      <c r="V423" s="24" t="str">
        <f>HYPERLINK("https://znanium.ru/catalog/product/1072205", "Ознакомиться")</f>
        <v>Ознакомиться</v>
      </c>
      <c r="W423" s="8" t="s">
        <v>2835</v>
      </c>
      <c r="X423" s="6"/>
      <c r="Y423" s="6"/>
      <c r="Z423" s="6"/>
      <c r="AA423" s="6" t="s">
        <v>235</v>
      </c>
      <c r="AB423" s="8"/>
    </row>
    <row r="424" spans="1:28" s="4" customFormat="1" ht="42" customHeight="1">
      <c r="A424" s="5">
        <v>0</v>
      </c>
      <c r="B424" s="6" t="s">
        <v>2836</v>
      </c>
      <c r="C424" s="13">
        <v>1844</v>
      </c>
      <c r="D424" s="8" t="s">
        <v>2837</v>
      </c>
      <c r="E424" s="8" t="s">
        <v>2838</v>
      </c>
      <c r="F424" s="8" t="s">
        <v>2839</v>
      </c>
      <c r="G424" s="6" t="s">
        <v>52</v>
      </c>
      <c r="H424" s="6" t="s">
        <v>53</v>
      </c>
      <c r="I424" s="8" t="s">
        <v>90</v>
      </c>
      <c r="J424" s="9">
        <v>1</v>
      </c>
      <c r="K424" s="9">
        <v>400</v>
      </c>
      <c r="L424" s="9">
        <v>2024</v>
      </c>
      <c r="M424" s="8" t="s">
        <v>2840</v>
      </c>
      <c r="N424" s="8" t="s">
        <v>413</v>
      </c>
      <c r="O424" s="8" t="s">
        <v>414</v>
      </c>
      <c r="P424" s="6" t="s">
        <v>167</v>
      </c>
      <c r="Q424" s="8" t="s">
        <v>44</v>
      </c>
      <c r="R424" s="10" t="s">
        <v>2764</v>
      </c>
      <c r="S424" s="11"/>
      <c r="T424" s="6"/>
      <c r="U424" s="24" t="str">
        <f>HYPERLINK("https://media.infra-m.ru/2081/2081664/cover/2081664.jpg", "Обложка")</f>
        <v>Обложка</v>
      </c>
      <c r="V424" s="24" t="str">
        <f>HYPERLINK("https://znanium.ru/catalog/product/1349867", "Ознакомиться")</f>
        <v>Ознакомиться</v>
      </c>
      <c r="W424" s="8" t="s">
        <v>71</v>
      </c>
      <c r="X424" s="6"/>
      <c r="Y424" s="6"/>
      <c r="Z424" s="6"/>
      <c r="AA424" s="6" t="s">
        <v>84</v>
      </c>
      <c r="AB424" s="8"/>
    </row>
    <row r="425" spans="1:28" s="4" customFormat="1" ht="42" customHeight="1">
      <c r="A425" s="5">
        <v>0</v>
      </c>
      <c r="B425" s="6" t="s">
        <v>2841</v>
      </c>
      <c r="C425" s="13">
        <v>1884</v>
      </c>
      <c r="D425" s="8" t="s">
        <v>2842</v>
      </c>
      <c r="E425" s="8" t="s">
        <v>2838</v>
      </c>
      <c r="F425" s="8" t="s">
        <v>2843</v>
      </c>
      <c r="G425" s="6" t="s">
        <v>89</v>
      </c>
      <c r="H425" s="6" t="s">
        <v>438</v>
      </c>
      <c r="I425" s="8"/>
      <c r="J425" s="9">
        <v>1</v>
      </c>
      <c r="K425" s="9">
        <v>400</v>
      </c>
      <c r="L425" s="9">
        <v>2024</v>
      </c>
      <c r="M425" s="8" t="s">
        <v>2844</v>
      </c>
      <c r="N425" s="8" t="s">
        <v>413</v>
      </c>
      <c r="O425" s="8" t="s">
        <v>414</v>
      </c>
      <c r="P425" s="6" t="s">
        <v>167</v>
      </c>
      <c r="Q425" s="8" t="s">
        <v>44</v>
      </c>
      <c r="R425" s="10" t="s">
        <v>2845</v>
      </c>
      <c r="S425" s="11"/>
      <c r="T425" s="6"/>
      <c r="U425" s="24" t="str">
        <f>HYPERLINK("https://media.infra-m.ru/2120/2120765/cover/2120765.jpg", "Обложка")</f>
        <v>Обложка</v>
      </c>
      <c r="V425" s="24" t="str">
        <f>HYPERLINK("https://znanium.ru/catalog/product/1073011", "Ознакомиться")</f>
        <v>Ознакомиться</v>
      </c>
      <c r="W425" s="8"/>
      <c r="X425" s="6"/>
      <c r="Y425" s="6"/>
      <c r="Z425" s="6"/>
      <c r="AA425" s="6" t="s">
        <v>442</v>
      </c>
      <c r="AB425" s="8"/>
    </row>
    <row r="426" spans="1:28" s="4" customFormat="1" ht="51.95" customHeight="1">
      <c r="A426" s="5">
        <v>0</v>
      </c>
      <c r="B426" s="6" t="s">
        <v>2846</v>
      </c>
      <c r="C426" s="13">
        <v>1844</v>
      </c>
      <c r="D426" s="8" t="s">
        <v>2847</v>
      </c>
      <c r="E426" s="8" t="s">
        <v>2838</v>
      </c>
      <c r="F426" s="8" t="s">
        <v>2848</v>
      </c>
      <c r="G426" s="6" t="s">
        <v>52</v>
      </c>
      <c r="H426" s="6" t="s">
        <v>438</v>
      </c>
      <c r="I426" s="8"/>
      <c r="J426" s="9">
        <v>1</v>
      </c>
      <c r="K426" s="9">
        <v>368</v>
      </c>
      <c r="L426" s="9">
        <v>2024</v>
      </c>
      <c r="M426" s="8" t="s">
        <v>2849</v>
      </c>
      <c r="N426" s="8" t="s">
        <v>413</v>
      </c>
      <c r="O426" s="8" t="s">
        <v>414</v>
      </c>
      <c r="P426" s="6" t="s">
        <v>167</v>
      </c>
      <c r="Q426" s="8" t="s">
        <v>102</v>
      </c>
      <c r="R426" s="10" t="s">
        <v>2850</v>
      </c>
      <c r="S426" s="11"/>
      <c r="T426" s="6"/>
      <c r="U426" s="24" t="str">
        <f>HYPERLINK("https://media.infra-m.ru/2157/2157378/cover/2157378.jpg", "Обложка")</f>
        <v>Обложка</v>
      </c>
      <c r="V426" s="24" t="str">
        <f>HYPERLINK("https://znanium.ru/catalog/product/2133022", "Ознакомиться")</f>
        <v>Ознакомиться</v>
      </c>
      <c r="W426" s="8" t="s">
        <v>1514</v>
      </c>
      <c r="X426" s="6"/>
      <c r="Y426" s="6"/>
      <c r="Z426" s="6"/>
      <c r="AA426" s="6" t="s">
        <v>442</v>
      </c>
      <c r="AB426" s="8"/>
    </row>
    <row r="427" spans="1:28" s="4" customFormat="1" ht="51.95" customHeight="1">
      <c r="A427" s="5">
        <v>0</v>
      </c>
      <c r="B427" s="6" t="s">
        <v>2851</v>
      </c>
      <c r="C427" s="13">
        <v>1424</v>
      </c>
      <c r="D427" s="8" t="s">
        <v>2852</v>
      </c>
      <c r="E427" s="8" t="s">
        <v>2853</v>
      </c>
      <c r="F427" s="8" t="s">
        <v>2854</v>
      </c>
      <c r="G427" s="6" t="s">
        <v>52</v>
      </c>
      <c r="H427" s="6" t="s">
        <v>53</v>
      </c>
      <c r="I427" s="8" t="s">
        <v>90</v>
      </c>
      <c r="J427" s="9">
        <v>1</v>
      </c>
      <c r="K427" s="9">
        <v>304</v>
      </c>
      <c r="L427" s="9">
        <v>2024</v>
      </c>
      <c r="M427" s="8" t="s">
        <v>2855</v>
      </c>
      <c r="N427" s="8" t="s">
        <v>413</v>
      </c>
      <c r="O427" s="8" t="s">
        <v>414</v>
      </c>
      <c r="P427" s="6" t="s">
        <v>167</v>
      </c>
      <c r="Q427" s="8" t="s">
        <v>44</v>
      </c>
      <c r="R427" s="10" t="s">
        <v>2764</v>
      </c>
      <c r="S427" s="11" t="s">
        <v>2856</v>
      </c>
      <c r="T427" s="6"/>
      <c r="U427" s="24" t="str">
        <f>HYPERLINK("https://media.infra-m.ru/2018/2018251/cover/2018251.jpg", "Обложка")</f>
        <v>Обложка</v>
      </c>
      <c r="V427" s="24" t="str">
        <f>HYPERLINK("https://znanium.ru/catalog/product/2018251", "Ознакомиться")</f>
        <v>Ознакомиться</v>
      </c>
      <c r="W427" s="8" t="s">
        <v>1076</v>
      </c>
      <c r="X427" s="6"/>
      <c r="Y427" s="6"/>
      <c r="Z427" s="6"/>
      <c r="AA427" s="6" t="s">
        <v>2644</v>
      </c>
      <c r="AB427" s="8"/>
    </row>
    <row r="428" spans="1:28" s="4" customFormat="1" ht="42" customHeight="1">
      <c r="A428" s="5">
        <v>0</v>
      </c>
      <c r="B428" s="6" t="s">
        <v>2857</v>
      </c>
      <c r="C428" s="13">
        <v>1914</v>
      </c>
      <c r="D428" s="8" t="s">
        <v>2858</v>
      </c>
      <c r="E428" s="8" t="s">
        <v>2838</v>
      </c>
      <c r="F428" s="8" t="s">
        <v>2859</v>
      </c>
      <c r="G428" s="6" t="s">
        <v>52</v>
      </c>
      <c r="H428" s="6" t="s">
        <v>39</v>
      </c>
      <c r="I428" s="8" t="s">
        <v>90</v>
      </c>
      <c r="J428" s="9">
        <v>1</v>
      </c>
      <c r="K428" s="9">
        <v>416</v>
      </c>
      <c r="L428" s="9">
        <v>2024</v>
      </c>
      <c r="M428" s="8" t="s">
        <v>2860</v>
      </c>
      <c r="N428" s="8" t="s">
        <v>413</v>
      </c>
      <c r="O428" s="8" t="s">
        <v>414</v>
      </c>
      <c r="P428" s="6" t="s">
        <v>167</v>
      </c>
      <c r="Q428" s="8" t="s">
        <v>44</v>
      </c>
      <c r="R428" s="10" t="s">
        <v>2764</v>
      </c>
      <c r="S428" s="11"/>
      <c r="T428" s="6"/>
      <c r="U428" s="24" t="str">
        <f>HYPERLINK("https://media.infra-m.ru/2084/2084160/cover/2084160.jpg", "Обложка")</f>
        <v>Обложка</v>
      </c>
      <c r="V428" s="12"/>
      <c r="W428" s="8" t="s">
        <v>450</v>
      </c>
      <c r="X428" s="6"/>
      <c r="Y428" s="6"/>
      <c r="Z428" s="6"/>
      <c r="AA428" s="6" t="s">
        <v>47</v>
      </c>
      <c r="AB428" s="8"/>
    </row>
    <row r="429" spans="1:28" s="4" customFormat="1" ht="51.95" customHeight="1">
      <c r="A429" s="5">
        <v>0</v>
      </c>
      <c r="B429" s="6" t="s">
        <v>2861</v>
      </c>
      <c r="C429" s="13">
        <v>1334.9</v>
      </c>
      <c r="D429" s="8" t="s">
        <v>2862</v>
      </c>
      <c r="E429" s="8" t="s">
        <v>2838</v>
      </c>
      <c r="F429" s="8" t="s">
        <v>2863</v>
      </c>
      <c r="G429" s="6" t="s">
        <v>52</v>
      </c>
      <c r="H429" s="6" t="s">
        <v>53</v>
      </c>
      <c r="I429" s="8" t="s">
        <v>90</v>
      </c>
      <c r="J429" s="9">
        <v>1</v>
      </c>
      <c r="K429" s="9">
        <v>297</v>
      </c>
      <c r="L429" s="9">
        <v>2023</v>
      </c>
      <c r="M429" s="8" t="s">
        <v>2864</v>
      </c>
      <c r="N429" s="8" t="s">
        <v>413</v>
      </c>
      <c r="O429" s="8" t="s">
        <v>2771</v>
      </c>
      <c r="P429" s="6" t="s">
        <v>43</v>
      </c>
      <c r="Q429" s="8" t="s">
        <v>44</v>
      </c>
      <c r="R429" s="10" t="s">
        <v>2865</v>
      </c>
      <c r="S429" s="11" t="s">
        <v>2866</v>
      </c>
      <c r="T429" s="6"/>
      <c r="U429" s="24" t="str">
        <f>HYPERLINK("https://media.infra-m.ru/1858/1858481/cover/1858481.jpg", "Обложка")</f>
        <v>Обложка</v>
      </c>
      <c r="V429" s="24" t="str">
        <f>HYPERLINK("https://znanium.ru/catalog/product/1057218", "Ознакомиться")</f>
        <v>Ознакомиться</v>
      </c>
      <c r="W429" s="8" t="s">
        <v>1587</v>
      </c>
      <c r="X429" s="6"/>
      <c r="Y429" s="6"/>
      <c r="Z429" s="6"/>
      <c r="AA429" s="6" t="s">
        <v>84</v>
      </c>
      <c r="AB429" s="8"/>
    </row>
    <row r="430" spans="1:28" s="4" customFormat="1" ht="51.95" customHeight="1">
      <c r="A430" s="5">
        <v>0</v>
      </c>
      <c r="B430" s="6" t="s">
        <v>2867</v>
      </c>
      <c r="C430" s="13">
        <v>1344</v>
      </c>
      <c r="D430" s="8" t="s">
        <v>2868</v>
      </c>
      <c r="E430" s="8" t="s">
        <v>2838</v>
      </c>
      <c r="F430" s="8" t="s">
        <v>2869</v>
      </c>
      <c r="G430" s="6" t="s">
        <v>89</v>
      </c>
      <c r="H430" s="6" t="s">
        <v>53</v>
      </c>
      <c r="I430" s="8" t="s">
        <v>100</v>
      </c>
      <c r="J430" s="9">
        <v>1</v>
      </c>
      <c r="K430" s="9">
        <v>297</v>
      </c>
      <c r="L430" s="9">
        <v>2023</v>
      </c>
      <c r="M430" s="8" t="s">
        <v>2870</v>
      </c>
      <c r="N430" s="8" t="s">
        <v>413</v>
      </c>
      <c r="O430" s="8" t="s">
        <v>414</v>
      </c>
      <c r="P430" s="6" t="s">
        <v>43</v>
      </c>
      <c r="Q430" s="8" t="s">
        <v>102</v>
      </c>
      <c r="R430" s="10" t="s">
        <v>2871</v>
      </c>
      <c r="S430" s="11" t="s">
        <v>2872</v>
      </c>
      <c r="T430" s="6"/>
      <c r="U430" s="24" t="str">
        <f>HYPERLINK("https://media.infra-m.ru/2021/2021451/cover/2021451.jpg", "Обложка")</f>
        <v>Обложка</v>
      </c>
      <c r="V430" s="24" t="str">
        <f>HYPERLINK("https://znanium.ru/catalog/product/1017335", "Ознакомиться")</f>
        <v>Ознакомиться</v>
      </c>
      <c r="W430" s="8" t="s">
        <v>1587</v>
      </c>
      <c r="X430" s="6"/>
      <c r="Y430" s="6"/>
      <c r="Z430" s="6" t="s">
        <v>104</v>
      </c>
      <c r="AA430" s="6" t="s">
        <v>151</v>
      </c>
      <c r="AB430" s="8"/>
    </row>
    <row r="431" spans="1:28" s="4" customFormat="1" ht="51.95" customHeight="1">
      <c r="A431" s="5">
        <v>0</v>
      </c>
      <c r="B431" s="6" t="s">
        <v>2873</v>
      </c>
      <c r="C431" s="13">
        <v>2890</v>
      </c>
      <c r="D431" s="8" t="s">
        <v>2874</v>
      </c>
      <c r="E431" s="8" t="s">
        <v>2838</v>
      </c>
      <c r="F431" s="8" t="s">
        <v>2875</v>
      </c>
      <c r="G431" s="6" t="s">
        <v>52</v>
      </c>
      <c r="H431" s="6" t="s">
        <v>649</v>
      </c>
      <c r="I431" s="8" t="s">
        <v>116</v>
      </c>
      <c r="J431" s="9">
        <v>1</v>
      </c>
      <c r="K431" s="9">
        <v>576</v>
      </c>
      <c r="L431" s="9">
        <v>2025</v>
      </c>
      <c r="M431" s="8" t="s">
        <v>2876</v>
      </c>
      <c r="N431" s="8" t="s">
        <v>413</v>
      </c>
      <c r="O431" s="8" t="s">
        <v>414</v>
      </c>
      <c r="P431" s="6" t="s">
        <v>43</v>
      </c>
      <c r="Q431" s="8" t="s">
        <v>44</v>
      </c>
      <c r="R431" s="10" t="s">
        <v>2764</v>
      </c>
      <c r="S431" s="11" t="s">
        <v>2877</v>
      </c>
      <c r="T431" s="6"/>
      <c r="U431" s="24" t="str">
        <f>HYPERLINK("https://media.infra-m.ru/2116/2116672/cover/2116672.jpg", "Обложка")</f>
        <v>Обложка</v>
      </c>
      <c r="V431" s="24" t="str">
        <f>HYPERLINK("https://znanium.ru/catalog/product/2116672", "Ознакомиться")</f>
        <v>Ознакомиться</v>
      </c>
      <c r="W431" s="8" t="s">
        <v>2878</v>
      </c>
      <c r="X431" s="6"/>
      <c r="Y431" s="6"/>
      <c r="Z431" s="6"/>
      <c r="AA431" s="6" t="s">
        <v>122</v>
      </c>
      <c r="AB431" s="8"/>
    </row>
    <row r="432" spans="1:28" s="4" customFormat="1" ht="51.95" customHeight="1">
      <c r="A432" s="5">
        <v>0</v>
      </c>
      <c r="B432" s="6" t="s">
        <v>2879</v>
      </c>
      <c r="C432" s="13">
        <v>2990</v>
      </c>
      <c r="D432" s="8" t="s">
        <v>2880</v>
      </c>
      <c r="E432" s="8" t="s">
        <v>2838</v>
      </c>
      <c r="F432" s="8" t="s">
        <v>2875</v>
      </c>
      <c r="G432" s="6" t="s">
        <v>52</v>
      </c>
      <c r="H432" s="6" t="s">
        <v>649</v>
      </c>
      <c r="I432" s="8" t="s">
        <v>100</v>
      </c>
      <c r="J432" s="9">
        <v>1</v>
      </c>
      <c r="K432" s="9">
        <v>576</v>
      </c>
      <c r="L432" s="9">
        <v>2025</v>
      </c>
      <c r="M432" s="8" t="s">
        <v>2881</v>
      </c>
      <c r="N432" s="8" t="s">
        <v>413</v>
      </c>
      <c r="O432" s="8" t="s">
        <v>414</v>
      </c>
      <c r="P432" s="6" t="s">
        <v>43</v>
      </c>
      <c r="Q432" s="8" t="s">
        <v>102</v>
      </c>
      <c r="R432" s="10" t="s">
        <v>2822</v>
      </c>
      <c r="S432" s="11" t="s">
        <v>2882</v>
      </c>
      <c r="T432" s="6"/>
      <c r="U432" s="24" t="str">
        <f>HYPERLINK("https://media.infra-m.ru/2166/2166192/cover/2166192.jpg", "Обложка")</f>
        <v>Обложка</v>
      </c>
      <c r="V432" s="24" t="str">
        <f>HYPERLINK("https://znanium.ru/catalog/product/2166192", "Ознакомиться")</f>
        <v>Ознакомиться</v>
      </c>
      <c r="W432" s="8" t="s">
        <v>2878</v>
      </c>
      <c r="X432" s="6"/>
      <c r="Y432" s="6"/>
      <c r="Z432" s="6" t="s">
        <v>104</v>
      </c>
      <c r="AA432" s="6" t="s">
        <v>219</v>
      </c>
      <c r="AB432" s="8"/>
    </row>
    <row r="433" spans="1:28" s="4" customFormat="1" ht="51.95" customHeight="1">
      <c r="A433" s="5">
        <v>0</v>
      </c>
      <c r="B433" s="6" t="s">
        <v>2883</v>
      </c>
      <c r="C433" s="7">
        <v>780</v>
      </c>
      <c r="D433" s="8" t="s">
        <v>2884</v>
      </c>
      <c r="E433" s="8" t="s">
        <v>2838</v>
      </c>
      <c r="F433" s="8" t="s">
        <v>2885</v>
      </c>
      <c r="G433" s="6" t="s">
        <v>89</v>
      </c>
      <c r="H433" s="6" t="s">
        <v>53</v>
      </c>
      <c r="I433" s="8" t="s">
        <v>90</v>
      </c>
      <c r="J433" s="9">
        <v>1</v>
      </c>
      <c r="K433" s="9">
        <v>204</v>
      </c>
      <c r="L433" s="9">
        <v>2022</v>
      </c>
      <c r="M433" s="8" t="s">
        <v>2886</v>
      </c>
      <c r="N433" s="8" t="s">
        <v>413</v>
      </c>
      <c r="O433" s="8" t="s">
        <v>2771</v>
      </c>
      <c r="P433" s="6" t="s">
        <v>43</v>
      </c>
      <c r="Q433" s="8" t="s">
        <v>44</v>
      </c>
      <c r="R433" s="10" t="s">
        <v>2887</v>
      </c>
      <c r="S433" s="11" t="s">
        <v>2888</v>
      </c>
      <c r="T433" s="6"/>
      <c r="U433" s="24" t="str">
        <f>HYPERLINK("https://media.infra-m.ru/1844/1844354/cover/1844354.jpg", "Обложка")</f>
        <v>Обложка</v>
      </c>
      <c r="V433" s="24" t="str">
        <f>HYPERLINK("https://znanium.ru/catalog/product/2150302", "Ознакомиться")</f>
        <v>Ознакомиться</v>
      </c>
      <c r="W433" s="8" t="s">
        <v>189</v>
      </c>
      <c r="X433" s="6"/>
      <c r="Y433" s="6"/>
      <c r="Z433" s="6"/>
      <c r="AA433" s="6" t="s">
        <v>258</v>
      </c>
      <c r="AB433" s="8"/>
    </row>
    <row r="434" spans="1:28" s="4" customFormat="1" ht="51.95" customHeight="1">
      <c r="A434" s="5">
        <v>0</v>
      </c>
      <c r="B434" s="6" t="s">
        <v>2889</v>
      </c>
      <c r="C434" s="7">
        <v>780</v>
      </c>
      <c r="D434" s="8" t="s">
        <v>2890</v>
      </c>
      <c r="E434" s="8" t="s">
        <v>2838</v>
      </c>
      <c r="F434" s="8" t="s">
        <v>2885</v>
      </c>
      <c r="G434" s="6" t="s">
        <v>89</v>
      </c>
      <c r="H434" s="6" t="s">
        <v>53</v>
      </c>
      <c r="I434" s="8" t="s">
        <v>100</v>
      </c>
      <c r="J434" s="9">
        <v>1</v>
      </c>
      <c r="K434" s="9">
        <v>204</v>
      </c>
      <c r="L434" s="9">
        <v>2022</v>
      </c>
      <c r="M434" s="8" t="s">
        <v>2891</v>
      </c>
      <c r="N434" s="8" t="s">
        <v>413</v>
      </c>
      <c r="O434" s="8" t="s">
        <v>2771</v>
      </c>
      <c r="P434" s="6" t="s">
        <v>43</v>
      </c>
      <c r="Q434" s="8" t="s">
        <v>102</v>
      </c>
      <c r="R434" s="10" t="s">
        <v>2892</v>
      </c>
      <c r="S434" s="11" t="s">
        <v>2893</v>
      </c>
      <c r="T434" s="6"/>
      <c r="U434" s="24" t="str">
        <f>HYPERLINK("https://media.infra-m.ru/1852/1852173/cover/1852173.jpg", "Обложка")</f>
        <v>Обложка</v>
      </c>
      <c r="V434" s="24" t="str">
        <f>HYPERLINK("https://znanium.ru/catalog/product/2080530", "Ознакомиться")</f>
        <v>Ознакомиться</v>
      </c>
      <c r="W434" s="8" t="s">
        <v>189</v>
      </c>
      <c r="X434" s="6"/>
      <c r="Y434" s="6"/>
      <c r="Z434" s="6" t="s">
        <v>104</v>
      </c>
      <c r="AA434" s="6" t="s">
        <v>258</v>
      </c>
      <c r="AB434" s="8"/>
    </row>
    <row r="435" spans="1:28" s="4" customFormat="1" ht="42" customHeight="1">
      <c r="A435" s="5">
        <v>0</v>
      </c>
      <c r="B435" s="6" t="s">
        <v>2894</v>
      </c>
      <c r="C435" s="13">
        <v>1124</v>
      </c>
      <c r="D435" s="8" t="s">
        <v>2895</v>
      </c>
      <c r="E435" s="8" t="s">
        <v>2896</v>
      </c>
      <c r="F435" s="8" t="s">
        <v>2885</v>
      </c>
      <c r="G435" s="6" t="s">
        <v>89</v>
      </c>
      <c r="H435" s="6" t="s">
        <v>53</v>
      </c>
      <c r="I435" s="8" t="s">
        <v>100</v>
      </c>
      <c r="J435" s="9">
        <v>1</v>
      </c>
      <c r="K435" s="9">
        <v>225</v>
      </c>
      <c r="L435" s="9">
        <v>2025</v>
      </c>
      <c r="M435" s="8" t="s">
        <v>2897</v>
      </c>
      <c r="N435" s="8" t="s">
        <v>413</v>
      </c>
      <c r="O435" s="8" t="s">
        <v>2771</v>
      </c>
      <c r="P435" s="6" t="s">
        <v>43</v>
      </c>
      <c r="Q435" s="8" t="s">
        <v>102</v>
      </c>
      <c r="R435" s="10" t="s">
        <v>2892</v>
      </c>
      <c r="S435" s="11"/>
      <c r="T435" s="6"/>
      <c r="U435" s="24" t="str">
        <f>HYPERLINK("https://media.infra-m.ru/2187/2187629/cover/2187629.jpg", "Обложка")</f>
        <v>Обложка</v>
      </c>
      <c r="V435" s="24" t="str">
        <f>HYPERLINK("https://znanium.ru/catalog/product/2080530", "Ознакомиться")</f>
        <v>Ознакомиться</v>
      </c>
      <c r="W435" s="8" t="s">
        <v>189</v>
      </c>
      <c r="X435" s="6"/>
      <c r="Y435" s="6"/>
      <c r="Z435" s="6" t="s">
        <v>104</v>
      </c>
      <c r="AA435" s="6" t="s">
        <v>105</v>
      </c>
      <c r="AB435" s="8"/>
    </row>
    <row r="436" spans="1:28" s="4" customFormat="1" ht="42" customHeight="1">
      <c r="A436" s="5">
        <v>0</v>
      </c>
      <c r="B436" s="6" t="s">
        <v>2898</v>
      </c>
      <c r="C436" s="13">
        <v>1124</v>
      </c>
      <c r="D436" s="8" t="s">
        <v>2899</v>
      </c>
      <c r="E436" s="8" t="s">
        <v>2896</v>
      </c>
      <c r="F436" s="8" t="s">
        <v>2885</v>
      </c>
      <c r="G436" s="6" t="s">
        <v>52</v>
      </c>
      <c r="H436" s="6" t="s">
        <v>53</v>
      </c>
      <c r="I436" s="8" t="s">
        <v>2048</v>
      </c>
      <c r="J436" s="9">
        <v>1</v>
      </c>
      <c r="K436" s="9">
        <v>225</v>
      </c>
      <c r="L436" s="9">
        <v>2024</v>
      </c>
      <c r="M436" s="8" t="s">
        <v>2900</v>
      </c>
      <c r="N436" s="8" t="s">
        <v>413</v>
      </c>
      <c r="O436" s="8" t="s">
        <v>2771</v>
      </c>
      <c r="P436" s="6" t="s">
        <v>43</v>
      </c>
      <c r="Q436" s="8" t="s">
        <v>44</v>
      </c>
      <c r="R436" s="10" t="s">
        <v>2887</v>
      </c>
      <c r="S436" s="11"/>
      <c r="T436" s="6"/>
      <c r="U436" s="24" t="str">
        <f>HYPERLINK("https://media.infra-m.ru/2162/2162488/cover/2162488.jpg", "Обложка")</f>
        <v>Обложка</v>
      </c>
      <c r="V436" s="24" t="str">
        <f>HYPERLINK("https://znanium.ru/catalog/product/2150302", "Ознакомиться")</f>
        <v>Ознакомиться</v>
      </c>
      <c r="W436" s="8" t="s">
        <v>189</v>
      </c>
      <c r="X436" s="6"/>
      <c r="Y436" s="6"/>
      <c r="Z436" s="6"/>
      <c r="AA436" s="6" t="s">
        <v>813</v>
      </c>
      <c r="AB436" s="8"/>
    </row>
    <row r="437" spans="1:28" s="4" customFormat="1" ht="51.95" customHeight="1">
      <c r="A437" s="5">
        <v>0</v>
      </c>
      <c r="B437" s="6" t="s">
        <v>2901</v>
      </c>
      <c r="C437" s="13">
        <v>1204</v>
      </c>
      <c r="D437" s="8" t="s">
        <v>2902</v>
      </c>
      <c r="E437" s="8" t="s">
        <v>2903</v>
      </c>
      <c r="F437" s="8" t="s">
        <v>2904</v>
      </c>
      <c r="G437" s="6" t="s">
        <v>89</v>
      </c>
      <c r="H437" s="6" t="s">
        <v>53</v>
      </c>
      <c r="I437" s="8" t="s">
        <v>276</v>
      </c>
      <c r="J437" s="9">
        <v>1</v>
      </c>
      <c r="K437" s="9">
        <v>231</v>
      </c>
      <c r="L437" s="9">
        <v>2025</v>
      </c>
      <c r="M437" s="8" t="s">
        <v>2905</v>
      </c>
      <c r="N437" s="8" t="s">
        <v>79</v>
      </c>
      <c r="O437" s="8" t="s">
        <v>396</v>
      </c>
      <c r="P437" s="6" t="s">
        <v>43</v>
      </c>
      <c r="Q437" s="8" t="s">
        <v>279</v>
      </c>
      <c r="R437" s="10" t="s">
        <v>2906</v>
      </c>
      <c r="S437" s="11" t="s">
        <v>2907</v>
      </c>
      <c r="T437" s="6"/>
      <c r="U437" s="24" t="str">
        <f>HYPERLINK("https://media.infra-m.ru/2202/2202290/cover/2202290.jpg", "Обложка")</f>
        <v>Обложка</v>
      </c>
      <c r="V437" s="24" t="str">
        <f>HYPERLINK("https://znanium.ru/catalog/product/2126760", "Ознакомиться")</f>
        <v>Ознакомиться</v>
      </c>
      <c r="W437" s="8" t="s">
        <v>487</v>
      </c>
      <c r="X437" s="6"/>
      <c r="Y437" s="6"/>
      <c r="Z437" s="6"/>
      <c r="AA437" s="6" t="s">
        <v>235</v>
      </c>
      <c r="AB437" s="8"/>
    </row>
    <row r="438" spans="1:28" s="4" customFormat="1" ht="51.95" customHeight="1">
      <c r="A438" s="5">
        <v>0</v>
      </c>
      <c r="B438" s="6" t="s">
        <v>2908</v>
      </c>
      <c r="C438" s="13">
        <v>1350</v>
      </c>
      <c r="D438" s="8" t="s">
        <v>2909</v>
      </c>
      <c r="E438" s="8" t="s">
        <v>2910</v>
      </c>
      <c r="F438" s="8" t="s">
        <v>2911</v>
      </c>
      <c r="G438" s="6" t="s">
        <v>89</v>
      </c>
      <c r="H438" s="6" t="s">
        <v>53</v>
      </c>
      <c r="I438" s="8" t="s">
        <v>116</v>
      </c>
      <c r="J438" s="9">
        <v>1</v>
      </c>
      <c r="K438" s="9">
        <v>269</v>
      </c>
      <c r="L438" s="9">
        <v>2025</v>
      </c>
      <c r="M438" s="8" t="s">
        <v>2912</v>
      </c>
      <c r="N438" s="8" t="s">
        <v>41</v>
      </c>
      <c r="O438" s="8" t="s">
        <v>278</v>
      </c>
      <c r="P438" s="6" t="s">
        <v>167</v>
      </c>
      <c r="Q438" s="8" t="s">
        <v>44</v>
      </c>
      <c r="R438" s="10" t="s">
        <v>2913</v>
      </c>
      <c r="S438" s="11" t="s">
        <v>2914</v>
      </c>
      <c r="T438" s="6"/>
      <c r="U438" s="24" t="str">
        <f>HYPERLINK("https://media.infra-m.ru/2188/2188751/cover/2188751.jpg", "Обложка")</f>
        <v>Обложка</v>
      </c>
      <c r="V438" s="24" t="str">
        <f>HYPERLINK("https://znanium.ru/catalog/product/2188751", "Ознакомиться")</f>
        <v>Ознакомиться</v>
      </c>
      <c r="W438" s="8" t="s">
        <v>2915</v>
      </c>
      <c r="X438" s="6"/>
      <c r="Y438" s="6"/>
      <c r="Z438" s="6"/>
      <c r="AA438" s="6" t="s">
        <v>122</v>
      </c>
      <c r="AB438" s="8"/>
    </row>
    <row r="439" spans="1:28" s="4" customFormat="1" ht="51.95" customHeight="1">
      <c r="A439" s="5">
        <v>0</v>
      </c>
      <c r="B439" s="6" t="s">
        <v>2916</v>
      </c>
      <c r="C439" s="13">
        <v>1194</v>
      </c>
      <c r="D439" s="8" t="s">
        <v>2917</v>
      </c>
      <c r="E439" s="8" t="s">
        <v>2918</v>
      </c>
      <c r="F439" s="8" t="s">
        <v>2919</v>
      </c>
      <c r="G439" s="6" t="s">
        <v>89</v>
      </c>
      <c r="H439" s="6" t="s">
        <v>53</v>
      </c>
      <c r="I439" s="8" t="s">
        <v>90</v>
      </c>
      <c r="J439" s="9">
        <v>1</v>
      </c>
      <c r="K439" s="9">
        <v>254</v>
      </c>
      <c r="L439" s="9">
        <v>2024</v>
      </c>
      <c r="M439" s="8" t="s">
        <v>2920</v>
      </c>
      <c r="N439" s="8" t="s">
        <v>79</v>
      </c>
      <c r="O439" s="8" t="s">
        <v>148</v>
      </c>
      <c r="P439" s="6" t="s">
        <v>937</v>
      </c>
      <c r="Q439" s="8" t="s">
        <v>44</v>
      </c>
      <c r="R439" s="10" t="s">
        <v>2921</v>
      </c>
      <c r="S439" s="11" t="s">
        <v>2922</v>
      </c>
      <c r="T439" s="6"/>
      <c r="U439" s="24" t="str">
        <f>HYPERLINK("https://media.infra-m.ru/2152/2152145/cover/2152145.jpg", "Обложка")</f>
        <v>Обложка</v>
      </c>
      <c r="V439" s="24" t="str">
        <f>HYPERLINK("https://znanium.ru/catalog/product/1851440", "Ознакомиться")</f>
        <v>Ознакомиться</v>
      </c>
      <c r="W439" s="8" t="s">
        <v>2923</v>
      </c>
      <c r="X439" s="6"/>
      <c r="Y439" s="6"/>
      <c r="Z439" s="6"/>
      <c r="AA439" s="6" t="s">
        <v>258</v>
      </c>
      <c r="AB439" s="8"/>
    </row>
    <row r="440" spans="1:28" s="4" customFormat="1" ht="51.95" customHeight="1">
      <c r="A440" s="5">
        <v>0</v>
      </c>
      <c r="B440" s="6" t="s">
        <v>2924</v>
      </c>
      <c r="C440" s="13">
        <v>1240</v>
      </c>
      <c r="D440" s="8" t="s">
        <v>2925</v>
      </c>
      <c r="E440" s="8" t="s">
        <v>2926</v>
      </c>
      <c r="F440" s="8" t="s">
        <v>2927</v>
      </c>
      <c r="G440" s="6" t="s">
        <v>52</v>
      </c>
      <c r="H440" s="6" t="s">
        <v>53</v>
      </c>
      <c r="I440" s="8" t="s">
        <v>712</v>
      </c>
      <c r="J440" s="9">
        <v>1</v>
      </c>
      <c r="K440" s="9">
        <v>265</v>
      </c>
      <c r="L440" s="9">
        <v>2023</v>
      </c>
      <c r="M440" s="8" t="s">
        <v>2928</v>
      </c>
      <c r="N440" s="8" t="s">
        <v>79</v>
      </c>
      <c r="O440" s="8" t="s">
        <v>396</v>
      </c>
      <c r="P440" s="6" t="s">
        <v>43</v>
      </c>
      <c r="Q440" s="8" t="s">
        <v>58</v>
      </c>
      <c r="R440" s="10" t="s">
        <v>2929</v>
      </c>
      <c r="S440" s="11" t="s">
        <v>2930</v>
      </c>
      <c r="T440" s="6"/>
      <c r="U440" s="24" t="str">
        <f>HYPERLINK("https://media.infra-m.ru/2065/2065507/cover/2065507.jpg", "Обложка")</f>
        <v>Обложка</v>
      </c>
      <c r="V440" s="24" t="str">
        <f>HYPERLINK("https://znanium.ru/catalog/product/2065507", "Ознакомиться")</f>
        <v>Ознакомиться</v>
      </c>
      <c r="W440" s="8" t="s">
        <v>716</v>
      </c>
      <c r="X440" s="6"/>
      <c r="Y440" s="6"/>
      <c r="Z440" s="6"/>
      <c r="AA440" s="6" t="s">
        <v>207</v>
      </c>
      <c r="AB440" s="8"/>
    </row>
    <row r="441" spans="1:28" s="4" customFormat="1" ht="51.95" customHeight="1">
      <c r="A441" s="5">
        <v>0</v>
      </c>
      <c r="B441" s="6" t="s">
        <v>2931</v>
      </c>
      <c r="C441" s="7">
        <v>850</v>
      </c>
      <c r="D441" s="8" t="s">
        <v>2932</v>
      </c>
      <c r="E441" s="8" t="s">
        <v>2933</v>
      </c>
      <c r="F441" s="8" t="s">
        <v>2934</v>
      </c>
      <c r="G441" s="6" t="s">
        <v>89</v>
      </c>
      <c r="H441" s="6" t="s">
        <v>53</v>
      </c>
      <c r="I441" s="8" t="s">
        <v>90</v>
      </c>
      <c r="J441" s="9">
        <v>1</v>
      </c>
      <c r="K441" s="9">
        <v>184</v>
      </c>
      <c r="L441" s="9">
        <v>2024</v>
      </c>
      <c r="M441" s="8" t="s">
        <v>2935</v>
      </c>
      <c r="N441" s="8" t="s">
        <v>79</v>
      </c>
      <c r="O441" s="8" t="s">
        <v>570</v>
      </c>
      <c r="P441" s="6" t="s">
        <v>43</v>
      </c>
      <c r="Q441" s="8" t="s">
        <v>44</v>
      </c>
      <c r="R441" s="10" t="s">
        <v>2936</v>
      </c>
      <c r="S441" s="11" t="s">
        <v>2937</v>
      </c>
      <c r="T441" s="6"/>
      <c r="U441" s="24" t="str">
        <f>HYPERLINK("https://media.infra-m.ru/2126/2126275/cover/2126275.jpg", "Обложка")</f>
        <v>Обложка</v>
      </c>
      <c r="V441" s="24" t="str">
        <f>HYPERLINK("https://znanium.ru/catalog/product/2126275", "Ознакомиться")</f>
        <v>Ознакомиться</v>
      </c>
      <c r="W441" s="8" t="s">
        <v>2938</v>
      </c>
      <c r="X441" s="6"/>
      <c r="Y441" s="6"/>
      <c r="Z441" s="6"/>
      <c r="AA441" s="6" t="s">
        <v>442</v>
      </c>
      <c r="AB441" s="8"/>
    </row>
    <row r="442" spans="1:28" s="4" customFormat="1" ht="51.95" customHeight="1">
      <c r="A442" s="5">
        <v>0</v>
      </c>
      <c r="B442" s="6" t="s">
        <v>2939</v>
      </c>
      <c r="C442" s="7">
        <v>774</v>
      </c>
      <c r="D442" s="8" t="s">
        <v>2940</v>
      </c>
      <c r="E442" s="8" t="s">
        <v>2941</v>
      </c>
      <c r="F442" s="8" t="s">
        <v>2942</v>
      </c>
      <c r="G442" s="6" t="s">
        <v>52</v>
      </c>
      <c r="H442" s="6" t="s">
        <v>184</v>
      </c>
      <c r="I442" s="8" t="s">
        <v>90</v>
      </c>
      <c r="J442" s="9">
        <v>1</v>
      </c>
      <c r="K442" s="9">
        <v>154</v>
      </c>
      <c r="L442" s="9">
        <v>2025</v>
      </c>
      <c r="M442" s="8" t="s">
        <v>2943</v>
      </c>
      <c r="N442" s="8" t="s">
        <v>79</v>
      </c>
      <c r="O442" s="8" t="s">
        <v>424</v>
      </c>
      <c r="P442" s="6" t="s">
        <v>43</v>
      </c>
      <c r="Q442" s="8" t="s">
        <v>44</v>
      </c>
      <c r="R442" s="10" t="s">
        <v>2944</v>
      </c>
      <c r="S442" s="11" t="s">
        <v>2945</v>
      </c>
      <c r="T442" s="6"/>
      <c r="U442" s="24" t="str">
        <f>HYPERLINK("https://media.infra-m.ru/2178/2178296/cover/2178296.jpg", "Обложка")</f>
        <v>Обложка</v>
      </c>
      <c r="V442" s="24" t="str">
        <f>HYPERLINK("https://znanium.ru/catalog/product/1069164", "Ознакомиться")</f>
        <v>Ознакомиться</v>
      </c>
      <c r="W442" s="8" t="s">
        <v>2946</v>
      </c>
      <c r="X442" s="6"/>
      <c r="Y442" s="6"/>
      <c r="Z442" s="6"/>
      <c r="AA442" s="6" t="s">
        <v>84</v>
      </c>
      <c r="AB442" s="8"/>
    </row>
    <row r="443" spans="1:28" s="4" customFormat="1" ht="51.95" customHeight="1">
      <c r="A443" s="5">
        <v>0</v>
      </c>
      <c r="B443" s="6" t="s">
        <v>2947</v>
      </c>
      <c r="C443" s="13">
        <v>1190</v>
      </c>
      <c r="D443" s="8" t="s">
        <v>2948</v>
      </c>
      <c r="E443" s="8" t="s">
        <v>2949</v>
      </c>
      <c r="F443" s="8" t="s">
        <v>2950</v>
      </c>
      <c r="G443" s="6" t="s">
        <v>38</v>
      </c>
      <c r="H443" s="6" t="s">
        <v>39</v>
      </c>
      <c r="I443" s="8" t="s">
        <v>116</v>
      </c>
      <c r="J443" s="9">
        <v>1</v>
      </c>
      <c r="K443" s="9">
        <v>239</v>
      </c>
      <c r="L443" s="9">
        <v>2025</v>
      </c>
      <c r="M443" s="8" t="s">
        <v>2951</v>
      </c>
      <c r="N443" s="8" t="s">
        <v>41</v>
      </c>
      <c r="O443" s="8" t="s">
        <v>42</v>
      </c>
      <c r="P443" s="6" t="s">
        <v>43</v>
      </c>
      <c r="Q443" s="8" t="s">
        <v>58</v>
      </c>
      <c r="R443" s="10" t="s">
        <v>2952</v>
      </c>
      <c r="S443" s="11" t="s">
        <v>2953</v>
      </c>
      <c r="T443" s="6"/>
      <c r="U443" s="24" t="str">
        <f>HYPERLINK("https://media.infra-m.ru/2166/2166463/cover/2166463.jpg", "Обложка")</f>
        <v>Обложка</v>
      </c>
      <c r="V443" s="24" t="str">
        <f>HYPERLINK("https://znanium.ru/catalog/product/2083409", "Ознакомиться")</f>
        <v>Ознакомиться</v>
      </c>
      <c r="W443" s="8" t="s">
        <v>2954</v>
      </c>
      <c r="X443" s="6"/>
      <c r="Y443" s="6"/>
      <c r="Z443" s="6"/>
      <c r="AA443" s="6" t="s">
        <v>111</v>
      </c>
      <c r="AB443" s="8"/>
    </row>
    <row r="444" spans="1:28" s="4" customFormat="1" ht="51.95" customHeight="1">
      <c r="A444" s="5">
        <v>0</v>
      </c>
      <c r="B444" s="6" t="s">
        <v>2955</v>
      </c>
      <c r="C444" s="13">
        <v>1680</v>
      </c>
      <c r="D444" s="8" t="s">
        <v>2956</v>
      </c>
      <c r="E444" s="8" t="s">
        <v>2957</v>
      </c>
      <c r="F444" s="8" t="s">
        <v>2958</v>
      </c>
      <c r="G444" s="6" t="s">
        <v>89</v>
      </c>
      <c r="H444" s="6" t="s">
        <v>53</v>
      </c>
      <c r="I444" s="8" t="s">
        <v>2959</v>
      </c>
      <c r="J444" s="9">
        <v>1</v>
      </c>
      <c r="K444" s="9">
        <v>336</v>
      </c>
      <c r="L444" s="9">
        <v>2024</v>
      </c>
      <c r="M444" s="8" t="s">
        <v>2960</v>
      </c>
      <c r="N444" s="8" t="s">
        <v>41</v>
      </c>
      <c r="O444" s="8" t="s">
        <v>118</v>
      </c>
      <c r="P444" s="6" t="s">
        <v>167</v>
      </c>
      <c r="Q444" s="8" t="s">
        <v>279</v>
      </c>
      <c r="R444" s="10" t="s">
        <v>2961</v>
      </c>
      <c r="S444" s="11" t="s">
        <v>2962</v>
      </c>
      <c r="T444" s="6"/>
      <c r="U444" s="24" t="str">
        <f>HYPERLINK("https://media.infra-m.ru/2149/2149169/cover/2149169.jpg", "Обложка")</f>
        <v>Обложка</v>
      </c>
      <c r="V444" s="24" t="str">
        <f>HYPERLINK("https://znanium.ru/catalog/product/2149169", "Ознакомиться")</f>
        <v>Ознакомиться</v>
      </c>
      <c r="W444" s="8" t="s">
        <v>189</v>
      </c>
      <c r="X444" s="6"/>
      <c r="Y444" s="6"/>
      <c r="Z444" s="6"/>
      <c r="AA444" s="6" t="s">
        <v>235</v>
      </c>
      <c r="AB444" s="8" t="s">
        <v>2963</v>
      </c>
    </row>
    <row r="445" spans="1:28" s="4" customFormat="1" ht="51.95" customHeight="1">
      <c r="A445" s="5">
        <v>0</v>
      </c>
      <c r="B445" s="6" t="s">
        <v>2964</v>
      </c>
      <c r="C445" s="13">
        <v>3240</v>
      </c>
      <c r="D445" s="8" t="s">
        <v>2965</v>
      </c>
      <c r="E445" s="8" t="s">
        <v>2966</v>
      </c>
      <c r="F445" s="8" t="s">
        <v>1283</v>
      </c>
      <c r="G445" s="6" t="s">
        <v>52</v>
      </c>
      <c r="H445" s="6" t="s">
        <v>53</v>
      </c>
      <c r="I445" s="8" t="s">
        <v>116</v>
      </c>
      <c r="J445" s="9">
        <v>1</v>
      </c>
      <c r="K445" s="9">
        <v>648</v>
      </c>
      <c r="L445" s="9">
        <v>2025</v>
      </c>
      <c r="M445" s="8" t="s">
        <v>2967</v>
      </c>
      <c r="N445" s="8" t="s">
        <v>41</v>
      </c>
      <c r="O445" s="8" t="s">
        <v>278</v>
      </c>
      <c r="P445" s="6" t="s">
        <v>167</v>
      </c>
      <c r="Q445" s="8" t="s">
        <v>44</v>
      </c>
      <c r="R445" s="10" t="s">
        <v>1008</v>
      </c>
      <c r="S445" s="11" t="s">
        <v>2968</v>
      </c>
      <c r="T445" s="6" t="s">
        <v>299</v>
      </c>
      <c r="U445" s="24" t="str">
        <f>HYPERLINK("https://media.infra-m.ru/2172/2172730/cover/2172730.jpg", "Обложка")</f>
        <v>Обложка</v>
      </c>
      <c r="V445" s="24" t="str">
        <f>HYPERLINK("https://znanium.ru/catalog/product/2172730", "Ознакомиться")</f>
        <v>Ознакомиться</v>
      </c>
      <c r="W445" s="8" t="s">
        <v>234</v>
      </c>
      <c r="X445" s="6"/>
      <c r="Y445" s="6"/>
      <c r="Z445" s="6"/>
      <c r="AA445" s="6" t="s">
        <v>235</v>
      </c>
      <c r="AB445" s="8"/>
    </row>
    <row r="446" spans="1:28" s="4" customFormat="1" ht="51.95" customHeight="1">
      <c r="A446" s="5">
        <v>0</v>
      </c>
      <c r="B446" s="6" t="s">
        <v>2969</v>
      </c>
      <c r="C446" s="13">
        <v>1610</v>
      </c>
      <c r="D446" s="8" t="s">
        <v>2970</v>
      </c>
      <c r="E446" s="8" t="s">
        <v>2971</v>
      </c>
      <c r="F446" s="8" t="s">
        <v>2972</v>
      </c>
      <c r="G446" s="6" t="s">
        <v>89</v>
      </c>
      <c r="H446" s="6" t="s">
        <v>77</v>
      </c>
      <c r="I446" s="8"/>
      <c r="J446" s="9">
        <v>1</v>
      </c>
      <c r="K446" s="9">
        <v>350</v>
      </c>
      <c r="L446" s="9">
        <v>2023</v>
      </c>
      <c r="M446" s="8" t="s">
        <v>2973</v>
      </c>
      <c r="N446" s="8" t="s">
        <v>79</v>
      </c>
      <c r="O446" s="8" t="s">
        <v>80</v>
      </c>
      <c r="P446" s="6" t="s">
        <v>43</v>
      </c>
      <c r="Q446" s="8" t="s">
        <v>44</v>
      </c>
      <c r="R446" s="10" t="s">
        <v>2974</v>
      </c>
      <c r="S446" s="11" t="s">
        <v>2975</v>
      </c>
      <c r="T446" s="6" t="s">
        <v>299</v>
      </c>
      <c r="U446" s="24" t="str">
        <f>HYPERLINK("https://media.infra-m.ru/1893/1893969/cover/1893969.jpg", "Обложка")</f>
        <v>Обложка</v>
      </c>
      <c r="V446" s="24" t="str">
        <f>HYPERLINK("https://znanium.ru/catalog/product/1893969", "Ознакомиться")</f>
        <v>Ознакомиться</v>
      </c>
      <c r="W446" s="8" t="s">
        <v>83</v>
      </c>
      <c r="X446" s="6"/>
      <c r="Y446" s="6"/>
      <c r="Z446" s="6"/>
      <c r="AA446" s="6" t="s">
        <v>638</v>
      </c>
      <c r="AB446" s="8"/>
    </row>
    <row r="447" spans="1:28" s="4" customFormat="1" ht="51.95" customHeight="1">
      <c r="A447" s="5">
        <v>0</v>
      </c>
      <c r="B447" s="6" t="s">
        <v>2976</v>
      </c>
      <c r="C447" s="7">
        <v>989.9</v>
      </c>
      <c r="D447" s="8" t="s">
        <v>2977</v>
      </c>
      <c r="E447" s="8" t="s">
        <v>2978</v>
      </c>
      <c r="F447" s="8" t="s">
        <v>2972</v>
      </c>
      <c r="G447" s="6" t="s">
        <v>52</v>
      </c>
      <c r="H447" s="6" t="s">
        <v>77</v>
      </c>
      <c r="I447" s="8" t="s">
        <v>2979</v>
      </c>
      <c r="J447" s="9">
        <v>20</v>
      </c>
      <c r="K447" s="9">
        <v>336</v>
      </c>
      <c r="L447" s="9">
        <v>2017</v>
      </c>
      <c r="M447" s="8" t="s">
        <v>2980</v>
      </c>
      <c r="N447" s="8" t="s">
        <v>79</v>
      </c>
      <c r="O447" s="8" t="s">
        <v>80</v>
      </c>
      <c r="P447" s="6" t="s">
        <v>43</v>
      </c>
      <c r="Q447" s="8" t="s">
        <v>44</v>
      </c>
      <c r="R447" s="10" t="s">
        <v>2974</v>
      </c>
      <c r="S447" s="11" t="s">
        <v>2981</v>
      </c>
      <c r="T447" s="6" t="s">
        <v>299</v>
      </c>
      <c r="U447" s="24" t="str">
        <f>HYPERLINK("https://media.infra-m.ru/0636/0636239/cover/636239.jpg", "Обложка")</f>
        <v>Обложка</v>
      </c>
      <c r="V447" s="24" t="str">
        <f>HYPERLINK("https://znanium.ru/catalog/product/1893969", "Ознакомиться")</f>
        <v>Ознакомиться</v>
      </c>
      <c r="W447" s="8" t="s">
        <v>83</v>
      </c>
      <c r="X447" s="6"/>
      <c r="Y447" s="6"/>
      <c r="Z447" s="6"/>
      <c r="AA447" s="6" t="s">
        <v>494</v>
      </c>
      <c r="AB447" s="8"/>
    </row>
    <row r="448" spans="1:28" s="4" customFormat="1" ht="51.95" customHeight="1">
      <c r="A448" s="5">
        <v>0</v>
      </c>
      <c r="B448" s="6" t="s">
        <v>2982</v>
      </c>
      <c r="C448" s="7">
        <v>364</v>
      </c>
      <c r="D448" s="8" t="s">
        <v>2983</v>
      </c>
      <c r="E448" s="8" t="s">
        <v>2984</v>
      </c>
      <c r="F448" s="8" t="s">
        <v>2985</v>
      </c>
      <c r="G448" s="6" t="s">
        <v>38</v>
      </c>
      <c r="H448" s="6" t="s">
        <v>952</v>
      </c>
      <c r="I448" s="8"/>
      <c r="J448" s="9">
        <v>1</v>
      </c>
      <c r="K448" s="9">
        <v>72</v>
      </c>
      <c r="L448" s="9">
        <v>2024</v>
      </c>
      <c r="M448" s="8" t="s">
        <v>2986</v>
      </c>
      <c r="N448" s="8" t="s">
        <v>56</v>
      </c>
      <c r="O448" s="8" t="s">
        <v>57</v>
      </c>
      <c r="P448" s="6" t="s">
        <v>397</v>
      </c>
      <c r="Q448" s="8" t="s">
        <v>44</v>
      </c>
      <c r="R448" s="10" t="s">
        <v>2987</v>
      </c>
      <c r="S448" s="11"/>
      <c r="T448" s="6"/>
      <c r="U448" s="24" t="str">
        <f>HYPERLINK("https://media.infra-m.ru/2083/2083306/cover/2083306.jpg", "Обложка")</f>
        <v>Обложка</v>
      </c>
      <c r="V448" s="24" t="str">
        <f>HYPERLINK("https://znanium.ru/catalog/product/1843638", "Ознакомиться")</f>
        <v>Ознакомиться</v>
      </c>
      <c r="W448" s="8" t="s">
        <v>2988</v>
      </c>
      <c r="X448" s="6"/>
      <c r="Y448" s="6"/>
      <c r="Z448" s="6"/>
      <c r="AA448" s="6" t="s">
        <v>122</v>
      </c>
      <c r="AB448" s="8"/>
    </row>
    <row r="449" spans="1:28" s="4" customFormat="1" ht="51.95" customHeight="1">
      <c r="A449" s="5">
        <v>0</v>
      </c>
      <c r="B449" s="6" t="s">
        <v>2989</v>
      </c>
      <c r="C449" s="7">
        <v>754</v>
      </c>
      <c r="D449" s="8" t="s">
        <v>2990</v>
      </c>
      <c r="E449" s="8" t="s">
        <v>2991</v>
      </c>
      <c r="F449" s="8" t="s">
        <v>2992</v>
      </c>
      <c r="G449" s="6" t="s">
        <v>38</v>
      </c>
      <c r="H449" s="6" t="s">
        <v>952</v>
      </c>
      <c r="I449" s="8"/>
      <c r="J449" s="9">
        <v>1</v>
      </c>
      <c r="K449" s="9">
        <v>160</v>
      </c>
      <c r="L449" s="9">
        <v>2024</v>
      </c>
      <c r="M449" s="8" t="s">
        <v>2993</v>
      </c>
      <c r="N449" s="8" t="s">
        <v>41</v>
      </c>
      <c r="O449" s="8" t="s">
        <v>1007</v>
      </c>
      <c r="P449" s="6" t="s">
        <v>43</v>
      </c>
      <c r="Q449" s="8" t="s">
        <v>58</v>
      </c>
      <c r="R449" s="10" t="s">
        <v>2994</v>
      </c>
      <c r="S449" s="11"/>
      <c r="T449" s="6"/>
      <c r="U449" s="24" t="str">
        <f>HYPERLINK("https://media.infra-m.ru/2083/2083794/cover/2083794.jpg", "Обложка")</f>
        <v>Обложка</v>
      </c>
      <c r="V449" s="24" t="str">
        <f>HYPERLINK("https://znanium.ru/catalog/product/1843562", "Ознакомиться")</f>
        <v>Ознакомиться</v>
      </c>
      <c r="W449" s="8" t="s">
        <v>2995</v>
      </c>
      <c r="X449" s="6"/>
      <c r="Y449" s="6"/>
      <c r="Z449" s="6"/>
      <c r="AA449" s="6" t="s">
        <v>111</v>
      </c>
      <c r="AB449" s="8"/>
    </row>
    <row r="450" spans="1:28" s="4" customFormat="1" ht="42" customHeight="1">
      <c r="A450" s="5">
        <v>0</v>
      </c>
      <c r="B450" s="6" t="s">
        <v>2996</v>
      </c>
      <c r="C450" s="13">
        <v>1150</v>
      </c>
      <c r="D450" s="8" t="s">
        <v>2997</v>
      </c>
      <c r="E450" s="8" t="s">
        <v>2998</v>
      </c>
      <c r="F450" s="8" t="s">
        <v>2999</v>
      </c>
      <c r="G450" s="6" t="s">
        <v>52</v>
      </c>
      <c r="H450" s="6" t="s">
        <v>53</v>
      </c>
      <c r="I450" s="8" t="s">
        <v>116</v>
      </c>
      <c r="J450" s="9">
        <v>1</v>
      </c>
      <c r="K450" s="9">
        <v>200</v>
      </c>
      <c r="L450" s="9">
        <v>2025</v>
      </c>
      <c r="M450" s="8" t="s">
        <v>3000</v>
      </c>
      <c r="N450" s="8" t="s">
        <v>41</v>
      </c>
      <c r="O450" s="8" t="s">
        <v>118</v>
      </c>
      <c r="P450" s="6" t="s">
        <v>43</v>
      </c>
      <c r="Q450" s="8" t="s">
        <v>279</v>
      </c>
      <c r="R450" s="10" t="s">
        <v>3001</v>
      </c>
      <c r="S450" s="11"/>
      <c r="T450" s="6"/>
      <c r="U450" s="24" t="str">
        <f>HYPERLINK("https://media.infra-m.ru/2137/2137955/cover/2137955.jpg", "Обложка")</f>
        <v>Обложка</v>
      </c>
      <c r="V450" s="24" t="str">
        <f>HYPERLINK("https://znanium.ru/catalog/product/2137955", "Ознакомиться")</f>
        <v>Ознакомиться</v>
      </c>
      <c r="W450" s="8" t="s">
        <v>3002</v>
      </c>
      <c r="X450" s="6" t="s">
        <v>60</v>
      </c>
      <c r="Y450" s="6"/>
      <c r="Z450" s="6"/>
      <c r="AA450" s="6" t="s">
        <v>61</v>
      </c>
      <c r="AB450" s="8"/>
    </row>
    <row r="451" spans="1:28" s="4" customFormat="1" ht="51.95" customHeight="1">
      <c r="A451" s="5">
        <v>0</v>
      </c>
      <c r="B451" s="6" t="s">
        <v>3003</v>
      </c>
      <c r="C451" s="13">
        <v>1150</v>
      </c>
      <c r="D451" s="8" t="s">
        <v>3004</v>
      </c>
      <c r="E451" s="8" t="s">
        <v>3005</v>
      </c>
      <c r="F451" s="8" t="s">
        <v>3006</v>
      </c>
      <c r="G451" s="6" t="s">
        <v>89</v>
      </c>
      <c r="H451" s="6" t="s">
        <v>53</v>
      </c>
      <c r="I451" s="8" t="s">
        <v>116</v>
      </c>
      <c r="J451" s="9">
        <v>1</v>
      </c>
      <c r="K451" s="9">
        <v>229</v>
      </c>
      <c r="L451" s="9">
        <v>2025</v>
      </c>
      <c r="M451" s="8" t="s">
        <v>3007</v>
      </c>
      <c r="N451" s="8" t="s">
        <v>41</v>
      </c>
      <c r="O451" s="8" t="s">
        <v>278</v>
      </c>
      <c r="P451" s="6" t="s">
        <v>43</v>
      </c>
      <c r="Q451" s="8" t="s">
        <v>44</v>
      </c>
      <c r="R451" s="10" t="s">
        <v>3008</v>
      </c>
      <c r="S451" s="11" t="s">
        <v>3009</v>
      </c>
      <c r="T451" s="6"/>
      <c r="U451" s="24" t="str">
        <f>HYPERLINK("https://media.infra-m.ru/2174/2174333/cover/2174333.jpg", "Обложка")</f>
        <v>Обложка</v>
      </c>
      <c r="V451" s="24" t="str">
        <f>HYPERLINK("https://znanium.ru/catalog/product/2174333", "Ознакомиться")</f>
        <v>Ознакомиться</v>
      </c>
      <c r="W451" s="8" t="s">
        <v>3010</v>
      </c>
      <c r="X451" s="6"/>
      <c r="Y451" s="6"/>
      <c r="Z451" s="6"/>
      <c r="AA451" s="6" t="s">
        <v>442</v>
      </c>
      <c r="AB451" s="8"/>
    </row>
    <row r="452" spans="1:28" s="4" customFormat="1" ht="51.95" customHeight="1">
      <c r="A452" s="5">
        <v>0</v>
      </c>
      <c r="B452" s="6" t="s">
        <v>3011</v>
      </c>
      <c r="C452" s="13">
        <v>1444</v>
      </c>
      <c r="D452" s="8" t="s">
        <v>3012</v>
      </c>
      <c r="E452" s="8" t="s">
        <v>3013</v>
      </c>
      <c r="F452" s="8" t="s">
        <v>3014</v>
      </c>
      <c r="G452" s="6" t="s">
        <v>89</v>
      </c>
      <c r="H452" s="6" t="s">
        <v>53</v>
      </c>
      <c r="I452" s="8" t="s">
        <v>90</v>
      </c>
      <c r="J452" s="9">
        <v>1</v>
      </c>
      <c r="K452" s="9">
        <v>289</v>
      </c>
      <c r="L452" s="9">
        <v>2025</v>
      </c>
      <c r="M452" s="8" t="s">
        <v>3015</v>
      </c>
      <c r="N452" s="8" t="s">
        <v>41</v>
      </c>
      <c r="O452" s="8" t="s">
        <v>1007</v>
      </c>
      <c r="P452" s="6" t="s">
        <v>167</v>
      </c>
      <c r="Q452" s="8" t="s">
        <v>44</v>
      </c>
      <c r="R452" s="10" t="s">
        <v>3016</v>
      </c>
      <c r="S452" s="11" t="s">
        <v>3017</v>
      </c>
      <c r="T452" s="6"/>
      <c r="U452" s="24" t="str">
        <f>HYPERLINK("https://media.infra-m.ru/2178/2178758/cover/2178758.jpg", "Обложка")</f>
        <v>Обложка</v>
      </c>
      <c r="V452" s="24" t="str">
        <f>HYPERLINK("https://znanium.ru/catalog/product/1877050", "Ознакомиться")</f>
        <v>Ознакомиться</v>
      </c>
      <c r="W452" s="8" t="s">
        <v>3018</v>
      </c>
      <c r="X452" s="6"/>
      <c r="Y452" s="6"/>
      <c r="Z452" s="6"/>
      <c r="AA452" s="6" t="s">
        <v>151</v>
      </c>
      <c r="AB452" s="8" t="s">
        <v>840</v>
      </c>
    </row>
    <row r="453" spans="1:28" s="4" customFormat="1" ht="51.95" customHeight="1">
      <c r="A453" s="5">
        <v>0</v>
      </c>
      <c r="B453" s="6" t="s">
        <v>3019</v>
      </c>
      <c r="C453" s="7">
        <v>890</v>
      </c>
      <c r="D453" s="8" t="s">
        <v>3020</v>
      </c>
      <c r="E453" s="8" t="s">
        <v>3021</v>
      </c>
      <c r="F453" s="8" t="s">
        <v>3022</v>
      </c>
      <c r="G453" s="6" t="s">
        <v>89</v>
      </c>
      <c r="H453" s="6" t="s">
        <v>53</v>
      </c>
      <c r="I453" s="8" t="s">
        <v>116</v>
      </c>
      <c r="J453" s="9">
        <v>1</v>
      </c>
      <c r="K453" s="9">
        <v>192</v>
      </c>
      <c r="L453" s="9">
        <v>2024</v>
      </c>
      <c r="M453" s="8" t="s">
        <v>3023</v>
      </c>
      <c r="N453" s="8" t="s">
        <v>41</v>
      </c>
      <c r="O453" s="8" t="s">
        <v>278</v>
      </c>
      <c r="P453" s="6" t="s">
        <v>43</v>
      </c>
      <c r="Q453" s="8" t="s">
        <v>44</v>
      </c>
      <c r="R453" s="10" t="s">
        <v>1270</v>
      </c>
      <c r="S453" s="11" t="s">
        <v>3024</v>
      </c>
      <c r="T453" s="6"/>
      <c r="U453" s="24" t="str">
        <f>HYPERLINK("https://media.infra-m.ru/2053/2053971/cover/2053971.jpg", "Обложка")</f>
        <v>Обложка</v>
      </c>
      <c r="V453" s="24" t="str">
        <f>HYPERLINK("https://znanium.ru/catalog/product/2053971", "Ознакомиться")</f>
        <v>Ознакомиться</v>
      </c>
      <c r="W453" s="8"/>
      <c r="X453" s="6"/>
      <c r="Y453" s="6"/>
      <c r="Z453" s="6"/>
      <c r="AA453" s="6" t="s">
        <v>614</v>
      </c>
      <c r="AB453" s="8"/>
    </row>
    <row r="454" spans="1:28" s="4" customFormat="1" ht="51.95" customHeight="1">
      <c r="A454" s="5">
        <v>0</v>
      </c>
      <c r="B454" s="6" t="s">
        <v>3025</v>
      </c>
      <c r="C454" s="13">
        <v>1910</v>
      </c>
      <c r="D454" s="8" t="s">
        <v>3026</v>
      </c>
      <c r="E454" s="8" t="s">
        <v>3027</v>
      </c>
      <c r="F454" s="8" t="s">
        <v>3028</v>
      </c>
      <c r="G454" s="6" t="s">
        <v>89</v>
      </c>
      <c r="H454" s="6" t="s">
        <v>53</v>
      </c>
      <c r="I454" s="8" t="s">
        <v>165</v>
      </c>
      <c r="J454" s="9">
        <v>1</v>
      </c>
      <c r="K454" s="9">
        <v>382</v>
      </c>
      <c r="L454" s="9">
        <v>2025</v>
      </c>
      <c r="M454" s="8" t="s">
        <v>3029</v>
      </c>
      <c r="N454" s="8" t="s">
        <v>79</v>
      </c>
      <c r="O454" s="8" t="s">
        <v>80</v>
      </c>
      <c r="P454" s="6" t="s">
        <v>43</v>
      </c>
      <c r="Q454" s="8" t="s">
        <v>44</v>
      </c>
      <c r="R454" s="10" t="s">
        <v>3030</v>
      </c>
      <c r="S454" s="11" t="s">
        <v>3031</v>
      </c>
      <c r="T454" s="6" t="s">
        <v>299</v>
      </c>
      <c r="U454" s="24" t="str">
        <f>HYPERLINK("https://media.infra-m.ru/2188/2188733/cover/2188733.jpg", "Обложка")</f>
        <v>Обложка</v>
      </c>
      <c r="V454" s="24" t="str">
        <f>HYPERLINK("https://znanium.ru/catalog/product/2188733", "Ознакомиться")</f>
        <v>Ознакомиться</v>
      </c>
      <c r="W454" s="8" t="s">
        <v>83</v>
      </c>
      <c r="X454" s="6"/>
      <c r="Y454" s="6"/>
      <c r="Z454" s="6"/>
      <c r="AA454" s="6" t="s">
        <v>513</v>
      </c>
      <c r="AB454" s="8"/>
    </row>
    <row r="455" spans="1:28" s="4" customFormat="1" ht="51.95" customHeight="1">
      <c r="A455" s="5">
        <v>0</v>
      </c>
      <c r="B455" s="6" t="s">
        <v>3032</v>
      </c>
      <c r="C455" s="13">
        <v>1120</v>
      </c>
      <c r="D455" s="8" t="s">
        <v>3033</v>
      </c>
      <c r="E455" s="8" t="s">
        <v>3034</v>
      </c>
      <c r="F455" s="8" t="s">
        <v>3035</v>
      </c>
      <c r="G455" s="6" t="s">
        <v>89</v>
      </c>
      <c r="H455" s="6" t="s">
        <v>53</v>
      </c>
      <c r="I455" s="8" t="s">
        <v>90</v>
      </c>
      <c r="J455" s="9">
        <v>1</v>
      </c>
      <c r="K455" s="9">
        <v>352</v>
      </c>
      <c r="L455" s="9">
        <v>2019</v>
      </c>
      <c r="M455" s="8" t="s">
        <v>3036</v>
      </c>
      <c r="N455" s="8" t="s">
        <v>79</v>
      </c>
      <c r="O455" s="8" t="s">
        <v>80</v>
      </c>
      <c r="P455" s="6" t="s">
        <v>43</v>
      </c>
      <c r="Q455" s="8" t="s">
        <v>44</v>
      </c>
      <c r="R455" s="10" t="s">
        <v>3030</v>
      </c>
      <c r="S455" s="11" t="s">
        <v>3037</v>
      </c>
      <c r="T455" s="6" t="s">
        <v>299</v>
      </c>
      <c r="U455" s="24" t="str">
        <f>HYPERLINK("https://media.infra-m.ru/1002/1002364/cover/1002364.jpg", "Обложка")</f>
        <v>Обложка</v>
      </c>
      <c r="V455" s="24" t="str">
        <f>HYPERLINK("https://znanium.ru/catalog/product/2188733", "Ознакомиться")</f>
        <v>Ознакомиться</v>
      </c>
      <c r="W455" s="8" t="s">
        <v>83</v>
      </c>
      <c r="X455" s="6"/>
      <c r="Y455" s="6"/>
      <c r="Z455" s="6"/>
      <c r="AA455" s="6" t="s">
        <v>72</v>
      </c>
      <c r="AB455" s="8"/>
    </row>
    <row r="456" spans="1:28" s="4" customFormat="1" ht="51.95" customHeight="1">
      <c r="A456" s="5">
        <v>0</v>
      </c>
      <c r="B456" s="6" t="s">
        <v>3038</v>
      </c>
      <c r="C456" s="13">
        <v>1320</v>
      </c>
      <c r="D456" s="8" t="s">
        <v>3039</v>
      </c>
      <c r="E456" s="8" t="s">
        <v>3040</v>
      </c>
      <c r="F456" s="8" t="s">
        <v>3041</v>
      </c>
      <c r="G456" s="6" t="s">
        <v>89</v>
      </c>
      <c r="H456" s="6" t="s">
        <v>53</v>
      </c>
      <c r="I456" s="8" t="s">
        <v>1223</v>
      </c>
      <c r="J456" s="9">
        <v>1</v>
      </c>
      <c r="K456" s="9">
        <v>287</v>
      </c>
      <c r="L456" s="9">
        <v>2024</v>
      </c>
      <c r="M456" s="8" t="s">
        <v>3042</v>
      </c>
      <c r="N456" s="8" t="s">
        <v>79</v>
      </c>
      <c r="O456" s="8" t="s">
        <v>80</v>
      </c>
      <c r="P456" s="6" t="s">
        <v>43</v>
      </c>
      <c r="Q456" s="8" t="s">
        <v>44</v>
      </c>
      <c r="R456" s="10" t="s">
        <v>3043</v>
      </c>
      <c r="S456" s="11" t="s">
        <v>3044</v>
      </c>
      <c r="T456" s="6"/>
      <c r="U456" s="24" t="str">
        <f>HYPERLINK("https://media.infra-m.ru/2122/2122963/cover/2122963.jpg", "Обложка")</f>
        <v>Обложка</v>
      </c>
      <c r="V456" s="24" t="str">
        <f>HYPERLINK("https://znanium.ru/catalog/product/2122963", "Ознакомиться")</f>
        <v>Ознакомиться</v>
      </c>
      <c r="W456" s="8" t="s">
        <v>83</v>
      </c>
      <c r="X456" s="6"/>
      <c r="Y456" s="6"/>
      <c r="Z456" s="6"/>
      <c r="AA456" s="6" t="s">
        <v>2657</v>
      </c>
      <c r="AB456" s="8"/>
    </row>
    <row r="457" spans="1:28" s="4" customFormat="1" ht="42" customHeight="1">
      <c r="A457" s="5">
        <v>0</v>
      </c>
      <c r="B457" s="6" t="s">
        <v>3045</v>
      </c>
      <c r="C457" s="13">
        <v>1440</v>
      </c>
      <c r="D457" s="8" t="s">
        <v>3046</v>
      </c>
      <c r="E457" s="8" t="s">
        <v>3040</v>
      </c>
      <c r="F457" s="8" t="s">
        <v>3041</v>
      </c>
      <c r="G457" s="6" t="s">
        <v>89</v>
      </c>
      <c r="H457" s="6" t="s">
        <v>53</v>
      </c>
      <c r="I457" s="8" t="s">
        <v>100</v>
      </c>
      <c r="J457" s="9">
        <v>1</v>
      </c>
      <c r="K457" s="9">
        <v>287</v>
      </c>
      <c r="L457" s="9">
        <v>2025</v>
      </c>
      <c r="M457" s="8" t="s">
        <v>3047</v>
      </c>
      <c r="N457" s="8" t="s">
        <v>79</v>
      </c>
      <c r="O457" s="8" t="s">
        <v>80</v>
      </c>
      <c r="P457" s="6" t="s">
        <v>43</v>
      </c>
      <c r="Q457" s="8" t="s">
        <v>102</v>
      </c>
      <c r="R457" s="10" t="s">
        <v>3048</v>
      </c>
      <c r="S457" s="11"/>
      <c r="T457" s="6"/>
      <c r="U457" s="24" t="str">
        <f>HYPERLINK("https://media.infra-m.ru/2164/2164154/cover/2164154.jpg", "Обложка")</f>
        <v>Обложка</v>
      </c>
      <c r="V457" s="24" t="str">
        <f>HYPERLINK("https://znanium.ru/catalog/product/2164154", "Ознакомиться")</f>
        <v>Ознакомиться</v>
      </c>
      <c r="W457" s="8" t="s">
        <v>83</v>
      </c>
      <c r="X457" s="6" t="s">
        <v>1049</v>
      </c>
      <c r="Y457" s="6"/>
      <c r="Z457" s="6" t="s">
        <v>104</v>
      </c>
      <c r="AA457" s="6" t="s">
        <v>818</v>
      </c>
      <c r="AB457" s="8"/>
    </row>
    <row r="458" spans="1:28" s="4" customFormat="1" ht="51.95" customHeight="1">
      <c r="A458" s="5">
        <v>0</v>
      </c>
      <c r="B458" s="6" t="s">
        <v>3049</v>
      </c>
      <c r="C458" s="13">
        <v>1480</v>
      </c>
      <c r="D458" s="8" t="s">
        <v>3050</v>
      </c>
      <c r="E458" s="8" t="s">
        <v>3051</v>
      </c>
      <c r="F458" s="8" t="s">
        <v>3052</v>
      </c>
      <c r="G458" s="6" t="s">
        <v>89</v>
      </c>
      <c r="H458" s="6" t="s">
        <v>77</v>
      </c>
      <c r="I458" s="8" t="s">
        <v>100</v>
      </c>
      <c r="J458" s="9">
        <v>1</v>
      </c>
      <c r="K458" s="9">
        <v>296</v>
      </c>
      <c r="L458" s="9">
        <v>2025</v>
      </c>
      <c r="M458" s="8" t="s">
        <v>3053</v>
      </c>
      <c r="N458" s="8" t="s">
        <v>41</v>
      </c>
      <c r="O458" s="8" t="s">
        <v>278</v>
      </c>
      <c r="P458" s="6" t="s">
        <v>167</v>
      </c>
      <c r="Q458" s="8" t="s">
        <v>102</v>
      </c>
      <c r="R458" s="10" t="s">
        <v>1349</v>
      </c>
      <c r="S458" s="11" t="s">
        <v>3054</v>
      </c>
      <c r="T458" s="6"/>
      <c r="U458" s="24" t="str">
        <f>HYPERLINK("https://media.infra-m.ru/2139/2139027/cover/2139027.jpg", "Обложка")</f>
        <v>Обложка</v>
      </c>
      <c r="V458" s="24" t="str">
        <f>HYPERLINK("https://znanium.ru/catalog/product/2139027", "Ознакомиться")</f>
        <v>Ознакомиться</v>
      </c>
      <c r="W458" s="8"/>
      <c r="X458" s="6"/>
      <c r="Y458" s="6"/>
      <c r="Z458" s="6" t="s">
        <v>104</v>
      </c>
      <c r="AA458" s="6" t="s">
        <v>151</v>
      </c>
      <c r="AB458" s="8"/>
    </row>
    <row r="459" spans="1:28" s="4" customFormat="1" ht="44.1" customHeight="1">
      <c r="A459" s="5">
        <v>0</v>
      </c>
      <c r="B459" s="6" t="s">
        <v>3055</v>
      </c>
      <c r="C459" s="13">
        <v>1590</v>
      </c>
      <c r="D459" s="8" t="s">
        <v>3056</v>
      </c>
      <c r="E459" s="8" t="s">
        <v>3051</v>
      </c>
      <c r="F459" s="8" t="s">
        <v>3057</v>
      </c>
      <c r="G459" s="6" t="s">
        <v>89</v>
      </c>
      <c r="H459" s="6" t="s">
        <v>77</v>
      </c>
      <c r="I459" s="8"/>
      <c r="J459" s="9">
        <v>1</v>
      </c>
      <c r="K459" s="9">
        <v>296</v>
      </c>
      <c r="L459" s="9">
        <v>2025</v>
      </c>
      <c r="M459" s="8" t="s">
        <v>3058</v>
      </c>
      <c r="N459" s="8" t="s">
        <v>41</v>
      </c>
      <c r="O459" s="8" t="s">
        <v>278</v>
      </c>
      <c r="P459" s="6" t="s">
        <v>167</v>
      </c>
      <c r="Q459" s="8" t="s">
        <v>44</v>
      </c>
      <c r="R459" s="10" t="s">
        <v>3043</v>
      </c>
      <c r="S459" s="11"/>
      <c r="T459" s="6"/>
      <c r="U459" s="24" t="str">
        <f>HYPERLINK("https://media.infra-m.ru/2202/2202589/cover/2202589.jpg", "Обложка")</f>
        <v>Обложка</v>
      </c>
      <c r="V459" s="24" t="str">
        <f>HYPERLINK("https://znanium.ru/catalog/product/2202589", "Ознакомиться")</f>
        <v>Ознакомиться</v>
      </c>
      <c r="W459" s="8"/>
      <c r="X459" s="6"/>
      <c r="Y459" s="6"/>
      <c r="Z459" s="6"/>
      <c r="AA459" s="6" t="s">
        <v>47</v>
      </c>
      <c r="AB459" s="8"/>
    </row>
    <row r="460" spans="1:28" s="4" customFormat="1" ht="51.95" customHeight="1">
      <c r="A460" s="5">
        <v>0</v>
      </c>
      <c r="B460" s="6" t="s">
        <v>3059</v>
      </c>
      <c r="C460" s="7">
        <v>383</v>
      </c>
      <c r="D460" s="8" t="s">
        <v>3060</v>
      </c>
      <c r="E460" s="8" t="s">
        <v>3051</v>
      </c>
      <c r="F460" s="8" t="s">
        <v>3061</v>
      </c>
      <c r="G460" s="6" t="s">
        <v>38</v>
      </c>
      <c r="H460" s="6" t="s">
        <v>184</v>
      </c>
      <c r="I460" s="8" t="s">
        <v>3062</v>
      </c>
      <c r="J460" s="9">
        <v>1</v>
      </c>
      <c r="K460" s="9">
        <v>81</v>
      </c>
      <c r="L460" s="9">
        <v>2024</v>
      </c>
      <c r="M460" s="8" t="s">
        <v>3063</v>
      </c>
      <c r="N460" s="8" t="s">
        <v>41</v>
      </c>
      <c r="O460" s="8" t="s">
        <v>278</v>
      </c>
      <c r="P460" s="6" t="s">
        <v>43</v>
      </c>
      <c r="Q460" s="8" t="s">
        <v>44</v>
      </c>
      <c r="R460" s="10" t="s">
        <v>3064</v>
      </c>
      <c r="S460" s="11"/>
      <c r="T460" s="6"/>
      <c r="U460" s="24" t="str">
        <f>HYPERLINK("https://media.infra-m.ru/2147/2147884/cover/2147884.jpg", "Обложка")</f>
        <v>Обложка</v>
      </c>
      <c r="V460" s="24" t="str">
        <f>HYPERLINK("https://znanium.ru/catalog/product/2147884", "Ознакомиться")</f>
        <v>Ознакомиться</v>
      </c>
      <c r="W460" s="8"/>
      <c r="X460" s="6"/>
      <c r="Y460" s="6"/>
      <c r="Z460" s="6"/>
      <c r="AA460" s="6" t="s">
        <v>3065</v>
      </c>
      <c r="AB460" s="8"/>
    </row>
    <row r="461" spans="1:28" s="4" customFormat="1" ht="51.95" customHeight="1">
      <c r="A461" s="5">
        <v>0</v>
      </c>
      <c r="B461" s="6" t="s">
        <v>3066</v>
      </c>
      <c r="C461" s="7">
        <v>430</v>
      </c>
      <c r="D461" s="8" t="s">
        <v>3067</v>
      </c>
      <c r="E461" s="8" t="s">
        <v>3051</v>
      </c>
      <c r="F461" s="8" t="s">
        <v>3068</v>
      </c>
      <c r="G461" s="6" t="s">
        <v>38</v>
      </c>
      <c r="H461" s="6" t="s">
        <v>184</v>
      </c>
      <c r="I461" s="8" t="s">
        <v>185</v>
      </c>
      <c r="J461" s="9">
        <v>1</v>
      </c>
      <c r="K461" s="9">
        <v>81</v>
      </c>
      <c r="L461" s="9">
        <v>2025</v>
      </c>
      <c r="M461" s="8" t="s">
        <v>3069</v>
      </c>
      <c r="N461" s="8" t="s">
        <v>41</v>
      </c>
      <c r="O461" s="8" t="s">
        <v>278</v>
      </c>
      <c r="P461" s="6" t="s">
        <v>43</v>
      </c>
      <c r="Q461" s="8" t="s">
        <v>102</v>
      </c>
      <c r="R461" s="10" t="s">
        <v>1349</v>
      </c>
      <c r="S461" s="11"/>
      <c r="T461" s="6"/>
      <c r="U461" s="24" t="str">
        <f>HYPERLINK("https://media.infra-m.ru/2183/2183395/cover/2183395.jpg", "Обложка")</f>
        <v>Обложка</v>
      </c>
      <c r="V461" s="24" t="str">
        <f>HYPERLINK("https://znanium.ru/catalog/product/2183395", "Ознакомиться")</f>
        <v>Ознакомиться</v>
      </c>
      <c r="W461" s="8"/>
      <c r="X461" s="6"/>
      <c r="Y461" s="6"/>
      <c r="Z461" s="6" t="s">
        <v>104</v>
      </c>
      <c r="AA461" s="6" t="s">
        <v>151</v>
      </c>
      <c r="AB461" s="8"/>
    </row>
    <row r="462" spans="1:28" s="4" customFormat="1" ht="51.95" customHeight="1">
      <c r="A462" s="5">
        <v>0</v>
      </c>
      <c r="B462" s="6" t="s">
        <v>3070</v>
      </c>
      <c r="C462" s="13">
        <v>1414</v>
      </c>
      <c r="D462" s="8" t="s">
        <v>3071</v>
      </c>
      <c r="E462" s="8" t="s">
        <v>3072</v>
      </c>
      <c r="F462" s="8" t="s">
        <v>3073</v>
      </c>
      <c r="G462" s="6" t="s">
        <v>38</v>
      </c>
      <c r="H462" s="6" t="s">
        <v>39</v>
      </c>
      <c r="I462" s="8" t="s">
        <v>100</v>
      </c>
      <c r="J462" s="9">
        <v>1</v>
      </c>
      <c r="K462" s="9">
        <v>272</v>
      </c>
      <c r="L462" s="9">
        <v>2025</v>
      </c>
      <c r="M462" s="8" t="s">
        <v>3074</v>
      </c>
      <c r="N462" s="8" t="s">
        <v>41</v>
      </c>
      <c r="O462" s="8" t="s">
        <v>278</v>
      </c>
      <c r="P462" s="6" t="s">
        <v>43</v>
      </c>
      <c r="Q462" s="8" t="s">
        <v>102</v>
      </c>
      <c r="R462" s="10" t="s">
        <v>1197</v>
      </c>
      <c r="S462" s="11" t="s">
        <v>3075</v>
      </c>
      <c r="T462" s="6"/>
      <c r="U462" s="24" t="str">
        <f>HYPERLINK("https://media.infra-m.ru/2196/2196860/cover/2196860.jpg", "Обложка")</f>
        <v>Обложка</v>
      </c>
      <c r="V462" s="24" t="str">
        <f>HYPERLINK("https://znanium.ru/catalog/product/1839669", "Ознакомиться")</f>
        <v>Ознакомиться</v>
      </c>
      <c r="W462" s="8" t="s">
        <v>189</v>
      </c>
      <c r="X462" s="6"/>
      <c r="Y462" s="6"/>
      <c r="Z462" s="6"/>
      <c r="AA462" s="6" t="s">
        <v>244</v>
      </c>
      <c r="AB462" s="8"/>
    </row>
    <row r="463" spans="1:28" s="4" customFormat="1" ht="51.95" customHeight="1">
      <c r="A463" s="5">
        <v>0</v>
      </c>
      <c r="B463" s="6" t="s">
        <v>3076</v>
      </c>
      <c r="C463" s="13">
        <v>1444</v>
      </c>
      <c r="D463" s="8" t="s">
        <v>3077</v>
      </c>
      <c r="E463" s="8" t="s">
        <v>3078</v>
      </c>
      <c r="F463" s="8" t="s">
        <v>3079</v>
      </c>
      <c r="G463" s="6" t="s">
        <v>89</v>
      </c>
      <c r="H463" s="6" t="s">
        <v>53</v>
      </c>
      <c r="I463" s="8" t="s">
        <v>100</v>
      </c>
      <c r="J463" s="9">
        <v>1</v>
      </c>
      <c r="K463" s="9">
        <v>288</v>
      </c>
      <c r="L463" s="9">
        <v>2025</v>
      </c>
      <c r="M463" s="8" t="s">
        <v>3080</v>
      </c>
      <c r="N463" s="8" t="s">
        <v>41</v>
      </c>
      <c r="O463" s="8" t="s">
        <v>278</v>
      </c>
      <c r="P463" s="6" t="s">
        <v>43</v>
      </c>
      <c r="Q463" s="8" t="s">
        <v>102</v>
      </c>
      <c r="R463" s="10" t="s">
        <v>1349</v>
      </c>
      <c r="S463" s="11" t="s">
        <v>3081</v>
      </c>
      <c r="T463" s="6"/>
      <c r="U463" s="24" t="str">
        <f>HYPERLINK("https://media.infra-m.ru/2185/2185920/cover/2185920.jpg", "Обложка")</f>
        <v>Обложка</v>
      </c>
      <c r="V463" s="24" t="str">
        <f>HYPERLINK("https://znanium.ru/catalog/product/1832175", "Ознакомиться")</f>
        <v>Ознакомиться</v>
      </c>
      <c r="W463" s="8"/>
      <c r="X463" s="6"/>
      <c r="Y463" s="6"/>
      <c r="Z463" s="6"/>
      <c r="AA463" s="6" t="s">
        <v>663</v>
      </c>
      <c r="AB463" s="8"/>
    </row>
    <row r="464" spans="1:28" s="4" customFormat="1" ht="51.95" customHeight="1">
      <c r="A464" s="5">
        <v>0</v>
      </c>
      <c r="B464" s="6" t="s">
        <v>3082</v>
      </c>
      <c r="C464" s="13">
        <v>1250</v>
      </c>
      <c r="D464" s="8" t="s">
        <v>3083</v>
      </c>
      <c r="E464" s="8" t="s">
        <v>3051</v>
      </c>
      <c r="F464" s="8" t="s">
        <v>3084</v>
      </c>
      <c r="G464" s="6" t="s">
        <v>89</v>
      </c>
      <c r="H464" s="6" t="s">
        <v>649</v>
      </c>
      <c r="I464" s="8" t="s">
        <v>58</v>
      </c>
      <c r="J464" s="9">
        <v>1</v>
      </c>
      <c r="K464" s="9">
        <v>240</v>
      </c>
      <c r="L464" s="9">
        <v>2025</v>
      </c>
      <c r="M464" s="8" t="s">
        <v>3085</v>
      </c>
      <c r="N464" s="8" t="s">
        <v>41</v>
      </c>
      <c r="O464" s="8" t="s">
        <v>278</v>
      </c>
      <c r="P464" s="6" t="s">
        <v>43</v>
      </c>
      <c r="Q464" s="8" t="s">
        <v>102</v>
      </c>
      <c r="R464" s="10" t="s">
        <v>1349</v>
      </c>
      <c r="S464" s="11" t="s">
        <v>3086</v>
      </c>
      <c r="T464" s="6"/>
      <c r="U464" s="24" t="str">
        <f>HYPERLINK("https://media.infra-m.ru/2193/2193242/cover/2193242.jpg", "Обложка")</f>
        <v>Обложка</v>
      </c>
      <c r="V464" s="24" t="str">
        <f>HYPERLINK("https://znanium.ru/catalog/product/2193242", "Ознакомиться")</f>
        <v>Ознакомиться</v>
      </c>
      <c r="W464" s="8" t="s">
        <v>1345</v>
      </c>
      <c r="X464" s="6"/>
      <c r="Y464" s="6"/>
      <c r="Z464" s="6"/>
      <c r="AA464" s="6" t="s">
        <v>1135</v>
      </c>
      <c r="AB464" s="8"/>
    </row>
    <row r="465" spans="1:28" s="4" customFormat="1" ht="51.95" customHeight="1">
      <c r="A465" s="5">
        <v>0</v>
      </c>
      <c r="B465" s="6" t="s">
        <v>3087</v>
      </c>
      <c r="C465" s="13">
        <v>1090</v>
      </c>
      <c r="D465" s="8" t="s">
        <v>3088</v>
      </c>
      <c r="E465" s="8" t="s">
        <v>3089</v>
      </c>
      <c r="F465" s="8" t="s">
        <v>3090</v>
      </c>
      <c r="G465" s="6" t="s">
        <v>89</v>
      </c>
      <c r="H465" s="6" t="s">
        <v>53</v>
      </c>
      <c r="I465" s="8" t="s">
        <v>116</v>
      </c>
      <c r="J465" s="9">
        <v>1</v>
      </c>
      <c r="K465" s="9">
        <v>236</v>
      </c>
      <c r="L465" s="9">
        <v>2023</v>
      </c>
      <c r="M465" s="8" t="s">
        <v>3091</v>
      </c>
      <c r="N465" s="8" t="s">
        <v>41</v>
      </c>
      <c r="O465" s="8" t="s">
        <v>278</v>
      </c>
      <c r="P465" s="6" t="s">
        <v>167</v>
      </c>
      <c r="Q465" s="8" t="s">
        <v>58</v>
      </c>
      <c r="R465" s="10" t="s">
        <v>3092</v>
      </c>
      <c r="S465" s="11" t="s">
        <v>3093</v>
      </c>
      <c r="T465" s="6" t="s">
        <v>299</v>
      </c>
      <c r="U465" s="24" t="str">
        <f>HYPERLINK("https://media.infra-m.ru/2030/2030718/cover/2030718.jpg", "Обложка")</f>
        <v>Обложка</v>
      </c>
      <c r="V465" s="24" t="str">
        <f>HYPERLINK("https://znanium.ru/catalog/product/1875854", "Ознакомиться")</f>
        <v>Ознакомиться</v>
      </c>
      <c r="W465" s="8" t="s">
        <v>2201</v>
      </c>
      <c r="X465" s="6"/>
      <c r="Y465" s="6"/>
      <c r="Z465" s="6"/>
      <c r="AA465" s="6" t="s">
        <v>219</v>
      </c>
      <c r="AB465" s="8"/>
    </row>
    <row r="466" spans="1:28" s="4" customFormat="1" ht="51.95" customHeight="1">
      <c r="A466" s="5">
        <v>0</v>
      </c>
      <c r="B466" s="6" t="s">
        <v>3094</v>
      </c>
      <c r="C466" s="13">
        <v>1312</v>
      </c>
      <c r="D466" s="8" t="s">
        <v>3095</v>
      </c>
      <c r="E466" s="8" t="s">
        <v>3096</v>
      </c>
      <c r="F466" s="8" t="s">
        <v>3097</v>
      </c>
      <c r="G466" s="6" t="s">
        <v>89</v>
      </c>
      <c r="H466" s="6" t="s">
        <v>53</v>
      </c>
      <c r="I466" s="8" t="s">
        <v>90</v>
      </c>
      <c r="J466" s="9">
        <v>1</v>
      </c>
      <c r="K466" s="9">
        <v>200</v>
      </c>
      <c r="L466" s="9">
        <v>2023</v>
      </c>
      <c r="M466" s="8" t="s">
        <v>3098</v>
      </c>
      <c r="N466" s="8" t="s">
        <v>413</v>
      </c>
      <c r="O466" s="8" t="s">
        <v>414</v>
      </c>
      <c r="P466" s="6" t="s">
        <v>43</v>
      </c>
      <c r="Q466" s="8" t="s">
        <v>44</v>
      </c>
      <c r="R466" s="10" t="s">
        <v>3099</v>
      </c>
      <c r="S466" s="11" t="s">
        <v>3100</v>
      </c>
      <c r="T466" s="6"/>
      <c r="U466" s="24" t="str">
        <f>HYPERLINK("https://media.infra-m.ru/1908/1908825/cover/1908825.jpg", "Обложка")</f>
        <v>Обложка</v>
      </c>
      <c r="V466" s="24" t="str">
        <f>HYPERLINK("https://znanium.ru/catalog/product/1908825", "Ознакомиться")</f>
        <v>Ознакомиться</v>
      </c>
      <c r="W466" s="8" t="s">
        <v>918</v>
      </c>
      <c r="X466" s="6"/>
      <c r="Y466" s="6"/>
      <c r="Z466" s="6"/>
      <c r="AA466" s="6" t="s">
        <v>1374</v>
      </c>
      <c r="AB466" s="8"/>
    </row>
    <row r="467" spans="1:28" s="4" customFormat="1" ht="51.95" customHeight="1">
      <c r="A467" s="5">
        <v>0</v>
      </c>
      <c r="B467" s="6" t="s">
        <v>3101</v>
      </c>
      <c r="C467" s="13">
        <v>1590</v>
      </c>
      <c r="D467" s="8" t="s">
        <v>3102</v>
      </c>
      <c r="E467" s="8" t="s">
        <v>3103</v>
      </c>
      <c r="F467" s="8" t="s">
        <v>3104</v>
      </c>
      <c r="G467" s="6" t="s">
        <v>89</v>
      </c>
      <c r="H467" s="6" t="s">
        <v>53</v>
      </c>
      <c r="I467" s="8" t="s">
        <v>90</v>
      </c>
      <c r="J467" s="9">
        <v>1</v>
      </c>
      <c r="K467" s="9">
        <v>320</v>
      </c>
      <c r="L467" s="9">
        <v>2023</v>
      </c>
      <c r="M467" s="8" t="s">
        <v>3105</v>
      </c>
      <c r="N467" s="8" t="s">
        <v>79</v>
      </c>
      <c r="O467" s="8" t="s">
        <v>684</v>
      </c>
      <c r="P467" s="6" t="s">
        <v>167</v>
      </c>
      <c r="Q467" s="8" t="s">
        <v>44</v>
      </c>
      <c r="R467" s="10" t="s">
        <v>3106</v>
      </c>
      <c r="S467" s="11" t="s">
        <v>3107</v>
      </c>
      <c r="T467" s="6" t="s">
        <v>299</v>
      </c>
      <c r="U467" s="24" t="str">
        <f>HYPERLINK("https://media.infra-m.ru/1899/1899887/cover/1899887.jpg", "Обложка")</f>
        <v>Обложка</v>
      </c>
      <c r="V467" s="24" t="str">
        <f>HYPERLINK("https://znanium.ru/catalog/product/1899887", "Ознакомиться")</f>
        <v>Ознакомиться</v>
      </c>
      <c r="W467" s="8" t="s">
        <v>637</v>
      </c>
      <c r="X467" s="6"/>
      <c r="Y467" s="6"/>
      <c r="Z467" s="6"/>
      <c r="AA467" s="6" t="s">
        <v>418</v>
      </c>
      <c r="AB467" s="8"/>
    </row>
    <row r="468" spans="1:28" s="4" customFormat="1" ht="44.1" customHeight="1">
      <c r="A468" s="5">
        <v>0</v>
      </c>
      <c r="B468" s="6" t="s">
        <v>3108</v>
      </c>
      <c r="C468" s="7">
        <v>854</v>
      </c>
      <c r="D468" s="8" t="s">
        <v>3109</v>
      </c>
      <c r="E468" s="8" t="s">
        <v>3110</v>
      </c>
      <c r="F468" s="8" t="s">
        <v>3111</v>
      </c>
      <c r="G468" s="6" t="s">
        <v>52</v>
      </c>
      <c r="H468" s="6" t="s">
        <v>53</v>
      </c>
      <c r="I468" s="8" t="s">
        <v>100</v>
      </c>
      <c r="J468" s="9">
        <v>1</v>
      </c>
      <c r="K468" s="9">
        <v>171</v>
      </c>
      <c r="L468" s="9">
        <v>2023</v>
      </c>
      <c r="M468" s="8" t="s">
        <v>3112</v>
      </c>
      <c r="N468" s="8" t="s">
        <v>79</v>
      </c>
      <c r="O468" s="8" t="s">
        <v>684</v>
      </c>
      <c r="P468" s="6" t="s">
        <v>43</v>
      </c>
      <c r="Q468" s="8" t="s">
        <v>102</v>
      </c>
      <c r="R468" s="10" t="s">
        <v>3113</v>
      </c>
      <c r="S468" s="11"/>
      <c r="T468" s="6"/>
      <c r="U468" s="24" t="str">
        <f>HYPERLINK("https://media.infra-m.ru/2089/2089314/cover/2089314.jpg", "Обложка")</f>
        <v>Обложка</v>
      </c>
      <c r="V468" s="24" t="str">
        <f>HYPERLINK("https://znanium.ru/catalog/product/1896453", "Ознакомиться")</f>
        <v>Ознакомиться</v>
      </c>
      <c r="W468" s="8" t="s">
        <v>637</v>
      </c>
      <c r="X468" s="6"/>
      <c r="Y468" s="6"/>
      <c r="Z468" s="6"/>
      <c r="AA468" s="6" t="s">
        <v>207</v>
      </c>
      <c r="AB468" s="8" t="s">
        <v>1733</v>
      </c>
    </row>
    <row r="469" spans="1:28" s="4" customFormat="1" ht="51.95" customHeight="1">
      <c r="A469" s="5">
        <v>0</v>
      </c>
      <c r="B469" s="6" t="s">
        <v>3114</v>
      </c>
      <c r="C469" s="13">
        <v>1340</v>
      </c>
      <c r="D469" s="8" t="s">
        <v>3115</v>
      </c>
      <c r="E469" s="8" t="s">
        <v>3116</v>
      </c>
      <c r="F469" s="8" t="s">
        <v>3111</v>
      </c>
      <c r="G469" s="6" t="s">
        <v>89</v>
      </c>
      <c r="H469" s="6" t="s">
        <v>53</v>
      </c>
      <c r="I469" s="8" t="s">
        <v>90</v>
      </c>
      <c r="J469" s="9">
        <v>1</v>
      </c>
      <c r="K469" s="9">
        <v>296</v>
      </c>
      <c r="L469" s="9">
        <v>2023</v>
      </c>
      <c r="M469" s="8" t="s">
        <v>3117</v>
      </c>
      <c r="N469" s="8" t="s">
        <v>79</v>
      </c>
      <c r="O469" s="8" t="s">
        <v>684</v>
      </c>
      <c r="P469" s="6" t="s">
        <v>167</v>
      </c>
      <c r="Q469" s="8" t="s">
        <v>44</v>
      </c>
      <c r="R469" s="10" t="s">
        <v>3118</v>
      </c>
      <c r="S469" s="11" t="s">
        <v>3119</v>
      </c>
      <c r="T469" s="6"/>
      <c r="U469" s="24" t="str">
        <f>HYPERLINK("https://media.infra-m.ru/1908/1908808/cover/1908808.jpg", "Обложка")</f>
        <v>Обложка</v>
      </c>
      <c r="V469" s="24" t="str">
        <f>HYPERLINK("https://znanium.ru/catalog/product/1908808", "Ознакомиться")</f>
        <v>Ознакомиться</v>
      </c>
      <c r="W469" s="8" t="s">
        <v>637</v>
      </c>
      <c r="X469" s="6"/>
      <c r="Y469" s="6"/>
      <c r="Z469" s="6"/>
      <c r="AA469" s="6" t="s">
        <v>418</v>
      </c>
      <c r="AB469" s="8"/>
    </row>
    <row r="470" spans="1:28" s="4" customFormat="1" ht="51.95" customHeight="1">
      <c r="A470" s="5">
        <v>0</v>
      </c>
      <c r="B470" s="6" t="s">
        <v>3120</v>
      </c>
      <c r="C470" s="7">
        <v>604.9</v>
      </c>
      <c r="D470" s="8" t="s">
        <v>3121</v>
      </c>
      <c r="E470" s="8" t="s">
        <v>3122</v>
      </c>
      <c r="F470" s="8" t="s">
        <v>3123</v>
      </c>
      <c r="G470" s="6" t="s">
        <v>52</v>
      </c>
      <c r="H470" s="6" t="s">
        <v>53</v>
      </c>
      <c r="I470" s="8" t="s">
        <v>90</v>
      </c>
      <c r="J470" s="9">
        <v>1</v>
      </c>
      <c r="K470" s="9">
        <v>160</v>
      </c>
      <c r="L470" s="9">
        <v>2022</v>
      </c>
      <c r="M470" s="8" t="s">
        <v>3124</v>
      </c>
      <c r="N470" s="8" t="s">
        <v>79</v>
      </c>
      <c r="O470" s="8" t="s">
        <v>684</v>
      </c>
      <c r="P470" s="6" t="s">
        <v>43</v>
      </c>
      <c r="Q470" s="8" t="s">
        <v>44</v>
      </c>
      <c r="R470" s="10" t="s">
        <v>3125</v>
      </c>
      <c r="S470" s="11" t="s">
        <v>3126</v>
      </c>
      <c r="T470" s="6"/>
      <c r="U470" s="24" t="str">
        <f>HYPERLINK("https://media.infra-m.ru/1809/1809917/cover/1809917.jpg", "Обложка")</f>
        <v>Обложка</v>
      </c>
      <c r="V470" s="24" t="str">
        <f>HYPERLINK("https://znanium.ru/catalog/product/1210541", "Ознакомиться")</f>
        <v>Ознакомиться</v>
      </c>
      <c r="W470" s="8" t="s">
        <v>637</v>
      </c>
      <c r="X470" s="6"/>
      <c r="Y470" s="6"/>
      <c r="Z470" s="6"/>
      <c r="AA470" s="6" t="s">
        <v>47</v>
      </c>
      <c r="AB470" s="8"/>
    </row>
    <row r="471" spans="1:28" s="4" customFormat="1" ht="51.95" customHeight="1">
      <c r="A471" s="5">
        <v>0</v>
      </c>
      <c r="B471" s="6" t="s">
        <v>3127</v>
      </c>
      <c r="C471" s="13">
        <v>1220</v>
      </c>
      <c r="D471" s="8" t="s">
        <v>3128</v>
      </c>
      <c r="E471" s="8" t="s">
        <v>3129</v>
      </c>
      <c r="F471" s="8" t="s">
        <v>3130</v>
      </c>
      <c r="G471" s="6" t="s">
        <v>89</v>
      </c>
      <c r="H471" s="6" t="s">
        <v>53</v>
      </c>
      <c r="I471" s="8" t="s">
        <v>116</v>
      </c>
      <c r="J471" s="9">
        <v>1</v>
      </c>
      <c r="K471" s="9">
        <v>255</v>
      </c>
      <c r="L471" s="9">
        <v>2024</v>
      </c>
      <c r="M471" s="8" t="s">
        <v>3131</v>
      </c>
      <c r="N471" s="8" t="s">
        <v>79</v>
      </c>
      <c r="O471" s="8" t="s">
        <v>424</v>
      </c>
      <c r="P471" s="6" t="s">
        <v>43</v>
      </c>
      <c r="Q471" s="8" t="s">
        <v>44</v>
      </c>
      <c r="R471" s="10" t="s">
        <v>3132</v>
      </c>
      <c r="S471" s="11" t="s">
        <v>3133</v>
      </c>
      <c r="T471" s="6" t="s">
        <v>299</v>
      </c>
      <c r="U471" s="24" t="str">
        <f>HYPERLINK("https://media.infra-m.ru/2082/2082726/cover/2082726.jpg", "Обложка")</f>
        <v>Обложка</v>
      </c>
      <c r="V471" s="24" t="str">
        <f>HYPERLINK("https://znanium.ru/catalog/product/2082726", "Ознакомиться")</f>
        <v>Ознакомиться</v>
      </c>
      <c r="W471" s="8" t="s">
        <v>399</v>
      </c>
      <c r="X471" s="6"/>
      <c r="Y471" s="6"/>
      <c r="Z471" s="6"/>
      <c r="AA471" s="6" t="s">
        <v>219</v>
      </c>
      <c r="AB471" s="8"/>
    </row>
    <row r="472" spans="1:28" s="4" customFormat="1" ht="51.95" customHeight="1">
      <c r="A472" s="5">
        <v>0</v>
      </c>
      <c r="B472" s="6" t="s">
        <v>3134</v>
      </c>
      <c r="C472" s="7">
        <v>760</v>
      </c>
      <c r="D472" s="8" t="s">
        <v>3135</v>
      </c>
      <c r="E472" s="8" t="s">
        <v>3136</v>
      </c>
      <c r="F472" s="8" t="s">
        <v>3111</v>
      </c>
      <c r="G472" s="6" t="s">
        <v>38</v>
      </c>
      <c r="H472" s="6" t="s">
        <v>53</v>
      </c>
      <c r="I472" s="8" t="s">
        <v>90</v>
      </c>
      <c r="J472" s="9">
        <v>1</v>
      </c>
      <c r="K472" s="9">
        <v>164</v>
      </c>
      <c r="L472" s="9">
        <v>2023</v>
      </c>
      <c r="M472" s="8" t="s">
        <v>3137</v>
      </c>
      <c r="N472" s="8" t="s">
        <v>79</v>
      </c>
      <c r="O472" s="8" t="s">
        <v>684</v>
      </c>
      <c r="P472" s="6" t="s">
        <v>167</v>
      </c>
      <c r="Q472" s="8" t="s">
        <v>44</v>
      </c>
      <c r="R472" s="10" t="s">
        <v>3138</v>
      </c>
      <c r="S472" s="11" t="s">
        <v>3139</v>
      </c>
      <c r="T472" s="6"/>
      <c r="U472" s="24" t="str">
        <f>HYPERLINK("https://media.infra-m.ru/2126/2126774/cover/2126774.jpg", "Обложка")</f>
        <v>Обложка</v>
      </c>
      <c r="V472" s="24" t="str">
        <f>HYPERLINK("https://znanium.ru/catalog/product/2126774", "Ознакомиться")</f>
        <v>Ознакомиться</v>
      </c>
      <c r="W472" s="8" t="s">
        <v>637</v>
      </c>
      <c r="X472" s="6"/>
      <c r="Y472" s="6"/>
      <c r="Z472" s="6"/>
      <c r="AA472" s="6" t="s">
        <v>442</v>
      </c>
      <c r="AB472" s="8"/>
    </row>
    <row r="473" spans="1:28" s="4" customFormat="1" ht="51.95" customHeight="1">
      <c r="A473" s="5">
        <v>0</v>
      </c>
      <c r="B473" s="6" t="s">
        <v>3140</v>
      </c>
      <c r="C473" s="7">
        <v>610</v>
      </c>
      <c r="D473" s="8" t="s">
        <v>3141</v>
      </c>
      <c r="E473" s="8" t="s">
        <v>3136</v>
      </c>
      <c r="F473" s="8" t="s">
        <v>3111</v>
      </c>
      <c r="G473" s="6" t="s">
        <v>52</v>
      </c>
      <c r="H473" s="6" t="s">
        <v>53</v>
      </c>
      <c r="I473" s="8" t="s">
        <v>100</v>
      </c>
      <c r="J473" s="9">
        <v>1</v>
      </c>
      <c r="K473" s="9">
        <v>164</v>
      </c>
      <c r="L473" s="9">
        <v>2021</v>
      </c>
      <c r="M473" s="8" t="s">
        <v>3142</v>
      </c>
      <c r="N473" s="8" t="s">
        <v>79</v>
      </c>
      <c r="O473" s="8" t="s">
        <v>684</v>
      </c>
      <c r="P473" s="6" t="s">
        <v>167</v>
      </c>
      <c r="Q473" s="8" t="s">
        <v>102</v>
      </c>
      <c r="R473" s="10" t="s">
        <v>3143</v>
      </c>
      <c r="S473" s="11" t="s">
        <v>3144</v>
      </c>
      <c r="T473" s="6"/>
      <c r="U473" s="24" t="str">
        <f>HYPERLINK("https://media.infra-m.ru/1406/1406643/cover/1406643.jpg", "Обложка")</f>
        <v>Обложка</v>
      </c>
      <c r="V473" s="24" t="str">
        <f>HYPERLINK("https://znanium.ru/catalog/product/1406643", "Ознакомиться")</f>
        <v>Ознакомиться</v>
      </c>
      <c r="W473" s="8" t="s">
        <v>637</v>
      </c>
      <c r="X473" s="6"/>
      <c r="Y473" s="6"/>
      <c r="Z473" s="6" t="s">
        <v>104</v>
      </c>
      <c r="AA473" s="6" t="s">
        <v>219</v>
      </c>
      <c r="AB473" s="8"/>
    </row>
    <row r="474" spans="1:28" s="4" customFormat="1" ht="42" customHeight="1">
      <c r="A474" s="5">
        <v>0</v>
      </c>
      <c r="B474" s="6" t="s">
        <v>3145</v>
      </c>
      <c r="C474" s="7">
        <v>894.9</v>
      </c>
      <c r="D474" s="8" t="s">
        <v>3146</v>
      </c>
      <c r="E474" s="8" t="s">
        <v>3147</v>
      </c>
      <c r="F474" s="8" t="s">
        <v>3148</v>
      </c>
      <c r="G474" s="6" t="s">
        <v>52</v>
      </c>
      <c r="H474" s="6" t="s">
        <v>53</v>
      </c>
      <c r="I474" s="8" t="s">
        <v>2511</v>
      </c>
      <c r="J474" s="9">
        <v>1</v>
      </c>
      <c r="K474" s="9">
        <v>256</v>
      </c>
      <c r="L474" s="9">
        <v>2020</v>
      </c>
      <c r="M474" s="8" t="s">
        <v>3149</v>
      </c>
      <c r="N474" s="8" t="s">
        <v>413</v>
      </c>
      <c r="O474" s="8" t="s">
        <v>1584</v>
      </c>
      <c r="P474" s="6" t="s">
        <v>1046</v>
      </c>
      <c r="Q474" s="8" t="s">
        <v>279</v>
      </c>
      <c r="R474" s="10" t="s">
        <v>3150</v>
      </c>
      <c r="S474" s="11"/>
      <c r="T474" s="6" t="s">
        <v>299</v>
      </c>
      <c r="U474" s="24" t="str">
        <f>HYPERLINK("https://media.infra-m.ru/1065/1065278/cover/1065278.jpg", "Обложка")</f>
        <v>Обложка</v>
      </c>
      <c r="V474" s="24" t="str">
        <f>HYPERLINK("https://znanium.ru/catalog/product/1065278", "Ознакомиться")</f>
        <v>Ознакомиться</v>
      </c>
      <c r="W474" s="8"/>
      <c r="X474" s="6"/>
      <c r="Y474" s="6"/>
      <c r="Z474" s="6"/>
      <c r="AA474" s="6" t="s">
        <v>84</v>
      </c>
      <c r="AB474" s="8"/>
    </row>
    <row r="475" spans="1:28" s="4" customFormat="1" ht="51.95" customHeight="1">
      <c r="A475" s="5">
        <v>0</v>
      </c>
      <c r="B475" s="6" t="s">
        <v>3151</v>
      </c>
      <c r="C475" s="7">
        <v>820</v>
      </c>
      <c r="D475" s="8" t="s">
        <v>3152</v>
      </c>
      <c r="E475" s="8" t="s">
        <v>3153</v>
      </c>
      <c r="F475" s="8" t="s">
        <v>3111</v>
      </c>
      <c r="G475" s="6" t="s">
        <v>52</v>
      </c>
      <c r="H475" s="6" t="s">
        <v>53</v>
      </c>
      <c r="I475" s="8" t="s">
        <v>90</v>
      </c>
      <c r="J475" s="9">
        <v>1</v>
      </c>
      <c r="K475" s="9">
        <v>207</v>
      </c>
      <c r="L475" s="9">
        <v>2021</v>
      </c>
      <c r="M475" s="8" t="s">
        <v>3154</v>
      </c>
      <c r="N475" s="8" t="s">
        <v>413</v>
      </c>
      <c r="O475" s="8" t="s">
        <v>1584</v>
      </c>
      <c r="P475" s="6" t="s">
        <v>3155</v>
      </c>
      <c r="Q475" s="8" t="s">
        <v>44</v>
      </c>
      <c r="R475" s="10" t="s">
        <v>3156</v>
      </c>
      <c r="S475" s="11" t="s">
        <v>3157</v>
      </c>
      <c r="T475" s="6"/>
      <c r="U475" s="24" t="str">
        <f>HYPERLINK("https://media.infra-m.ru/1102/1102076/cover/1102076.jpg", "Обложка")</f>
        <v>Обложка</v>
      </c>
      <c r="V475" s="24" t="str">
        <f>HYPERLINK("https://znanium.ru/catalog/product/1102076", "Ознакомиться")</f>
        <v>Ознакомиться</v>
      </c>
      <c r="W475" s="8" t="s">
        <v>637</v>
      </c>
      <c r="X475" s="6"/>
      <c r="Y475" s="6"/>
      <c r="Z475" s="6"/>
      <c r="AA475" s="6" t="s">
        <v>219</v>
      </c>
      <c r="AB475" s="8"/>
    </row>
    <row r="476" spans="1:28" s="4" customFormat="1" ht="51.95" customHeight="1">
      <c r="A476" s="5">
        <v>0</v>
      </c>
      <c r="B476" s="6" t="s">
        <v>3158</v>
      </c>
      <c r="C476" s="13">
        <v>1747</v>
      </c>
      <c r="D476" s="8" t="s">
        <v>3159</v>
      </c>
      <c r="E476" s="8" t="s">
        <v>3160</v>
      </c>
      <c r="F476" s="8" t="s">
        <v>3161</v>
      </c>
      <c r="G476" s="6" t="s">
        <v>52</v>
      </c>
      <c r="H476" s="6" t="s">
        <v>53</v>
      </c>
      <c r="I476" s="8" t="s">
        <v>3162</v>
      </c>
      <c r="J476" s="9">
        <v>1</v>
      </c>
      <c r="K476" s="9">
        <v>388</v>
      </c>
      <c r="L476" s="9">
        <v>2024</v>
      </c>
      <c r="M476" s="8" t="s">
        <v>3163</v>
      </c>
      <c r="N476" s="8" t="s">
        <v>413</v>
      </c>
      <c r="O476" s="8" t="s">
        <v>1584</v>
      </c>
      <c r="P476" s="6" t="s">
        <v>3164</v>
      </c>
      <c r="Q476" s="8" t="s">
        <v>58</v>
      </c>
      <c r="R476" s="10" t="s">
        <v>3165</v>
      </c>
      <c r="S476" s="11" t="s">
        <v>3166</v>
      </c>
      <c r="T476" s="6"/>
      <c r="U476" s="24" t="str">
        <f>HYPERLINK("https://media.infra-m.ru/2126/2126312/cover/2126312.jpg", "Обложка")</f>
        <v>Обложка</v>
      </c>
      <c r="V476" s="24" t="str">
        <f>HYPERLINK("https://znanium.ru/catalog/product/1181042", "Ознакомиться")</f>
        <v>Ознакомиться</v>
      </c>
      <c r="W476" s="8" t="s">
        <v>1245</v>
      </c>
      <c r="X476" s="6"/>
      <c r="Y476" s="6"/>
      <c r="Z476" s="6"/>
      <c r="AA476" s="6" t="s">
        <v>47</v>
      </c>
      <c r="AB476" s="8"/>
    </row>
    <row r="477" spans="1:28" s="4" customFormat="1" ht="51.95" customHeight="1">
      <c r="A477" s="5">
        <v>0</v>
      </c>
      <c r="B477" s="6" t="s">
        <v>3167</v>
      </c>
      <c r="C477" s="13">
        <v>1330</v>
      </c>
      <c r="D477" s="8" t="s">
        <v>3168</v>
      </c>
      <c r="E477" s="8" t="s">
        <v>3169</v>
      </c>
      <c r="F477" s="8" t="s">
        <v>3170</v>
      </c>
      <c r="G477" s="6" t="s">
        <v>52</v>
      </c>
      <c r="H477" s="6" t="s">
        <v>53</v>
      </c>
      <c r="I477" s="8" t="s">
        <v>712</v>
      </c>
      <c r="J477" s="9">
        <v>1</v>
      </c>
      <c r="K477" s="9">
        <v>282</v>
      </c>
      <c r="L477" s="9">
        <v>2024</v>
      </c>
      <c r="M477" s="8" t="s">
        <v>3171</v>
      </c>
      <c r="N477" s="8" t="s">
        <v>413</v>
      </c>
      <c r="O477" s="8" t="s">
        <v>1584</v>
      </c>
      <c r="P477" s="6" t="s">
        <v>43</v>
      </c>
      <c r="Q477" s="8" t="s">
        <v>44</v>
      </c>
      <c r="R477" s="10" t="s">
        <v>3172</v>
      </c>
      <c r="S477" s="11" t="s">
        <v>3173</v>
      </c>
      <c r="T477" s="6"/>
      <c r="U477" s="24" t="str">
        <f>HYPERLINK("https://media.infra-m.ru/2131/2131555/cover/2131555.jpg", "Обложка")</f>
        <v>Обложка</v>
      </c>
      <c r="V477" s="24" t="str">
        <f>HYPERLINK("https://znanium.ru/catalog/product/2131555", "Ознакомиться")</f>
        <v>Ознакомиться</v>
      </c>
      <c r="W477" s="8" t="s">
        <v>716</v>
      </c>
      <c r="X477" s="6"/>
      <c r="Y477" s="6"/>
      <c r="Z477" s="6"/>
      <c r="AA477" s="6" t="s">
        <v>133</v>
      </c>
      <c r="AB477" s="8"/>
    </row>
    <row r="478" spans="1:28" s="4" customFormat="1" ht="51.95" customHeight="1">
      <c r="A478" s="5">
        <v>0</v>
      </c>
      <c r="B478" s="6" t="s">
        <v>3174</v>
      </c>
      <c r="C478" s="7">
        <v>388</v>
      </c>
      <c r="D478" s="8" t="s">
        <v>3175</v>
      </c>
      <c r="E478" s="8" t="s">
        <v>3176</v>
      </c>
      <c r="F478" s="8" t="s">
        <v>3177</v>
      </c>
      <c r="G478" s="6" t="s">
        <v>38</v>
      </c>
      <c r="H478" s="6" t="s">
        <v>184</v>
      </c>
      <c r="I478" s="8" t="s">
        <v>116</v>
      </c>
      <c r="J478" s="9">
        <v>1</v>
      </c>
      <c r="K478" s="9">
        <v>128</v>
      </c>
      <c r="L478" s="9">
        <v>2023</v>
      </c>
      <c r="M478" s="8" t="s">
        <v>3178</v>
      </c>
      <c r="N478" s="8" t="s">
        <v>413</v>
      </c>
      <c r="O478" s="8" t="s">
        <v>1584</v>
      </c>
      <c r="P478" s="6" t="s">
        <v>43</v>
      </c>
      <c r="Q478" s="8" t="s">
        <v>58</v>
      </c>
      <c r="R478" s="10" t="s">
        <v>3179</v>
      </c>
      <c r="S478" s="11"/>
      <c r="T478" s="6"/>
      <c r="U478" s="24" t="str">
        <f>HYPERLINK("https://media.infra-m.ru/1922/1922258/cover/1922258.jpg", "Обложка")</f>
        <v>Обложка</v>
      </c>
      <c r="V478" s="24" t="str">
        <f>HYPERLINK("https://znanium.ru/catalog/product/1062386", "Ознакомиться")</f>
        <v>Ознакомиться</v>
      </c>
      <c r="W478" s="8"/>
      <c r="X478" s="6"/>
      <c r="Y478" s="6"/>
      <c r="Z478" s="6"/>
      <c r="AA478" s="6" t="s">
        <v>555</v>
      </c>
      <c r="AB478" s="8"/>
    </row>
    <row r="479" spans="1:28" s="4" customFormat="1" ht="51.95" customHeight="1">
      <c r="A479" s="5">
        <v>0</v>
      </c>
      <c r="B479" s="6" t="s">
        <v>3180</v>
      </c>
      <c r="C479" s="13">
        <v>1444</v>
      </c>
      <c r="D479" s="8" t="s">
        <v>3181</v>
      </c>
      <c r="E479" s="8" t="s">
        <v>3182</v>
      </c>
      <c r="F479" s="8" t="s">
        <v>3183</v>
      </c>
      <c r="G479" s="6" t="s">
        <v>89</v>
      </c>
      <c r="H479" s="6" t="s">
        <v>53</v>
      </c>
      <c r="I479" s="8" t="s">
        <v>116</v>
      </c>
      <c r="J479" s="9">
        <v>1</v>
      </c>
      <c r="K479" s="9">
        <v>288</v>
      </c>
      <c r="L479" s="9">
        <v>2025</v>
      </c>
      <c r="M479" s="8" t="s">
        <v>3184</v>
      </c>
      <c r="N479" s="8" t="s">
        <v>79</v>
      </c>
      <c r="O479" s="8" t="s">
        <v>174</v>
      </c>
      <c r="P479" s="6" t="s">
        <v>167</v>
      </c>
      <c r="Q479" s="8" t="s">
        <v>214</v>
      </c>
      <c r="R479" s="10" t="s">
        <v>3185</v>
      </c>
      <c r="S479" s="11" t="s">
        <v>3186</v>
      </c>
      <c r="T479" s="6"/>
      <c r="U479" s="24" t="str">
        <f>HYPERLINK("https://media.infra-m.ru/2161/2161852/cover/2161852.jpg", "Обложка")</f>
        <v>Обложка</v>
      </c>
      <c r="V479" s="24" t="str">
        <f>HYPERLINK("https://znanium.ru/catalog/product/2126882", "Ознакомиться")</f>
        <v>Ознакомиться</v>
      </c>
      <c r="W479" s="8" t="s">
        <v>3187</v>
      </c>
      <c r="X479" s="6"/>
      <c r="Y479" s="6"/>
      <c r="Z479" s="6"/>
      <c r="AA479" s="6" t="s">
        <v>494</v>
      </c>
      <c r="AB479" s="8"/>
    </row>
    <row r="480" spans="1:28" s="4" customFormat="1" ht="51.95" customHeight="1">
      <c r="A480" s="5">
        <v>0</v>
      </c>
      <c r="B480" s="6" t="s">
        <v>3188</v>
      </c>
      <c r="C480" s="13">
        <v>1660</v>
      </c>
      <c r="D480" s="8" t="s">
        <v>3189</v>
      </c>
      <c r="E480" s="8" t="s">
        <v>3190</v>
      </c>
      <c r="F480" s="8" t="s">
        <v>3191</v>
      </c>
      <c r="G480" s="6" t="s">
        <v>52</v>
      </c>
      <c r="H480" s="6" t="s">
        <v>53</v>
      </c>
      <c r="I480" s="8" t="s">
        <v>960</v>
      </c>
      <c r="J480" s="9">
        <v>1</v>
      </c>
      <c r="K480" s="9">
        <v>319</v>
      </c>
      <c r="L480" s="9">
        <v>2025</v>
      </c>
      <c r="M480" s="8" t="s">
        <v>3192</v>
      </c>
      <c r="N480" s="8" t="s">
        <v>79</v>
      </c>
      <c r="O480" s="8" t="s">
        <v>174</v>
      </c>
      <c r="P480" s="6" t="s">
        <v>175</v>
      </c>
      <c r="Q480" s="8" t="s">
        <v>58</v>
      </c>
      <c r="R480" s="10" t="s">
        <v>3193</v>
      </c>
      <c r="S480" s="11" t="s">
        <v>3194</v>
      </c>
      <c r="T480" s="6"/>
      <c r="U480" s="24" t="str">
        <f>HYPERLINK("https://media.infra-m.ru/2150/2150314/cover/2150314.jpg", "Обложка")</f>
        <v>Обложка</v>
      </c>
      <c r="V480" s="24" t="str">
        <f>HYPERLINK("https://znanium.ru/catalog/product/2150314", "Ознакомиться")</f>
        <v>Ознакомиться</v>
      </c>
      <c r="W480" s="8" t="s">
        <v>178</v>
      </c>
      <c r="X480" s="6" t="s">
        <v>1049</v>
      </c>
      <c r="Y480" s="6"/>
      <c r="Z480" s="6"/>
      <c r="AA480" s="6" t="s">
        <v>61</v>
      </c>
      <c r="AB480" s="8"/>
    </row>
    <row r="481" spans="1:28" s="4" customFormat="1" ht="51.95" customHeight="1">
      <c r="A481" s="5">
        <v>0</v>
      </c>
      <c r="B481" s="6" t="s">
        <v>3195</v>
      </c>
      <c r="C481" s="7">
        <v>864</v>
      </c>
      <c r="D481" s="8" t="s">
        <v>3196</v>
      </c>
      <c r="E481" s="8" t="s">
        <v>3190</v>
      </c>
      <c r="F481" s="8" t="s">
        <v>3197</v>
      </c>
      <c r="G481" s="6" t="s">
        <v>89</v>
      </c>
      <c r="H481" s="6" t="s">
        <v>53</v>
      </c>
      <c r="I481" s="8" t="s">
        <v>100</v>
      </c>
      <c r="J481" s="9">
        <v>1</v>
      </c>
      <c r="K481" s="9">
        <v>172</v>
      </c>
      <c r="L481" s="9">
        <v>2024</v>
      </c>
      <c r="M481" s="8" t="s">
        <v>3198</v>
      </c>
      <c r="N481" s="8" t="s">
        <v>79</v>
      </c>
      <c r="O481" s="8" t="s">
        <v>174</v>
      </c>
      <c r="P481" s="6" t="s">
        <v>43</v>
      </c>
      <c r="Q481" s="8" t="s">
        <v>102</v>
      </c>
      <c r="R481" s="10" t="s">
        <v>3199</v>
      </c>
      <c r="S481" s="11" t="s">
        <v>3200</v>
      </c>
      <c r="T481" s="6"/>
      <c r="U481" s="24" t="str">
        <f>HYPERLINK("https://media.infra-m.ru/2083/2083826/cover/2083826.jpg", "Обложка")</f>
        <v>Обложка</v>
      </c>
      <c r="V481" s="24" t="str">
        <f>HYPERLINK("https://znanium.ru/catalog/product/2158058", "Ознакомиться")</f>
        <v>Ознакомиться</v>
      </c>
      <c r="W481" s="8" t="s">
        <v>3201</v>
      </c>
      <c r="X481" s="6"/>
      <c r="Y481" s="6"/>
      <c r="Z481" s="6"/>
      <c r="AA481" s="6" t="s">
        <v>258</v>
      </c>
      <c r="AB481" s="8"/>
    </row>
    <row r="482" spans="1:28" s="4" customFormat="1" ht="51.95" customHeight="1">
      <c r="A482" s="5">
        <v>0</v>
      </c>
      <c r="B482" s="6" t="s">
        <v>3202</v>
      </c>
      <c r="C482" s="13">
        <v>1030</v>
      </c>
      <c r="D482" s="8" t="s">
        <v>3203</v>
      </c>
      <c r="E482" s="8" t="s">
        <v>3182</v>
      </c>
      <c r="F482" s="8" t="s">
        <v>3197</v>
      </c>
      <c r="G482" s="6" t="s">
        <v>89</v>
      </c>
      <c r="H482" s="6" t="s">
        <v>53</v>
      </c>
      <c r="I482" s="8" t="s">
        <v>100</v>
      </c>
      <c r="J482" s="9">
        <v>1</v>
      </c>
      <c r="K482" s="9">
        <v>193</v>
      </c>
      <c r="L482" s="9">
        <v>2025</v>
      </c>
      <c r="M482" s="8" t="s">
        <v>3204</v>
      </c>
      <c r="N482" s="8" t="s">
        <v>79</v>
      </c>
      <c r="O482" s="8" t="s">
        <v>174</v>
      </c>
      <c r="P482" s="6" t="s">
        <v>43</v>
      </c>
      <c r="Q482" s="8" t="s">
        <v>102</v>
      </c>
      <c r="R482" s="10" t="s">
        <v>3199</v>
      </c>
      <c r="S482" s="11" t="s">
        <v>3200</v>
      </c>
      <c r="T482" s="6"/>
      <c r="U482" s="24" t="str">
        <f>HYPERLINK("https://media.infra-m.ru/2158/2158058/cover/2158058.jpg", "Обложка")</f>
        <v>Обложка</v>
      </c>
      <c r="V482" s="24" t="str">
        <f>HYPERLINK("https://znanium.ru/catalog/product/2158058", "Ознакомиться")</f>
        <v>Ознакомиться</v>
      </c>
      <c r="W482" s="8" t="s">
        <v>3201</v>
      </c>
      <c r="X482" s="6" t="s">
        <v>1476</v>
      </c>
      <c r="Y482" s="6"/>
      <c r="Z482" s="6"/>
      <c r="AA482" s="6" t="s">
        <v>549</v>
      </c>
      <c r="AB482" s="8"/>
    </row>
    <row r="483" spans="1:28" s="4" customFormat="1" ht="51.95" customHeight="1">
      <c r="A483" s="5">
        <v>0</v>
      </c>
      <c r="B483" s="6" t="s">
        <v>3205</v>
      </c>
      <c r="C483" s="13">
        <v>1112</v>
      </c>
      <c r="D483" s="8" t="s">
        <v>3206</v>
      </c>
      <c r="E483" s="8" t="s">
        <v>3207</v>
      </c>
      <c r="F483" s="8" t="s">
        <v>3208</v>
      </c>
      <c r="G483" s="6" t="s">
        <v>89</v>
      </c>
      <c r="H483" s="6" t="s">
        <v>53</v>
      </c>
      <c r="I483" s="8" t="s">
        <v>782</v>
      </c>
      <c r="J483" s="9">
        <v>1</v>
      </c>
      <c r="K483" s="9">
        <v>186</v>
      </c>
      <c r="L483" s="9">
        <v>2024</v>
      </c>
      <c r="M483" s="8" t="s">
        <v>3209</v>
      </c>
      <c r="N483" s="8" t="s">
        <v>413</v>
      </c>
      <c r="O483" s="8" t="s">
        <v>1584</v>
      </c>
      <c r="P483" s="6" t="s">
        <v>43</v>
      </c>
      <c r="Q483" s="8" t="s">
        <v>44</v>
      </c>
      <c r="R483" s="10" t="s">
        <v>3210</v>
      </c>
      <c r="S483" s="11" t="s">
        <v>3211</v>
      </c>
      <c r="T483" s="6"/>
      <c r="U483" s="24" t="str">
        <f>HYPERLINK("https://media.infra-m.ru/2117/2117121/cover/2117121.jpg", "Обложка")</f>
        <v>Обложка</v>
      </c>
      <c r="V483" s="12"/>
      <c r="W483" s="8" t="s">
        <v>784</v>
      </c>
      <c r="X483" s="6"/>
      <c r="Y483" s="6"/>
      <c r="Z483" s="6"/>
      <c r="AA483" s="6" t="s">
        <v>326</v>
      </c>
      <c r="AB483" s="8"/>
    </row>
    <row r="484" spans="1:28" s="4" customFormat="1" ht="51.95" customHeight="1">
      <c r="A484" s="5">
        <v>0</v>
      </c>
      <c r="B484" s="6" t="s">
        <v>3212</v>
      </c>
      <c r="C484" s="13">
        <v>2517</v>
      </c>
      <c r="D484" s="8" t="s">
        <v>3213</v>
      </c>
      <c r="E484" s="8" t="s">
        <v>3214</v>
      </c>
      <c r="F484" s="8" t="s">
        <v>3215</v>
      </c>
      <c r="G484" s="6" t="s">
        <v>52</v>
      </c>
      <c r="H484" s="6" t="s">
        <v>53</v>
      </c>
      <c r="I484" s="8" t="s">
        <v>116</v>
      </c>
      <c r="J484" s="9">
        <v>1</v>
      </c>
      <c r="K484" s="9">
        <v>504</v>
      </c>
      <c r="L484" s="9">
        <v>2025</v>
      </c>
      <c r="M484" s="8" t="s">
        <v>3216</v>
      </c>
      <c r="N484" s="8" t="s">
        <v>413</v>
      </c>
      <c r="O484" s="8" t="s">
        <v>1528</v>
      </c>
      <c r="P484" s="6" t="s">
        <v>167</v>
      </c>
      <c r="Q484" s="8" t="s">
        <v>44</v>
      </c>
      <c r="R484" s="10" t="s">
        <v>3217</v>
      </c>
      <c r="S484" s="11"/>
      <c r="T484" s="6"/>
      <c r="U484" s="24" t="str">
        <f>HYPERLINK("https://media.infra-m.ru/2174/2174781/cover/2174781.jpg", "Обложка")</f>
        <v>Обложка</v>
      </c>
      <c r="V484" s="24" t="str">
        <f>HYPERLINK("https://znanium.ru/catalog/product/502950", "Ознакомиться")</f>
        <v>Ознакомиться</v>
      </c>
      <c r="W484" s="8" t="s">
        <v>3218</v>
      </c>
      <c r="X484" s="6"/>
      <c r="Y484" s="6"/>
      <c r="Z484" s="6"/>
      <c r="AA484" s="6" t="s">
        <v>111</v>
      </c>
      <c r="AB484" s="8"/>
    </row>
    <row r="485" spans="1:28" s="4" customFormat="1" ht="51.95" customHeight="1">
      <c r="A485" s="5">
        <v>0</v>
      </c>
      <c r="B485" s="6" t="s">
        <v>3219</v>
      </c>
      <c r="C485" s="7">
        <v>724</v>
      </c>
      <c r="D485" s="8" t="s">
        <v>3220</v>
      </c>
      <c r="E485" s="8" t="s">
        <v>3221</v>
      </c>
      <c r="F485" s="8" t="s">
        <v>3222</v>
      </c>
      <c r="G485" s="6" t="s">
        <v>52</v>
      </c>
      <c r="H485" s="6" t="s">
        <v>53</v>
      </c>
      <c r="I485" s="8" t="s">
        <v>100</v>
      </c>
      <c r="J485" s="9">
        <v>1</v>
      </c>
      <c r="K485" s="9">
        <v>155</v>
      </c>
      <c r="L485" s="9">
        <v>2024</v>
      </c>
      <c r="M485" s="8" t="s">
        <v>3223</v>
      </c>
      <c r="N485" s="8" t="s">
        <v>79</v>
      </c>
      <c r="O485" s="8" t="s">
        <v>684</v>
      </c>
      <c r="P485" s="6" t="s">
        <v>43</v>
      </c>
      <c r="Q485" s="8" t="s">
        <v>102</v>
      </c>
      <c r="R485" s="10" t="s">
        <v>3224</v>
      </c>
      <c r="S485" s="11" t="s">
        <v>3225</v>
      </c>
      <c r="T485" s="6"/>
      <c r="U485" s="24" t="str">
        <f>HYPERLINK("https://media.infra-m.ru/2144/2144235/cover/2144235.jpg", "Обложка")</f>
        <v>Обложка</v>
      </c>
      <c r="V485" s="24" t="str">
        <f>HYPERLINK("https://znanium.ru/catalog/product/1138875", "Ознакомиться")</f>
        <v>Ознакомиться</v>
      </c>
      <c r="W485" s="8" t="s">
        <v>3226</v>
      </c>
      <c r="X485" s="6"/>
      <c r="Y485" s="6"/>
      <c r="Z485" s="6" t="s">
        <v>104</v>
      </c>
      <c r="AA485" s="6" t="s">
        <v>151</v>
      </c>
      <c r="AB485" s="8"/>
    </row>
    <row r="486" spans="1:28" s="4" customFormat="1" ht="51.95" customHeight="1">
      <c r="A486" s="5">
        <v>0</v>
      </c>
      <c r="B486" s="6" t="s">
        <v>3227</v>
      </c>
      <c r="C486" s="7">
        <v>640</v>
      </c>
      <c r="D486" s="8" t="s">
        <v>3228</v>
      </c>
      <c r="E486" s="8" t="s">
        <v>3229</v>
      </c>
      <c r="F486" s="8" t="s">
        <v>3230</v>
      </c>
      <c r="G486" s="6" t="s">
        <v>38</v>
      </c>
      <c r="H486" s="6" t="s">
        <v>53</v>
      </c>
      <c r="I486" s="8" t="s">
        <v>116</v>
      </c>
      <c r="J486" s="9">
        <v>1</v>
      </c>
      <c r="K486" s="9">
        <v>124</v>
      </c>
      <c r="L486" s="9">
        <v>2024</v>
      </c>
      <c r="M486" s="8" t="s">
        <v>3231</v>
      </c>
      <c r="N486" s="8" t="s">
        <v>79</v>
      </c>
      <c r="O486" s="8" t="s">
        <v>684</v>
      </c>
      <c r="P486" s="6" t="s">
        <v>43</v>
      </c>
      <c r="Q486" s="8" t="s">
        <v>214</v>
      </c>
      <c r="R486" s="10" t="s">
        <v>3232</v>
      </c>
      <c r="S486" s="11" t="s">
        <v>3233</v>
      </c>
      <c r="T486" s="6"/>
      <c r="U486" s="24" t="str">
        <f>HYPERLINK("https://media.infra-m.ru/2087/2087318/cover/2087318.jpg", "Обложка")</f>
        <v>Обложка</v>
      </c>
      <c r="V486" s="24" t="str">
        <f>HYPERLINK("https://znanium.ru/catalog/product/2087318", "Ознакомиться")</f>
        <v>Ознакомиться</v>
      </c>
      <c r="W486" s="8" t="s">
        <v>3226</v>
      </c>
      <c r="X486" s="6"/>
      <c r="Y486" s="6"/>
      <c r="Z486" s="6"/>
      <c r="AA486" s="6" t="s">
        <v>418</v>
      </c>
      <c r="AB486" s="8"/>
    </row>
    <row r="487" spans="1:28" s="4" customFormat="1" ht="51.95" customHeight="1">
      <c r="A487" s="5">
        <v>0</v>
      </c>
      <c r="B487" s="6" t="s">
        <v>3234</v>
      </c>
      <c r="C487" s="13">
        <v>2130</v>
      </c>
      <c r="D487" s="8" t="s">
        <v>3235</v>
      </c>
      <c r="E487" s="8" t="s">
        <v>3236</v>
      </c>
      <c r="F487" s="8" t="s">
        <v>3222</v>
      </c>
      <c r="G487" s="6" t="s">
        <v>52</v>
      </c>
      <c r="H487" s="6" t="s">
        <v>53</v>
      </c>
      <c r="I487" s="8" t="s">
        <v>100</v>
      </c>
      <c r="J487" s="9">
        <v>1</v>
      </c>
      <c r="K487" s="9">
        <v>454</v>
      </c>
      <c r="L487" s="9">
        <v>2024</v>
      </c>
      <c r="M487" s="8" t="s">
        <v>3237</v>
      </c>
      <c r="N487" s="8" t="s">
        <v>79</v>
      </c>
      <c r="O487" s="8" t="s">
        <v>684</v>
      </c>
      <c r="P487" s="6" t="s">
        <v>167</v>
      </c>
      <c r="Q487" s="8" t="s">
        <v>102</v>
      </c>
      <c r="R487" s="10" t="s">
        <v>3238</v>
      </c>
      <c r="S487" s="11" t="s">
        <v>3239</v>
      </c>
      <c r="T487" s="6"/>
      <c r="U487" s="24" t="str">
        <f>HYPERLINK("https://media.infra-m.ru/2139/2139075/cover/2139075.jpg", "Обложка")</f>
        <v>Обложка</v>
      </c>
      <c r="V487" s="24" t="str">
        <f>HYPERLINK("https://znanium.ru/catalog/product/2139075", "Ознакомиться")</f>
        <v>Ознакомиться</v>
      </c>
      <c r="W487" s="8" t="s">
        <v>3226</v>
      </c>
      <c r="X487" s="6"/>
      <c r="Y487" s="6"/>
      <c r="Z487" s="6" t="s">
        <v>104</v>
      </c>
      <c r="AA487" s="6" t="s">
        <v>151</v>
      </c>
      <c r="AB487" s="8"/>
    </row>
    <row r="488" spans="1:28" s="4" customFormat="1" ht="51.95" customHeight="1">
      <c r="A488" s="5">
        <v>0</v>
      </c>
      <c r="B488" s="6" t="s">
        <v>3240</v>
      </c>
      <c r="C488" s="7">
        <v>720</v>
      </c>
      <c r="D488" s="8" t="s">
        <v>3241</v>
      </c>
      <c r="E488" s="8" t="s">
        <v>3221</v>
      </c>
      <c r="F488" s="8" t="s">
        <v>3222</v>
      </c>
      <c r="G488" s="6" t="s">
        <v>38</v>
      </c>
      <c r="H488" s="6" t="s">
        <v>53</v>
      </c>
      <c r="I488" s="8" t="s">
        <v>90</v>
      </c>
      <c r="J488" s="9">
        <v>1</v>
      </c>
      <c r="K488" s="9">
        <v>155</v>
      </c>
      <c r="L488" s="9">
        <v>2024</v>
      </c>
      <c r="M488" s="8" t="s">
        <v>3242</v>
      </c>
      <c r="N488" s="8" t="s">
        <v>79</v>
      </c>
      <c r="O488" s="8" t="s">
        <v>684</v>
      </c>
      <c r="P488" s="6" t="s">
        <v>43</v>
      </c>
      <c r="Q488" s="8" t="s">
        <v>44</v>
      </c>
      <c r="R488" s="10" t="s">
        <v>1617</v>
      </c>
      <c r="S488" s="11" t="s">
        <v>3243</v>
      </c>
      <c r="T488" s="6"/>
      <c r="U488" s="24" t="str">
        <f>HYPERLINK("https://media.infra-m.ru/2127/2127025/cover/2127025.jpg", "Обложка")</f>
        <v>Обложка</v>
      </c>
      <c r="V488" s="24" t="str">
        <f>HYPERLINK("https://znanium.ru/catalog/product/2127025", "Ознакомиться")</f>
        <v>Ознакомиться</v>
      </c>
      <c r="W488" s="8" t="s">
        <v>3226</v>
      </c>
      <c r="X488" s="6"/>
      <c r="Y488" s="6"/>
      <c r="Z488" s="6"/>
      <c r="AA488" s="6" t="s">
        <v>111</v>
      </c>
      <c r="AB488" s="8"/>
    </row>
    <row r="489" spans="1:28" s="4" customFormat="1" ht="51.95" customHeight="1">
      <c r="A489" s="5">
        <v>0</v>
      </c>
      <c r="B489" s="6" t="s">
        <v>3244</v>
      </c>
      <c r="C489" s="13">
        <v>1724.9</v>
      </c>
      <c r="D489" s="8" t="s">
        <v>3245</v>
      </c>
      <c r="E489" s="8" t="s">
        <v>3236</v>
      </c>
      <c r="F489" s="8" t="s">
        <v>3222</v>
      </c>
      <c r="G489" s="6" t="s">
        <v>52</v>
      </c>
      <c r="H489" s="6" t="s">
        <v>53</v>
      </c>
      <c r="I489" s="8" t="s">
        <v>90</v>
      </c>
      <c r="J489" s="9">
        <v>1</v>
      </c>
      <c r="K489" s="9">
        <v>454</v>
      </c>
      <c r="L489" s="9">
        <v>2022</v>
      </c>
      <c r="M489" s="8" t="s">
        <v>3246</v>
      </c>
      <c r="N489" s="8" t="s">
        <v>79</v>
      </c>
      <c r="O489" s="8" t="s">
        <v>684</v>
      </c>
      <c r="P489" s="6" t="s">
        <v>167</v>
      </c>
      <c r="Q489" s="8" t="s">
        <v>44</v>
      </c>
      <c r="R489" s="10" t="s">
        <v>3247</v>
      </c>
      <c r="S489" s="11" t="s">
        <v>3248</v>
      </c>
      <c r="T489" s="6"/>
      <c r="U489" s="24" t="str">
        <f>HYPERLINK("https://media.infra-m.ru/1841/1841084/cover/1841084.jpg", "Обложка")</f>
        <v>Обложка</v>
      </c>
      <c r="V489" s="24" t="str">
        <f>HYPERLINK("https://znanium.ru/catalog/product/1841084", "Ознакомиться")</f>
        <v>Ознакомиться</v>
      </c>
      <c r="W489" s="8" t="s">
        <v>3226</v>
      </c>
      <c r="X489" s="6"/>
      <c r="Y489" s="6"/>
      <c r="Z489" s="6"/>
      <c r="AA489" s="6" t="s">
        <v>418</v>
      </c>
      <c r="AB489" s="8"/>
    </row>
    <row r="490" spans="1:28" s="4" customFormat="1" ht="42" customHeight="1">
      <c r="A490" s="5">
        <v>0</v>
      </c>
      <c r="B490" s="6" t="s">
        <v>3249</v>
      </c>
      <c r="C490" s="7">
        <v>670</v>
      </c>
      <c r="D490" s="8" t="s">
        <v>3250</v>
      </c>
      <c r="E490" s="8" t="s">
        <v>3251</v>
      </c>
      <c r="F490" s="8" t="s">
        <v>3252</v>
      </c>
      <c r="G490" s="6" t="s">
        <v>89</v>
      </c>
      <c r="H490" s="6" t="s">
        <v>53</v>
      </c>
      <c r="I490" s="8" t="s">
        <v>116</v>
      </c>
      <c r="J490" s="9">
        <v>1</v>
      </c>
      <c r="K490" s="9">
        <v>142</v>
      </c>
      <c r="L490" s="9">
        <v>2024</v>
      </c>
      <c r="M490" s="8" t="s">
        <v>3253</v>
      </c>
      <c r="N490" s="8" t="s">
        <v>413</v>
      </c>
      <c r="O490" s="8" t="s">
        <v>1584</v>
      </c>
      <c r="P490" s="6" t="s">
        <v>187</v>
      </c>
      <c r="Q490" s="8" t="s">
        <v>44</v>
      </c>
      <c r="R490" s="10" t="s">
        <v>3254</v>
      </c>
      <c r="S490" s="11"/>
      <c r="T490" s="6" t="s">
        <v>299</v>
      </c>
      <c r="U490" s="24" t="str">
        <f>HYPERLINK("https://media.infra-m.ru/2139/2139108/cover/2139108.jpg", "Обложка")</f>
        <v>Обложка</v>
      </c>
      <c r="V490" s="24" t="str">
        <f>HYPERLINK("https://znanium.ru/catalog/product/2139108", "Ознакомиться")</f>
        <v>Ознакомиться</v>
      </c>
      <c r="W490" s="8" t="s">
        <v>3255</v>
      </c>
      <c r="X490" s="6"/>
      <c r="Y490" s="6"/>
      <c r="Z490" s="6"/>
      <c r="AA490" s="6" t="s">
        <v>258</v>
      </c>
      <c r="AB490" s="8"/>
    </row>
    <row r="491" spans="1:28" s="4" customFormat="1" ht="51.95" customHeight="1">
      <c r="A491" s="5">
        <v>0</v>
      </c>
      <c r="B491" s="6" t="s">
        <v>3256</v>
      </c>
      <c r="C491" s="7">
        <v>740</v>
      </c>
      <c r="D491" s="8" t="s">
        <v>3257</v>
      </c>
      <c r="E491" s="8" t="s">
        <v>3258</v>
      </c>
      <c r="F491" s="8" t="s">
        <v>3259</v>
      </c>
      <c r="G491" s="6" t="s">
        <v>89</v>
      </c>
      <c r="H491" s="6" t="s">
        <v>53</v>
      </c>
      <c r="I491" s="8" t="s">
        <v>100</v>
      </c>
      <c r="J491" s="9">
        <v>1</v>
      </c>
      <c r="K491" s="9">
        <v>142</v>
      </c>
      <c r="L491" s="9">
        <v>2025</v>
      </c>
      <c r="M491" s="8" t="s">
        <v>3260</v>
      </c>
      <c r="N491" s="8" t="s">
        <v>413</v>
      </c>
      <c r="O491" s="8" t="s">
        <v>1584</v>
      </c>
      <c r="P491" s="6" t="s">
        <v>43</v>
      </c>
      <c r="Q491" s="8" t="s">
        <v>102</v>
      </c>
      <c r="R491" s="10" t="s">
        <v>3261</v>
      </c>
      <c r="S491" s="11" t="s">
        <v>3262</v>
      </c>
      <c r="T491" s="6" t="s">
        <v>299</v>
      </c>
      <c r="U491" s="24" t="str">
        <f>HYPERLINK("https://media.infra-m.ru/2175/2175286/cover/2175286.jpg", "Обложка")</f>
        <v>Обложка</v>
      </c>
      <c r="V491" s="24" t="str">
        <f>HYPERLINK("https://znanium.ru/catalog/product/2175286", "Ознакомиться")</f>
        <v>Ознакомиться</v>
      </c>
      <c r="W491" s="8" t="s">
        <v>3255</v>
      </c>
      <c r="X491" s="6"/>
      <c r="Y491" s="6"/>
      <c r="Z491" s="6" t="s">
        <v>104</v>
      </c>
      <c r="AA491" s="6" t="s">
        <v>793</v>
      </c>
      <c r="AB491" s="8"/>
    </row>
    <row r="492" spans="1:28" s="4" customFormat="1" ht="51.95" customHeight="1">
      <c r="A492" s="5">
        <v>0</v>
      </c>
      <c r="B492" s="6" t="s">
        <v>3263</v>
      </c>
      <c r="C492" s="7">
        <v>568</v>
      </c>
      <c r="D492" s="8" t="s">
        <v>3264</v>
      </c>
      <c r="E492" s="8" t="s">
        <v>3265</v>
      </c>
      <c r="F492" s="8" t="s">
        <v>3266</v>
      </c>
      <c r="G492" s="6" t="s">
        <v>38</v>
      </c>
      <c r="H492" s="6" t="s">
        <v>184</v>
      </c>
      <c r="I492" s="8" t="s">
        <v>3267</v>
      </c>
      <c r="J492" s="9">
        <v>1</v>
      </c>
      <c r="K492" s="9">
        <v>113</v>
      </c>
      <c r="L492" s="9">
        <v>2025</v>
      </c>
      <c r="M492" s="8" t="s">
        <v>3268</v>
      </c>
      <c r="N492" s="8" t="s">
        <v>413</v>
      </c>
      <c r="O492" s="8" t="s">
        <v>1584</v>
      </c>
      <c r="P492" s="6" t="s">
        <v>43</v>
      </c>
      <c r="Q492" s="8" t="s">
        <v>44</v>
      </c>
      <c r="R492" s="10" t="s">
        <v>3269</v>
      </c>
      <c r="S492" s="11"/>
      <c r="T492" s="6"/>
      <c r="U492" s="24" t="str">
        <f>HYPERLINK("https://media.infra-m.ru/2175/2175003/cover/2175003.jpg", "Обложка")</f>
        <v>Обложка</v>
      </c>
      <c r="V492" s="24" t="str">
        <f>HYPERLINK("https://znanium.ru/catalog/product/1838751", "Ознакомиться")</f>
        <v>Ознакомиться</v>
      </c>
      <c r="W492" s="8"/>
      <c r="X492" s="6"/>
      <c r="Y492" s="6"/>
      <c r="Z492" s="6"/>
      <c r="AA492" s="6" t="s">
        <v>3065</v>
      </c>
      <c r="AB492" s="8"/>
    </row>
    <row r="493" spans="1:28" s="4" customFormat="1" ht="51.95" customHeight="1">
      <c r="A493" s="5">
        <v>0</v>
      </c>
      <c r="B493" s="6" t="s">
        <v>3270</v>
      </c>
      <c r="C493" s="7">
        <v>594</v>
      </c>
      <c r="D493" s="8" t="s">
        <v>3271</v>
      </c>
      <c r="E493" s="8" t="s">
        <v>3272</v>
      </c>
      <c r="F493" s="8" t="s">
        <v>3273</v>
      </c>
      <c r="G493" s="6" t="s">
        <v>38</v>
      </c>
      <c r="H493" s="6" t="s">
        <v>53</v>
      </c>
      <c r="I493" s="8" t="s">
        <v>90</v>
      </c>
      <c r="J493" s="9">
        <v>1</v>
      </c>
      <c r="K493" s="9">
        <v>118</v>
      </c>
      <c r="L493" s="9">
        <v>2025</v>
      </c>
      <c r="M493" s="8" t="s">
        <v>3274</v>
      </c>
      <c r="N493" s="8" t="s">
        <v>41</v>
      </c>
      <c r="O493" s="8" t="s">
        <v>1007</v>
      </c>
      <c r="P493" s="6" t="s">
        <v>43</v>
      </c>
      <c r="Q493" s="8" t="s">
        <v>44</v>
      </c>
      <c r="R493" s="10" t="s">
        <v>1251</v>
      </c>
      <c r="S493" s="11" t="s">
        <v>120</v>
      </c>
      <c r="T493" s="6"/>
      <c r="U493" s="24" t="str">
        <f>HYPERLINK("https://media.infra-m.ru/2188/2188080/cover/2188080.jpg", "Обложка")</f>
        <v>Обложка</v>
      </c>
      <c r="V493" s="24" t="str">
        <f>HYPERLINK("https://znanium.ru/catalog/product/2016332", "Ознакомиться")</f>
        <v>Ознакомиться</v>
      </c>
      <c r="W493" s="8" t="s">
        <v>2080</v>
      </c>
      <c r="X493" s="6"/>
      <c r="Y493" s="6"/>
      <c r="Z493" s="6"/>
      <c r="AA493" s="6" t="s">
        <v>47</v>
      </c>
      <c r="AB493" s="8"/>
    </row>
    <row r="494" spans="1:28" s="4" customFormat="1" ht="51.95" customHeight="1">
      <c r="A494" s="5">
        <v>0</v>
      </c>
      <c r="B494" s="6" t="s">
        <v>3275</v>
      </c>
      <c r="C494" s="13">
        <v>2430</v>
      </c>
      <c r="D494" s="8" t="s">
        <v>3276</v>
      </c>
      <c r="E494" s="8" t="s">
        <v>3277</v>
      </c>
      <c r="F494" s="8" t="s">
        <v>3278</v>
      </c>
      <c r="G494" s="6" t="s">
        <v>52</v>
      </c>
      <c r="H494" s="6" t="s">
        <v>952</v>
      </c>
      <c r="I494" s="8"/>
      <c r="J494" s="9">
        <v>1</v>
      </c>
      <c r="K494" s="9">
        <v>528</v>
      </c>
      <c r="L494" s="9">
        <v>2024</v>
      </c>
      <c r="M494" s="8" t="s">
        <v>3279</v>
      </c>
      <c r="N494" s="8" t="s">
        <v>41</v>
      </c>
      <c r="O494" s="8" t="s">
        <v>1007</v>
      </c>
      <c r="P494" s="6" t="s">
        <v>167</v>
      </c>
      <c r="Q494" s="8" t="s">
        <v>44</v>
      </c>
      <c r="R494" s="10" t="s">
        <v>3280</v>
      </c>
      <c r="S494" s="11" t="s">
        <v>3281</v>
      </c>
      <c r="T494" s="6"/>
      <c r="U494" s="24" t="str">
        <f>HYPERLINK("https://media.infra-m.ru/2096/2096303/cover/2096303.jpg", "Обложка")</f>
        <v>Обложка</v>
      </c>
      <c r="V494" s="24" t="str">
        <f>HYPERLINK("https://znanium.ru/catalog/product/2096303", "Ознакомиться")</f>
        <v>Ознакомиться</v>
      </c>
      <c r="W494" s="8" t="s">
        <v>3282</v>
      </c>
      <c r="X494" s="6"/>
      <c r="Y494" s="6"/>
      <c r="Z494" s="6"/>
      <c r="AA494" s="6" t="s">
        <v>196</v>
      </c>
      <c r="AB494" s="8"/>
    </row>
    <row r="495" spans="1:28" s="4" customFormat="1" ht="42" customHeight="1">
      <c r="A495" s="5">
        <v>0</v>
      </c>
      <c r="B495" s="6" t="s">
        <v>3283</v>
      </c>
      <c r="C495" s="7">
        <v>634</v>
      </c>
      <c r="D495" s="8" t="s">
        <v>3284</v>
      </c>
      <c r="E495" s="8" t="s">
        <v>3285</v>
      </c>
      <c r="F495" s="8" t="s">
        <v>3286</v>
      </c>
      <c r="G495" s="6" t="s">
        <v>89</v>
      </c>
      <c r="H495" s="6" t="s">
        <v>674</v>
      </c>
      <c r="I495" s="8"/>
      <c r="J495" s="9">
        <v>1</v>
      </c>
      <c r="K495" s="9">
        <v>128</v>
      </c>
      <c r="L495" s="9">
        <v>2024</v>
      </c>
      <c r="M495" s="8" t="s">
        <v>3287</v>
      </c>
      <c r="N495" s="8" t="s">
        <v>41</v>
      </c>
      <c r="O495" s="8" t="s">
        <v>676</v>
      </c>
      <c r="P495" s="6" t="s">
        <v>43</v>
      </c>
      <c r="Q495" s="8" t="s">
        <v>44</v>
      </c>
      <c r="R495" s="10" t="s">
        <v>969</v>
      </c>
      <c r="S495" s="11"/>
      <c r="T495" s="6"/>
      <c r="U495" s="24" t="str">
        <f>HYPERLINK("https://media.infra-m.ru/2156/2156911/cover/2156911.jpg", "Обложка")</f>
        <v>Обложка</v>
      </c>
      <c r="V495" s="24" t="str">
        <f>HYPERLINK("https://znanium.ru/catalog/product/2111409", "Ознакомиться")</f>
        <v>Ознакомиться</v>
      </c>
      <c r="W495" s="8" t="s">
        <v>792</v>
      </c>
      <c r="X495" s="6"/>
      <c r="Y495" s="6"/>
      <c r="Z495" s="6"/>
      <c r="AA495" s="6" t="s">
        <v>219</v>
      </c>
      <c r="AB495" s="8"/>
    </row>
    <row r="496" spans="1:28" s="4" customFormat="1" ht="51.95" customHeight="1">
      <c r="A496" s="5">
        <v>0</v>
      </c>
      <c r="B496" s="6" t="s">
        <v>3288</v>
      </c>
      <c r="C496" s="7">
        <v>770</v>
      </c>
      <c r="D496" s="8" t="s">
        <v>3289</v>
      </c>
      <c r="E496" s="8" t="s">
        <v>3290</v>
      </c>
      <c r="F496" s="8" t="s">
        <v>3291</v>
      </c>
      <c r="G496" s="6" t="s">
        <v>89</v>
      </c>
      <c r="H496" s="6" t="s">
        <v>53</v>
      </c>
      <c r="I496" s="8" t="s">
        <v>1868</v>
      </c>
      <c r="J496" s="9">
        <v>1</v>
      </c>
      <c r="K496" s="9">
        <v>170</v>
      </c>
      <c r="L496" s="9">
        <v>2022</v>
      </c>
      <c r="M496" s="8" t="s">
        <v>3292</v>
      </c>
      <c r="N496" s="8" t="s">
        <v>41</v>
      </c>
      <c r="O496" s="8" t="s">
        <v>129</v>
      </c>
      <c r="P496" s="6" t="s">
        <v>167</v>
      </c>
      <c r="Q496" s="8" t="s">
        <v>58</v>
      </c>
      <c r="R496" s="10" t="s">
        <v>3293</v>
      </c>
      <c r="S496" s="11" t="s">
        <v>3294</v>
      </c>
      <c r="T496" s="6"/>
      <c r="U496" s="24" t="str">
        <f>HYPERLINK("https://media.infra-m.ru/1855/1855820/cover/1855820.jpg", "Обложка")</f>
        <v>Обложка</v>
      </c>
      <c r="V496" s="12"/>
      <c r="W496" s="8" t="s">
        <v>784</v>
      </c>
      <c r="X496" s="6"/>
      <c r="Y496" s="6"/>
      <c r="Z496" s="6"/>
      <c r="AA496" s="6" t="s">
        <v>442</v>
      </c>
      <c r="AB496" s="8"/>
    </row>
    <row r="497" spans="1:28" s="4" customFormat="1" ht="51.95" customHeight="1">
      <c r="A497" s="5">
        <v>0</v>
      </c>
      <c r="B497" s="6" t="s">
        <v>3295</v>
      </c>
      <c r="C497" s="7">
        <v>790</v>
      </c>
      <c r="D497" s="8" t="s">
        <v>3296</v>
      </c>
      <c r="E497" s="8" t="s">
        <v>3297</v>
      </c>
      <c r="F497" s="8" t="s">
        <v>3298</v>
      </c>
      <c r="G497" s="6" t="s">
        <v>89</v>
      </c>
      <c r="H497" s="6" t="s">
        <v>53</v>
      </c>
      <c r="I497" s="8" t="s">
        <v>1868</v>
      </c>
      <c r="J497" s="9">
        <v>1</v>
      </c>
      <c r="K497" s="9">
        <v>164</v>
      </c>
      <c r="L497" s="9">
        <v>2024</v>
      </c>
      <c r="M497" s="8" t="s">
        <v>3299</v>
      </c>
      <c r="N497" s="8" t="s">
        <v>41</v>
      </c>
      <c r="O497" s="8" t="s">
        <v>129</v>
      </c>
      <c r="P497" s="6" t="s">
        <v>167</v>
      </c>
      <c r="Q497" s="8" t="s">
        <v>44</v>
      </c>
      <c r="R497" s="10" t="s">
        <v>3300</v>
      </c>
      <c r="S497" s="11" t="s">
        <v>3301</v>
      </c>
      <c r="T497" s="6"/>
      <c r="U497" s="24" t="str">
        <f>HYPERLINK("https://media.infra-m.ru/2133/2133030/cover/2133030.jpg", "Обложка")</f>
        <v>Обложка</v>
      </c>
      <c r="V497" s="12"/>
      <c r="W497" s="8" t="s">
        <v>784</v>
      </c>
      <c r="X497" s="6"/>
      <c r="Y497" s="6"/>
      <c r="Z497" s="6"/>
      <c r="AA497" s="6" t="s">
        <v>442</v>
      </c>
      <c r="AB497" s="8"/>
    </row>
    <row r="498" spans="1:28" s="4" customFormat="1" ht="51.95" customHeight="1">
      <c r="A498" s="5">
        <v>0</v>
      </c>
      <c r="B498" s="6" t="s">
        <v>3302</v>
      </c>
      <c r="C498" s="13">
        <v>1400</v>
      </c>
      <c r="D498" s="8" t="s">
        <v>3303</v>
      </c>
      <c r="E498" s="8" t="s">
        <v>3304</v>
      </c>
      <c r="F498" s="8" t="s">
        <v>3305</v>
      </c>
      <c r="G498" s="6" t="s">
        <v>89</v>
      </c>
      <c r="H498" s="6" t="s">
        <v>39</v>
      </c>
      <c r="I498" s="8" t="s">
        <v>100</v>
      </c>
      <c r="J498" s="9">
        <v>1</v>
      </c>
      <c r="K498" s="9">
        <v>280</v>
      </c>
      <c r="L498" s="9">
        <v>2024</v>
      </c>
      <c r="M498" s="8" t="s">
        <v>3306</v>
      </c>
      <c r="N498" s="8" t="s">
        <v>79</v>
      </c>
      <c r="O498" s="8" t="s">
        <v>570</v>
      </c>
      <c r="P498" s="6" t="s">
        <v>167</v>
      </c>
      <c r="Q498" s="8" t="s">
        <v>102</v>
      </c>
      <c r="R498" s="10" t="s">
        <v>3307</v>
      </c>
      <c r="S498" s="11" t="s">
        <v>3308</v>
      </c>
      <c r="T498" s="6"/>
      <c r="U498" s="24" t="str">
        <f>HYPERLINK("https://media.infra-m.ru/2156/2156900/cover/2156900.jpg", "Обложка")</f>
        <v>Обложка</v>
      </c>
      <c r="V498" s="24" t="str">
        <f>HYPERLINK("https://znanium.ru/catalog/product/2156900", "Ознакомиться")</f>
        <v>Ознакомиться</v>
      </c>
      <c r="W498" s="8" t="s">
        <v>450</v>
      </c>
      <c r="X498" s="6"/>
      <c r="Y498" s="6"/>
      <c r="Z498" s="6" t="s">
        <v>104</v>
      </c>
      <c r="AA498" s="6" t="s">
        <v>95</v>
      </c>
      <c r="AB498" s="8"/>
    </row>
    <row r="499" spans="1:28" s="4" customFormat="1" ht="51.95" customHeight="1">
      <c r="A499" s="5">
        <v>0</v>
      </c>
      <c r="B499" s="6" t="s">
        <v>3309</v>
      </c>
      <c r="C499" s="13">
        <v>1264.9000000000001</v>
      </c>
      <c r="D499" s="8" t="s">
        <v>3310</v>
      </c>
      <c r="E499" s="8" t="s">
        <v>3311</v>
      </c>
      <c r="F499" s="8" t="s">
        <v>3312</v>
      </c>
      <c r="G499" s="6" t="s">
        <v>38</v>
      </c>
      <c r="H499" s="6" t="s">
        <v>39</v>
      </c>
      <c r="I499" s="8" t="s">
        <v>90</v>
      </c>
      <c r="J499" s="9">
        <v>1</v>
      </c>
      <c r="K499" s="9">
        <v>280</v>
      </c>
      <c r="L499" s="9">
        <v>2023</v>
      </c>
      <c r="M499" s="8" t="s">
        <v>3313</v>
      </c>
      <c r="N499" s="8" t="s">
        <v>79</v>
      </c>
      <c r="O499" s="8" t="s">
        <v>570</v>
      </c>
      <c r="P499" s="6" t="s">
        <v>167</v>
      </c>
      <c r="Q499" s="8" t="s">
        <v>44</v>
      </c>
      <c r="R499" s="10" t="s">
        <v>571</v>
      </c>
      <c r="S499" s="11" t="s">
        <v>3314</v>
      </c>
      <c r="T499" s="6"/>
      <c r="U499" s="24" t="str">
        <f>HYPERLINK("https://media.infra-m.ru/1986/1986684/cover/1986684.jpg", "Обложка")</f>
        <v>Обложка</v>
      </c>
      <c r="V499" s="24" t="str">
        <f>HYPERLINK("https://znanium.ru/catalog/product/1851266", "Ознакомиться")</f>
        <v>Ознакомиться</v>
      </c>
      <c r="W499" s="8" t="s">
        <v>450</v>
      </c>
      <c r="X499" s="6"/>
      <c r="Y499" s="6"/>
      <c r="Z499" s="6"/>
      <c r="AA499" s="6" t="s">
        <v>418</v>
      </c>
      <c r="AB499" s="8"/>
    </row>
    <row r="500" spans="1:28" s="4" customFormat="1" ht="42" customHeight="1">
      <c r="A500" s="5">
        <v>0</v>
      </c>
      <c r="B500" s="6" t="s">
        <v>3315</v>
      </c>
      <c r="C500" s="13">
        <v>1870</v>
      </c>
      <c r="D500" s="8" t="s">
        <v>3316</v>
      </c>
      <c r="E500" s="8" t="s">
        <v>3317</v>
      </c>
      <c r="F500" s="8" t="s">
        <v>3318</v>
      </c>
      <c r="G500" s="6" t="s">
        <v>52</v>
      </c>
      <c r="H500" s="6" t="s">
        <v>53</v>
      </c>
      <c r="I500" s="8" t="s">
        <v>1631</v>
      </c>
      <c r="J500" s="9">
        <v>1</v>
      </c>
      <c r="K500" s="9">
        <v>366</v>
      </c>
      <c r="L500" s="9">
        <v>2025</v>
      </c>
      <c r="M500" s="8" t="s">
        <v>3319</v>
      </c>
      <c r="N500" s="8" t="s">
        <v>413</v>
      </c>
      <c r="O500" s="8" t="s">
        <v>1584</v>
      </c>
      <c r="P500" s="6" t="s">
        <v>43</v>
      </c>
      <c r="Q500" s="8" t="s">
        <v>102</v>
      </c>
      <c r="R500" s="10" t="s">
        <v>3320</v>
      </c>
      <c r="S500" s="11"/>
      <c r="T500" s="6"/>
      <c r="U500" s="24" t="str">
        <f>HYPERLINK("https://media.infra-m.ru/2169/2169858/cover/2169858.jpg", "Обложка")</f>
        <v>Обложка</v>
      </c>
      <c r="V500" s="24" t="str">
        <f>HYPERLINK("https://znanium.ru/catalog/product/2169858", "Ознакомиться")</f>
        <v>Ознакомиться</v>
      </c>
      <c r="W500" s="8" t="s">
        <v>716</v>
      </c>
      <c r="X500" s="6" t="s">
        <v>785</v>
      </c>
      <c r="Y500" s="6"/>
      <c r="Z500" s="6" t="s">
        <v>104</v>
      </c>
      <c r="AA500" s="6" t="s">
        <v>61</v>
      </c>
      <c r="AB500" s="8"/>
    </row>
    <row r="501" spans="1:28" s="4" customFormat="1" ht="51.95" customHeight="1">
      <c r="A501" s="5">
        <v>0</v>
      </c>
      <c r="B501" s="6" t="s">
        <v>3321</v>
      </c>
      <c r="C501" s="13">
        <v>1720</v>
      </c>
      <c r="D501" s="8" t="s">
        <v>3322</v>
      </c>
      <c r="E501" s="8" t="s">
        <v>3317</v>
      </c>
      <c r="F501" s="8" t="s">
        <v>3318</v>
      </c>
      <c r="G501" s="6" t="s">
        <v>52</v>
      </c>
      <c r="H501" s="6" t="s">
        <v>53</v>
      </c>
      <c r="I501" s="8" t="s">
        <v>712</v>
      </c>
      <c r="J501" s="9">
        <v>1</v>
      </c>
      <c r="K501" s="9">
        <v>366</v>
      </c>
      <c r="L501" s="9">
        <v>2024</v>
      </c>
      <c r="M501" s="8" t="s">
        <v>3323</v>
      </c>
      <c r="N501" s="8" t="s">
        <v>413</v>
      </c>
      <c r="O501" s="8" t="s">
        <v>1584</v>
      </c>
      <c r="P501" s="6" t="s">
        <v>43</v>
      </c>
      <c r="Q501" s="8" t="s">
        <v>44</v>
      </c>
      <c r="R501" s="10" t="s">
        <v>3324</v>
      </c>
      <c r="S501" s="11" t="s">
        <v>3325</v>
      </c>
      <c r="T501" s="6"/>
      <c r="U501" s="24" t="str">
        <f>HYPERLINK("https://media.infra-m.ru/2123/2123835/cover/2123835.jpg", "Обложка")</f>
        <v>Обложка</v>
      </c>
      <c r="V501" s="24" t="str">
        <f>HYPERLINK("https://znanium.ru/catalog/product/2123835", "Ознакомиться")</f>
        <v>Ознакомиться</v>
      </c>
      <c r="W501" s="8" t="s">
        <v>716</v>
      </c>
      <c r="X501" s="6"/>
      <c r="Y501" s="6"/>
      <c r="Z501" s="6"/>
      <c r="AA501" s="6" t="s">
        <v>133</v>
      </c>
      <c r="AB501" s="8"/>
    </row>
    <row r="502" spans="1:28" s="4" customFormat="1" ht="51.95" customHeight="1">
      <c r="A502" s="5">
        <v>0</v>
      </c>
      <c r="B502" s="6" t="s">
        <v>3326</v>
      </c>
      <c r="C502" s="13">
        <v>1754</v>
      </c>
      <c r="D502" s="8" t="s">
        <v>3327</v>
      </c>
      <c r="E502" s="8" t="s">
        <v>3328</v>
      </c>
      <c r="F502" s="8" t="s">
        <v>3329</v>
      </c>
      <c r="G502" s="6" t="s">
        <v>52</v>
      </c>
      <c r="H502" s="6" t="s">
        <v>53</v>
      </c>
      <c r="I502" s="8" t="s">
        <v>90</v>
      </c>
      <c r="J502" s="9">
        <v>1</v>
      </c>
      <c r="K502" s="9">
        <v>351</v>
      </c>
      <c r="L502" s="9">
        <v>2024</v>
      </c>
      <c r="M502" s="8" t="s">
        <v>3330</v>
      </c>
      <c r="N502" s="8" t="s">
        <v>413</v>
      </c>
      <c r="O502" s="8" t="s">
        <v>1584</v>
      </c>
      <c r="P502" s="6" t="s">
        <v>43</v>
      </c>
      <c r="Q502" s="8" t="s">
        <v>44</v>
      </c>
      <c r="R502" s="10" t="s">
        <v>3331</v>
      </c>
      <c r="S502" s="11" t="s">
        <v>3332</v>
      </c>
      <c r="T502" s="6"/>
      <c r="U502" s="24" t="str">
        <f>HYPERLINK("https://media.infra-m.ru/2157/2157275/cover/2157275.jpg", "Обложка")</f>
        <v>Обложка</v>
      </c>
      <c r="V502" s="24" t="str">
        <f>HYPERLINK("https://znanium.ru/catalog/product/1900333", "Ознакомиться")</f>
        <v>Ознакомиться</v>
      </c>
      <c r="W502" s="8" t="s">
        <v>3333</v>
      </c>
      <c r="X502" s="6"/>
      <c r="Y502" s="6"/>
      <c r="Z502" s="6"/>
      <c r="AA502" s="6" t="s">
        <v>793</v>
      </c>
      <c r="AB502" s="8"/>
    </row>
    <row r="503" spans="1:28" s="4" customFormat="1" ht="51.95" customHeight="1">
      <c r="A503" s="5">
        <v>0</v>
      </c>
      <c r="B503" s="6" t="s">
        <v>3334</v>
      </c>
      <c r="C503" s="13">
        <v>1784</v>
      </c>
      <c r="D503" s="8" t="s">
        <v>3335</v>
      </c>
      <c r="E503" s="8" t="s">
        <v>3328</v>
      </c>
      <c r="F503" s="8" t="s">
        <v>3329</v>
      </c>
      <c r="G503" s="6" t="s">
        <v>89</v>
      </c>
      <c r="H503" s="6" t="s">
        <v>53</v>
      </c>
      <c r="I503" s="8" t="s">
        <v>100</v>
      </c>
      <c r="J503" s="9">
        <v>1</v>
      </c>
      <c r="K503" s="9">
        <v>351</v>
      </c>
      <c r="L503" s="9">
        <v>2025</v>
      </c>
      <c r="M503" s="8" t="s">
        <v>3336</v>
      </c>
      <c r="N503" s="8" t="s">
        <v>413</v>
      </c>
      <c r="O503" s="8" t="s">
        <v>1584</v>
      </c>
      <c r="P503" s="6" t="s">
        <v>43</v>
      </c>
      <c r="Q503" s="8" t="s">
        <v>102</v>
      </c>
      <c r="R503" s="10" t="s">
        <v>3337</v>
      </c>
      <c r="S503" s="11" t="s">
        <v>3338</v>
      </c>
      <c r="T503" s="6"/>
      <c r="U503" s="24" t="str">
        <f>HYPERLINK("https://media.infra-m.ru/2187/2187030/cover/2187030.jpg", "Обложка")</f>
        <v>Обложка</v>
      </c>
      <c r="V503" s="24" t="str">
        <f>HYPERLINK("https://znanium.ru/catalog/product/2102653", "Ознакомиться")</f>
        <v>Ознакомиться</v>
      </c>
      <c r="W503" s="8" t="s">
        <v>3333</v>
      </c>
      <c r="X503" s="6"/>
      <c r="Y503" s="6"/>
      <c r="Z503" s="6" t="s">
        <v>104</v>
      </c>
      <c r="AA503" s="6" t="s">
        <v>793</v>
      </c>
      <c r="AB503" s="8"/>
    </row>
    <row r="504" spans="1:28" s="4" customFormat="1" ht="51.95" customHeight="1">
      <c r="A504" s="5">
        <v>0</v>
      </c>
      <c r="B504" s="6" t="s">
        <v>3339</v>
      </c>
      <c r="C504" s="13">
        <v>1490</v>
      </c>
      <c r="D504" s="8" t="s">
        <v>3340</v>
      </c>
      <c r="E504" s="8" t="s">
        <v>3341</v>
      </c>
      <c r="F504" s="8" t="s">
        <v>3342</v>
      </c>
      <c r="G504" s="6" t="s">
        <v>89</v>
      </c>
      <c r="H504" s="6" t="s">
        <v>184</v>
      </c>
      <c r="I504" s="8" t="s">
        <v>116</v>
      </c>
      <c r="J504" s="9">
        <v>1</v>
      </c>
      <c r="K504" s="9">
        <v>316</v>
      </c>
      <c r="L504" s="9">
        <v>2024</v>
      </c>
      <c r="M504" s="8" t="s">
        <v>3343</v>
      </c>
      <c r="N504" s="8" t="s">
        <v>41</v>
      </c>
      <c r="O504" s="8" t="s">
        <v>278</v>
      </c>
      <c r="P504" s="6" t="s">
        <v>167</v>
      </c>
      <c r="Q504" s="8" t="s">
        <v>58</v>
      </c>
      <c r="R504" s="10" t="s">
        <v>3344</v>
      </c>
      <c r="S504" s="11" t="s">
        <v>3345</v>
      </c>
      <c r="T504" s="6"/>
      <c r="U504" s="24" t="str">
        <f>HYPERLINK("https://media.infra-m.ru/2008/2008766/cover/2008766.jpg", "Обложка")</f>
        <v>Обложка</v>
      </c>
      <c r="V504" s="24" t="str">
        <f>HYPERLINK("https://znanium.ru/catalog/product/2008766", "Ознакомиться")</f>
        <v>Ознакомиться</v>
      </c>
      <c r="W504" s="8" t="s">
        <v>354</v>
      </c>
      <c r="X504" s="6"/>
      <c r="Y504" s="6"/>
      <c r="Z504" s="6"/>
      <c r="AA504" s="6" t="s">
        <v>84</v>
      </c>
      <c r="AB504" s="8"/>
    </row>
    <row r="505" spans="1:28" s="4" customFormat="1" ht="42" customHeight="1">
      <c r="A505" s="5">
        <v>0</v>
      </c>
      <c r="B505" s="6" t="s">
        <v>3346</v>
      </c>
      <c r="C505" s="7">
        <v>910</v>
      </c>
      <c r="D505" s="8" t="s">
        <v>3347</v>
      </c>
      <c r="E505" s="8" t="s">
        <v>3348</v>
      </c>
      <c r="F505" s="8" t="s">
        <v>3349</v>
      </c>
      <c r="G505" s="6" t="s">
        <v>38</v>
      </c>
      <c r="H505" s="6" t="s">
        <v>184</v>
      </c>
      <c r="I505" s="8" t="s">
        <v>116</v>
      </c>
      <c r="J505" s="9">
        <v>1</v>
      </c>
      <c r="K505" s="9">
        <v>176</v>
      </c>
      <c r="L505" s="9">
        <v>2025</v>
      </c>
      <c r="M505" s="8" t="s">
        <v>3350</v>
      </c>
      <c r="N505" s="8" t="s">
        <v>41</v>
      </c>
      <c r="O505" s="8" t="s">
        <v>118</v>
      </c>
      <c r="P505" s="6" t="s">
        <v>43</v>
      </c>
      <c r="Q505" s="8" t="s">
        <v>58</v>
      </c>
      <c r="R505" s="10" t="s">
        <v>3351</v>
      </c>
      <c r="S505" s="11"/>
      <c r="T505" s="6"/>
      <c r="U505" s="24" t="str">
        <f>HYPERLINK("https://media.infra-m.ru/2172/2172559/cover/2172559.jpg", "Обложка")</f>
        <v>Обложка</v>
      </c>
      <c r="V505" s="24" t="str">
        <f>HYPERLINK("https://znanium.ru/catalog/product/2172559", "Ознакомиться")</f>
        <v>Ознакомиться</v>
      </c>
      <c r="W505" s="8"/>
      <c r="X505" s="6"/>
      <c r="Y505" s="6"/>
      <c r="Z505" s="6"/>
      <c r="AA505" s="6" t="s">
        <v>442</v>
      </c>
      <c r="AB505" s="8"/>
    </row>
    <row r="506" spans="1:28" s="4" customFormat="1" ht="51.95" customHeight="1">
      <c r="A506" s="5">
        <v>0</v>
      </c>
      <c r="B506" s="6" t="s">
        <v>3352</v>
      </c>
      <c r="C506" s="13">
        <v>1654</v>
      </c>
      <c r="D506" s="8" t="s">
        <v>3353</v>
      </c>
      <c r="E506" s="8" t="s">
        <v>3354</v>
      </c>
      <c r="F506" s="8" t="s">
        <v>3355</v>
      </c>
      <c r="G506" s="6" t="s">
        <v>89</v>
      </c>
      <c r="H506" s="6" t="s">
        <v>53</v>
      </c>
      <c r="I506" s="8" t="s">
        <v>3356</v>
      </c>
      <c r="J506" s="9">
        <v>1</v>
      </c>
      <c r="K506" s="9">
        <v>352</v>
      </c>
      <c r="L506" s="9">
        <v>2024</v>
      </c>
      <c r="M506" s="8" t="s">
        <v>3357</v>
      </c>
      <c r="N506" s="8" t="s">
        <v>79</v>
      </c>
      <c r="O506" s="8" t="s">
        <v>396</v>
      </c>
      <c r="P506" s="6" t="s">
        <v>43</v>
      </c>
      <c r="Q506" s="8" t="s">
        <v>214</v>
      </c>
      <c r="R506" s="10" t="s">
        <v>3358</v>
      </c>
      <c r="S506" s="11" t="s">
        <v>3359</v>
      </c>
      <c r="T506" s="6"/>
      <c r="U506" s="24" t="str">
        <f>HYPERLINK("https://media.infra-m.ru/2149/2149190/cover/2149190.jpg", "Обложка")</f>
        <v>Обложка</v>
      </c>
      <c r="V506" s="24" t="str">
        <f>HYPERLINK("https://znanium.ru/catalog/product/2146367", "Ознакомиться")</f>
        <v>Ознакомиться</v>
      </c>
      <c r="W506" s="8" t="s">
        <v>784</v>
      </c>
      <c r="X506" s="6"/>
      <c r="Y506" s="6"/>
      <c r="Z506" s="6"/>
      <c r="AA506" s="6" t="s">
        <v>111</v>
      </c>
      <c r="AB506" s="8"/>
    </row>
    <row r="507" spans="1:28" s="4" customFormat="1" ht="51.95" customHeight="1">
      <c r="A507" s="5">
        <v>0</v>
      </c>
      <c r="B507" s="6" t="s">
        <v>3360</v>
      </c>
      <c r="C507" s="13">
        <v>1240</v>
      </c>
      <c r="D507" s="8" t="s">
        <v>3361</v>
      </c>
      <c r="E507" s="8" t="s">
        <v>3362</v>
      </c>
      <c r="F507" s="8" t="s">
        <v>3363</v>
      </c>
      <c r="G507" s="6" t="s">
        <v>89</v>
      </c>
      <c r="H507" s="6" t="s">
        <v>53</v>
      </c>
      <c r="I507" s="8" t="s">
        <v>3356</v>
      </c>
      <c r="J507" s="9">
        <v>1</v>
      </c>
      <c r="K507" s="9">
        <v>255</v>
      </c>
      <c r="L507" s="9">
        <v>2024</v>
      </c>
      <c r="M507" s="8" t="s">
        <v>3364</v>
      </c>
      <c r="N507" s="8" t="s">
        <v>79</v>
      </c>
      <c r="O507" s="8" t="s">
        <v>396</v>
      </c>
      <c r="P507" s="6" t="s">
        <v>43</v>
      </c>
      <c r="Q507" s="8" t="s">
        <v>214</v>
      </c>
      <c r="R507" s="10" t="s">
        <v>3365</v>
      </c>
      <c r="S507" s="11" t="s">
        <v>3366</v>
      </c>
      <c r="T507" s="6"/>
      <c r="U507" s="24" t="str">
        <f>HYPERLINK("https://media.infra-m.ru/2099/2099049/cover/2099049.jpg", "Обложка")</f>
        <v>Обложка</v>
      </c>
      <c r="V507" s="12"/>
      <c r="W507" s="8" t="s">
        <v>784</v>
      </c>
      <c r="X507" s="6"/>
      <c r="Y507" s="6"/>
      <c r="Z507" s="6"/>
      <c r="AA507" s="6" t="s">
        <v>196</v>
      </c>
      <c r="AB507" s="8"/>
    </row>
    <row r="508" spans="1:28" s="4" customFormat="1" ht="51.95" customHeight="1">
      <c r="A508" s="5">
        <v>0</v>
      </c>
      <c r="B508" s="6" t="s">
        <v>3367</v>
      </c>
      <c r="C508" s="13">
        <v>1144</v>
      </c>
      <c r="D508" s="8" t="s">
        <v>3368</v>
      </c>
      <c r="E508" s="8" t="s">
        <v>3369</v>
      </c>
      <c r="F508" s="8" t="s">
        <v>3370</v>
      </c>
      <c r="G508" s="6" t="s">
        <v>52</v>
      </c>
      <c r="H508" s="6" t="s">
        <v>184</v>
      </c>
      <c r="I508" s="8" t="s">
        <v>90</v>
      </c>
      <c r="J508" s="9">
        <v>1</v>
      </c>
      <c r="K508" s="9">
        <v>242</v>
      </c>
      <c r="L508" s="9">
        <v>2024</v>
      </c>
      <c r="M508" s="8" t="s">
        <v>3371</v>
      </c>
      <c r="N508" s="8" t="s">
        <v>41</v>
      </c>
      <c r="O508" s="8" t="s">
        <v>1007</v>
      </c>
      <c r="P508" s="6" t="s">
        <v>43</v>
      </c>
      <c r="Q508" s="8" t="s">
        <v>44</v>
      </c>
      <c r="R508" s="10" t="s">
        <v>3372</v>
      </c>
      <c r="S508" s="11"/>
      <c r="T508" s="6" t="s">
        <v>299</v>
      </c>
      <c r="U508" s="24" t="str">
        <f>HYPERLINK("https://media.infra-m.ru/2096/2096930/cover/2096930.jpg", "Обложка")</f>
        <v>Обложка</v>
      </c>
      <c r="V508" s="24" t="str">
        <f>HYPERLINK("https://znanium.ru/catalog/product/2096930", "Ознакомиться")</f>
        <v>Ознакомиться</v>
      </c>
      <c r="W508" s="8"/>
      <c r="X508" s="6"/>
      <c r="Y508" s="6"/>
      <c r="Z508" s="6"/>
      <c r="AA508" s="6" t="s">
        <v>418</v>
      </c>
      <c r="AB508" s="8"/>
    </row>
    <row r="509" spans="1:28" s="4" customFormat="1" ht="51.95" customHeight="1">
      <c r="A509" s="5">
        <v>0</v>
      </c>
      <c r="B509" s="6" t="s">
        <v>3373</v>
      </c>
      <c r="C509" s="13">
        <v>1530</v>
      </c>
      <c r="D509" s="8" t="s">
        <v>3374</v>
      </c>
      <c r="E509" s="8" t="s">
        <v>3375</v>
      </c>
      <c r="F509" s="8" t="s">
        <v>3376</v>
      </c>
      <c r="G509" s="6" t="s">
        <v>89</v>
      </c>
      <c r="H509" s="6" t="s">
        <v>53</v>
      </c>
      <c r="I509" s="8" t="s">
        <v>90</v>
      </c>
      <c r="J509" s="9">
        <v>1</v>
      </c>
      <c r="K509" s="9">
        <v>340</v>
      </c>
      <c r="L509" s="9">
        <v>2023</v>
      </c>
      <c r="M509" s="8" t="s">
        <v>3377</v>
      </c>
      <c r="N509" s="8" t="s">
        <v>41</v>
      </c>
      <c r="O509" s="8" t="s">
        <v>1007</v>
      </c>
      <c r="P509" s="6" t="s">
        <v>167</v>
      </c>
      <c r="Q509" s="8" t="s">
        <v>44</v>
      </c>
      <c r="R509" s="10" t="s">
        <v>3378</v>
      </c>
      <c r="S509" s="11" t="s">
        <v>406</v>
      </c>
      <c r="T509" s="6" t="s">
        <v>299</v>
      </c>
      <c r="U509" s="24" t="str">
        <f>HYPERLINK("https://media.infra-m.ru/1907/1907032/cover/1907032.jpg", "Обложка")</f>
        <v>Обложка</v>
      </c>
      <c r="V509" s="24" t="str">
        <f>HYPERLINK("https://znanium.ru/catalog/product/1991034", "Ознакомиться")</f>
        <v>Ознакомиться</v>
      </c>
      <c r="W509" s="8" t="s">
        <v>1313</v>
      </c>
      <c r="X509" s="6"/>
      <c r="Y509" s="6"/>
      <c r="Z509" s="6"/>
      <c r="AA509" s="6" t="s">
        <v>442</v>
      </c>
      <c r="AB509" s="8"/>
    </row>
    <row r="510" spans="1:28" s="4" customFormat="1" ht="51.95" customHeight="1">
      <c r="A510" s="5">
        <v>0</v>
      </c>
      <c r="B510" s="6" t="s">
        <v>3379</v>
      </c>
      <c r="C510" s="13">
        <v>2300</v>
      </c>
      <c r="D510" s="8" t="s">
        <v>3380</v>
      </c>
      <c r="E510" s="8" t="s">
        <v>3381</v>
      </c>
      <c r="F510" s="8" t="s">
        <v>3376</v>
      </c>
      <c r="G510" s="6" t="s">
        <v>52</v>
      </c>
      <c r="H510" s="6" t="s">
        <v>53</v>
      </c>
      <c r="I510" s="8" t="s">
        <v>116</v>
      </c>
      <c r="J510" s="9">
        <v>1</v>
      </c>
      <c r="K510" s="9">
        <v>459</v>
      </c>
      <c r="L510" s="9">
        <v>2025</v>
      </c>
      <c r="M510" s="8" t="s">
        <v>3382</v>
      </c>
      <c r="N510" s="8" t="s">
        <v>41</v>
      </c>
      <c r="O510" s="8" t="s">
        <v>1007</v>
      </c>
      <c r="P510" s="6" t="s">
        <v>167</v>
      </c>
      <c r="Q510" s="8" t="s">
        <v>58</v>
      </c>
      <c r="R510" s="10" t="s">
        <v>3378</v>
      </c>
      <c r="S510" s="11" t="s">
        <v>3383</v>
      </c>
      <c r="T510" s="6" t="s">
        <v>299</v>
      </c>
      <c r="U510" s="24" t="str">
        <f>HYPERLINK("https://media.infra-m.ru/1991/1991034/cover/1991034.jpg", "Обложка")</f>
        <v>Обложка</v>
      </c>
      <c r="V510" s="24" t="str">
        <f>HYPERLINK("https://znanium.ru/catalog/product/1991034", "Ознакомиться")</f>
        <v>Ознакомиться</v>
      </c>
      <c r="W510" s="8" t="s">
        <v>1313</v>
      </c>
      <c r="X510" s="6" t="s">
        <v>389</v>
      </c>
      <c r="Y510" s="6"/>
      <c r="Z510" s="6"/>
      <c r="AA510" s="6" t="s">
        <v>549</v>
      </c>
      <c r="AB510" s="8"/>
    </row>
    <row r="511" spans="1:28" s="4" customFormat="1" ht="51.95" customHeight="1">
      <c r="A511" s="5">
        <v>0</v>
      </c>
      <c r="B511" s="6" t="s">
        <v>3384</v>
      </c>
      <c r="C511" s="13">
        <v>1330</v>
      </c>
      <c r="D511" s="8" t="s">
        <v>3385</v>
      </c>
      <c r="E511" s="8" t="s">
        <v>3381</v>
      </c>
      <c r="F511" s="8" t="s">
        <v>3386</v>
      </c>
      <c r="G511" s="6" t="s">
        <v>89</v>
      </c>
      <c r="H511" s="6" t="s">
        <v>53</v>
      </c>
      <c r="I511" s="8" t="s">
        <v>1223</v>
      </c>
      <c r="J511" s="9">
        <v>1</v>
      </c>
      <c r="K511" s="9">
        <v>276</v>
      </c>
      <c r="L511" s="9">
        <v>2023</v>
      </c>
      <c r="M511" s="8" t="s">
        <v>3387</v>
      </c>
      <c r="N511" s="8" t="s">
        <v>41</v>
      </c>
      <c r="O511" s="8" t="s">
        <v>1007</v>
      </c>
      <c r="P511" s="6" t="s">
        <v>43</v>
      </c>
      <c r="Q511" s="8" t="s">
        <v>44</v>
      </c>
      <c r="R511" s="10" t="s">
        <v>3378</v>
      </c>
      <c r="S511" s="11" t="s">
        <v>3388</v>
      </c>
      <c r="T511" s="6" t="s">
        <v>299</v>
      </c>
      <c r="U511" s="24" t="str">
        <f>HYPERLINK("https://media.infra-m.ru/2126/2126798/cover/2126798.jpg", "Обложка")</f>
        <v>Обложка</v>
      </c>
      <c r="V511" s="24" t="str">
        <f>HYPERLINK("https://znanium.ru/catalog/product/2126798", "Ознакомиться")</f>
        <v>Ознакомиться</v>
      </c>
      <c r="W511" s="8" t="s">
        <v>3389</v>
      </c>
      <c r="X511" s="6"/>
      <c r="Y511" s="6"/>
      <c r="Z511" s="6"/>
      <c r="AA511" s="6" t="s">
        <v>813</v>
      </c>
      <c r="AB511" s="8"/>
    </row>
    <row r="512" spans="1:28" s="4" customFormat="1" ht="42" customHeight="1">
      <c r="A512" s="5">
        <v>0</v>
      </c>
      <c r="B512" s="6" t="s">
        <v>3390</v>
      </c>
      <c r="C512" s="13">
        <v>1014.9</v>
      </c>
      <c r="D512" s="8" t="s">
        <v>3391</v>
      </c>
      <c r="E512" s="8" t="s">
        <v>3375</v>
      </c>
      <c r="F512" s="8" t="s">
        <v>3392</v>
      </c>
      <c r="G512" s="6" t="s">
        <v>52</v>
      </c>
      <c r="H512" s="6" t="s">
        <v>77</v>
      </c>
      <c r="I512" s="8"/>
      <c r="J512" s="9">
        <v>1</v>
      </c>
      <c r="K512" s="9">
        <v>224</v>
      </c>
      <c r="L512" s="9">
        <v>2022</v>
      </c>
      <c r="M512" s="8" t="s">
        <v>3393</v>
      </c>
      <c r="N512" s="8" t="s">
        <v>41</v>
      </c>
      <c r="O512" s="8" t="s">
        <v>1007</v>
      </c>
      <c r="P512" s="6" t="s">
        <v>43</v>
      </c>
      <c r="Q512" s="8" t="s">
        <v>44</v>
      </c>
      <c r="R512" s="10" t="s">
        <v>3378</v>
      </c>
      <c r="S512" s="11"/>
      <c r="T512" s="6" t="s">
        <v>299</v>
      </c>
      <c r="U512" s="24" t="str">
        <f>HYPERLINK("https://media.infra-m.ru/1862/1862378/cover/1862378.jpg", "Обложка")</f>
        <v>Обложка</v>
      </c>
      <c r="V512" s="24" t="str">
        <f>HYPERLINK("https://znanium.ru/catalog/product/2126798", "Ознакомиться")</f>
        <v>Ознакомиться</v>
      </c>
      <c r="W512" s="8" t="s">
        <v>3389</v>
      </c>
      <c r="X512" s="6"/>
      <c r="Y512" s="6"/>
      <c r="Z512" s="6"/>
      <c r="AA512" s="6" t="s">
        <v>84</v>
      </c>
      <c r="AB512" s="8"/>
    </row>
    <row r="513" spans="1:28" s="4" customFormat="1" ht="51.95" customHeight="1">
      <c r="A513" s="5">
        <v>0</v>
      </c>
      <c r="B513" s="6" t="s">
        <v>3394</v>
      </c>
      <c r="C513" s="13">
        <v>1150</v>
      </c>
      <c r="D513" s="8" t="s">
        <v>3395</v>
      </c>
      <c r="E513" s="8" t="s">
        <v>3375</v>
      </c>
      <c r="F513" s="8" t="s">
        <v>3396</v>
      </c>
      <c r="G513" s="6" t="s">
        <v>38</v>
      </c>
      <c r="H513" s="6" t="s">
        <v>53</v>
      </c>
      <c r="I513" s="8" t="s">
        <v>90</v>
      </c>
      <c r="J513" s="9">
        <v>1</v>
      </c>
      <c r="K513" s="9">
        <v>256</v>
      </c>
      <c r="L513" s="9">
        <v>2023</v>
      </c>
      <c r="M513" s="8" t="s">
        <v>3397</v>
      </c>
      <c r="N513" s="8" t="s">
        <v>41</v>
      </c>
      <c r="O513" s="8" t="s">
        <v>1007</v>
      </c>
      <c r="P513" s="6" t="s">
        <v>43</v>
      </c>
      <c r="Q513" s="8" t="s">
        <v>44</v>
      </c>
      <c r="R513" s="10" t="s">
        <v>2461</v>
      </c>
      <c r="S513" s="11" t="s">
        <v>3398</v>
      </c>
      <c r="T513" s="6"/>
      <c r="U513" s="24" t="str">
        <f>HYPERLINK("https://media.infra-m.ru/1941/1941772/cover/1941772.jpg", "Обложка")</f>
        <v>Обложка</v>
      </c>
      <c r="V513" s="24" t="str">
        <f>HYPERLINK("https://znanium.ru/catalog/product/1941772", "Ознакомиться")</f>
        <v>Ознакомиться</v>
      </c>
      <c r="W513" s="8" t="s">
        <v>3333</v>
      </c>
      <c r="X513" s="6"/>
      <c r="Y513" s="6"/>
      <c r="Z513" s="6"/>
      <c r="AA513" s="6" t="s">
        <v>84</v>
      </c>
      <c r="AB513" s="8"/>
    </row>
    <row r="514" spans="1:28" s="4" customFormat="1" ht="51.95" customHeight="1">
      <c r="A514" s="5">
        <v>0</v>
      </c>
      <c r="B514" s="6" t="s">
        <v>3399</v>
      </c>
      <c r="C514" s="13">
        <v>2390</v>
      </c>
      <c r="D514" s="8" t="s">
        <v>3400</v>
      </c>
      <c r="E514" s="8" t="s">
        <v>3375</v>
      </c>
      <c r="F514" s="8" t="s">
        <v>3401</v>
      </c>
      <c r="G514" s="6" t="s">
        <v>52</v>
      </c>
      <c r="H514" s="6" t="s">
        <v>53</v>
      </c>
      <c r="I514" s="8" t="s">
        <v>116</v>
      </c>
      <c r="J514" s="9">
        <v>1</v>
      </c>
      <c r="K514" s="9">
        <v>478</v>
      </c>
      <c r="L514" s="9">
        <v>2025</v>
      </c>
      <c r="M514" s="8" t="s">
        <v>3402</v>
      </c>
      <c r="N514" s="8" t="s">
        <v>41</v>
      </c>
      <c r="O514" s="8" t="s">
        <v>1007</v>
      </c>
      <c r="P514" s="6" t="s">
        <v>43</v>
      </c>
      <c r="Q514" s="8" t="s">
        <v>58</v>
      </c>
      <c r="R514" s="10" t="s">
        <v>3403</v>
      </c>
      <c r="S514" s="11" t="s">
        <v>3404</v>
      </c>
      <c r="T514" s="6"/>
      <c r="U514" s="24" t="str">
        <f>HYPERLINK("https://media.infra-m.ru/2023/2023978/cover/2023978.jpg", "Обложка")</f>
        <v>Обложка</v>
      </c>
      <c r="V514" s="24" t="str">
        <f>HYPERLINK("https://znanium.ru/catalog/product/2023978", "Ознакомиться")</f>
        <v>Ознакомиться</v>
      </c>
      <c r="W514" s="8" t="s">
        <v>2559</v>
      </c>
      <c r="X514" s="6" t="s">
        <v>389</v>
      </c>
      <c r="Y514" s="6"/>
      <c r="Z514" s="6"/>
      <c r="AA514" s="6" t="s">
        <v>61</v>
      </c>
      <c r="AB514" s="8"/>
    </row>
    <row r="515" spans="1:28" s="4" customFormat="1" ht="51.95" customHeight="1">
      <c r="A515" s="5">
        <v>0</v>
      </c>
      <c r="B515" s="6" t="s">
        <v>3405</v>
      </c>
      <c r="C515" s="7">
        <v>714</v>
      </c>
      <c r="D515" s="8" t="s">
        <v>3406</v>
      </c>
      <c r="E515" s="8" t="s">
        <v>3407</v>
      </c>
      <c r="F515" s="8" t="s">
        <v>3408</v>
      </c>
      <c r="G515" s="6" t="s">
        <v>38</v>
      </c>
      <c r="H515" s="6" t="s">
        <v>53</v>
      </c>
      <c r="I515" s="8" t="s">
        <v>100</v>
      </c>
      <c r="J515" s="9">
        <v>1</v>
      </c>
      <c r="K515" s="9">
        <v>137</v>
      </c>
      <c r="L515" s="9">
        <v>2025</v>
      </c>
      <c r="M515" s="8" t="s">
        <v>3409</v>
      </c>
      <c r="N515" s="8" t="s">
        <v>41</v>
      </c>
      <c r="O515" s="8" t="s">
        <v>1007</v>
      </c>
      <c r="P515" s="6" t="s">
        <v>43</v>
      </c>
      <c r="Q515" s="8" t="s">
        <v>102</v>
      </c>
      <c r="R515" s="10" t="s">
        <v>3410</v>
      </c>
      <c r="S515" s="11" t="s">
        <v>3411</v>
      </c>
      <c r="T515" s="6"/>
      <c r="U515" s="24" t="str">
        <f>HYPERLINK("https://media.infra-m.ru/2187/2187031/cover/2187031.jpg", "Обложка")</f>
        <v>Обложка</v>
      </c>
      <c r="V515" s="24" t="str">
        <f>HYPERLINK("https://znanium.ru/catalog/product/1901905", "Ознакомиться")</f>
        <v>Ознакомиться</v>
      </c>
      <c r="W515" s="8" t="s">
        <v>3412</v>
      </c>
      <c r="X515" s="6"/>
      <c r="Y515" s="6"/>
      <c r="Z515" s="6"/>
      <c r="AA515" s="6" t="s">
        <v>1374</v>
      </c>
      <c r="AB515" s="8"/>
    </row>
    <row r="516" spans="1:28" s="4" customFormat="1" ht="51.95" customHeight="1">
      <c r="A516" s="5">
        <v>0</v>
      </c>
      <c r="B516" s="6" t="s">
        <v>3413</v>
      </c>
      <c r="C516" s="13">
        <v>1084</v>
      </c>
      <c r="D516" s="8" t="s">
        <v>3414</v>
      </c>
      <c r="E516" s="8" t="s">
        <v>3415</v>
      </c>
      <c r="F516" s="8" t="s">
        <v>3416</v>
      </c>
      <c r="G516" s="6" t="s">
        <v>89</v>
      </c>
      <c r="H516" s="6" t="s">
        <v>53</v>
      </c>
      <c r="I516" s="8" t="s">
        <v>100</v>
      </c>
      <c r="J516" s="9">
        <v>1</v>
      </c>
      <c r="K516" s="9">
        <v>208</v>
      </c>
      <c r="L516" s="9">
        <v>2025</v>
      </c>
      <c r="M516" s="8" t="s">
        <v>3417</v>
      </c>
      <c r="N516" s="8" t="s">
        <v>41</v>
      </c>
      <c r="O516" s="8" t="s">
        <v>1007</v>
      </c>
      <c r="P516" s="6" t="s">
        <v>167</v>
      </c>
      <c r="Q516" s="8" t="s">
        <v>102</v>
      </c>
      <c r="R516" s="10" t="s">
        <v>3410</v>
      </c>
      <c r="S516" s="11" t="s">
        <v>3418</v>
      </c>
      <c r="T516" s="6"/>
      <c r="U516" s="24" t="str">
        <f>HYPERLINK("https://media.infra-m.ru/2199/2199663/cover/2199663.jpg", "Обложка")</f>
        <v>Обложка</v>
      </c>
      <c r="V516" s="24" t="str">
        <f>HYPERLINK("https://znanium.ru/catalog/product/2179484", "Ознакомиться")</f>
        <v>Ознакомиться</v>
      </c>
      <c r="W516" s="8" t="s">
        <v>450</v>
      </c>
      <c r="X516" s="6"/>
      <c r="Y516" s="6"/>
      <c r="Z516" s="6"/>
      <c r="AA516" s="6" t="s">
        <v>793</v>
      </c>
      <c r="AB516" s="8" t="s">
        <v>2336</v>
      </c>
    </row>
    <row r="517" spans="1:28" s="4" customFormat="1" ht="44.1" customHeight="1">
      <c r="A517" s="5">
        <v>0</v>
      </c>
      <c r="B517" s="6" t="s">
        <v>3419</v>
      </c>
      <c r="C517" s="13">
        <v>1520</v>
      </c>
      <c r="D517" s="8" t="s">
        <v>3420</v>
      </c>
      <c r="E517" s="8" t="s">
        <v>3421</v>
      </c>
      <c r="F517" s="8" t="s">
        <v>3422</v>
      </c>
      <c r="G517" s="6" t="s">
        <v>89</v>
      </c>
      <c r="H517" s="6" t="s">
        <v>952</v>
      </c>
      <c r="I517" s="8"/>
      <c r="J517" s="9">
        <v>1</v>
      </c>
      <c r="K517" s="9">
        <v>336</v>
      </c>
      <c r="L517" s="9">
        <v>2023</v>
      </c>
      <c r="M517" s="8" t="s">
        <v>3423</v>
      </c>
      <c r="N517" s="8" t="s">
        <v>41</v>
      </c>
      <c r="O517" s="8" t="s">
        <v>1007</v>
      </c>
      <c r="P517" s="6" t="s">
        <v>3424</v>
      </c>
      <c r="Q517" s="8" t="s">
        <v>44</v>
      </c>
      <c r="R517" s="10" t="s">
        <v>3425</v>
      </c>
      <c r="S517" s="11"/>
      <c r="T517" s="6"/>
      <c r="U517" s="24" t="str">
        <f>HYPERLINK("https://media.infra-m.ru/1912/1912966/cover/1912966.jpg", "Обложка")</f>
        <v>Обложка</v>
      </c>
      <c r="V517" s="24" t="str">
        <f>HYPERLINK("https://znanium.ru/catalog/product/1239144", "Ознакомиться")</f>
        <v>Ознакомиться</v>
      </c>
      <c r="W517" s="8" t="s">
        <v>3426</v>
      </c>
      <c r="X517" s="6"/>
      <c r="Y517" s="6"/>
      <c r="Z517" s="6"/>
      <c r="AA517" s="6" t="s">
        <v>219</v>
      </c>
      <c r="AB517" s="8"/>
    </row>
    <row r="518" spans="1:28" s="4" customFormat="1" ht="51.95" customHeight="1">
      <c r="A518" s="5">
        <v>0</v>
      </c>
      <c r="B518" s="6" t="s">
        <v>3427</v>
      </c>
      <c r="C518" s="7">
        <v>269.89999999999998</v>
      </c>
      <c r="D518" s="8" t="s">
        <v>3428</v>
      </c>
      <c r="E518" s="8" t="s">
        <v>3429</v>
      </c>
      <c r="F518" s="8" t="s">
        <v>3430</v>
      </c>
      <c r="G518" s="6" t="s">
        <v>26</v>
      </c>
      <c r="H518" s="6" t="s">
        <v>39</v>
      </c>
      <c r="I518" s="8"/>
      <c r="J518" s="9">
        <v>18</v>
      </c>
      <c r="K518" s="9">
        <v>248</v>
      </c>
      <c r="L518" s="9">
        <v>2015</v>
      </c>
      <c r="M518" s="8" t="s">
        <v>3431</v>
      </c>
      <c r="N518" s="8" t="s">
        <v>41</v>
      </c>
      <c r="O518" s="8" t="s">
        <v>1007</v>
      </c>
      <c r="P518" s="6" t="s">
        <v>43</v>
      </c>
      <c r="Q518" s="8" t="s">
        <v>44</v>
      </c>
      <c r="R518" s="10" t="s">
        <v>3432</v>
      </c>
      <c r="S518" s="11" t="s">
        <v>3433</v>
      </c>
      <c r="T518" s="6"/>
      <c r="U518" s="12"/>
      <c r="V518" s="24" t="str">
        <f>HYPERLINK("https://znanium.ru/catalog/product/2179078", "Ознакомиться")</f>
        <v>Ознакомиться</v>
      </c>
      <c r="W518" s="8" t="s">
        <v>3434</v>
      </c>
      <c r="X518" s="6"/>
      <c r="Y518" s="6"/>
      <c r="Z518" s="6"/>
      <c r="AA518" s="6" t="s">
        <v>122</v>
      </c>
      <c r="AB518" s="8"/>
    </row>
    <row r="519" spans="1:28" s="4" customFormat="1" ht="51.95" customHeight="1">
      <c r="A519" s="5">
        <v>0</v>
      </c>
      <c r="B519" s="6" t="s">
        <v>3435</v>
      </c>
      <c r="C519" s="13">
        <v>1630</v>
      </c>
      <c r="D519" s="8" t="s">
        <v>3436</v>
      </c>
      <c r="E519" s="8" t="s">
        <v>3437</v>
      </c>
      <c r="F519" s="8" t="s">
        <v>3438</v>
      </c>
      <c r="G519" s="6" t="s">
        <v>89</v>
      </c>
      <c r="H519" s="6" t="s">
        <v>39</v>
      </c>
      <c r="I519" s="8" t="s">
        <v>116</v>
      </c>
      <c r="J519" s="9">
        <v>1</v>
      </c>
      <c r="K519" s="9">
        <v>325</v>
      </c>
      <c r="L519" s="9">
        <v>2025</v>
      </c>
      <c r="M519" s="8" t="s">
        <v>3439</v>
      </c>
      <c r="N519" s="8" t="s">
        <v>41</v>
      </c>
      <c r="O519" s="8" t="s">
        <v>1007</v>
      </c>
      <c r="P519" s="6" t="s">
        <v>43</v>
      </c>
      <c r="Q519" s="8" t="s">
        <v>44</v>
      </c>
      <c r="R519" s="10" t="s">
        <v>3432</v>
      </c>
      <c r="S519" s="11" t="s">
        <v>3440</v>
      </c>
      <c r="T519" s="6"/>
      <c r="U519" s="24" t="str">
        <f>HYPERLINK("https://media.infra-m.ru/2179/2179078/cover/2179078.jpg", "Обложка")</f>
        <v>Обложка</v>
      </c>
      <c r="V519" s="24" t="str">
        <f>HYPERLINK("https://znanium.ru/catalog/product/2179078", "Ознакомиться")</f>
        <v>Ознакомиться</v>
      </c>
      <c r="W519" s="8" t="s">
        <v>3434</v>
      </c>
      <c r="X519" s="6"/>
      <c r="Y519" s="6"/>
      <c r="Z519" s="6"/>
      <c r="AA519" s="6" t="s">
        <v>196</v>
      </c>
      <c r="AB519" s="8"/>
    </row>
    <row r="520" spans="1:28" s="4" customFormat="1" ht="51.95" customHeight="1">
      <c r="A520" s="5">
        <v>0</v>
      </c>
      <c r="B520" s="6" t="s">
        <v>3441</v>
      </c>
      <c r="C520" s="13">
        <v>1690</v>
      </c>
      <c r="D520" s="8" t="s">
        <v>3442</v>
      </c>
      <c r="E520" s="8" t="s">
        <v>3437</v>
      </c>
      <c r="F520" s="8" t="s">
        <v>3438</v>
      </c>
      <c r="G520" s="6" t="s">
        <v>89</v>
      </c>
      <c r="H520" s="6" t="s">
        <v>39</v>
      </c>
      <c r="I520" s="8" t="s">
        <v>100</v>
      </c>
      <c r="J520" s="9">
        <v>1</v>
      </c>
      <c r="K520" s="9">
        <v>325</v>
      </c>
      <c r="L520" s="9">
        <v>2025</v>
      </c>
      <c r="M520" s="8" t="s">
        <v>3443</v>
      </c>
      <c r="N520" s="8" t="s">
        <v>41</v>
      </c>
      <c r="O520" s="8" t="s">
        <v>1007</v>
      </c>
      <c r="P520" s="6" t="s">
        <v>43</v>
      </c>
      <c r="Q520" s="8" t="s">
        <v>102</v>
      </c>
      <c r="R520" s="10" t="s">
        <v>3444</v>
      </c>
      <c r="S520" s="11" t="s">
        <v>1470</v>
      </c>
      <c r="T520" s="6"/>
      <c r="U520" s="24" t="str">
        <f>HYPERLINK("https://media.infra-m.ru/2180/2180463/cover/2180463.jpg", "Обложка")</f>
        <v>Обложка</v>
      </c>
      <c r="V520" s="24" t="str">
        <f>HYPERLINK("https://znanium.ru/catalog/product/2180463", "Ознакомиться")</f>
        <v>Ознакомиться</v>
      </c>
      <c r="W520" s="8" t="s">
        <v>3434</v>
      </c>
      <c r="X520" s="6"/>
      <c r="Y520" s="6"/>
      <c r="Z520" s="6" t="s">
        <v>104</v>
      </c>
      <c r="AA520" s="6" t="s">
        <v>1374</v>
      </c>
      <c r="AB520" s="8"/>
    </row>
    <row r="521" spans="1:28" s="4" customFormat="1" ht="42" customHeight="1">
      <c r="A521" s="5">
        <v>0</v>
      </c>
      <c r="B521" s="6" t="s">
        <v>3445</v>
      </c>
      <c r="C521" s="13">
        <v>2560</v>
      </c>
      <c r="D521" s="8" t="s">
        <v>3446</v>
      </c>
      <c r="E521" s="8" t="s">
        <v>3447</v>
      </c>
      <c r="F521" s="8" t="s">
        <v>3448</v>
      </c>
      <c r="G521" s="6" t="s">
        <v>52</v>
      </c>
      <c r="H521" s="6" t="s">
        <v>952</v>
      </c>
      <c r="I521" s="8" t="s">
        <v>1171</v>
      </c>
      <c r="J521" s="9">
        <v>1</v>
      </c>
      <c r="K521" s="9">
        <v>544</v>
      </c>
      <c r="L521" s="9">
        <v>2024</v>
      </c>
      <c r="M521" s="8" t="s">
        <v>3449</v>
      </c>
      <c r="N521" s="8" t="s">
        <v>41</v>
      </c>
      <c r="O521" s="8" t="s">
        <v>1007</v>
      </c>
      <c r="P521" s="6" t="s">
        <v>43</v>
      </c>
      <c r="Q521" s="8" t="s">
        <v>44</v>
      </c>
      <c r="R521" s="10" t="s">
        <v>2461</v>
      </c>
      <c r="S521" s="11"/>
      <c r="T521" s="6"/>
      <c r="U521" s="24" t="str">
        <f>HYPERLINK("https://media.infra-m.ru/2102/2102679/cover/2102679.jpg", "Обложка")</f>
        <v>Обложка</v>
      </c>
      <c r="V521" s="24" t="str">
        <f>HYPERLINK("https://znanium.ru/catalog/product/2102679", "Ознакомиться")</f>
        <v>Ознакомиться</v>
      </c>
      <c r="W521" s="8" t="s">
        <v>3426</v>
      </c>
      <c r="X521" s="6"/>
      <c r="Y521" s="6"/>
      <c r="Z521" s="6"/>
      <c r="AA521" s="6" t="s">
        <v>418</v>
      </c>
      <c r="AB521" s="8"/>
    </row>
    <row r="522" spans="1:28" s="4" customFormat="1" ht="42" customHeight="1">
      <c r="A522" s="5">
        <v>0</v>
      </c>
      <c r="B522" s="6" t="s">
        <v>3450</v>
      </c>
      <c r="C522" s="7">
        <v>844</v>
      </c>
      <c r="D522" s="8" t="s">
        <v>3451</v>
      </c>
      <c r="E522" s="8" t="s">
        <v>3452</v>
      </c>
      <c r="F522" s="8" t="s">
        <v>3453</v>
      </c>
      <c r="G522" s="6" t="s">
        <v>52</v>
      </c>
      <c r="H522" s="6" t="s">
        <v>77</v>
      </c>
      <c r="I522" s="8"/>
      <c r="J522" s="9">
        <v>1</v>
      </c>
      <c r="K522" s="9">
        <v>168</v>
      </c>
      <c r="L522" s="9">
        <v>2025</v>
      </c>
      <c r="M522" s="8" t="s">
        <v>3454</v>
      </c>
      <c r="N522" s="8" t="s">
        <v>41</v>
      </c>
      <c r="O522" s="8" t="s">
        <v>1007</v>
      </c>
      <c r="P522" s="6" t="s">
        <v>43</v>
      </c>
      <c r="Q522" s="8" t="s">
        <v>44</v>
      </c>
      <c r="R522" s="10" t="s">
        <v>1008</v>
      </c>
      <c r="S522" s="11"/>
      <c r="T522" s="6"/>
      <c r="U522" s="24" t="str">
        <f>HYPERLINK("https://media.infra-m.ru/2129/2129083/cover/2129083.jpg", "Обложка")</f>
        <v>Обложка</v>
      </c>
      <c r="V522" s="24" t="str">
        <f>HYPERLINK("https://znanium.ru/catalog/product/1734656", "Ознакомиться")</f>
        <v>Ознакомиться</v>
      </c>
      <c r="W522" s="8"/>
      <c r="X522" s="6"/>
      <c r="Y522" s="6"/>
      <c r="Z522" s="6"/>
      <c r="AA522" s="6" t="s">
        <v>72</v>
      </c>
      <c r="AB522" s="8"/>
    </row>
    <row r="523" spans="1:28" s="4" customFormat="1" ht="51.95" customHeight="1">
      <c r="A523" s="5">
        <v>0</v>
      </c>
      <c r="B523" s="6" t="s">
        <v>3455</v>
      </c>
      <c r="C523" s="13">
        <v>1340</v>
      </c>
      <c r="D523" s="8" t="s">
        <v>3456</v>
      </c>
      <c r="E523" s="8" t="s">
        <v>3457</v>
      </c>
      <c r="F523" s="8" t="s">
        <v>3458</v>
      </c>
      <c r="G523" s="6" t="s">
        <v>89</v>
      </c>
      <c r="H523" s="6" t="s">
        <v>53</v>
      </c>
      <c r="I523" s="8" t="s">
        <v>116</v>
      </c>
      <c r="J523" s="9">
        <v>1</v>
      </c>
      <c r="K523" s="9">
        <v>282</v>
      </c>
      <c r="L523" s="9">
        <v>2024</v>
      </c>
      <c r="M523" s="8" t="s">
        <v>3459</v>
      </c>
      <c r="N523" s="8" t="s">
        <v>41</v>
      </c>
      <c r="O523" s="8" t="s">
        <v>1007</v>
      </c>
      <c r="P523" s="6" t="s">
        <v>167</v>
      </c>
      <c r="Q523" s="8" t="s">
        <v>58</v>
      </c>
      <c r="R523" s="10" t="s">
        <v>3460</v>
      </c>
      <c r="S523" s="11"/>
      <c r="T523" s="6" t="s">
        <v>299</v>
      </c>
      <c r="U523" s="24" t="str">
        <f>HYPERLINK("https://media.infra-m.ru/2130/2130250/cover/2130250.jpg", "Обложка")</f>
        <v>Обложка</v>
      </c>
      <c r="V523" s="24" t="str">
        <f>HYPERLINK("https://znanium.ru/catalog/product/2130250", "Ознакомиться")</f>
        <v>Ознакомиться</v>
      </c>
      <c r="W523" s="8" t="s">
        <v>234</v>
      </c>
      <c r="X523" s="6"/>
      <c r="Y523" s="6"/>
      <c r="Z523" s="6"/>
      <c r="AA523" s="6" t="s">
        <v>133</v>
      </c>
      <c r="AB523" s="8"/>
    </row>
    <row r="524" spans="1:28" s="4" customFormat="1" ht="51.95" customHeight="1">
      <c r="A524" s="5">
        <v>0</v>
      </c>
      <c r="B524" s="6" t="s">
        <v>3461</v>
      </c>
      <c r="C524" s="13">
        <v>1990</v>
      </c>
      <c r="D524" s="8" t="s">
        <v>3462</v>
      </c>
      <c r="E524" s="8" t="s">
        <v>3463</v>
      </c>
      <c r="F524" s="8" t="s">
        <v>3464</v>
      </c>
      <c r="G524" s="6" t="s">
        <v>89</v>
      </c>
      <c r="H524" s="6" t="s">
        <v>53</v>
      </c>
      <c r="I524" s="8" t="s">
        <v>116</v>
      </c>
      <c r="J524" s="9">
        <v>1</v>
      </c>
      <c r="K524" s="9">
        <v>399</v>
      </c>
      <c r="L524" s="9">
        <v>2025</v>
      </c>
      <c r="M524" s="8" t="s">
        <v>3465</v>
      </c>
      <c r="N524" s="8" t="s">
        <v>41</v>
      </c>
      <c r="O524" s="8" t="s">
        <v>1007</v>
      </c>
      <c r="P524" s="6" t="s">
        <v>167</v>
      </c>
      <c r="Q524" s="8" t="s">
        <v>44</v>
      </c>
      <c r="R524" s="10" t="s">
        <v>2461</v>
      </c>
      <c r="S524" s="11" t="s">
        <v>3466</v>
      </c>
      <c r="T524" s="6"/>
      <c r="U524" s="24" t="str">
        <f>HYPERLINK("https://media.infra-m.ru/2159/2159180/cover/2159180.jpg", "Обложка")</f>
        <v>Обложка</v>
      </c>
      <c r="V524" s="24" t="str">
        <f>HYPERLINK("https://znanium.ru/catalog/product/2159180", "Ознакомиться")</f>
        <v>Ознакомиться</v>
      </c>
      <c r="W524" s="8" t="s">
        <v>3467</v>
      </c>
      <c r="X524" s="6"/>
      <c r="Y524" s="6"/>
      <c r="Z524" s="6"/>
      <c r="AA524" s="6" t="s">
        <v>196</v>
      </c>
      <c r="AB524" s="8"/>
    </row>
    <row r="525" spans="1:28" s="4" customFormat="1" ht="51.95" customHeight="1">
      <c r="A525" s="5">
        <v>0</v>
      </c>
      <c r="B525" s="6" t="s">
        <v>3468</v>
      </c>
      <c r="C525" s="13">
        <v>1354.9</v>
      </c>
      <c r="D525" s="8" t="s">
        <v>3469</v>
      </c>
      <c r="E525" s="8" t="s">
        <v>3470</v>
      </c>
      <c r="F525" s="8" t="s">
        <v>3471</v>
      </c>
      <c r="G525" s="6" t="s">
        <v>52</v>
      </c>
      <c r="H525" s="6" t="s">
        <v>53</v>
      </c>
      <c r="I525" s="8" t="s">
        <v>90</v>
      </c>
      <c r="J525" s="9">
        <v>1</v>
      </c>
      <c r="K525" s="9">
        <v>300</v>
      </c>
      <c r="L525" s="9">
        <v>2023</v>
      </c>
      <c r="M525" s="8" t="s">
        <v>3472</v>
      </c>
      <c r="N525" s="8" t="s">
        <v>41</v>
      </c>
      <c r="O525" s="8" t="s">
        <v>1007</v>
      </c>
      <c r="P525" s="6" t="s">
        <v>43</v>
      </c>
      <c r="Q525" s="8" t="s">
        <v>44</v>
      </c>
      <c r="R525" s="10" t="s">
        <v>3473</v>
      </c>
      <c r="S525" s="11" t="s">
        <v>3474</v>
      </c>
      <c r="T525" s="6"/>
      <c r="U525" s="24" t="str">
        <f>HYPERLINK("https://media.infra-m.ru/2001/2001676/cover/2001676.jpg", "Обложка")</f>
        <v>Обложка</v>
      </c>
      <c r="V525" s="24" t="str">
        <f>HYPERLINK("https://znanium.ru/catalog/product/1048439", "Ознакомиться")</f>
        <v>Ознакомиться</v>
      </c>
      <c r="W525" s="8" t="s">
        <v>3475</v>
      </c>
      <c r="X525" s="6"/>
      <c r="Y525" s="6"/>
      <c r="Z525" s="6"/>
      <c r="AA525" s="6" t="s">
        <v>442</v>
      </c>
      <c r="AB525" s="8"/>
    </row>
    <row r="526" spans="1:28" s="4" customFormat="1" ht="44.1" customHeight="1">
      <c r="A526" s="5">
        <v>0</v>
      </c>
      <c r="B526" s="6" t="s">
        <v>3476</v>
      </c>
      <c r="C526" s="7">
        <v>654</v>
      </c>
      <c r="D526" s="8" t="s">
        <v>3477</v>
      </c>
      <c r="E526" s="8" t="s">
        <v>3478</v>
      </c>
      <c r="F526" s="8" t="s">
        <v>3479</v>
      </c>
      <c r="G526" s="6" t="s">
        <v>38</v>
      </c>
      <c r="H526" s="6" t="s">
        <v>952</v>
      </c>
      <c r="I526" s="8" t="s">
        <v>1171</v>
      </c>
      <c r="J526" s="9">
        <v>1</v>
      </c>
      <c r="K526" s="9">
        <v>144</v>
      </c>
      <c r="L526" s="9">
        <v>2023</v>
      </c>
      <c r="M526" s="8" t="s">
        <v>3480</v>
      </c>
      <c r="N526" s="8" t="s">
        <v>41</v>
      </c>
      <c r="O526" s="8" t="s">
        <v>1007</v>
      </c>
      <c r="P526" s="6" t="s">
        <v>43</v>
      </c>
      <c r="Q526" s="8" t="s">
        <v>44</v>
      </c>
      <c r="R526" s="10" t="s">
        <v>3481</v>
      </c>
      <c r="S526" s="11"/>
      <c r="T526" s="6"/>
      <c r="U526" s="24" t="str">
        <f>HYPERLINK("https://media.infra-m.ru/2044/2044336/cover/2044336.jpg", "Обложка")</f>
        <v>Обложка</v>
      </c>
      <c r="V526" s="24" t="str">
        <f>HYPERLINK("https://znanium.ru/catalog/product/1224786", "Ознакомиться")</f>
        <v>Ознакомиться</v>
      </c>
      <c r="W526" s="8" t="s">
        <v>3426</v>
      </c>
      <c r="X526" s="6"/>
      <c r="Y526" s="6"/>
      <c r="Z526" s="6"/>
      <c r="AA526" s="6" t="s">
        <v>160</v>
      </c>
      <c r="AB526" s="8"/>
    </row>
    <row r="527" spans="1:28" s="4" customFormat="1" ht="51.95" customHeight="1">
      <c r="A527" s="5">
        <v>0</v>
      </c>
      <c r="B527" s="6" t="s">
        <v>3482</v>
      </c>
      <c r="C527" s="13">
        <v>2324</v>
      </c>
      <c r="D527" s="8" t="s">
        <v>3483</v>
      </c>
      <c r="E527" s="8" t="s">
        <v>3484</v>
      </c>
      <c r="F527" s="8" t="s">
        <v>3485</v>
      </c>
      <c r="G527" s="6" t="s">
        <v>52</v>
      </c>
      <c r="H527" s="6" t="s">
        <v>952</v>
      </c>
      <c r="I527" s="8"/>
      <c r="J527" s="9">
        <v>1</v>
      </c>
      <c r="K527" s="9">
        <v>448</v>
      </c>
      <c r="L527" s="9">
        <v>2025</v>
      </c>
      <c r="M527" s="8" t="s">
        <v>3486</v>
      </c>
      <c r="N527" s="8" t="s">
        <v>41</v>
      </c>
      <c r="O527" s="8" t="s">
        <v>1007</v>
      </c>
      <c r="P527" s="6" t="s">
        <v>167</v>
      </c>
      <c r="Q527" s="8" t="s">
        <v>44</v>
      </c>
      <c r="R527" s="10" t="s">
        <v>1265</v>
      </c>
      <c r="S527" s="11" t="s">
        <v>3487</v>
      </c>
      <c r="T527" s="6"/>
      <c r="U527" s="24" t="str">
        <f>HYPERLINK("https://media.infra-m.ru/2192/2192720/cover/2192720.jpg", "Обложка")</f>
        <v>Обложка</v>
      </c>
      <c r="V527" s="24" t="str">
        <f>HYPERLINK("https://znanium.ru/catalog/product/987793", "Ознакомиться")</f>
        <v>Ознакомиться</v>
      </c>
      <c r="W527" s="8" t="s">
        <v>2995</v>
      </c>
      <c r="X527" s="6"/>
      <c r="Y527" s="6"/>
      <c r="Z527" s="6"/>
      <c r="AA527" s="6" t="s">
        <v>701</v>
      </c>
      <c r="AB527" s="8"/>
    </row>
    <row r="528" spans="1:28" s="4" customFormat="1" ht="51.95" customHeight="1">
      <c r="A528" s="5">
        <v>0</v>
      </c>
      <c r="B528" s="6" t="s">
        <v>3488</v>
      </c>
      <c r="C528" s="7">
        <v>804</v>
      </c>
      <c r="D528" s="8" t="s">
        <v>3489</v>
      </c>
      <c r="E528" s="8" t="s">
        <v>3490</v>
      </c>
      <c r="F528" s="8" t="s">
        <v>3491</v>
      </c>
      <c r="G528" s="6" t="s">
        <v>89</v>
      </c>
      <c r="H528" s="6" t="s">
        <v>53</v>
      </c>
      <c r="I528" s="8" t="s">
        <v>90</v>
      </c>
      <c r="J528" s="9">
        <v>1</v>
      </c>
      <c r="K528" s="9">
        <v>176</v>
      </c>
      <c r="L528" s="9">
        <v>2024</v>
      </c>
      <c r="M528" s="8" t="s">
        <v>3492</v>
      </c>
      <c r="N528" s="8" t="s">
        <v>41</v>
      </c>
      <c r="O528" s="8" t="s">
        <v>1007</v>
      </c>
      <c r="P528" s="6" t="s">
        <v>43</v>
      </c>
      <c r="Q528" s="8" t="s">
        <v>44</v>
      </c>
      <c r="R528" s="10" t="s">
        <v>2713</v>
      </c>
      <c r="S528" s="11" t="s">
        <v>3493</v>
      </c>
      <c r="T528" s="6"/>
      <c r="U528" s="24" t="str">
        <f>HYPERLINK("https://media.infra-m.ru/2103/2103128/cover/2103128.jpg", "Обложка")</f>
        <v>Обложка</v>
      </c>
      <c r="V528" s="24" t="str">
        <f>HYPERLINK("https://znanium.ru/catalog/product/2103128", "Ознакомиться")</f>
        <v>Ознакомиться</v>
      </c>
      <c r="W528" s="8" t="s">
        <v>3494</v>
      </c>
      <c r="X528" s="6"/>
      <c r="Y528" s="6"/>
      <c r="Z528" s="6"/>
      <c r="AA528" s="6" t="s">
        <v>84</v>
      </c>
      <c r="AB528" s="8"/>
    </row>
    <row r="529" spans="1:28" s="4" customFormat="1" ht="51.95" customHeight="1">
      <c r="A529" s="5">
        <v>0</v>
      </c>
      <c r="B529" s="6" t="s">
        <v>3495</v>
      </c>
      <c r="C529" s="13">
        <v>2950</v>
      </c>
      <c r="D529" s="8" t="s">
        <v>3496</v>
      </c>
      <c r="E529" s="8" t="s">
        <v>3497</v>
      </c>
      <c r="F529" s="8" t="s">
        <v>3498</v>
      </c>
      <c r="G529" s="6" t="s">
        <v>52</v>
      </c>
      <c r="H529" s="6" t="s">
        <v>53</v>
      </c>
      <c r="I529" s="8" t="s">
        <v>116</v>
      </c>
      <c r="J529" s="9">
        <v>1</v>
      </c>
      <c r="K529" s="9">
        <v>584</v>
      </c>
      <c r="L529" s="9">
        <v>2025</v>
      </c>
      <c r="M529" s="8" t="s">
        <v>3499</v>
      </c>
      <c r="N529" s="8" t="s">
        <v>41</v>
      </c>
      <c r="O529" s="8" t="s">
        <v>1007</v>
      </c>
      <c r="P529" s="6" t="s">
        <v>167</v>
      </c>
      <c r="Q529" s="8" t="s">
        <v>44</v>
      </c>
      <c r="R529" s="10" t="s">
        <v>3500</v>
      </c>
      <c r="S529" s="11" t="s">
        <v>1285</v>
      </c>
      <c r="T529" s="6"/>
      <c r="U529" s="24" t="str">
        <f>HYPERLINK("https://media.infra-m.ru/2163/2163847/cover/2163847.jpg", "Обложка")</f>
        <v>Обложка</v>
      </c>
      <c r="V529" s="24" t="str">
        <f>HYPERLINK("https://znanium.ru/catalog/product/2163847", "Ознакомиться")</f>
        <v>Ознакомиться</v>
      </c>
      <c r="W529" s="8" t="s">
        <v>354</v>
      </c>
      <c r="X529" s="6"/>
      <c r="Y529" s="6"/>
      <c r="Z529" s="6"/>
      <c r="AA529" s="6" t="s">
        <v>3501</v>
      </c>
      <c r="AB529" s="8"/>
    </row>
    <row r="530" spans="1:28" s="4" customFormat="1" ht="42" customHeight="1">
      <c r="A530" s="5">
        <v>0</v>
      </c>
      <c r="B530" s="6" t="s">
        <v>3502</v>
      </c>
      <c r="C530" s="13">
        <v>2400</v>
      </c>
      <c r="D530" s="8" t="s">
        <v>3503</v>
      </c>
      <c r="E530" s="8" t="s">
        <v>3504</v>
      </c>
      <c r="F530" s="8" t="s">
        <v>3448</v>
      </c>
      <c r="G530" s="6" t="s">
        <v>52</v>
      </c>
      <c r="H530" s="6" t="s">
        <v>952</v>
      </c>
      <c r="I530" s="8"/>
      <c r="J530" s="9">
        <v>1</v>
      </c>
      <c r="K530" s="9">
        <v>480</v>
      </c>
      <c r="L530" s="9">
        <v>2025</v>
      </c>
      <c r="M530" s="8" t="s">
        <v>3505</v>
      </c>
      <c r="N530" s="8" t="s">
        <v>41</v>
      </c>
      <c r="O530" s="8" t="s">
        <v>1007</v>
      </c>
      <c r="P530" s="6" t="s">
        <v>167</v>
      </c>
      <c r="Q530" s="8" t="s">
        <v>44</v>
      </c>
      <c r="R530" s="10" t="s">
        <v>1356</v>
      </c>
      <c r="S530" s="11"/>
      <c r="T530" s="6"/>
      <c r="U530" s="24" t="str">
        <f>HYPERLINK("https://media.infra-m.ru/2179/2179849/cover/2179849.jpg", "Обложка")</f>
        <v>Обложка</v>
      </c>
      <c r="V530" s="24" t="str">
        <f>HYPERLINK("https://znanium.ru/catalog/product/2179849", "Ознакомиться")</f>
        <v>Ознакомиться</v>
      </c>
      <c r="W530" s="8" t="s">
        <v>3426</v>
      </c>
      <c r="X530" s="6"/>
      <c r="Y530" s="6"/>
      <c r="Z530" s="6"/>
      <c r="AA530" s="6" t="s">
        <v>235</v>
      </c>
      <c r="AB530" s="8"/>
    </row>
    <row r="531" spans="1:28" s="4" customFormat="1" ht="51.95" customHeight="1">
      <c r="A531" s="5">
        <v>0</v>
      </c>
      <c r="B531" s="6" t="s">
        <v>3506</v>
      </c>
      <c r="C531" s="7">
        <v>840</v>
      </c>
      <c r="D531" s="8" t="s">
        <v>3507</v>
      </c>
      <c r="E531" s="8" t="s">
        <v>3508</v>
      </c>
      <c r="F531" s="8" t="s">
        <v>3509</v>
      </c>
      <c r="G531" s="6" t="s">
        <v>52</v>
      </c>
      <c r="H531" s="6" t="s">
        <v>184</v>
      </c>
      <c r="I531" s="8"/>
      <c r="J531" s="9">
        <v>1</v>
      </c>
      <c r="K531" s="9">
        <v>288</v>
      </c>
      <c r="L531" s="9">
        <v>2018</v>
      </c>
      <c r="M531" s="8" t="s">
        <v>3510</v>
      </c>
      <c r="N531" s="8" t="s">
        <v>41</v>
      </c>
      <c r="O531" s="8" t="s">
        <v>1007</v>
      </c>
      <c r="P531" s="6" t="s">
        <v>43</v>
      </c>
      <c r="Q531" s="8" t="s">
        <v>44</v>
      </c>
      <c r="R531" s="10" t="s">
        <v>3511</v>
      </c>
      <c r="S531" s="11"/>
      <c r="T531" s="6"/>
      <c r="U531" s="24" t="str">
        <f>HYPERLINK("https://media.infra-m.ru/0914/0914501/cover/914501.jpg", "Обложка")</f>
        <v>Обложка</v>
      </c>
      <c r="V531" s="24" t="str">
        <f>HYPERLINK("https://znanium.ru/catalog/product/914501", "Ознакомиться")</f>
        <v>Ознакомиться</v>
      </c>
      <c r="W531" s="8" t="s">
        <v>1151</v>
      </c>
      <c r="X531" s="6"/>
      <c r="Y531" s="6"/>
      <c r="Z531" s="6"/>
      <c r="AA531" s="6" t="s">
        <v>151</v>
      </c>
      <c r="AB531" s="8"/>
    </row>
    <row r="532" spans="1:28" s="4" customFormat="1" ht="51.95" customHeight="1">
      <c r="A532" s="5">
        <v>0</v>
      </c>
      <c r="B532" s="6" t="s">
        <v>3512</v>
      </c>
      <c r="C532" s="13">
        <v>2494</v>
      </c>
      <c r="D532" s="8" t="s">
        <v>3513</v>
      </c>
      <c r="E532" s="8" t="s">
        <v>3514</v>
      </c>
      <c r="F532" s="8" t="s">
        <v>3515</v>
      </c>
      <c r="G532" s="6" t="s">
        <v>52</v>
      </c>
      <c r="H532" s="6" t="s">
        <v>39</v>
      </c>
      <c r="I532" s="8" t="s">
        <v>90</v>
      </c>
      <c r="J532" s="9">
        <v>1</v>
      </c>
      <c r="K532" s="9">
        <v>480</v>
      </c>
      <c r="L532" s="9">
        <v>2025</v>
      </c>
      <c r="M532" s="8" t="s">
        <v>3516</v>
      </c>
      <c r="N532" s="8" t="s">
        <v>41</v>
      </c>
      <c r="O532" s="8" t="s">
        <v>1007</v>
      </c>
      <c r="P532" s="6" t="s">
        <v>43</v>
      </c>
      <c r="Q532" s="8" t="s">
        <v>44</v>
      </c>
      <c r="R532" s="10" t="s">
        <v>3517</v>
      </c>
      <c r="S532" s="11" t="s">
        <v>3518</v>
      </c>
      <c r="T532" s="6"/>
      <c r="U532" s="24" t="str">
        <f>HYPERLINK("https://media.infra-m.ru/2196/2196036/cover/2196036.jpg", "Обложка")</f>
        <v>Обложка</v>
      </c>
      <c r="V532" s="24" t="str">
        <f>HYPERLINK("https://znanium.ru/catalog/product/1088081", "Ознакомиться")</f>
        <v>Ознакомиться</v>
      </c>
      <c r="W532" s="8" t="s">
        <v>83</v>
      </c>
      <c r="X532" s="6"/>
      <c r="Y532" s="6"/>
      <c r="Z532" s="6"/>
      <c r="AA532" s="6" t="s">
        <v>418</v>
      </c>
      <c r="AB532" s="8"/>
    </row>
    <row r="533" spans="1:28" s="4" customFormat="1" ht="51.95" customHeight="1">
      <c r="A533" s="5">
        <v>0</v>
      </c>
      <c r="B533" s="6" t="s">
        <v>3519</v>
      </c>
      <c r="C533" s="13">
        <v>2290</v>
      </c>
      <c r="D533" s="8" t="s">
        <v>3520</v>
      </c>
      <c r="E533" s="8" t="s">
        <v>3514</v>
      </c>
      <c r="F533" s="8" t="s">
        <v>3515</v>
      </c>
      <c r="G533" s="6" t="s">
        <v>52</v>
      </c>
      <c r="H533" s="6" t="s">
        <v>39</v>
      </c>
      <c r="I533" s="8" t="s">
        <v>100</v>
      </c>
      <c r="J533" s="9">
        <v>1</v>
      </c>
      <c r="K533" s="9">
        <v>479</v>
      </c>
      <c r="L533" s="9">
        <v>2025</v>
      </c>
      <c r="M533" s="8" t="s">
        <v>3521</v>
      </c>
      <c r="N533" s="8" t="s">
        <v>41</v>
      </c>
      <c r="O533" s="8" t="s">
        <v>1007</v>
      </c>
      <c r="P533" s="6" t="s">
        <v>43</v>
      </c>
      <c r="Q533" s="8" t="s">
        <v>102</v>
      </c>
      <c r="R533" s="10" t="s">
        <v>3522</v>
      </c>
      <c r="S533" s="11" t="s">
        <v>3523</v>
      </c>
      <c r="T533" s="6"/>
      <c r="U533" s="24" t="str">
        <f>HYPERLINK("https://media.infra-m.ru/2187/2187243/cover/2187243.jpg", "Обложка")</f>
        <v>Обложка</v>
      </c>
      <c r="V533" s="24" t="str">
        <f>HYPERLINK("https://znanium.ru/catalog/product/2187243", "Ознакомиться")</f>
        <v>Ознакомиться</v>
      </c>
      <c r="W533" s="8" t="s">
        <v>83</v>
      </c>
      <c r="X533" s="6"/>
      <c r="Y533" s="6"/>
      <c r="Z533" s="6" t="s">
        <v>104</v>
      </c>
      <c r="AA533" s="6" t="s">
        <v>235</v>
      </c>
      <c r="AB533" s="8"/>
    </row>
    <row r="534" spans="1:28" s="4" customFormat="1" ht="51.95" customHeight="1">
      <c r="A534" s="5">
        <v>0</v>
      </c>
      <c r="B534" s="6" t="s">
        <v>3524</v>
      </c>
      <c r="C534" s="13">
        <v>1120</v>
      </c>
      <c r="D534" s="8" t="s">
        <v>3525</v>
      </c>
      <c r="E534" s="8" t="s">
        <v>3526</v>
      </c>
      <c r="F534" s="8" t="s">
        <v>2459</v>
      </c>
      <c r="G534" s="6" t="s">
        <v>89</v>
      </c>
      <c r="H534" s="6" t="s">
        <v>53</v>
      </c>
      <c r="I534" s="8" t="s">
        <v>116</v>
      </c>
      <c r="J534" s="9">
        <v>1</v>
      </c>
      <c r="K534" s="9">
        <v>215</v>
      </c>
      <c r="L534" s="9">
        <v>2025</v>
      </c>
      <c r="M534" s="8" t="s">
        <v>3527</v>
      </c>
      <c r="N534" s="8" t="s">
        <v>41</v>
      </c>
      <c r="O534" s="8" t="s">
        <v>1007</v>
      </c>
      <c r="P534" s="6" t="s">
        <v>167</v>
      </c>
      <c r="Q534" s="8" t="s">
        <v>44</v>
      </c>
      <c r="R534" s="10" t="s">
        <v>3528</v>
      </c>
      <c r="S534" s="11" t="s">
        <v>3529</v>
      </c>
      <c r="T534" s="6"/>
      <c r="U534" s="24" t="str">
        <f>HYPERLINK("https://media.infra-m.ru/2193/2193098/cover/2193098.jpg", "Обложка")</f>
        <v>Обложка</v>
      </c>
      <c r="V534" s="24" t="str">
        <f>HYPERLINK("https://znanium.ru/catalog/product/2193098", "Ознакомиться")</f>
        <v>Ознакомиться</v>
      </c>
      <c r="W534" s="8" t="s">
        <v>2463</v>
      </c>
      <c r="X534" s="6"/>
      <c r="Y534" s="6"/>
      <c r="Z534" s="6"/>
      <c r="AA534" s="6" t="s">
        <v>219</v>
      </c>
      <c r="AB534" s="8"/>
    </row>
    <row r="535" spans="1:28" s="4" customFormat="1" ht="51.95" customHeight="1">
      <c r="A535" s="5">
        <v>0</v>
      </c>
      <c r="B535" s="6" t="s">
        <v>3530</v>
      </c>
      <c r="C535" s="13">
        <v>1390</v>
      </c>
      <c r="D535" s="8" t="s">
        <v>3531</v>
      </c>
      <c r="E535" s="8" t="s">
        <v>3532</v>
      </c>
      <c r="F535" s="8" t="s">
        <v>3533</v>
      </c>
      <c r="G535" s="6" t="s">
        <v>89</v>
      </c>
      <c r="H535" s="6" t="s">
        <v>77</v>
      </c>
      <c r="I535" s="8"/>
      <c r="J535" s="9">
        <v>1</v>
      </c>
      <c r="K535" s="9">
        <v>302</v>
      </c>
      <c r="L535" s="9">
        <v>2024</v>
      </c>
      <c r="M535" s="8" t="s">
        <v>3534</v>
      </c>
      <c r="N535" s="8" t="s">
        <v>41</v>
      </c>
      <c r="O535" s="8" t="s">
        <v>1007</v>
      </c>
      <c r="P535" s="6" t="s">
        <v>167</v>
      </c>
      <c r="Q535" s="8" t="s">
        <v>44</v>
      </c>
      <c r="R535" s="10" t="s">
        <v>3535</v>
      </c>
      <c r="S535" s="11" t="s">
        <v>3536</v>
      </c>
      <c r="T535" s="6"/>
      <c r="U535" s="24" t="str">
        <f>HYPERLINK("https://media.infra-m.ru/2087/2087276/cover/2087276.jpg", "Обложка")</f>
        <v>Обложка</v>
      </c>
      <c r="V535" s="24" t="str">
        <f>HYPERLINK("https://znanium.ru/catalog/product/1078160", "Ознакомиться")</f>
        <v>Ознакомиться</v>
      </c>
      <c r="W535" s="8" t="s">
        <v>83</v>
      </c>
      <c r="X535" s="6"/>
      <c r="Y535" s="6"/>
      <c r="Z535" s="6"/>
      <c r="AA535" s="6" t="s">
        <v>84</v>
      </c>
      <c r="AB535" s="8"/>
    </row>
    <row r="536" spans="1:28" s="4" customFormat="1" ht="51.95" customHeight="1">
      <c r="A536" s="5">
        <v>0</v>
      </c>
      <c r="B536" s="6" t="s">
        <v>3537</v>
      </c>
      <c r="C536" s="7">
        <v>784</v>
      </c>
      <c r="D536" s="8" t="s">
        <v>3538</v>
      </c>
      <c r="E536" s="8" t="s">
        <v>3539</v>
      </c>
      <c r="F536" s="8" t="s">
        <v>3540</v>
      </c>
      <c r="G536" s="6" t="s">
        <v>52</v>
      </c>
      <c r="H536" s="6" t="s">
        <v>53</v>
      </c>
      <c r="I536" s="8" t="s">
        <v>90</v>
      </c>
      <c r="J536" s="9">
        <v>1</v>
      </c>
      <c r="K536" s="9">
        <v>156</v>
      </c>
      <c r="L536" s="9">
        <v>2025</v>
      </c>
      <c r="M536" s="8" t="s">
        <v>3541</v>
      </c>
      <c r="N536" s="8" t="s">
        <v>41</v>
      </c>
      <c r="O536" s="8" t="s">
        <v>1007</v>
      </c>
      <c r="P536" s="6" t="s">
        <v>43</v>
      </c>
      <c r="Q536" s="8" t="s">
        <v>44</v>
      </c>
      <c r="R536" s="10" t="s">
        <v>2461</v>
      </c>
      <c r="S536" s="11" t="s">
        <v>3542</v>
      </c>
      <c r="T536" s="6"/>
      <c r="U536" s="24" t="str">
        <f>HYPERLINK("https://media.infra-m.ru/2179/2179491/cover/2179491.jpg", "Обложка")</f>
        <v>Обложка</v>
      </c>
      <c r="V536" s="24" t="str">
        <f>HYPERLINK("https://znanium.ru/catalog/product/2179490", "Ознакомиться")</f>
        <v>Ознакомиться</v>
      </c>
      <c r="W536" s="8" t="s">
        <v>1313</v>
      </c>
      <c r="X536" s="6"/>
      <c r="Y536" s="6"/>
      <c r="Z536" s="6"/>
      <c r="AA536" s="6" t="s">
        <v>84</v>
      </c>
      <c r="AB536" s="8"/>
    </row>
    <row r="537" spans="1:28" s="4" customFormat="1" ht="51.95" customHeight="1">
      <c r="A537" s="5">
        <v>0</v>
      </c>
      <c r="B537" s="6" t="s">
        <v>3543</v>
      </c>
      <c r="C537" s="7">
        <v>910</v>
      </c>
      <c r="D537" s="8" t="s">
        <v>3544</v>
      </c>
      <c r="E537" s="8" t="s">
        <v>3545</v>
      </c>
      <c r="F537" s="8" t="s">
        <v>3515</v>
      </c>
      <c r="G537" s="6" t="s">
        <v>52</v>
      </c>
      <c r="H537" s="6" t="s">
        <v>53</v>
      </c>
      <c r="I537" s="8" t="s">
        <v>165</v>
      </c>
      <c r="J537" s="9">
        <v>1</v>
      </c>
      <c r="K537" s="9">
        <v>198</v>
      </c>
      <c r="L537" s="9">
        <v>2023</v>
      </c>
      <c r="M537" s="8" t="s">
        <v>3546</v>
      </c>
      <c r="N537" s="8" t="s">
        <v>41</v>
      </c>
      <c r="O537" s="8" t="s">
        <v>1007</v>
      </c>
      <c r="P537" s="6" t="s">
        <v>43</v>
      </c>
      <c r="Q537" s="8" t="s">
        <v>44</v>
      </c>
      <c r="R537" s="10" t="s">
        <v>3547</v>
      </c>
      <c r="S537" s="11" t="s">
        <v>3518</v>
      </c>
      <c r="T537" s="6"/>
      <c r="U537" s="24" t="str">
        <f>HYPERLINK("https://media.infra-m.ru/1144/1144439/cover/1144439.jpg", "Обложка")</f>
        <v>Обложка</v>
      </c>
      <c r="V537" s="24" t="str">
        <f>HYPERLINK("https://znanium.ru/catalog/product/1144439", "Ознакомиться")</f>
        <v>Ознакомиться</v>
      </c>
      <c r="W537" s="8" t="s">
        <v>83</v>
      </c>
      <c r="X537" s="6"/>
      <c r="Y537" s="6"/>
      <c r="Z537" s="6"/>
      <c r="AA537" s="6" t="s">
        <v>813</v>
      </c>
      <c r="AB537" s="8"/>
    </row>
    <row r="538" spans="1:28" s="4" customFormat="1" ht="51.95" customHeight="1">
      <c r="A538" s="5">
        <v>0</v>
      </c>
      <c r="B538" s="6" t="s">
        <v>3548</v>
      </c>
      <c r="C538" s="13">
        <v>2450</v>
      </c>
      <c r="D538" s="8" t="s">
        <v>3549</v>
      </c>
      <c r="E538" s="8" t="s">
        <v>3550</v>
      </c>
      <c r="F538" s="8" t="s">
        <v>3551</v>
      </c>
      <c r="G538" s="6" t="s">
        <v>52</v>
      </c>
      <c r="H538" s="6" t="s">
        <v>53</v>
      </c>
      <c r="I538" s="8" t="s">
        <v>116</v>
      </c>
      <c r="J538" s="9">
        <v>1</v>
      </c>
      <c r="K538" s="9">
        <v>472</v>
      </c>
      <c r="L538" s="9">
        <v>2025</v>
      </c>
      <c r="M538" s="8" t="s">
        <v>3552</v>
      </c>
      <c r="N538" s="8" t="s">
        <v>41</v>
      </c>
      <c r="O538" s="8" t="s">
        <v>1007</v>
      </c>
      <c r="P538" s="6" t="s">
        <v>167</v>
      </c>
      <c r="Q538" s="8" t="s">
        <v>44</v>
      </c>
      <c r="R538" s="10" t="s">
        <v>2461</v>
      </c>
      <c r="S538" s="11" t="s">
        <v>3553</v>
      </c>
      <c r="T538" s="6" t="s">
        <v>299</v>
      </c>
      <c r="U538" s="24" t="str">
        <f>HYPERLINK("https://media.infra-m.ru/2193/2193214/cover/2193214.jpg", "Обложка")</f>
        <v>Обложка</v>
      </c>
      <c r="V538" s="24" t="str">
        <f>HYPERLINK("https://znanium.ru/catalog/product/2193214", "Ознакомиться")</f>
        <v>Ознакомиться</v>
      </c>
      <c r="W538" s="8" t="s">
        <v>1253</v>
      </c>
      <c r="X538" s="6"/>
      <c r="Y538" s="6"/>
      <c r="Z538" s="6"/>
      <c r="AA538" s="6" t="s">
        <v>874</v>
      </c>
      <c r="AB538" s="8"/>
    </row>
    <row r="539" spans="1:28" s="4" customFormat="1" ht="51.95" customHeight="1">
      <c r="A539" s="5">
        <v>0</v>
      </c>
      <c r="B539" s="6" t="s">
        <v>3554</v>
      </c>
      <c r="C539" s="13">
        <v>1264</v>
      </c>
      <c r="D539" s="8" t="s">
        <v>3555</v>
      </c>
      <c r="E539" s="8" t="s">
        <v>3550</v>
      </c>
      <c r="F539" s="8" t="s">
        <v>3556</v>
      </c>
      <c r="G539" s="6" t="s">
        <v>89</v>
      </c>
      <c r="H539" s="6" t="s">
        <v>53</v>
      </c>
      <c r="I539" s="8" t="s">
        <v>90</v>
      </c>
      <c r="J539" s="9">
        <v>1</v>
      </c>
      <c r="K539" s="9">
        <v>274</v>
      </c>
      <c r="L539" s="9">
        <v>2023</v>
      </c>
      <c r="M539" s="8" t="s">
        <v>3557</v>
      </c>
      <c r="N539" s="8" t="s">
        <v>41</v>
      </c>
      <c r="O539" s="8" t="s">
        <v>1007</v>
      </c>
      <c r="P539" s="6" t="s">
        <v>167</v>
      </c>
      <c r="Q539" s="8" t="s">
        <v>44</v>
      </c>
      <c r="R539" s="10" t="s">
        <v>1008</v>
      </c>
      <c r="S539" s="11" t="s">
        <v>3558</v>
      </c>
      <c r="T539" s="6" t="s">
        <v>299</v>
      </c>
      <c r="U539" s="24" t="str">
        <f>HYPERLINK("https://media.infra-m.ru/1911/1911800/cover/1911800.jpg", "Обложка")</f>
        <v>Обложка</v>
      </c>
      <c r="V539" s="24" t="str">
        <f>HYPERLINK("https://znanium.ru/catalog/product/1053670", "Ознакомиться")</f>
        <v>Ознакомиться</v>
      </c>
      <c r="W539" s="8" t="s">
        <v>450</v>
      </c>
      <c r="X539" s="6"/>
      <c r="Y539" s="6"/>
      <c r="Z539" s="6"/>
      <c r="AA539" s="6" t="s">
        <v>874</v>
      </c>
      <c r="AB539" s="8"/>
    </row>
    <row r="540" spans="1:28" s="4" customFormat="1" ht="51.95" customHeight="1">
      <c r="A540" s="5">
        <v>0</v>
      </c>
      <c r="B540" s="6" t="s">
        <v>3559</v>
      </c>
      <c r="C540" s="7">
        <v>874.9</v>
      </c>
      <c r="D540" s="8" t="s">
        <v>3560</v>
      </c>
      <c r="E540" s="8" t="s">
        <v>3561</v>
      </c>
      <c r="F540" s="8" t="s">
        <v>3556</v>
      </c>
      <c r="G540" s="6" t="s">
        <v>52</v>
      </c>
      <c r="H540" s="6" t="s">
        <v>53</v>
      </c>
      <c r="I540" s="8" t="s">
        <v>90</v>
      </c>
      <c r="J540" s="9">
        <v>1</v>
      </c>
      <c r="K540" s="9">
        <v>258</v>
      </c>
      <c r="L540" s="9">
        <v>2019</v>
      </c>
      <c r="M540" s="8" t="s">
        <v>3562</v>
      </c>
      <c r="N540" s="8" t="s">
        <v>41</v>
      </c>
      <c r="O540" s="8" t="s">
        <v>1007</v>
      </c>
      <c r="P540" s="6" t="s">
        <v>167</v>
      </c>
      <c r="Q540" s="8" t="s">
        <v>44</v>
      </c>
      <c r="R540" s="10" t="s">
        <v>1008</v>
      </c>
      <c r="S540" s="11" t="s">
        <v>3563</v>
      </c>
      <c r="T540" s="6" t="s">
        <v>299</v>
      </c>
      <c r="U540" s="24" t="str">
        <f>HYPERLINK("https://media.infra-m.ru/1053/1053668/cover/1053668.jpg", "Обложка")</f>
        <v>Обложка</v>
      </c>
      <c r="V540" s="24" t="str">
        <f>HYPERLINK("https://znanium.ru/catalog/product/1053670", "Ознакомиться")</f>
        <v>Ознакомиться</v>
      </c>
      <c r="W540" s="8" t="s">
        <v>450</v>
      </c>
      <c r="X540" s="6"/>
      <c r="Y540" s="6"/>
      <c r="Z540" s="6"/>
      <c r="AA540" s="6" t="s">
        <v>196</v>
      </c>
      <c r="AB540" s="8"/>
    </row>
    <row r="541" spans="1:28" s="4" customFormat="1" ht="51.95" customHeight="1">
      <c r="A541" s="5">
        <v>0</v>
      </c>
      <c r="B541" s="6" t="s">
        <v>3564</v>
      </c>
      <c r="C541" s="13">
        <v>1290</v>
      </c>
      <c r="D541" s="8" t="s">
        <v>3565</v>
      </c>
      <c r="E541" s="8" t="s">
        <v>3566</v>
      </c>
      <c r="F541" s="8" t="s">
        <v>3567</v>
      </c>
      <c r="G541" s="6" t="s">
        <v>52</v>
      </c>
      <c r="H541" s="6" t="s">
        <v>184</v>
      </c>
      <c r="I541" s="8" t="s">
        <v>90</v>
      </c>
      <c r="J541" s="9">
        <v>1</v>
      </c>
      <c r="K541" s="9">
        <v>478</v>
      </c>
      <c r="L541" s="9">
        <v>2018</v>
      </c>
      <c r="M541" s="8" t="s">
        <v>3568</v>
      </c>
      <c r="N541" s="8" t="s">
        <v>41</v>
      </c>
      <c r="O541" s="8" t="s">
        <v>1007</v>
      </c>
      <c r="P541" s="6" t="s">
        <v>167</v>
      </c>
      <c r="Q541" s="8" t="s">
        <v>44</v>
      </c>
      <c r="R541" s="10" t="s">
        <v>3569</v>
      </c>
      <c r="S541" s="11"/>
      <c r="T541" s="6"/>
      <c r="U541" s="24" t="str">
        <f>HYPERLINK("https://media.infra-m.ru/0962/0962130/cover/962130.jpg", "Обложка")</f>
        <v>Обложка</v>
      </c>
      <c r="V541" s="24" t="str">
        <f>HYPERLINK("https://znanium.ru/catalog/product/962130", "Ознакомиться")</f>
        <v>Ознакомиться</v>
      </c>
      <c r="W541" s="8" t="s">
        <v>3570</v>
      </c>
      <c r="X541" s="6"/>
      <c r="Y541" s="6"/>
      <c r="Z541" s="6"/>
      <c r="AA541" s="6" t="s">
        <v>442</v>
      </c>
      <c r="AB541" s="8"/>
    </row>
    <row r="542" spans="1:28" s="4" customFormat="1" ht="51.95" customHeight="1">
      <c r="A542" s="5">
        <v>0</v>
      </c>
      <c r="B542" s="6" t="s">
        <v>3571</v>
      </c>
      <c r="C542" s="13">
        <v>1280</v>
      </c>
      <c r="D542" s="8" t="s">
        <v>3572</v>
      </c>
      <c r="E542" s="8" t="s">
        <v>3566</v>
      </c>
      <c r="F542" s="8" t="s">
        <v>3573</v>
      </c>
      <c r="G542" s="6" t="s">
        <v>52</v>
      </c>
      <c r="H542" s="6" t="s">
        <v>53</v>
      </c>
      <c r="I542" s="8" t="s">
        <v>100</v>
      </c>
      <c r="J542" s="9">
        <v>1</v>
      </c>
      <c r="K542" s="9">
        <v>355</v>
      </c>
      <c r="L542" s="9">
        <v>2021</v>
      </c>
      <c r="M542" s="8" t="s">
        <v>3574</v>
      </c>
      <c r="N542" s="8" t="s">
        <v>41</v>
      </c>
      <c r="O542" s="8" t="s">
        <v>1007</v>
      </c>
      <c r="P542" s="6" t="s">
        <v>167</v>
      </c>
      <c r="Q542" s="8" t="s">
        <v>102</v>
      </c>
      <c r="R542" s="10" t="s">
        <v>3575</v>
      </c>
      <c r="S542" s="11" t="s">
        <v>3576</v>
      </c>
      <c r="T542" s="6"/>
      <c r="U542" s="24" t="str">
        <f>HYPERLINK("https://media.infra-m.ru/1079/1079194/cover/1079194.jpg", "Обложка")</f>
        <v>Обложка</v>
      </c>
      <c r="V542" s="24" t="str">
        <f>HYPERLINK("https://znanium.ru/catalog/product/1079194", "Ознакомиться")</f>
        <v>Ознакомиться</v>
      </c>
      <c r="W542" s="8" t="s">
        <v>3577</v>
      </c>
      <c r="X542" s="6"/>
      <c r="Y542" s="6"/>
      <c r="Z542" s="6" t="s">
        <v>104</v>
      </c>
      <c r="AA542" s="6" t="s">
        <v>219</v>
      </c>
      <c r="AB542" s="8"/>
    </row>
    <row r="543" spans="1:28" s="4" customFormat="1" ht="51.95" customHeight="1">
      <c r="A543" s="5">
        <v>0</v>
      </c>
      <c r="B543" s="6" t="s">
        <v>3578</v>
      </c>
      <c r="C543" s="13">
        <v>1674</v>
      </c>
      <c r="D543" s="8" t="s">
        <v>3579</v>
      </c>
      <c r="E543" s="8" t="s">
        <v>3566</v>
      </c>
      <c r="F543" s="8" t="s">
        <v>3573</v>
      </c>
      <c r="G543" s="6" t="s">
        <v>89</v>
      </c>
      <c r="H543" s="6" t="s">
        <v>53</v>
      </c>
      <c r="I543" s="8" t="s">
        <v>90</v>
      </c>
      <c r="J543" s="9">
        <v>1</v>
      </c>
      <c r="K543" s="9">
        <v>355</v>
      </c>
      <c r="L543" s="9">
        <v>2024</v>
      </c>
      <c r="M543" s="8" t="s">
        <v>3580</v>
      </c>
      <c r="N543" s="8" t="s">
        <v>41</v>
      </c>
      <c r="O543" s="8" t="s">
        <v>1007</v>
      </c>
      <c r="P543" s="6" t="s">
        <v>167</v>
      </c>
      <c r="Q543" s="8" t="s">
        <v>44</v>
      </c>
      <c r="R543" s="10" t="s">
        <v>3581</v>
      </c>
      <c r="S543" s="11" t="s">
        <v>1401</v>
      </c>
      <c r="T543" s="6"/>
      <c r="U543" s="24" t="str">
        <f>HYPERLINK("https://media.infra-m.ru/2141/2141471/cover/2141471.jpg", "Обложка")</f>
        <v>Обложка</v>
      </c>
      <c r="V543" s="24" t="str">
        <f>HYPERLINK("https://znanium.ru/catalog/product/1210074", "Ознакомиться")</f>
        <v>Ознакомиться</v>
      </c>
      <c r="W543" s="8" t="s">
        <v>3577</v>
      </c>
      <c r="X543" s="6"/>
      <c r="Y543" s="6"/>
      <c r="Z543" s="6"/>
      <c r="AA543" s="6" t="s">
        <v>258</v>
      </c>
      <c r="AB543" s="8"/>
    </row>
    <row r="544" spans="1:28" s="4" customFormat="1" ht="51.95" customHeight="1">
      <c r="A544" s="5">
        <v>0</v>
      </c>
      <c r="B544" s="6" t="s">
        <v>3582</v>
      </c>
      <c r="C544" s="13">
        <v>1144.9000000000001</v>
      </c>
      <c r="D544" s="8" t="s">
        <v>3583</v>
      </c>
      <c r="E544" s="8" t="s">
        <v>3566</v>
      </c>
      <c r="F544" s="8" t="s">
        <v>3584</v>
      </c>
      <c r="G544" s="6" t="s">
        <v>52</v>
      </c>
      <c r="H544" s="6" t="s">
        <v>53</v>
      </c>
      <c r="I544" s="8" t="s">
        <v>90</v>
      </c>
      <c r="J544" s="9">
        <v>1</v>
      </c>
      <c r="K544" s="9">
        <v>336</v>
      </c>
      <c r="L544" s="9">
        <v>2020</v>
      </c>
      <c r="M544" s="8" t="s">
        <v>3585</v>
      </c>
      <c r="N544" s="8" t="s">
        <v>41</v>
      </c>
      <c r="O544" s="8" t="s">
        <v>1007</v>
      </c>
      <c r="P544" s="6" t="s">
        <v>43</v>
      </c>
      <c r="Q544" s="8" t="s">
        <v>44</v>
      </c>
      <c r="R544" s="10" t="s">
        <v>3586</v>
      </c>
      <c r="S544" s="11" t="s">
        <v>3587</v>
      </c>
      <c r="T544" s="6"/>
      <c r="U544" s="24" t="str">
        <f>HYPERLINK("https://media.infra-m.ru/1081/1081134/cover/1081134.jpg", "Обложка")</f>
        <v>Обложка</v>
      </c>
      <c r="V544" s="24" t="str">
        <f>HYPERLINK("https://znanium.ru/catalog/product/2048903", "Ознакомиться")</f>
        <v>Ознакомиться</v>
      </c>
      <c r="W544" s="8" t="s">
        <v>1313</v>
      </c>
      <c r="X544" s="6"/>
      <c r="Y544" s="6"/>
      <c r="Z544" s="6"/>
      <c r="AA544" s="6" t="s">
        <v>84</v>
      </c>
      <c r="AB544" s="8"/>
    </row>
    <row r="545" spans="1:28" s="4" customFormat="1" ht="42" customHeight="1">
      <c r="A545" s="5">
        <v>0</v>
      </c>
      <c r="B545" s="6" t="s">
        <v>3588</v>
      </c>
      <c r="C545" s="13">
        <v>2494</v>
      </c>
      <c r="D545" s="8" t="s">
        <v>3589</v>
      </c>
      <c r="E545" s="8" t="s">
        <v>3566</v>
      </c>
      <c r="F545" s="8" t="s">
        <v>3590</v>
      </c>
      <c r="G545" s="6" t="s">
        <v>52</v>
      </c>
      <c r="H545" s="6" t="s">
        <v>952</v>
      </c>
      <c r="I545" s="8" t="s">
        <v>1171</v>
      </c>
      <c r="J545" s="9">
        <v>8</v>
      </c>
      <c r="K545" s="9">
        <v>576</v>
      </c>
      <c r="L545" s="9">
        <v>2025</v>
      </c>
      <c r="M545" s="8" t="s">
        <v>3591</v>
      </c>
      <c r="N545" s="8" t="s">
        <v>41</v>
      </c>
      <c r="O545" s="8" t="s">
        <v>1007</v>
      </c>
      <c r="P545" s="6" t="s">
        <v>43</v>
      </c>
      <c r="Q545" s="8" t="s">
        <v>44</v>
      </c>
      <c r="R545" s="10" t="s">
        <v>2461</v>
      </c>
      <c r="S545" s="11"/>
      <c r="T545" s="6"/>
      <c r="U545" s="24" t="str">
        <f>HYPERLINK("https://media.infra-m.ru/2162/2162491/cover/2162491.jpg", "Обложка")</f>
        <v>Обложка</v>
      </c>
      <c r="V545" s="24" t="str">
        <f>HYPERLINK("https://znanium.ru/catalog/product/521822", "Ознакомиться")</f>
        <v>Ознакомиться</v>
      </c>
      <c r="W545" s="8"/>
      <c r="X545" s="6"/>
      <c r="Y545" s="6"/>
      <c r="Z545" s="6"/>
      <c r="AA545" s="6" t="s">
        <v>84</v>
      </c>
      <c r="AB545" s="8"/>
    </row>
    <row r="546" spans="1:28" s="4" customFormat="1" ht="51.95" customHeight="1">
      <c r="A546" s="5">
        <v>0</v>
      </c>
      <c r="B546" s="6" t="s">
        <v>3592</v>
      </c>
      <c r="C546" s="13">
        <v>1994</v>
      </c>
      <c r="D546" s="8" t="s">
        <v>3593</v>
      </c>
      <c r="E546" s="8" t="s">
        <v>3561</v>
      </c>
      <c r="F546" s="8" t="s">
        <v>1411</v>
      </c>
      <c r="G546" s="6" t="s">
        <v>52</v>
      </c>
      <c r="H546" s="6" t="s">
        <v>53</v>
      </c>
      <c r="I546" s="8" t="s">
        <v>90</v>
      </c>
      <c r="J546" s="9">
        <v>1</v>
      </c>
      <c r="K546" s="9">
        <v>358</v>
      </c>
      <c r="L546" s="9">
        <v>2024</v>
      </c>
      <c r="M546" s="8" t="s">
        <v>3594</v>
      </c>
      <c r="N546" s="8" t="s">
        <v>41</v>
      </c>
      <c r="O546" s="8" t="s">
        <v>1007</v>
      </c>
      <c r="P546" s="6" t="s">
        <v>43</v>
      </c>
      <c r="Q546" s="8" t="s">
        <v>44</v>
      </c>
      <c r="R546" s="10" t="s">
        <v>3586</v>
      </c>
      <c r="S546" s="11" t="s">
        <v>3595</v>
      </c>
      <c r="T546" s="6" t="s">
        <v>299</v>
      </c>
      <c r="U546" s="24" t="str">
        <f>HYPERLINK("https://media.infra-m.ru/2048/2048903/cover/2048903.jpg", "Обложка")</f>
        <v>Обложка</v>
      </c>
      <c r="V546" s="24" t="str">
        <f>HYPERLINK("https://znanium.ru/catalog/product/2048903", "Ознакомиться")</f>
        <v>Ознакомиться</v>
      </c>
      <c r="W546" s="8" t="s">
        <v>1313</v>
      </c>
      <c r="X546" s="6"/>
      <c r="Y546" s="6"/>
      <c r="Z546" s="6"/>
      <c r="AA546" s="6" t="s">
        <v>513</v>
      </c>
      <c r="AB546" s="8"/>
    </row>
    <row r="547" spans="1:28" s="4" customFormat="1" ht="51.95" customHeight="1">
      <c r="A547" s="5">
        <v>0</v>
      </c>
      <c r="B547" s="6" t="s">
        <v>3596</v>
      </c>
      <c r="C547" s="13">
        <v>1560</v>
      </c>
      <c r="D547" s="8" t="s">
        <v>3597</v>
      </c>
      <c r="E547" s="8" t="s">
        <v>3561</v>
      </c>
      <c r="F547" s="8" t="s">
        <v>3598</v>
      </c>
      <c r="G547" s="6" t="s">
        <v>52</v>
      </c>
      <c r="H547" s="6" t="s">
        <v>184</v>
      </c>
      <c r="I547" s="8"/>
      <c r="J547" s="9">
        <v>1</v>
      </c>
      <c r="K547" s="9">
        <v>488</v>
      </c>
      <c r="L547" s="9">
        <v>2019</v>
      </c>
      <c r="M547" s="8" t="s">
        <v>3599</v>
      </c>
      <c r="N547" s="8" t="s">
        <v>41</v>
      </c>
      <c r="O547" s="8" t="s">
        <v>1007</v>
      </c>
      <c r="P547" s="6" t="s">
        <v>167</v>
      </c>
      <c r="Q547" s="8" t="s">
        <v>44</v>
      </c>
      <c r="R547" s="10" t="s">
        <v>3569</v>
      </c>
      <c r="S547" s="11"/>
      <c r="T547" s="6"/>
      <c r="U547" s="24" t="str">
        <f>HYPERLINK("https://media.infra-m.ru/0988/0988026/cover/988026.jpg", "Обложка")</f>
        <v>Обложка</v>
      </c>
      <c r="V547" s="24" t="str">
        <f>HYPERLINK("https://znanium.ru/catalog/product/962130", "Ознакомиться")</f>
        <v>Ознакомиться</v>
      </c>
      <c r="W547" s="8" t="s">
        <v>3570</v>
      </c>
      <c r="X547" s="6"/>
      <c r="Y547" s="6"/>
      <c r="Z547" s="6"/>
      <c r="AA547" s="6" t="s">
        <v>1374</v>
      </c>
      <c r="AB547" s="8"/>
    </row>
    <row r="548" spans="1:28" s="4" customFormat="1" ht="44.1" customHeight="1">
      <c r="A548" s="5">
        <v>0</v>
      </c>
      <c r="B548" s="6" t="s">
        <v>3600</v>
      </c>
      <c r="C548" s="7">
        <v>664.9</v>
      </c>
      <c r="D548" s="8" t="s">
        <v>3601</v>
      </c>
      <c r="E548" s="8" t="s">
        <v>3566</v>
      </c>
      <c r="F548" s="8" t="s">
        <v>3602</v>
      </c>
      <c r="G548" s="6" t="s">
        <v>38</v>
      </c>
      <c r="H548" s="6" t="s">
        <v>184</v>
      </c>
      <c r="I548" s="8" t="s">
        <v>90</v>
      </c>
      <c r="J548" s="9">
        <v>1</v>
      </c>
      <c r="K548" s="9">
        <v>248</v>
      </c>
      <c r="L548" s="9">
        <v>2017</v>
      </c>
      <c r="M548" s="8" t="s">
        <v>3603</v>
      </c>
      <c r="N548" s="8" t="s">
        <v>41</v>
      </c>
      <c r="O548" s="8" t="s">
        <v>1007</v>
      </c>
      <c r="P548" s="6" t="s">
        <v>43</v>
      </c>
      <c r="Q548" s="8" t="s">
        <v>44</v>
      </c>
      <c r="R548" s="10" t="s">
        <v>3604</v>
      </c>
      <c r="S548" s="11"/>
      <c r="T548" s="6"/>
      <c r="U548" s="24" t="str">
        <f>HYPERLINK("https://media.infra-m.ru/0926/0926485/cover/926485.jpg", "Обложка")</f>
        <v>Обложка</v>
      </c>
      <c r="V548" s="24" t="str">
        <f>HYPERLINK("https://znanium.ru/catalog/product/525368", "Ознакомиться")</f>
        <v>Ознакомиться</v>
      </c>
      <c r="W548" s="8" t="s">
        <v>3605</v>
      </c>
      <c r="X548" s="6"/>
      <c r="Y548" s="6"/>
      <c r="Z548" s="6"/>
      <c r="AA548" s="6" t="s">
        <v>418</v>
      </c>
      <c r="AB548" s="8"/>
    </row>
    <row r="549" spans="1:28" s="4" customFormat="1" ht="42" customHeight="1">
      <c r="A549" s="5">
        <v>0</v>
      </c>
      <c r="B549" s="6" t="s">
        <v>3606</v>
      </c>
      <c r="C549" s="13">
        <v>1874</v>
      </c>
      <c r="D549" s="8" t="s">
        <v>3607</v>
      </c>
      <c r="E549" s="8" t="s">
        <v>3608</v>
      </c>
      <c r="F549" s="8" t="s">
        <v>3609</v>
      </c>
      <c r="G549" s="6" t="s">
        <v>52</v>
      </c>
      <c r="H549" s="6" t="s">
        <v>53</v>
      </c>
      <c r="I549" s="8" t="s">
        <v>90</v>
      </c>
      <c r="J549" s="9">
        <v>1</v>
      </c>
      <c r="K549" s="9">
        <v>407</v>
      </c>
      <c r="L549" s="9">
        <v>2024</v>
      </c>
      <c r="M549" s="8" t="s">
        <v>3610</v>
      </c>
      <c r="N549" s="8" t="s">
        <v>41</v>
      </c>
      <c r="O549" s="8" t="s">
        <v>1007</v>
      </c>
      <c r="P549" s="6" t="s">
        <v>43</v>
      </c>
      <c r="Q549" s="8" t="s">
        <v>44</v>
      </c>
      <c r="R549" s="10" t="s">
        <v>2461</v>
      </c>
      <c r="S549" s="11"/>
      <c r="T549" s="6" t="s">
        <v>299</v>
      </c>
      <c r="U549" s="24" t="str">
        <f>HYPERLINK("https://media.infra-m.ru/2091/2091893/cover/2091893.jpg", "Обложка")</f>
        <v>Обложка</v>
      </c>
      <c r="V549" s="24" t="str">
        <f>HYPERLINK("https://znanium.ru/catalog/product/925832", "Ознакомиться")</f>
        <v>Ознакомиться</v>
      </c>
      <c r="W549" s="8" t="s">
        <v>1313</v>
      </c>
      <c r="X549" s="6"/>
      <c r="Y549" s="6"/>
      <c r="Z549" s="6"/>
      <c r="AA549" s="6" t="s">
        <v>418</v>
      </c>
      <c r="AB549" s="8"/>
    </row>
    <row r="550" spans="1:28" s="4" customFormat="1" ht="42" customHeight="1">
      <c r="A550" s="5">
        <v>0</v>
      </c>
      <c r="B550" s="6" t="s">
        <v>3611</v>
      </c>
      <c r="C550" s="13">
        <v>3200</v>
      </c>
      <c r="D550" s="8" t="s">
        <v>3612</v>
      </c>
      <c r="E550" s="8" t="s">
        <v>3613</v>
      </c>
      <c r="F550" s="8" t="s">
        <v>3614</v>
      </c>
      <c r="G550" s="6" t="s">
        <v>52</v>
      </c>
      <c r="H550" s="6" t="s">
        <v>53</v>
      </c>
      <c r="I550" s="8" t="s">
        <v>116</v>
      </c>
      <c r="J550" s="9">
        <v>1</v>
      </c>
      <c r="K550" s="9">
        <v>641</v>
      </c>
      <c r="L550" s="9">
        <v>2024</v>
      </c>
      <c r="M550" s="8" t="s">
        <v>3615</v>
      </c>
      <c r="N550" s="8" t="s">
        <v>41</v>
      </c>
      <c r="O550" s="8" t="s">
        <v>1007</v>
      </c>
      <c r="P550" s="6" t="s">
        <v>167</v>
      </c>
      <c r="Q550" s="8" t="s">
        <v>58</v>
      </c>
      <c r="R550" s="10" t="s">
        <v>3616</v>
      </c>
      <c r="S550" s="11"/>
      <c r="T550" s="6"/>
      <c r="U550" s="24" t="str">
        <f>HYPERLINK("https://media.infra-m.ru/1971/1971853/cover/1971853.jpg", "Обложка")</f>
        <v>Обложка</v>
      </c>
      <c r="V550" s="24" t="str">
        <f>HYPERLINK("https://znanium.ru/catalog/product/1971853", "Ознакомиться")</f>
        <v>Ознакомиться</v>
      </c>
      <c r="W550" s="8" t="s">
        <v>1313</v>
      </c>
      <c r="X550" s="6" t="s">
        <v>1049</v>
      </c>
      <c r="Y550" s="6"/>
      <c r="Z550" s="6"/>
      <c r="AA550" s="6" t="s">
        <v>133</v>
      </c>
      <c r="AB550" s="8"/>
    </row>
    <row r="551" spans="1:28" s="4" customFormat="1" ht="51.95" customHeight="1">
      <c r="A551" s="5">
        <v>0</v>
      </c>
      <c r="B551" s="6" t="s">
        <v>3617</v>
      </c>
      <c r="C551" s="13">
        <v>1940</v>
      </c>
      <c r="D551" s="8" t="s">
        <v>3618</v>
      </c>
      <c r="E551" s="8" t="s">
        <v>3619</v>
      </c>
      <c r="F551" s="8" t="s">
        <v>3620</v>
      </c>
      <c r="G551" s="6" t="s">
        <v>52</v>
      </c>
      <c r="H551" s="6" t="s">
        <v>53</v>
      </c>
      <c r="I551" s="8" t="s">
        <v>116</v>
      </c>
      <c r="J551" s="9">
        <v>1</v>
      </c>
      <c r="K551" s="9">
        <v>420</v>
      </c>
      <c r="L551" s="9">
        <v>2024</v>
      </c>
      <c r="M551" s="8" t="s">
        <v>3621</v>
      </c>
      <c r="N551" s="8" t="s">
        <v>41</v>
      </c>
      <c r="O551" s="8" t="s">
        <v>1007</v>
      </c>
      <c r="P551" s="6" t="s">
        <v>167</v>
      </c>
      <c r="Q551" s="8" t="s">
        <v>44</v>
      </c>
      <c r="R551" s="10" t="s">
        <v>3622</v>
      </c>
      <c r="S551" s="11" t="s">
        <v>3623</v>
      </c>
      <c r="T551" s="6" t="s">
        <v>299</v>
      </c>
      <c r="U551" s="24" t="str">
        <f>HYPERLINK("https://media.infra-m.ru/2128/2128029/cover/2128029.jpg", "Обложка")</f>
        <v>Обложка</v>
      </c>
      <c r="V551" s="24" t="str">
        <f>HYPERLINK("https://znanium.ru/catalog/product/2128029", "Ознакомиться")</f>
        <v>Ознакомиться</v>
      </c>
      <c r="W551" s="8" t="s">
        <v>2995</v>
      </c>
      <c r="X551" s="6"/>
      <c r="Y551" s="6"/>
      <c r="Z551" s="6"/>
      <c r="AA551" s="6" t="s">
        <v>1259</v>
      </c>
      <c r="AB551" s="8"/>
    </row>
    <row r="552" spans="1:28" s="4" customFormat="1" ht="42" customHeight="1">
      <c r="A552" s="5">
        <v>0</v>
      </c>
      <c r="B552" s="6" t="s">
        <v>3624</v>
      </c>
      <c r="C552" s="7">
        <v>920</v>
      </c>
      <c r="D552" s="8" t="s">
        <v>3625</v>
      </c>
      <c r="E552" s="8" t="s">
        <v>3626</v>
      </c>
      <c r="F552" s="8" t="s">
        <v>3627</v>
      </c>
      <c r="G552" s="6" t="s">
        <v>89</v>
      </c>
      <c r="H552" s="6" t="s">
        <v>952</v>
      </c>
      <c r="I552" s="8"/>
      <c r="J552" s="9">
        <v>1</v>
      </c>
      <c r="K552" s="9">
        <v>184</v>
      </c>
      <c r="L552" s="9">
        <v>2025</v>
      </c>
      <c r="M552" s="8" t="s">
        <v>3628</v>
      </c>
      <c r="N552" s="8" t="s">
        <v>41</v>
      </c>
      <c r="O552" s="8" t="s">
        <v>1007</v>
      </c>
      <c r="P552" s="6" t="s">
        <v>43</v>
      </c>
      <c r="Q552" s="8" t="s">
        <v>44</v>
      </c>
      <c r="R552" s="10" t="s">
        <v>157</v>
      </c>
      <c r="S552" s="11"/>
      <c r="T552" s="6"/>
      <c r="U552" s="24" t="str">
        <f>HYPERLINK("https://media.infra-m.ru/2163/2163979/cover/2163979.jpg", "Обложка")</f>
        <v>Обложка</v>
      </c>
      <c r="V552" s="24" t="str">
        <f>HYPERLINK("https://znanium.ru/catalog/product/2163979", "Ознакомиться")</f>
        <v>Ознакомиться</v>
      </c>
      <c r="W552" s="8" t="s">
        <v>3629</v>
      </c>
      <c r="X552" s="6"/>
      <c r="Y552" s="6"/>
      <c r="Z552" s="6"/>
      <c r="AA552" s="6" t="s">
        <v>219</v>
      </c>
      <c r="AB552" s="8"/>
    </row>
    <row r="553" spans="1:28" s="4" customFormat="1" ht="42" customHeight="1">
      <c r="A553" s="5">
        <v>0</v>
      </c>
      <c r="B553" s="6" t="s">
        <v>3630</v>
      </c>
      <c r="C553" s="13">
        <v>1710</v>
      </c>
      <c r="D553" s="8" t="s">
        <v>3631</v>
      </c>
      <c r="E553" s="8" t="s">
        <v>3632</v>
      </c>
      <c r="F553" s="8" t="s">
        <v>3633</v>
      </c>
      <c r="G553" s="6" t="s">
        <v>89</v>
      </c>
      <c r="H553" s="6" t="s">
        <v>184</v>
      </c>
      <c r="I553" s="8"/>
      <c r="J553" s="9">
        <v>1</v>
      </c>
      <c r="K553" s="9">
        <v>450</v>
      </c>
      <c r="L553" s="9">
        <v>2022</v>
      </c>
      <c r="M553" s="8" t="s">
        <v>3634</v>
      </c>
      <c r="N553" s="8" t="s">
        <v>41</v>
      </c>
      <c r="O553" s="8" t="s">
        <v>1007</v>
      </c>
      <c r="P553" s="6" t="s">
        <v>43</v>
      </c>
      <c r="Q553" s="8" t="s">
        <v>44</v>
      </c>
      <c r="R553" s="10" t="s">
        <v>2461</v>
      </c>
      <c r="S553" s="11"/>
      <c r="T553" s="6"/>
      <c r="U553" s="24" t="str">
        <f>HYPERLINK("https://media.infra-m.ru/1862/1862379/cover/1862379.jpg", "Обложка")</f>
        <v>Обложка</v>
      </c>
      <c r="V553" s="24" t="str">
        <f>HYPERLINK("https://znanium.ru/catalog/product/1862379", "Ознакомиться")</f>
        <v>Ознакомиться</v>
      </c>
      <c r="W553" s="8" t="s">
        <v>234</v>
      </c>
      <c r="X553" s="6"/>
      <c r="Y553" s="6"/>
      <c r="Z553" s="6"/>
      <c r="AA553" s="6" t="s">
        <v>151</v>
      </c>
      <c r="AB553" s="8"/>
    </row>
    <row r="554" spans="1:28" s="4" customFormat="1" ht="44.1" customHeight="1">
      <c r="A554" s="5">
        <v>0</v>
      </c>
      <c r="B554" s="6" t="s">
        <v>3635</v>
      </c>
      <c r="C554" s="13">
        <v>2130</v>
      </c>
      <c r="D554" s="8" t="s">
        <v>3636</v>
      </c>
      <c r="E554" s="8" t="s">
        <v>3637</v>
      </c>
      <c r="F554" s="8" t="s">
        <v>3638</v>
      </c>
      <c r="G554" s="6" t="s">
        <v>89</v>
      </c>
      <c r="H554" s="6" t="s">
        <v>184</v>
      </c>
      <c r="I554" s="8" t="s">
        <v>90</v>
      </c>
      <c r="J554" s="9">
        <v>1</v>
      </c>
      <c r="K554" s="9">
        <v>560</v>
      </c>
      <c r="L554" s="9">
        <v>2022</v>
      </c>
      <c r="M554" s="8" t="s">
        <v>3639</v>
      </c>
      <c r="N554" s="8" t="s">
        <v>41</v>
      </c>
      <c r="O554" s="8" t="s">
        <v>1007</v>
      </c>
      <c r="P554" s="6" t="s">
        <v>167</v>
      </c>
      <c r="Q554" s="8" t="s">
        <v>44</v>
      </c>
      <c r="R554" s="10" t="s">
        <v>3640</v>
      </c>
      <c r="S554" s="11"/>
      <c r="T554" s="6" t="s">
        <v>299</v>
      </c>
      <c r="U554" s="24" t="str">
        <f>HYPERLINK("https://media.infra-m.ru/1863/1863103/cover/1863103.jpg", "Обложка")</f>
        <v>Обложка</v>
      </c>
      <c r="V554" s="24" t="str">
        <f>HYPERLINK("https://znanium.ru/catalog/product/1863103", "Ознакомиться")</f>
        <v>Ознакомиться</v>
      </c>
      <c r="W554" s="8" t="s">
        <v>234</v>
      </c>
      <c r="X554" s="6"/>
      <c r="Y554" s="6"/>
      <c r="Z554" s="6"/>
      <c r="AA554" s="6" t="s">
        <v>442</v>
      </c>
      <c r="AB554" s="8"/>
    </row>
    <row r="555" spans="1:28" s="4" customFormat="1" ht="42" customHeight="1">
      <c r="A555" s="5">
        <v>0</v>
      </c>
      <c r="B555" s="6" t="s">
        <v>3641</v>
      </c>
      <c r="C555" s="7">
        <v>990</v>
      </c>
      <c r="D555" s="8" t="s">
        <v>3642</v>
      </c>
      <c r="E555" s="8" t="s">
        <v>3643</v>
      </c>
      <c r="F555" s="8" t="s">
        <v>3422</v>
      </c>
      <c r="G555" s="6" t="s">
        <v>38</v>
      </c>
      <c r="H555" s="6" t="s">
        <v>952</v>
      </c>
      <c r="I555" s="8"/>
      <c r="J555" s="9">
        <v>1</v>
      </c>
      <c r="K555" s="9">
        <v>216</v>
      </c>
      <c r="L555" s="9">
        <v>2024</v>
      </c>
      <c r="M555" s="8" t="s">
        <v>3644</v>
      </c>
      <c r="N555" s="8" t="s">
        <v>41</v>
      </c>
      <c r="O555" s="8" t="s">
        <v>1007</v>
      </c>
      <c r="P555" s="6" t="s">
        <v>43</v>
      </c>
      <c r="Q555" s="8" t="s">
        <v>58</v>
      </c>
      <c r="R555" s="10" t="s">
        <v>157</v>
      </c>
      <c r="S555" s="11"/>
      <c r="T555" s="6"/>
      <c r="U555" s="24" t="str">
        <f>HYPERLINK("https://media.infra-m.ru/2117/2117167/cover/2117167.jpg", "Обложка")</f>
        <v>Обложка</v>
      </c>
      <c r="V555" s="24" t="str">
        <f>HYPERLINK("https://znanium.ru/catalog/product/2117167", "Ознакомиться")</f>
        <v>Ознакомиться</v>
      </c>
      <c r="W555" s="8" t="s">
        <v>3426</v>
      </c>
      <c r="X555" s="6"/>
      <c r="Y555" s="6"/>
      <c r="Z555" s="6"/>
      <c r="AA555" s="6" t="s">
        <v>793</v>
      </c>
      <c r="AB555" s="8"/>
    </row>
    <row r="556" spans="1:28" s="4" customFormat="1" ht="51.95" customHeight="1">
      <c r="A556" s="5">
        <v>0</v>
      </c>
      <c r="B556" s="6" t="s">
        <v>3645</v>
      </c>
      <c r="C556" s="13">
        <v>1610</v>
      </c>
      <c r="D556" s="8" t="s">
        <v>3646</v>
      </c>
      <c r="E556" s="8" t="s">
        <v>3647</v>
      </c>
      <c r="F556" s="8" t="s">
        <v>3648</v>
      </c>
      <c r="G556" s="6" t="s">
        <v>89</v>
      </c>
      <c r="H556" s="6" t="s">
        <v>77</v>
      </c>
      <c r="I556" s="8"/>
      <c r="J556" s="9">
        <v>1</v>
      </c>
      <c r="K556" s="9">
        <v>349</v>
      </c>
      <c r="L556" s="9">
        <v>2024</v>
      </c>
      <c r="M556" s="8" t="s">
        <v>3649</v>
      </c>
      <c r="N556" s="8" t="s">
        <v>41</v>
      </c>
      <c r="O556" s="8" t="s">
        <v>1007</v>
      </c>
      <c r="P556" s="6" t="s">
        <v>167</v>
      </c>
      <c r="Q556" s="8" t="s">
        <v>44</v>
      </c>
      <c r="R556" s="10" t="s">
        <v>3650</v>
      </c>
      <c r="S556" s="11" t="s">
        <v>3651</v>
      </c>
      <c r="T556" s="6"/>
      <c r="U556" s="24" t="str">
        <f>HYPERLINK("https://media.infra-m.ru/2061/2061324/cover/2061324.jpg", "Обложка")</f>
        <v>Обложка</v>
      </c>
      <c r="V556" s="24" t="str">
        <f>HYPERLINK("https://znanium.ru/catalog/product/2061324", "Ознакомиться")</f>
        <v>Ознакомиться</v>
      </c>
      <c r="W556" s="8" t="s">
        <v>83</v>
      </c>
      <c r="X556" s="6"/>
      <c r="Y556" s="6"/>
      <c r="Z556" s="6"/>
      <c r="AA556" s="6" t="s">
        <v>1365</v>
      </c>
      <c r="AB556" s="8"/>
    </row>
    <row r="557" spans="1:28" s="4" customFormat="1" ht="51.95" customHeight="1">
      <c r="A557" s="5">
        <v>0</v>
      </c>
      <c r="B557" s="6" t="s">
        <v>3652</v>
      </c>
      <c r="C557" s="7">
        <v>970</v>
      </c>
      <c r="D557" s="8" t="s">
        <v>3653</v>
      </c>
      <c r="E557" s="8" t="s">
        <v>3654</v>
      </c>
      <c r="F557" s="8" t="s">
        <v>3655</v>
      </c>
      <c r="G557" s="6" t="s">
        <v>52</v>
      </c>
      <c r="H557" s="6" t="s">
        <v>53</v>
      </c>
      <c r="I557" s="8" t="s">
        <v>90</v>
      </c>
      <c r="J557" s="9">
        <v>1</v>
      </c>
      <c r="K557" s="9">
        <v>268</v>
      </c>
      <c r="L557" s="9">
        <v>2020</v>
      </c>
      <c r="M557" s="8" t="s">
        <v>3656</v>
      </c>
      <c r="N557" s="8" t="s">
        <v>41</v>
      </c>
      <c r="O557" s="8" t="s">
        <v>1007</v>
      </c>
      <c r="P557" s="6" t="s">
        <v>43</v>
      </c>
      <c r="Q557" s="8" t="s">
        <v>44</v>
      </c>
      <c r="R557" s="10" t="s">
        <v>3657</v>
      </c>
      <c r="S557" s="11" t="s">
        <v>3658</v>
      </c>
      <c r="T557" s="6"/>
      <c r="U557" s="24" t="str">
        <f>HYPERLINK("https://media.infra-m.ru/1048/1048787/cover/1048787.jpg", "Обложка")</f>
        <v>Обложка</v>
      </c>
      <c r="V557" s="24" t="str">
        <f>HYPERLINK("https://znanium.ru/catalog/product/2196079", "Ознакомиться")</f>
        <v>Ознакомиться</v>
      </c>
      <c r="W557" s="8" t="s">
        <v>450</v>
      </c>
      <c r="X557" s="6"/>
      <c r="Y557" s="6"/>
      <c r="Z557" s="6"/>
      <c r="AA557" s="6" t="s">
        <v>418</v>
      </c>
      <c r="AB557" s="8"/>
    </row>
    <row r="558" spans="1:28" s="4" customFormat="1" ht="51.95" customHeight="1">
      <c r="A558" s="5">
        <v>0</v>
      </c>
      <c r="B558" s="6" t="s">
        <v>3659</v>
      </c>
      <c r="C558" s="13">
        <v>2014</v>
      </c>
      <c r="D558" s="8" t="s">
        <v>3660</v>
      </c>
      <c r="E558" s="8" t="s">
        <v>3661</v>
      </c>
      <c r="F558" s="8" t="s">
        <v>3662</v>
      </c>
      <c r="G558" s="6" t="s">
        <v>89</v>
      </c>
      <c r="H558" s="6" t="s">
        <v>53</v>
      </c>
      <c r="I558" s="8" t="s">
        <v>212</v>
      </c>
      <c r="J558" s="9">
        <v>1</v>
      </c>
      <c r="K558" s="9">
        <v>391</v>
      </c>
      <c r="L558" s="9">
        <v>2025</v>
      </c>
      <c r="M558" s="8" t="s">
        <v>3663</v>
      </c>
      <c r="N558" s="8" t="s">
        <v>41</v>
      </c>
      <c r="O558" s="8" t="s">
        <v>1007</v>
      </c>
      <c r="P558" s="6" t="s">
        <v>43</v>
      </c>
      <c r="Q558" s="8" t="s">
        <v>214</v>
      </c>
      <c r="R558" s="10" t="s">
        <v>3664</v>
      </c>
      <c r="S558" s="11" t="s">
        <v>3665</v>
      </c>
      <c r="T558" s="6"/>
      <c r="U558" s="24" t="str">
        <f>HYPERLINK("https://media.infra-m.ru/2179/2179494/cover/2179494.jpg", "Обложка")</f>
        <v>Обложка</v>
      </c>
      <c r="V558" s="24" t="str">
        <f>HYPERLINK("https://znanium.ru/catalog/product/1356958", "Ознакомиться")</f>
        <v>Ознакомиться</v>
      </c>
      <c r="W558" s="8" t="s">
        <v>1233</v>
      </c>
      <c r="X558" s="6"/>
      <c r="Y558" s="6"/>
      <c r="Z558" s="6"/>
      <c r="AA558" s="6" t="s">
        <v>513</v>
      </c>
      <c r="AB558" s="8"/>
    </row>
    <row r="559" spans="1:28" s="4" customFormat="1" ht="51.95" customHeight="1">
      <c r="A559" s="5">
        <v>0</v>
      </c>
      <c r="B559" s="6" t="s">
        <v>3666</v>
      </c>
      <c r="C559" s="7">
        <v>964</v>
      </c>
      <c r="D559" s="8" t="s">
        <v>3667</v>
      </c>
      <c r="E559" s="8" t="s">
        <v>3668</v>
      </c>
      <c r="F559" s="8" t="s">
        <v>3669</v>
      </c>
      <c r="G559" s="6" t="s">
        <v>52</v>
      </c>
      <c r="H559" s="6" t="s">
        <v>649</v>
      </c>
      <c r="I559" s="8" t="s">
        <v>116</v>
      </c>
      <c r="J559" s="9">
        <v>1</v>
      </c>
      <c r="K559" s="9">
        <v>208</v>
      </c>
      <c r="L559" s="9">
        <v>2024</v>
      </c>
      <c r="M559" s="8" t="s">
        <v>3670</v>
      </c>
      <c r="N559" s="8" t="s">
        <v>41</v>
      </c>
      <c r="O559" s="8" t="s">
        <v>1007</v>
      </c>
      <c r="P559" s="6" t="s">
        <v>43</v>
      </c>
      <c r="Q559" s="8" t="s">
        <v>44</v>
      </c>
      <c r="R559" s="10" t="s">
        <v>1231</v>
      </c>
      <c r="S559" s="11" t="s">
        <v>3671</v>
      </c>
      <c r="T559" s="6"/>
      <c r="U559" s="24" t="str">
        <f>HYPERLINK("https://media.infra-m.ru/2074/2074384/cover/2074384.jpg", "Обложка")</f>
        <v>Обложка</v>
      </c>
      <c r="V559" s="24" t="str">
        <f>HYPERLINK("https://znanium.ru/catalog/product/2131313", "Ознакомиться")</f>
        <v>Ознакомиться</v>
      </c>
      <c r="W559" s="8" t="s">
        <v>3672</v>
      </c>
      <c r="X559" s="6"/>
      <c r="Y559" s="6"/>
      <c r="Z559" s="6"/>
      <c r="AA559" s="6" t="s">
        <v>622</v>
      </c>
      <c r="AB559" s="8"/>
    </row>
    <row r="560" spans="1:28" s="4" customFormat="1" ht="51.95" customHeight="1">
      <c r="A560" s="5">
        <v>0</v>
      </c>
      <c r="B560" s="6" t="s">
        <v>3673</v>
      </c>
      <c r="C560" s="13">
        <v>1280</v>
      </c>
      <c r="D560" s="8" t="s">
        <v>3674</v>
      </c>
      <c r="E560" s="8" t="s">
        <v>3675</v>
      </c>
      <c r="F560" s="8" t="s">
        <v>3676</v>
      </c>
      <c r="G560" s="6" t="s">
        <v>89</v>
      </c>
      <c r="H560" s="6" t="s">
        <v>53</v>
      </c>
      <c r="I560" s="8" t="s">
        <v>212</v>
      </c>
      <c r="J560" s="9">
        <v>1</v>
      </c>
      <c r="K560" s="9">
        <v>283</v>
      </c>
      <c r="L560" s="9">
        <v>2022</v>
      </c>
      <c r="M560" s="8" t="s">
        <v>3677</v>
      </c>
      <c r="N560" s="8" t="s">
        <v>41</v>
      </c>
      <c r="O560" s="8" t="s">
        <v>1007</v>
      </c>
      <c r="P560" s="6" t="s">
        <v>43</v>
      </c>
      <c r="Q560" s="8" t="s">
        <v>214</v>
      </c>
      <c r="R560" s="10" t="s">
        <v>3664</v>
      </c>
      <c r="S560" s="11" t="s">
        <v>3678</v>
      </c>
      <c r="T560" s="6"/>
      <c r="U560" s="24" t="str">
        <f>HYPERLINK("https://media.infra-m.ru/1896/1896115/cover/1896115.jpg", "Обложка")</f>
        <v>Обложка</v>
      </c>
      <c r="V560" s="24" t="str">
        <f>HYPERLINK("https://znanium.ru/catalog/product/1356958", "Ознакомиться")</f>
        <v>Ознакомиться</v>
      </c>
      <c r="W560" s="8" t="s">
        <v>1233</v>
      </c>
      <c r="X560" s="6"/>
      <c r="Y560" s="6"/>
      <c r="Z560" s="6"/>
      <c r="AA560" s="6" t="s">
        <v>793</v>
      </c>
      <c r="AB560" s="8"/>
    </row>
    <row r="561" spans="1:28" s="4" customFormat="1" ht="51.95" customHeight="1">
      <c r="A561" s="5">
        <v>0</v>
      </c>
      <c r="B561" s="6" t="s">
        <v>3679</v>
      </c>
      <c r="C561" s="13">
        <v>1390</v>
      </c>
      <c r="D561" s="8" t="s">
        <v>3680</v>
      </c>
      <c r="E561" s="8" t="s">
        <v>3681</v>
      </c>
      <c r="F561" s="8" t="s">
        <v>3682</v>
      </c>
      <c r="G561" s="6" t="s">
        <v>52</v>
      </c>
      <c r="H561" s="6" t="s">
        <v>53</v>
      </c>
      <c r="I561" s="8" t="s">
        <v>116</v>
      </c>
      <c r="J561" s="9">
        <v>1</v>
      </c>
      <c r="K561" s="9">
        <v>261</v>
      </c>
      <c r="L561" s="9">
        <v>2025</v>
      </c>
      <c r="M561" s="8" t="s">
        <v>3683</v>
      </c>
      <c r="N561" s="8" t="s">
        <v>41</v>
      </c>
      <c r="O561" s="8" t="s">
        <v>1007</v>
      </c>
      <c r="P561" s="6" t="s">
        <v>43</v>
      </c>
      <c r="Q561" s="8" t="s">
        <v>44</v>
      </c>
      <c r="R561" s="10" t="s">
        <v>1231</v>
      </c>
      <c r="S561" s="11" t="s">
        <v>3684</v>
      </c>
      <c r="T561" s="6"/>
      <c r="U561" s="24" t="str">
        <f>HYPERLINK("https://media.infra-m.ru/2131/2131313/cover/2131313.jpg", "Обложка")</f>
        <v>Обложка</v>
      </c>
      <c r="V561" s="24" t="str">
        <f>HYPERLINK("https://znanium.ru/catalog/product/2131313", "Ознакомиться")</f>
        <v>Ознакомиться</v>
      </c>
      <c r="W561" s="8" t="s">
        <v>3672</v>
      </c>
      <c r="X561" s="6" t="s">
        <v>60</v>
      </c>
      <c r="Y561" s="6"/>
      <c r="Z561" s="6"/>
      <c r="AA561" s="6" t="s">
        <v>549</v>
      </c>
      <c r="AB561" s="8"/>
    </row>
    <row r="562" spans="1:28" s="4" customFormat="1" ht="51.95" customHeight="1">
      <c r="A562" s="5">
        <v>0</v>
      </c>
      <c r="B562" s="6" t="s">
        <v>3685</v>
      </c>
      <c r="C562" s="7">
        <v>944</v>
      </c>
      <c r="D562" s="8" t="s">
        <v>3686</v>
      </c>
      <c r="E562" s="8" t="s">
        <v>3687</v>
      </c>
      <c r="F562" s="8" t="s">
        <v>3688</v>
      </c>
      <c r="G562" s="6" t="s">
        <v>89</v>
      </c>
      <c r="H562" s="6" t="s">
        <v>53</v>
      </c>
      <c r="I562" s="8" t="s">
        <v>100</v>
      </c>
      <c r="J562" s="9">
        <v>1</v>
      </c>
      <c r="K562" s="9">
        <v>182</v>
      </c>
      <c r="L562" s="9">
        <v>2025</v>
      </c>
      <c r="M562" s="8" t="s">
        <v>3689</v>
      </c>
      <c r="N562" s="8" t="s">
        <v>41</v>
      </c>
      <c r="O562" s="8" t="s">
        <v>1007</v>
      </c>
      <c r="P562" s="6" t="s">
        <v>167</v>
      </c>
      <c r="Q562" s="8" t="s">
        <v>102</v>
      </c>
      <c r="R562" s="10" t="s">
        <v>3690</v>
      </c>
      <c r="S562" s="11" t="s">
        <v>3691</v>
      </c>
      <c r="T562" s="6"/>
      <c r="U562" s="24" t="str">
        <f>HYPERLINK("https://media.infra-m.ru/2197/2197810/cover/2197810.jpg", "Обложка")</f>
        <v>Обложка</v>
      </c>
      <c r="V562" s="24" t="str">
        <f>HYPERLINK("https://znanium.ru/catalog/product/1926391", "Ознакомиться")</f>
        <v>Ознакомиться</v>
      </c>
      <c r="W562" s="8" t="s">
        <v>2774</v>
      </c>
      <c r="X562" s="6"/>
      <c r="Y562" s="6"/>
      <c r="Z562" s="6"/>
      <c r="AA562" s="6" t="s">
        <v>219</v>
      </c>
      <c r="AB562" s="8" t="s">
        <v>2344</v>
      </c>
    </row>
    <row r="563" spans="1:28" s="4" customFormat="1" ht="51.95" customHeight="1">
      <c r="A563" s="5">
        <v>0</v>
      </c>
      <c r="B563" s="6" t="s">
        <v>3692</v>
      </c>
      <c r="C563" s="13">
        <v>3080</v>
      </c>
      <c r="D563" s="8" t="s">
        <v>3693</v>
      </c>
      <c r="E563" s="8" t="s">
        <v>3694</v>
      </c>
      <c r="F563" s="8" t="s">
        <v>3695</v>
      </c>
      <c r="G563" s="6" t="s">
        <v>52</v>
      </c>
      <c r="H563" s="6" t="s">
        <v>53</v>
      </c>
      <c r="I563" s="8" t="s">
        <v>165</v>
      </c>
      <c r="J563" s="9">
        <v>1</v>
      </c>
      <c r="K563" s="9">
        <v>591</v>
      </c>
      <c r="L563" s="9">
        <v>2025</v>
      </c>
      <c r="M563" s="8" t="s">
        <v>3696</v>
      </c>
      <c r="N563" s="8" t="s">
        <v>41</v>
      </c>
      <c r="O563" s="8" t="s">
        <v>1007</v>
      </c>
      <c r="P563" s="6" t="s">
        <v>167</v>
      </c>
      <c r="Q563" s="8" t="s">
        <v>44</v>
      </c>
      <c r="R563" s="10" t="s">
        <v>2461</v>
      </c>
      <c r="S563" s="11" t="s">
        <v>3697</v>
      </c>
      <c r="T563" s="6" t="s">
        <v>299</v>
      </c>
      <c r="U563" s="24" t="str">
        <f>HYPERLINK("https://media.infra-m.ru/2200/2200023/cover/2200023.jpg", "Обложка")</f>
        <v>Обложка</v>
      </c>
      <c r="V563" s="24" t="str">
        <f>HYPERLINK("https://znanium.ru/catalog/product/2200023", "Ознакомиться")</f>
        <v>Ознакомиться</v>
      </c>
      <c r="W563" s="8" t="s">
        <v>83</v>
      </c>
      <c r="X563" s="6"/>
      <c r="Y563" s="6"/>
      <c r="Z563" s="6"/>
      <c r="AA563" s="6" t="s">
        <v>2086</v>
      </c>
      <c r="AB563" s="8"/>
    </row>
    <row r="564" spans="1:28" s="4" customFormat="1" ht="51.95" customHeight="1">
      <c r="A564" s="5">
        <v>0</v>
      </c>
      <c r="B564" s="6" t="s">
        <v>3698</v>
      </c>
      <c r="C564" s="13">
        <v>2680</v>
      </c>
      <c r="D564" s="8" t="s">
        <v>3699</v>
      </c>
      <c r="E564" s="8" t="s">
        <v>3694</v>
      </c>
      <c r="F564" s="8" t="s">
        <v>3700</v>
      </c>
      <c r="G564" s="6" t="s">
        <v>52</v>
      </c>
      <c r="H564" s="6" t="s">
        <v>53</v>
      </c>
      <c r="I564" s="8" t="s">
        <v>100</v>
      </c>
      <c r="J564" s="9">
        <v>1</v>
      </c>
      <c r="K564" s="9">
        <v>535</v>
      </c>
      <c r="L564" s="9">
        <v>2025</v>
      </c>
      <c r="M564" s="8" t="s">
        <v>3701</v>
      </c>
      <c r="N564" s="8" t="s">
        <v>41</v>
      </c>
      <c r="O564" s="8" t="s">
        <v>1007</v>
      </c>
      <c r="P564" s="6" t="s">
        <v>167</v>
      </c>
      <c r="Q564" s="8" t="s">
        <v>102</v>
      </c>
      <c r="R564" s="10" t="s">
        <v>3702</v>
      </c>
      <c r="S564" s="11"/>
      <c r="T564" s="6"/>
      <c r="U564" s="24" t="str">
        <f>HYPERLINK("https://media.infra-m.ru/2108/2108588/cover/2108588.jpg", "Обложка")</f>
        <v>Обложка</v>
      </c>
      <c r="V564" s="24" t="str">
        <f>HYPERLINK("https://znanium.ru/catalog/product/2108588", "Ознакомиться")</f>
        <v>Ознакомиться</v>
      </c>
      <c r="W564" s="8" t="s">
        <v>1272</v>
      </c>
      <c r="X564" s="6" t="s">
        <v>548</v>
      </c>
      <c r="Y564" s="6"/>
      <c r="Z564" s="6"/>
      <c r="AA564" s="6" t="s">
        <v>818</v>
      </c>
      <c r="AB564" s="8"/>
    </row>
    <row r="565" spans="1:28" s="4" customFormat="1" ht="51.95" customHeight="1">
      <c r="A565" s="5">
        <v>0</v>
      </c>
      <c r="B565" s="6" t="s">
        <v>3703</v>
      </c>
      <c r="C565" s="13">
        <v>2190</v>
      </c>
      <c r="D565" s="8" t="s">
        <v>3704</v>
      </c>
      <c r="E565" s="8" t="s">
        <v>3705</v>
      </c>
      <c r="F565" s="8" t="s">
        <v>3706</v>
      </c>
      <c r="G565" s="6" t="s">
        <v>52</v>
      </c>
      <c r="H565" s="6" t="s">
        <v>53</v>
      </c>
      <c r="I565" s="8" t="s">
        <v>212</v>
      </c>
      <c r="J565" s="9">
        <v>1</v>
      </c>
      <c r="K565" s="9">
        <v>581</v>
      </c>
      <c r="L565" s="9">
        <v>2022</v>
      </c>
      <c r="M565" s="8" t="s">
        <v>3707</v>
      </c>
      <c r="N565" s="8" t="s">
        <v>41</v>
      </c>
      <c r="O565" s="8" t="s">
        <v>1007</v>
      </c>
      <c r="P565" s="6" t="s">
        <v>167</v>
      </c>
      <c r="Q565" s="8" t="s">
        <v>214</v>
      </c>
      <c r="R565" s="10" t="s">
        <v>3664</v>
      </c>
      <c r="S565" s="11" t="s">
        <v>3708</v>
      </c>
      <c r="T565" s="6"/>
      <c r="U565" s="24" t="str">
        <f>HYPERLINK("https://media.infra-m.ru/1854/1854021/cover/1854021.jpg", "Обложка")</f>
        <v>Обложка</v>
      </c>
      <c r="V565" s="24" t="str">
        <f>HYPERLINK("https://znanium.ru/catalog/product/1854021", "Ознакомиться")</f>
        <v>Ознакомиться</v>
      </c>
      <c r="W565" s="8" t="s">
        <v>1233</v>
      </c>
      <c r="X565" s="6"/>
      <c r="Y565" s="6"/>
      <c r="Z565" s="6"/>
      <c r="AA565" s="6" t="s">
        <v>793</v>
      </c>
      <c r="AB565" s="8"/>
    </row>
    <row r="566" spans="1:28" s="4" customFormat="1" ht="51.95" customHeight="1">
      <c r="A566" s="5">
        <v>0</v>
      </c>
      <c r="B566" s="6" t="s">
        <v>3709</v>
      </c>
      <c r="C566" s="7">
        <v>699.9</v>
      </c>
      <c r="D566" s="8" t="s">
        <v>3710</v>
      </c>
      <c r="E566" s="8" t="s">
        <v>3711</v>
      </c>
      <c r="F566" s="8" t="s">
        <v>3712</v>
      </c>
      <c r="G566" s="6"/>
      <c r="H566" s="6" t="s">
        <v>53</v>
      </c>
      <c r="I566" s="8" t="s">
        <v>90</v>
      </c>
      <c r="J566" s="9">
        <v>6</v>
      </c>
      <c r="K566" s="9">
        <v>681</v>
      </c>
      <c r="L566" s="9">
        <v>2015</v>
      </c>
      <c r="M566" s="8" t="s">
        <v>3713</v>
      </c>
      <c r="N566" s="8" t="s">
        <v>41</v>
      </c>
      <c r="O566" s="8" t="s">
        <v>1007</v>
      </c>
      <c r="P566" s="6" t="s">
        <v>167</v>
      </c>
      <c r="Q566" s="8" t="s">
        <v>44</v>
      </c>
      <c r="R566" s="10" t="s">
        <v>3500</v>
      </c>
      <c r="S566" s="11"/>
      <c r="T566" s="6"/>
      <c r="U566" s="24" t="str">
        <f>HYPERLINK("https://media.infra-m.ru/0489/0489938/cover/489938.jpg", "Обложка")</f>
        <v>Обложка</v>
      </c>
      <c r="V566" s="24" t="str">
        <f>HYPERLINK("https://znanium.ru/catalog/product/2163847", "Ознакомиться")</f>
        <v>Ознакомиться</v>
      </c>
      <c r="W566" s="8" t="s">
        <v>354</v>
      </c>
      <c r="X566" s="6"/>
      <c r="Y566" s="6"/>
      <c r="Z566" s="6"/>
      <c r="AA566" s="6" t="s">
        <v>3714</v>
      </c>
      <c r="AB566" s="8"/>
    </row>
    <row r="567" spans="1:28" s="4" customFormat="1" ht="51.95" customHeight="1">
      <c r="A567" s="5">
        <v>0</v>
      </c>
      <c r="B567" s="6" t="s">
        <v>3715</v>
      </c>
      <c r="C567" s="13">
        <v>1744.9</v>
      </c>
      <c r="D567" s="8" t="s">
        <v>3716</v>
      </c>
      <c r="E567" s="8" t="s">
        <v>3717</v>
      </c>
      <c r="F567" s="8" t="s">
        <v>3718</v>
      </c>
      <c r="G567" s="6" t="s">
        <v>89</v>
      </c>
      <c r="H567" s="6" t="s">
        <v>53</v>
      </c>
      <c r="I567" s="8" t="s">
        <v>1223</v>
      </c>
      <c r="J567" s="9">
        <v>1</v>
      </c>
      <c r="K567" s="9">
        <v>601</v>
      </c>
      <c r="L567" s="9">
        <v>2019</v>
      </c>
      <c r="M567" s="8" t="s">
        <v>3719</v>
      </c>
      <c r="N567" s="8" t="s">
        <v>41</v>
      </c>
      <c r="O567" s="8" t="s">
        <v>1007</v>
      </c>
      <c r="P567" s="6" t="s">
        <v>167</v>
      </c>
      <c r="Q567" s="8" t="s">
        <v>44</v>
      </c>
      <c r="R567" s="10" t="s">
        <v>2461</v>
      </c>
      <c r="S567" s="11" t="s">
        <v>3720</v>
      </c>
      <c r="T567" s="6" t="s">
        <v>299</v>
      </c>
      <c r="U567" s="24" t="str">
        <f>HYPERLINK("https://media.infra-m.ru/1032/1032207/cover/1032207.jpg", "Обложка")</f>
        <v>Обложка</v>
      </c>
      <c r="V567" s="24" t="str">
        <f>HYPERLINK("https://znanium.ru/catalog/product/2200023", "Ознакомиться")</f>
        <v>Ознакомиться</v>
      </c>
      <c r="W567" s="8" t="s">
        <v>83</v>
      </c>
      <c r="X567" s="6"/>
      <c r="Y567" s="6"/>
      <c r="Z567" s="6"/>
      <c r="AA567" s="6" t="s">
        <v>326</v>
      </c>
      <c r="AB567" s="8"/>
    </row>
    <row r="568" spans="1:28" s="4" customFormat="1" ht="51.95" customHeight="1">
      <c r="A568" s="5">
        <v>0</v>
      </c>
      <c r="B568" s="6" t="s">
        <v>3721</v>
      </c>
      <c r="C568" s="13">
        <v>1250</v>
      </c>
      <c r="D568" s="8" t="s">
        <v>3722</v>
      </c>
      <c r="E568" s="8" t="s">
        <v>3711</v>
      </c>
      <c r="F568" s="8" t="s">
        <v>3723</v>
      </c>
      <c r="G568" s="6" t="s">
        <v>89</v>
      </c>
      <c r="H568" s="6" t="s">
        <v>53</v>
      </c>
      <c r="I568" s="8" t="s">
        <v>100</v>
      </c>
      <c r="J568" s="9">
        <v>1</v>
      </c>
      <c r="K568" s="9">
        <v>304</v>
      </c>
      <c r="L568" s="9">
        <v>2022</v>
      </c>
      <c r="M568" s="8" t="s">
        <v>3724</v>
      </c>
      <c r="N568" s="8" t="s">
        <v>41</v>
      </c>
      <c r="O568" s="8" t="s">
        <v>1007</v>
      </c>
      <c r="P568" s="6" t="s">
        <v>43</v>
      </c>
      <c r="Q568" s="8" t="s">
        <v>102</v>
      </c>
      <c r="R568" s="10" t="s">
        <v>3725</v>
      </c>
      <c r="S568" s="11" t="s">
        <v>3726</v>
      </c>
      <c r="T568" s="6"/>
      <c r="U568" s="24" t="str">
        <f>HYPERLINK("https://media.infra-m.ru/1843/1843263/cover/1843263.jpg", "Обложка")</f>
        <v>Обложка</v>
      </c>
      <c r="V568" s="24" t="str">
        <f>HYPERLINK("https://znanium.ru/catalog/product/2135816", "Ознакомиться")</f>
        <v>Ознакомиться</v>
      </c>
      <c r="W568" s="8" t="s">
        <v>3727</v>
      </c>
      <c r="X568" s="6"/>
      <c r="Y568" s="6"/>
      <c r="Z568" s="6"/>
      <c r="AA568" s="6" t="s">
        <v>867</v>
      </c>
      <c r="AB568" s="8"/>
    </row>
    <row r="569" spans="1:28" s="4" customFormat="1" ht="51.95" customHeight="1">
      <c r="A569" s="5">
        <v>0</v>
      </c>
      <c r="B569" s="6" t="s">
        <v>3728</v>
      </c>
      <c r="C569" s="13">
        <v>1144.9000000000001</v>
      </c>
      <c r="D569" s="8" t="s">
        <v>3729</v>
      </c>
      <c r="E569" s="8" t="s">
        <v>3694</v>
      </c>
      <c r="F569" s="8" t="s">
        <v>3723</v>
      </c>
      <c r="G569" s="6" t="s">
        <v>38</v>
      </c>
      <c r="H569" s="6" t="s">
        <v>39</v>
      </c>
      <c r="I569" s="8" t="s">
        <v>185</v>
      </c>
      <c r="J569" s="9">
        <v>1</v>
      </c>
      <c r="K569" s="9">
        <v>318</v>
      </c>
      <c r="L569" s="9">
        <v>2020</v>
      </c>
      <c r="M569" s="8" t="s">
        <v>3730</v>
      </c>
      <c r="N569" s="8" t="s">
        <v>41</v>
      </c>
      <c r="O569" s="8" t="s">
        <v>1007</v>
      </c>
      <c r="P569" s="6" t="s">
        <v>43</v>
      </c>
      <c r="Q569" s="8" t="s">
        <v>102</v>
      </c>
      <c r="R569" s="10" t="s">
        <v>3725</v>
      </c>
      <c r="S569" s="11" t="s">
        <v>3731</v>
      </c>
      <c r="T569" s="6"/>
      <c r="U569" s="24" t="str">
        <f>HYPERLINK("https://media.infra-m.ru/1141/1141787/cover/1141787.jpg", "Обложка")</f>
        <v>Обложка</v>
      </c>
      <c r="V569" s="24" t="str">
        <f>HYPERLINK("https://znanium.ru/catalog/product/2135816", "Ознакомиться")</f>
        <v>Ознакомиться</v>
      </c>
      <c r="W569" s="8" t="s">
        <v>3727</v>
      </c>
      <c r="X569" s="6"/>
      <c r="Y569" s="6"/>
      <c r="Z569" s="6"/>
      <c r="AA569" s="6" t="s">
        <v>644</v>
      </c>
      <c r="AB569" s="8"/>
    </row>
    <row r="570" spans="1:28" s="4" customFormat="1" ht="51.95" customHeight="1">
      <c r="A570" s="5">
        <v>0</v>
      </c>
      <c r="B570" s="6" t="s">
        <v>3732</v>
      </c>
      <c r="C570" s="13">
        <v>1540</v>
      </c>
      <c r="D570" s="8" t="s">
        <v>3733</v>
      </c>
      <c r="E570" s="8" t="s">
        <v>3734</v>
      </c>
      <c r="F570" s="8" t="s">
        <v>3723</v>
      </c>
      <c r="G570" s="6" t="s">
        <v>52</v>
      </c>
      <c r="H570" s="6" t="s">
        <v>53</v>
      </c>
      <c r="I570" s="8" t="s">
        <v>223</v>
      </c>
      <c r="J570" s="9">
        <v>1</v>
      </c>
      <c r="K570" s="9">
        <v>306</v>
      </c>
      <c r="L570" s="9">
        <v>2025</v>
      </c>
      <c r="M570" s="8" t="s">
        <v>3735</v>
      </c>
      <c r="N570" s="8" t="s">
        <v>41</v>
      </c>
      <c r="O570" s="8" t="s">
        <v>1007</v>
      </c>
      <c r="P570" s="6" t="s">
        <v>43</v>
      </c>
      <c r="Q570" s="8" t="s">
        <v>102</v>
      </c>
      <c r="R570" s="10" t="s">
        <v>3725</v>
      </c>
      <c r="S570" s="11"/>
      <c r="T570" s="6"/>
      <c r="U570" s="24" t="str">
        <f>HYPERLINK("https://media.infra-m.ru/2135/2135816/cover/2135816.jpg", "Обложка")</f>
        <v>Обложка</v>
      </c>
      <c r="V570" s="24" t="str">
        <f>HYPERLINK("https://znanium.ru/catalog/product/2135816", "Ознакомиться")</f>
        <v>Ознакомиться</v>
      </c>
      <c r="W570" s="8" t="s">
        <v>3727</v>
      </c>
      <c r="X570" s="6" t="s">
        <v>1049</v>
      </c>
      <c r="Y570" s="6"/>
      <c r="Z570" s="6"/>
      <c r="AA570" s="6" t="s">
        <v>3736</v>
      </c>
      <c r="AB570" s="8"/>
    </row>
    <row r="571" spans="1:28" s="4" customFormat="1" ht="51.95" customHeight="1">
      <c r="A571" s="5">
        <v>0</v>
      </c>
      <c r="B571" s="6" t="s">
        <v>3737</v>
      </c>
      <c r="C571" s="7">
        <v>994</v>
      </c>
      <c r="D571" s="8" t="s">
        <v>3738</v>
      </c>
      <c r="E571" s="8" t="s">
        <v>3739</v>
      </c>
      <c r="F571" s="8" t="s">
        <v>3740</v>
      </c>
      <c r="G571" s="6" t="s">
        <v>52</v>
      </c>
      <c r="H571" s="6" t="s">
        <v>53</v>
      </c>
      <c r="I571" s="8" t="s">
        <v>90</v>
      </c>
      <c r="J571" s="9">
        <v>1</v>
      </c>
      <c r="K571" s="9">
        <v>192</v>
      </c>
      <c r="L571" s="9">
        <v>2025</v>
      </c>
      <c r="M571" s="8" t="s">
        <v>3741</v>
      </c>
      <c r="N571" s="8" t="s">
        <v>41</v>
      </c>
      <c r="O571" s="8" t="s">
        <v>1007</v>
      </c>
      <c r="P571" s="6" t="s">
        <v>43</v>
      </c>
      <c r="Q571" s="8" t="s">
        <v>44</v>
      </c>
      <c r="R571" s="10" t="s">
        <v>2461</v>
      </c>
      <c r="S571" s="11" t="s">
        <v>3742</v>
      </c>
      <c r="T571" s="6" t="s">
        <v>299</v>
      </c>
      <c r="U571" s="24" t="str">
        <f>HYPERLINK("https://media.infra-m.ru/2196/2196901/cover/2196901.jpg", "Обложка")</f>
        <v>Обложка</v>
      </c>
      <c r="V571" s="24" t="str">
        <f>HYPERLINK("https://znanium.ru/catalog/product/937991", "Ознакомиться")</f>
        <v>Ознакомиться</v>
      </c>
      <c r="W571" s="8" t="s">
        <v>3494</v>
      </c>
      <c r="X571" s="6"/>
      <c r="Y571" s="6"/>
      <c r="Z571" s="6"/>
      <c r="AA571" s="6" t="s">
        <v>418</v>
      </c>
      <c r="AB571" s="8"/>
    </row>
    <row r="572" spans="1:28" s="4" customFormat="1" ht="42" customHeight="1">
      <c r="A572" s="5">
        <v>0</v>
      </c>
      <c r="B572" s="6" t="s">
        <v>3743</v>
      </c>
      <c r="C572" s="13">
        <v>1264.9000000000001</v>
      </c>
      <c r="D572" s="8" t="s">
        <v>3744</v>
      </c>
      <c r="E572" s="8" t="s">
        <v>3745</v>
      </c>
      <c r="F572" s="8" t="s">
        <v>3746</v>
      </c>
      <c r="G572" s="6" t="s">
        <v>52</v>
      </c>
      <c r="H572" s="6" t="s">
        <v>77</v>
      </c>
      <c r="I572" s="8" t="s">
        <v>2979</v>
      </c>
      <c r="J572" s="9">
        <v>1</v>
      </c>
      <c r="K572" s="9">
        <v>280</v>
      </c>
      <c r="L572" s="9">
        <v>2023</v>
      </c>
      <c r="M572" s="8" t="s">
        <v>3747</v>
      </c>
      <c r="N572" s="8" t="s">
        <v>41</v>
      </c>
      <c r="O572" s="8" t="s">
        <v>1007</v>
      </c>
      <c r="P572" s="6" t="s">
        <v>43</v>
      </c>
      <c r="Q572" s="8" t="s">
        <v>44</v>
      </c>
      <c r="R572" s="10" t="s">
        <v>1231</v>
      </c>
      <c r="S572" s="11"/>
      <c r="T572" s="6" t="s">
        <v>299</v>
      </c>
      <c r="U572" s="24" t="str">
        <f>HYPERLINK("https://media.infra-m.ru/1913/1913691/cover/1913691.jpg", "Обложка")</f>
        <v>Обложка</v>
      </c>
      <c r="V572" s="24" t="str">
        <f>HYPERLINK("https://znanium.ru/catalog/product/938047", "Ознакомиться")</f>
        <v>Ознакомиться</v>
      </c>
      <c r="W572" s="8" t="s">
        <v>83</v>
      </c>
      <c r="X572" s="6"/>
      <c r="Y572" s="6"/>
      <c r="Z572" s="6"/>
      <c r="AA572" s="6" t="s">
        <v>418</v>
      </c>
      <c r="AB572" s="8"/>
    </row>
    <row r="573" spans="1:28" s="4" customFormat="1" ht="51.95" customHeight="1">
      <c r="A573" s="5">
        <v>0</v>
      </c>
      <c r="B573" s="6" t="s">
        <v>3748</v>
      </c>
      <c r="C573" s="13">
        <v>2580</v>
      </c>
      <c r="D573" s="8" t="s">
        <v>3749</v>
      </c>
      <c r="E573" s="8" t="s">
        <v>3750</v>
      </c>
      <c r="F573" s="8" t="s">
        <v>3751</v>
      </c>
      <c r="G573" s="6" t="s">
        <v>52</v>
      </c>
      <c r="H573" s="6" t="s">
        <v>53</v>
      </c>
      <c r="I573" s="8" t="s">
        <v>90</v>
      </c>
      <c r="J573" s="9">
        <v>1</v>
      </c>
      <c r="K573" s="9">
        <v>561</v>
      </c>
      <c r="L573" s="9">
        <v>2024</v>
      </c>
      <c r="M573" s="8" t="s">
        <v>3752</v>
      </c>
      <c r="N573" s="8" t="s">
        <v>41</v>
      </c>
      <c r="O573" s="8" t="s">
        <v>1007</v>
      </c>
      <c r="P573" s="6" t="s">
        <v>43</v>
      </c>
      <c r="Q573" s="8" t="s">
        <v>44</v>
      </c>
      <c r="R573" s="10" t="s">
        <v>1231</v>
      </c>
      <c r="S573" s="11" t="s">
        <v>3753</v>
      </c>
      <c r="T573" s="6" t="s">
        <v>299</v>
      </c>
      <c r="U573" s="24" t="str">
        <f>HYPERLINK("https://media.infra-m.ru/2126/2126328/cover/2126328.jpg", "Обложка")</f>
        <v>Обложка</v>
      </c>
      <c r="V573" s="24" t="str">
        <f>HYPERLINK("https://znanium.ru/catalog/product/2126328", "Ознакомиться")</f>
        <v>Ознакомиться</v>
      </c>
      <c r="W573" s="8" t="s">
        <v>3434</v>
      </c>
      <c r="X573" s="6"/>
      <c r="Y573" s="6"/>
      <c r="Z573" s="6"/>
      <c r="AA573" s="6" t="s">
        <v>95</v>
      </c>
      <c r="AB573" s="8"/>
    </row>
    <row r="574" spans="1:28" s="4" customFormat="1" ht="51.95" customHeight="1">
      <c r="A574" s="5">
        <v>0</v>
      </c>
      <c r="B574" s="6" t="s">
        <v>3754</v>
      </c>
      <c r="C574" s="13">
        <v>2590</v>
      </c>
      <c r="D574" s="8" t="s">
        <v>3755</v>
      </c>
      <c r="E574" s="8" t="s">
        <v>3756</v>
      </c>
      <c r="F574" s="8" t="s">
        <v>3757</v>
      </c>
      <c r="G574" s="6" t="s">
        <v>52</v>
      </c>
      <c r="H574" s="6" t="s">
        <v>53</v>
      </c>
      <c r="I574" s="8" t="s">
        <v>116</v>
      </c>
      <c r="J574" s="9">
        <v>1</v>
      </c>
      <c r="K574" s="9">
        <v>550</v>
      </c>
      <c r="L574" s="9">
        <v>2024</v>
      </c>
      <c r="M574" s="8" t="s">
        <v>3758</v>
      </c>
      <c r="N574" s="8" t="s">
        <v>41</v>
      </c>
      <c r="O574" s="8" t="s">
        <v>1007</v>
      </c>
      <c r="P574" s="6" t="s">
        <v>167</v>
      </c>
      <c r="Q574" s="8" t="s">
        <v>44</v>
      </c>
      <c r="R574" s="10" t="s">
        <v>2461</v>
      </c>
      <c r="S574" s="11" t="s">
        <v>3759</v>
      </c>
      <c r="T574" s="6"/>
      <c r="U574" s="24" t="str">
        <f>HYPERLINK("https://media.infra-m.ru/1911/1911447/cover/1911447.jpg", "Обложка")</f>
        <v>Обложка</v>
      </c>
      <c r="V574" s="24" t="str">
        <f>HYPERLINK("https://znanium.ru/catalog/product/1911447", "Ознакомиться")</f>
        <v>Ознакомиться</v>
      </c>
      <c r="W574" s="8" t="s">
        <v>3760</v>
      </c>
      <c r="X574" s="6" t="s">
        <v>3761</v>
      </c>
      <c r="Y574" s="6"/>
      <c r="Z574" s="6"/>
      <c r="AA574" s="6" t="s">
        <v>133</v>
      </c>
      <c r="AB574" s="8"/>
    </row>
    <row r="575" spans="1:28" s="4" customFormat="1" ht="51.95" customHeight="1">
      <c r="A575" s="5">
        <v>0</v>
      </c>
      <c r="B575" s="6" t="s">
        <v>3762</v>
      </c>
      <c r="C575" s="13">
        <v>1444</v>
      </c>
      <c r="D575" s="8" t="s">
        <v>3763</v>
      </c>
      <c r="E575" s="8" t="s">
        <v>3750</v>
      </c>
      <c r="F575" s="8" t="s">
        <v>3764</v>
      </c>
      <c r="G575" s="6" t="s">
        <v>52</v>
      </c>
      <c r="H575" s="6" t="s">
        <v>77</v>
      </c>
      <c r="I575" s="8"/>
      <c r="J575" s="9">
        <v>1</v>
      </c>
      <c r="K575" s="9">
        <v>288</v>
      </c>
      <c r="L575" s="9">
        <v>2025</v>
      </c>
      <c r="M575" s="8" t="s">
        <v>3765</v>
      </c>
      <c r="N575" s="8" t="s">
        <v>41</v>
      </c>
      <c r="O575" s="8" t="s">
        <v>1007</v>
      </c>
      <c r="P575" s="6" t="s">
        <v>167</v>
      </c>
      <c r="Q575" s="8" t="s">
        <v>44</v>
      </c>
      <c r="R575" s="10" t="s">
        <v>157</v>
      </c>
      <c r="S575" s="11" t="s">
        <v>3766</v>
      </c>
      <c r="T575" s="6"/>
      <c r="U575" s="24" t="str">
        <f>HYPERLINK("https://media.infra-m.ru/2188/2188221/cover/2188221.jpg", "Обложка")</f>
        <v>Обложка</v>
      </c>
      <c r="V575" s="24" t="str">
        <f>HYPERLINK("https://znanium.ru/catalog/product/1836615", "Ознакомиться")</f>
        <v>Ознакомиться</v>
      </c>
      <c r="W575" s="8"/>
      <c r="X575" s="6"/>
      <c r="Y575" s="6"/>
      <c r="Z575" s="6"/>
      <c r="AA575" s="6" t="s">
        <v>494</v>
      </c>
      <c r="AB575" s="8"/>
    </row>
    <row r="576" spans="1:28" s="4" customFormat="1" ht="42" customHeight="1">
      <c r="A576" s="5">
        <v>0</v>
      </c>
      <c r="B576" s="6" t="s">
        <v>3767</v>
      </c>
      <c r="C576" s="13">
        <v>1194.9000000000001</v>
      </c>
      <c r="D576" s="8" t="s">
        <v>3768</v>
      </c>
      <c r="E576" s="8" t="s">
        <v>3756</v>
      </c>
      <c r="F576" s="8" t="s">
        <v>3769</v>
      </c>
      <c r="G576" s="6" t="s">
        <v>52</v>
      </c>
      <c r="H576" s="6" t="s">
        <v>39</v>
      </c>
      <c r="I576" s="8" t="s">
        <v>276</v>
      </c>
      <c r="J576" s="9">
        <v>1</v>
      </c>
      <c r="K576" s="9">
        <v>768</v>
      </c>
      <c r="L576" s="9">
        <v>2018</v>
      </c>
      <c r="M576" s="8" t="s">
        <v>3770</v>
      </c>
      <c r="N576" s="8" t="s">
        <v>41</v>
      </c>
      <c r="O576" s="8" t="s">
        <v>1007</v>
      </c>
      <c r="P576" s="6" t="s">
        <v>43</v>
      </c>
      <c r="Q576" s="8" t="s">
        <v>44</v>
      </c>
      <c r="R576" s="10" t="s">
        <v>1231</v>
      </c>
      <c r="S576" s="11"/>
      <c r="T576" s="6"/>
      <c r="U576" s="24" t="str">
        <f>HYPERLINK("https://media.infra-m.ru/0945/0945561/cover/945561.jpg", "Обложка")</f>
        <v>Обложка</v>
      </c>
      <c r="V576" s="24" t="str">
        <f>HYPERLINK("https://znanium.ru/catalog/product/2126328", "Ознакомиться")</f>
        <v>Ознакомиться</v>
      </c>
      <c r="W576" s="8" t="s">
        <v>3434</v>
      </c>
      <c r="X576" s="6"/>
      <c r="Y576" s="6"/>
      <c r="Z576" s="6"/>
      <c r="AA576" s="6" t="s">
        <v>122</v>
      </c>
      <c r="AB576" s="8"/>
    </row>
    <row r="577" spans="1:28" s="4" customFormat="1" ht="51.95" customHeight="1">
      <c r="A577" s="5">
        <v>0</v>
      </c>
      <c r="B577" s="6" t="s">
        <v>3771</v>
      </c>
      <c r="C577" s="13">
        <v>2700</v>
      </c>
      <c r="D577" s="8" t="s">
        <v>3772</v>
      </c>
      <c r="E577" s="8" t="s">
        <v>3773</v>
      </c>
      <c r="F577" s="8" t="s">
        <v>2418</v>
      </c>
      <c r="G577" s="6" t="s">
        <v>52</v>
      </c>
      <c r="H577" s="6" t="s">
        <v>53</v>
      </c>
      <c r="I577" s="8" t="s">
        <v>116</v>
      </c>
      <c r="J577" s="9">
        <v>1</v>
      </c>
      <c r="K577" s="9">
        <v>587</v>
      </c>
      <c r="L577" s="9">
        <v>2024</v>
      </c>
      <c r="M577" s="8" t="s">
        <v>3774</v>
      </c>
      <c r="N577" s="8" t="s">
        <v>41</v>
      </c>
      <c r="O577" s="8" t="s">
        <v>1007</v>
      </c>
      <c r="P577" s="6" t="s">
        <v>167</v>
      </c>
      <c r="Q577" s="8" t="s">
        <v>44</v>
      </c>
      <c r="R577" s="10" t="s">
        <v>2684</v>
      </c>
      <c r="S577" s="11" t="s">
        <v>3775</v>
      </c>
      <c r="T577" s="6"/>
      <c r="U577" s="24" t="str">
        <f>HYPERLINK("https://media.infra-m.ru/2110/2110942/cover/2110942.jpg", "Обложка")</f>
        <v>Обложка</v>
      </c>
      <c r="V577" s="24" t="str">
        <f>HYPERLINK("https://znanium.ru/catalog/product/2110942", "Ознакомиться")</f>
        <v>Ознакомиться</v>
      </c>
      <c r="W577" s="8" t="s">
        <v>2422</v>
      </c>
      <c r="X577" s="6"/>
      <c r="Y577" s="6"/>
      <c r="Z577" s="6"/>
      <c r="AA577" s="6" t="s">
        <v>219</v>
      </c>
      <c r="AB577" s="8" t="s">
        <v>1383</v>
      </c>
    </row>
    <row r="578" spans="1:28" s="4" customFormat="1" ht="51.95" customHeight="1">
      <c r="A578" s="5">
        <v>0</v>
      </c>
      <c r="B578" s="6" t="s">
        <v>3776</v>
      </c>
      <c r="C578" s="13">
        <v>2200</v>
      </c>
      <c r="D578" s="8" t="s">
        <v>3777</v>
      </c>
      <c r="E578" s="8" t="s">
        <v>3778</v>
      </c>
      <c r="F578" s="8" t="s">
        <v>3779</v>
      </c>
      <c r="G578" s="6" t="s">
        <v>52</v>
      </c>
      <c r="H578" s="6" t="s">
        <v>952</v>
      </c>
      <c r="I578" s="8" t="s">
        <v>2699</v>
      </c>
      <c r="J578" s="9">
        <v>1</v>
      </c>
      <c r="K578" s="9">
        <v>624</v>
      </c>
      <c r="L578" s="9">
        <v>2022</v>
      </c>
      <c r="M578" s="8" t="s">
        <v>3780</v>
      </c>
      <c r="N578" s="8" t="s">
        <v>41</v>
      </c>
      <c r="O578" s="8" t="s">
        <v>1007</v>
      </c>
      <c r="P578" s="6" t="s">
        <v>167</v>
      </c>
      <c r="Q578" s="8" t="s">
        <v>279</v>
      </c>
      <c r="R578" s="10" t="s">
        <v>3781</v>
      </c>
      <c r="S578" s="11" t="s">
        <v>3782</v>
      </c>
      <c r="T578" s="6"/>
      <c r="U578" s="24" t="str">
        <f>HYPERLINK("https://media.infra-m.ru/1876/1876145/cover/1876145.jpg", "Обложка")</f>
        <v>Обложка</v>
      </c>
      <c r="V578" s="24" t="str">
        <f>HYPERLINK("https://znanium.ru/catalog/product/2112453", "Ознакомиться")</f>
        <v>Ознакомиться</v>
      </c>
      <c r="W578" s="8" t="s">
        <v>3426</v>
      </c>
      <c r="X578" s="6"/>
      <c r="Y578" s="6"/>
      <c r="Z578" s="6"/>
      <c r="AA578" s="6" t="s">
        <v>513</v>
      </c>
      <c r="AB578" s="8"/>
    </row>
    <row r="579" spans="1:28" s="4" customFormat="1" ht="51.95" customHeight="1">
      <c r="A579" s="5">
        <v>0</v>
      </c>
      <c r="B579" s="6" t="s">
        <v>3783</v>
      </c>
      <c r="C579" s="13">
        <v>2440</v>
      </c>
      <c r="D579" s="8" t="s">
        <v>3784</v>
      </c>
      <c r="E579" s="8" t="s">
        <v>3785</v>
      </c>
      <c r="F579" s="8" t="s">
        <v>3779</v>
      </c>
      <c r="G579" s="6" t="s">
        <v>52</v>
      </c>
      <c r="H579" s="6" t="s">
        <v>952</v>
      </c>
      <c r="I579" s="8"/>
      <c r="J579" s="9">
        <v>1</v>
      </c>
      <c r="K579" s="9">
        <v>656</v>
      </c>
      <c r="L579" s="9">
        <v>2024</v>
      </c>
      <c r="M579" s="8" t="s">
        <v>3786</v>
      </c>
      <c r="N579" s="8" t="s">
        <v>41</v>
      </c>
      <c r="O579" s="8" t="s">
        <v>1007</v>
      </c>
      <c r="P579" s="6" t="s">
        <v>167</v>
      </c>
      <c r="Q579" s="8" t="s">
        <v>279</v>
      </c>
      <c r="R579" s="10" t="s">
        <v>3781</v>
      </c>
      <c r="S579" s="11"/>
      <c r="T579" s="6"/>
      <c r="U579" s="24" t="str">
        <f>HYPERLINK("https://media.infra-m.ru/2112/2112453/cover/2112453.jpg", "Обложка")</f>
        <v>Обложка</v>
      </c>
      <c r="V579" s="24" t="str">
        <f>HYPERLINK("https://znanium.ru/catalog/product/2112453", "Ознакомиться")</f>
        <v>Ознакомиться</v>
      </c>
      <c r="W579" s="8" t="s">
        <v>3426</v>
      </c>
      <c r="X579" s="6"/>
      <c r="Y579" s="6"/>
      <c r="Z579" s="6"/>
      <c r="AA579" s="6" t="s">
        <v>3787</v>
      </c>
      <c r="AB579" s="8"/>
    </row>
    <row r="580" spans="1:28" s="4" customFormat="1" ht="44.1" customHeight="1">
      <c r="A580" s="5">
        <v>0</v>
      </c>
      <c r="B580" s="6" t="s">
        <v>3788</v>
      </c>
      <c r="C580" s="13">
        <v>2094</v>
      </c>
      <c r="D580" s="8" t="s">
        <v>3789</v>
      </c>
      <c r="E580" s="8" t="s">
        <v>3790</v>
      </c>
      <c r="F580" s="8" t="s">
        <v>3791</v>
      </c>
      <c r="G580" s="6" t="s">
        <v>52</v>
      </c>
      <c r="H580" s="6" t="s">
        <v>77</v>
      </c>
      <c r="I580" s="8"/>
      <c r="J580" s="9">
        <v>1</v>
      </c>
      <c r="K580" s="9">
        <v>463</v>
      </c>
      <c r="L580" s="9">
        <v>2024</v>
      </c>
      <c r="M580" s="8" t="s">
        <v>3792</v>
      </c>
      <c r="N580" s="8" t="s">
        <v>41</v>
      </c>
      <c r="O580" s="8" t="s">
        <v>1007</v>
      </c>
      <c r="P580" s="6" t="s">
        <v>167</v>
      </c>
      <c r="Q580" s="8" t="s">
        <v>44</v>
      </c>
      <c r="R580" s="10" t="s">
        <v>1251</v>
      </c>
      <c r="S580" s="11"/>
      <c r="T580" s="6" t="s">
        <v>299</v>
      </c>
      <c r="U580" s="24" t="str">
        <f>HYPERLINK("https://media.infra-m.ru/1912/1912980/cover/1912980.jpg", "Обложка")</f>
        <v>Обложка</v>
      </c>
      <c r="V580" s="24" t="str">
        <f>HYPERLINK("https://znanium.ru/catalog/product/1228819", "Ознакомиться")</f>
        <v>Ознакомиться</v>
      </c>
      <c r="W580" s="8" t="s">
        <v>83</v>
      </c>
      <c r="X580" s="6"/>
      <c r="Y580" s="6"/>
      <c r="Z580" s="6"/>
      <c r="AA580" s="6" t="s">
        <v>887</v>
      </c>
      <c r="AB580" s="8"/>
    </row>
    <row r="581" spans="1:28" s="4" customFormat="1" ht="51.95" customHeight="1">
      <c r="A581" s="5">
        <v>0</v>
      </c>
      <c r="B581" s="6" t="s">
        <v>3793</v>
      </c>
      <c r="C581" s="13">
        <v>2400</v>
      </c>
      <c r="D581" s="8" t="s">
        <v>3794</v>
      </c>
      <c r="E581" s="8" t="s">
        <v>3778</v>
      </c>
      <c r="F581" s="8" t="s">
        <v>3795</v>
      </c>
      <c r="G581" s="6" t="s">
        <v>52</v>
      </c>
      <c r="H581" s="6" t="s">
        <v>53</v>
      </c>
      <c r="I581" s="8" t="s">
        <v>116</v>
      </c>
      <c r="J581" s="9">
        <v>1</v>
      </c>
      <c r="K581" s="9">
        <v>480</v>
      </c>
      <c r="L581" s="9">
        <v>2025</v>
      </c>
      <c r="M581" s="8" t="s">
        <v>3796</v>
      </c>
      <c r="N581" s="8" t="s">
        <v>41</v>
      </c>
      <c r="O581" s="8" t="s">
        <v>1007</v>
      </c>
      <c r="P581" s="6" t="s">
        <v>167</v>
      </c>
      <c r="Q581" s="8" t="s">
        <v>44</v>
      </c>
      <c r="R581" s="10" t="s">
        <v>3797</v>
      </c>
      <c r="S581" s="11"/>
      <c r="T581" s="6" t="s">
        <v>299</v>
      </c>
      <c r="U581" s="24" t="str">
        <f>HYPERLINK("https://media.infra-m.ru/1937/1937130/cover/1937130.jpg", "Обложка")</f>
        <v>Обложка</v>
      </c>
      <c r="V581" s="24" t="str">
        <f>HYPERLINK("https://znanium.ru/catalog/product/1937130", "Ознакомиться")</f>
        <v>Ознакомиться</v>
      </c>
      <c r="W581" s="8" t="s">
        <v>1313</v>
      </c>
      <c r="X581" s="6" t="s">
        <v>785</v>
      </c>
      <c r="Y581" s="6"/>
      <c r="Z581" s="6"/>
      <c r="AA581" s="6" t="s">
        <v>549</v>
      </c>
      <c r="AB581" s="8"/>
    </row>
    <row r="582" spans="1:28" s="4" customFormat="1" ht="51.95" customHeight="1">
      <c r="A582" s="5">
        <v>0</v>
      </c>
      <c r="B582" s="6" t="s">
        <v>3798</v>
      </c>
      <c r="C582" s="13">
        <v>2144.9</v>
      </c>
      <c r="D582" s="8" t="s">
        <v>3799</v>
      </c>
      <c r="E582" s="8" t="s">
        <v>3800</v>
      </c>
      <c r="F582" s="8" t="s">
        <v>3779</v>
      </c>
      <c r="G582" s="6" t="s">
        <v>52</v>
      </c>
      <c r="H582" s="6" t="s">
        <v>952</v>
      </c>
      <c r="I582" s="8" t="s">
        <v>1171</v>
      </c>
      <c r="J582" s="9">
        <v>1</v>
      </c>
      <c r="K582" s="9">
        <v>624</v>
      </c>
      <c r="L582" s="9">
        <v>2022</v>
      </c>
      <c r="M582" s="8" t="s">
        <v>3801</v>
      </c>
      <c r="N582" s="8" t="s">
        <v>41</v>
      </c>
      <c r="O582" s="8" t="s">
        <v>1007</v>
      </c>
      <c r="P582" s="6" t="s">
        <v>43</v>
      </c>
      <c r="Q582" s="8" t="s">
        <v>44</v>
      </c>
      <c r="R582" s="10" t="s">
        <v>3781</v>
      </c>
      <c r="S582" s="11" t="s">
        <v>3782</v>
      </c>
      <c r="T582" s="6"/>
      <c r="U582" s="24" t="str">
        <f>HYPERLINK("https://media.infra-m.ru/1852/1852231/cover/1852231.jpg", "Обложка")</f>
        <v>Обложка</v>
      </c>
      <c r="V582" s="24" t="str">
        <f>HYPERLINK("https://znanium.ru/catalog/product/2112453", "Ознакомиться")</f>
        <v>Ознакомиться</v>
      </c>
      <c r="W582" s="8" t="s">
        <v>3426</v>
      </c>
      <c r="X582" s="6"/>
      <c r="Y582" s="6"/>
      <c r="Z582" s="6"/>
      <c r="AA582" s="6" t="s">
        <v>84</v>
      </c>
      <c r="AB582" s="8"/>
    </row>
    <row r="583" spans="1:28" s="4" customFormat="1" ht="51.95" customHeight="1">
      <c r="A583" s="5">
        <v>0</v>
      </c>
      <c r="B583" s="6" t="s">
        <v>3802</v>
      </c>
      <c r="C583" s="13">
        <v>1384</v>
      </c>
      <c r="D583" s="8" t="s">
        <v>3803</v>
      </c>
      <c r="E583" s="8" t="s">
        <v>3778</v>
      </c>
      <c r="F583" s="8" t="s">
        <v>3804</v>
      </c>
      <c r="G583" s="6" t="s">
        <v>89</v>
      </c>
      <c r="H583" s="6" t="s">
        <v>53</v>
      </c>
      <c r="I583" s="8" t="s">
        <v>90</v>
      </c>
      <c r="J583" s="9">
        <v>1</v>
      </c>
      <c r="K583" s="9">
        <v>277</v>
      </c>
      <c r="L583" s="9">
        <v>2025</v>
      </c>
      <c r="M583" s="8" t="s">
        <v>3805</v>
      </c>
      <c r="N583" s="8" t="s">
        <v>41</v>
      </c>
      <c r="O583" s="8" t="s">
        <v>1007</v>
      </c>
      <c r="P583" s="6" t="s">
        <v>43</v>
      </c>
      <c r="Q583" s="8" t="s">
        <v>44</v>
      </c>
      <c r="R583" s="10" t="s">
        <v>3481</v>
      </c>
      <c r="S583" s="11" t="s">
        <v>3806</v>
      </c>
      <c r="T583" s="6"/>
      <c r="U583" s="24" t="str">
        <f>HYPERLINK("https://media.infra-m.ru/2173/2173339/cover/2173339.jpg", "Обложка")</f>
        <v>Обложка</v>
      </c>
      <c r="V583" s="24" t="str">
        <f>HYPERLINK("https://znanium.ru/catalog/product/2102712", "Ознакомиться")</f>
        <v>Ознакомиться</v>
      </c>
      <c r="W583" s="8" t="s">
        <v>83</v>
      </c>
      <c r="X583" s="6"/>
      <c r="Y583" s="6"/>
      <c r="Z583" s="6"/>
      <c r="AA583" s="6" t="s">
        <v>513</v>
      </c>
      <c r="AB583" s="8"/>
    </row>
    <row r="584" spans="1:28" s="4" customFormat="1" ht="51.95" customHeight="1">
      <c r="A584" s="5">
        <v>0</v>
      </c>
      <c r="B584" s="6" t="s">
        <v>3807</v>
      </c>
      <c r="C584" s="7">
        <v>864.9</v>
      </c>
      <c r="D584" s="8" t="s">
        <v>3808</v>
      </c>
      <c r="E584" s="8" t="s">
        <v>3800</v>
      </c>
      <c r="F584" s="8" t="s">
        <v>3809</v>
      </c>
      <c r="G584" s="6" t="s">
        <v>38</v>
      </c>
      <c r="H584" s="6" t="s">
        <v>39</v>
      </c>
      <c r="I584" s="8" t="s">
        <v>90</v>
      </c>
      <c r="J584" s="9">
        <v>1</v>
      </c>
      <c r="K584" s="9">
        <v>320</v>
      </c>
      <c r="L584" s="9">
        <v>2018</v>
      </c>
      <c r="M584" s="8" t="s">
        <v>3810</v>
      </c>
      <c r="N584" s="8" t="s">
        <v>41</v>
      </c>
      <c r="O584" s="8" t="s">
        <v>1007</v>
      </c>
      <c r="P584" s="6" t="s">
        <v>43</v>
      </c>
      <c r="Q584" s="8" t="s">
        <v>44</v>
      </c>
      <c r="R584" s="10" t="s">
        <v>3481</v>
      </c>
      <c r="S584" s="11" t="s">
        <v>3811</v>
      </c>
      <c r="T584" s="6"/>
      <c r="U584" s="24" t="str">
        <f>HYPERLINK("https://media.infra-m.ru/0926/0926505/cover/926505.jpg", "Обложка")</f>
        <v>Обложка</v>
      </c>
      <c r="V584" s="24" t="str">
        <f>HYPERLINK("https://znanium.ru/catalog/product/2102712", "Ознакомиться")</f>
        <v>Ознакомиться</v>
      </c>
      <c r="W584" s="8" t="s">
        <v>83</v>
      </c>
      <c r="X584" s="6"/>
      <c r="Y584" s="6"/>
      <c r="Z584" s="6"/>
      <c r="AA584" s="6" t="s">
        <v>47</v>
      </c>
      <c r="AB584" s="8"/>
    </row>
    <row r="585" spans="1:28" s="4" customFormat="1" ht="51.95" customHeight="1">
      <c r="A585" s="5">
        <v>0</v>
      </c>
      <c r="B585" s="6" t="s">
        <v>3812</v>
      </c>
      <c r="C585" s="13">
        <v>1654.9</v>
      </c>
      <c r="D585" s="8" t="s">
        <v>3813</v>
      </c>
      <c r="E585" s="8" t="s">
        <v>3800</v>
      </c>
      <c r="F585" s="8" t="s">
        <v>3814</v>
      </c>
      <c r="G585" s="6" t="s">
        <v>52</v>
      </c>
      <c r="H585" s="6" t="s">
        <v>53</v>
      </c>
      <c r="I585" s="8" t="s">
        <v>90</v>
      </c>
      <c r="J585" s="9">
        <v>1</v>
      </c>
      <c r="K585" s="9">
        <v>367</v>
      </c>
      <c r="L585" s="9">
        <v>2019</v>
      </c>
      <c r="M585" s="8" t="s">
        <v>3815</v>
      </c>
      <c r="N585" s="8" t="s">
        <v>41</v>
      </c>
      <c r="O585" s="8" t="s">
        <v>1007</v>
      </c>
      <c r="P585" s="6" t="s">
        <v>43</v>
      </c>
      <c r="Q585" s="8" t="s">
        <v>44</v>
      </c>
      <c r="R585" s="10" t="s">
        <v>3797</v>
      </c>
      <c r="S585" s="11"/>
      <c r="T585" s="6" t="s">
        <v>299</v>
      </c>
      <c r="U585" s="24" t="str">
        <f>HYPERLINK("https://media.infra-m.ru/1015/1015157/cover/1015157.jpg", "Обложка")</f>
        <v>Обложка</v>
      </c>
      <c r="V585" s="24" t="str">
        <f>HYPERLINK("https://znanium.ru/catalog/product/1937130", "Ознакомиться")</f>
        <v>Ознакомиться</v>
      </c>
      <c r="W585" s="8" t="s">
        <v>1313</v>
      </c>
      <c r="X585" s="6"/>
      <c r="Y585" s="6"/>
      <c r="Z585" s="6"/>
      <c r="AA585" s="6" t="s">
        <v>111</v>
      </c>
      <c r="AB585" s="8"/>
    </row>
    <row r="586" spans="1:28" s="4" customFormat="1" ht="42" customHeight="1">
      <c r="A586" s="5">
        <v>0</v>
      </c>
      <c r="B586" s="6" t="s">
        <v>3816</v>
      </c>
      <c r="C586" s="13">
        <v>1074</v>
      </c>
      <c r="D586" s="8" t="s">
        <v>3817</v>
      </c>
      <c r="E586" s="8" t="s">
        <v>3818</v>
      </c>
      <c r="F586" s="8" t="s">
        <v>3819</v>
      </c>
      <c r="G586" s="6" t="s">
        <v>52</v>
      </c>
      <c r="H586" s="6" t="s">
        <v>39</v>
      </c>
      <c r="I586" s="8" t="s">
        <v>116</v>
      </c>
      <c r="J586" s="9">
        <v>1</v>
      </c>
      <c r="K586" s="9">
        <v>206</v>
      </c>
      <c r="L586" s="9">
        <v>2025</v>
      </c>
      <c r="M586" s="8" t="s">
        <v>3820</v>
      </c>
      <c r="N586" s="8" t="s">
        <v>41</v>
      </c>
      <c r="O586" s="8" t="s">
        <v>1007</v>
      </c>
      <c r="P586" s="6" t="s">
        <v>43</v>
      </c>
      <c r="Q586" s="8" t="s">
        <v>58</v>
      </c>
      <c r="R586" s="10" t="s">
        <v>2461</v>
      </c>
      <c r="S586" s="11"/>
      <c r="T586" s="6"/>
      <c r="U586" s="24" t="str">
        <f>HYPERLINK("https://media.infra-m.ru/2194/2194385/cover/2194385.jpg", "Обложка")</f>
        <v>Обложка</v>
      </c>
      <c r="V586" s="24" t="str">
        <f>HYPERLINK("https://znanium.ru/catalog/product/1019902", "Ознакомиться")</f>
        <v>Ознакомиться</v>
      </c>
      <c r="W586" s="8" t="s">
        <v>1293</v>
      </c>
      <c r="X586" s="6"/>
      <c r="Y586" s="6"/>
      <c r="Z586" s="6"/>
      <c r="AA586" s="6" t="s">
        <v>813</v>
      </c>
      <c r="AB586" s="8"/>
    </row>
    <row r="587" spans="1:28" s="4" customFormat="1" ht="51.95" customHeight="1">
      <c r="A587" s="5">
        <v>0</v>
      </c>
      <c r="B587" s="6" t="s">
        <v>3821</v>
      </c>
      <c r="C587" s="7">
        <v>604.9</v>
      </c>
      <c r="D587" s="8" t="s">
        <v>3822</v>
      </c>
      <c r="E587" s="8" t="s">
        <v>3823</v>
      </c>
      <c r="F587" s="8" t="s">
        <v>3824</v>
      </c>
      <c r="G587" s="6" t="s">
        <v>38</v>
      </c>
      <c r="H587" s="6" t="s">
        <v>39</v>
      </c>
      <c r="I587" s="8" t="s">
        <v>90</v>
      </c>
      <c r="J587" s="9">
        <v>1</v>
      </c>
      <c r="K587" s="9">
        <v>224</v>
      </c>
      <c r="L587" s="9">
        <v>2017</v>
      </c>
      <c r="M587" s="8" t="s">
        <v>3825</v>
      </c>
      <c r="N587" s="8" t="s">
        <v>41</v>
      </c>
      <c r="O587" s="8" t="s">
        <v>1007</v>
      </c>
      <c r="P587" s="6" t="s">
        <v>43</v>
      </c>
      <c r="Q587" s="8" t="s">
        <v>44</v>
      </c>
      <c r="R587" s="10" t="s">
        <v>2461</v>
      </c>
      <c r="S587" s="11" t="s">
        <v>3826</v>
      </c>
      <c r="T587" s="6"/>
      <c r="U587" s="12"/>
      <c r="V587" s="24" t="str">
        <f>HYPERLINK("https://znanium.ru/catalog/product/1019902", "Ознакомиться")</f>
        <v>Ознакомиться</v>
      </c>
      <c r="W587" s="8" t="s">
        <v>1293</v>
      </c>
      <c r="X587" s="6"/>
      <c r="Y587" s="6"/>
      <c r="Z587" s="6"/>
      <c r="AA587" s="6" t="s">
        <v>84</v>
      </c>
      <c r="AB587" s="8"/>
    </row>
    <row r="588" spans="1:28" s="4" customFormat="1" ht="42" customHeight="1">
      <c r="A588" s="5">
        <v>0</v>
      </c>
      <c r="B588" s="6" t="s">
        <v>3827</v>
      </c>
      <c r="C588" s="13">
        <v>1424.9</v>
      </c>
      <c r="D588" s="8" t="s">
        <v>3828</v>
      </c>
      <c r="E588" s="8" t="s">
        <v>3829</v>
      </c>
      <c r="F588" s="8" t="s">
        <v>3830</v>
      </c>
      <c r="G588" s="6" t="s">
        <v>52</v>
      </c>
      <c r="H588" s="6" t="s">
        <v>77</v>
      </c>
      <c r="I588" s="8"/>
      <c r="J588" s="9">
        <v>1</v>
      </c>
      <c r="K588" s="9">
        <v>376</v>
      </c>
      <c r="L588" s="9">
        <v>2022</v>
      </c>
      <c r="M588" s="8" t="s">
        <v>3831</v>
      </c>
      <c r="N588" s="8" t="s">
        <v>41</v>
      </c>
      <c r="O588" s="8" t="s">
        <v>1007</v>
      </c>
      <c r="P588" s="6" t="s">
        <v>167</v>
      </c>
      <c r="Q588" s="8" t="s">
        <v>44</v>
      </c>
      <c r="R588" s="10" t="s">
        <v>2684</v>
      </c>
      <c r="S588" s="11"/>
      <c r="T588" s="6"/>
      <c r="U588" s="24" t="str">
        <f>HYPERLINK("https://media.infra-m.ru/1852/1852252/cover/1852252.jpg", "Обложка")</f>
        <v>Обложка</v>
      </c>
      <c r="V588" s="24" t="str">
        <f>HYPERLINK("https://znanium.ru/catalog/product/1852252", "Ознакомиться")</f>
        <v>Ознакомиться</v>
      </c>
      <c r="W588" s="8" t="s">
        <v>83</v>
      </c>
      <c r="X588" s="6"/>
      <c r="Y588" s="6"/>
      <c r="Z588" s="6"/>
      <c r="AA588" s="6" t="s">
        <v>494</v>
      </c>
      <c r="AB588" s="8"/>
    </row>
    <row r="589" spans="1:28" s="4" customFormat="1" ht="51.95" customHeight="1">
      <c r="A589" s="5">
        <v>0</v>
      </c>
      <c r="B589" s="6" t="s">
        <v>3832</v>
      </c>
      <c r="C589" s="13">
        <v>2700</v>
      </c>
      <c r="D589" s="8" t="s">
        <v>3833</v>
      </c>
      <c r="E589" s="8" t="s">
        <v>3834</v>
      </c>
      <c r="F589" s="8" t="s">
        <v>3835</v>
      </c>
      <c r="G589" s="6" t="s">
        <v>52</v>
      </c>
      <c r="H589" s="6" t="s">
        <v>952</v>
      </c>
      <c r="I589" s="8"/>
      <c r="J589" s="9">
        <v>1</v>
      </c>
      <c r="K589" s="9">
        <v>592</v>
      </c>
      <c r="L589" s="9">
        <v>2024</v>
      </c>
      <c r="M589" s="8" t="s">
        <v>3836</v>
      </c>
      <c r="N589" s="8" t="s">
        <v>41</v>
      </c>
      <c r="O589" s="8" t="s">
        <v>1007</v>
      </c>
      <c r="P589" s="6" t="s">
        <v>43</v>
      </c>
      <c r="Q589" s="8" t="s">
        <v>44</v>
      </c>
      <c r="R589" s="10" t="s">
        <v>3837</v>
      </c>
      <c r="S589" s="11" t="s">
        <v>3838</v>
      </c>
      <c r="T589" s="6"/>
      <c r="U589" s="24" t="str">
        <f>HYPERLINK("https://media.infra-m.ru/2061/2061197/cover/2061197.jpg", "Обложка")</f>
        <v>Обложка</v>
      </c>
      <c r="V589" s="24" t="str">
        <f>HYPERLINK("https://znanium.ru/catalog/product/984026", "Ознакомиться")</f>
        <v>Ознакомиться</v>
      </c>
      <c r="W589" s="8" t="s">
        <v>3629</v>
      </c>
      <c r="X589" s="6"/>
      <c r="Y589" s="6"/>
      <c r="Z589" s="6"/>
      <c r="AA589" s="6" t="s">
        <v>638</v>
      </c>
      <c r="AB589" s="8"/>
    </row>
    <row r="590" spans="1:28" s="4" customFormat="1" ht="51.95" customHeight="1">
      <c r="A590" s="5">
        <v>0</v>
      </c>
      <c r="B590" s="6" t="s">
        <v>3839</v>
      </c>
      <c r="C590" s="7">
        <v>994.9</v>
      </c>
      <c r="D590" s="8" t="s">
        <v>3840</v>
      </c>
      <c r="E590" s="8" t="s">
        <v>3841</v>
      </c>
      <c r="F590" s="8" t="s">
        <v>3842</v>
      </c>
      <c r="G590" s="6" t="s">
        <v>52</v>
      </c>
      <c r="H590" s="6" t="s">
        <v>952</v>
      </c>
      <c r="I590" s="8"/>
      <c r="J590" s="9">
        <v>1</v>
      </c>
      <c r="K590" s="9">
        <v>384</v>
      </c>
      <c r="L590" s="9">
        <v>2017</v>
      </c>
      <c r="M590" s="8" t="s">
        <v>3843</v>
      </c>
      <c r="N590" s="8" t="s">
        <v>41</v>
      </c>
      <c r="O590" s="8" t="s">
        <v>1007</v>
      </c>
      <c r="P590" s="6" t="s">
        <v>43</v>
      </c>
      <c r="Q590" s="8" t="s">
        <v>44</v>
      </c>
      <c r="R590" s="10" t="s">
        <v>3837</v>
      </c>
      <c r="S590" s="11" t="s">
        <v>1408</v>
      </c>
      <c r="T590" s="6"/>
      <c r="U590" s="24" t="str">
        <f>HYPERLINK("https://media.infra-m.ru/0761/0761706/cover/761706.jpg", "Обложка")</f>
        <v>Обложка</v>
      </c>
      <c r="V590" s="24" t="str">
        <f>HYPERLINK("https://znanium.ru/catalog/product/984026", "Ознакомиться")</f>
        <v>Ознакомиться</v>
      </c>
      <c r="W590" s="8" t="s">
        <v>3629</v>
      </c>
      <c r="X590" s="6"/>
      <c r="Y590" s="6"/>
      <c r="Z590" s="6"/>
      <c r="AA590" s="6" t="s">
        <v>622</v>
      </c>
      <c r="AB590" s="8"/>
    </row>
    <row r="591" spans="1:28" s="4" customFormat="1" ht="51.95" customHeight="1">
      <c r="A591" s="5">
        <v>0</v>
      </c>
      <c r="B591" s="6" t="s">
        <v>3844</v>
      </c>
      <c r="C591" s="13">
        <v>1790</v>
      </c>
      <c r="D591" s="8" t="s">
        <v>3845</v>
      </c>
      <c r="E591" s="8" t="s">
        <v>3841</v>
      </c>
      <c r="F591" s="8" t="s">
        <v>3846</v>
      </c>
      <c r="G591" s="6" t="s">
        <v>52</v>
      </c>
      <c r="H591" s="6" t="s">
        <v>53</v>
      </c>
      <c r="I591" s="8" t="s">
        <v>116</v>
      </c>
      <c r="J591" s="9">
        <v>1</v>
      </c>
      <c r="K591" s="9">
        <v>347</v>
      </c>
      <c r="L591" s="9">
        <v>2024</v>
      </c>
      <c r="M591" s="8" t="s">
        <v>3847</v>
      </c>
      <c r="N591" s="8" t="s">
        <v>41</v>
      </c>
      <c r="O591" s="8" t="s">
        <v>1007</v>
      </c>
      <c r="P591" s="6" t="s">
        <v>43</v>
      </c>
      <c r="Q591" s="8" t="s">
        <v>58</v>
      </c>
      <c r="R591" s="10" t="s">
        <v>2461</v>
      </c>
      <c r="S591" s="11" t="s">
        <v>3848</v>
      </c>
      <c r="T591" s="6"/>
      <c r="U591" s="24" t="str">
        <f>HYPERLINK("https://media.infra-m.ru/2099/2099999/cover/2099999.jpg", "Обложка")</f>
        <v>Обложка</v>
      </c>
      <c r="V591" s="24" t="str">
        <f>HYPERLINK("https://znanium.ru/catalog/product/2099999", "Ознакомиться")</f>
        <v>Ознакомиться</v>
      </c>
      <c r="W591" s="8" t="s">
        <v>637</v>
      </c>
      <c r="X591" s="6" t="s">
        <v>785</v>
      </c>
      <c r="Y591" s="6"/>
      <c r="Z591" s="6"/>
      <c r="AA591" s="6" t="s">
        <v>133</v>
      </c>
      <c r="AB591" s="8"/>
    </row>
    <row r="592" spans="1:28" s="4" customFormat="1" ht="42" customHeight="1">
      <c r="A592" s="5">
        <v>0</v>
      </c>
      <c r="B592" s="6" t="s">
        <v>3849</v>
      </c>
      <c r="C592" s="7">
        <v>974.9</v>
      </c>
      <c r="D592" s="8" t="s">
        <v>3850</v>
      </c>
      <c r="E592" s="8" t="s">
        <v>3841</v>
      </c>
      <c r="F592" s="8" t="s">
        <v>3851</v>
      </c>
      <c r="G592" s="6" t="s">
        <v>52</v>
      </c>
      <c r="H592" s="6" t="s">
        <v>184</v>
      </c>
      <c r="I592" s="8" t="s">
        <v>90</v>
      </c>
      <c r="J592" s="9">
        <v>1</v>
      </c>
      <c r="K592" s="9">
        <v>304</v>
      </c>
      <c r="L592" s="9">
        <v>2019</v>
      </c>
      <c r="M592" s="8" t="s">
        <v>3852</v>
      </c>
      <c r="N592" s="8" t="s">
        <v>41</v>
      </c>
      <c r="O592" s="8" t="s">
        <v>1007</v>
      </c>
      <c r="P592" s="6" t="s">
        <v>43</v>
      </c>
      <c r="Q592" s="8" t="s">
        <v>44</v>
      </c>
      <c r="R592" s="10" t="s">
        <v>1231</v>
      </c>
      <c r="S592" s="11"/>
      <c r="T592" s="6"/>
      <c r="U592" s="24" t="str">
        <f>HYPERLINK("https://media.infra-m.ru/1015/1015154/cover/1015154.jpg", "Обложка")</f>
        <v>Обложка</v>
      </c>
      <c r="V592" s="24" t="str">
        <f>HYPERLINK("https://znanium.ru/catalog/product/1015154", "Ознакомиться")</f>
        <v>Ознакомиться</v>
      </c>
      <c r="W592" s="8" t="s">
        <v>2666</v>
      </c>
      <c r="X592" s="6"/>
      <c r="Y592" s="6"/>
      <c r="Z592" s="6"/>
      <c r="AA592" s="6" t="s">
        <v>111</v>
      </c>
      <c r="AB592" s="8"/>
    </row>
    <row r="593" spans="1:28" s="4" customFormat="1" ht="51.95" customHeight="1">
      <c r="A593" s="5">
        <v>0</v>
      </c>
      <c r="B593" s="6" t="s">
        <v>3853</v>
      </c>
      <c r="C593" s="7">
        <v>954</v>
      </c>
      <c r="D593" s="8" t="s">
        <v>3854</v>
      </c>
      <c r="E593" s="8" t="s">
        <v>3829</v>
      </c>
      <c r="F593" s="8" t="s">
        <v>3855</v>
      </c>
      <c r="G593" s="6" t="s">
        <v>52</v>
      </c>
      <c r="H593" s="6" t="s">
        <v>53</v>
      </c>
      <c r="I593" s="8" t="s">
        <v>90</v>
      </c>
      <c r="J593" s="9">
        <v>1</v>
      </c>
      <c r="K593" s="9">
        <v>208</v>
      </c>
      <c r="L593" s="9">
        <v>2023</v>
      </c>
      <c r="M593" s="8" t="s">
        <v>3856</v>
      </c>
      <c r="N593" s="8" t="s">
        <v>41</v>
      </c>
      <c r="O593" s="8" t="s">
        <v>1007</v>
      </c>
      <c r="P593" s="6" t="s">
        <v>43</v>
      </c>
      <c r="Q593" s="8" t="s">
        <v>44</v>
      </c>
      <c r="R593" s="10" t="s">
        <v>1231</v>
      </c>
      <c r="S593" s="11" t="s">
        <v>3857</v>
      </c>
      <c r="T593" s="6"/>
      <c r="U593" s="24" t="str">
        <f>HYPERLINK("https://media.infra-m.ru/1981/1981718/cover/1981718.jpg", "Обложка")</f>
        <v>Обложка</v>
      </c>
      <c r="V593" s="24" t="str">
        <f>HYPERLINK("https://znanium.ru/catalog/product/973608", "Ознакомиться")</f>
        <v>Ознакомиться</v>
      </c>
      <c r="W593" s="8" t="s">
        <v>1313</v>
      </c>
      <c r="X593" s="6"/>
      <c r="Y593" s="6"/>
      <c r="Z593" s="6"/>
      <c r="AA593" s="6" t="s">
        <v>479</v>
      </c>
      <c r="AB593" s="8"/>
    </row>
    <row r="594" spans="1:28" s="4" customFormat="1" ht="51.95" customHeight="1">
      <c r="A594" s="5">
        <v>0</v>
      </c>
      <c r="B594" s="6" t="s">
        <v>3858</v>
      </c>
      <c r="C594" s="13">
        <v>1174</v>
      </c>
      <c r="D594" s="8" t="s">
        <v>3859</v>
      </c>
      <c r="E594" s="8" t="s">
        <v>3860</v>
      </c>
      <c r="F594" s="8" t="s">
        <v>3861</v>
      </c>
      <c r="G594" s="6" t="s">
        <v>52</v>
      </c>
      <c r="H594" s="6" t="s">
        <v>53</v>
      </c>
      <c r="I594" s="8" t="s">
        <v>90</v>
      </c>
      <c r="J594" s="9">
        <v>1</v>
      </c>
      <c r="K594" s="9">
        <v>225</v>
      </c>
      <c r="L594" s="9">
        <v>2025</v>
      </c>
      <c r="M594" s="8" t="s">
        <v>3862</v>
      </c>
      <c r="N594" s="8" t="s">
        <v>41</v>
      </c>
      <c r="O594" s="8" t="s">
        <v>1007</v>
      </c>
      <c r="P594" s="6" t="s">
        <v>43</v>
      </c>
      <c r="Q594" s="8" t="s">
        <v>44</v>
      </c>
      <c r="R594" s="10" t="s">
        <v>3863</v>
      </c>
      <c r="S594" s="11" t="s">
        <v>3864</v>
      </c>
      <c r="T594" s="6"/>
      <c r="U594" s="24" t="str">
        <f>HYPERLINK("https://media.infra-m.ru/2162/2162925/cover/2162925.jpg", "Обложка")</f>
        <v>Обложка</v>
      </c>
      <c r="V594" s="24" t="str">
        <f>HYPERLINK("https://znanium.ru/catalog/product/2128031", "Ознакомиться")</f>
        <v>Ознакомиться</v>
      </c>
      <c r="W594" s="8" t="s">
        <v>3865</v>
      </c>
      <c r="X594" s="6"/>
      <c r="Y594" s="6"/>
      <c r="Z594" s="6"/>
      <c r="AA594" s="6" t="s">
        <v>207</v>
      </c>
      <c r="AB594" s="8"/>
    </row>
    <row r="595" spans="1:28" s="4" customFormat="1" ht="42" customHeight="1">
      <c r="A595" s="5">
        <v>0</v>
      </c>
      <c r="B595" s="6" t="s">
        <v>3866</v>
      </c>
      <c r="C595" s="7">
        <v>920</v>
      </c>
      <c r="D595" s="8" t="s">
        <v>3867</v>
      </c>
      <c r="E595" s="8" t="s">
        <v>3868</v>
      </c>
      <c r="F595" s="8" t="s">
        <v>3869</v>
      </c>
      <c r="G595" s="6" t="s">
        <v>52</v>
      </c>
      <c r="H595" s="6" t="s">
        <v>674</v>
      </c>
      <c r="I595" s="8" t="s">
        <v>100</v>
      </c>
      <c r="J595" s="9">
        <v>1</v>
      </c>
      <c r="K595" s="9">
        <v>272</v>
      </c>
      <c r="L595" s="9">
        <v>2019</v>
      </c>
      <c r="M595" s="8" t="s">
        <v>3870</v>
      </c>
      <c r="N595" s="8" t="s">
        <v>41</v>
      </c>
      <c r="O595" s="8" t="s">
        <v>676</v>
      </c>
      <c r="P595" s="6" t="s">
        <v>167</v>
      </c>
      <c r="Q595" s="8" t="s">
        <v>102</v>
      </c>
      <c r="R595" s="10" t="s">
        <v>3871</v>
      </c>
      <c r="S595" s="11"/>
      <c r="T595" s="6"/>
      <c r="U595" s="24" t="str">
        <f>HYPERLINK("https://media.infra-m.ru/1029/1029666/cover/1029666.jpg", "Обложка")</f>
        <v>Обложка</v>
      </c>
      <c r="V595" s="24" t="str">
        <f>HYPERLINK("https://znanium.ru/catalog/product/1029666", "Ознакомиться")</f>
        <v>Ознакомиться</v>
      </c>
      <c r="W595" s="8" t="s">
        <v>792</v>
      </c>
      <c r="X595" s="6"/>
      <c r="Y595" s="6"/>
      <c r="Z595" s="6" t="s">
        <v>3872</v>
      </c>
      <c r="AA595" s="6" t="s">
        <v>258</v>
      </c>
      <c r="AB595" s="8"/>
    </row>
    <row r="596" spans="1:28" s="4" customFormat="1" ht="51.95" customHeight="1">
      <c r="A596" s="5">
        <v>0</v>
      </c>
      <c r="B596" s="6" t="s">
        <v>3873</v>
      </c>
      <c r="C596" s="13">
        <v>1544</v>
      </c>
      <c r="D596" s="8" t="s">
        <v>3874</v>
      </c>
      <c r="E596" s="8" t="s">
        <v>3875</v>
      </c>
      <c r="F596" s="8" t="s">
        <v>3876</v>
      </c>
      <c r="G596" s="6" t="s">
        <v>89</v>
      </c>
      <c r="H596" s="6" t="s">
        <v>53</v>
      </c>
      <c r="I596" s="8" t="s">
        <v>116</v>
      </c>
      <c r="J596" s="9">
        <v>1</v>
      </c>
      <c r="K596" s="9">
        <v>297</v>
      </c>
      <c r="L596" s="9">
        <v>2025</v>
      </c>
      <c r="M596" s="8" t="s">
        <v>3877</v>
      </c>
      <c r="N596" s="8" t="s">
        <v>41</v>
      </c>
      <c r="O596" s="8" t="s">
        <v>1007</v>
      </c>
      <c r="P596" s="6" t="s">
        <v>167</v>
      </c>
      <c r="Q596" s="8" t="s">
        <v>58</v>
      </c>
      <c r="R596" s="10" t="s">
        <v>1231</v>
      </c>
      <c r="S596" s="11" t="s">
        <v>3878</v>
      </c>
      <c r="T596" s="6"/>
      <c r="U596" s="24" t="str">
        <f>HYPERLINK("https://media.infra-m.ru/2195/2195392/cover/2195392.jpg", "Обложка")</f>
        <v>Обложка</v>
      </c>
      <c r="V596" s="24" t="str">
        <f>HYPERLINK("https://znanium.ru/catalog/product/2039989", "Ознакомиться")</f>
        <v>Ознакомиться</v>
      </c>
      <c r="W596" s="8" t="s">
        <v>1233</v>
      </c>
      <c r="X596" s="6"/>
      <c r="Y596" s="6"/>
      <c r="Z596" s="6"/>
      <c r="AA596" s="6" t="s">
        <v>47</v>
      </c>
      <c r="AB596" s="8"/>
    </row>
    <row r="597" spans="1:28" s="4" customFormat="1" ht="42" customHeight="1">
      <c r="A597" s="5">
        <v>0</v>
      </c>
      <c r="B597" s="6" t="s">
        <v>3879</v>
      </c>
      <c r="C597" s="13">
        <v>1500</v>
      </c>
      <c r="D597" s="8" t="s">
        <v>3880</v>
      </c>
      <c r="E597" s="8" t="s">
        <v>3875</v>
      </c>
      <c r="F597" s="8" t="s">
        <v>3876</v>
      </c>
      <c r="G597" s="6" t="s">
        <v>52</v>
      </c>
      <c r="H597" s="6" t="s">
        <v>53</v>
      </c>
      <c r="I597" s="8" t="s">
        <v>100</v>
      </c>
      <c r="J597" s="9">
        <v>1</v>
      </c>
      <c r="K597" s="9">
        <v>297</v>
      </c>
      <c r="L597" s="9">
        <v>2025</v>
      </c>
      <c r="M597" s="8" t="s">
        <v>3881</v>
      </c>
      <c r="N597" s="8" t="s">
        <v>41</v>
      </c>
      <c r="O597" s="8" t="s">
        <v>1007</v>
      </c>
      <c r="P597" s="6" t="s">
        <v>167</v>
      </c>
      <c r="Q597" s="8" t="s">
        <v>102</v>
      </c>
      <c r="R597" s="10" t="s">
        <v>3882</v>
      </c>
      <c r="S597" s="11"/>
      <c r="T597" s="6" t="s">
        <v>299</v>
      </c>
      <c r="U597" s="24" t="str">
        <f>HYPERLINK("https://media.infra-m.ru/1029/1029641/cover/1029641.jpg", "Обложка")</f>
        <v>Обложка</v>
      </c>
      <c r="V597" s="24" t="str">
        <f>HYPERLINK("https://znanium.ru/catalog/product/1029641", "Ознакомиться")</f>
        <v>Ознакомиться</v>
      </c>
      <c r="W597" s="8" t="s">
        <v>1233</v>
      </c>
      <c r="X597" s="6" t="s">
        <v>785</v>
      </c>
      <c r="Y597" s="6"/>
      <c r="Z597" s="6" t="s">
        <v>502</v>
      </c>
      <c r="AA597" s="6" t="s">
        <v>61</v>
      </c>
      <c r="AB597" s="8"/>
    </row>
    <row r="598" spans="1:28" s="4" customFormat="1" ht="51.95" customHeight="1">
      <c r="A598" s="5">
        <v>0</v>
      </c>
      <c r="B598" s="6" t="s">
        <v>3883</v>
      </c>
      <c r="C598" s="13">
        <v>1010</v>
      </c>
      <c r="D598" s="8" t="s">
        <v>3884</v>
      </c>
      <c r="E598" s="8" t="s">
        <v>3885</v>
      </c>
      <c r="F598" s="8" t="s">
        <v>3876</v>
      </c>
      <c r="G598" s="6" t="s">
        <v>89</v>
      </c>
      <c r="H598" s="6" t="s">
        <v>77</v>
      </c>
      <c r="I598" s="8" t="s">
        <v>116</v>
      </c>
      <c r="J598" s="9">
        <v>1</v>
      </c>
      <c r="K598" s="9">
        <v>296</v>
      </c>
      <c r="L598" s="9">
        <v>2020</v>
      </c>
      <c r="M598" s="8" t="s">
        <v>3886</v>
      </c>
      <c r="N598" s="8" t="s">
        <v>41</v>
      </c>
      <c r="O598" s="8" t="s">
        <v>1007</v>
      </c>
      <c r="P598" s="6" t="s">
        <v>43</v>
      </c>
      <c r="Q598" s="8" t="s">
        <v>44</v>
      </c>
      <c r="R598" s="10" t="s">
        <v>1231</v>
      </c>
      <c r="S598" s="11" t="s">
        <v>3887</v>
      </c>
      <c r="T598" s="6" t="s">
        <v>299</v>
      </c>
      <c r="U598" s="24" t="str">
        <f>HYPERLINK("https://media.infra-m.ru/1065/1065816/cover/1065816.jpg", "Обложка")</f>
        <v>Обложка</v>
      </c>
      <c r="V598" s="24" t="str">
        <f>HYPERLINK("https://znanium.ru/catalog/product/2039989", "Ознакомиться")</f>
        <v>Ознакомиться</v>
      </c>
      <c r="W598" s="8" t="s">
        <v>1233</v>
      </c>
      <c r="X598" s="6"/>
      <c r="Y598" s="6"/>
      <c r="Z598" s="6"/>
      <c r="AA598" s="6" t="s">
        <v>326</v>
      </c>
      <c r="AB598" s="8"/>
    </row>
    <row r="599" spans="1:28" s="4" customFormat="1" ht="42" customHeight="1">
      <c r="A599" s="5">
        <v>0</v>
      </c>
      <c r="B599" s="6" t="s">
        <v>3888</v>
      </c>
      <c r="C599" s="13">
        <v>1144</v>
      </c>
      <c r="D599" s="8" t="s">
        <v>3889</v>
      </c>
      <c r="E599" s="8" t="s">
        <v>3890</v>
      </c>
      <c r="F599" s="8" t="s">
        <v>3891</v>
      </c>
      <c r="G599" s="6" t="s">
        <v>89</v>
      </c>
      <c r="H599" s="6" t="s">
        <v>53</v>
      </c>
      <c r="I599" s="8" t="s">
        <v>165</v>
      </c>
      <c r="J599" s="9">
        <v>1</v>
      </c>
      <c r="K599" s="9">
        <v>247</v>
      </c>
      <c r="L599" s="9">
        <v>2024</v>
      </c>
      <c r="M599" s="8" t="s">
        <v>3892</v>
      </c>
      <c r="N599" s="8" t="s">
        <v>41</v>
      </c>
      <c r="O599" s="8" t="s">
        <v>1007</v>
      </c>
      <c r="P599" s="6" t="s">
        <v>43</v>
      </c>
      <c r="Q599" s="8" t="s">
        <v>44</v>
      </c>
      <c r="R599" s="10" t="s">
        <v>3893</v>
      </c>
      <c r="S599" s="11"/>
      <c r="T599" s="6" t="s">
        <v>299</v>
      </c>
      <c r="U599" s="24" t="str">
        <f>HYPERLINK("https://media.infra-m.ru/2072/2072430/cover/2072430.jpg", "Обложка")</f>
        <v>Обложка</v>
      </c>
      <c r="V599" s="24" t="str">
        <f>HYPERLINK("https://znanium.ru/catalog/product/1855482", "Ознакомиться")</f>
        <v>Ознакомиться</v>
      </c>
      <c r="W599" s="8" t="s">
        <v>83</v>
      </c>
      <c r="X599" s="6"/>
      <c r="Y599" s="6"/>
      <c r="Z599" s="6"/>
      <c r="AA599" s="6" t="s">
        <v>258</v>
      </c>
      <c r="AB599" s="8"/>
    </row>
    <row r="600" spans="1:28" s="4" customFormat="1" ht="51.95" customHeight="1">
      <c r="A600" s="5">
        <v>0</v>
      </c>
      <c r="B600" s="6" t="s">
        <v>3894</v>
      </c>
      <c r="C600" s="7">
        <v>980</v>
      </c>
      <c r="D600" s="8" t="s">
        <v>3895</v>
      </c>
      <c r="E600" s="8" t="s">
        <v>3896</v>
      </c>
      <c r="F600" s="8" t="s">
        <v>3897</v>
      </c>
      <c r="G600" s="6" t="s">
        <v>52</v>
      </c>
      <c r="H600" s="6" t="s">
        <v>66</v>
      </c>
      <c r="I600" s="8" t="s">
        <v>116</v>
      </c>
      <c r="J600" s="9">
        <v>1</v>
      </c>
      <c r="K600" s="9">
        <v>416</v>
      </c>
      <c r="L600" s="9">
        <v>2015</v>
      </c>
      <c r="M600" s="8" t="s">
        <v>3898</v>
      </c>
      <c r="N600" s="8" t="s">
        <v>41</v>
      </c>
      <c r="O600" s="8" t="s">
        <v>676</v>
      </c>
      <c r="P600" s="6" t="s">
        <v>167</v>
      </c>
      <c r="Q600" s="8" t="s">
        <v>44</v>
      </c>
      <c r="R600" s="10" t="s">
        <v>3899</v>
      </c>
      <c r="S600" s="11" t="s">
        <v>3900</v>
      </c>
      <c r="T600" s="6"/>
      <c r="U600" s="24" t="str">
        <f>HYPERLINK("https://media.infra-m.ru/0882/0882303/cover/882303.jpg", "Обложка")</f>
        <v>Обложка</v>
      </c>
      <c r="V600" s="24" t="str">
        <f>HYPERLINK("https://znanium.ru/catalog/product/1939103", "Ознакомиться")</f>
        <v>Ознакомиться</v>
      </c>
      <c r="W600" s="8" t="s">
        <v>3901</v>
      </c>
      <c r="X600" s="6"/>
      <c r="Y600" s="6"/>
      <c r="Z600" s="6"/>
      <c r="AA600" s="6" t="s">
        <v>72</v>
      </c>
      <c r="AB600" s="8"/>
    </row>
    <row r="601" spans="1:28" s="4" customFormat="1" ht="51.95" customHeight="1">
      <c r="A601" s="5">
        <v>0</v>
      </c>
      <c r="B601" s="6" t="s">
        <v>3902</v>
      </c>
      <c r="C601" s="13">
        <v>1820</v>
      </c>
      <c r="D601" s="8" t="s">
        <v>3903</v>
      </c>
      <c r="E601" s="8" t="s">
        <v>3904</v>
      </c>
      <c r="F601" s="8" t="s">
        <v>3905</v>
      </c>
      <c r="G601" s="6" t="s">
        <v>52</v>
      </c>
      <c r="H601" s="6" t="s">
        <v>53</v>
      </c>
      <c r="I601" s="8" t="s">
        <v>90</v>
      </c>
      <c r="J601" s="9">
        <v>1</v>
      </c>
      <c r="K601" s="9">
        <v>404</v>
      </c>
      <c r="L601" s="9">
        <v>2023</v>
      </c>
      <c r="M601" s="8" t="s">
        <v>3906</v>
      </c>
      <c r="N601" s="8" t="s">
        <v>41</v>
      </c>
      <c r="O601" s="8" t="s">
        <v>676</v>
      </c>
      <c r="P601" s="6" t="s">
        <v>167</v>
      </c>
      <c r="Q601" s="8" t="s">
        <v>44</v>
      </c>
      <c r="R601" s="10" t="s">
        <v>3899</v>
      </c>
      <c r="S601" s="11" t="s">
        <v>3907</v>
      </c>
      <c r="T601" s="6"/>
      <c r="U601" s="24" t="str">
        <f>HYPERLINK("https://media.infra-m.ru/1939/1939103/cover/1939103.jpg", "Обложка")</f>
        <v>Обложка</v>
      </c>
      <c r="V601" s="24" t="str">
        <f>HYPERLINK("https://znanium.ru/catalog/product/1939103", "Ознакомиться")</f>
        <v>Ознакомиться</v>
      </c>
      <c r="W601" s="8" t="s">
        <v>3901</v>
      </c>
      <c r="X601" s="6"/>
      <c r="Y601" s="6"/>
      <c r="Z601" s="6"/>
      <c r="AA601" s="6" t="s">
        <v>196</v>
      </c>
      <c r="AB601" s="8"/>
    </row>
    <row r="602" spans="1:28" s="4" customFormat="1" ht="51.95" customHeight="1">
      <c r="A602" s="5">
        <v>0</v>
      </c>
      <c r="B602" s="6" t="s">
        <v>3908</v>
      </c>
      <c r="C602" s="7">
        <v>874.9</v>
      </c>
      <c r="D602" s="8" t="s">
        <v>3909</v>
      </c>
      <c r="E602" s="8" t="s">
        <v>3910</v>
      </c>
      <c r="F602" s="8" t="s">
        <v>3911</v>
      </c>
      <c r="G602" s="6" t="s">
        <v>52</v>
      </c>
      <c r="H602" s="6" t="s">
        <v>674</v>
      </c>
      <c r="I602" s="8"/>
      <c r="J602" s="9">
        <v>1</v>
      </c>
      <c r="K602" s="9">
        <v>256</v>
      </c>
      <c r="L602" s="9">
        <v>2020</v>
      </c>
      <c r="M602" s="8" t="s">
        <v>3912</v>
      </c>
      <c r="N602" s="8" t="s">
        <v>41</v>
      </c>
      <c r="O602" s="8" t="s">
        <v>676</v>
      </c>
      <c r="P602" s="6" t="s">
        <v>43</v>
      </c>
      <c r="Q602" s="8" t="s">
        <v>279</v>
      </c>
      <c r="R602" s="10" t="s">
        <v>3913</v>
      </c>
      <c r="S602" s="11"/>
      <c r="T602" s="6"/>
      <c r="U602" s="24" t="str">
        <f>HYPERLINK("https://media.infra-m.ru/1072/1072241/cover/1072241.jpg", "Обложка")</f>
        <v>Обложка</v>
      </c>
      <c r="V602" s="24" t="str">
        <f>HYPERLINK("https://znanium.ru/catalog/product/1981562", "Ознакомиться")</f>
        <v>Ознакомиться</v>
      </c>
      <c r="W602" s="8" t="s">
        <v>792</v>
      </c>
      <c r="X602" s="6"/>
      <c r="Y602" s="6"/>
      <c r="Z602" s="6"/>
      <c r="AA602" s="6" t="s">
        <v>638</v>
      </c>
      <c r="AB602" s="8"/>
    </row>
    <row r="603" spans="1:28" s="4" customFormat="1" ht="44.1" customHeight="1">
      <c r="A603" s="5">
        <v>0</v>
      </c>
      <c r="B603" s="6" t="s">
        <v>3914</v>
      </c>
      <c r="C603" s="7">
        <v>850</v>
      </c>
      <c r="D603" s="8" t="s">
        <v>3915</v>
      </c>
      <c r="E603" s="8" t="s">
        <v>3910</v>
      </c>
      <c r="F603" s="8" t="s">
        <v>3911</v>
      </c>
      <c r="G603" s="6" t="s">
        <v>52</v>
      </c>
      <c r="H603" s="6" t="s">
        <v>674</v>
      </c>
      <c r="I603" s="8" t="s">
        <v>100</v>
      </c>
      <c r="J603" s="9">
        <v>1</v>
      </c>
      <c r="K603" s="9">
        <v>256</v>
      </c>
      <c r="L603" s="9">
        <v>2019</v>
      </c>
      <c r="M603" s="8" t="s">
        <v>3916</v>
      </c>
      <c r="N603" s="8" t="s">
        <v>41</v>
      </c>
      <c r="O603" s="8" t="s">
        <v>676</v>
      </c>
      <c r="P603" s="6" t="s">
        <v>43</v>
      </c>
      <c r="Q603" s="8" t="s">
        <v>102</v>
      </c>
      <c r="R603" s="10" t="s">
        <v>3917</v>
      </c>
      <c r="S603" s="11"/>
      <c r="T603" s="6"/>
      <c r="U603" s="24" t="str">
        <f>HYPERLINK("https://media.infra-m.ru/1029/1029667/cover/1029667.jpg", "Обложка")</f>
        <v>Обложка</v>
      </c>
      <c r="V603" s="24" t="str">
        <f>HYPERLINK("https://znanium.ru/catalog/product/1029667", "Ознакомиться")</f>
        <v>Ознакомиться</v>
      </c>
      <c r="W603" s="8" t="s">
        <v>792</v>
      </c>
      <c r="X603" s="6"/>
      <c r="Y603" s="6"/>
      <c r="Z603" s="6" t="s">
        <v>3872</v>
      </c>
      <c r="AA603" s="6" t="s">
        <v>707</v>
      </c>
      <c r="AB603" s="8"/>
    </row>
    <row r="604" spans="1:28" s="4" customFormat="1" ht="51.95" customHeight="1">
      <c r="A604" s="5">
        <v>0</v>
      </c>
      <c r="B604" s="6" t="s">
        <v>3918</v>
      </c>
      <c r="C604" s="13">
        <v>1304</v>
      </c>
      <c r="D604" s="8" t="s">
        <v>3919</v>
      </c>
      <c r="E604" s="8" t="s">
        <v>3920</v>
      </c>
      <c r="F604" s="8" t="s">
        <v>3911</v>
      </c>
      <c r="G604" s="6" t="s">
        <v>52</v>
      </c>
      <c r="H604" s="6" t="s">
        <v>674</v>
      </c>
      <c r="I604" s="8"/>
      <c r="J604" s="9">
        <v>1</v>
      </c>
      <c r="K604" s="9">
        <v>260</v>
      </c>
      <c r="L604" s="9">
        <v>2025</v>
      </c>
      <c r="M604" s="8" t="s">
        <v>3921</v>
      </c>
      <c r="N604" s="8" t="s">
        <v>41</v>
      </c>
      <c r="O604" s="8" t="s">
        <v>676</v>
      </c>
      <c r="P604" s="6" t="s">
        <v>43</v>
      </c>
      <c r="Q604" s="8" t="s">
        <v>279</v>
      </c>
      <c r="R604" s="10" t="s">
        <v>3913</v>
      </c>
      <c r="S604" s="11"/>
      <c r="T604" s="6"/>
      <c r="U604" s="24" t="str">
        <f>HYPERLINK("https://media.infra-m.ru/2188/2188716/cover/2188716.jpg", "Обложка")</f>
        <v>Обложка</v>
      </c>
      <c r="V604" s="24" t="str">
        <f>HYPERLINK("https://znanium.ru/catalog/product/1981562", "Ознакомиться")</f>
        <v>Ознакомиться</v>
      </c>
      <c r="W604" s="8" t="s">
        <v>792</v>
      </c>
      <c r="X604" s="6"/>
      <c r="Y604" s="6"/>
      <c r="Z604" s="6"/>
      <c r="AA604" s="6" t="s">
        <v>3922</v>
      </c>
      <c r="AB604" s="8"/>
    </row>
    <row r="605" spans="1:28" s="4" customFormat="1" ht="51.95" customHeight="1">
      <c r="A605" s="5">
        <v>0</v>
      </c>
      <c r="B605" s="6" t="s">
        <v>3923</v>
      </c>
      <c r="C605" s="7">
        <v>694</v>
      </c>
      <c r="D605" s="8" t="s">
        <v>3924</v>
      </c>
      <c r="E605" s="8" t="s">
        <v>3925</v>
      </c>
      <c r="F605" s="8" t="s">
        <v>3926</v>
      </c>
      <c r="G605" s="6" t="s">
        <v>38</v>
      </c>
      <c r="H605" s="6" t="s">
        <v>952</v>
      </c>
      <c r="I605" s="8"/>
      <c r="J605" s="9">
        <v>1</v>
      </c>
      <c r="K605" s="9">
        <v>100</v>
      </c>
      <c r="L605" s="9">
        <v>2025</v>
      </c>
      <c r="M605" s="8" t="s">
        <v>3927</v>
      </c>
      <c r="N605" s="8" t="s">
        <v>41</v>
      </c>
      <c r="O605" s="8" t="s">
        <v>1007</v>
      </c>
      <c r="P605" s="6" t="s">
        <v>43</v>
      </c>
      <c r="Q605" s="8" t="s">
        <v>214</v>
      </c>
      <c r="R605" s="10" t="s">
        <v>3928</v>
      </c>
      <c r="S605" s="11"/>
      <c r="T605" s="6"/>
      <c r="U605" s="24" t="str">
        <f>HYPERLINK("https://media.infra-m.ru/2192/2192779/cover/2192779.jpg", "Обложка")</f>
        <v>Обложка</v>
      </c>
      <c r="V605" s="24" t="str">
        <f>HYPERLINK("https://znanium.ru/catalog/product/2122911", "Ознакомиться")</f>
        <v>Ознакомиться</v>
      </c>
      <c r="W605" s="8" t="s">
        <v>83</v>
      </c>
      <c r="X605" s="6"/>
      <c r="Y605" s="6"/>
      <c r="Z605" s="6"/>
      <c r="AA605" s="6" t="s">
        <v>207</v>
      </c>
      <c r="AB605" s="8"/>
    </row>
    <row r="606" spans="1:28" s="4" customFormat="1" ht="51.95" customHeight="1">
      <c r="A606" s="5">
        <v>0</v>
      </c>
      <c r="B606" s="6" t="s">
        <v>3929</v>
      </c>
      <c r="C606" s="7">
        <v>594.9</v>
      </c>
      <c r="D606" s="8" t="s">
        <v>3930</v>
      </c>
      <c r="E606" s="8" t="s">
        <v>3931</v>
      </c>
      <c r="F606" s="8" t="s">
        <v>3932</v>
      </c>
      <c r="G606" s="6" t="s">
        <v>38</v>
      </c>
      <c r="H606" s="6" t="s">
        <v>53</v>
      </c>
      <c r="I606" s="8" t="s">
        <v>2511</v>
      </c>
      <c r="J606" s="9">
        <v>1</v>
      </c>
      <c r="K606" s="9">
        <v>176</v>
      </c>
      <c r="L606" s="9">
        <v>2019</v>
      </c>
      <c r="M606" s="8" t="s">
        <v>3933</v>
      </c>
      <c r="N606" s="8" t="s">
        <v>41</v>
      </c>
      <c r="O606" s="8" t="s">
        <v>676</v>
      </c>
      <c r="P606" s="6" t="s">
        <v>1046</v>
      </c>
      <c r="Q606" s="8" t="s">
        <v>279</v>
      </c>
      <c r="R606" s="10" t="s">
        <v>3934</v>
      </c>
      <c r="S606" s="11"/>
      <c r="T606" s="6"/>
      <c r="U606" s="24" t="str">
        <f>HYPERLINK("https://media.infra-m.ru/1009/1009022/cover/1009022.jpg", "Обложка")</f>
        <v>Обложка</v>
      </c>
      <c r="V606" s="24" t="str">
        <f>HYPERLINK("https://znanium.ru/catalog/product/2079620", "Ознакомиться")</f>
        <v>Ознакомиться</v>
      </c>
      <c r="W606" s="8" t="s">
        <v>3901</v>
      </c>
      <c r="X606" s="6"/>
      <c r="Y606" s="6"/>
      <c r="Z606" s="6"/>
      <c r="AA606" s="6" t="s">
        <v>84</v>
      </c>
      <c r="AB606" s="8"/>
    </row>
    <row r="607" spans="1:28" s="4" customFormat="1" ht="51.95" customHeight="1">
      <c r="A607" s="5">
        <v>0</v>
      </c>
      <c r="B607" s="6" t="s">
        <v>3935</v>
      </c>
      <c r="C607" s="7">
        <v>724.9</v>
      </c>
      <c r="D607" s="8" t="s">
        <v>3936</v>
      </c>
      <c r="E607" s="8" t="s">
        <v>3937</v>
      </c>
      <c r="F607" s="8" t="s">
        <v>3938</v>
      </c>
      <c r="G607" s="6" t="s">
        <v>89</v>
      </c>
      <c r="H607" s="6" t="s">
        <v>674</v>
      </c>
      <c r="I607" s="8"/>
      <c r="J607" s="9">
        <v>1</v>
      </c>
      <c r="K607" s="9">
        <v>160</v>
      </c>
      <c r="L607" s="9">
        <v>2023</v>
      </c>
      <c r="M607" s="8" t="s">
        <v>3939</v>
      </c>
      <c r="N607" s="8" t="s">
        <v>41</v>
      </c>
      <c r="O607" s="8" t="s">
        <v>676</v>
      </c>
      <c r="P607" s="6" t="s">
        <v>43</v>
      </c>
      <c r="Q607" s="8" t="s">
        <v>279</v>
      </c>
      <c r="R607" s="10" t="s">
        <v>3940</v>
      </c>
      <c r="S607" s="11"/>
      <c r="T607" s="6"/>
      <c r="U607" s="24" t="str">
        <f>HYPERLINK("https://media.infra-m.ru/2024/2024017/cover/2024017.jpg", "Обложка")</f>
        <v>Обложка</v>
      </c>
      <c r="V607" s="24" t="str">
        <f>HYPERLINK("https://znanium.ru/catalog/product/1938036", "Ознакомиться")</f>
        <v>Ознакомиться</v>
      </c>
      <c r="W607" s="8" t="s">
        <v>792</v>
      </c>
      <c r="X607" s="6"/>
      <c r="Y607" s="6"/>
      <c r="Z607" s="6"/>
      <c r="AA607" s="6" t="s">
        <v>151</v>
      </c>
      <c r="AB607" s="8"/>
    </row>
    <row r="608" spans="1:28" s="4" customFormat="1" ht="44.1" customHeight="1">
      <c r="A608" s="5">
        <v>0</v>
      </c>
      <c r="B608" s="6" t="s">
        <v>3941</v>
      </c>
      <c r="C608" s="7">
        <v>724.9</v>
      </c>
      <c r="D608" s="8" t="s">
        <v>3942</v>
      </c>
      <c r="E608" s="8" t="s">
        <v>3937</v>
      </c>
      <c r="F608" s="8" t="s">
        <v>3938</v>
      </c>
      <c r="G608" s="6" t="s">
        <v>52</v>
      </c>
      <c r="H608" s="6" t="s">
        <v>674</v>
      </c>
      <c r="I608" s="8" t="s">
        <v>100</v>
      </c>
      <c r="J608" s="9">
        <v>1</v>
      </c>
      <c r="K608" s="9">
        <v>160</v>
      </c>
      <c r="L608" s="9">
        <v>2023</v>
      </c>
      <c r="M608" s="8" t="s">
        <v>3943</v>
      </c>
      <c r="N608" s="8" t="s">
        <v>41</v>
      </c>
      <c r="O608" s="8" t="s">
        <v>676</v>
      </c>
      <c r="P608" s="6" t="s">
        <v>43</v>
      </c>
      <c r="Q608" s="8" t="s">
        <v>102</v>
      </c>
      <c r="R608" s="10" t="s">
        <v>3944</v>
      </c>
      <c r="S608" s="11"/>
      <c r="T608" s="6"/>
      <c r="U608" s="24" t="str">
        <f>HYPERLINK("https://media.infra-m.ru/1920/1920324/cover/1920324.jpg", "Обложка")</f>
        <v>Обложка</v>
      </c>
      <c r="V608" s="24" t="str">
        <f>HYPERLINK("https://znanium.ru/catalog/product/1029665", "Ознакомиться")</f>
        <v>Ознакомиться</v>
      </c>
      <c r="W608" s="8" t="s">
        <v>792</v>
      </c>
      <c r="X608" s="6"/>
      <c r="Y608" s="6"/>
      <c r="Z608" s="6" t="s">
        <v>3872</v>
      </c>
      <c r="AA608" s="6" t="s">
        <v>258</v>
      </c>
      <c r="AB608" s="8"/>
    </row>
    <row r="609" spans="1:28" s="4" customFormat="1" ht="42" customHeight="1">
      <c r="A609" s="5">
        <v>0</v>
      </c>
      <c r="B609" s="6" t="s">
        <v>3945</v>
      </c>
      <c r="C609" s="13">
        <v>1040</v>
      </c>
      <c r="D609" s="8" t="s">
        <v>3946</v>
      </c>
      <c r="E609" s="8" t="s">
        <v>3947</v>
      </c>
      <c r="F609" s="8" t="s">
        <v>3948</v>
      </c>
      <c r="G609" s="6" t="s">
        <v>52</v>
      </c>
      <c r="H609" s="6" t="s">
        <v>53</v>
      </c>
      <c r="I609" s="8" t="s">
        <v>212</v>
      </c>
      <c r="J609" s="9">
        <v>1</v>
      </c>
      <c r="K609" s="9">
        <v>208</v>
      </c>
      <c r="L609" s="9">
        <v>2024</v>
      </c>
      <c r="M609" s="8" t="s">
        <v>3949</v>
      </c>
      <c r="N609" s="8" t="s">
        <v>41</v>
      </c>
      <c r="O609" s="8" t="s">
        <v>1007</v>
      </c>
      <c r="P609" s="6" t="s">
        <v>43</v>
      </c>
      <c r="Q609" s="8" t="s">
        <v>214</v>
      </c>
      <c r="R609" s="10" t="s">
        <v>3950</v>
      </c>
      <c r="S609" s="11"/>
      <c r="T609" s="6"/>
      <c r="U609" s="24" t="str">
        <f>HYPERLINK("https://media.infra-m.ru/2010/2010439/cover/2010439.jpg", "Обложка")</f>
        <v>Обложка</v>
      </c>
      <c r="V609" s="24" t="str">
        <f>HYPERLINK("https://znanium.ru/catalog/product/2010439", "Ознакомиться")</f>
        <v>Ознакомиться</v>
      </c>
      <c r="W609" s="8" t="s">
        <v>1233</v>
      </c>
      <c r="X609" s="6" t="s">
        <v>179</v>
      </c>
      <c r="Y609" s="6"/>
      <c r="Z609" s="6"/>
      <c r="AA609" s="6" t="s">
        <v>133</v>
      </c>
      <c r="AB609" s="8"/>
    </row>
    <row r="610" spans="1:28" s="4" customFormat="1" ht="51.95" customHeight="1">
      <c r="A610" s="5">
        <v>0</v>
      </c>
      <c r="B610" s="6" t="s">
        <v>3951</v>
      </c>
      <c r="C610" s="7">
        <v>754</v>
      </c>
      <c r="D610" s="8" t="s">
        <v>3952</v>
      </c>
      <c r="E610" s="8" t="s">
        <v>3953</v>
      </c>
      <c r="F610" s="8" t="s">
        <v>3954</v>
      </c>
      <c r="G610" s="6" t="s">
        <v>52</v>
      </c>
      <c r="H610" s="6" t="s">
        <v>1738</v>
      </c>
      <c r="I610" s="8" t="s">
        <v>3955</v>
      </c>
      <c r="J610" s="9">
        <v>1</v>
      </c>
      <c r="K610" s="9">
        <v>160</v>
      </c>
      <c r="L610" s="9">
        <v>2024</v>
      </c>
      <c r="M610" s="8" t="s">
        <v>3956</v>
      </c>
      <c r="N610" s="8" t="s">
        <v>79</v>
      </c>
      <c r="O610" s="8" t="s">
        <v>396</v>
      </c>
      <c r="P610" s="6" t="s">
        <v>43</v>
      </c>
      <c r="Q610" s="8" t="s">
        <v>279</v>
      </c>
      <c r="R610" s="10" t="s">
        <v>3957</v>
      </c>
      <c r="S610" s="11" t="s">
        <v>3958</v>
      </c>
      <c r="T610" s="6"/>
      <c r="U610" s="24" t="str">
        <f>HYPERLINK("https://media.infra-m.ru/2156/2156022/cover/2156022.jpg", "Обложка")</f>
        <v>Обложка</v>
      </c>
      <c r="V610" s="24" t="str">
        <f>HYPERLINK("https://znanium.ru/catalog/product/1852833", "Ознакомиться")</f>
        <v>Ознакомиться</v>
      </c>
      <c r="W610" s="8" t="s">
        <v>1514</v>
      </c>
      <c r="X610" s="6"/>
      <c r="Y610" s="6"/>
      <c r="Z610" s="6"/>
      <c r="AA610" s="6" t="s">
        <v>84</v>
      </c>
      <c r="AB610" s="8"/>
    </row>
    <row r="611" spans="1:28" s="4" customFormat="1" ht="51.95" customHeight="1">
      <c r="A611" s="5">
        <v>0</v>
      </c>
      <c r="B611" s="6" t="s">
        <v>3959</v>
      </c>
      <c r="C611" s="7">
        <v>874</v>
      </c>
      <c r="D611" s="8" t="s">
        <v>3960</v>
      </c>
      <c r="E611" s="8" t="s">
        <v>3961</v>
      </c>
      <c r="F611" s="8" t="s">
        <v>3962</v>
      </c>
      <c r="G611" s="6" t="s">
        <v>38</v>
      </c>
      <c r="H611" s="6" t="s">
        <v>53</v>
      </c>
      <c r="I611" s="8" t="s">
        <v>90</v>
      </c>
      <c r="J611" s="9">
        <v>1</v>
      </c>
      <c r="K611" s="9">
        <v>167</v>
      </c>
      <c r="L611" s="9">
        <v>2025</v>
      </c>
      <c r="M611" s="8" t="s">
        <v>3963</v>
      </c>
      <c r="N611" s="8" t="s">
        <v>79</v>
      </c>
      <c r="O611" s="8" t="s">
        <v>396</v>
      </c>
      <c r="P611" s="6" t="s">
        <v>43</v>
      </c>
      <c r="Q611" s="8" t="s">
        <v>44</v>
      </c>
      <c r="R611" s="10" t="s">
        <v>3964</v>
      </c>
      <c r="S611" s="11" t="s">
        <v>3965</v>
      </c>
      <c r="T611" s="6"/>
      <c r="U611" s="24" t="str">
        <f>HYPERLINK("https://media.infra-m.ru/2192/2192228/cover/2192228.jpg", "Обложка")</f>
        <v>Обложка</v>
      </c>
      <c r="V611" s="24" t="str">
        <f>HYPERLINK("https://znanium.ru/catalog/product/538092", "Ознакомиться")</f>
        <v>Ознакомиться</v>
      </c>
      <c r="W611" s="8" t="s">
        <v>3966</v>
      </c>
      <c r="X611" s="6"/>
      <c r="Y611" s="6"/>
      <c r="Z611" s="6"/>
      <c r="AA611" s="6" t="s">
        <v>122</v>
      </c>
      <c r="AB611" s="8"/>
    </row>
    <row r="612" spans="1:28" s="4" customFormat="1" ht="51.95" customHeight="1">
      <c r="A612" s="5">
        <v>0</v>
      </c>
      <c r="B612" s="6" t="s">
        <v>3967</v>
      </c>
      <c r="C612" s="13">
        <v>1170</v>
      </c>
      <c r="D612" s="8" t="s">
        <v>3968</v>
      </c>
      <c r="E612" s="8" t="s">
        <v>3969</v>
      </c>
      <c r="F612" s="8" t="s">
        <v>3970</v>
      </c>
      <c r="G612" s="6" t="s">
        <v>89</v>
      </c>
      <c r="H612" s="6" t="s">
        <v>53</v>
      </c>
      <c r="I612" s="8" t="s">
        <v>116</v>
      </c>
      <c r="J612" s="9">
        <v>1</v>
      </c>
      <c r="K612" s="9">
        <v>253</v>
      </c>
      <c r="L612" s="9">
        <v>2024</v>
      </c>
      <c r="M612" s="8" t="s">
        <v>3971</v>
      </c>
      <c r="N612" s="8" t="s">
        <v>79</v>
      </c>
      <c r="O612" s="8" t="s">
        <v>174</v>
      </c>
      <c r="P612" s="6" t="s">
        <v>43</v>
      </c>
      <c r="Q612" s="8" t="s">
        <v>44</v>
      </c>
      <c r="R612" s="10" t="s">
        <v>3972</v>
      </c>
      <c r="S612" s="11" t="s">
        <v>3973</v>
      </c>
      <c r="T612" s="6"/>
      <c r="U612" s="24" t="str">
        <f>HYPERLINK("https://media.infra-m.ru/2131/2131184/cover/2131184.jpg", "Обложка")</f>
        <v>Обложка</v>
      </c>
      <c r="V612" s="24" t="str">
        <f>HYPERLINK("https://znanium.ru/catalog/product/2131184", "Ознакомиться")</f>
        <v>Ознакомиться</v>
      </c>
      <c r="W612" s="8" t="s">
        <v>3974</v>
      </c>
      <c r="X612" s="6"/>
      <c r="Y612" s="6"/>
      <c r="Z612" s="6"/>
      <c r="AA612" s="6" t="s">
        <v>160</v>
      </c>
      <c r="AB612" s="8"/>
    </row>
    <row r="613" spans="1:28" s="4" customFormat="1" ht="51.95" customHeight="1">
      <c r="A613" s="5">
        <v>0</v>
      </c>
      <c r="B613" s="6" t="s">
        <v>3975</v>
      </c>
      <c r="C613" s="7">
        <v>610</v>
      </c>
      <c r="D613" s="8" t="s">
        <v>3976</v>
      </c>
      <c r="E613" s="8" t="s">
        <v>3977</v>
      </c>
      <c r="F613" s="8" t="s">
        <v>3978</v>
      </c>
      <c r="G613" s="6" t="s">
        <v>38</v>
      </c>
      <c r="H613" s="6" t="s">
        <v>674</v>
      </c>
      <c r="I613" s="8"/>
      <c r="J613" s="9">
        <v>1</v>
      </c>
      <c r="K613" s="9">
        <v>136</v>
      </c>
      <c r="L613" s="9">
        <v>2022</v>
      </c>
      <c r="M613" s="8" t="s">
        <v>3979</v>
      </c>
      <c r="N613" s="8" t="s">
        <v>41</v>
      </c>
      <c r="O613" s="8" t="s">
        <v>676</v>
      </c>
      <c r="P613" s="6" t="s">
        <v>43</v>
      </c>
      <c r="Q613" s="8" t="s">
        <v>279</v>
      </c>
      <c r="R613" s="10" t="s">
        <v>806</v>
      </c>
      <c r="S613" s="11"/>
      <c r="T613" s="6"/>
      <c r="U613" s="24" t="str">
        <f>HYPERLINK("https://media.infra-m.ru/1903/1903410/cover/1903410.jpg", "Обложка")</f>
        <v>Обложка</v>
      </c>
      <c r="V613" s="24" t="str">
        <f>HYPERLINK("https://znanium.ru/catalog/product/1220284", "Ознакомиться")</f>
        <v>Ознакомиться</v>
      </c>
      <c r="W613" s="8" t="s">
        <v>2114</v>
      </c>
      <c r="X613" s="6"/>
      <c r="Y613" s="6"/>
      <c r="Z613" s="6"/>
      <c r="AA613" s="6" t="s">
        <v>793</v>
      </c>
      <c r="AB613" s="8"/>
    </row>
    <row r="614" spans="1:28" s="4" customFormat="1" ht="51.95" customHeight="1">
      <c r="A614" s="5">
        <v>0</v>
      </c>
      <c r="B614" s="6" t="s">
        <v>3980</v>
      </c>
      <c r="C614" s="13">
        <v>1324</v>
      </c>
      <c r="D614" s="8" t="s">
        <v>3981</v>
      </c>
      <c r="E614" s="8" t="s">
        <v>3982</v>
      </c>
      <c r="F614" s="8" t="s">
        <v>3983</v>
      </c>
      <c r="G614" s="6" t="s">
        <v>52</v>
      </c>
      <c r="H614" s="6" t="s">
        <v>952</v>
      </c>
      <c r="I614" s="8" t="s">
        <v>1171</v>
      </c>
      <c r="J614" s="9">
        <v>1</v>
      </c>
      <c r="K614" s="9">
        <v>288</v>
      </c>
      <c r="L614" s="9">
        <v>2024</v>
      </c>
      <c r="M614" s="8" t="s">
        <v>3984</v>
      </c>
      <c r="N614" s="8" t="s">
        <v>41</v>
      </c>
      <c r="O614" s="8" t="s">
        <v>1007</v>
      </c>
      <c r="P614" s="6" t="s">
        <v>43</v>
      </c>
      <c r="Q614" s="8" t="s">
        <v>44</v>
      </c>
      <c r="R614" s="10" t="s">
        <v>1231</v>
      </c>
      <c r="S614" s="11" t="s">
        <v>3985</v>
      </c>
      <c r="T614" s="6"/>
      <c r="U614" s="24" t="str">
        <f>HYPERLINK("https://media.infra-m.ru/2087/2087283/cover/2087283.jpg", "Обложка")</f>
        <v>Обложка</v>
      </c>
      <c r="V614" s="24" t="str">
        <f>HYPERLINK("https://znanium.ru/catalog/product/1009314", "Ознакомиться")</f>
        <v>Ознакомиться</v>
      </c>
      <c r="W614" s="8" t="s">
        <v>3986</v>
      </c>
      <c r="X614" s="6"/>
      <c r="Y614" s="6"/>
      <c r="Z614" s="6"/>
      <c r="AA614" s="6" t="s">
        <v>84</v>
      </c>
      <c r="AB614" s="8"/>
    </row>
    <row r="615" spans="1:28" s="4" customFormat="1" ht="42" customHeight="1">
      <c r="A615" s="5">
        <v>0</v>
      </c>
      <c r="B615" s="6" t="s">
        <v>3987</v>
      </c>
      <c r="C615" s="7">
        <v>789.9</v>
      </c>
      <c r="D615" s="8" t="s">
        <v>3988</v>
      </c>
      <c r="E615" s="8" t="s">
        <v>3989</v>
      </c>
      <c r="F615" s="8" t="s">
        <v>3990</v>
      </c>
      <c r="G615" s="6" t="s">
        <v>52</v>
      </c>
      <c r="H615" s="6" t="s">
        <v>674</v>
      </c>
      <c r="I615" s="8"/>
      <c r="J615" s="9">
        <v>1</v>
      </c>
      <c r="K615" s="9">
        <v>216</v>
      </c>
      <c r="L615" s="9">
        <v>2021</v>
      </c>
      <c r="M615" s="8" t="s">
        <v>3991</v>
      </c>
      <c r="N615" s="8" t="s">
        <v>41</v>
      </c>
      <c r="O615" s="8" t="s">
        <v>676</v>
      </c>
      <c r="P615" s="6" t="s">
        <v>43</v>
      </c>
      <c r="Q615" s="8" t="s">
        <v>58</v>
      </c>
      <c r="R615" s="10" t="s">
        <v>969</v>
      </c>
      <c r="S615" s="11"/>
      <c r="T615" s="6"/>
      <c r="U615" s="24" t="str">
        <f>HYPERLINK("https://media.infra-m.ru/1225/1225323/cover/1225323.jpg", "Обложка")</f>
        <v>Обложка</v>
      </c>
      <c r="V615" s="24" t="str">
        <f>HYPERLINK("https://znanium.ru/catalog/product/2170590", "Ознакомиться")</f>
        <v>Ознакомиться</v>
      </c>
      <c r="W615" s="8" t="s">
        <v>792</v>
      </c>
      <c r="X615" s="6"/>
      <c r="Y615" s="6"/>
      <c r="Z615" s="6"/>
      <c r="AA615" s="6" t="s">
        <v>219</v>
      </c>
      <c r="AB615" s="8"/>
    </row>
    <row r="616" spans="1:28" s="4" customFormat="1" ht="42" customHeight="1">
      <c r="A616" s="5">
        <v>0</v>
      </c>
      <c r="B616" s="6" t="s">
        <v>3992</v>
      </c>
      <c r="C616" s="13">
        <v>1100</v>
      </c>
      <c r="D616" s="8" t="s">
        <v>3993</v>
      </c>
      <c r="E616" s="8" t="s">
        <v>3994</v>
      </c>
      <c r="F616" s="8" t="s">
        <v>3995</v>
      </c>
      <c r="G616" s="6" t="s">
        <v>52</v>
      </c>
      <c r="H616" s="6" t="s">
        <v>674</v>
      </c>
      <c r="I616" s="8"/>
      <c r="J616" s="9">
        <v>1</v>
      </c>
      <c r="K616" s="9">
        <v>220</v>
      </c>
      <c r="L616" s="9">
        <v>2025</v>
      </c>
      <c r="M616" s="8" t="s">
        <v>3996</v>
      </c>
      <c r="N616" s="8" t="s">
        <v>41</v>
      </c>
      <c r="O616" s="8" t="s">
        <v>676</v>
      </c>
      <c r="P616" s="6" t="s">
        <v>43</v>
      </c>
      <c r="Q616" s="8" t="s">
        <v>58</v>
      </c>
      <c r="R616" s="10" t="s">
        <v>969</v>
      </c>
      <c r="S616" s="11"/>
      <c r="T616" s="6"/>
      <c r="U616" s="24" t="str">
        <f>HYPERLINK("https://media.infra-m.ru/2170/2170590/cover/2170590.jpg", "Обложка")</f>
        <v>Обложка</v>
      </c>
      <c r="V616" s="24" t="str">
        <f>HYPERLINK("https://znanium.ru/catalog/product/2170590", "Ознакомиться")</f>
        <v>Ознакомиться</v>
      </c>
      <c r="W616" s="8" t="s">
        <v>792</v>
      </c>
      <c r="X616" s="6" t="s">
        <v>785</v>
      </c>
      <c r="Y616" s="6"/>
      <c r="Z616" s="6"/>
      <c r="AA616" s="6" t="s">
        <v>549</v>
      </c>
      <c r="AB616" s="8"/>
    </row>
    <row r="617" spans="1:28" s="4" customFormat="1" ht="51.95" customHeight="1">
      <c r="A617" s="5">
        <v>0</v>
      </c>
      <c r="B617" s="6" t="s">
        <v>3997</v>
      </c>
      <c r="C617" s="7">
        <v>790</v>
      </c>
      <c r="D617" s="8" t="s">
        <v>3998</v>
      </c>
      <c r="E617" s="8" t="s">
        <v>3999</v>
      </c>
      <c r="F617" s="8" t="s">
        <v>4000</v>
      </c>
      <c r="G617" s="6" t="s">
        <v>89</v>
      </c>
      <c r="H617" s="6" t="s">
        <v>53</v>
      </c>
      <c r="I617" s="8" t="s">
        <v>1325</v>
      </c>
      <c r="J617" s="9">
        <v>1</v>
      </c>
      <c r="K617" s="9">
        <v>157</v>
      </c>
      <c r="L617" s="9">
        <v>2023</v>
      </c>
      <c r="M617" s="8" t="s">
        <v>4001</v>
      </c>
      <c r="N617" s="8" t="s">
        <v>79</v>
      </c>
      <c r="O617" s="8" t="s">
        <v>570</v>
      </c>
      <c r="P617" s="6" t="s">
        <v>43</v>
      </c>
      <c r="Q617" s="8" t="s">
        <v>58</v>
      </c>
      <c r="R617" s="10" t="s">
        <v>4002</v>
      </c>
      <c r="S617" s="11" t="s">
        <v>4003</v>
      </c>
      <c r="T617" s="6"/>
      <c r="U617" s="24" t="str">
        <f>HYPERLINK("https://media.infra-m.ru/2082/2082926/cover/2082926.jpg", "Обложка")</f>
        <v>Обложка</v>
      </c>
      <c r="V617" s="24" t="str">
        <f>HYPERLINK("https://znanium.ru/catalog/product/2082926", "Ознакомиться")</f>
        <v>Ознакомиться</v>
      </c>
      <c r="W617" s="8" t="s">
        <v>4004</v>
      </c>
      <c r="X617" s="6"/>
      <c r="Y617" s="6" t="s">
        <v>30</v>
      </c>
      <c r="Z617" s="6"/>
      <c r="AA617" s="6" t="s">
        <v>793</v>
      </c>
      <c r="AB617" s="8"/>
    </row>
    <row r="618" spans="1:28" s="4" customFormat="1" ht="42" customHeight="1">
      <c r="A618" s="5">
        <v>0</v>
      </c>
      <c r="B618" s="6" t="s">
        <v>4005</v>
      </c>
      <c r="C618" s="7">
        <v>690</v>
      </c>
      <c r="D618" s="8" t="s">
        <v>4006</v>
      </c>
      <c r="E618" s="8" t="s">
        <v>4007</v>
      </c>
      <c r="F618" s="8" t="s">
        <v>4008</v>
      </c>
      <c r="G618" s="6" t="s">
        <v>52</v>
      </c>
      <c r="H618" s="6" t="s">
        <v>53</v>
      </c>
      <c r="I618" s="8" t="s">
        <v>1325</v>
      </c>
      <c r="J618" s="9">
        <v>1</v>
      </c>
      <c r="K618" s="9">
        <v>174</v>
      </c>
      <c r="L618" s="9">
        <v>2021</v>
      </c>
      <c r="M618" s="8" t="s">
        <v>4009</v>
      </c>
      <c r="N618" s="8" t="s">
        <v>79</v>
      </c>
      <c r="O618" s="8" t="s">
        <v>570</v>
      </c>
      <c r="P618" s="6" t="s">
        <v>175</v>
      </c>
      <c r="Q618" s="8" t="s">
        <v>214</v>
      </c>
      <c r="R618" s="10" t="s">
        <v>4010</v>
      </c>
      <c r="S618" s="11"/>
      <c r="T618" s="6"/>
      <c r="U618" s="24" t="str">
        <f>HYPERLINK("https://media.infra-m.ru/1096/1096302/cover/1096302.jpg", "Обложка")</f>
        <v>Обложка</v>
      </c>
      <c r="V618" s="24" t="str">
        <f>HYPERLINK("https://znanium.ru/catalog/product/1096302", "Ознакомиться")</f>
        <v>Ознакомиться</v>
      </c>
      <c r="W618" s="8"/>
      <c r="X618" s="6"/>
      <c r="Y618" s="6"/>
      <c r="Z618" s="6"/>
      <c r="AA618" s="6" t="s">
        <v>219</v>
      </c>
      <c r="AB618" s="8"/>
    </row>
    <row r="619" spans="1:28" s="4" customFormat="1" ht="51.95" customHeight="1">
      <c r="A619" s="5">
        <v>0</v>
      </c>
      <c r="B619" s="6" t="s">
        <v>4011</v>
      </c>
      <c r="C619" s="7">
        <v>820</v>
      </c>
      <c r="D619" s="8" t="s">
        <v>4012</v>
      </c>
      <c r="E619" s="8" t="s">
        <v>4007</v>
      </c>
      <c r="F619" s="8" t="s">
        <v>4008</v>
      </c>
      <c r="G619" s="6" t="s">
        <v>89</v>
      </c>
      <c r="H619" s="6" t="s">
        <v>53</v>
      </c>
      <c r="I619" s="8" t="s">
        <v>4013</v>
      </c>
      <c r="J619" s="9">
        <v>1</v>
      </c>
      <c r="K619" s="9">
        <v>174</v>
      </c>
      <c r="L619" s="9">
        <v>2024</v>
      </c>
      <c r="M619" s="8" t="s">
        <v>4014</v>
      </c>
      <c r="N619" s="8" t="s">
        <v>79</v>
      </c>
      <c r="O619" s="8" t="s">
        <v>570</v>
      </c>
      <c r="P619" s="6" t="s">
        <v>175</v>
      </c>
      <c r="Q619" s="8" t="s">
        <v>102</v>
      </c>
      <c r="R619" s="10" t="s">
        <v>4015</v>
      </c>
      <c r="S619" s="11" t="s">
        <v>4016</v>
      </c>
      <c r="T619" s="6"/>
      <c r="U619" s="24" t="str">
        <f>HYPERLINK("https://media.infra-m.ru/2140/2140864/cover/2140864.jpg", "Обложка")</f>
        <v>Обложка</v>
      </c>
      <c r="V619" s="24" t="str">
        <f>HYPERLINK("https://znanium.ru/catalog/product/2140864", "Ознакомиться")</f>
        <v>Ознакомиться</v>
      </c>
      <c r="W619" s="8"/>
      <c r="X619" s="6"/>
      <c r="Y619" s="6"/>
      <c r="Z619" s="6" t="s">
        <v>2565</v>
      </c>
      <c r="AA619" s="6" t="s">
        <v>219</v>
      </c>
      <c r="AB619" s="8"/>
    </row>
    <row r="620" spans="1:28" s="4" customFormat="1" ht="51.95" customHeight="1">
      <c r="A620" s="5">
        <v>0</v>
      </c>
      <c r="B620" s="6" t="s">
        <v>4017</v>
      </c>
      <c r="C620" s="7">
        <v>670</v>
      </c>
      <c r="D620" s="8" t="s">
        <v>4018</v>
      </c>
      <c r="E620" s="8" t="s">
        <v>4019</v>
      </c>
      <c r="F620" s="8" t="s">
        <v>4020</v>
      </c>
      <c r="G620" s="6" t="s">
        <v>52</v>
      </c>
      <c r="H620" s="6" t="s">
        <v>53</v>
      </c>
      <c r="I620" s="8" t="s">
        <v>276</v>
      </c>
      <c r="J620" s="9">
        <v>1</v>
      </c>
      <c r="K620" s="9">
        <v>169</v>
      </c>
      <c r="L620" s="9">
        <v>2021</v>
      </c>
      <c r="M620" s="8" t="s">
        <v>4021</v>
      </c>
      <c r="N620" s="8" t="s">
        <v>413</v>
      </c>
      <c r="O620" s="8" t="s">
        <v>1141</v>
      </c>
      <c r="P620" s="6" t="s">
        <v>43</v>
      </c>
      <c r="Q620" s="8" t="s">
        <v>279</v>
      </c>
      <c r="R620" s="10" t="s">
        <v>4022</v>
      </c>
      <c r="S620" s="11" t="s">
        <v>4023</v>
      </c>
      <c r="T620" s="6"/>
      <c r="U620" s="24" t="str">
        <f>HYPERLINK("https://media.infra-m.ru/1209/1209581/cover/1209581.jpg", "Обложка")</f>
        <v>Обложка</v>
      </c>
      <c r="V620" s="24" t="str">
        <f>HYPERLINK("https://znanium.ru/catalog/product/1209581", "Ознакомиться")</f>
        <v>Ознакомиться</v>
      </c>
      <c r="W620" s="8" t="s">
        <v>4024</v>
      </c>
      <c r="X620" s="6"/>
      <c r="Y620" s="6"/>
      <c r="Z620" s="6"/>
      <c r="AA620" s="6" t="s">
        <v>219</v>
      </c>
      <c r="AB620" s="8"/>
    </row>
    <row r="621" spans="1:28" s="4" customFormat="1" ht="42" customHeight="1">
      <c r="A621" s="5">
        <v>0</v>
      </c>
      <c r="B621" s="6" t="s">
        <v>4025</v>
      </c>
      <c r="C621" s="13">
        <v>1082</v>
      </c>
      <c r="D621" s="8" t="s">
        <v>4026</v>
      </c>
      <c r="E621" s="8" t="s">
        <v>4027</v>
      </c>
      <c r="F621" s="8" t="s">
        <v>1209</v>
      </c>
      <c r="G621" s="6" t="s">
        <v>89</v>
      </c>
      <c r="H621" s="6" t="s">
        <v>53</v>
      </c>
      <c r="I621" s="8" t="s">
        <v>165</v>
      </c>
      <c r="J621" s="9">
        <v>1</v>
      </c>
      <c r="K621" s="9">
        <v>177</v>
      </c>
      <c r="L621" s="9">
        <v>2024</v>
      </c>
      <c r="M621" s="8" t="s">
        <v>4028</v>
      </c>
      <c r="N621" s="8" t="s">
        <v>79</v>
      </c>
      <c r="O621" s="8" t="s">
        <v>80</v>
      </c>
      <c r="P621" s="6" t="s">
        <v>43</v>
      </c>
      <c r="Q621" s="8" t="s">
        <v>58</v>
      </c>
      <c r="R621" s="10" t="s">
        <v>4029</v>
      </c>
      <c r="S621" s="11"/>
      <c r="T621" s="6"/>
      <c r="U621" s="24" t="str">
        <f>HYPERLINK("https://media.infra-m.ru/2141/2141600/cover/2141600.jpg", "Обложка")</f>
        <v>Обложка</v>
      </c>
      <c r="V621" s="24" t="str">
        <f>HYPERLINK("https://znanium.ru/catalog/product/2141600", "Ознакомиться")</f>
        <v>Ознакомиться</v>
      </c>
      <c r="W621" s="8" t="s">
        <v>83</v>
      </c>
      <c r="X621" s="6"/>
      <c r="Y621" s="6"/>
      <c r="Z621" s="6"/>
      <c r="AA621" s="6" t="s">
        <v>133</v>
      </c>
      <c r="AB621" s="8"/>
    </row>
    <row r="622" spans="1:28" s="4" customFormat="1" ht="51.95" customHeight="1">
      <c r="A622" s="5">
        <v>0</v>
      </c>
      <c r="B622" s="6" t="s">
        <v>4030</v>
      </c>
      <c r="C622" s="13">
        <v>1800</v>
      </c>
      <c r="D622" s="8" t="s">
        <v>4031</v>
      </c>
      <c r="E622" s="8" t="s">
        <v>4032</v>
      </c>
      <c r="F622" s="8" t="s">
        <v>4033</v>
      </c>
      <c r="G622" s="6" t="s">
        <v>89</v>
      </c>
      <c r="H622" s="6" t="s">
        <v>184</v>
      </c>
      <c r="I622" s="8" t="s">
        <v>116</v>
      </c>
      <c r="J622" s="9">
        <v>1</v>
      </c>
      <c r="K622" s="9">
        <v>360</v>
      </c>
      <c r="L622" s="9">
        <v>2024</v>
      </c>
      <c r="M622" s="8" t="s">
        <v>4034</v>
      </c>
      <c r="N622" s="8" t="s">
        <v>41</v>
      </c>
      <c r="O622" s="8" t="s">
        <v>4035</v>
      </c>
      <c r="P622" s="6" t="s">
        <v>43</v>
      </c>
      <c r="Q622" s="8" t="s">
        <v>58</v>
      </c>
      <c r="R622" s="10" t="s">
        <v>4036</v>
      </c>
      <c r="S622" s="11"/>
      <c r="T622" s="6"/>
      <c r="U622" s="24" t="str">
        <f>HYPERLINK("https://media.infra-m.ru/2155/2155220/cover/2155220.jpg", "Обложка")</f>
        <v>Обложка</v>
      </c>
      <c r="V622" s="24" t="str">
        <f>HYPERLINK("https://znanium.ru/catalog/product/2155220", "Ознакомиться")</f>
        <v>Ознакомиться</v>
      </c>
      <c r="W622" s="8"/>
      <c r="X622" s="6"/>
      <c r="Y622" s="6"/>
      <c r="Z622" s="6"/>
      <c r="AA622" s="6" t="s">
        <v>377</v>
      </c>
      <c r="AB622" s="8"/>
    </row>
    <row r="623" spans="1:28" s="4" customFormat="1" ht="51.95" customHeight="1">
      <c r="A623" s="5">
        <v>0</v>
      </c>
      <c r="B623" s="6" t="s">
        <v>4037</v>
      </c>
      <c r="C623" s="13">
        <v>1010</v>
      </c>
      <c r="D623" s="8" t="s">
        <v>4038</v>
      </c>
      <c r="E623" s="8" t="s">
        <v>4039</v>
      </c>
      <c r="F623" s="8" t="s">
        <v>4040</v>
      </c>
      <c r="G623" s="6" t="s">
        <v>89</v>
      </c>
      <c r="H623" s="6" t="s">
        <v>53</v>
      </c>
      <c r="I623" s="8" t="s">
        <v>116</v>
      </c>
      <c r="J623" s="9">
        <v>1</v>
      </c>
      <c r="K623" s="9">
        <v>201</v>
      </c>
      <c r="L623" s="9">
        <v>2025</v>
      </c>
      <c r="M623" s="8" t="s">
        <v>4041</v>
      </c>
      <c r="N623" s="8" t="s">
        <v>56</v>
      </c>
      <c r="O623" s="8" t="s">
        <v>4042</v>
      </c>
      <c r="P623" s="6" t="s">
        <v>43</v>
      </c>
      <c r="Q623" s="8" t="s">
        <v>58</v>
      </c>
      <c r="R623" s="10" t="s">
        <v>4043</v>
      </c>
      <c r="S623" s="11" t="s">
        <v>4044</v>
      </c>
      <c r="T623" s="6"/>
      <c r="U623" s="24" t="str">
        <f>HYPERLINK("https://media.infra-m.ru/2163/2163042/cover/2163042.jpg", "Обложка")</f>
        <v>Обложка</v>
      </c>
      <c r="V623" s="24" t="str">
        <f>HYPERLINK("https://znanium.ru/catalog/product/2163042", "Ознакомиться")</f>
        <v>Ознакомиться</v>
      </c>
      <c r="W623" s="8" t="s">
        <v>4045</v>
      </c>
      <c r="X623" s="6"/>
      <c r="Y623" s="6"/>
      <c r="Z623" s="6"/>
      <c r="AA623" s="6" t="s">
        <v>207</v>
      </c>
      <c r="AB623" s="8"/>
    </row>
    <row r="624" spans="1:28" s="4" customFormat="1" ht="51.95" customHeight="1">
      <c r="A624" s="5">
        <v>0</v>
      </c>
      <c r="B624" s="6" t="s">
        <v>4046</v>
      </c>
      <c r="C624" s="13">
        <v>1470</v>
      </c>
      <c r="D624" s="8" t="s">
        <v>4047</v>
      </c>
      <c r="E624" s="8" t="s">
        <v>4048</v>
      </c>
      <c r="F624" s="8" t="s">
        <v>4049</v>
      </c>
      <c r="G624" s="6" t="s">
        <v>89</v>
      </c>
      <c r="H624" s="6" t="s">
        <v>649</v>
      </c>
      <c r="I624" s="8" t="s">
        <v>100</v>
      </c>
      <c r="J624" s="9">
        <v>1</v>
      </c>
      <c r="K624" s="9">
        <v>320</v>
      </c>
      <c r="L624" s="9">
        <v>2023</v>
      </c>
      <c r="M624" s="8" t="s">
        <v>4050</v>
      </c>
      <c r="N624" s="8" t="s">
        <v>79</v>
      </c>
      <c r="O624" s="8" t="s">
        <v>80</v>
      </c>
      <c r="P624" s="6" t="s">
        <v>43</v>
      </c>
      <c r="Q624" s="8" t="s">
        <v>102</v>
      </c>
      <c r="R624" s="10" t="s">
        <v>4051</v>
      </c>
      <c r="S624" s="11" t="s">
        <v>2596</v>
      </c>
      <c r="T624" s="6"/>
      <c r="U624" s="24" t="str">
        <f>HYPERLINK("https://media.infra-m.ru/1891/1891187/cover/1891187.jpg", "Обложка")</f>
        <v>Обложка</v>
      </c>
      <c r="V624" s="24" t="str">
        <f>HYPERLINK("https://znanium.ru/catalog/product/2181823", "Ознакомиться")</f>
        <v>Ознакомиться</v>
      </c>
      <c r="W624" s="8" t="s">
        <v>2216</v>
      </c>
      <c r="X624" s="6"/>
      <c r="Y624" s="6"/>
      <c r="Z624" s="6" t="s">
        <v>104</v>
      </c>
      <c r="AA624" s="6" t="s">
        <v>793</v>
      </c>
      <c r="AB624" s="8"/>
    </row>
    <row r="625" spans="1:28" s="4" customFormat="1" ht="51.95" customHeight="1">
      <c r="A625" s="5">
        <v>0</v>
      </c>
      <c r="B625" s="6" t="s">
        <v>4052</v>
      </c>
      <c r="C625" s="13">
        <v>1084.9000000000001</v>
      </c>
      <c r="D625" s="8" t="s">
        <v>4053</v>
      </c>
      <c r="E625" s="8" t="s">
        <v>4048</v>
      </c>
      <c r="F625" s="8" t="s">
        <v>4049</v>
      </c>
      <c r="G625" s="6" t="s">
        <v>52</v>
      </c>
      <c r="H625" s="6" t="s">
        <v>649</v>
      </c>
      <c r="I625" s="8" t="s">
        <v>116</v>
      </c>
      <c r="J625" s="9">
        <v>1</v>
      </c>
      <c r="K625" s="9">
        <v>320</v>
      </c>
      <c r="L625" s="9">
        <v>2020</v>
      </c>
      <c r="M625" s="8" t="s">
        <v>4054</v>
      </c>
      <c r="N625" s="8" t="s">
        <v>79</v>
      </c>
      <c r="O625" s="8" t="s">
        <v>80</v>
      </c>
      <c r="P625" s="6" t="s">
        <v>43</v>
      </c>
      <c r="Q625" s="8" t="s">
        <v>44</v>
      </c>
      <c r="R625" s="10" t="s">
        <v>4055</v>
      </c>
      <c r="S625" s="11" t="s">
        <v>4056</v>
      </c>
      <c r="T625" s="6"/>
      <c r="U625" s="24" t="str">
        <f>HYPERLINK("https://media.infra-m.ru/1046/1046281/cover/1046281.jpg", "Обложка")</f>
        <v>Обложка</v>
      </c>
      <c r="V625" s="24" t="str">
        <f>HYPERLINK("https://znanium.ru/catalog/product/1077727", "Ознакомиться")</f>
        <v>Ознакомиться</v>
      </c>
      <c r="W625" s="8" t="s">
        <v>2216</v>
      </c>
      <c r="X625" s="6"/>
      <c r="Y625" s="6"/>
      <c r="Z625" s="6"/>
      <c r="AA625" s="6" t="s">
        <v>418</v>
      </c>
      <c r="AB625" s="8"/>
    </row>
    <row r="626" spans="1:28" s="4" customFormat="1" ht="51.95" customHeight="1">
      <c r="A626" s="5">
        <v>0</v>
      </c>
      <c r="B626" s="6" t="s">
        <v>4057</v>
      </c>
      <c r="C626" s="7">
        <v>980</v>
      </c>
      <c r="D626" s="8" t="s">
        <v>4058</v>
      </c>
      <c r="E626" s="8" t="s">
        <v>4059</v>
      </c>
      <c r="F626" s="8" t="s">
        <v>4060</v>
      </c>
      <c r="G626" s="6" t="s">
        <v>52</v>
      </c>
      <c r="H626" s="6" t="s">
        <v>53</v>
      </c>
      <c r="I626" s="8" t="s">
        <v>712</v>
      </c>
      <c r="J626" s="9">
        <v>1</v>
      </c>
      <c r="K626" s="9">
        <v>194</v>
      </c>
      <c r="L626" s="9">
        <v>2025</v>
      </c>
      <c r="M626" s="8" t="s">
        <v>4061</v>
      </c>
      <c r="N626" s="8" t="s">
        <v>413</v>
      </c>
      <c r="O626" s="8" t="s">
        <v>1584</v>
      </c>
      <c r="P626" s="6" t="s">
        <v>43</v>
      </c>
      <c r="Q626" s="8" t="s">
        <v>58</v>
      </c>
      <c r="R626" s="10" t="s">
        <v>4062</v>
      </c>
      <c r="S626" s="11" t="s">
        <v>4063</v>
      </c>
      <c r="T626" s="6"/>
      <c r="U626" s="24" t="str">
        <f>HYPERLINK("https://media.infra-m.ru/2169/2169740/cover/2169740.jpg", "Обложка")</f>
        <v>Обложка</v>
      </c>
      <c r="V626" s="24" t="str">
        <f>HYPERLINK("https://znanium.ru/catalog/product/2169740", "Ознакомиться")</f>
        <v>Ознакомиться</v>
      </c>
      <c r="W626" s="8" t="s">
        <v>716</v>
      </c>
      <c r="X626" s="6" t="s">
        <v>132</v>
      </c>
      <c r="Y626" s="6"/>
      <c r="Z626" s="6"/>
      <c r="AA626" s="6" t="s">
        <v>61</v>
      </c>
      <c r="AB626" s="8"/>
    </row>
    <row r="627" spans="1:28" s="4" customFormat="1" ht="51.95" customHeight="1">
      <c r="A627" s="5">
        <v>0</v>
      </c>
      <c r="B627" s="6" t="s">
        <v>4064</v>
      </c>
      <c r="C627" s="13">
        <v>1264</v>
      </c>
      <c r="D627" s="8" t="s">
        <v>4065</v>
      </c>
      <c r="E627" s="8" t="s">
        <v>4066</v>
      </c>
      <c r="F627" s="8" t="s">
        <v>4067</v>
      </c>
      <c r="G627" s="6" t="s">
        <v>89</v>
      </c>
      <c r="H627" s="6" t="s">
        <v>53</v>
      </c>
      <c r="I627" s="8" t="s">
        <v>90</v>
      </c>
      <c r="J627" s="9">
        <v>1</v>
      </c>
      <c r="K627" s="9">
        <v>224</v>
      </c>
      <c r="L627" s="9">
        <v>2024</v>
      </c>
      <c r="M627" s="8" t="s">
        <v>4068</v>
      </c>
      <c r="N627" s="8" t="s">
        <v>413</v>
      </c>
      <c r="O627" s="8" t="s">
        <v>1584</v>
      </c>
      <c r="P627" s="6" t="s">
        <v>43</v>
      </c>
      <c r="Q627" s="8" t="s">
        <v>44</v>
      </c>
      <c r="R627" s="10" t="s">
        <v>4069</v>
      </c>
      <c r="S627" s="11" t="s">
        <v>4070</v>
      </c>
      <c r="T627" s="6"/>
      <c r="U627" s="24" t="str">
        <f>HYPERLINK("https://media.infra-m.ru/2122/2122063/cover/2122063.jpg", "Обложка")</f>
        <v>Обложка</v>
      </c>
      <c r="V627" s="24" t="str">
        <f>HYPERLINK("https://znanium.ru/catalog/product/2117164", "Ознакомиться")</f>
        <v>Ознакомиться</v>
      </c>
      <c r="W627" s="8" t="s">
        <v>4071</v>
      </c>
      <c r="X627" s="6"/>
      <c r="Y627" s="6"/>
      <c r="Z627" s="6"/>
      <c r="AA627" s="6" t="s">
        <v>84</v>
      </c>
      <c r="AB627" s="8"/>
    </row>
    <row r="628" spans="1:28" s="4" customFormat="1" ht="51.95" customHeight="1">
      <c r="A628" s="5">
        <v>0</v>
      </c>
      <c r="B628" s="6" t="s">
        <v>4072</v>
      </c>
      <c r="C628" s="13">
        <v>1420</v>
      </c>
      <c r="D628" s="8" t="s">
        <v>4073</v>
      </c>
      <c r="E628" s="8" t="s">
        <v>4074</v>
      </c>
      <c r="F628" s="8" t="s">
        <v>4075</v>
      </c>
      <c r="G628" s="6" t="s">
        <v>89</v>
      </c>
      <c r="H628" s="6" t="s">
        <v>53</v>
      </c>
      <c r="I628" s="8" t="s">
        <v>116</v>
      </c>
      <c r="J628" s="9">
        <v>1</v>
      </c>
      <c r="K628" s="9">
        <v>273</v>
      </c>
      <c r="L628" s="9">
        <v>2025</v>
      </c>
      <c r="M628" s="8" t="s">
        <v>4076</v>
      </c>
      <c r="N628" s="8" t="s">
        <v>413</v>
      </c>
      <c r="O628" s="8" t="s">
        <v>1584</v>
      </c>
      <c r="P628" s="6" t="s">
        <v>43</v>
      </c>
      <c r="Q628" s="8" t="s">
        <v>44</v>
      </c>
      <c r="R628" s="10" t="s">
        <v>4069</v>
      </c>
      <c r="S628" s="11" t="s">
        <v>4070</v>
      </c>
      <c r="T628" s="6"/>
      <c r="U628" s="24" t="str">
        <f>HYPERLINK("https://media.infra-m.ru/2117/2117164/cover/2117164.jpg", "Обложка")</f>
        <v>Обложка</v>
      </c>
      <c r="V628" s="24" t="str">
        <f>HYPERLINK("https://znanium.ru/catalog/product/2117164", "Ознакомиться")</f>
        <v>Ознакомиться</v>
      </c>
      <c r="W628" s="8" t="s">
        <v>4071</v>
      </c>
      <c r="X628" s="6"/>
      <c r="Y628" s="6"/>
      <c r="Z628" s="6"/>
      <c r="AA628" s="6" t="s">
        <v>513</v>
      </c>
      <c r="AB628" s="8"/>
    </row>
    <row r="629" spans="1:28" s="4" customFormat="1" ht="42" customHeight="1">
      <c r="A629" s="5">
        <v>0</v>
      </c>
      <c r="B629" s="6" t="s">
        <v>4077</v>
      </c>
      <c r="C629" s="7">
        <v>620</v>
      </c>
      <c r="D629" s="8" t="s">
        <v>4078</v>
      </c>
      <c r="E629" s="8" t="s">
        <v>4079</v>
      </c>
      <c r="F629" s="8" t="s">
        <v>4080</v>
      </c>
      <c r="G629" s="6" t="s">
        <v>38</v>
      </c>
      <c r="H629" s="6" t="s">
        <v>39</v>
      </c>
      <c r="I629" s="8" t="s">
        <v>100</v>
      </c>
      <c r="J629" s="9">
        <v>1</v>
      </c>
      <c r="K629" s="9">
        <v>112</v>
      </c>
      <c r="L629" s="9">
        <v>2025</v>
      </c>
      <c r="M629" s="8" t="s">
        <v>4081</v>
      </c>
      <c r="N629" s="8" t="s">
        <v>413</v>
      </c>
      <c r="O629" s="8" t="s">
        <v>414</v>
      </c>
      <c r="P629" s="6" t="s">
        <v>43</v>
      </c>
      <c r="Q629" s="8" t="s">
        <v>102</v>
      </c>
      <c r="R629" s="10" t="s">
        <v>4082</v>
      </c>
      <c r="S629" s="11"/>
      <c r="T629" s="6"/>
      <c r="U629" s="24" t="str">
        <f>HYPERLINK("https://media.infra-m.ru/2169/2169371/cover/2169371.jpg", "Обложка")</f>
        <v>Обложка</v>
      </c>
      <c r="V629" s="24" t="str">
        <f>HYPERLINK("https://znanium.ru/catalog/product/2169371", "Ознакомиться")</f>
        <v>Ознакомиться</v>
      </c>
      <c r="W629" s="8" t="s">
        <v>4083</v>
      </c>
      <c r="X629" s="6" t="s">
        <v>785</v>
      </c>
      <c r="Y629" s="6" t="s">
        <v>30</v>
      </c>
      <c r="Z629" s="6" t="s">
        <v>104</v>
      </c>
      <c r="AA629" s="6" t="s">
        <v>549</v>
      </c>
      <c r="AB629" s="8"/>
    </row>
    <row r="630" spans="1:28" s="4" customFormat="1" ht="51.95" customHeight="1">
      <c r="A630" s="5">
        <v>0</v>
      </c>
      <c r="B630" s="6" t="s">
        <v>4084</v>
      </c>
      <c r="C630" s="7">
        <v>584</v>
      </c>
      <c r="D630" s="8" t="s">
        <v>4085</v>
      </c>
      <c r="E630" s="8" t="s">
        <v>4079</v>
      </c>
      <c r="F630" s="8" t="s">
        <v>4080</v>
      </c>
      <c r="G630" s="6" t="s">
        <v>38</v>
      </c>
      <c r="H630" s="6" t="s">
        <v>39</v>
      </c>
      <c r="I630" s="8" t="s">
        <v>90</v>
      </c>
      <c r="J630" s="9">
        <v>1</v>
      </c>
      <c r="K630" s="9">
        <v>112</v>
      </c>
      <c r="L630" s="9">
        <v>2025</v>
      </c>
      <c r="M630" s="8" t="s">
        <v>4086</v>
      </c>
      <c r="N630" s="8" t="s">
        <v>413</v>
      </c>
      <c r="O630" s="8" t="s">
        <v>414</v>
      </c>
      <c r="P630" s="6" t="s">
        <v>43</v>
      </c>
      <c r="Q630" s="8" t="s">
        <v>44</v>
      </c>
      <c r="R630" s="10" t="s">
        <v>4087</v>
      </c>
      <c r="S630" s="11" t="s">
        <v>4088</v>
      </c>
      <c r="T630" s="6"/>
      <c r="U630" s="24" t="str">
        <f>HYPERLINK("https://media.infra-m.ru/2196/2196945/cover/2196945.jpg", "Обложка")</f>
        <v>Обложка</v>
      </c>
      <c r="V630" s="24" t="str">
        <f>HYPERLINK("https://znanium.ru/catalog/product/1917599", "Ознакомиться")</f>
        <v>Ознакомиться</v>
      </c>
      <c r="W630" s="8" t="s">
        <v>4083</v>
      </c>
      <c r="X630" s="6"/>
      <c r="Y630" s="6"/>
      <c r="Z630" s="6"/>
      <c r="AA630" s="6" t="s">
        <v>160</v>
      </c>
      <c r="AB630" s="8"/>
    </row>
    <row r="631" spans="1:28" s="4" customFormat="1" ht="51.95" customHeight="1">
      <c r="A631" s="5">
        <v>0</v>
      </c>
      <c r="B631" s="6" t="s">
        <v>4089</v>
      </c>
      <c r="C631" s="13">
        <v>1560</v>
      </c>
      <c r="D631" s="8" t="s">
        <v>4090</v>
      </c>
      <c r="E631" s="8" t="s">
        <v>4091</v>
      </c>
      <c r="F631" s="8" t="s">
        <v>4092</v>
      </c>
      <c r="G631" s="6" t="s">
        <v>89</v>
      </c>
      <c r="H631" s="6" t="s">
        <v>53</v>
      </c>
      <c r="I631" s="8" t="s">
        <v>116</v>
      </c>
      <c r="J631" s="9">
        <v>1</v>
      </c>
      <c r="K631" s="9">
        <v>339</v>
      </c>
      <c r="L631" s="9">
        <v>2024</v>
      </c>
      <c r="M631" s="8" t="s">
        <v>4093</v>
      </c>
      <c r="N631" s="8" t="s">
        <v>79</v>
      </c>
      <c r="O631" s="8" t="s">
        <v>80</v>
      </c>
      <c r="P631" s="6" t="s">
        <v>43</v>
      </c>
      <c r="Q631" s="8" t="s">
        <v>44</v>
      </c>
      <c r="R631" s="10" t="s">
        <v>4094</v>
      </c>
      <c r="S631" s="11" t="s">
        <v>4095</v>
      </c>
      <c r="T631" s="6"/>
      <c r="U631" s="24" t="str">
        <f>HYPERLINK("https://media.infra-m.ru/2107/2107311/cover/2107311.jpg", "Обложка")</f>
        <v>Обложка</v>
      </c>
      <c r="V631" s="24" t="str">
        <f>HYPERLINK("https://znanium.ru/catalog/product/2107311", "Ознакомиться")</f>
        <v>Ознакомиться</v>
      </c>
      <c r="W631" s="8" t="s">
        <v>2216</v>
      </c>
      <c r="X631" s="6"/>
      <c r="Y631" s="6"/>
      <c r="Z631" s="6"/>
      <c r="AA631" s="6" t="s">
        <v>95</v>
      </c>
      <c r="AB631" s="8"/>
    </row>
    <row r="632" spans="1:28" s="4" customFormat="1" ht="51.95" customHeight="1">
      <c r="A632" s="5">
        <v>0</v>
      </c>
      <c r="B632" s="6" t="s">
        <v>4096</v>
      </c>
      <c r="C632" s="13">
        <v>1214.9000000000001</v>
      </c>
      <c r="D632" s="8" t="s">
        <v>4097</v>
      </c>
      <c r="E632" s="8" t="s">
        <v>4098</v>
      </c>
      <c r="F632" s="8" t="s">
        <v>4099</v>
      </c>
      <c r="G632" s="6" t="s">
        <v>89</v>
      </c>
      <c r="H632" s="6" t="s">
        <v>649</v>
      </c>
      <c r="I632" s="8" t="s">
        <v>90</v>
      </c>
      <c r="J632" s="9">
        <v>1</v>
      </c>
      <c r="K632" s="9">
        <v>336</v>
      </c>
      <c r="L632" s="9">
        <v>2021</v>
      </c>
      <c r="M632" s="8" t="s">
        <v>4100</v>
      </c>
      <c r="N632" s="8" t="s">
        <v>79</v>
      </c>
      <c r="O632" s="8" t="s">
        <v>80</v>
      </c>
      <c r="P632" s="6" t="s">
        <v>43</v>
      </c>
      <c r="Q632" s="8" t="s">
        <v>44</v>
      </c>
      <c r="R632" s="10" t="s">
        <v>4094</v>
      </c>
      <c r="S632" s="11" t="s">
        <v>4101</v>
      </c>
      <c r="T632" s="6"/>
      <c r="U632" s="24" t="str">
        <f>HYPERLINK("https://media.infra-m.ru/1230/1230216/cover/1230216.jpg", "Обложка")</f>
        <v>Обложка</v>
      </c>
      <c r="V632" s="24" t="str">
        <f>HYPERLINK("https://znanium.ru/catalog/product/2107311", "Ознакомиться")</f>
        <v>Ознакомиться</v>
      </c>
      <c r="W632" s="8" t="s">
        <v>2216</v>
      </c>
      <c r="X632" s="6"/>
      <c r="Y632" s="6"/>
      <c r="Z632" s="6"/>
      <c r="AA632" s="6" t="s">
        <v>47</v>
      </c>
      <c r="AB632" s="8"/>
    </row>
    <row r="633" spans="1:28" s="4" customFormat="1" ht="51.95" customHeight="1">
      <c r="A633" s="5">
        <v>0</v>
      </c>
      <c r="B633" s="6" t="s">
        <v>4102</v>
      </c>
      <c r="C633" s="13">
        <v>1204</v>
      </c>
      <c r="D633" s="8" t="s">
        <v>4103</v>
      </c>
      <c r="E633" s="8" t="s">
        <v>4104</v>
      </c>
      <c r="F633" s="8" t="s">
        <v>4105</v>
      </c>
      <c r="G633" s="6" t="s">
        <v>89</v>
      </c>
      <c r="H633" s="6" t="s">
        <v>39</v>
      </c>
      <c r="I633" s="8" t="s">
        <v>90</v>
      </c>
      <c r="J633" s="9">
        <v>1</v>
      </c>
      <c r="K633" s="9">
        <v>240</v>
      </c>
      <c r="L633" s="9">
        <v>2025</v>
      </c>
      <c r="M633" s="8" t="s">
        <v>4106</v>
      </c>
      <c r="N633" s="8" t="s">
        <v>79</v>
      </c>
      <c r="O633" s="8" t="s">
        <v>80</v>
      </c>
      <c r="P633" s="6" t="s">
        <v>822</v>
      </c>
      <c r="Q633" s="8" t="s">
        <v>44</v>
      </c>
      <c r="R633" s="10" t="s">
        <v>4107</v>
      </c>
      <c r="S633" s="11" t="s">
        <v>4108</v>
      </c>
      <c r="T633" s="6"/>
      <c r="U633" s="24" t="str">
        <f>HYPERLINK("https://media.infra-m.ru/2186/2186216/cover/2186216.jpg", "Обложка")</f>
        <v>Обложка</v>
      </c>
      <c r="V633" s="24" t="str">
        <f>HYPERLINK("https://znanium.ru/catalog/product/2178770", "Ознакомиться")</f>
        <v>Ознакомиться</v>
      </c>
      <c r="W633" s="8" t="s">
        <v>4109</v>
      </c>
      <c r="X633" s="6"/>
      <c r="Y633" s="6"/>
      <c r="Z633" s="6"/>
      <c r="AA633" s="6" t="s">
        <v>407</v>
      </c>
      <c r="AB633" s="8"/>
    </row>
    <row r="634" spans="1:28" s="4" customFormat="1" ht="51.95" customHeight="1">
      <c r="A634" s="5">
        <v>0</v>
      </c>
      <c r="B634" s="6" t="s">
        <v>4110</v>
      </c>
      <c r="C634" s="13">
        <v>1360</v>
      </c>
      <c r="D634" s="8" t="s">
        <v>4111</v>
      </c>
      <c r="E634" s="8" t="s">
        <v>4112</v>
      </c>
      <c r="F634" s="8" t="s">
        <v>4113</v>
      </c>
      <c r="G634" s="6" t="s">
        <v>89</v>
      </c>
      <c r="H634" s="6" t="s">
        <v>53</v>
      </c>
      <c r="I634" s="8" t="s">
        <v>116</v>
      </c>
      <c r="J634" s="9">
        <v>1</v>
      </c>
      <c r="K634" s="9">
        <v>272</v>
      </c>
      <c r="L634" s="9">
        <v>2024</v>
      </c>
      <c r="M634" s="8" t="s">
        <v>4114</v>
      </c>
      <c r="N634" s="8" t="s">
        <v>41</v>
      </c>
      <c r="O634" s="8" t="s">
        <v>278</v>
      </c>
      <c r="P634" s="6" t="s">
        <v>43</v>
      </c>
      <c r="Q634" s="8" t="s">
        <v>44</v>
      </c>
      <c r="R634" s="10" t="s">
        <v>4115</v>
      </c>
      <c r="S634" s="11" t="s">
        <v>4116</v>
      </c>
      <c r="T634" s="6"/>
      <c r="U634" s="24" t="str">
        <f>HYPERLINK("https://media.infra-m.ru/2157/2157173/cover/2157173.jpg", "Обложка")</f>
        <v>Обложка</v>
      </c>
      <c r="V634" s="24" t="str">
        <f>HYPERLINK("https://znanium.ru/catalog/product/2157173", "Ознакомиться")</f>
        <v>Ознакомиться</v>
      </c>
      <c r="W634" s="8" t="s">
        <v>1345</v>
      </c>
      <c r="X634" s="6"/>
      <c r="Y634" s="6"/>
      <c r="Z634" s="6"/>
      <c r="AA634" s="6" t="s">
        <v>235</v>
      </c>
      <c r="AB634" s="8"/>
    </row>
    <row r="635" spans="1:28" s="4" customFormat="1" ht="51.95" customHeight="1">
      <c r="A635" s="5">
        <v>0</v>
      </c>
      <c r="B635" s="6" t="s">
        <v>4117</v>
      </c>
      <c r="C635" s="7">
        <v>684.9</v>
      </c>
      <c r="D635" s="8" t="s">
        <v>4118</v>
      </c>
      <c r="E635" s="8" t="s">
        <v>4119</v>
      </c>
      <c r="F635" s="8" t="s">
        <v>4120</v>
      </c>
      <c r="G635" s="6" t="s">
        <v>52</v>
      </c>
      <c r="H635" s="6" t="s">
        <v>53</v>
      </c>
      <c r="I635" s="8" t="s">
        <v>90</v>
      </c>
      <c r="J635" s="9">
        <v>1</v>
      </c>
      <c r="K635" s="9">
        <v>202</v>
      </c>
      <c r="L635" s="9">
        <v>2020</v>
      </c>
      <c r="M635" s="8" t="s">
        <v>4121</v>
      </c>
      <c r="N635" s="8" t="s">
        <v>41</v>
      </c>
      <c r="O635" s="8" t="s">
        <v>278</v>
      </c>
      <c r="P635" s="6" t="s">
        <v>43</v>
      </c>
      <c r="Q635" s="8" t="s">
        <v>44</v>
      </c>
      <c r="R635" s="10" t="s">
        <v>4122</v>
      </c>
      <c r="S635" s="11" t="s">
        <v>4123</v>
      </c>
      <c r="T635" s="6"/>
      <c r="U635" s="24" t="str">
        <f>HYPERLINK("https://media.infra-m.ru/1073/1073653/cover/1073653.jpg", "Обложка")</f>
        <v>Обложка</v>
      </c>
      <c r="V635" s="24" t="str">
        <f>HYPERLINK("https://znanium.ru/catalog/product/1903657", "Ознакомиться")</f>
        <v>Ознакомиться</v>
      </c>
      <c r="W635" s="8" t="s">
        <v>2080</v>
      </c>
      <c r="X635" s="6"/>
      <c r="Y635" s="6"/>
      <c r="Z635" s="6"/>
      <c r="AA635" s="6" t="s">
        <v>644</v>
      </c>
      <c r="AB635" s="8"/>
    </row>
    <row r="636" spans="1:28" s="4" customFormat="1" ht="51.95" customHeight="1">
      <c r="A636" s="5">
        <v>0</v>
      </c>
      <c r="B636" s="6" t="s">
        <v>4124</v>
      </c>
      <c r="C636" s="13">
        <v>1490</v>
      </c>
      <c r="D636" s="8" t="s">
        <v>4125</v>
      </c>
      <c r="E636" s="8" t="s">
        <v>4126</v>
      </c>
      <c r="F636" s="8" t="s">
        <v>4127</v>
      </c>
      <c r="G636" s="6" t="s">
        <v>52</v>
      </c>
      <c r="H636" s="6" t="s">
        <v>53</v>
      </c>
      <c r="I636" s="8" t="s">
        <v>116</v>
      </c>
      <c r="J636" s="9">
        <v>1</v>
      </c>
      <c r="K636" s="9">
        <v>289</v>
      </c>
      <c r="L636" s="9">
        <v>2025</v>
      </c>
      <c r="M636" s="8" t="s">
        <v>4128</v>
      </c>
      <c r="N636" s="8" t="s">
        <v>413</v>
      </c>
      <c r="O636" s="8" t="s">
        <v>1141</v>
      </c>
      <c r="P636" s="6" t="s">
        <v>43</v>
      </c>
      <c r="Q636" s="8" t="s">
        <v>58</v>
      </c>
      <c r="R636" s="10" t="s">
        <v>4129</v>
      </c>
      <c r="S636" s="11"/>
      <c r="T636" s="6"/>
      <c r="U636" s="24" t="str">
        <f>HYPERLINK("https://media.infra-m.ru/2001/2001689/cover/2001689.jpg", "Обложка")</f>
        <v>Обложка</v>
      </c>
      <c r="V636" s="24" t="str">
        <f>HYPERLINK("https://znanium.ru/catalog/product/2001689", "Ознакомиться")</f>
        <v>Ознакомиться</v>
      </c>
      <c r="W636" s="8" t="s">
        <v>189</v>
      </c>
      <c r="X636" s="6" t="s">
        <v>132</v>
      </c>
      <c r="Y636" s="6"/>
      <c r="Z636" s="6"/>
      <c r="AA636" s="6" t="s">
        <v>61</v>
      </c>
      <c r="AB636" s="8"/>
    </row>
    <row r="637" spans="1:28" s="4" customFormat="1" ht="51.95" customHeight="1">
      <c r="A637" s="5">
        <v>0</v>
      </c>
      <c r="B637" s="6" t="s">
        <v>4130</v>
      </c>
      <c r="C637" s="13">
        <v>1954</v>
      </c>
      <c r="D637" s="8" t="s">
        <v>4131</v>
      </c>
      <c r="E637" s="8" t="s">
        <v>4132</v>
      </c>
      <c r="F637" s="8" t="s">
        <v>4133</v>
      </c>
      <c r="G637" s="6" t="s">
        <v>52</v>
      </c>
      <c r="H637" s="6" t="s">
        <v>53</v>
      </c>
      <c r="I637" s="8" t="s">
        <v>4134</v>
      </c>
      <c r="J637" s="9">
        <v>1</v>
      </c>
      <c r="K637" s="9">
        <v>416</v>
      </c>
      <c r="L637" s="9">
        <v>2024</v>
      </c>
      <c r="M637" s="8" t="s">
        <v>4135</v>
      </c>
      <c r="N637" s="8" t="s">
        <v>41</v>
      </c>
      <c r="O637" s="8" t="s">
        <v>118</v>
      </c>
      <c r="P637" s="6" t="s">
        <v>43</v>
      </c>
      <c r="Q637" s="8" t="s">
        <v>44</v>
      </c>
      <c r="R637" s="10" t="s">
        <v>4136</v>
      </c>
      <c r="S637" s="11" t="s">
        <v>4137</v>
      </c>
      <c r="T637" s="6"/>
      <c r="U637" s="24" t="str">
        <f>HYPERLINK("https://media.infra-m.ru/2150/2150629/cover/2150629.jpg", "Обложка")</f>
        <v>Обложка</v>
      </c>
      <c r="V637" s="24" t="str">
        <f>HYPERLINK("https://znanium.ru/catalog/product/920498", "Ознакомиться")</f>
        <v>Ознакомиться</v>
      </c>
      <c r="W637" s="8" t="s">
        <v>2080</v>
      </c>
      <c r="X637" s="6"/>
      <c r="Y637" s="6"/>
      <c r="Z637" s="6"/>
      <c r="AA637" s="6" t="s">
        <v>407</v>
      </c>
      <c r="AB637" s="8"/>
    </row>
    <row r="638" spans="1:28" s="4" customFormat="1" ht="51.95" customHeight="1">
      <c r="A638" s="5">
        <v>0</v>
      </c>
      <c r="B638" s="6" t="s">
        <v>4138</v>
      </c>
      <c r="C638" s="13">
        <v>1584.9</v>
      </c>
      <c r="D638" s="8" t="s">
        <v>4139</v>
      </c>
      <c r="E638" s="8" t="s">
        <v>4140</v>
      </c>
      <c r="F638" s="8" t="s">
        <v>4133</v>
      </c>
      <c r="G638" s="6" t="s">
        <v>52</v>
      </c>
      <c r="H638" s="6" t="s">
        <v>53</v>
      </c>
      <c r="I638" s="8" t="s">
        <v>4134</v>
      </c>
      <c r="J638" s="9">
        <v>1</v>
      </c>
      <c r="K638" s="9">
        <v>416</v>
      </c>
      <c r="L638" s="9">
        <v>2022</v>
      </c>
      <c r="M638" s="8" t="s">
        <v>4135</v>
      </c>
      <c r="N638" s="8" t="s">
        <v>41</v>
      </c>
      <c r="O638" s="8" t="s">
        <v>118</v>
      </c>
      <c r="P638" s="6" t="s">
        <v>43</v>
      </c>
      <c r="Q638" s="8" t="s">
        <v>44</v>
      </c>
      <c r="R638" s="10" t="s">
        <v>4136</v>
      </c>
      <c r="S638" s="11" t="s">
        <v>4137</v>
      </c>
      <c r="T638" s="6"/>
      <c r="U638" s="24" t="str">
        <f>HYPERLINK("https://media.infra-m.ru/1842/1842544/cover/1842544.jpg", "Обложка")</f>
        <v>Обложка</v>
      </c>
      <c r="V638" s="24" t="str">
        <f>HYPERLINK("https://znanium.ru/catalog/product/920498", "Ознакомиться")</f>
        <v>Ознакомиться</v>
      </c>
      <c r="W638" s="8" t="s">
        <v>2080</v>
      </c>
      <c r="X638" s="6"/>
      <c r="Y638" s="6"/>
      <c r="Z638" s="6"/>
      <c r="AA638" s="6" t="s">
        <v>874</v>
      </c>
      <c r="AB638" s="8"/>
    </row>
    <row r="639" spans="1:28" s="4" customFormat="1" ht="51.95" customHeight="1">
      <c r="A639" s="5">
        <v>0</v>
      </c>
      <c r="B639" s="6" t="s">
        <v>4141</v>
      </c>
      <c r="C639" s="13">
        <v>1204</v>
      </c>
      <c r="D639" s="8" t="s">
        <v>4142</v>
      </c>
      <c r="E639" s="8" t="s">
        <v>4143</v>
      </c>
      <c r="F639" s="8" t="s">
        <v>4144</v>
      </c>
      <c r="G639" s="6" t="s">
        <v>52</v>
      </c>
      <c r="H639" s="6" t="s">
        <v>649</v>
      </c>
      <c r="I639" s="8" t="s">
        <v>116</v>
      </c>
      <c r="J639" s="9">
        <v>1</v>
      </c>
      <c r="K639" s="9">
        <v>240</v>
      </c>
      <c r="L639" s="9">
        <v>2025</v>
      </c>
      <c r="M639" s="8" t="s">
        <v>4145</v>
      </c>
      <c r="N639" s="8" t="s">
        <v>79</v>
      </c>
      <c r="O639" s="8" t="s">
        <v>80</v>
      </c>
      <c r="P639" s="6" t="s">
        <v>43</v>
      </c>
      <c r="Q639" s="8" t="s">
        <v>44</v>
      </c>
      <c r="R639" s="10" t="s">
        <v>4146</v>
      </c>
      <c r="S639" s="11" t="s">
        <v>4147</v>
      </c>
      <c r="T639" s="6"/>
      <c r="U639" s="24" t="str">
        <f>HYPERLINK("https://media.infra-m.ru/1842/1842533/cover/1842533.jpg", "Обложка")</f>
        <v>Обложка</v>
      </c>
      <c r="V639" s="24" t="str">
        <f>HYPERLINK("https://znanium.ru/catalog/product/1841773", "Ознакомиться")</f>
        <v>Ознакомиться</v>
      </c>
      <c r="W639" s="8" t="s">
        <v>2216</v>
      </c>
      <c r="X639" s="6"/>
      <c r="Y639" s="6"/>
      <c r="Z639" s="6"/>
      <c r="AA639" s="6" t="s">
        <v>122</v>
      </c>
      <c r="AB639" s="8"/>
    </row>
    <row r="640" spans="1:28" s="4" customFormat="1" ht="51.95" customHeight="1">
      <c r="A640" s="5">
        <v>0</v>
      </c>
      <c r="B640" s="6" t="s">
        <v>4148</v>
      </c>
      <c r="C640" s="7">
        <v>324</v>
      </c>
      <c r="D640" s="8" t="s">
        <v>4149</v>
      </c>
      <c r="E640" s="8" t="s">
        <v>4150</v>
      </c>
      <c r="F640" s="8" t="s">
        <v>4151</v>
      </c>
      <c r="G640" s="6" t="s">
        <v>38</v>
      </c>
      <c r="H640" s="6" t="s">
        <v>674</v>
      </c>
      <c r="I640" s="8"/>
      <c r="J640" s="9">
        <v>1</v>
      </c>
      <c r="K640" s="9">
        <v>48</v>
      </c>
      <c r="L640" s="9">
        <v>2025</v>
      </c>
      <c r="M640" s="8" t="s">
        <v>4152</v>
      </c>
      <c r="N640" s="8" t="s">
        <v>41</v>
      </c>
      <c r="O640" s="8" t="s">
        <v>676</v>
      </c>
      <c r="P640" s="6" t="s">
        <v>43</v>
      </c>
      <c r="Q640" s="8" t="s">
        <v>44</v>
      </c>
      <c r="R640" s="10" t="s">
        <v>806</v>
      </c>
      <c r="S640" s="11"/>
      <c r="T640" s="6"/>
      <c r="U640" s="24" t="str">
        <f>HYPERLINK("https://media.infra-m.ru/2185/2185908/cover/2185908.jpg", "Обложка")</f>
        <v>Обложка</v>
      </c>
      <c r="V640" s="24" t="str">
        <f>HYPERLINK("https://znanium.ru/catalog/product/1938037", "Ознакомиться")</f>
        <v>Ознакомиться</v>
      </c>
      <c r="W640" s="8" t="s">
        <v>4153</v>
      </c>
      <c r="X640" s="6"/>
      <c r="Y640" s="6"/>
      <c r="Z640" s="6"/>
      <c r="AA640" s="6" t="s">
        <v>555</v>
      </c>
      <c r="AB640" s="8"/>
    </row>
    <row r="641" spans="1:28" s="4" customFormat="1" ht="51.95" customHeight="1">
      <c r="A641" s="5">
        <v>0</v>
      </c>
      <c r="B641" s="6" t="s">
        <v>4154</v>
      </c>
      <c r="C641" s="13">
        <v>1190</v>
      </c>
      <c r="D641" s="8" t="s">
        <v>4155</v>
      </c>
      <c r="E641" s="8" t="s">
        <v>4156</v>
      </c>
      <c r="F641" s="8" t="s">
        <v>4157</v>
      </c>
      <c r="G641" s="6" t="s">
        <v>89</v>
      </c>
      <c r="H641" s="6" t="s">
        <v>53</v>
      </c>
      <c r="I641" s="8" t="s">
        <v>116</v>
      </c>
      <c r="J641" s="9">
        <v>1</v>
      </c>
      <c r="K641" s="9">
        <v>258</v>
      </c>
      <c r="L641" s="9">
        <v>2024</v>
      </c>
      <c r="M641" s="8" t="s">
        <v>4158</v>
      </c>
      <c r="N641" s="8" t="s">
        <v>997</v>
      </c>
      <c r="O641" s="8" t="s">
        <v>998</v>
      </c>
      <c r="P641" s="6" t="s">
        <v>175</v>
      </c>
      <c r="Q641" s="8" t="s">
        <v>44</v>
      </c>
      <c r="R641" s="10" t="s">
        <v>4159</v>
      </c>
      <c r="S641" s="11" t="s">
        <v>4160</v>
      </c>
      <c r="T641" s="6"/>
      <c r="U641" s="24" t="str">
        <f>HYPERLINK("https://media.infra-m.ru/2107/2107435/cover/2107435.jpg", "Обложка")</f>
        <v>Обложка</v>
      </c>
      <c r="V641" s="24" t="str">
        <f>HYPERLINK("https://znanium.ru/catalog/product/2107435", "Ознакомиться")</f>
        <v>Ознакомиться</v>
      </c>
      <c r="W641" s="8" t="s">
        <v>4161</v>
      </c>
      <c r="X641" s="6"/>
      <c r="Y641" s="6"/>
      <c r="Z641" s="6"/>
      <c r="AA641" s="6" t="s">
        <v>1259</v>
      </c>
      <c r="AB641" s="8"/>
    </row>
    <row r="642" spans="1:28" s="4" customFormat="1" ht="51.95" customHeight="1">
      <c r="A642" s="5">
        <v>0</v>
      </c>
      <c r="B642" s="6" t="s">
        <v>4162</v>
      </c>
      <c r="C642" s="13">
        <v>1050</v>
      </c>
      <c r="D642" s="8" t="s">
        <v>4163</v>
      </c>
      <c r="E642" s="8" t="s">
        <v>4164</v>
      </c>
      <c r="F642" s="8" t="s">
        <v>4165</v>
      </c>
      <c r="G642" s="6" t="s">
        <v>89</v>
      </c>
      <c r="H642" s="6" t="s">
        <v>53</v>
      </c>
      <c r="I642" s="8" t="s">
        <v>116</v>
      </c>
      <c r="J642" s="9">
        <v>1</v>
      </c>
      <c r="K642" s="9">
        <v>228</v>
      </c>
      <c r="L642" s="9">
        <v>2024</v>
      </c>
      <c r="M642" s="8" t="s">
        <v>4166</v>
      </c>
      <c r="N642" s="8" t="s">
        <v>997</v>
      </c>
      <c r="O642" s="8" t="s">
        <v>998</v>
      </c>
      <c r="P642" s="6" t="s">
        <v>43</v>
      </c>
      <c r="Q642" s="8" t="s">
        <v>44</v>
      </c>
      <c r="R642" s="10" t="s">
        <v>4159</v>
      </c>
      <c r="S642" s="11" t="s">
        <v>4167</v>
      </c>
      <c r="T642" s="6"/>
      <c r="U642" s="24" t="str">
        <f>HYPERLINK("https://media.infra-m.ru/2096/2096771/cover/2096771.jpg", "Обложка")</f>
        <v>Обложка</v>
      </c>
      <c r="V642" s="24" t="str">
        <f>HYPERLINK("https://znanium.ru/catalog/product/2096771", "Ознакомиться")</f>
        <v>Ознакомиться</v>
      </c>
      <c r="W642" s="8" t="s">
        <v>4161</v>
      </c>
      <c r="X642" s="6"/>
      <c r="Y642" s="6"/>
      <c r="Z642" s="6"/>
      <c r="AA642" s="6" t="s">
        <v>219</v>
      </c>
      <c r="AB642" s="8"/>
    </row>
    <row r="643" spans="1:28" s="4" customFormat="1" ht="51.95" customHeight="1">
      <c r="A643" s="5">
        <v>0</v>
      </c>
      <c r="B643" s="6" t="s">
        <v>4168</v>
      </c>
      <c r="C643" s="13">
        <v>1170</v>
      </c>
      <c r="D643" s="8" t="s">
        <v>4169</v>
      </c>
      <c r="E643" s="8" t="s">
        <v>4164</v>
      </c>
      <c r="F643" s="8" t="s">
        <v>4165</v>
      </c>
      <c r="G643" s="6" t="s">
        <v>89</v>
      </c>
      <c r="H643" s="6" t="s">
        <v>53</v>
      </c>
      <c r="I643" s="8" t="s">
        <v>100</v>
      </c>
      <c r="J643" s="9">
        <v>1</v>
      </c>
      <c r="K643" s="9">
        <v>228</v>
      </c>
      <c r="L643" s="9">
        <v>2025</v>
      </c>
      <c r="M643" s="8" t="s">
        <v>4170</v>
      </c>
      <c r="N643" s="8" t="s">
        <v>997</v>
      </c>
      <c r="O643" s="8" t="s">
        <v>998</v>
      </c>
      <c r="P643" s="6" t="s">
        <v>43</v>
      </c>
      <c r="Q643" s="8" t="s">
        <v>102</v>
      </c>
      <c r="R643" s="10" t="s">
        <v>4171</v>
      </c>
      <c r="S643" s="11" t="s">
        <v>4172</v>
      </c>
      <c r="T643" s="6"/>
      <c r="U643" s="24" t="str">
        <f>HYPERLINK("https://media.infra-m.ru/2184/2184885/cover/2184885.jpg", "Обложка")</f>
        <v>Обложка</v>
      </c>
      <c r="V643" s="24" t="str">
        <f>HYPERLINK("https://znanium.ru/catalog/product/2184885", "Ознакомиться")</f>
        <v>Ознакомиться</v>
      </c>
      <c r="W643" s="8" t="s">
        <v>4161</v>
      </c>
      <c r="X643" s="6"/>
      <c r="Y643" s="6"/>
      <c r="Z643" s="6" t="s">
        <v>104</v>
      </c>
      <c r="AA643" s="6" t="s">
        <v>219</v>
      </c>
      <c r="AB643" s="8"/>
    </row>
    <row r="644" spans="1:28" s="4" customFormat="1" ht="51.95" customHeight="1">
      <c r="A644" s="5">
        <v>0</v>
      </c>
      <c r="B644" s="6" t="s">
        <v>4173</v>
      </c>
      <c r="C644" s="13">
        <v>1644</v>
      </c>
      <c r="D644" s="8" t="s">
        <v>4174</v>
      </c>
      <c r="E644" s="8" t="s">
        <v>4175</v>
      </c>
      <c r="F644" s="8" t="s">
        <v>1155</v>
      </c>
      <c r="G644" s="6" t="s">
        <v>89</v>
      </c>
      <c r="H644" s="6" t="s">
        <v>53</v>
      </c>
      <c r="I644" s="8" t="s">
        <v>90</v>
      </c>
      <c r="J644" s="9">
        <v>1</v>
      </c>
      <c r="K644" s="9">
        <v>317</v>
      </c>
      <c r="L644" s="9">
        <v>2025</v>
      </c>
      <c r="M644" s="8" t="s">
        <v>4176</v>
      </c>
      <c r="N644" s="8" t="s">
        <v>79</v>
      </c>
      <c r="O644" s="8" t="s">
        <v>80</v>
      </c>
      <c r="P644" s="6" t="s">
        <v>43</v>
      </c>
      <c r="Q644" s="8" t="s">
        <v>44</v>
      </c>
      <c r="R644" s="10" t="s">
        <v>4177</v>
      </c>
      <c r="S644" s="11" t="s">
        <v>4178</v>
      </c>
      <c r="T644" s="6"/>
      <c r="U644" s="24" t="str">
        <f>HYPERLINK("https://media.infra-m.ru/2191/2191946/cover/2191946.jpg", "Обложка")</f>
        <v>Обложка</v>
      </c>
      <c r="V644" s="24" t="str">
        <f>HYPERLINK("https://znanium.ru/catalog/product/949045", "Ознакомиться")</f>
        <v>Ознакомиться</v>
      </c>
      <c r="W644" s="8" t="s">
        <v>1158</v>
      </c>
      <c r="X644" s="6"/>
      <c r="Y644" s="6"/>
      <c r="Z644" s="6"/>
      <c r="AA644" s="6" t="s">
        <v>793</v>
      </c>
      <c r="AB644" s="8"/>
    </row>
    <row r="645" spans="1:28" s="4" customFormat="1" ht="51.95" customHeight="1">
      <c r="A645" s="5">
        <v>0</v>
      </c>
      <c r="B645" s="6" t="s">
        <v>4179</v>
      </c>
      <c r="C645" s="13">
        <v>1460</v>
      </c>
      <c r="D645" s="8" t="s">
        <v>4180</v>
      </c>
      <c r="E645" s="8" t="s">
        <v>4175</v>
      </c>
      <c r="F645" s="8" t="s">
        <v>1155</v>
      </c>
      <c r="G645" s="6" t="s">
        <v>89</v>
      </c>
      <c r="H645" s="6" t="s">
        <v>53</v>
      </c>
      <c r="I645" s="8" t="s">
        <v>100</v>
      </c>
      <c r="J645" s="9">
        <v>1</v>
      </c>
      <c r="K645" s="9">
        <v>317</v>
      </c>
      <c r="L645" s="9">
        <v>2024</v>
      </c>
      <c r="M645" s="8" t="s">
        <v>4181</v>
      </c>
      <c r="N645" s="8" t="s">
        <v>79</v>
      </c>
      <c r="O645" s="8" t="s">
        <v>80</v>
      </c>
      <c r="P645" s="6" t="s">
        <v>43</v>
      </c>
      <c r="Q645" s="8" t="s">
        <v>102</v>
      </c>
      <c r="R645" s="10" t="s">
        <v>195</v>
      </c>
      <c r="S645" s="11" t="s">
        <v>4182</v>
      </c>
      <c r="T645" s="6"/>
      <c r="U645" s="24" t="str">
        <f>HYPERLINK("https://media.infra-m.ru/1912/1912983/cover/1912983.jpg", "Обложка")</f>
        <v>Обложка</v>
      </c>
      <c r="V645" s="24" t="str">
        <f>HYPERLINK("https://znanium.ru/catalog/product/1912983", "Ознакомиться")</f>
        <v>Ознакомиться</v>
      </c>
      <c r="W645" s="8" t="s">
        <v>1158</v>
      </c>
      <c r="X645" s="6"/>
      <c r="Y645" s="6"/>
      <c r="Z645" s="6" t="s">
        <v>104</v>
      </c>
      <c r="AA645" s="6" t="s">
        <v>219</v>
      </c>
      <c r="AB645" s="8"/>
    </row>
    <row r="646" spans="1:28" s="4" customFormat="1" ht="51.95" customHeight="1">
      <c r="A646" s="5">
        <v>0</v>
      </c>
      <c r="B646" s="6" t="s">
        <v>4183</v>
      </c>
      <c r="C646" s="13">
        <v>1860</v>
      </c>
      <c r="D646" s="8" t="s">
        <v>4184</v>
      </c>
      <c r="E646" s="8" t="s">
        <v>4185</v>
      </c>
      <c r="F646" s="8" t="s">
        <v>1155</v>
      </c>
      <c r="G646" s="6" t="s">
        <v>89</v>
      </c>
      <c r="H646" s="6" t="s">
        <v>39</v>
      </c>
      <c r="I646" s="8" t="s">
        <v>100</v>
      </c>
      <c r="J646" s="14">
        <v>0</v>
      </c>
      <c r="K646" s="9">
        <v>447</v>
      </c>
      <c r="L646" s="9">
        <v>2019</v>
      </c>
      <c r="M646" s="8" t="s">
        <v>4186</v>
      </c>
      <c r="N646" s="8" t="s">
        <v>79</v>
      </c>
      <c r="O646" s="8" t="s">
        <v>80</v>
      </c>
      <c r="P646" s="6" t="s">
        <v>43</v>
      </c>
      <c r="Q646" s="8" t="s">
        <v>102</v>
      </c>
      <c r="R646" s="10" t="s">
        <v>4187</v>
      </c>
      <c r="S646" s="11" t="s">
        <v>4188</v>
      </c>
      <c r="T646" s="6"/>
      <c r="U646" s="24" t="str">
        <f>HYPERLINK("https://media.infra-m.ru/1012/1012397/cover/1012397.jpg", "Обложка")</f>
        <v>Обложка</v>
      </c>
      <c r="V646" s="24" t="str">
        <f>HYPERLINK("https://znanium.ru/catalog/product/1012397", "Ознакомиться")</f>
        <v>Ознакомиться</v>
      </c>
      <c r="W646" s="8" t="s">
        <v>1158</v>
      </c>
      <c r="X646" s="6"/>
      <c r="Y646" s="6"/>
      <c r="Z646" s="6" t="s">
        <v>104</v>
      </c>
      <c r="AA646" s="6" t="s">
        <v>151</v>
      </c>
      <c r="AB646" s="8"/>
    </row>
    <row r="647" spans="1:28" s="4" customFormat="1" ht="51.95" customHeight="1">
      <c r="A647" s="5">
        <v>0</v>
      </c>
      <c r="B647" s="6" t="s">
        <v>4189</v>
      </c>
      <c r="C647" s="13">
        <v>1734</v>
      </c>
      <c r="D647" s="8" t="s">
        <v>4190</v>
      </c>
      <c r="E647" s="8" t="s">
        <v>4191</v>
      </c>
      <c r="F647" s="8" t="s">
        <v>4192</v>
      </c>
      <c r="G647" s="6" t="s">
        <v>89</v>
      </c>
      <c r="H647" s="6" t="s">
        <v>438</v>
      </c>
      <c r="I647" s="8"/>
      <c r="J647" s="9">
        <v>1</v>
      </c>
      <c r="K647" s="9">
        <v>336</v>
      </c>
      <c r="L647" s="9">
        <v>2025</v>
      </c>
      <c r="M647" s="8" t="s">
        <v>4193</v>
      </c>
      <c r="N647" s="8" t="s">
        <v>79</v>
      </c>
      <c r="O647" s="8" t="s">
        <v>80</v>
      </c>
      <c r="P647" s="6" t="s">
        <v>167</v>
      </c>
      <c r="Q647" s="8" t="s">
        <v>58</v>
      </c>
      <c r="R647" s="10" t="s">
        <v>4194</v>
      </c>
      <c r="S647" s="11" t="s">
        <v>4195</v>
      </c>
      <c r="T647" s="6"/>
      <c r="U647" s="24" t="str">
        <f>HYPERLINK("https://media.infra-m.ru/2186/2186215/cover/2186215.jpg", "Обложка")</f>
        <v>Обложка</v>
      </c>
      <c r="V647" s="24" t="str">
        <f>HYPERLINK("https://znanium.ru/catalog/product/2173919", "Ознакомиться")</f>
        <v>Ознакомиться</v>
      </c>
      <c r="W647" s="8" t="s">
        <v>1175</v>
      </c>
      <c r="X647" s="6"/>
      <c r="Y647" s="6"/>
      <c r="Z647" s="6"/>
      <c r="AA647" s="6" t="s">
        <v>442</v>
      </c>
      <c r="AB647" s="8"/>
    </row>
    <row r="648" spans="1:28" s="4" customFormat="1" ht="51.95" customHeight="1">
      <c r="A648" s="5">
        <v>0</v>
      </c>
      <c r="B648" s="6" t="s">
        <v>4196</v>
      </c>
      <c r="C648" s="13">
        <v>1060</v>
      </c>
      <c r="D648" s="8" t="s">
        <v>4197</v>
      </c>
      <c r="E648" s="8" t="s">
        <v>4198</v>
      </c>
      <c r="F648" s="8" t="s">
        <v>4199</v>
      </c>
      <c r="G648" s="6" t="s">
        <v>89</v>
      </c>
      <c r="H648" s="6" t="s">
        <v>53</v>
      </c>
      <c r="I648" s="8" t="s">
        <v>116</v>
      </c>
      <c r="J648" s="9">
        <v>1</v>
      </c>
      <c r="K648" s="9">
        <v>229</v>
      </c>
      <c r="L648" s="9">
        <v>2024</v>
      </c>
      <c r="M648" s="8" t="s">
        <v>4200</v>
      </c>
      <c r="N648" s="8" t="s">
        <v>56</v>
      </c>
      <c r="O648" s="8" t="s">
        <v>2183</v>
      </c>
      <c r="P648" s="6" t="s">
        <v>167</v>
      </c>
      <c r="Q648" s="8" t="s">
        <v>44</v>
      </c>
      <c r="R648" s="10" t="s">
        <v>2286</v>
      </c>
      <c r="S648" s="11" t="s">
        <v>4201</v>
      </c>
      <c r="T648" s="6"/>
      <c r="U648" s="24" t="str">
        <f>HYPERLINK("https://media.infra-m.ru/2084/2084161/cover/2084161.jpg", "Обложка")</f>
        <v>Обложка</v>
      </c>
      <c r="V648" s="24" t="str">
        <f>HYPERLINK("https://znanium.ru/catalog/product/2084161", "Ознакомиться")</f>
        <v>Ознакомиться</v>
      </c>
      <c r="W648" s="8" t="s">
        <v>1689</v>
      </c>
      <c r="X648" s="6"/>
      <c r="Y648" s="6"/>
      <c r="Z648" s="6"/>
      <c r="AA648" s="6" t="s">
        <v>235</v>
      </c>
      <c r="AB648" s="8"/>
    </row>
    <row r="649" spans="1:28" s="4" customFormat="1" ht="44.1" customHeight="1">
      <c r="A649" s="5">
        <v>0</v>
      </c>
      <c r="B649" s="6" t="s">
        <v>4202</v>
      </c>
      <c r="C649" s="13">
        <v>2074</v>
      </c>
      <c r="D649" s="8" t="s">
        <v>4203</v>
      </c>
      <c r="E649" s="8" t="s">
        <v>4204</v>
      </c>
      <c r="F649" s="8" t="s">
        <v>4205</v>
      </c>
      <c r="G649" s="6" t="s">
        <v>52</v>
      </c>
      <c r="H649" s="6" t="s">
        <v>53</v>
      </c>
      <c r="I649" s="8" t="s">
        <v>90</v>
      </c>
      <c r="J649" s="9">
        <v>1</v>
      </c>
      <c r="K649" s="9">
        <v>415</v>
      </c>
      <c r="L649" s="9">
        <v>2025</v>
      </c>
      <c r="M649" s="8" t="s">
        <v>4206</v>
      </c>
      <c r="N649" s="8" t="s">
        <v>56</v>
      </c>
      <c r="O649" s="8" t="s">
        <v>741</v>
      </c>
      <c r="P649" s="6" t="s">
        <v>167</v>
      </c>
      <c r="Q649" s="8" t="s">
        <v>44</v>
      </c>
      <c r="R649" s="10" t="s">
        <v>4207</v>
      </c>
      <c r="S649" s="11"/>
      <c r="T649" s="6"/>
      <c r="U649" s="24" t="str">
        <f>HYPERLINK("https://media.infra-m.ru/2181/2181434/cover/2181434.jpg", "Обложка")</f>
        <v>Обложка</v>
      </c>
      <c r="V649" s="24" t="str">
        <f>HYPERLINK("https://znanium.ru/catalog/product/2117636", "Ознакомиться")</f>
        <v>Ознакомиться</v>
      </c>
      <c r="W649" s="8" t="s">
        <v>4208</v>
      </c>
      <c r="X649" s="6"/>
      <c r="Y649" s="6"/>
      <c r="Z649" s="6"/>
      <c r="AA649" s="6" t="s">
        <v>111</v>
      </c>
      <c r="AB649" s="8"/>
    </row>
    <row r="650" spans="1:28" s="4" customFormat="1" ht="42" customHeight="1">
      <c r="A650" s="5">
        <v>0</v>
      </c>
      <c r="B650" s="6" t="s">
        <v>4209</v>
      </c>
      <c r="C650" s="13">
        <v>1080</v>
      </c>
      <c r="D650" s="8" t="s">
        <v>4210</v>
      </c>
      <c r="E650" s="8" t="s">
        <v>4211</v>
      </c>
      <c r="F650" s="8" t="s">
        <v>4212</v>
      </c>
      <c r="G650" s="6" t="s">
        <v>52</v>
      </c>
      <c r="H650" s="6" t="s">
        <v>53</v>
      </c>
      <c r="I650" s="8" t="s">
        <v>116</v>
      </c>
      <c r="J650" s="9">
        <v>1</v>
      </c>
      <c r="K650" s="9">
        <v>216</v>
      </c>
      <c r="L650" s="9">
        <v>2025</v>
      </c>
      <c r="M650" s="8" t="s">
        <v>4213</v>
      </c>
      <c r="N650" s="8" t="s">
        <v>997</v>
      </c>
      <c r="O650" s="8" t="s">
        <v>998</v>
      </c>
      <c r="P650" s="6" t="s">
        <v>43</v>
      </c>
      <c r="Q650" s="8" t="s">
        <v>44</v>
      </c>
      <c r="R650" s="10" t="s">
        <v>4214</v>
      </c>
      <c r="S650" s="11"/>
      <c r="T650" s="6"/>
      <c r="U650" s="24" t="str">
        <f>HYPERLINK("https://media.infra-m.ru/1911/1911013/cover/1911013.jpg", "Обложка")</f>
        <v>Обложка</v>
      </c>
      <c r="V650" s="24" t="str">
        <f>HYPERLINK("https://znanium.ru/catalog/product/1911013", "Ознакомиться")</f>
        <v>Ознакомиться</v>
      </c>
      <c r="W650" s="8" t="s">
        <v>4215</v>
      </c>
      <c r="X650" s="6" t="s">
        <v>548</v>
      </c>
      <c r="Y650" s="6"/>
      <c r="Z650" s="6"/>
      <c r="AA650" s="6" t="s">
        <v>61</v>
      </c>
      <c r="AB650" s="8"/>
    </row>
    <row r="651" spans="1:28" s="4" customFormat="1" ht="42" customHeight="1">
      <c r="A651" s="5">
        <v>0</v>
      </c>
      <c r="B651" s="6" t="s">
        <v>4216</v>
      </c>
      <c r="C651" s="7">
        <v>994</v>
      </c>
      <c r="D651" s="8" t="s">
        <v>4217</v>
      </c>
      <c r="E651" s="8" t="s">
        <v>4218</v>
      </c>
      <c r="F651" s="8" t="s">
        <v>4219</v>
      </c>
      <c r="G651" s="6" t="s">
        <v>38</v>
      </c>
      <c r="H651" s="6" t="s">
        <v>952</v>
      </c>
      <c r="I651" s="8"/>
      <c r="J651" s="9">
        <v>1</v>
      </c>
      <c r="K651" s="9">
        <v>192</v>
      </c>
      <c r="L651" s="9">
        <v>2025</v>
      </c>
      <c r="M651" s="8" t="s">
        <v>4220</v>
      </c>
      <c r="N651" s="8" t="s">
        <v>41</v>
      </c>
      <c r="O651" s="8" t="s">
        <v>1007</v>
      </c>
      <c r="P651" s="6" t="s">
        <v>43</v>
      </c>
      <c r="Q651" s="8" t="s">
        <v>44</v>
      </c>
      <c r="R651" s="10" t="s">
        <v>1008</v>
      </c>
      <c r="S651" s="11"/>
      <c r="T651" s="6"/>
      <c r="U651" s="24" t="str">
        <f>HYPERLINK("https://media.infra-m.ru/2188/2188703/cover/2188703.jpg", "Обложка")</f>
        <v>Обложка</v>
      </c>
      <c r="V651" s="24" t="str">
        <f>HYPERLINK("https://znanium.ru/catalog/product/1836620", "Ознакомиться")</f>
        <v>Ознакомиться</v>
      </c>
      <c r="W651" s="8" t="s">
        <v>2817</v>
      </c>
      <c r="X651" s="6"/>
      <c r="Y651" s="6"/>
      <c r="Z651" s="6"/>
      <c r="AA651" s="6" t="s">
        <v>2217</v>
      </c>
      <c r="AB651" s="8"/>
    </row>
    <row r="652" spans="1:28" s="4" customFormat="1" ht="51.95" customHeight="1">
      <c r="A652" s="5">
        <v>0</v>
      </c>
      <c r="B652" s="6" t="s">
        <v>4221</v>
      </c>
      <c r="C652" s="13">
        <v>1014</v>
      </c>
      <c r="D652" s="8" t="s">
        <v>4222</v>
      </c>
      <c r="E652" s="8" t="s">
        <v>4223</v>
      </c>
      <c r="F652" s="8" t="s">
        <v>4224</v>
      </c>
      <c r="G652" s="6" t="s">
        <v>52</v>
      </c>
      <c r="H652" s="6" t="s">
        <v>66</v>
      </c>
      <c r="I652" s="8" t="s">
        <v>116</v>
      </c>
      <c r="J652" s="9">
        <v>1</v>
      </c>
      <c r="K652" s="9">
        <v>202</v>
      </c>
      <c r="L652" s="9">
        <v>2025</v>
      </c>
      <c r="M652" s="8" t="s">
        <v>4225</v>
      </c>
      <c r="N652" s="8" t="s">
        <v>413</v>
      </c>
      <c r="O652" s="8" t="s">
        <v>1141</v>
      </c>
      <c r="P652" s="6" t="s">
        <v>43</v>
      </c>
      <c r="Q652" s="8" t="s">
        <v>44</v>
      </c>
      <c r="R652" s="10" t="s">
        <v>4226</v>
      </c>
      <c r="S652" s="11" t="s">
        <v>4227</v>
      </c>
      <c r="T652" s="6"/>
      <c r="U652" s="24" t="str">
        <f>HYPERLINK("https://media.infra-m.ru/2082/2082657/cover/2082657.jpg", "Обложка")</f>
        <v>Обложка</v>
      </c>
      <c r="V652" s="24" t="str">
        <f>HYPERLINK("https://znanium.ru/catalog/product/1836638", "Ознакомиться")</f>
        <v>Ознакомиться</v>
      </c>
      <c r="W652" s="8" t="s">
        <v>4228</v>
      </c>
      <c r="X652" s="6"/>
      <c r="Y652" s="6"/>
      <c r="Z652" s="6"/>
      <c r="AA652" s="6" t="s">
        <v>622</v>
      </c>
      <c r="AB652" s="8"/>
    </row>
    <row r="653" spans="1:28" s="4" customFormat="1" ht="51.95" customHeight="1">
      <c r="A653" s="5">
        <v>0</v>
      </c>
      <c r="B653" s="6" t="s">
        <v>4229</v>
      </c>
      <c r="C653" s="13">
        <v>1050</v>
      </c>
      <c r="D653" s="8" t="s">
        <v>4230</v>
      </c>
      <c r="E653" s="8" t="s">
        <v>4231</v>
      </c>
      <c r="F653" s="8" t="s">
        <v>4232</v>
      </c>
      <c r="G653" s="6" t="s">
        <v>89</v>
      </c>
      <c r="H653" s="6" t="s">
        <v>649</v>
      </c>
      <c r="I653" s="8" t="s">
        <v>100</v>
      </c>
      <c r="J653" s="9">
        <v>1</v>
      </c>
      <c r="K653" s="9">
        <v>208</v>
      </c>
      <c r="L653" s="9">
        <v>2024</v>
      </c>
      <c r="M653" s="8" t="s">
        <v>4233</v>
      </c>
      <c r="N653" s="8" t="s">
        <v>79</v>
      </c>
      <c r="O653" s="8" t="s">
        <v>80</v>
      </c>
      <c r="P653" s="6" t="s">
        <v>167</v>
      </c>
      <c r="Q653" s="8" t="s">
        <v>102</v>
      </c>
      <c r="R653" s="10" t="s">
        <v>4234</v>
      </c>
      <c r="S653" s="11" t="s">
        <v>4235</v>
      </c>
      <c r="T653" s="6"/>
      <c r="U653" s="24" t="str">
        <f>HYPERLINK("https://media.infra-m.ru/2136/2136878/cover/2136878.jpg", "Обложка")</f>
        <v>Обложка</v>
      </c>
      <c r="V653" s="24" t="str">
        <f>HYPERLINK("https://znanium.ru/catalog/product/2136878", "Ознакомиться")</f>
        <v>Ознакомиться</v>
      </c>
      <c r="W653" s="8"/>
      <c r="X653" s="6"/>
      <c r="Y653" s="6"/>
      <c r="Z653" s="6"/>
      <c r="AA653" s="6" t="s">
        <v>4236</v>
      </c>
      <c r="AB653" s="8"/>
    </row>
    <row r="654" spans="1:28" s="4" customFormat="1" ht="51.95" customHeight="1">
      <c r="A654" s="5">
        <v>0</v>
      </c>
      <c r="B654" s="6" t="s">
        <v>4237</v>
      </c>
      <c r="C654" s="13">
        <v>1314</v>
      </c>
      <c r="D654" s="8" t="s">
        <v>4238</v>
      </c>
      <c r="E654" s="8" t="s">
        <v>4239</v>
      </c>
      <c r="F654" s="8" t="s">
        <v>4240</v>
      </c>
      <c r="G654" s="6" t="s">
        <v>52</v>
      </c>
      <c r="H654" s="6" t="s">
        <v>53</v>
      </c>
      <c r="I654" s="8" t="s">
        <v>90</v>
      </c>
      <c r="J654" s="9">
        <v>1</v>
      </c>
      <c r="K654" s="9">
        <v>252</v>
      </c>
      <c r="L654" s="9">
        <v>2025</v>
      </c>
      <c r="M654" s="8" t="s">
        <v>4241</v>
      </c>
      <c r="N654" s="8" t="s">
        <v>41</v>
      </c>
      <c r="O654" s="8" t="s">
        <v>118</v>
      </c>
      <c r="P654" s="6" t="s">
        <v>167</v>
      </c>
      <c r="Q654" s="8" t="s">
        <v>44</v>
      </c>
      <c r="R654" s="10" t="s">
        <v>4242</v>
      </c>
      <c r="S654" s="11" t="s">
        <v>4243</v>
      </c>
      <c r="T654" s="6"/>
      <c r="U654" s="24" t="str">
        <f>HYPERLINK("https://media.infra-m.ru/2194/2194162/cover/2194162.jpg", "Обложка")</f>
        <v>Обложка</v>
      </c>
      <c r="V654" s="24" t="str">
        <f>HYPERLINK("https://znanium.ru/catalog/product/1842526", "Ознакомиться")</f>
        <v>Ознакомиться</v>
      </c>
      <c r="W654" s="8" t="s">
        <v>71</v>
      </c>
      <c r="X654" s="6"/>
      <c r="Y654" s="6"/>
      <c r="Z654" s="6"/>
      <c r="AA654" s="6" t="s">
        <v>122</v>
      </c>
      <c r="AB654" s="8"/>
    </row>
    <row r="655" spans="1:28" s="4" customFormat="1" ht="51.95" customHeight="1">
      <c r="A655" s="5">
        <v>0</v>
      </c>
      <c r="B655" s="6" t="s">
        <v>4244</v>
      </c>
      <c r="C655" s="13">
        <v>1100</v>
      </c>
      <c r="D655" s="8" t="s">
        <v>4245</v>
      </c>
      <c r="E655" s="8" t="s">
        <v>4246</v>
      </c>
      <c r="F655" s="8" t="s">
        <v>4247</v>
      </c>
      <c r="G655" s="6" t="s">
        <v>52</v>
      </c>
      <c r="H655" s="6" t="s">
        <v>53</v>
      </c>
      <c r="I655" s="8" t="s">
        <v>116</v>
      </c>
      <c r="J655" s="9">
        <v>1</v>
      </c>
      <c r="K655" s="9">
        <v>207</v>
      </c>
      <c r="L655" s="9">
        <v>2025</v>
      </c>
      <c r="M655" s="8" t="s">
        <v>4248</v>
      </c>
      <c r="N655" s="8" t="s">
        <v>79</v>
      </c>
      <c r="O655" s="8" t="s">
        <v>80</v>
      </c>
      <c r="P655" s="6" t="s">
        <v>43</v>
      </c>
      <c r="Q655" s="8" t="s">
        <v>44</v>
      </c>
      <c r="R655" s="10" t="s">
        <v>4249</v>
      </c>
      <c r="S655" s="11"/>
      <c r="T655" s="6"/>
      <c r="U655" s="24" t="str">
        <f>HYPERLINK("https://media.infra-m.ru/1872/1872635/cover/1872635.jpg", "Обложка")</f>
        <v>Обложка</v>
      </c>
      <c r="V655" s="24" t="str">
        <f>HYPERLINK("https://znanium.ru/catalog/product/1872635", "Ознакомиться")</f>
        <v>Ознакомиться</v>
      </c>
      <c r="W655" s="8" t="s">
        <v>2216</v>
      </c>
      <c r="X655" s="6" t="s">
        <v>548</v>
      </c>
      <c r="Y655" s="6"/>
      <c r="Z655" s="6"/>
      <c r="AA655" s="6" t="s">
        <v>549</v>
      </c>
      <c r="AB655" s="8"/>
    </row>
    <row r="656" spans="1:28" s="4" customFormat="1" ht="51.95" customHeight="1">
      <c r="A656" s="5">
        <v>0</v>
      </c>
      <c r="B656" s="6" t="s">
        <v>4250</v>
      </c>
      <c r="C656" s="7">
        <v>794</v>
      </c>
      <c r="D656" s="8" t="s">
        <v>4251</v>
      </c>
      <c r="E656" s="8" t="s">
        <v>4252</v>
      </c>
      <c r="F656" s="8" t="s">
        <v>4253</v>
      </c>
      <c r="G656" s="6" t="s">
        <v>52</v>
      </c>
      <c r="H656" s="6" t="s">
        <v>649</v>
      </c>
      <c r="I656" s="8" t="s">
        <v>116</v>
      </c>
      <c r="J656" s="9">
        <v>1</v>
      </c>
      <c r="K656" s="9">
        <v>176</v>
      </c>
      <c r="L656" s="9">
        <v>2022</v>
      </c>
      <c r="M656" s="8" t="s">
        <v>4254</v>
      </c>
      <c r="N656" s="8" t="s">
        <v>79</v>
      </c>
      <c r="O656" s="8" t="s">
        <v>80</v>
      </c>
      <c r="P656" s="6" t="s">
        <v>43</v>
      </c>
      <c r="Q656" s="8" t="s">
        <v>44</v>
      </c>
      <c r="R656" s="10" t="s">
        <v>4249</v>
      </c>
      <c r="S656" s="11" t="s">
        <v>4255</v>
      </c>
      <c r="T656" s="6"/>
      <c r="U656" s="24" t="str">
        <f>HYPERLINK("https://media.infra-m.ru/1836/1836628/cover/1836628.jpg", "Обложка")</f>
        <v>Обложка</v>
      </c>
      <c r="V656" s="24" t="str">
        <f>HYPERLINK("https://znanium.ru/catalog/product/1872635", "Ознакомиться")</f>
        <v>Ознакомиться</v>
      </c>
      <c r="W656" s="8" t="s">
        <v>2216</v>
      </c>
      <c r="X656" s="6"/>
      <c r="Y656" s="6"/>
      <c r="Z656" s="6"/>
      <c r="AA656" s="6" t="s">
        <v>2217</v>
      </c>
      <c r="AB656" s="8"/>
    </row>
    <row r="657" spans="1:28" s="4" customFormat="1" ht="51.95" customHeight="1">
      <c r="A657" s="5">
        <v>0</v>
      </c>
      <c r="B657" s="6" t="s">
        <v>4256</v>
      </c>
      <c r="C657" s="13">
        <v>1150</v>
      </c>
      <c r="D657" s="8" t="s">
        <v>4257</v>
      </c>
      <c r="E657" s="8" t="s">
        <v>4258</v>
      </c>
      <c r="F657" s="8" t="s">
        <v>4127</v>
      </c>
      <c r="G657" s="6" t="s">
        <v>89</v>
      </c>
      <c r="H657" s="6" t="s">
        <v>53</v>
      </c>
      <c r="I657" s="8" t="s">
        <v>116</v>
      </c>
      <c r="J657" s="9">
        <v>1</v>
      </c>
      <c r="K657" s="9">
        <v>222</v>
      </c>
      <c r="L657" s="9">
        <v>2024</v>
      </c>
      <c r="M657" s="8" t="s">
        <v>4259</v>
      </c>
      <c r="N657" s="8" t="s">
        <v>413</v>
      </c>
      <c r="O657" s="8" t="s">
        <v>2771</v>
      </c>
      <c r="P657" s="6" t="s">
        <v>43</v>
      </c>
      <c r="Q657" s="8" t="s">
        <v>44</v>
      </c>
      <c r="R657" s="10" t="s">
        <v>4260</v>
      </c>
      <c r="S657" s="11" t="s">
        <v>4261</v>
      </c>
      <c r="T657" s="6"/>
      <c r="U657" s="24" t="str">
        <f>HYPERLINK("https://media.infra-m.ru/2047/2047214/cover/2047214.jpg", "Обложка")</f>
        <v>Обложка</v>
      </c>
      <c r="V657" s="24" t="str">
        <f>HYPERLINK("https://znanium.ru/catalog/product/2047214", "Ознакомиться")</f>
        <v>Ознакомиться</v>
      </c>
      <c r="W657" s="8" t="s">
        <v>189</v>
      </c>
      <c r="X657" s="6"/>
      <c r="Y657" s="6"/>
      <c r="Z657" s="6"/>
      <c r="AA657" s="6" t="s">
        <v>207</v>
      </c>
      <c r="AB657" s="8"/>
    </row>
    <row r="658" spans="1:28" s="4" customFormat="1" ht="51.95" customHeight="1">
      <c r="A658" s="5">
        <v>0</v>
      </c>
      <c r="B658" s="6" t="s">
        <v>4262</v>
      </c>
      <c r="C658" s="13">
        <v>1170</v>
      </c>
      <c r="D658" s="8" t="s">
        <v>4263</v>
      </c>
      <c r="E658" s="8" t="s">
        <v>4264</v>
      </c>
      <c r="F658" s="8" t="s">
        <v>4127</v>
      </c>
      <c r="G658" s="6" t="s">
        <v>52</v>
      </c>
      <c r="H658" s="6" t="s">
        <v>53</v>
      </c>
      <c r="I658" s="8" t="s">
        <v>116</v>
      </c>
      <c r="J658" s="9">
        <v>1</v>
      </c>
      <c r="K658" s="9">
        <v>233</v>
      </c>
      <c r="L658" s="9">
        <v>2024</v>
      </c>
      <c r="M658" s="8" t="s">
        <v>4265</v>
      </c>
      <c r="N658" s="8" t="s">
        <v>413</v>
      </c>
      <c r="O658" s="8" t="s">
        <v>1141</v>
      </c>
      <c r="P658" s="6" t="s">
        <v>43</v>
      </c>
      <c r="Q658" s="8" t="s">
        <v>44</v>
      </c>
      <c r="R658" s="10" t="s">
        <v>4266</v>
      </c>
      <c r="S658" s="11"/>
      <c r="T658" s="6"/>
      <c r="U658" s="24" t="str">
        <f>HYPERLINK("https://media.infra-m.ru/1862/1862688/cover/1862688.jpg", "Обложка")</f>
        <v>Обложка</v>
      </c>
      <c r="V658" s="24" t="str">
        <f>HYPERLINK("https://znanium.ru/catalog/product/1862688", "Ознакомиться")</f>
        <v>Ознакомиться</v>
      </c>
      <c r="W658" s="8" t="s">
        <v>189</v>
      </c>
      <c r="X658" s="6" t="s">
        <v>3761</v>
      </c>
      <c r="Y658" s="6"/>
      <c r="Z658" s="6"/>
      <c r="AA658" s="6" t="s">
        <v>133</v>
      </c>
      <c r="AB658" s="8"/>
    </row>
    <row r="659" spans="1:28" s="4" customFormat="1" ht="51.95" customHeight="1">
      <c r="A659" s="5">
        <v>0</v>
      </c>
      <c r="B659" s="6" t="s">
        <v>4267</v>
      </c>
      <c r="C659" s="7">
        <v>434</v>
      </c>
      <c r="D659" s="8" t="s">
        <v>4268</v>
      </c>
      <c r="E659" s="8" t="s">
        <v>4269</v>
      </c>
      <c r="F659" s="8" t="s">
        <v>4270</v>
      </c>
      <c r="G659" s="6" t="s">
        <v>38</v>
      </c>
      <c r="H659" s="6" t="s">
        <v>53</v>
      </c>
      <c r="I659" s="8" t="s">
        <v>276</v>
      </c>
      <c r="J659" s="9">
        <v>1</v>
      </c>
      <c r="K659" s="9">
        <v>95</v>
      </c>
      <c r="L659" s="9">
        <v>2023</v>
      </c>
      <c r="M659" s="8" t="s">
        <v>4271</v>
      </c>
      <c r="N659" s="8" t="s">
        <v>79</v>
      </c>
      <c r="O659" s="8" t="s">
        <v>80</v>
      </c>
      <c r="P659" s="6" t="s">
        <v>43</v>
      </c>
      <c r="Q659" s="8" t="s">
        <v>44</v>
      </c>
      <c r="R659" s="10" t="s">
        <v>4272</v>
      </c>
      <c r="S659" s="11" t="s">
        <v>4273</v>
      </c>
      <c r="T659" s="6"/>
      <c r="U659" s="24" t="str">
        <f>HYPERLINK("https://media.infra-m.ru/2044/2044340/cover/2044340.jpg", "Обложка")</f>
        <v>Обложка</v>
      </c>
      <c r="V659" s="24" t="str">
        <f>HYPERLINK("https://znanium.ru/catalog/product/368460", "Ознакомиться")</f>
        <v>Ознакомиться</v>
      </c>
      <c r="W659" s="8" t="s">
        <v>4274</v>
      </c>
      <c r="X659" s="6"/>
      <c r="Y659" s="6"/>
      <c r="Z659" s="6"/>
      <c r="AA659" s="6" t="s">
        <v>47</v>
      </c>
      <c r="AB659" s="8"/>
    </row>
    <row r="660" spans="1:28" s="4" customFormat="1" ht="42" customHeight="1">
      <c r="A660" s="5">
        <v>0</v>
      </c>
      <c r="B660" s="6" t="s">
        <v>4275</v>
      </c>
      <c r="C660" s="13">
        <v>1074.9000000000001</v>
      </c>
      <c r="D660" s="8" t="s">
        <v>4276</v>
      </c>
      <c r="E660" s="8" t="s">
        <v>4277</v>
      </c>
      <c r="F660" s="8" t="s">
        <v>1099</v>
      </c>
      <c r="G660" s="6" t="s">
        <v>38</v>
      </c>
      <c r="H660" s="6" t="s">
        <v>674</v>
      </c>
      <c r="I660" s="8" t="s">
        <v>4278</v>
      </c>
      <c r="J660" s="9">
        <v>10</v>
      </c>
      <c r="K660" s="9">
        <v>336</v>
      </c>
      <c r="L660" s="9">
        <v>2022</v>
      </c>
      <c r="M660" s="8" t="s">
        <v>4279</v>
      </c>
      <c r="N660" s="8" t="s">
        <v>41</v>
      </c>
      <c r="O660" s="8" t="s">
        <v>676</v>
      </c>
      <c r="P660" s="6" t="s">
        <v>822</v>
      </c>
      <c r="Q660" s="8" t="s">
        <v>44</v>
      </c>
      <c r="R660" s="10" t="s">
        <v>1101</v>
      </c>
      <c r="S660" s="11"/>
      <c r="T660" s="6"/>
      <c r="U660" s="24" t="str">
        <f>HYPERLINK("https://media.infra-m.ru/1834/1834662/cover/1834662.jpg", "Обложка")</f>
        <v>Обложка</v>
      </c>
      <c r="V660" s="24" t="str">
        <f>HYPERLINK("https://znanium.ru/catalog/product/1834662", "Ознакомиться")</f>
        <v>Ознакомиться</v>
      </c>
      <c r="W660" s="8" t="s">
        <v>918</v>
      </c>
      <c r="X660" s="6"/>
      <c r="Y660" s="6"/>
      <c r="Z660" s="6"/>
      <c r="AA660" s="6" t="s">
        <v>654</v>
      </c>
      <c r="AB660" s="8"/>
    </row>
    <row r="661" spans="1:28" s="4" customFormat="1" ht="42" customHeight="1">
      <c r="A661" s="5">
        <v>0</v>
      </c>
      <c r="B661" s="6" t="s">
        <v>4280</v>
      </c>
      <c r="C661" s="7">
        <v>810</v>
      </c>
      <c r="D661" s="8" t="s">
        <v>4281</v>
      </c>
      <c r="E661" s="8" t="s">
        <v>4282</v>
      </c>
      <c r="F661" s="8" t="s">
        <v>4283</v>
      </c>
      <c r="G661" s="6" t="s">
        <v>89</v>
      </c>
      <c r="H661" s="6" t="s">
        <v>184</v>
      </c>
      <c r="I661" s="8" t="s">
        <v>185</v>
      </c>
      <c r="J661" s="9">
        <v>1</v>
      </c>
      <c r="K661" s="9">
        <v>212</v>
      </c>
      <c r="L661" s="9">
        <v>2022</v>
      </c>
      <c r="M661" s="8" t="s">
        <v>4284</v>
      </c>
      <c r="N661" s="8" t="s">
        <v>56</v>
      </c>
      <c r="O661" s="8" t="s">
        <v>4042</v>
      </c>
      <c r="P661" s="6" t="s">
        <v>43</v>
      </c>
      <c r="Q661" s="8" t="s">
        <v>44</v>
      </c>
      <c r="R661" s="10" t="s">
        <v>4285</v>
      </c>
      <c r="S661" s="11"/>
      <c r="T661" s="6"/>
      <c r="U661" s="24" t="str">
        <f>HYPERLINK("https://media.infra-m.ru/1861/1861891/cover/1861891.jpg", "Обложка")</f>
        <v>Обложка</v>
      </c>
      <c r="V661" s="24" t="str">
        <f>HYPERLINK("https://znanium.ru/catalog/product/1861891", "Ознакомиться")</f>
        <v>Ознакомиться</v>
      </c>
      <c r="W661" s="8" t="s">
        <v>1218</v>
      </c>
      <c r="X661" s="6"/>
      <c r="Y661" s="6"/>
      <c r="Z661" s="6"/>
      <c r="AA661" s="6" t="s">
        <v>151</v>
      </c>
      <c r="AB661" s="8"/>
    </row>
    <row r="662" spans="1:28" s="4" customFormat="1" ht="51.95" customHeight="1">
      <c r="A662" s="5">
        <v>0</v>
      </c>
      <c r="B662" s="6" t="s">
        <v>4286</v>
      </c>
      <c r="C662" s="13">
        <v>1400</v>
      </c>
      <c r="D662" s="8" t="s">
        <v>4287</v>
      </c>
      <c r="E662" s="8" t="s">
        <v>4288</v>
      </c>
      <c r="F662" s="8" t="s">
        <v>4289</v>
      </c>
      <c r="G662" s="6" t="s">
        <v>89</v>
      </c>
      <c r="H662" s="6" t="s">
        <v>53</v>
      </c>
      <c r="I662" s="8"/>
      <c r="J662" s="9">
        <v>1</v>
      </c>
      <c r="K662" s="9">
        <v>368</v>
      </c>
      <c r="L662" s="9">
        <v>2022</v>
      </c>
      <c r="M662" s="8" t="s">
        <v>4290</v>
      </c>
      <c r="N662" s="8" t="s">
        <v>413</v>
      </c>
      <c r="O662" s="8" t="s">
        <v>1141</v>
      </c>
      <c r="P662" s="6" t="s">
        <v>43</v>
      </c>
      <c r="Q662" s="8" t="s">
        <v>44</v>
      </c>
      <c r="R662" s="10" t="s">
        <v>4291</v>
      </c>
      <c r="S662" s="11" t="s">
        <v>4292</v>
      </c>
      <c r="T662" s="6"/>
      <c r="U662" s="24" t="str">
        <f>HYPERLINK("https://media.infra-m.ru/1852/1852192/cover/1852192.jpg", "Обложка")</f>
        <v>Обложка</v>
      </c>
      <c r="V662" s="24" t="str">
        <f>HYPERLINK("https://znanium.ru/catalog/product/1852192", "Ознакомиться")</f>
        <v>Ознакомиться</v>
      </c>
      <c r="W662" s="8" t="s">
        <v>4293</v>
      </c>
      <c r="X662" s="6"/>
      <c r="Y662" s="6"/>
      <c r="Z662" s="6"/>
      <c r="AA662" s="6" t="s">
        <v>84</v>
      </c>
      <c r="AB662" s="8"/>
    </row>
    <row r="663" spans="1:28" s="4" customFormat="1" ht="51.95" customHeight="1">
      <c r="A663" s="5">
        <v>0</v>
      </c>
      <c r="B663" s="6" t="s">
        <v>4294</v>
      </c>
      <c r="C663" s="7">
        <v>530</v>
      </c>
      <c r="D663" s="8" t="s">
        <v>4295</v>
      </c>
      <c r="E663" s="8" t="s">
        <v>4296</v>
      </c>
      <c r="F663" s="8" t="s">
        <v>4297</v>
      </c>
      <c r="G663" s="6" t="s">
        <v>52</v>
      </c>
      <c r="H663" s="6" t="s">
        <v>53</v>
      </c>
      <c r="I663" s="8" t="s">
        <v>4134</v>
      </c>
      <c r="J663" s="9">
        <v>24</v>
      </c>
      <c r="K663" s="9">
        <v>224</v>
      </c>
      <c r="L663" s="9">
        <v>2017</v>
      </c>
      <c r="M663" s="8" t="s">
        <v>4298</v>
      </c>
      <c r="N663" s="8" t="s">
        <v>41</v>
      </c>
      <c r="O663" s="8" t="s">
        <v>1007</v>
      </c>
      <c r="P663" s="6" t="s">
        <v>43</v>
      </c>
      <c r="Q663" s="8" t="s">
        <v>44</v>
      </c>
      <c r="R663" s="10" t="s">
        <v>168</v>
      </c>
      <c r="S663" s="11" t="s">
        <v>4299</v>
      </c>
      <c r="T663" s="6"/>
      <c r="U663" s="24" t="str">
        <f>HYPERLINK("https://media.infra-m.ru/0891/0891154/cover/891154.jpg", "Обложка")</f>
        <v>Обложка</v>
      </c>
      <c r="V663" s="24" t="str">
        <f>HYPERLINK("https://znanium.ru/catalog/product/2087742", "Ознакомиться")</f>
        <v>Ознакомиться</v>
      </c>
      <c r="W663" s="8" t="s">
        <v>2080</v>
      </c>
      <c r="X663" s="6"/>
      <c r="Y663" s="6"/>
      <c r="Z663" s="6"/>
      <c r="AA663" s="6" t="s">
        <v>111</v>
      </c>
      <c r="AB663" s="8"/>
    </row>
    <row r="664" spans="1:28" s="4" customFormat="1" ht="51.95" customHeight="1">
      <c r="A664" s="5">
        <v>0</v>
      </c>
      <c r="B664" s="6" t="s">
        <v>4300</v>
      </c>
      <c r="C664" s="7">
        <v>560</v>
      </c>
      <c r="D664" s="8" t="s">
        <v>4301</v>
      </c>
      <c r="E664" s="8" t="s">
        <v>4302</v>
      </c>
      <c r="F664" s="8" t="s">
        <v>4297</v>
      </c>
      <c r="G664" s="6" t="s">
        <v>52</v>
      </c>
      <c r="H664" s="6" t="s">
        <v>53</v>
      </c>
      <c r="I664" s="8" t="s">
        <v>4134</v>
      </c>
      <c r="J664" s="9">
        <v>1</v>
      </c>
      <c r="K664" s="9">
        <v>224</v>
      </c>
      <c r="L664" s="9">
        <v>2018</v>
      </c>
      <c r="M664" s="8" t="s">
        <v>4303</v>
      </c>
      <c r="N664" s="8" t="s">
        <v>41</v>
      </c>
      <c r="O664" s="8" t="s">
        <v>1007</v>
      </c>
      <c r="P664" s="6" t="s">
        <v>43</v>
      </c>
      <c r="Q664" s="8" t="s">
        <v>44</v>
      </c>
      <c r="R664" s="10" t="s">
        <v>168</v>
      </c>
      <c r="S664" s="11" t="s">
        <v>4299</v>
      </c>
      <c r="T664" s="6"/>
      <c r="U664" s="24" t="str">
        <f>HYPERLINK("https://media.infra-m.ru/0939/0939281/cover/939281.jpg", "Обложка")</f>
        <v>Обложка</v>
      </c>
      <c r="V664" s="24" t="str">
        <f>HYPERLINK("https://znanium.ru/catalog/product/2087742", "Ознакомиться")</f>
        <v>Ознакомиться</v>
      </c>
      <c r="W664" s="8" t="s">
        <v>2080</v>
      </c>
      <c r="X664" s="6"/>
      <c r="Y664" s="6"/>
      <c r="Z664" s="6"/>
      <c r="AA664" s="6" t="s">
        <v>196</v>
      </c>
      <c r="AB664" s="8"/>
    </row>
    <row r="665" spans="1:28" s="4" customFormat="1" ht="51.95" customHeight="1">
      <c r="A665" s="5">
        <v>0</v>
      </c>
      <c r="B665" s="6" t="s">
        <v>4304</v>
      </c>
      <c r="C665" s="7">
        <v>880</v>
      </c>
      <c r="D665" s="8" t="s">
        <v>4305</v>
      </c>
      <c r="E665" s="8" t="s">
        <v>4306</v>
      </c>
      <c r="F665" s="8" t="s">
        <v>4307</v>
      </c>
      <c r="G665" s="6" t="s">
        <v>38</v>
      </c>
      <c r="H665" s="6" t="s">
        <v>674</v>
      </c>
      <c r="I665" s="8"/>
      <c r="J665" s="9">
        <v>1</v>
      </c>
      <c r="K665" s="9">
        <v>176</v>
      </c>
      <c r="L665" s="9">
        <v>2025</v>
      </c>
      <c r="M665" s="8" t="s">
        <v>4308</v>
      </c>
      <c r="N665" s="8" t="s">
        <v>41</v>
      </c>
      <c r="O665" s="8" t="s">
        <v>676</v>
      </c>
      <c r="P665" s="6" t="s">
        <v>167</v>
      </c>
      <c r="Q665" s="8" t="s">
        <v>44</v>
      </c>
      <c r="R665" s="10" t="s">
        <v>677</v>
      </c>
      <c r="S665" s="11"/>
      <c r="T665" s="6"/>
      <c r="U665" s="24" t="str">
        <f>HYPERLINK("https://media.infra-m.ru/2175/2175006/cover/2175006.jpg", "Обложка")</f>
        <v>Обложка</v>
      </c>
      <c r="V665" s="24" t="str">
        <f>HYPERLINK("https://znanium.ru/catalog/product/2175006", "Ознакомиться")</f>
        <v>Ознакомиться</v>
      </c>
      <c r="W665" s="8" t="s">
        <v>4309</v>
      </c>
      <c r="X665" s="6"/>
      <c r="Y665" s="6"/>
      <c r="Z665" s="6"/>
      <c r="AA665" s="6" t="s">
        <v>111</v>
      </c>
      <c r="AB665" s="8"/>
    </row>
    <row r="666" spans="1:28" s="4" customFormat="1" ht="51.95" customHeight="1">
      <c r="A666" s="5">
        <v>0</v>
      </c>
      <c r="B666" s="6" t="s">
        <v>4310</v>
      </c>
      <c r="C666" s="7">
        <v>814</v>
      </c>
      <c r="D666" s="8" t="s">
        <v>4311</v>
      </c>
      <c r="E666" s="8" t="s">
        <v>4312</v>
      </c>
      <c r="F666" s="8" t="s">
        <v>4313</v>
      </c>
      <c r="G666" s="6" t="s">
        <v>89</v>
      </c>
      <c r="H666" s="6" t="s">
        <v>53</v>
      </c>
      <c r="I666" s="8" t="s">
        <v>4314</v>
      </c>
      <c r="J666" s="9">
        <v>1</v>
      </c>
      <c r="K666" s="9">
        <v>163</v>
      </c>
      <c r="L666" s="9">
        <v>2025</v>
      </c>
      <c r="M666" s="8" t="s">
        <v>4315</v>
      </c>
      <c r="N666" s="8" t="s">
        <v>413</v>
      </c>
      <c r="O666" s="8" t="s">
        <v>1141</v>
      </c>
      <c r="P666" s="6" t="s">
        <v>43</v>
      </c>
      <c r="Q666" s="8" t="s">
        <v>44</v>
      </c>
      <c r="R666" s="10" t="s">
        <v>2358</v>
      </c>
      <c r="S666" s="11" t="s">
        <v>4316</v>
      </c>
      <c r="T666" s="6"/>
      <c r="U666" s="24" t="str">
        <f>HYPERLINK("https://media.infra-m.ru/2174/2174466/cover/2174466.jpg", "Обложка")</f>
        <v>Обложка</v>
      </c>
      <c r="V666" s="24" t="str">
        <f>HYPERLINK("https://znanium.ru/catalog/product/1221059", "Ознакомиться")</f>
        <v>Ознакомиться</v>
      </c>
      <c r="W666" s="8" t="s">
        <v>206</v>
      </c>
      <c r="X666" s="6"/>
      <c r="Y666" s="6"/>
      <c r="Z666" s="6"/>
      <c r="AA666" s="6" t="s">
        <v>258</v>
      </c>
      <c r="AB666" s="8"/>
    </row>
    <row r="667" spans="1:28" s="4" customFormat="1" ht="51.95" customHeight="1">
      <c r="A667" s="5">
        <v>0</v>
      </c>
      <c r="B667" s="6" t="s">
        <v>4317</v>
      </c>
      <c r="C667" s="13">
        <v>1810</v>
      </c>
      <c r="D667" s="8" t="s">
        <v>4318</v>
      </c>
      <c r="E667" s="8" t="s">
        <v>4319</v>
      </c>
      <c r="F667" s="8" t="s">
        <v>4320</v>
      </c>
      <c r="G667" s="6" t="s">
        <v>89</v>
      </c>
      <c r="H667" s="6" t="s">
        <v>53</v>
      </c>
      <c r="I667" s="8" t="s">
        <v>116</v>
      </c>
      <c r="J667" s="9">
        <v>1</v>
      </c>
      <c r="K667" s="9">
        <v>381</v>
      </c>
      <c r="L667" s="9">
        <v>2024</v>
      </c>
      <c r="M667" s="8" t="s">
        <v>4321</v>
      </c>
      <c r="N667" s="8" t="s">
        <v>56</v>
      </c>
      <c r="O667" s="8" t="s">
        <v>57</v>
      </c>
      <c r="P667" s="6" t="s">
        <v>167</v>
      </c>
      <c r="Q667" s="8" t="s">
        <v>44</v>
      </c>
      <c r="R667" s="10" t="s">
        <v>286</v>
      </c>
      <c r="S667" s="11" t="s">
        <v>4322</v>
      </c>
      <c r="T667" s="6"/>
      <c r="U667" s="24" t="str">
        <f>HYPERLINK("https://media.infra-m.ru/2096/2096119/cover/2096119.jpg", "Обложка")</f>
        <v>Обложка</v>
      </c>
      <c r="V667" s="24" t="str">
        <f>HYPERLINK("https://znanium.ru/catalog/product/2096119", "Ознакомиться")</f>
        <v>Ознакомиться</v>
      </c>
      <c r="W667" s="8" t="s">
        <v>4323</v>
      </c>
      <c r="X667" s="6"/>
      <c r="Y667" s="6"/>
      <c r="Z667" s="6"/>
      <c r="AA667" s="6" t="s">
        <v>207</v>
      </c>
      <c r="AB667" s="8"/>
    </row>
    <row r="668" spans="1:28" s="4" customFormat="1" ht="51.95" customHeight="1">
      <c r="A668" s="5">
        <v>0</v>
      </c>
      <c r="B668" s="6" t="s">
        <v>4324</v>
      </c>
      <c r="C668" s="13">
        <v>1204</v>
      </c>
      <c r="D668" s="8" t="s">
        <v>4325</v>
      </c>
      <c r="E668" s="8" t="s">
        <v>4326</v>
      </c>
      <c r="F668" s="8" t="s">
        <v>4327</v>
      </c>
      <c r="G668" s="6" t="s">
        <v>89</v>
      </c>
      <c r="H668" s="6" t="s">
        <v>53</v>
      </c>
      <c r="I668" s="8" t="s">
        <v>90</v>
      </c>
      <c r="J668" s="9">
        <v>1</v>
      </c>
      <c r="K668" s="9">
        <v>263</v>
      </c>
      <c r="L668" s="9">
        <v>2023</v>
      </c>
      <c r="M668" s="8" t="s">
        <v>4328</v>
      </c>
      <c r="N668" s="8" t="s">
        <v>56</v>
      </c>
      <c r="O668" s="8" t="s">
        <v>57</v>
      </c>
      <c r="P668" s="6" t="s">
        <v>43</v>
      </c>
      <c r="Q668" s="8" t="s">
        <v>44</v>
      </c>
      <c r="R668" s="10" t="s">
        <v>4329</v>
      </c>
      <c r="S668" s="11" t="s">
        <v>4330</v>
      </c>
      <c r="T668" s="6"/>
      <c r="U668" s="24" t="str">
        <f>HYPERLINK("https://media.infra-m.ru/2110/2110482/cover/2110482.jpg", "Обложка")</f>
        <v>Обложка</v>
      </c>
      <c r="V668" s="24" t="str">
        <f>HYPERLINK("https://znanium.ru/catalog/product/1915364", "Ознакомиться")</f>
        <v>Ознакомиться</v>
      </c>
      <c r="W668" s="8" t="s">
        <v>4331</v>
      </c>
      <c r="X668" s="6"/>
      <c r="Y668" s="6"/>
      <c r="Z668" s="6"/>
      <c r="AA668" s="6" t="s">
        <v>1374</v>
      </c>
      <c r="AB668" s="8"/>
    </row>
    <row r="669" spans="1:28" s="4" customFormat="1" ht="51.95" customHeight="1">
      <c r="A669" s="5">
        <v>0</v>
      </c>
      <c r="B669" s="6" t="s">
        <v>4332</v>
      </c>
      <c r="C669" s="13">
        <v>1190</v>
      </c>
      <c r="D669" s="8" t="s">
        <v>4333</v>
      </c>
      <c r="E669" s="8" t="s">
        <v>4326</v>
      </c>
      <c r="F669" s="8" t="s">
        <v>4327</v>
      </c>
      <c r="G669" s="6" t="s">
        <v>89</v>
      </c>
      <c r="H669" s="6" t="s">
        <v>53</v>
      </c>
      <c r="I669" s="8" t="s">
        <v>100</v>
      </c>
      <c r="J669" s="9">
        <v>1</v>
      </c>
      <c r="K669" s="9">
        <v>263</v>
      </c>
      <c r="L669" s="9">
        <v>2023</v>
      </c>
      <c r="M669" s="8" t="s">
        <v>4334</v>
      </c>
      <c r="N669" s="8" t="s">
        <v>56</v>
      </c>
      <c r="O669" s="8" t="s">
        <v>57</v>
      </c>
      <c r="P669" s="6" t="s">
        <v>43</v>
      </c>
      <c r="Q669" s="8" t="s">
        <v>102</v>
      </c>
      <c r="R669" s="10" t="s">
        <v>4335</v>
      </c>
      <c r="S669" s="11" t="s">
        <v>4336</v>
      </c>
      <c r="T669" s="6"/>
      <c r="U669" s="24" t="str">
        <f>HYPERLINK("https://media.infra-m.ru/1912/1912437/cover/1912437.jpg", "Обложка")</f>
        <v>Обложка</v>
      </c>
      <c r="V669" s="24" t="str">
        <f>HYPERLINK("https://znanium.ru/catalog/product/1912437", "Ознакомиться")</f>
        <v>Ознакомиться</v>
      </c>
      <c r="W669" s="8" t="s">
        <v>4331</v>
      </c>
      <c r="X669" s="6"/>
      <c r="Y669" s="6"/>
      <c r="Z669" s="6" t="s">
        <v>104</v>
      </c>
      <c r="AA669" s="6" t="s">
        <v>1259</v>
      </c>
      <c r="AB669" s="8"/>
    </row>
    <row r="670" spans="1:28" s="4" customFormat="1" ht="42" customHeight="1">
      <c r="A670" s="5">
        <v>0</v>
      </c>
      <c r="B670" s="6" t="s">
        <v>4337</v>
      </c>
      <c r="C670" s="13">
        <v>1220</v>
      </c>
      <c r="D670" s="8" t="s">
        <v>4338</v>
      </c>
      <c r="E670" s="8" t="s">
        <v>4339</v>
      </c>
      <c r="F670" s="8" t="s">
        <v>4340</v>
      </c>
      <c r="G670" s="6" t="s">
        <v>52</v>
      </c>
      <c r="H670" s="6" t="s">
        <v>53</v>
      </c>
      <c r="I670" s="8" t="s">
        <v>116</v>
      </c>
      <c r="J670" s="9">
        <v>1</v>
      </c>
      <c r="K670" s="9">
        <v>231</v>
      </c>
      <c r="L670" s="9">
        <v>2025</v>
      </c>
      <c r="M670" s="8" t="s">
        <v>4341</v>
      </c>
      <c r="N670" s="8" t="s">
        <v>79</v>
      </c>
      <c r="O670" s="8" t="s">
        <v>80</v>
      </c>
      <c r="P670" s="6" t="s">
        <v>43</v>
      </c>
      <c r="Q670" s="8" t="s">
        <v>58</v>
      </c>
      <c r="R670" s="10" t="s">
        <v>4342</v>
      </c>
      <c r="S670" s="11"/>
      <c r="T670" s="6"/>
      <c r="U670" s="24" t="str">
        <f>HYPERLINK("https://media.infra-m.ru/2116/2116156/cover/2116156.jpg", "Обложка")</f>
        <v>Обложка</v>
      </c>
      <c r="V670" s="24" t="str">
        <f>HYPERLINK("https://znanium.ru/catalog/product/2116156", "Ознакомиться")</f>
        <v>Ознакомиться</v>
      </c>
      <c r="W670" s="8" t="s">
        <v>4343</v>
      </c>
      <c r="X670" s="6" t="s">
        <v>548</v>
      </c>
      <c r="Y670" s="6"/>
      <c r="Z670" s="6"/>
      <c r="AA670" s="6" t="s">
        <v>61</v>
      </c>
      <c r="AB670" s="8"/>
    </row>
    <row r="671" spans="1:28" s="4" customFormat="1" ht="44.1" customHeight="1">
      <c r="A671" s="5">
        <v>0</v>
      </c>
      <c r="B671" s="6" t="s">
        <v>4344</v>
      </c>
      <c r="C671" s="13">
        <v>1430</v>
      </c>
      <c r="D671" s="8" t="s">
        <v>4345</v>
      </c>
      <c r="E671" s="8" t="s">
        <v>4346</v>
      </c>
      <c r="F671" s="8" t="s">
        <v>4347</v>
      </c>
      <c r="G671" s="6" t="s">
        <v>52</v>
      </c>
      <c r="H671" s="6" t="s">
        <v>53</v>
      </c>
      <c r="I671" s="8" t="s">
        <v>100</v>
      </c>
      <c r="J671" s="9">
        <v>1</v>
      </c>
      <c r="K671" s="9">
        <v>273</v>
      </c>
      <c r="L671" s="9">
        <v>2025</v>
      </c>
      <c r="M671" s="8" t="s">
        <v>4348</v>
      </c>
      <c r="N671" s="8" t="s">
        <v>41</v>
      </c>
      <c r="O671" s="8" t="s">
        <v>1007</v>
      </c>
      <c r="P671" s="6" t="s">
        <v>43</v>
      </c>
      <c r="Q671" s="8" t="s">
        <v>102</v>
      </c>
      <c r="R671" s="10" t="s">
        <v>3410</v>
      </c>
      <c r="S671" s="11"/>
      <c r="T671" s="6"/>
      <c r="U671" s="24" t="str">
        <f>HYPERLINK("https://media.infra-m.ru/2133/2133657/cover/2133657.jpg", "Обложка")</f>
        <v>Обложка</v>
      </c>
      <c r="V671" s="24" t="str">
        <f>HYPERLINK("https://znanium.ru/catalog/product/2133657", "Ознакомиться")</f>
        <v>Ознакомиться</v>
      </c>
      <c r="W671" s="8" t="s">
        <v>4349</v>
      </c>
      <c r="X671" s="6" t="s">
        <v>2790</v>
      </c>
      <c r="Y671" s="6"/>
      <c r="Z671" s="6"/>
      <c r="AA671" s="6" t="s">
        <v>61</v>
      </c>
      <c r="AB671" s="8" t="s">
        <v>1988</v>
      </c>
    </row>
    <row r="672" spans="1:28" s="4" customFormat="1" ht="44.1" customHeight="1">
      <c r="A672" s="5">
        <v>0</v>
      </c>
      <c r="B672" s="6" t="s">
        <v>4350</v>
      </c>
      <c r="C672" s="13">
        <v>1790</v>
      </c>
      <c r="D672" s="8" t="s">
        <v>4351</v>
      </c>
      <c r="E672" s="8" t="s">
        <v>4352</v>
      </c>
      <c r="F672" s="8" t="s">
        <v>4353</v>
      </c>
      <c r="G672" s="6" t="s">
        <v>52</v>
      </c>
      <c r="H672" s="6" t="s">
        <v>53</v>
      </c>
      <c r="I672" s="8" t="s">
        <v>223</v>
      </c>
      <c r="J672" s="9">
        <v>1</v>
      </c>
      <c r="K672" s="9">
        <v>345</v>
      </c>
      <c r="L672" s="9">
        <v>2025</v>
      </c>
      <c r="M672" s="8" t="s">
        <v>4354</v>
      </c>
      <c r="N672" s="8" t="s">
        <v>41</v>
      </c>
      <c r="O672" s="8" t="s">
        <v>1007</v>
      </c>
      <c r="P672" s="6" t="s">
        <v>167</v>
      </c>
      <c r="Q672" s="8" t="s">
        <v>102</v>
      </c>
      <c r="R672" s="10" t="s">
        <v>3410</v>
      </c>
      <c r="S672" s="11"/>
      <c r="T672" s="6"/>
      <c r="U672" s="24" t="str">
        <f>HYPERLINK("https://media.infra-m.ru/2135/2135820/cover/2135820.jpg", "Обложка")</f>
        <v>Обложка</v>
      </c>
      <c r="V672" s="24" t="str">
        <f>HYPERLINK("https://znanium.ru/catalog/product/2135820", "Ознакомиться")</f>
        <v>Ознакомиться</v>
      </c>
      <c r="W672" s="8" t="s">
        <v>83</v>
      </c>
      <c r="X672" s="6" t="s">
        <v>1049</v>
      </c>
      <c r="Y672" s="6"/>
      <c r="Z672" s="6"/>
      <c r="AA672" s="6" t="s">
        <v>61</v>
      </c>
      <c r="AB672" s="8"/>
    </row>
    <row r="673" spans="1:28" s="4" customFormat="1" ht="51.95" customHeight="1">
      <c r="A673" s="5">
        <v>0</v>
      </c>
      <c r="B673" s="6" t="s">
        <v>4355</v>
      </c>
      <c r="C673" s="7">
        <v>830</v>
      </c>
      <c r="D673" s="8" t="s">
        <v>4356</v>
      </c>
      <c r="E673" s="8" t="s">
        <v>4357</v>
      </c>
      <c r="F673" s="8" t="s">
        <v>4358</v>
      </c>
      <c r="G673" s="6" t="s">
        <v>38</v>
      </c>
      <c r="H673" s="6" t="s">
        <v>53</v>
      </c>
      <c r="I673" s="8" t="s">
        <v>116</v>
      </c>
      <c r="J673" s="9">
        <v>1</v>
      </c>
      <c r="K673" s="9">
        <v>158</v>
      </c>
      <c r="L673" s="9">
        <v>2025</v>
      </c>
      <c r="M673" s="8" t="s">
        <v>4359</v>
      </c>
      <c r="N673" s="8" t="s">
        <v>413</v>
      </c>
      <c r="O673" s="8" t="s">
        <v>1141</v>
      </c>
      <c r="P673" s="6" t="s">
        <v>43</v>
      </c>
      <c r="Q673" s="8" t="s">
        <v>44</v>
      </c>
      <c r="R673" s="10" t="s">
        <v>4360</v>
      </c>
      <c r="S673" s="11" t="s">
        <v>4361</v>
      </c>
      <c r="T673" s="6"/>
      <c r="U673" s="24" t="str">
        <f>HYPERLINK("https://media.infra-m.ru/2143/2143844/cover/2143844.jpg", "Обложка")</f>
        <v>Обложка</v>
      </c>
      <c r="V673" s="24" t="str">
        <f>HYPERLINK("https://znanium.ru/catalog/product/2143844", "Ознакомиться")</f>
        <v>Ознакомиться</v>
      </c>
      <c r="W673" s="8" t="s">
        <v>4293</v>
      </c>
      <c r="X673" s="6"/>
      <c r="Y673" s="6"/>
      <c r="Z673" s="6"/>
      <c r="AA673" s="6" t="s">
        <v>407</v>
      </c>
      <c r="AB673" s="8"/>
    </row>
    <row r="674" spans="1:28" s="4" customFormat="1" ht="51.95" customHeight="1">
      <c r="A674" s="5">
        <v>0</v>
      </c>
      <c r="B674" s="6" t="s">
        <v>4362</v>
      </c>
      <c r="C674" s="7">
        <v>870</v>
      </c>
      <c r="D674" s="8" t="s">
        <v>4363</v>
      </c>
      <c r="E674" s="8" t="s">
        <v>4364</v>
      </c>
      <c r="F674" s="8" t="s">
        <v>4365</v>
      </c>
      <c r="G674" s="6" t="s">
        <v>89</v>
      </c>
      <c r="H674" s="6" t="s">
        <v>438</v>
      </c>
      <c r="I674" s="8" t="s">
        <v>116</v>
      </c>
      <c r="J674" s="9">
        <v>1</v>
      </c>
      <c r="K674" s="9">
        <v>184</v>
      </c>
      <c r="L674" s="9">
        <v>2024</v>
      </c>
      <c r="M674" s="8" t="s">
        <v>4366</v>
      </c>
      <c r="N674" s="8" t="s">
        <v>79</v>
      </c>
      <c r="O674" s="8" t="s">
        <v>684</v>
      </c>
      <c r="P674" s="6" t="s">
        <v>43</v>
      </c>
      <c r="Q674" s="8" t="s">
        <v>44</v>
      </c>
      <c r="R674" s="10" t="s">
        <v>1617</v>
      </c>
      <c r="S674" s="11" t="s">
        <v>4367</v>
      </c>
      <c r="T674" s="6"/>
      <c r="U674" s="24" t="str">
        <f>HYPERLINK("https://media.infra-m.ru/2149/2149733/cover/2149733.jpg", "Обложка")</f>
        <v>Обложка</v>
      </c>
      <c r="V674" s="24" t="str">
        <f>HYPERLINK("https://znanium.ru/catalog/product/2149733", "Ознакомиться")</f>
        <v>Ознакомиться</v>
      </c>
      <c r="W674" s="8" t="s">
        <v>4368</v>
      </c>
      <c r="X674" s="6"/>
      <c r="Y674" s="6"/>
      <c r="Z674" s="6"/>
      <c r="AA674" s="6" t="s">
        <v>418</v>
      </c>
      <c r="AB674" s="8"/>
    </row>
    <row r="675" spans="1:28" s="4" customFormat="1" ht="51.95" customHeight="1">
      <c r="A675" s="5">
        <v>0</v>
      </c>
      <c r="B675" s="6" t="s">
        <v>4369</v>
      </c>
      <c r="C675" s="7">
        <v>800</v>
      </c>
      <c r="D675" s="8" t="s">
        <v>4370</v>
      </c>
      <c r="E675" s="8" t="s">
        <v>4371</v>
      </c>
      <c r="F675" s="8" t="s">
        <v>4372</v>
      </c>
      <c r="G675" s="6" t="s">
        <v>89</v>
      </c>
      <c r="H675" s="6" t="s">
        <v>53</v>
      </c>
      <c r="I675" s="8" t="s">
        <v>116</v>
      </c>
      <c r="J675" s="9">
        <v>1</v>
      </c>
      <c r="K675" s="9">
        <v>172</v>
      </c>
      <c r="L675" s="9">
        <v>2024</v>
      </c>
      <c r="M675" s="8" t="s">
        <v>4373</v>
      </c>
      <c r="N675" s="8" t="s">
        <v>41</v>
      </c>
      <c r="O675" s="8" t="s">
        <v>1007</v>
      </c>
      <c r="P675" s="6" t="s">
        <v>43</v>
      </c>
      <c r="Q675" s="8" t="s">
        <v>44</v>
      </c>
      <c r="R675" s="10" t="s">
        <v>4374</v>
      </c>
      <c r="S675" s="11" t="s">
        <v>4375</v>
      </c>
      <c r="T675" s="6"/>
      <c r="U675" s="24" t="str">
        <f>HYPERLINK("https://media.infra-m.ru/2053/2053244/cover/2053244.jpg", "Обложка")</f>
        <v>Обложка</v>
      </c>
      <c r="V675" s="24" t="str">
        <f>HYPERLINK("https://znanium.ru/catalog/product/2053244", "Ознакомиться")</f>
        <v>Ознакомиться</v>
      </c>
      <c r="W675" s="8" t="s">
        <v>83</v>
      </c>
      <c r="X675" s="6"/>
      <c r="Y675" s="6"/>
      <c r="Z675" s="6"/>
      <c r="AA675" s="6" t="s">
        <v>2193</v>
      </c>
      <c r="AB675" s="8"/>
    </row>
    <row r="676" spans="1:28" s="4" customFormat="1" ht="51.95" customHeight="1">
      <c r="A676" s="5">
        <v>0</v>
      </c>
      <c r="B676" s="6" t="s">
        <v>4376</v>
      </c>
      <c r="C676" s="7">
        <v>990</v>
      </c>
      <c r="D676" s="8" t="s">
        <v>4377</v>
      </c>
      <c r="E676" s="8" t="s">
        <v>4378</v>
      </c>
      <c r="F676" s="8" t="s">
        <v>4379</v>
      </c>
      <c r="G676" s="6" t="s">
        <v>89</v>
      </c>
      <c r="H676" s="6" t="s">
        <v>53</v>
      </c>
      <c r="I676" s="8" t="s">
        <v>276</v>
      </c>
      <c r="J676" s="9">
        <v>1</v>
      </c>
      <c r="K676" s="9">
        <v>214</v>
      </c>
      <c r="L676" s="9">
        <v>2024</v>
      </c>
      <c r="M676" s="8" t="s">
        <v>4380</v>
      </c>
      <c r="N676" s="8" t="s">
        <v>79</v>
      </c>
      <c r="O676" s="8" t="s">
        <v>684</v>
      </c>
      <c r="P676" s="6" t="s">
        <v>167</v>
      </c>
      <c r="Q676" s="8" t="s">
        <v>279</v>
      </c>
      <c r="R676" s="10" t="s">
        <v>4381</v>
      </c>
      <c r="S676" s="11" t="s">
        <v>4382</v>
      </c>
      <c r="T676" s="6" t="s">
        <v>299</v>
      </c>
      <c r="U676" s="24" t="str">
        <f>HYPERLINK("https://media.infra-m.ru/2059/2059565/cover/2059565.jpg", "Обложка")</f>
        <v>Обложка</v>
      </c>
      <c r="V676" s="24" t="str">
        <f>HYPERLINK("https://znanium.ru/catalog/product/2059565", "Ознакомиться")</f>
        <v>Ознакомиться</v>
      </c>
      <c r="W676" s="8" t="s">
        <v>4383</v>
      </c>
      <c r="X676" s="6"/>
      <c r="Y676" s="6"/>
      <c r="Z676" s="6"/>
      <c r="AA676" s="6" t="s">
        <v>418</v>
      </c>
      <c r="AB676" s="8"/>
    </row>
    <row r="677" spans="1:28" s="4" customFormat="1" ht="51.95" customHeight="1">
      <c r="A677" s="5">
        <v>0</v>
      </c>
      <c r="B677" s="6" t="s">
        <v>4384</v>
      </c>
      <c r="C677" s="7">
        <v>870</v>
      </c>
      <c r="D677" s="8" t="s">
        <v>4385</v>
      </c>
      <c r="E677" s="8" t="s">
        <v>4386</v>
      </c>
      <c r="F677" s="8" t="s">
        <v>4387</v>
      </c>
      <c r="G677" s="6" t="s">
        <v>89</v>
      </c>
      <c r="H677" s="6" t="s">
        <v>53</v>
      </c>
      <c r="I677" s="8" t="s">
        <v>165</v>
      </c>
      <c r="J677" s="9">
        <v>1</v>
      </c>
      <c r="K677" s="9">
        <v>183</v>
      </c>
      <c r="L677" s="9">
        <v>2024</v>
      </c>
      <c r="M677" s="8" t="s">
        <v>4388</v>
      </c>
      <c r="N677" s="8" t="s">
        <v>79</v>
      </c>
      <c r="O677" s="8" t="s">
        <v>684</v>
      </c>
      <c r="P677" s="6" t="s">
        <v>167</v>
      </c>
      <c r="Q677" s="8" t="s">
        <v>214</v>
      </c>
      <c r="R677" s="10" t="s">
        <v>4389</v>
      </c>
      <c r="S677" s="11" t="s">
        <v>4390</v>
      </c>
      <c r="T677" s="6"/>
      <c r="U677" s="24" t="str">
        <f>HYPERLINK("https://media.infra-m.ru/2129/2129093/cover/2129093.jpg", "Обложка")</f>
        <v>Обложка</v>
      </c>
      <c r="V677" s="24" t="str">
        <f>HYPERLINK("https://znanium.ru/catalog/product/2129093", "Ознакомиться")</f>
        <v>Ознакомиться</v>
      </c>
      <c r="W677" s="8" t="s">
        <v>4383</v>
      </c>
      <c r="X677" s="6"/>
      <c r="Y677" s="6"/>
      <c r="Z677" s="6"/>
      <c r="AA677" s="6" t="s">
        <v>418</v>
      </c>
      <c r="AB677" s="8"/>
    </row>
    <row r="678" spans="1:28" s="4" customFormat="1" ht="51.95" customHeight="1">
      <c r="A678" s="5">
        <v>0</v>
      </c>
      <c r="B678" s="6" t="s">
        <v>4391</v>
      </c>
      <c r="C678" s="13">
        <v>2074</v>
      </c>
      <c r="D678" s="8" t="s">
        <v>4392</v>
      </c>
      <c r="E678" s="8" t="s">
        <v>4393</v>
      </c>
      <c r="F678" s="8" t="s">
        <v>4394</v>
      </c>
      <c r="G678" s="6" t="s">
        <v>52</v>
      </c>
      <c r="H678" s="6" t="s">
        <v>53</v>
      </c>
      <c r="I678" s="8" t="s">
        <v>100</v>
      </c>
      <c r="J678" s="9">
        <v>1</v>
      </c>
      <c r="K678" s="9">
        <v>451</v>
      </c>
      <c r="L678" s="9">
        <v>2024</v>
      </c>
      <c r="M678" s="8" t="s">
        <v>4395</v>
      </c>
      <c r="N678" s="8" t="s">
        <v>79</v>
      </c>
      <c r="O678" s="8" t="s">
        <v>684</v>
      </c>
      <c r="P678" s="6" t="s">
        <v>167</v>
      </c>
      <c r="Q678" s="8" t="s">
        <v>102</v>
      </c>
      <c r="R678" s="10" t="s">
        <v>4396</v>
      </c>
      <c r="S678" s="11" t="s">
        <v>4397</v>
      </c>
      <c r="T678" s="6"/>
      <c r="U678" s="24" t="str">
        <f>HYPERLINK("https://media.infra-m.ru/2096/2096830/cover/2096830.jpg", "Обложка")</f>
        <v>Обложка</v>
      </c>
      <c r="V678" s="24" t="str">
        <f>HYPERLINK("https://znanium.ru/catalog/product/2096830", "Ознакомиться")</f>
        <v>Ознакомиться</v>
      </c>
      <c r="W678" s="8" t="s">
        <v>1587</v>
      </c>
      <c r="X678" s="6"/>
      <c r="Y678" s="6"/>
      <c r="Z678" s="6" t="s">
        <v>104</v>
      </c>
      <c r="AA678" s="6" t="s">
        <v>196</v>
      </c>
      <c r="AB678" s="8"/>
    </row>
    <row r="679" spans="1:28" s="4" customFormat="1" ht="51.95" customHeight="1">
      <c r="A679" s="5">
        <v>0</v>
      </c>
      <c r="B679" s="6" t="s">
        <v>4398</v>
      </c>
      <c r="C679" s="13">
        <v>2080</v>
      </c>
      <c r="D679" s="8" t="s">
        <v>4399</v>
      </c>
      <c r="E679" s="8" t="s">
        <v>4393</v>
      </c>
      <c r="F679" s="8" t="s">
        <v>4394</v>
      </c>
      <c r="G679" s="6" t="s">
        <v>52</v>
      </c>
      <c r="H679" s="6" t="s">
        <v>53</v>
      </c>
      <c r="I679" s="8" t="s">
        <v>116</v>
      </c>
      <c r="J679" s="9">
        <v>1</v>
      </c>
      <c r="K679" s="9">
        <v>451</v>
      </c>
      <c r="L679" s="9">
        <v>2024</v>
      </c>
      <c r="M679" s="8" t="s">
        <v>4400</v>
      </c>
      <c r="N679" s="8" t="s">
        <v>79</v>
      </c>
      <c r="O679" s="8" t="s">
        <v>684</v>
      </c>
      <c r="P679" s="6" t="s">
        <v>167</v>
      </c>
      <c r="Q679" s="8" t="s">
        <v>44</v>
      </c>
      <c r="R679" s="10" t="s">
        <v>4401</v>
      </c>
      <c r="S679" s="11" t="s">
        <v>4402</v>
      </c>
      <c r="T679" s="6" t="s">
        <v>299</v>
      </c>
      <c r="U679" s="24" t="str">
        <f>HYPERLINK("https://media.infra-m.ru/2094/2094473/cover/2094473.jpg", "Обложка")</f>
        <v>Обложка</v>
      </c>
      <c r="V679" s="24" t="str">
        <f>HYPERLINK("https://znanium.ru/catalog/product/2094473", "Ознакомиться")</f>
        <v>Ознакомиться</v>
      </c>
      <c r="W679" s="8" t="s">
        <v>1587</v>
      </c>
      <c r="X679" s="6"/>
      <c r="Y679" s="6"/>
      <c r="Z679" s="6"/>
      <c r="AA679" s="6" t="s">
        <v>326</v>
      </c>
      <c r="AB679" s="8"/>
    </row>
    <row r="680" spans="1:28" s="4" customFormat="1" ht="42" customHeight="1">
      <c r="A680" s="5">
        <v>0</v>
      </c>
      <c r="B680" s="6" t="s">
        <v>4403</v>
      </c>
      <c r="C680" s="7">
        <v>954</v>
      </c>
      <c r="D680" s="8" t="s">
        <v>4404</v>
      </c>
      <c r="E680" s="8" t="s">
        <v>4405</v>
      </c>
      <c r="F680" s="8" t="s">
        <v>4406</v>
      </c>
      <c r="G680" s="6" t="s">
        <v>52</v>
      </c>
      <c r="H680" s="6" t="s">
        <v>53</v>
      </c>
      <c r="I680" s="8" t="s">
        <v>276</v>
      </c>
      <c r="J680" s="9">
        <v>1</v>
      </c>
      <c r="K680" s="9">
        <v>208</v>
      </c>
      <c r="L680" s="9">
        <v>2023</v>
      </c>
      <c r="M680" s="8" t="s">
        <v>4407</v>
      </c>
      <c r="N680" s="8" t="s">
        <v>79</v>
      </c>
      <c r="O680" s="8" t="s">
        <v>684</v>
      </c>
      <c r="P680" s="6" t="s">
        <v>43</v>
      </c>
      <c r="Q680" s="8" t="s">
        <v>279</v>
      </c>
      <c r="R680" s="10" t="s">
        <v>4408</v>
      </c>
      <c r="S680" s="11"/>
      <c r="T680" s="6"/>
      <c r="U680" s="24" t="str">
        <f>HYPERLINK("https://media.infra-m.ru/1981/1981683/cover/1981683.jpg", "Обложка")</f>
        <v>Обложка</v>
      </c>
      <c r="V680" s="24" t="str">
        <f>HYPERLINK("https://znanium.ru/catalog/product/1178805", "Ознакомиться")</f>
        <v>Ознакомиться</v>
      </c>
      <c r="W680" s="8" t="s">
        <v>71</v>
      </c>
      <c r="X680" s="6"/>
      <c r="Y680" s="6"/>
      <c r="Z680" s="6"/>
      <c r="AA680" s="6" t="s">
        <v>84</v>
      </c>
      <c r="AB680" s="8"/>
    </row>
    <row r="681" spans="1:28" s="4" customFormat="1" ht="51.95" customHeight="1">
      <c r="A681" s="5">
        <v>0</v>
      </c>
      <c r="B681" s="6" t="s">
        <v>4409</v>
      </c>
      <c r="C681" s="13">
        <v>1264</v>
      </c>
      <c r="D681" s="8" t="s">
        <v>4410</v>
      </c>
      <c r="E681" s="8" t="s">
        <v>4411</v>
      </c>
      <c r="F681" s="8" t="s">
        <v>4412</v>
      </c>
      <c r="G681" s="6" t="s">
        <v>89</v>
      </c>
      <c r="H681" s="6" t="s">
        <v>53</v>
      </c>
      <c r="I681" s="8" t="s">
        <v>90</v>
      </c>
      <c r="J681" s="9">
        <v>1</v>
      </c>
      <c r="K681" s="9">
        <v>252</v>
      </c>
      <c r="L681" s="9">
        <v>2025</v>
      </c>
      <c r="M681" s="8" t="s">
        <v>4413</v>
      </c>
      <c r="N681" s="8" t="s">
        <v>79</v>
      </c>
      <c r="O681" s="8" t="s">
        <v>684</v>
      </c>
      <c r="P681" s="6" t="s">
        <v>167</v>
      </c>
      <c r="Q681" s="8" t="s">
        <v>44</v>
      </c>
      <c r="R681" s="10" t="s">
        <v>4414</v>
      </c>
      <c r="S681" s="11" t="s">
        <v>4415</v>
      </c>
      <c r="T681" s="6"/>
      <c r="U681" s="24" t="str">
        <f>HYPERLINK("https://media.infra-m.ru/2180/2180239/cover/2180239.jpg", "Обложка")</f>
        <v>Обложка</v>
      </c>
      <c r="V681" s="24" t="str">
        <f>HYPERLINK("https://znanium.ru/catalog/product/1864075", "Ознакомиться")</f>
        <v>Ознакомиться</v>
      </c>
      <c r="W681" s="8" t="s">
        <v>1587</v>
      </c>
      <c r="X681" s="6"/>
      <c r="Y681" s="6"/>
      <c r="Z681" s="6"/>
      <c r="AA681" s="6" t="s">
        <v>1259</v>
      </c>
      <c r="AB681" s="8"/>
    </row>
    <row r="682" spans="1:28" s="4" customFormat="1" ht="51.95" customHeight="1">
      <c r="A682" s="5">
        <v>0</v>
      </c>
      <c r="B682" s="6" t="s">
        <v>4416</v>
      </c>
      <c r="C682" s="7">
        <v>800</v>
      </c>
      <c r="D682" s="8" t="s">
        <v>4417</v>
      </c>
      <c r="E682" s="8" t="s">
        <v>4418</v>
      </c>
      <c r="F682" s="8" t="s">
        <v>4419</v>
      </c>
      <c r="G682" s="6" t="s">
        <v>89</v>
      </c>
      <c r="H682" s="6" t="s">
        <v>53</v>
      </c>
      <c r="I682" s="8" t="s">
        <v>90</v>
      </c>
      <c r="J682" s="9">
        <v>1</v>
      </c>
      <c r="K682" s="9">
        <v>234</v>
      </c>
      <c r="L682" s="9">
        <v>2020</v>
      </c>
      <c r="M682" s="8" t="s">
        <v>4420</v>
      </c>
      <c r="N682" s="8" t="s">
        <v>79</v>
      </c>
      <c r="O682" s="8" t="s">
        <v>684</v>
      </c>
      <c r="P682" s="6" t="s">
        <v>167</v>
      </c>
      <c r="Q682" s="8" t="s">
        <v>44</v>
      </c>
      <c r="R682" s="10" t="s">
        <v>4414</v>
      </c>
      <c r="S682" s="11" t="s">
        <v>4421</v>
      </c>
      <c r="T682" s="6"/>
      <c r="U682" s="24" t="str">
        <f>HYPERLINK("https://media.infra-m.ru/1077/1077338/cover/1077338.jpg", "Обложка")</f>
        <v>Обложка</v>
      </c>
      <c r="V682" s="24" t="str">
        <f>HYPERLINK("https://znanium.ru/catalog/product/1864075", "Ознакомиться")</f>
        <v>Ознакомиться</v>
      </c>
      <c r="W682" s="8" t="s">
        <v>1587</v>
      </c>
      <c r="X682" s="6"/>
      <c r="Y682" s="6"/>
      <c r="Z682" s="6"/>
      <c r="AA682" s="6" t="s">
        <v>47</v>
      </c>
      <c r="AB682" s="8"/>
    </row>
    <row r="683" spans="1:28" s="4" customFormat="1" ht="51.95" customHeight="1">
      <c r="A683" s="5">
        <v>0</v>
      </c>
      <c r="B683" s="6" t="s">
        <v>4422</v>
      </c>
      <c r="C683" s="13">
        <v>1110</v>
      </c>
      <c r="D683" s="8" t="s">
        <v>4423</v>
      </c>
      <c r="E683" s="8" t="s">
        <v>4418</v>
      </c>
      <c r="F683" s="8" t="s">
        <v>4419</v>
      </c>
      <c r="G683" s="6" t="s">
        <v>89</v>
      </c>
      <c r="H683" s="6" t="s">
        <v>53</v>
      </c>
      <c r="I683" s="8" t="s">
        <v>100</v>
      </c>
      <c r="J683" s="9">
        <v>1</v>
      </c>
      <c r="K683" s="9">
        <v>234</v>
      </c>
      <c r="L683" s="9">
        <v>2024</v>
      </c>
      <c r="M683" s="8" t="s">
        <v>4424</v>
      </c>
      <c r="N683" s="8" t="s">
        <v>79</v>
      </c>
      <c r="O683" s="8" t="s">
        <v>684</v>
      </c>
      <c r="P683" s="6" t="s">
        <v>167</v>
      </c>
      <c r="Q683" s="8" t="s">
        <v>102</v>
      </c>
      <c r="R683" s="10" t="s">
        <v>4425</v>
      </c>
      <c r="S683" s="11" t="s">
        <v>4426</v>
      </c>
      <c r="T683" s="6"/>
      <c r="U683" s="24" t="str">
        <f>HYPERLINK("https://media.infra-m.ru/2110/2110038/cover/2110038.jpg", "Обложка")</f>
        <v>Обложка</v>
      </c>
      <c r="V683" s="24" t="str">
        <f>HYPERLINK("https://znanium.ru/catalog/product/2110038", "Ознакомиться")</f>
        <v>Ознакомиться</v>
      </c>
      <c r="W683" s="8" t="s">
        <v>1587</v>
      </c>
      <c r="X683" s="6"/>
      <c r="Y683" s="6"/>
      <c r="Z683" s="6" t="s">
        <v>104</v>
      </c>
      <c r="AA683" s="6" t="s">
        <v>151</v>
      </c>
      <c r="AB683" s="8"/>
    </row>
    <row r="684" spans="1:28" s="4" customFormat="1" ht="51.95" customHeight="1">
      <c r="A684" s="5">
        <v>0</v>
      </c>
      <c r="B684" s="6" t="s">
        <v>4427</v>
      </c>
      <c r="C684" s="7">
        <v>850</v>
      </c>
      <c r="D684" s="8" t="s">
        <v>4428</v>
      </c>
      <c r="E684" s="8" t="s">
        <v>4429</v>
      </c>
      <c r="F684" s="8" t="s">
        <v>4430</v>
      </c>
      <c r="G684" s="6" t="s">
        <v>89</v>
      </c>
      <c r="H684" s="6" t="s">
        <v>53</v>
      </c>
      <c r="I684" s="8" t="s">
        <v>116</v>
      </c>
      <c r="J684" s="9">
        <v>1</v>
      </c>
      <c r="K684" s="9">
        <v>184</v>
      </c>
      <c r="L684" s="9">
        <v>2023</v>
      </c>
      <c r="M684" s="8" t="s">
        <v>4431</v>
      </c>
      <c r="N684" s="8" t="s">
        <v>41</v>
      </c>
      <c r="O684" s="8" t="s">
        <v>676</v>
      </c>
      <c r="P684" s="6" t="s">
        <v>43</v>
      </c>
      <c r="Q684" s="8" t="s">
        <v>44</v>
      </c>
      <c r="R684" s="10" t="s">
        <v>806</v>
      </c>
      <c r="S684" s="11" t="s">
        <v>4432</v>
      </c>
      <c r="T684" s="6"/>
      <c r="U684" s="24" t="str">
        <f>HYPERLINK("https://media.infra-m.ru/2125/2125661/cover/2125661.jpg", "Обложка")</f>
        <v>Обложка</v>
      </c>
      <c r="V684" s="24" t="str">
        <f>HYPERLINK("https://znanium.ru/catalog/product/2102663", "Ознакомиться")</f>
        <v>Ознакомиться</v>
      </c>
      <c r="W684" s="8" t="s">
        <v>4433</v>
      </c>
      <c r="X684" s="6"/>
      <c r="Y684" s="6"/>
      <c r="Z684" s="6"/>
      <c r="AA684" s="6" t="s">
        <v>1259</v>
      </c>
      <c r="AB684" s="8"/>
    </row>
    <row r="685" spans="1:28" s="4" customFormat="1" ht="42" customHeight="1">
      <c r="A685" s="5">
        <v>0</v>
      </c>
      <c r="B685" s="6" t="s">
        <v>4434</v>
      </c>
      <c r="C685" s="7">
        <v>754</v>
      </c>
      <c r="D685" s="8" t="s">
        <v>4435</v>
      </c>
      <c r="E685" s="8" t="s">
        <v>4436</v>
      </c>
      <c r="F685" s="8" t="s">
        <v>4437</v>
      </c>
      <c r="G685" s="6" t="s">
        <v>38</v>
      </c>
      <c r="H685" s="6" t="s">
        <v>952</v>
      </c>
      <c r="I685" s="8"/>
      <c r="J685" s="9">
        <v>1</v>
      </c>
      <c r="K685" s="9">
        <v>152</v>
      </c>
      <c r="L685" s="9">
        <v>2025</v>
      </c>
      <c r="M685" s="8" t="s">
        <v>4438</v>
      </c>
      <c r="N685" s="8" t="s">
        <v>79</v>
      </c>
      <c r="O685" s="8" t="s">
        <v>80</v>
      </c>
      <c r="P685" s="6" t="s">
        <v>43</v>
      </c>
      <c r="Q685" s="8" t="s">
        <v>44</v>
      </c>
      <c r="R685" s="10" t="s">
        <v>4439</v>
      </c>
      <c r="S685" s="11"/>
      <c r="T685" s="6"/>
      <c r="U685" s="24" t="str">
        <f>HYPERLINK("https://media.infra-m.ru/1927/1927304/cover/1927304.jpg", "Обложка")</f>
        <v>Обложка</v>
      </c>
      <c r="V685" s="24" t="str">
        <f>HYPERLINK("https://znanium.ru/catalog/product/1859029", "Ознакомиться")</f>
        <v>Ознакомиться</v>
      </c>
      <c r="W685" s="8" t="s">
        <v>564</v>
      </c>
      <c r="X685" s="6"/>
      <c r="Y685" s="6"/>
      <c r="Z685" s="6"/>
      <c r="AA685" s="6" t="s">
        <v>442</v>
      </c>
      <c r="AB685" s="8"/>
    </row>
    <row r="686" spans="1:28" s="4" customFormat="1" ht="51.95" customHeight="1">
      <c r="A686" s="5">
        <v>0</v>
      </c>
      <c r="B686" s="6" t="s">
        <v>4440</v>
      </c>
      <c r="C686" s="13">
        <v>2390</v>
      </c>
      <c r="D686" s="8" t="s">
        <v>4441</v>
      </c>
      <c r="E686" s="8" t="s">
        <v>4442</v>
      </c>
      <c r="F686" s="8" t="s">
        <v>4443</v>
      </c>
      <c r="G686" s="6" t="s">
        <v>89</v>
      </c>
      <c r="H686" s="6" t="s">
        <v>438</v>
      </c>
      <c r="I686" s="8"/>
      <c r="J686" s="9">
        <v>1</v>
      </c>
      <c r="K686" s="9">
        <v>344</v>
      </c>
      <c r="L686" s="9">
        <v>2023</v>
      </c>
      <c r="M686" s="8" t="s">
        <v>4444</v>
      </c>
      <c r="N686" s="8" t="s">
        <v>79</v>
      </c>
      <c r="O686" s="8" t="s">
        <v>174</v>
      </c>
      <c r="P686" s="6" t="s">
        <v>43</v>
      </c>
      <c r="Q686" s="8" t="s">
        <v>44</v>
      </c>
      <c r="R686" s="10" t="s">
        <v>4445</v>
      </c>
      <c r="S686" s="11" t="s">
        <v>4446</v>
      </c>
      <c r="T686" s="6"/>
      <c r="U686" s="24" t="str">
        <f>HYPERLINK("https://media.infra-m.ru/1905/1905726/cover/1905726.jpg", "Обложка")</f>
        <v>Обложка</v>
      </c>
      <c r="V686" s="24" t="str">
        <f>HYPERLINK("https://znanium.ru/catalog/product/1905726", "Ознакомиться")</f>
        <v>Ознакомиться</v>
      </c>
      <c r="W686" s="8" t="s">
        <v>4447</v>
      </c>
      <c r="X686" s="6"/>
      <c r="Y686" s="6"/>
      <c r="Z686" s="6"/>
      <c r="AA686" s="6" t="s">
        <v>111</v>
      </c>
      <c r="AB686" s="8"/>
    </row>
    <row r="687" spans="1:28" s="4" customFormat="1" ht="51.95" customHeight="1">
      <c r="A687" s="5">
        <v>0</v>
      </c>
      <c r="B687" s="6" t="s">
        <v>4448</v>
      </c>
      <c r="C687" s="7">
        <v>394</v>
      </c>
      <c r="D687" s="8" t="s">
        <v>4449</v>
      </c>
      <c r="E687" s="8" t="s">
        <v>4450</v>
      </c>
      <c r="F687" s="8" t="s">
        <v>4451</v>
      </c>
      <c r="G687" s="6" t="s">
        <v>38</v>
      </c>
      <c r="H687" s="6" t="s">
        <v>184</v>
      </c>
      <c r="I687" s="8" t="s">
        <v>90</v>
      </c>
      <c r="J687" s="9">
        <v>1</v>
      </c>
      <c r="K687" s="9">
        <v>78</v>
      </c>
      <c r="L687" s="9">
        <v>2024</v>
      </c>
      <c r="M687" s="8" t="s">
        <v>4452</v>
      </c>
      <c r="N687" s="8" t="s">
        <v>79</v>
      </c>
      <c r="O687" s="8" t="s">
        <v>396</v>
      </c>
      <c r="P687" s="6" t="s">
        <v>43</v>
      </c>
      <c r="Q687" s="8" t="s">
        <v>44</v>
      </c>
      <c r="R687" s="10" t="s">
        <v>4453</v>
      </c>
      <c r="S687" s="11" t="s">
        <v>4454</v>
      </c>
      <c r="T687" s="6"/>
      <c r="U687" s="24" t="str">
        <f>HYPERLINK("https://media.infra-m.ru/2103/2103126/cover/2103126.jpg", "Обложка")</f>
        <v>Обложка</v>
      </c>
      <c r="V687" s="24" t="str">
        <f>HYPERLINK("https://znanium.ru/catalog/product/1012448", "Ознакомиться")</f>
        <v>Ознакомиться</v>
      </c>
      <c r="W687" s="8" t="s">
        <v>450</v>
      </c>
      <c r="X687" s="6"/>
      <c r="Y687" s="6"/>
      <c r="Z687" s="6"/>
      <c r="AA687" s="6" t="s">
        <v>47</v>
      </c>
      <c r="AB687" s="8"/>
    </row>
    <row r="688" spans="1:28" s="4" customFormat="1" ht="51.95" customHeight="1">
      <c r="A688" s="5">
        <v>0</v>
      </c>
      <c r="B688" s="6" t="s">
        <v>4455</v>
      </c>
      <c r="C688" s="13">
        <v>1924</v>
      </c>
      <c r="D688" s="8" t="s">
        <v>4456</v>
      </c>
      <c r="E688" s="8" t="s">
        <v>4457</v>
      </c>
      <c r="F688" s="8" t="s">
        <v>4458</v>
      </c>
      <c r="G688" s="6" t="s">
        <v>89</v>
      </c>
      <c r="H688" s="6" t="s">
        <v>53</v>
      </c>
      <c r="I688" s="8" t="s">
        <v>100</v>
      </c>
      <c r="J688" s="9">
        <v>1</v>
      </c>
      <c r="K688" s="9">
        <v>427</v>
      </c>
      <c r="L688" s="9">
        <v>2024</v>
      </c>
      <c r="M688" s="8" t="s">
        <v>4459</v>
      </c>
      <c r="N688" s="8" t="s">
        <v>79</v>
      </c>
      <c r="O688" s="8" t="s">
        <v>148</v>
      </c>
      <c r="P688" s="6" t="s">
        <v>167</v>
      </c>
      <c r="Q688" s="8" t="s">
        <v>102</v>
      </c>
      <c r="R688" s="10" t="s">
        <v>4460</v>
      </c>
      <c r="S688" s="11" t="s">
        <v>4461</v>
      </c>
      <c r="T688" s="6"/>
      <c r="U688" s="24" t="str">
        <f>HYPERLINK("https://media.infra-m.ru/2049/2049692/cover/2049692.jpg", "Обложка")</f>
        <v>Обложка</v>
      </c>
      <c r="V688" s="24" t="str">
        <f>HYPERLINK("https://znanium.ru/catalog/product/1071740", "Ознакомиться")</f>
        <v>Ознакомиться</v>
      </c>
      <c r="W688" s="8" t="s">
        <v>462</v>
      </c>
      <c r="X688" s="6"/>
      <c r="Y688" s="6"/>
      <c r="Z688" s="6" t="s">
        <v>104</v>
      </c>
      <c r="AA688" s="6" t="s">
        <v>793</v>
      </c>
      <c r="AB688" s="8"/>
    </row>
    <row r="689" spans="1:28" s="4" customFormat="1" ht="51.95" customHeight="1">
      <c r="A689" s="5">
        <v>0</v>
      </c>
      <c r="B689" s="6" t="s">
        <v>4462</v>
      </c>
      <c r="C689" s="13">
        <v>1970</v>
      </c>
      <c r="D689" s="8" t="s">
        <v>4463</v>
      </c>
      <c r="E689" s="8" t="s">
        <v>4457</v>
      </c>
      <c r="F689" s="8" t="s">
        <v>4458</v>
      </c>
      <c r="G689" s="6" t="s">
        <v>52</v>
      </c>
      <c r="H689" s="6" t="s">
        <v>53</v>
      </c>
      <c r="I689" s="8" t="s">
        <v>116</v>
      </c>
      <c r="J689" s="9">
        <v>1</v>
      </c>
      <c r="K689" s="9">
        <v>427</v>
      </c>
      <c r="L689" s="9">
        <v>2024</v>
      </c>
      <c r="M689" s="8" t="s">
        <v>4464</v>
      </c>
      <c r="N689" s="8" t="s">
        <v>79</v>
      </c>
      <c r="O689" s="8" t="s">
        <v>148</v>
      </c>
      <c r="P689" s="6" t="s">
        <v>167</v>
      </c>
      <c r="Q689" s="8" t="s">
        <v>44</v>
      </c>
      <c r="R689" s="10" t="s">
        <v>4465</v>
      </c>
      <c r="S689" s="11" t="s">
        <v>4466</v>
      </c>
      <c r="T689" s="6"/>
      <c r="U689" s="24" t="str">
        <f>HYPERLINK("https://media.infra-m.ru/2109/2109539/cover/2109539.jpg", "Обложка")</f>
        <v>Обложка</v>
      </c>
      <c r="V689" s="24" t="str">
        <f>HYPERLINK("https://znanium.ru/catalog/product/2109539", "Ознакомиться")</f>
        <v>Ознакомиться</v>
      </c>
      <c r="W689" s="8" t="s">
        <v>462</v>
      </c>
      <c r="X689" s="6"/>
      <c r="Y689" s="6"/>
      <c r="Z689" s="6"/>
      <c r="AA689" s="6" t="s">
        <v>151</v>
      </c>
      <c r="AB689" s="8"/>
    </row>
    <row r="690" spans="1:28" s="4" customFormat="1" ht="51.95" customHeight="1">
      <c r="A690" s="5">
        <v>0</v>
      </c>
      <c r="B690" s="6" t="s">
        <v>4467</v>
      </c>
      <c r="C690" s="13">
        <v>1200</v>
      </c>
      <c r="D690" s="8" t="s">
        <v>4468</v>
      </c>
      <c r="E690" s="8" t="s">
        <v>4469</v>
      </c>
      <c r="F690" s="8" t="s">
        <v>4470</v>
      </c>
      <c r="G690" s="6" t="s">
        <v>52</v>
      </c>
      <c r="H690" s="6" t="s">
        <v>53</v>
      </c>
      <c r="I690" s="8" t="s">
        <v>1325</v>
      </c>
      <c r="J690" s="9">
        <v>1</v>
      </c>
      <c r="K690" s="9">
        <v>224</v>
      </c>
      <c r="L690" s="9">
        <v>2024</v>
      </c>
      <c r="M690" s="8" t="s">
        <v>4471</v>
      </c>
      <c r="N690" s="8" t="s">
        <v>41</v>
      </c>
      <c r="O690" s="8" t="s">
        <v>129</v>
      </c>
      <c r="P690" s="6" t="s">
        <v>43</v>
      </c>
      <c r="Q690" s="8" t="s">
        <v>58</v>
      </c>
      <c r="R690" s="10" t="s">
        <v>4472</v>
      </c>
      <c r="S690" s="11" t="s">
        <v>4473</v>
      </c>
      <c r="T690" s="6"/>
      <c r="U690" s="24" t="str">
        <f>HYPERLINK("https://media.infra-m.ru/2052/2052435/cover/2052435.jpg", "Обложка")</f>
        <v>Обложка</v>
      </c>
      <c r="V690" s="24" t="str">
        <f>HYPERLINK("https://znanium.ru/catalog/product/2052435", "Ознакомиться")</f>
        <v>Ознакомиться</v>
      </c>
      <c r="W690" s="8" t="s">
        <v>1329</v>
      </c>
      <c r="X690" s="6"/>
      <c r="Y690" s="6"/>
      <c r="Z690" s="6"/>
      <c r="AA690" s="6" t="s">
        <v>133</v>
      </c>
      <c r="AB690" s="8"/>
    </row>
    <row r="691" spans="1:28" s="4" customFormat="1" ht="51.95" customHeight="1">
      <c r="A691" s="5">
        <v>0</v>
      </c>
      <c r="B691" s="6" t="s">
        <v>4474</v>
      </c>
      <c r="C691" s="7">
        <v>700</v>
      </c>
      <c r="D691" s="8" t="s">
        <v>4475</v>
      </c>
      <c r="E691" s="8" t="s">
        <v>4476</v>
      </c>
      <c r="F691" s="8" t="s">
        <v>4477</v>
      </c>
      <c r="G691" s="6" t="s">
        <v>38</v>
      </c>
      <c r="H691" s="6" t="s">
        <v>39</v>
      </c>
      <c r="I691" s="8" t="s">
        <v>100</v>
      </c>
      <c r="J691" s="9">
        <v>1</v>
      </c>
      <c r="K691" s="9">
        <v>128</v>
      </c>
      <c r="L691" s="9">
        <v>2025</v>
      </c>
      <c r="M691" s="8" t="s">
        <v>4478</v>
      </c>
      <c r="N691" s="8" t="s">
        <v>41</v>
      </c>
      <c r="O691" s="8" t="s">
        <v>278</v>
      </c>
      <c r="P691" s="6" t="s">
        <v>43</v>
      </c>
      <c r="Q691" s="8" t="s">
        <v>102</v>
      </c>
      <c r="R691" s="10" t="s">
        <v>4479</v>
      </c>
      <c r="S691" s="11" t="s">
        <v>4480</v>
      </c>
      <c r="T691" s="6"/>
      <c r="U691" s="24" t="str">
        <f>HYPERLINK("https://media.infra-m.ru/2172/2172715/cover/2172715.jpg", "Обложка")</f>
        <v>Обложка</v>
      </c>
      <c r="V691" s="24" t="str">
        <f>HYPERLINK("https://znanium.ru/catalog/product/2172715", "Ознакомиться")</f>
        <v>Ознакомиться</v>
      </c>
      <c r="W691" s="8" t="s">
        <v>159</v>
      </c>
      <c r="X691" s="6"/>
      <c r="Y691" s="6"/>
      <c r="Z691" s="6"/>
      <c r="AA691" s="6" t="s">
        <v>2217</v>
      </c>
      <c r="AB691" s="8"/>
    </row>
    <row r="692" spans="1:28" s="4" customFormat="1" ht="51.95" customHeight="1">
      <c r="A692" s="5">
        <v>0</v>
      </c>
      <c r="B692" s="6" t="s">
        <v>4481</v>
      </c>
      <c r="C692" s="13">
        <v>2080</v>
      </c>
      <c r="D692" s="8" t="s">
        <v>4482</v>
      </c>
      <c r="E692" s="8" t="s">
        <v>4483</v>
      </c>
      <c r="F692" s="8" t="s">
        <v>4484</v>
      </c>
      <c r="G692" s="6" t="s">
        <v>89</v>
      </c>
      <c r="H692" s="6" t="s">
        <v>53</v>
      </c>
      <c r="I692" s="8" t="s">
        <v>276</v>
      </c>
      <c r="J692" s="9">
        <v>1</v>
      </c>
      <c r="K692" s="9">
        <v>400</v>
      </c>
      <c r="L692" s="9">
        <v>2025</v>
      </c>
      <c r="M692" s="8" t="s">
        <v>4485</v>
      </c>
      <c r="N692" s="8" t="s">
        <v>79</v>
      </c>
      <c r="O692" s="8" t="s">
        <v>80</v>
      </c>
      <c r="P692" s="6" t="s">
        <v>43</v>
      </c>
      <c r="Q692" s="8" t="s">
        <v>279</v>
      </c>
      <c r="R692" s="10" t="s">
        <v>4486</v>
      </c>
      <c r="S692" s="11" t="s">
        <v>4487</v>
      </c>
      <c r="T692" s="6"/>
      <c r="U692" s="24" t="str">
        <f>HYPERLINK("https://media.infra-m.ru/2196/2196123/cover/2196123.jpg", "Обложка")</f>
        <v>Обложка</v>
      </c>
      <c r="V692" s="24" t="str">
        <f>HYPERLINK("https://znanium.ru/catalog/product/2125017", "Ознакомиться")</f>
        <v>Ознакомиться</v>
      </c>
      <c r="W692" s="8" t="s">
        <v>2216</v>
      </c>
      <c r="X692" s="6"/>
      <c r="Y692" s="6"/>
      <c r="Z692" s="6"/>
      <c r="AA692" s="6" t="s">
        <v>219</v>
      </c>
      <c r="AB692" s="8"/>
    </row>
    <row r="693" spans="1:28" s="4" customFormat="1" ht="51.95" customHeight="1">
      <c r="A693" s="5">
        <v>0</v>
      </c>
      <c r="B693" s="6" t="s">
        <v>4488</v>
      </c>
      <c r="C693" s="7">
        <v>760</v>
      </c>
      <c r="D693" s="8" t="s">
        <v>4489</v>
      </c>
      <c r="E693" s="8" t="s">
        <v>4490</v>
      </c>
      <c r="F693" s="8" t="s">
        <v>4491</v>
      </c>
      <c r="G693" s="6" t="s">
        <v>38</v>
      </c>
      <c r="H693" s="6" t="s">
        <v>53</v>
      </c>
      <c r="I693" s="8" t="s">
        <v>90</v>
      </c>
      <c r="J693" s="9">
        <v>1</v>
      </c>
      <c r="K693" s="9">
        <v>149</v>
      </c>
      <c r="L693" s="9">
        <v>2024</v>
      </c>
      <c r="M693" s="8" t="s">
        <v>4492</v>
      </c>
      <c r="N693" s="8" t="s">
        <v>41</v>
      </c>
      <c r="O693" s="8" t="s">
        <v>1007</v>
      </c>
      <c r="P693" s="6" t="s">
        <v>43</v>
      </c>
      <c r="Q693" s="8" t="s">
        <v>44</v>
      </c>
      <c r="R693" s="10" t="s">
        <v>1008</v>
      </c>
      <c r="S693" s="11" t="s">
        <v>3474</v>
      </c>
      <c r="T693" s="6"/>
      <c r="U693" s="24" t="str">
        <f>HYPERLINK("https://media.infra-m.ru/2138/2138941/cover/2138941.jpg", "Обложка")</f>
        <v>Обложка</v>
      </c>
      <c r="V693" s="24" t="str">
        <f>HYPERLINK("https://znanium.ru/catalog/product/2138941", "Ознакомиться")</f>
        <v>Ознакомиться</v>
      </c>
      <c r="W693" s="8" t="s">
        <v>2392</v>
      </c>
      <c r="X693" s="6"/>
      <c r="Y693" s="6"/>
      <c r="Z693" s="6"/>
      <c r="AA693" s="6" t="s">
        <v>442</v>
      </c>
      <c r="AB693" s="8"/>
    </row>
    <row r="694" spans="1:28" s="4" customFormat="1" ht="51.95" customHeight="1">
      <c r="A694" s="5">
        <v>0</v>
      </c>
      <c r="B694" s="6" t="s">
        <v>4493</v>
      </c>
      <c r="C694" s="7">
        <v>584.9</v>
      </c>
      <c r="D694" s="8" t="s">
        <v>4494</v>
      </c>
      <c r="E694" s="8" t="s">
        <v>4495</v>
      </c>
      <c r="F694" s="8" t="s">
        <v>4496</v>
      </c>
      <c r="G694" s="6" t="s">
        <v>52</v>
      </c>
      <c r="H694" s="6" t="s">
        <v>674</v>
      </c>
      <c r="I694" s="8"/>
      <c r="J694" s="9">
        <v>1</v>
      </c>
      <c r="K694" s="9">
        <v>160</v>
      </c>
      <c r="L694" s="9">
        <v>2021</v>
      </c>
      <c r="M694" s="8" t="s">
        <v>4497</v>
      </c>
      <c r="N694" s="8" t="s">
        <v>41</v>
      </c>
      <c r="O694" s="8" t="s">
        <v>676</v>
      </c>
      <c r="P694" s="6" t="s">
        <v>1046</v>
      </c>
      <c r="Q694" s="8" t="s">
        <v>44</v>
      </c>
      <c r="R694" s="10" t="s">
        <v>677</v>
      </c>
      <c r="S694" s="11"/>
      <c r="T694" s="6"/>
      <c r="U694" s="12"/>
      <c r="V694" s="24" t="str">
        <f>HYPERLINK("https://znanium.ru/catalog/product/2133512", "Ознакомиться")</f>
        <v>Ознакомиться</v>
      </c>
      <c r="W694" s="8" t="s">
        <v>2114</v>
      </c>
      <c r="X694" s="6"/>
      <c r="Y694" s="6"/>
      <c r="Z694" s="6"/>
      <c r="AA694" s="6" t="s">
        <v>442</v>
      </c>
      <c r="AB694" s="8"/>
    </row>
    <row r="695" spans="1:28" s="4" customFormat="1" ht="51.95" customHeight="1">
      <c r="A695" s="5">
        <v>0</v>
      </c>
      <c r="B695" s="6" t="s">
        <v>4498</v>
      </c>
      <c r="C695" s="7">
        <v>720</v>
      </c>
      <c r="D695" s="8" t="s">
        <v>4499</v>
      </c>
      <c r="E695" s="8" t="s">
        <v>4500</v>
      </c>
      <c r="F695" s="8" t="s">
        <v>4501</v>
      </c>
      <c r="G695" s="6" t="s">
        <v>38</v>
      </c>
      <c r="H695" s="6" t="s">
        <v>952</v>
      </c>
      <c r="I695" s="8"/>
      <c r="J695" s="9">
        <v>1</v>
      </c>
      <c r="K695" s="9">
        <v>144</v>
      </c>
      <c r="L695" s="9">
        <v>2025</v>
      </c>
      <c r="M695" s="8" t="s">
        <v>4502</v>
      </c>
      <c r="N695" s="8" t="s">
        <v>41</v>
      </c>
      <c r="O695" s="8" t="s">
        <v>1007</v>
      </c>
      <c r="P695" s="6" t="s">
        <v>43</v>
      </c>
      <c r="Q695" s="8" t="s">
        <v>44</v>
      </c>
      <c r="R695" s="10" t="s">
        <v>168</v>
      </c>
      <c r="S695" s="11"/>
      <c r="T695" s="6"/>
      <c r="U695" s="24" t="str">
        <f>HYPERLINK("https://media.infra-m.ru/2186/2186211/cover/2186211.jpg", "Обложка")</f>
        <v>Обложка</v>
      </c>
      <c r="V695" s="24" t="str">
        <f>HYPERLINK("https://znanium.ru/catalog/product/1915661", "Ознакомиться")</f>
        <v>Ознакомиться</v>
      </c>
      <c r="W695" s="8" t="s">
        <v>4503</v>
      </c>
      <c r="X695" s="6"/>
      <c r="Y695" s="6"/>
      <c r="Z695" s="6"/>
      <c r="AA695" s="6" t="s">
        <v>4504</v>
      </c>
      <c r="AB695" s="8"/>
    </row>
    <row r="696" spans="1:28" s="4" customFormat="1" ht="51.95" customHeight="1">
      <c r="A696" s="5">
        <v>0</v>
      </c>
      <c r="B696" s="6" t="s">
        <v>4505</v>
      </c>
      <c r="C696" s="13">
        <v>2780</v>
      </c>
      <c r="D696" s="8" t="s">
        <v>4506</v>
      </c>
      <c r="E696" s="8" t="s">
        <v>4507</v>
      </c>
      <c r="F696" s="8" t="s">
        <v>4508</v>
      </c>
      <c r="G696" s="6" t="s">
        <v>52</v>
      </c>
      <c r="H696" s="6" t="s">
        <v>53</v>
      </c>
      <c r="I696" s="8" t="s">
        <v>116</v>
      </c>
      <c r="J696" s="9">
        <v>1</v>
      </c>
      <c r="K696" s="9">
        <v>555</v>
      </c>
      <c r="L696" s="9">
        <v>2025</v>
      </c>
      <c r="M696" s="8" t="s">
        <v>4509</v>
      </c>
      <c r="N696" s="8" t="s">
        <v>41</v>
      </c>
      <c r="O696" s="8" t="s">
        <v>1007</v>
      </c>
      <c r="P696" s="6" t="s">
        <v>167</v>
      </c>
      <c r="Q696" s="8" t="s">
        <v>279</v>
      </c>
      <c r="R696" s="10" t="s">
        <v>4510</v>
      </c>
      <c r="S696" s="11"/>
      <c r="T696" s="6"/>
      <c r="U696" s="24" t="str">
        <f>HYPERLINK("https://media.infra-m.ru/2137/2137621/cover/2137621.jpg", "Обложка")</f>
        <v>Обложка</v>
      </c>
      <c r="V696" s="24" t="str">
        <f>HYPERLINK("https://znanium.ru/catalog/product/2137621", "Ознакомиться")</f>
        <v>Ознакомиться</v>
      </c>
      <c r="W696" s="8" t="s">
        <v>947</v>
      </c>
      <c r="X696" s="6" t="s">
        <v>2790</v>
      </c>
      <c r="Y696" s="6"/>
      <c r="Z696" s="6"/>
      <c r="AA696" s="6" t="s">
        <v>549</v>
      </c>
      <c r="AB696" s="8"/>
    </row>
    <row r="697" spans="1:28" s="4" customFormat="1" ht="51.95" customHeight="1">
      <c r="A697" s="5">
        <v>0</v>
      </c>
      <c r="B697" s="6" t="s">
        <v>4511</v>
      </c>
      <c r="C697" s="13">
        <v>1490</v>
      </c>
      <c r="D697" s="8" t="s">
        <v>4512</v>
      </c>
      <c r="E697" s="8" t="s">
        <v>4513</v>
      </c>
      <c r="F697" s="8" t="s">
        <v>4514</v>
      </c>
      <c r="G697" s="6" t="s">
        <v>89</v>
      </c>
      <c r="H697" s="6" t="s">
        <v>53</v>
      </c>
      <c r="I697" s="8" t="s">
        <v>276</v>
      </c>
      <c r="J697" s="9">
        <v>1</v>
      </c>
      <c r="K697" s="9">
        <v>332</v>
      </c>
      <c r="L697" s="9">
        <v>2023</v>
      </c>
      <c r="M697" s="8" t="s">
        <v>4515</v>
      </c>
      <c r="N697" s="8" t="s">
        <v>41</v>
      </c>
      <c r="O697" s="8" t="s">
        <v>1007</v>
      </c>
      <c r="P697" s="6" t="s">
        <v>167</v>
      </c>
      <c r="Q697" s="8" t="s">
        <v>279</v>
      </c>
      <c r="R697" s="10" t="s">
        <v>4510</v>
      </c>
      <c r="S697" s="11" t="s">
        <v>4516</v>
      </c>
      <c r="T697" s="6"/>
      <c r="U697" s="24" t="str">
        <f>HYPERLINK("https://media.infra-m.ru/1907/1907033/cover/1907033.jpg", "Обложка")</f>
        <v>Обложка</v>
      </c>
      <c r="V697" s="24" t="str">
        <f>HYPERLINK("https://znanium.ru/catalog/product/2137621", "Ознакомиться")</f>
        <v>Ознакомиться</v>
      </c>
      <c r="W697" s="8" t="s">
        <v>947</v>
      </c>
      <c r="X697" s="6"/>
      <c r="Y697" s="6"/>
      <c r="Z697" s="6"/>
      <c r="AA697" s="6" t="s">
        <v>151</v>
      </c>
      <c r="AB697" s="8"/>
    </row>
    <row r="698" spans="1:28" s="4" customFormat="1" ht="42" customHeight="1">
      <c r="A698" s="5">
        <v>0</v>
      </c>
      <c r="B698" s="6" t="s">
        <v>4517</v>
      </c>
      <c r="C698" s="7">
        <v>940</v>
      </c>
      <c r="D698" s="8" t="s">
        <v>4518</v>
      </c>
      <c r="E698" s="8" t="s">
        <v>4519</v>
      </c>
      <c r="F698" s="8" t="s">
        <v>4520</v>
      </c>
      <c r="G698" s="6" t="s">
        <v>52</v>
      </c>
      <c r="H698" s="6" t="s">
        <v>53</v>
      </c>
      <c r="I698" s="8" t="s">
        <v>212</v>
      </c>
      <c r="J698" s="9">
        <v>1</v>
      </c>
      <c r="K698" s="9">
        <v>188</v>
      </c>
      <c r="L698" s="9">
        <v>2024</v>
      </c>
      <c r="M698" s="8" t="s">
        <v>4521</v>
      </c>
      <c r="N698" s="8" t="s">
        <v>41</v>
      </c>
      <c r="O698" s="8" t="s">
        <v>1007</v>
      </c>
      <c r="P698" s="6" t="s">
        <v>43</v>
      </c>
      <c r="Q698" s="8" t="s">
        <v>214</v>
      </c>
      <c r="R698" s="10" t="s">
        <v>4522</v>
      </c>
      <c r="S698" s="11"/>
      <c r="T698" s="6"/>
      <c r="U698" s="24" t="str">
        <f>HYPERLINK("https://media.infra-m.ru/1893/1893881/cover/1893881.jpg", "Обложка")</f>
        <v>Обложка</v>
      </c>
      <c r="V698" s="24" t="str">
        <f>HYPERLINK("https://znanium.ru/catalog/product/1893881", "Ознакомиться")</f>
        <v>Ознакомиться</v>
      </c>
      <c r="W698" s="8" t="s">
        <v>1175</v>
      </c>
      <c r="X698" s="6"/>
      <c r="Y698" s="6"/>
      <c r="Z698" s="6"/>
      <c r="AA698" s="6" t="s">
        <v>133</v>
      </c>
      <c r="AB698" s="8"/>
    </row>
    <row r="699" spans="1:28" s="4" customFormat="1" ht="51.95" customHeight="1">
      <c r="A699" s="5">
        <v>0</v>
      </c>
      <c r="B699" s="6" t="s">
        <v>4523</v>
      </c>
      <c r="C699" s="7">
        <v>850</v>
      </c>
      <c r="D699" s="8" t="s">
        <v>4524</v>
      </c>
      <c r="E699" s="8" t="s">
        <v>4525</v>
      </c>
      <c r="F699" s="8" t="s">
        <v>4526</v>
      </c>
      <c r="G699" s="6" t="s">
        <v>89</v>
      </c>
      <c r="H699" s="6" t="s">
        <v>53</v>
      </c>
      <c r="I699" s="8" t="s">
        <v>276</v>
      </c>
      <c r="J699" s="9">
        <v>1</v>
      </c>
      <c r="K699" s="9">
        <v>249</v>
      </c>
      <c r="L699" s="9">
        <v>2020</v>
      </c>
      <c r="M699" s="8" t="s">
        <v>4527</v>
      </c>
      <c r="N699" s="8" t="s">
        <v>41</v>
      </c>
      <c r="O699" s="8" t="s">
        <v>1007</v>
      </c>
      <c r="P699" s="6" t="s">
        <v>167</v>
      </c>
      <c r="Q699" s="8" t="s">
        <v>279</v>
      </c>
      <c r="R699" s="10" t="s">
        <v>1008</v>
      </c>
      <c r="S699" s="11" t="s">
        <v>4528</v>
      </c>
      <c r="T699" s="6" t="s">
        <v>299</v>
      </c>
      <c r="U699" s="24" t="str">
        <f>HYPERLINK("https://media.infra-m.ru/1066/1066006/cover/1066006.jpg", "Обложка")</f>
        <v>Обложка</v>
      </c>
      <c r="V699" s="24" t="str">
        <f>HYPERLINK("https://znanium.ru/catalog/product/2096839", "Ознакомиться")</f>
        <v>Ознакомиться</v>
      </c>
      <c r="W699" s="8" t="s">
        <v>189</v>
      </c>
      <c r="X699" s="6"/>
      <c r="Y699" s="6"/>
      <c r="Z699" s="6"/>
      <c r="AA699" s="6" t="s">
        <v>442</v>
      </c>
      <c r="AB699" s="8"/>
    </row>
    <row r="700" spans="1:28" s="4" customFormat="1" ht="42" customHeight="1">
      <c r="A700" s="5">
        <v>0</v>
      </c>
      <c r="B700" s="6" t="s">
        <v>4529</v>
      </c>
      <c r="C700" s="13">
        <v>1290</v>
      </c>
      <c r="D700" s="8" t="s">
        <v>4530</v>
      </c>
      <c r="E700" s="8" t="s">
        <v>4531</v>
      </c>
      <c r="F700" s="8" t="s">
        <v>4520</v>
      </c>
      <c r="G700" s="6" t="s">
        <v>52</v>
      </c>
      <c r="H700" s="6" t="s">
        <v>53</v>
      </c>
      <c r="I700" s="8" t="s">
        <v>212</v>
      </c>
      <c r="J700" s="9">
        <v>1</v>
      </c>
      <c r="K700" s="9">
        <v>265</v>
      </c>
      <c r="L700" s="9">
        <v>2024</v>
      </c>
      <c r="M700" s="8" t="s">
        <v>4532</v>
      </c>
      <c r="N700" s="8" t="s">
        <v>41</v>
      </c>
      <c r="O700" s="8" t="s">
        <v>1007</v>
      </c>
      <c r="P700" s="6" t="s">
        <v>167</v>
      </c>
      <c r="Q700" s="8" t="s">
        <v>214</v>
      </c>
      <c r="R700" s="10" t="s">
        <v>4533</v>
      </c>
      <c r="S700" s="11"/>
      <c r="T700" s="6"/>
      <c r="U700" s="24" t="str">
        <f>HYPERLINK("https://media.infra-m.ru/1870/1870116/cover/1870116.jpg", "Обложка")</f>
        <v>Обложка</v>
      </c>
      <c r="V700" s="24" t="str">
        <f>HYPERLINK("https://znanium.ru/catalog/product/1870116", "Ознакомиться")</f>
        <v>Ознакомиться</v>
      </c>
      <c r="W700" s="8" t="s">
        <v>1175</v>
      </c>
      <c r="X700" s="6"/>
      <c r="Y700" s="6"/>
      <c r="Z700" s="6"/>
      <c r="AA700" s="6" t="s">
        <v>133</v>
      </c>
      <c r="AB700" s="8"/>
    </row>
    <row r="701" spans="1:28" s="4" customFormat="1" ht="51.95" customHeight="1">
      <c r="A701" s="5">
        <v>0</v>
      </c>
      <c r="B701" s="6" t="s">
        <v>4534</v>
      </c>
      <c r="C701" s="13">
        <v>1220</v>
      </c>
      <c r="D701" s="8" t="s">
        <v>4535</v>
      </c>
      <c r="E701" s="8" t="s">
        <v>4536</v>
      </c>
      <c r="F701" s="8" t="s">
        <v>4526</v>
      </c>
      <c r="G701" s="6" t="s">
        <v>89</v>
      </c>
      <c r="H701" s="6" t="s">
        <v>53</v>
      </c>
      <c r="I701" s="8" t="s">
        <v>2048</v>
      </c>
      <c r="J701" s="9">
        <v>1</v>
      </c>
      <c r="K701" s="9">
        <v>255</v>
      </c>
      <c r="L701" s="9">
        <v>2024</v>
      </c>
      <c r="M701" s="8" t="s">
        <v>4537</v>
      </c>
      <c r="N701" s="8" t="s">
        <v>41</v>
      </c>
      <c r="O701" s="8" t="s">
        <v>1007</v>
      </c>
      <c r="P701" s="6" t="s">
        <v>167</v>
      </c>
      <c r="Q701" s="8" t="s">
        <v>44</v>
      </c>
      <c r="R701" s="10" t="s">
        <v>1008</v>
      </c>
      <c r="S701" s="11" t="s">
        <v>4538</v>
      </c>
      <c r="T701" s="6" t="s">
        <v>299</v>
      </c>
      <c r="U701" s="24" t="str">
        <f>HYPERLINK("https://media.infra-m.ru/2096/2096839/cover/2096839.jpg", "Обложка")</f>
        <v>Обложка</v>
      </c>
      <c r="V701" s="24" t="str">
        <f>HYPERLINK("https://znanium.ru/catalog/product/2096839", "Ознакомиться")</f>
        <v>Ознакомиться</v>
      </c>
      <c r="W701" s="8" t="s">
        <v>189</v>
      </c>
      <c r="X701" s="6"/>
      <c r="Y701" s="6"/>
      <c r="Z701" s="6"/>
      <c r="AA701" s="6" t="s">
        <v>513</v>
      </c>
      <c r="AB701" s="8"/>
    </row>
    <row r="702" spans="1:28" s="4" customFormat="1" ht="51.95" customHeight="1">
      <c r="A702" s="5">
        <v>0</v>
      </c>
      <c r="B702" s="6" t="s">
        <v>4539</v>
      </c>
      <c r="C702" s="13">
        <v>1330</v>
      </c>
      <c r="D702" s="8" t="s">
        <v>4540</v>
      </c>
      <c r="E702" s="8" t="s">
        <v>4531</v>
      </c>
      <c r="F702" s="8" t="s">
        <v>4541</v>
      </c>
      <c r="G702" s="6" t="s">
        <v>89</v>
      </c>
      <c r="H702" s="6" t="s">
        <v>649</v>
      </c>
      <c r="I702" s="8" t="s">
        <v>116</v>
      </c>
      <c r="J702" s="9">
        <v>1</v>
      </c>
      <c r="K702" s="9">
        <v>287</v>
      </c>
      <c r="L702" s="9">
        <v>2023</v>
      </c>
      <c r="M702" s="8" t="s">
        <v>4542</v>
      </c>
      <c r="N702" s="8" t="s">
        <v>41</v>
      </c>
      <c r="O702" s="8" t="s">
        <v>1007</v>
      </c>
      <c r="P702" s="6" t="s">
        <v>43</v>
      </c>
      <c r="Q702" s="8" t="s">
        <v>44</v>
      </c>
      <c r="R702" s="10" t="s">
        <v>2461</v>
      </c>
      <c r="S702" s="11" t="s">
        <v>4543</v>
      </c>
      <c r="T702" s="6"/>
      <c r="U702" s="24" t="str">
        <f>HYPERLINK("https://media.infra-m.ru/1940/1940918/cover/1940918.jpg", "Обложка")</f>
        <v>Обложка</v>
      </c>
      <c r="V702" s="24" t="str">
        <f>HYPERLINK("https://znanium.ru/catalog/product/1940918", "Ознакомиться")</f>
        <v>Ознакомиться</v>
      </c>
      <c r="W702" s="8" t="s">
        <v>450</v>
      </c>
      <c r="X702" s="6"/>
      <c r="Y702" s="6"/>
      <c r="Z702" s="6"/>
      <c r="AA702" s="6" t="s">
        <v>418</v>
      </c>
      <c r="AB702" s="8"/>
    </row>
    <row r="703" spans="1:28" s="4" customFormat="1" ht="51.95" customHeight="1">
      <c r="A703" s="5">
        <v>0</v>
      </c>
      <c r="B703" s="6" t="s">
        <v>4544</v>
      </c>
      <c r="C703" s="13">
        <v>1624</v>
      </c>
      <c r="D703" s="8" t="s">
        <v>4545</v>
      </c>
      <c r="E703" s="8" t="s">
        <v>4546</v>
      </c>
      <c r="F703" s="8" t="s">
        <v>4547</v>
      </c>
      <c r="G703" s="6" t="s">
        <v>89</v>
      </c>
      <c r="H703" s="6" t="s">
        <v>53</v>
      </c>
      <c r="I703" s="8" t="s">
        <v>100</v>
      </c>
      <c r="J703" s="9">
        <v>1</v>
      </c>
      <c r="K703" s="9">
        <v>311</v>
      </c>
      <c r="L703" s="9">
        <v>2025</v>
      </c>
      <c r="M703" s="8" t="s">
        <v>4548</v>
      </c>
      <c r="N703" s="8" t="s">
        <v>79</v>
      </c>
      <c r="O703" s="8" t="s">
        <v>684</v>
      </c>
      <c r="P703" s="6" t="s">
        <v>167</v>
      </c>
      <c r="Q703" s="8" t="s">
        <v>102</v>
      </c>
      <c r="R703" s="10" t="s">
        <v>4396</v>
      </c>
      <c r="S703" s="11" t="s">
        <v>4397</v>
      </c>
      <c r="T703" s="6" t="s">
        <v>299</v>
      </c>
      <c r="U703" s="24" t="str">
        <f>HYPERLINK("https://media.infra-m.ru/2199/2199347/cover/2199347.jpg", "Обложка")</f>
        <v>Обложка</v>
      </c>
      <c r="V703" s="24" t="str">
        <f>HYPERLINK("https://znanium.ru/catalog/product/2129113", "Ознакомиться")</f>
        <v>Ознакомиться</v>
      </c>
      <c r="W703" s="8" t="s">
        <v>1587</v>
      </c>
      <c r="X703" s="6"/>
      <c r="Y703" s="6"/>
      <c r="Z703" s="6" t="s">
        <v>104</v>
      </c>
      <c r="AA703" s="6" t="s">
        <v>1374</v>
      </c>
      <c r="AB703" s="8"/>
    </row>
    <row r="704" spans="1:28" s="4" customFormat="1" ht="51.95" customHeight="1">
      <c r="A704" s="5">
        <v>0</v>
      </c>
      <c r="B704" s="6" t="s">
        <v>4549</v>
      </c>
      <c r="C704" s="13">
        <v>1440</v>
      </c>
      <c r="D704" s="8" t="s">
        <v>4550</v>
      </c>
      <c r="E704" s="8" t="s">
        <v>4546</v>
      </c>
      <c r="F704" s="8" t="s">
        <v>4551</v>
      </c>
      <c r="G704" s="6" t="s">
        <v>89</v>
      </c>
      <c r="H704" s="6" t="s">
        <v>53</v>
      </c>
      <c r="I704" s="8" t="s">
        <v>116</v>
      </c>
      <c r="J704" s="9">
        <v>1</v>
      </c>
      <c r="K704" s="9">
        <v>311</v>
      </c>
      <c r="L704" s="9">
        <v>2024</v>
      </c>
      <c r="M704" s="8" t="s">
        <v>4552</v>
      </c>
      <c r="N704" s="8" t="s">
        <v>79</v>
      </c>
      <c r="O704" s="8" t="s">
        <v>684</v>
      </c>
      <c r="P704" s="6" t="s">
        <v>167</v>
      </c>
      <c r="Q704" s="8" t="s">
        <v>44</v>
      </c>
      <c r="R704" s="10" t="s">
        <v>4553</v>
      </c>
      <c r="S704" s="11" t="s">
        <v>4554</v>
      </c>
      <c r="T704" s="6" t="s">
        <v>299</v>
      </c>
      <c r="U704" s="24" t="str">
        <f>HYPERLINK("https://media.infra-m.ru/2088/2088252/cover/2088252.jpg", "Обложка")</f>
        <v>Обложка</v>
      </c>
      <c r="V704" s="24" t="str">
        <f>HYPERLINK("https://znanium.ru/catalog/product/2088252", "Ознакомиться")</f>
        <v>Ознакомиться</v>
      </c>
      <c r="W704" s="8" t="s">
        <v>1587</v>
      </c>
      <c r="X704" s="6"/>
      <c r="Y704" s="6"/>
      <c r="Z704" s="6"/>
      <c r="AA704" s="6" t="s">
        <v>494</v>
      </c>
      <c r="AB704" s="8"/>
    </row>
    <row r="705" spans="1:28" s="4" customFormat="1" ht="51.95" customHeight="1">
      <c r="A705" s="5">
        <v>0</v>
      </c>
      <c r="B705" s="6" t="s">
        <v>4555</v>
      </c>
      <c r="C705" s="7">
        <v>824</v>
      </c>
      <c r="D705" s="8" t="s">
        <v>4556</v>
      </c>
      <c r="E705" s="8" t="s">
        <v>4557</v>
      </c>
      <c r="F705" s="8" t="s">
        <v>3183</v>
      </c>
      <c r="G705" s="6" t="s">
        <v>38</v>
      </c>
      <c r="H705" s="6" t="s">
        <v>53</v>
      </c>
      <c r="I705" s="8" t="s">
        <v>212</v>
      </c>
      <c r="J705" s="9">
        <v>1</v>
      </c>
      <c r="K705" s="9">
        <v>157</v>
      </c>
      <c r="L705" s="9">
        <v>2025</v>
      </c>
      <c r="M705" s="8" t="s">
        <v>4558</v>
      </c>
      <c r="N705" s="8" t="s">
        <v>79</v>
      </c>
      <c r="O705" s="8" t="s">
        <v>174</v>
      </c>
      <c r="P705" s="6" t="s">
        <v>43</v>
      </c>
      <c r="Q705" s="8" t="s">
        <v>214</v>
      </c>
      <c r="R705" s="10" t="s">
        <v>4559</v>
      </c>
      <c r="S705" s="11" t="s">
        <v>4560</v>
      </c>
      <c r="T705" s="6"/>
      <c r="U705" s="24" t="str">
        <f>HYPERLINK("https://media.infra-m.ru/2202/2202178/cover/2202178.jpg", "Обложка")</f>
        <v>Обложка</v>
      </c>
      <c r="V705" s="24" t="str">
        <f>HYPERLINK("https://znanium.ru/catalog/product/2131863", "Ознакомиться")</f>
        <v>Ознакомиться</v>
      </c>
      <c r="W705" s="8" t="s">
        <v>3187</v>
      </c>
      <c r="X705" s="6"/>
      <c r="Y705" s="6"/>
      <c r="Z705" s="6"/>
      <c r="AA705" s="6" t="s">
        <v>418</v>
      </c>
      <c r="AB705" s="8"/>
    </row>
    <row r="706" spans="1:28" s="4" customFormat="1" ht="51.95" customHeight="1">
      <c r="A706" s="5">
        <v>0</v>
      </c>
      <c r="B706" s="6" t="s">
        <v>4561</v>
      </c>
      <c r="C706" s="13">
        <v>2380</v>
      </c>
      <c r="D706" s="8" t="s">
        <v>4562</v>
      </c>
      <c r="E706" s="8" t="s">
        <v>4563</v>
      </c>
      <c r="F706" s="8" t="s">
        <v>4564</v>
      </c>
      <c r="G706" s="6" t="s">
        <v>52</v>
      </c>
      <c r="H706" s="6" t="s">
        <v>53</v>
      </c>
      <c r="I706" s="8" t="s">
        <v>960</v>
      </c>
      <c r="J706" s="9">
        <v>1</v>
      </c>
      <c r="K706" s="9">
        <v>474</v>
      </c>
      <c r="L706" s="9">
        <v>2025</v>
      </c>
      <c r="M706" s="8" t="s">
        <v>4565</v>
      </c>
      <c r="N706" s="8" t="s">
        <v>79</v>
      </c>
      <c r="O706" s="8" t="s">
        <v>174</v>
      </c>
      <c r="P706" s="6" t="s">
        <v>175</v>
      </c>
      <c r="Q706" s="8" t="s">
        <v>214</v>
      </c>
      <c r="R706" s="10" t="s">
        <v>4566</v>
      </c>
      <c r="S706" s="11" t="s">
        <v>3194</v>
      </c>
      <c r="T706" s="6"/>
      <c r="U706" s="24" t="str">
        <f>HYPERLINK("https://media.infra-m.ru/2150/2150298/cover/2150298.jpg", "Обложка")</f>
        <v>Обложка</v>
      </c>
      <c r="V706" s="24" t="str">
        <f>HYPERLINK("https://znanium.ru/catalog/product/2150298", "Ознакомиться")</f>
        <v>Ознакомиться</v>
      </c>
      <c r="W706" s="8" t="s">
        <v>178</v>
      </c>
      <c r="X706" s="6" t="s">
        <v>132</v>
      </c>
      <c r="Y706" s="6"/>
      <c r="Z706" s="6"/>
      <c r="AA706" s="6" t="s">
        <v>61</v>
      </c>
      <c r="AB706" s="8"/>
    </row>
    <row r="707" spans="1:28" s="4" customFormat="1" ht="51.95" customHeight="1">
      <c r="A707" s="5">
        <v>0</v>
      </c>
      <c r="B707" s="6" t="s">
        <v>4567</v>
      </c>
      <c r="C707" s="13">
        <v>1094</v>
      </c>
      <c r="D707" s="8" t="s">
        <v>4568</v>
      </c>
      <c r="E707" s="8" t="s">
        <v>4569</v>
      </c>
      <c r="F707" s="8" t="s">
        <v>4570</v>
      </c>
      <c r="G707" s="6" t="s">
        <v>89</v>
      </c>
      <c r="H707" s="6" t="s">
        <v>53</v>
      </c>
      <c r="I707" s="8" t="s">
        <v>276</v>
      </c>
      <c r="J707" s="9">
        <v>1</v>
      </c>
      <c r="K707" s="9">
        <v>238</v>
      </c>
      <c r="L707" s="9">
        <v>2024</v>
      </c>
      <c r="M707" s="8" t="s">
        <v>4571</v>
      </c>
      <c r="N707" s="8" t="s">
        <v>41</v>
      </c>
      <c r="O707" s="8" t="s">
        <v>1007</v>
      </c>
      <c r="P707" s="6" t="s">
        <v>43</v>
      </c>
      <c r="Q707" s="8" t="s">
        <v>279</v>
      </c>
      <c r="R707" s="10" t="s">
        <v>1231</v>
      </c>
      <c r="S707" s="11" t="s">
        <v>4572</v>
      </c>
      <c r="T707" s="6"/>
      <c r="U707" s="24" t="str">
        <f>HYPERLINK("https://media.infra-m.ru/2104/2104841/cover/2104841.jpg", "Обложка")</f>
        <v>Обложка</v>
      </c>
      <c r="V707" s="24" t="str">
        <f>HYPERLINK("https://znanium.ru/catalog/product/2104841", "Ознакомиться")</f>
        <v>Ознакомиться</v>
      </c>
      <c r="W707" s="8" t="s">
        <v>3475</v>
      </c>
      <c r="X707" s="6"/>
      <c r="Y707" s="6"/>
      <c r="Z707" s="6"/>
      <c r="AA707" s="6" t="s">
        <v>258</v>
      </c>
      <c r="AB707" s="8"/>
    </row>
    <row r="708" spans="1:28" s="4" customFormat="1" ht="51.95" customHeight="1">
      <c r="A708" s="5">
        <v>0</v>
      </c>
      <c r="B708" s="6" t="s">
        <v>4573</v>
      </c>
      <c r="C708" s="7">
        <v>980</v>
      </c>
      <c r="D708" s="8" t="s">
        <v>4574</v>
      </c>
      <c r="E708" s="8" t="s">
        <v>4575</v>
      </c>
      <c r="F708" s="8" t="s">
        <v>4576</v>
      </c>
      <c r="G708" s="6" t="s">
        <v>52</v>
      </c>
      <c r="H708" s="6" t="s">
        <v>53</v>
      </c>
      <c r="I708" s="8" t="s">
        <v>116</v>
      </c>
      <c r="J708" s="9">
        <v>1</v>
      </c>
      <c r="K708" s="9">
        <v>193</v>
      </c>
      <c r="L708" s="9">
        <v>2024</v>
      </c>
      <c r="M708" s="8" t="s">
        <v>4577</v>
      </c>
      <c r="N708" s="8" t="s">
        <v>41</v>
      </c>
      <c r="O708" s="8" t="s">
        <v>278</v>
      </c>
      <c r="P708" s="6" t="s">
        <v>43</v>
      </c>
      <c r="Q708" s="8" t="s">
        <v>44</v>
      </c>
      <c r="R708" s="10" t="s">
        <v>4578</v>
      </c>
      <c r="S708" s="11"/>
      <c r="T708" s="6"/>
      <c r="U708" s="24" t="str">
        <f>HYPERLINK("https://media.infra-m.ru/1882/1882571/cover/1882571.jpg", "Обложка")</f>
        <v>Обложка</v>
      </c>
      <c r="V708" s="24" t="str">
        <f>HYPERLINK("https://znanium.ru/catalog/product/1882571", "Ознакомиться")</f>
        <v>Ознакомиться</v>
      </c>
      <c r="W708" s="8" t="s">
        <v>2122</v>
      </c>
      <c r="X708" s="6" t="s">
        <v>548</v>
      </c>
      <c r="Y708" s="6"/>
      <c r="Z708" s="6"/>
      <c r="AA708" s="6" t="s">
        <v>133</v>
      </c>
      <c r="AB708" s="8"/>
    </row>
    <row r="709" spans="1:28" s="4" customFormat="1" ht="51.95" customHeight="1">
      <c r="A709" s="5">
        <v>0</v>
      </c>
      <c r="B709" s="6" t="s">
        <v>4579</v>
      </c>
      <c r="C709" s="13">
        <v>2164</v>
      </c>
      <c r="D709" s="8" t="s">
        <v>4580</v>
      </c>
      <c r="E709" s="8" t="s">
        <v>4581</v>
      </c>
      <c r="F709" s="8" t="s">
        <v>4582</v>
      </c>
      <c r="G709" s="6" t="s">
        <v>89</v>
      </c>
      <c r="H709" s="6" t="s">
        <v>53</v>
      </c>
      <c r="I709" s="8" t="s">
        <v>100</v>
      </c>
      <c r="J709" s="9">
        <v>1</v>
      </c>
      <c r="K709" s="9">
        <v>415</v>
      </c>
      <c r="L709" s="9">
        <v>2025</v>
      </c>
      <c r="M709" s="8" t="s">
        <v>4583</v>
      </c>
      <c r="N709" s="8" t="s">
        <v>79</v>
      </c>
      <c r="O709" s="8" t="s">
        <v>424</v>
      </c>
      <c r="P709" s="6" t="s">
        <v>167</v>
      </c>
      <c r="Q709" s="8" t="s">
        <v>102</v>
      </c>
      <c r="R709" s="10" t="s">
        <v>4584</v>
      </c>
      <c r="S709" s="11" t="s">
        <v>4585</v>
      </c>
      <c r="T709" s="6"/>
      <c r="U709" s="24" t="str">
        <f>HYPERLINK("https://media.infra-m.ru/2202/2202105/cover/2202105.jpg", "Обложка")</f>
        <v>Обложка</v>
      </c>
      <c r="V709" s="24" t="str">
        <f>HYPERLINK("https://znanium.ru/catalog/product/2185915", "Ознакомиться")</f>
        <v>Ознакомиться</v>
      </c>
      <c r="W709" s="8" t="s">
        <v>478</v>
      </c>
      <c r="X709" s="6"/>
      <c r="Y709" s="6"/>
      <c r="Z709" s="6"/>
      <c r="AA709" s="6" t="s">
        <v>1135</v>
      </c>
      <c r="AB709" s="8"/>
    </row>
    <row r="710" spans="1:28" s="4" customFormat="1" ht="51.95" customHeight="1">
      <c r="A710" s="5">
        <v>0</v>
      </c>
      <c r="B710" s="6" t="s">
        <v>4586</v>
      </c>
      <c r="C710" s="13">
        <v>1380</v>
      </c>
      <c r="D710" s="8" t="s">
        <v>4587</v>
      </c>
      <c r="E710" s="8" t="s">
        <v>4588</v>
      </c>
      <c r="F710" s="8" t="s">
        <v>3130</v>
      </c>
      <c r="G710" s="6" t="s">
        <v>89</v>
      </c>
      <c r="H710" s="6" t="s">
        <v>649</v>
      </c>
      <c r="I710" s="8" t="s">
        <v>4589</v>
      </c>
      <c r="J710" s="9">
        <v>1</v>
      </c>
      <c r="K710" s="9">
        <v>298</v>
      </c>
      <c r="L710" s="9">
        <v>2024</v>
      </c>
      <c r="M710" s="8" t="s">
        <v>4590</v>
      </c>
      <c r="N710" s="8" t="s">
        <v>413</v>
      </c>
      <c r="O710" s="8" t="s">
        <v>414</v>
      </c>
      <c r="P710" s="6" t="s">
        <v>43</v>
      </c>
      <c r="Q710" s="8" t="s">
        <v>279</v>
      </c>
      <c r="R710" s="10" t="s">
        <v>4591</v>
      </c>
      <c r="S710" s="11" t="s">
        <v>4592</v>
      </c>
      <c r="T710" s="6"/>
      <c r="U710" s="24" t="str">
        <f>HYPERLINK("https://media.infra-m.ru/2124/2124806/cover/2124806.jpg", "Обложка")</f>
        <v>Обложка</v>
      </c>
      <c r="V710" s="24" t="str">
        <f>HYPERLINK("https://znanium.ru/catalog/product/2124806", "Ознакомиться")</f>
        <v>Ознакомиться</v>
      </c>
      <c r="W710" s="8" t="s">
        <v>399</v>
      </c>
      <c r="X710" s="6"/>
      <c r="Y710" s="6"/>
      <c r="Z710" s="6"/>
      <c r="AA710" s="6" t="s">
        <v>151</v>
      </c>
      <c r="AB710" s="8"/>
    </row>
    <row r="711" spans="1:28" s="4" customFormat="1" ht="51.95" customHeight="1">
      <c r="A711" s="5">
        <v>0</v>
      </c>
      <c r="B711" s="6" t="s">
        <v>4593</v>
      </c>
      <c r="C711" s="13">
        <v>2214</v>
      </c>
      <c r="D711" s="8" t="s">
        <v>4594</v>
      </c>
      <c r="E711" s="8" t="s">
        <v>4595</v>
      </c>
      <c r="F711" s="8" t="s">
        <v>4596</v>
      </c>
      <c r="G711" s="6" t="s">
        <v>89</v>
      </c>
      <c r="H711" s="6" t="s">
        <v>53</v>
      </c>
      <c r="I711" s="8" t="s">
        <v>90</v>
      </c>
      <c r="J711" s="9">
        <v>1</v>
      </c>
      <c r="K711" s="9">
        <v>443</v>
      </c>
      <c r="L711" s="9">
        <v>2025</v>
      </c>
      <c r="M711" s="8" t="s">
        <v>4597</v>
      </c>
      <c r="N711" s="8" t="s">
        <v>79</v>
      </c>
      <c r="O711" s="8" t="s">
        <v>424</v>
      </c>
      <c r="P711" s="6" t="s">
        <v>167</v>
      </c>
      <c r="Q711" s="8" t="s">
        <v>44</v>
      </c>
      <c r="R711" s="10" t="s">
        <v>4598</v>
      </c>
      <c r="S711" s="11" t="s">
        <v>4599</v>
      </c>
      <c r="T711" s="6"/>
      <c r="U711" s="24" t="str">
        <f>HYPERLINK("https://media.infra-m.ru/2194/2194391/cover/2194391.jpg", "Обложка")</f>
        <v>Обложка</v>
      </c>
      <c r="V711" s="24" t="str">
        <f>HYPERLINK("https://znanium.ru/catalog/product/1900420", "Ознакомиться")</f>
        <v>Ознакомиться</v>
      </c>
      <c r="W711" s="8" t="s">
        <v>478</v>
      </c>
      <c r="X711" s="6"/>
      <c r="Y711" s="6"/>
      <c r="Z711" s="6"/>
      <c r="AA711" s="6" t="s">
        <v>111</v>
      </c>
      <c r="AB711" s="8"/>
    </row>
    <row r="712" spans="1:28" s="4" customFormat="1" ht="51.95" customHeight="1">
      <c r="A712" s="5">
        <v>0</v>
      </c>
      <c r="B712" s="6" t="s">
        <v>4600</v>
      </c>
      <c r="C712" s="13">
        <v>2294</v>
      </c>
      <c r="D712" s="8" t="s">
        <v>4601</v>
      </c>
      <c r="E712" s="8" t="s">
        <v>4595</v>
      </c>
      <c r="F712" s="8" t="s">
        <v>4596</v>
      </c>
      <c r="G712" s="6" t="s">
        <v>52</v>
      </c>
      <c r="H712" s="6" t="s">
        <v>53</v>
      </c>
      <c r="I712" s="8" t="s">
        <v>100</v>
      </c>
      <c r="J712" s="9">
        <v>1</v>
      </c>
      <c r="K712" s="9">
        <v>443</v>
      </c>
      <c r="L712" s="9">
        <v>2025</v>
      </c>
      <c r="M712" s="8" t="s">
        <v>4602</v>
      </c>
      <c r="N712" s="8" t="s">
        <v>79</v>
      </c>
      <c r="O712" s="8" t="s">
        <v>424</v>
      </c>
      <c r="P712" s="6" t="s">
        <v>167</v>
      </c>
      <c r="Q712" s="8" t="s">
        <v>102</v>
      </c>
      <c r="R712" s="10" t="s">
        <v>4603</v>
      </c>
      <c r="S712" s="11" t="s">
        <v>4604</v>
      </c>
      <c r="T712" s="6"/>
      <c r="U712" s="24" t="str">
        <f>HYPERLINK("https://media.infra-m.ru/2192/2192682/cover/2192682.jpg", "Обложка")</f>
        <v>Обложка</v>
      </c>
      <c r="V712" s="24" t="str">
        <f>HYPERLINK("https://znanium.ru/catalog/product/2157053", "Ознакомиться")</f>
        <v>Ознакомиться</v>
      </c>
      <c r="W712" s="8" t="s">
        <v>478</v>
      </c>
      <c r="X712" s="6"/>
      <c r="Y712" s="6"/>
      <c r="Z712" s="6" t="s">
        <v>104</v>
      </c>
      <c r="AA712" s="6" t="s">
        <v>258</v>
      </c>
      <c r="AB712" s="8"/>
    </row>
    <row r="713" spans="1:28" s="4" customFormat="1" ht="51.95" customHeight="1">
      <c r="A713" s="5">
        <v>0</v>
      </c>
      <c r="B713" s="6" t="s">
        <v>4605</v>
      </c>
      <c r="C713" s="13">
        <v>1494</v>
      </c>
      <c r="D713" s="8" t="s">
        <v>4606</v>
      </c>
      <c r="E713" s="8" t="s">
        <v>4595</v>
      </c>
      <c r="F713" s="8" t="s">
        <v>4607</v>
      </c>
      <c r="G713" s="6" t="s">
        <v>89</v>
      </c>
      <c r="H713" s="6" t="s">
        <v>53</v>
      </c>
      <c r="I713" s="8" t="s">
        <v>100</v>
      </c>
      <c r="J713" s="9">
        <v>1</v>
      </c>
      <c r="K713" s="9">
        <v>287</v>
      </c>
      <c r="L713" s="9">
        <v>2025</v>
      </c>
      <c r="M713" s="8" t="s">
        <v>4608</v>
      </c>
      <c r="N713" s="8" t="s">
        <v>79</v>
      </c>
      <c r="O713" s="8" t="s">
        <v>424</v>
      </c>
      <c r="P713" s="6" t="s">
        <v>167</v>
      </c>
      <c r="Q713" s="8" t="s">
        <v>102</v>
      </c>
      <c r="R713" s="10" t="s">
        <v>4609</v>
      </c>
      <c r="S713" s="11" t="s">
        <v>4610</v>
      </c>
      <c r="T713" s="6"/>
      <c r="U713" s="24" t="str">
        <f>HYPERLINK("https://media.infra-m.ru/2196/2196859/cover/2196859.jpg", "Обложка")</f>
        <v>Обложка</v>
      </c>
      <c r="V713" s="24" t="str">
        <f>HYPERLINK("https://znanium.ru/catalog/product/1248683", "Ознакомиться")</f>
        <v>Ознакомиться</v>
      </c>
      <c r="W713" s="8" t="s">
        <v>637</v>
      </c>
      <c r="X713" s="6"/>
      <c r="Y713" s="6"/>
      <c r="Z713" s="6"/>
      <c r="AA713" s="6" t="s">
        <v>555</v>
      </c>
      <c r="AB713" s="8"/>
    </row>
    <row r="714" spans="1:28" s="4" customFormat="1" ht="51.95" customHeight="1">
      <c r="A714" s="5">
        <v>0</v>
      </c>
      <c r="B714" s="6" t="s">
        <v>4611</v>
      </c>
      <c r="C714" s="13">
        <v>2254</v>
      </c>
      <c r="D714" s="8" t="s">
        <v>4612</v>
      </c>
      <c r="E714" s="8" t="s">
        <v>4613</v>
      </c>
      <c r="F714" s="8" t="s">
        <v>4614</v>
      </c>
      <c r="G714" s="6" t="s">
        <v>89</v>
      </c>
      <c r="H714" s="6" t="s">
        <v>53</v>
      </c>
      <c r="I714" s="8" t="s">
        <v>90</v>
      </c>
      <c r="J714" s="9">
        <v>1</v>
      </c>
      <c r="K714" s="9">
        <v>452</v>
      </c>
      <c r="L714" s="9">
        <v>2025</v>
      </c>
      <c r="M714" s="8" t="s">
        <v>4615</v>
      </c>
      <c r="N714" s="8" t="s">
        <v>79</v>
      </c>
      <c r="O714" s="8" t="s">
        <v>424</v>
      </c>
      <c r="P714" s="6" t="s">
        <v>167</v>
      </c>
      <c r="Q714" s="8" t="s">
        <v>44</v>
      </c>
      <c r="R714" s="10" t="s">
        <v>4616</v>
      </c>
      <c r="S714" s="11" t="s">
        <v>4617</v>
      </c>
      <c r="T714" s="6" t="s">
        <v>299</v>
      </c>
      <c r="U714" s="24" t="str">
        <f>HYPERLINK("https://media.infra-m.ru/2173/2173245/cover/2173245.jpg", "Обложка")</f>
        <v>Обложка</v>
      </c>
      <c r="V714" s="24" t="str">
        <f>HYPERLINK("https://znanium.ru/catalog/product/1789096", "Ознакомиться")</f>
        <v>Ознакомиться</v>
      </c>
      <c r="W714" s="8" t="s">
        <v>637</v>
      </c>
      <c r="X714" s="6"/>
      <c r="Y714" s="6"/>
      <c r="Z714" s="6"/>
      <c r="AA714" s="6" t="s">
        <v>258</v>
      </c>
      <c r="AB714" s="8"/>
    </row>
    <row r="715" spans="1:28" s="4" customFormat="1" ht="51.95" customHeight="1">
      <c r="A715" s="5">
        <v>0</v>
      </c>
      <c r="B715" s="6" t="s">
        <v>4618</v>
      </c>
      <c r="C715" s="13">
        <v>2620</v>
      </c>
      <c r="D715" s="8" t="s">
        <v>4619</v>
      </c>
      <c r="E715" s="8" t="s">
        <v>4620</v>
      </c>
      <c r="F715" s="8" t="s">
        <v>4621</v>
      </c>
      <c r="G715" s="6" t="s">
        <v>52</v>
      </c>
      <c r="H715" s="6" t="s">
        <v>53</v>
      </c>
      <c r="I715" s="8" t="s">
        <v>127</v>
      </c>
      <c r="J715" s="9">
        <v>1</v>
      </c>
      <c r="K715" s="9">
        <v>523</v>
      </c>
      <c r="L715" s="9">
        <v>2025</v>
      </c>
      <c r="M715" s="8" t="s">
        <v>4622</v>
      </c>
      <c r="N715" s="8" t="s">
        <v>41</v>
      </c>
      <c r="O715" s="8" t="s">
        <v>129</v>
      </c>
      <c r="P715" s="6" t="s">
        <v>167</v>
      </c>
      <c r="Q715" s="8" t="s">
        <v>58</v>
      </c>
      <c r="R715" s="10" t="s">
        <v>4623</v>
      </c>
      <c r="S715" s="11"/>
      <c r="T715" s="6"/>
      <c r="U715" s="24" t="str">
        <f>HYPERLINK("https://media.infra-m.ru/2159/2159601/cover/2159601.jpg", "Обложка")</f>
        <v>Обложка</v>
      </c>
      <c r="V715" s="24" t="str">
        <f>HYPERLINK("https://znanium.ru/catalog/product/2159601", "Ознакомиться")</f>
        <v>Ознакомиться</v>
      </c>
      <c r="W715" s="8" t="s">
        <v>4624</v>
      </c>
      <c r="X715" s="6"/>
      <c r="Y715" s="6"/>
      <c r="Z715" s="6"/>
      <c r="AA715" s="6" t="s">
        <v>207</v>
      </c>
      <c r="AB715" s="8" t="s">
        <v>4625</v>
      </c>
    </row>
    <row r="716" spans="1:28" s="4" customFormat="1" ht="44.1" customHeight="1">
      <c r="A716" s="5">
        <v>0</v>
      </c>
      <c r="B716" s="6" t="s">
        <v>4626</v>
      </c>
      <c r="C716" s="13">
        <v>2680</v>
      </c>
      <c r="D716" s="8" t="s">
        <v>4627</v>
      </c>
      <c r="E716" s="8" t="s">
        <v>4628</v>
      </c>
      <c r="F716" s="8" t="s">
        <v>4629</v>
      </c>
      <c r="G716" s="6" t="s">
        <v>52</v>
      </c>
      <c r="H716" s="6" t="s">
        <v>53</v>
      </c>
      <c r="I716" s="8" t="s">
        <v>560</v>
      </c>
      <c r="J716" s="9">
        <v>1</v>
      </c>
      <c r="K716" s="9">
        <v>536</v>
      </c>
      <c r="L716" s="9">
        <v>2025</v>
      </c>
      <c r="M716" s="8" t="s">
        <v>4630</v>
      </c>
      <c r="N716" s="8" t="s">
        <v>41</v>
      </c>
      <c r="O716" s="8" t="s">
        <v>129</v>
      </c>
      <c r="P716" s="6" t="s">
        <v>167</v>
      </c>
      <c r="Q716" s="8" t="s">
        <v>58</v>
      </c>
      <c r="R716" s="10" t="s">
        <v>4631</v>
      </c>
      <c r="S716" s="11"/>
      <c r="T716" s="6"/>
      <c r="U716" s="24" t="str">
        <f>HYPERLINK("https://media.infra-m.ru/2169/2169271/cover/2169271.jpg", "Обложка")</f>
        <v>Обложка</v>
      </c>
      <c r="V716" s="24" t="str">
        <f>HYPERLINK("https://znanium.ru/catalog/product/2169271", "Ознакомиться")</f>
        <v>Ознакомиться</v>
      </c>
      <c r="W716" s="8" t="s">
        <v>564</v>
      </c>
      <c r="X716" s="6" t="s">
        <v>132</v>
      </c>
      <c r="Y716" s="6"/>
      <c r="Z716" s="6"/>
      <c r="AA716" s="6" t="s">
        <v>61</v>
      </c>
      <c r="AB716" s="8"/>
    </row>
    <row r="717" spans="1:28" s="4" customFormat="1" ht="44.1" customHeight="1">
      <c r="A717" s="5">
        <v>0</v>
      </c>
      <c r="B717" s="6" t="s">
        <v>4632</v>
      </c>
      <c r="C717" s="13">
        <v>2590</v>
      </c>
      <c r="D717" s="8" t="s">
        <v>4633</v>
      </c>
      <c r="E717" s="8" t="s">
        <v>4634</v>
      </c>
      <c r="F717" s="8" t="s">
        <v>4629</v>
      </c>
      <c r="G717" s="6" t="s">
        <v>52</v>
      </c>
      <c r="H717" s="6" t="s">
        <v>53</v>
      </c>
      <c r="I717" s="8" t="s">
        <v>560</v>
      </c>
      <c r="J717" s="9">
        <v>1</v>
      </c>
      <c r="K717" s="9">
        <v>564</v>
      </c>
      <c r="L717" s="9">
        <v>2025</v>
      </c>
      <c r="M717" s="8" t="s">
        <v>4635</v>
      </c>
      <c r="N717" s="8" t="s">
        <v>41</v>
      </c>
      <c r="O717" s="8" t="s">
        <v>129</v>
      </c>
      <c r="P717" s="6" t="s">
        <v>167</v>
      </c>
      <c r="Q717" s="8" t="s">
        <v>58</v>
      </c>
      <c r="R717" s="10" t="s">
        <v>4631</v>
      </c>
      <c r="S717" s="11"/>
      <c r="T717" s="6"/>
      <c r="U717" s="24" t="str">
        <f>HYPERLINK("https://media.infra-m.ru/2169/2169274/cover/2169274.jpg", "Обложка")</f>
        <v>Обложка</v>
      </c>
      <c r="V717" s="24" t="str">
        <f>HYPERLINK("https://znanium.ru/catalog/product/2169274", "Ознакомиться")</f>
        <v>Ознакомиться</v>
      </c>
      <c r="W717" s="8" t="s">
        <v>564</v>
      </c>
      <c r="X717" s="6" t="s">
        <v>132</v>
      </c>
      <c r="Y717" s="6"/>
      <c r="Z717" s="6"/>
      <c r="AA717" s="6" t="s">
        <v>61</v>
      </c>
      <c r="AB717" s="8"/>
    </row>
    <row r="718" spans="1:28" s="4" customFormat="1" ht="51.95" customHeight="1">
      <c r="A718" s="5">
        <v>0</v>
      </c>
      <c r="B718" s="6" t="s">
        <v>4636</v>
      </c>
      <c r="C718" s="13">
        <v>2729</v>
      </c>
      <c r="D718" s="8" t="s">
        <v>4637</v>
      </c>
      <c r="E718" s="8" t="s">
        <v>4638</v>
      </c>
      <c r="F718" s="8" t="s">
        <v>4639</v>
      </c>
      <c r="G718" s="6" t="s">
        <v>52</v>
      </c>
      <c r="H718" s="6" t="s">
        <v>53</v>
      </c>
      <c r="I718" s="8" t="s">
        <v>127</v>
      </c>
      <c r="J718" s="9">
        <v>1</v>
      </c>
      <c r="K718" s="9">
        <v>419</v>
      </c>
      <c r="L718" s="9">
        <v>2025</v>
      </c>
      <c r="M718" s="8" t="s">
        <v>4640</v>
      </c>
      <c r="N718" s="8" t="s">
        <v>41</v>
      </c>
      <c r="O718" s="8" t="s">
        <v>129</v>
      </c>
      <c r="P718" s="6" t="s">
        <v>167</v>
      </c>
      <c r="Q718" s="8" t="s">
        <v>58</v>
      </c>
      <c r="R718" s="10" t="s">
        <v>4641</v>
      </c>
      <c r="S718" s="11"/>
      <c r="T718" s="6"/>
      <c r="U718" s="24" t="str">
        <f>HYPERLINK("https://media.infra-m.ru/2172/2172568/cover/2172568.jpg", "Обложка")</f>
        <v>Обложка</v>
      </c>
      <c r="V718" s="24" t="str">
        <f>HYPERLINK("https://znanium.ru/catalog/product/2172568", "Ознакомиться")</f>
        <v>Ознакомиться</v>
      </c>
      <c r="W718" s="8" t="s">
        <v>4642</v>
      </c>
      <c r="X718" s="6"/>
      <c r="Y718" s="6"/>
      <c r="Z718" s="6"/>
      <c r="AA718" s="6" t="s">
        <v>133</v>
      </c>
      <c r="AB718" s="8"/>
    </row>
    <row r="719" spans="1:28" s="4" customFormat="1" ht="51.95" customHeight="1">
      <c r="A719" s="5">
        <v>0</v>
      </c>
      <c r="B719" s="6" t="s">
        <v>4643</v>
      </c>
      <c r="C719" s="13">
        <v>2204</v>
      </c>
      <c r="D719" s="8" t="s">
        <v>4644</v>
      </c>
      <c r="E719" s="8" t="s">
        <v>4645</v>
      </c>
      <c r="F719" s="8" t="s">
        <v>4646</v>
      </c>
      <c r="G719" s="6" t="s">
        <v>52</v>
      </c>
      <c r="H719" s="6" t="s">
        <v>53</v>
      </c>
      <c r="I719" s="8" t="s">
        <v>560</v>
      </c>
      <c r="J719" s="9">
        <v>1</v>
      </c>
      <c r="K719" s="9">
        <v>443</v>
      </c>
      <c r="L719" s="9">
        <v>2025</v>
      </c>
      <c r="M719" s="8" t="s">
        <v>4647</v>
      </c>
      <c r="N719" s="8" t="s">
        <v>41</v>
      </c>
      <c r="O719" s="8" t="s">
        <v>129</v>
      </c>
      <c r="P719" s="6" t="s">
        <v>167</v>
      </c>
      <c r="Q719" s="8" t="s">
        <v>58</v>
      </c>
      <c r="R719" s="10" t="s">
        <v>4648</v>
      </c>
      <c r="S719" s="11" t="s">
        <v>4649</v>
      </c>
      <c r="T719" s="6"/>
      <c r="U719" s="24" t="str">
        <f>HYPERLINK("https://media.infra-m.ru/2174/2174080/cover/2174080.jpg", "Обложка")</f>
        <v>Обложка</v>
      </c>
      <c r="V719" s="24" t="str">
        <f>HYPERLINK("https://znanium.ru/catalog/product/2173566", "Ознакомиться")</f>
        <v>Ознакомиться</v>
      </c>
      <c r="W719" s="8" t="s">
        <v>564</v>
      </c>
      <c r="X719" s="6"/>
      <c r="Y719" s="6"/>
      <c r="Z719" s="6"/>
      <c r="AA719" s="6" t="s">
        <v>258</v>
      </c>
      <c r="AB719" s="8"/>
    </row>
    <row r="720" spans="1:28" s="4" customFormat="1" ht="51.95" customHeight="1">
      <c r="A720" s="5">
        <v>0</v>
      </c>
      <c r="B720" s="6" t="s">
        <v>4650</v>
      </c>
      <c r="C720" s="13">
        <v>2737</v>
      </c>
      <c r="D720" s="8" t="s">
        <v>4651</v>
      </c>
      <c r="E720" s="8" t="s">
        <v>4645</v>
      </c>
      <c r="F720" s="8" t="s">
        <v>4652</v>
      </c>
      <c r="G720" s="6" t="s">
        <v>52</v>
      </c>
      <c r="H720" s="6" t="s">
        <v>53</v>
      </c>
      <c r="I720" s="8" t="s">
        <v>1325</v>
      </c>
      <c r="J720" s="9">
        <v>1</v>
      </c>
      <c r="K720" s="9">
        <v>496</v>
      </c>
      <c r="L720" s="9">
        <v>2025</v>
      </c>
      <c r="M720" s="8" t="s">
        <v>4653</v>
      </c>
      <c r="N720" s="8" t="s">
        <v>41</v>
      </c>
      <c r="O720" s="8" t="s">
        <v>129</v>
      </c>
      <c r="P720" s="6" t="s">
        <v>43</v>
      </c>
      <c r="Q720" s="8" t="s">
        <v>214</v>
      </c>
      <c r="R720" s="10" t="s">
        <v>4654</v>
      </c>
      <c r="S720" s="11" t="s">
        <v>4655</v>
      </c>
      <c r="T720" s="6"/>
      <c r="U720" s="24" t="str">
        <f>HYPERLINK("https://media.infra-m.ru/2095/2095603/cover/2095603.jpg", "Обложка")</f>
        <v>Обложка</v>
      </c>
      <c r="V720" s="24" t="str">
        <f>HYPERLINK("https://znanium.ru/catalog/product/2080238", "Ознакомиться")</f>
        <v>Ознакомиться</v>
      </c>
      <c r="W720" s="8" t="s">
        <v>1329</v>
      </c>
      <c r="X720" s="6"/>
      <c r="Y720" s="6"/>
      <c r="Z720" s="6"/>
      <c r="AA720" s="6" t="s">
        <v>219</v>
      </c>
      <c r="AB720" s="8"/>
    </row>
    <row r="721" spans="1:28" s="4" customFormat="1" ht="51.95" customHeight="1">
      <c r="A721" s="5">
        <v>0</v>
      </c>
      <c r="B721" s="6" t="s">
        <v>4656</v>
      </c>
      <c r="C721" s="13">
        <v>1894</v>
      </c>
      <c r="D721" s="8" t="s">
        <v>4657</v>
      </c>
      <c r="E721" s="8" t="s">
        <v>4658</v>
      </c>
      <c r="F721" s="8" t="s">
        <v>4659</v>
      </c>
      <c r="G721" s="6" t="s">
        <v>89</v>
      </c>
      <c r="H721" s="6" t="s">
        <v>53</v>
      </c>
      <c r="I721" s="8" t="s">
        <v>1868</v>
      </c>
      <c r="J721" s="9">
        <v>1</v>
      </c>
      <c r="K721" s="9">
        <v>363</v>
      </c>
      <c r="L721" s="9">
        <v>2025</v>
      </c>
      <c r="M721" s="8" t="s">
        <v>4660</v>
      </c>
      <c r="N721" s="8" t="s">
        <v>41</v>
      </c>
      <c r="O721" s="8" t="s">
        <v>129</v>
      </c>
      <c r="P721" s="6" t="s">
        <v>167</v>
      </c>
      <c r="Q721" s="8" t="s">
        <v>58</v>
      </c>
      <c r="R721" s="10" t="s">
        <v>4661</v>
      </c>
      <c r="S721" s="11" t="s">
        <v>4662</v>
      </c>
      <c r="T721" s="6"/>
      <c r="U721" s="24" t="str">
        <f>HYPERLINK("https://media.infra-m.ru/2179/2179729/cover/2179729.jpg", "Обложка")</f>
        <v>Обложка</v>
      </c>
      <c r="V721" s="12"/>
      <c r="W721" s="8" t="s">
        <v>784</v>
      </c>
      <c r="X721" s="6"/>
      <c r="Y721" s="6"/>
      <c r="Z721" s="6"/>
      <c r="AA721" s="6" t="s">
        <v>207</v>
      </c>
      <c r="AB721" s="8"/>
    </row>
    <row r="722" spans="1:28" s="4" customFormat="1" ht="42" customHeight="1">
      <c r="A722" s="5">
        <v>0</v>
      </c>
      <c r="B722" s="6" t="s">
        <v>4663</v>
      </c>
      <c r="C722" s="7">
        <v>590</v>
      </c>
      <c r="D722" s="8" t="s">
        <v>4664</v>
      </c>
      <c r="E722" s="8" t="s">
        <v>4665</v>
      </c>
      <c r="F722" s="8" t="s">
        <v>4666</v>
      </c>
      <c r="G722" s="6" t="s">
        <v>38</v>
      </c>
      <c r="H722" s="6" t="s">
        <v>53</v>
      </c>
      <c r="I722" s="8" t="s">
        <v>1868</v>
      </c>
      <c r="J722" s="9">
        <v>1</v>
      </c>
      <c r="K722" s="9">
        <v>120</v>
      </c>
      <c r="L722" s="9">
        <v>2024</v>
      </c>
      <c r="M722" s="8" t="s">
        <v>4667</v>
      </c>
      <c r="N722" s="8" t="s">
        <v>41</v>
      </c>
      <c r="O722" s="8" t="s">
        <v>129</v>
      </c>
      <c r="P722" s="6" t="s">
        <v>43</v>
      </c>
      <c r="Q722" s="8" t="s">
        <v>214</v>
      </c>
      <c r="R722" s="10" t="s">
        <v>4668</v>
      </c>
      <c r="S722" s="11"/>
      <c r="T722" s="6"/>
      <c r="U722" s="24" t="str">
        <f>HYPERLINK("https://media.infra-m.ru/2133/2133081/cover/2133081.jpg", "Обложка")</f>
        <v>Обложка</v>
      </c>
      <c r="V722" s="12"/>
      <c r="W722" s="8" t="s">
        <v>784</v>
      </c>
      <c r="X722" s="6"/>
      <c r="Y722" s="6"/>
      <c r="Z722" s="6"/>
      <c r="AA722" s="6" t="s">
        <v>442</v>
      </c>
      <c r="AB722" s="8"/>
    </row>
    <row r="723" spans="1:28" s="4" customFormat="1" ht="51.95" customHeight="1">
      <c r="A723" s="5">
        <v>0</v>
      </c>
      <c r="B723" s="6" t="s">
        <v>4669</v>
      </c>
      <c r="C723" s="13">
        <v>1220</v>
      </c>
      <c r="D723" s="8" t="s">
        <v>4670</v>
      </c>
      <c r="E723" s="8" t="s">
        <v>4671</v>
      </c>
      <c r="F723" s="8" t="s">
        <v>4672</v>
      </c>
      <c r="G723" s="6" t="s">
        <v>89</v>
      </c>
      <c r="H723" s="6" t="s">
        <v>53</v>
      </c>
      <c r="I723" s="8" t="s">
        <v>1868</v>
      </c>
      <c r="J723" s="9">
        <v>1</v>
      </c>
      <c r="K723" s="9">
        <v>268</v>
      </c>
      <c r="L723" s="9">
        <v>2023</v>
      </c>
      <c r="M723" s="8" t="s">
        <v>4673</v>
      </c>
      <c r="N723" s="8" t="s">
        <v>41</v>
      </c>
      <c r="O723" s="8" t="s">
        <v>129</v>
      </c>
      <c r="P723" s="6" t="s">
        <v>167</v>
      </c>
      <c r="Q723" s="8" t="s">
        <v>58</v>
      </c>
      <c r="R723" s="10" t="s">
        <v>4674</v>
      </c>
      <c r="S723" s="11" t="s">
        <v>4675</v>
      </c>
      <c r="T723" s="6"/>
      <c r="U723" s="24" t="str">
        <f>HYPERLINK("https://media.infra-m.ru/1983/1983262/cover/1983262.jpg", "Обложка")</f>
        <v>Обложка</v>
      </c>
      <c r="V723" s="12"/>
      <c r="W723" s="8" t="s">
        <v>784</v>
      </c>
      <c r="X723" s="6"/>
      <c r="Y723" s="6"/>
      <c r="Z723" s="6"/>
      <c r="AA723" s="6" t="s">
        <v>442</v>
      </c>
      <c r="AB723" s="8"/>
    </row>
    <row r="724" spans="1:28" s="4" customFormat="1" ht="51.95" customHeight="1">
      <c r="A724" s="5">
        <v>0</v>
      </c>
      <c r="B724" s="6" t="s">
        <v>4676</v>
      </c>
      <c r="C724" s="7">
        <v>772</v>
      </c>
      <c r="D724" s="8" t="s">
        <v>4677</v>
      </c>
      <c r="E724" s="8" t="s">
        <v>4678</v>
      </c>
      <c r="F724" s="8" t="s">
        <v>4679</v>
      </c>
      <c r="G724" s="6" t="s">
        <v>38</v>
      </c>
      <c r="H724" s="6" t="s">
        <v>438</v>
      </c>
      <c r="I724" s="8" t="s">
        <v>4680</v>
      </c>
      <c r="J724" s="9">
        <v>1</v>
      </c>
      <c r="K724" s="9">
        <v>128</v>
      </c>
      <c r="L724" s="9">
        <v>2023</v>
      </c>
      <c r="M724" s="8" t="s">
        <v>4681</v>
      </c>
      <c r="N724" s="8" t="s">
        <v>79</v>
      </c>
      <c r="O724" s="8" t="s">
        <v>424</v>
      </c>
      <c r="P724" s="6" t="s">
        <v>43</v>
      </c>
      <c r="Q724" s="8" t="s">
        <v>58</v>
      </c>
      <c r="R724" s="10" t="s">
        <v>4682</v>
      </c>
      <c r="S724" s="11" t="s">
        <v>4683</v>
      </c>
      <c r="T724" s="6"/>
      <c r="U724" s="24" t="str">
        <f>HYPERLINK("https://media.infra-m.ru/1911/1911535/cover/1911535.jpg", "Обложка")</f>
        <v>Обложка</v>
      </c>
      <c r="V724" s="24" t="str">
        <f>HYPERLINK("https://znanium.ru/catalog/product/1911535", "Ознакомиться")</f>
        <v>Ознакомиться</v>
      </c>
      <c r="W724" s="8" t="s">
        <v>1853</v>
      </c>
      <c r="X724" s="6"/>
      <c r="Y724" s="6"/>
      <c r="Z724" s="6"/>
      <c r="AA724" s="6" t="s">
        <v>47</v>
      </c>
      <c r="AB724" s="8"/>
    </row>
    <row r="725" spans="1:28" s="4" customFormat="1" ht="51.95" customHeight="1">
      <c r="A725" s="5">
        <v>0</v>
      </c>
      <c r="B725" s="6" t="s">
        <v>4684</v>
      </c>
      <c r="C725" s="13">
        <v>1834</v>
      </c>
      <c r="D725" s="8" t="s">
        <v>4685</v>
      </c>
      <c r="E725" s="8" t="s">
        <v>4686</v>
      </c>
      <c r="F725" s="8" t="s">
        <v>4687</v>
      </c>
      <c r="G725" s="6" t="s">
        <v>89</v>
      </c>
      <c r="H725" s="6" t="s">
        <v>53</v>
      </c>
      <c r="I725" s="8" t="s">
        <v>116</v>
      </c>
      <c r="J725" s="9">
        <v>1</v>
      </c>
      <c r="K725" s="9">
        <v>352</v>
      </c>
      <c r="L725" s="9">
        <v>2025</v>
      </c>
      <c r="M725" s="8" t="s">
        <v>4688</v>
      </c>
      <c r="N725" s="8" t="s">
        <v>79</v>
      </c>
      <c r="O725" s="8" t="s">
        <v>174</v>
      </c>
      <c r="P725" s="6" t="s">
        <v>43</v>
      </c>
      <c r="Q725" s="8" t="s">
        <v>44</v>
      </c>
      <c r="R725" s="10" t="s">
        <v>4159</v>
      </c>
      <c r="S725" s="11" t="s">
        <v>4689</v>
      </c>
      <c r="T725" s="6"/>
      <c r="U725" s="24" t="str">
        <f>HYPERLINK("https://media.infra-m.ru/2196/2196972/cover/2196972.jpg", "Обложка")</f>
        <v>Обложка</v>
      </c>
      <c r="V725" s="24" t="str">
        <f>HYPERLINK("https://znanium.ru/catalog/product/2128060", "Ознакомиться")</f>
        <v>Ознакомиться</v>
      </c>
      <c r="W725" s="8" t="s">
        <v>1505</v>
      </c>
      <c r="X725" s="6"/>
      <c r="Y725" s="6"/>
      <c r="Z725" s="6"/>
      <c r="AA725" s="6" t="s">
        <v>84</v>
      </c>
      <c r="AB725" s="8"/>
    </row>
    <row r="726" spans="1:28" s="4" customFormat="1" ht="51.95" customHeight="1">
      <c r="A726" s="5">
        <v>0</v>
      </c>
      <c r="B726" s="6" t="s">
        <v>4690</v>
      </c>
      <c r="C726" s="13">
        <v>1764</v>
      </c>
      <c r="D726" s="8" t="s">
        <v>4691</v>
      </c>
      <c r="E726" s="8" t="s">
        <v>4686</v>
      </c>
      <c r="F726" s="8" t="s">
        <v>4687</v>
      </c>
      <c r="G726" s="6" t="s">
        <v>52</v>
      </c>
      <c r="H726" s="6" t="s">
        <v>53</v>
      </c>
      <c r="I726" s="8" t="s">
        <v>100</v>
      </c>
      <c r="J726" s="9">
        <v>1</v>
      </c>
      <c r="K726" s="9">
        <v>352</v>
      </c>
      <c r="L726" s="9">
        <v>2025</v>
      </c>
      <c r="M726" s="8" t="s">
        <v>4692</v>
      </c>
      <c r="N726" s="8" t="s">
        <v>79</v>
      </c>
      <c r="O726" s="8" t="s">
        <v>174</v>
      </c>
      <c r="P726" s="6" t="s">
        <v>43</v>
      </c>
      <c r="Q726" s="8" t="s">
        <v>102</v>
      </c>
      <c r="R726" s="10" t="s">
        <v>1604</v>
      </c>
      <c r="S726" s="11" t="s">
        <v>4693</v>
      </c>
      <c r="T726" s="6"/>
      <c r="U726" s="24" t="str">
        <f>HYPERLINK("https://media.infra-m.ru/2163/2163282/cover/2163282.jpg", "Обложка")</f>
        <v>Обложка</v>
      </c>
      <c r="V726" s="24" t="str">
        <f>HYPERLINK("https://znanium.ru/catalog/product/2162229", "Ознакомиться")</f>
        <v>Ознакомиться</v>
      </c>
      <c r="W726" s="8" t="s">
        <v>1505</v>
      </c>
      <c r="X726" s="6"/>
      <c r="Y726" s="6"/>
      <c r="Z726" s="6" t="s">
        <v>104</v>
      </c>
      <c r="AA726" s="6" t="s">
        <v>258</v>
      </c>
      <c r="AB726" s="8"/>
    </row>
    <row r="727" spans="1:28" s="4" customFormat="1" ht="51.95" customHeight="1">
      <c r="A727" s="5">
        <v>0</v>
      </c>
      <c r="B727" s="6" t="s">
        <v>4694</v>
      </c>
      <c r="C727" s="13">
        <v>1650</v>
      </c>
      <c r="D727" s="8" t="s">
        <v>4695</v>
      </c>
      <c r="E727" s="8" t="s">
        <v>4696</v>
      </c>
      <c r="F727" s="8" t="s">
        <v>316</v>
      </c>
      <c r="G727" s="6" t="s">
        <v>89</v>
      </c>
      <c r="H727" s="6" t="s">
        <v>53</v>
      </c>
      <c r="I727" s="8" t="s">
        <v>116</v>
      </c>
      <c r="J727" s="9">
        <v>1</v>
      </c>
      <c r="K727" s="9">
        <v>350</v>
      </c>
      <c r="L727" s="9">
        <v>2024</v>
      </c>
      <c r="M727" s="8" t="s">
        <v>4697</v>
      </c>
      <c r="N727" s="8" t="s">
        <v>56</v>
      </c>
      <c r="O727" s="8" t="s">
        <v>741</v>
      </c>
      <c r="P727" s="6" t="s">
        <v>43</v>
      </c>
      <c r="Q727" s="8" t="s">
        <v>44</v>
      </c>
      <c r="R727" s="10" t="s">
        <v>4698</v>
      </c>
      <c r="S727" s="11" t="s">
        <v>4699</v>
      </c>
      <c r="T727" s="6"/>
      <c r="U727" s="24" t="str">
        <f>HYPERLINK("https://media.infra-m.ru/2141/2141031/cover/2141031.jpg", "Обложка")</f>
        <v>Обложка</v>
      </c>
      <c r="V727" s="24" t="str">
        <f>HYPERLINK("https://znanium.ru/catalog/product/2141031", "Ознакомиться")</f>
        <v>Ознакомиться</v>
      </c>
      <c r="W727" s="8" t="s">
        <v>320</v>
      </c>
      <c r="X727" s="6"/>
      <c r="Y727" s="6"/>
      <c r="Z727" s="6"/>
      <c r="AA727" s="6" t="s">
        <v>1259</v>
      </c>
      <c r="AB727" s="8"/>
    </row>
    <row r="728" spans="1:28" s="4" customFormat="1" ht="51.95" customHeight="1">
      <c r="A728" s="5">
        <v>0</v>
      </c>
      <c r="B728" s="6" t="s">
        <v>4700</v>
      </c>
      <c r="C728" s="13">
        <v>1764</v>
      </c>
      <c r="D728" s="8" t="s">
        <v>4701</v>
      </c>
      <c r="E728" s="8" t="s">
        <v>4702</v>
      </c>
      <c r="F728" s="8" t="s">
        <v>316</v>
      </c>
      <c r="G728" s="6" t="s">
        <v>89</v>
      </c>
      <c r="H728" s="6" t="s">
        <v>53</v>
      </c>
      <c r="I728" s="8" t="s">
        <v>100</v>
      </c>
      <c r="J728" s="9">
        <v>1</v>
      </c>
      <c r="K728" s="9">
        <v>338</v>
      </c>
      <c r="L728" s="9">
        <v>2025</v>
      </c>
      <c r="M728" s="8" t="s">
        <v>4703</v>
      </c>
      <c r="N728" s="8" t="s">
        <v>56</v>
      </c>
      <c r="O728" s="8" t="s">
        <v>741</v>
      </c>
      <c r="P728" s="6" t="s">
        <v>43</v>
      </c>
      <c r="Q728" s="8" t="s">
        <v>102</v>
      </c>
      <c r="R728" s="10" t="s">
        <v>4704</v>
      </c>
      <c r="S728" s="11" t="s">
        <v>4705</v>
      </c>
      <c r="T728" s="6"/>
      <c r="U728" s="24" t="str">
        <f>HYPERLINK("https://media.infra-m.ru/2200/2200969/cover/2200969.jpg", "Обложка")</f>
        <v>Обложка</v>
      </c>
      <c r="V728" s="24" t="str">
        <f>HYPERLINK("https://znanium.ru/catalog/product/2165434", "Ознакомиться")</f>
        <v>Ознакомиться</v>
      </c>
      <c r="W728" s="8" t="s">
        <v>320</v>
      </c>
      <c r="X728" s="6"/>
      <c r="Y728" s="6" t="s">
        <v>30</v>
      </c>
      <c r="Z728" s="6" t="s">
        <v>104</v>
      </c>
      <c r="AA728" s="6" t="s">
        <v>258</v>
      </c>
      <c r="AB728" s="8"/>
    </row>
    <row r="729" spans="1:28" s="4" customFormat="1" ht="51.95" customHeight="1">
      <c r="A729" s="5">
        <v>0</v>
      </c>
      <c r="B729" s="6" t="s">
        <v>4706</v>
      </c>
      <c r="C729" s="13">
        <v>1200</v>
      </c>
      <c r="D729" s="8" t="s">
        <v>4707</v>
      </c>
      <c r="E729" s="8" t="s">
        <v>4702</v>
      </c>
      <c r="F729" s="8" t="s">
        <v>4708</v>
      </c>
      <c r="G729" s="6" t="s">
        <v>89</v>
      </c>
      <c r="H729" s="6" t="s">
        <v>77</v>
      </c>
      <c r="I729" s="8" t="s">
        <v>90</v>
      </c>
      <c r="J729" s="9">
        <v>1</v>
      </c>
      <c r="K729" s="9">
        <v>352</v>
      </c>
      <c r="L729" s="9">
        <v>2019</v>
      </c>
      <c r="M729" s="8" t="s">
        <v>4709</v>
      </c>
      <c r="N729" s="8" t="s">
        <v>56</v>
      </c>
      <c r="O729" s="8" t="s">
        <v>741</v>
      </c>
      <c r="P729" s="6" t="s">
        <v>43</v>
      </c>
      <c r="Q729" s="8" t="s">
        <v>44</v>
      </c>
      <c r="R729" s="10" t="s">
        <v>4698</v>
      </c>
      <c r="S729" s="11"/>
      <c r="T729" s="6"/>
      <c r="U729" s="24" t="str">
        <f>HYPERLINK("https://media.infra-m.ru/1002/1002742/cover/1002742.jpg", "Обложка")</f>
        <v>Обложка</v>
      </c>
      <c r="V729" s="24" t="str">
        <f>HYPERLINK("https://znanium.ru/catalog/product/2141031", "Ознакомиться")</f>
        <v>Ознакомиться</v>
      </c>
      <c r="W729" s="8" t="s">
        <v>320</v>
      </c>
      <c r="X729" s="6"/>
      <c r="Y729" s="6"/>
      <c r="Z729" s="6"/>
      <c r="AA729" s="6" t="s">
        <v>122</v>
      </c>
      <c r="AB729" s="8"/>
    </row>
    <row r="730" spans="1:28" s="4" customFormat="1" ht="51.95" customHeight="1">
      <c r="A730" s="5">
        <v>0</v>
      </c>
      <c r="B730" s="6" t="s">
        <v>4710</v>
      </c>
      <c r="C730" s="13">
        <v>1764</v>
      </c>
      <c r="D730" s="8" t="s">
        <v>4711</v>
      </c>
      <c r="E730" s="8" t="s">
        <v>4712</v>
      </c>
      <c r="F730" s="8" t="s">
        <v>4713</v>
      </c>
      <c r="G730" s="6" t="s">
        <v>89</v>
      </c>
      <c r="H730" s="6" t="s">
        <v>53</v>
      </c>
      <c r="I730" s="8" t="s">
        <v>116</v>
      </c>
      <c r="J730" s="9">
        <v>1</v>
      </c>
      <c r="K730" s="9">
        <v>352</v>
      </c>
      <c r="L730" s="9">
        <v>2025</v>
      </c>
      <c r="M730" s="8" t="s">
        <v>4714</v>
      </c>
      <c r="N730" s="8" t="s">
        <v>79</v>
      </c>
      <c r="O730" s="8" t="s">
        <v>174</v>
      </c>
      <c r="P730" s="6" t="s">
        <v>43</v>
      </c>
      <c r="Q730" s="8" t="s">
        <v>44</v>
      </c>
      <c r="R730" s="10" t="s">
        <v>4715</v>
      </c>
      <c r="S730" s="11" t="s">
        <v>4716</v>
      </c>
      <c r="T730" s="6"/>
      <c r="U730" s="24" t="str">
        <f>HYPERLINK("https://media.infra-m.ru/2174/2174719/cover/2174719.jpg", "Обложка")</f>
        <v>Обложка</v>
      </c>
      <c r="V730" s="24" t="str">
        <f>HYPERLINK("https://znanium.ru/catalog/product/1998954", "Ознакомиться")</f>
        <v>Ознакомиться</v>
      </c>
      <c r="W730" s="8" t="s">
        <v>1505</v>
      </c>
      <c r="X730" s="6"/>
      <c r="Y730" s="6"/>
      <c r="Z730" s="6"/>
      <c r="AA730" s="6" t="s">
        <v>84</v>
      </c>
      <c r="AB730" s="8"/>
    </row>
    <row r="731" spans="1:28" s="4" customFormat="1" ht="51.95" customHeight="1">
      <c r="A731" s="5">
        <v>0</v>
      </c>
      <c r="B731" s="6" t="s">
        <v>4717</v>
      </c>
      <c r="C731" s="13">
        <v>1820</v>
      </c>
      <c r="D731" s="8" t="s">
        <v>4718</v>
      </c>
      <c r="E731" s="8" t="s">
        <v>4712</v>
      </c>
      <c r="F731" s="8" t="s">
        <v>4713</v>
      </c>
      <c r="G731" s="6" t="s">
        <v>89</v>
      </c>
      <c r="H731" s="6" t="s">
        <v>53</v>
      </c>
      <c r="I731" s="8" t="s">
        <v>100</v>
      </c>
      <c r="J731" s="9">
        <v>1</v>
      </c>
      <c r="K731" s="9">
        <v>352</v>
      </c>
      <c r="L731" s="9">
        <v>2025</v>
      </c>
      <c r="M731" s="8" t="s">
        <v>4719</v>
      </c>
      <c r="N731" s="8" t="s">
        <v>79</v>
      </c>
      <c r="O731" s="8" t="s">
        <v>174</v>
      </c>
      <c r="P731" s="6" t="s">
        <v>43</v>
      </c>
      <c r="Q731" s="8" t="s">
        <v>102</v>
      </c>
      <c r="R731" s="10" t="s">
        <v>4720</v>
      </c>
      <c r="S731" s="11" t="s">
        <v>4721</v>
      </c>
      <c r="T731" s="6"/>
      <c r="U731" s="24" t="str">
        <f>HYPERLINK("https://media.infra-m.ru/2184/2184898/cover/2184898.jpg", "Обложка")</f>
        <v>Обложка</v>
      </c>
      <c r="V731" s="24" t="str">
        <f>HYPERLINK("https://znanium.ru/catalog/product/2184898", "Ознакомиться")</f>
        <v>Ознакомиться</v>
      </c>
      <c r="W731" s="8" t="s">
        <v>1505</v>
      </c>
      <c r="X731" s="6"/>
      <c r="Y731" s="6"/>
      <c r="Z731" s="6" t="s">
        <v>104</v>
      </c>
      <c r="AA731" s="6" t="s">
        <v>151</v>
      </c>
      <c r="AB731" s="8"/>
    </row>
    <row r="732" spans="1:28" s="4" customFormat="1" ht="51.95" customHeight="1">
      <c r="A732" s="5">
        <v>0</v>
      </c>
      <c r="B732" s="6" t="s">
        <v>4722</v>
      </c>
      <c r="C732" s="13">
        <v>2330</v>
      </c>
      <c r="D732" s="8" t="s">
        <v>4723</v>
      </c>
      <c r="E732" s="8" t="s">
        <v>4724</v>
      </c>
      <c r="F732" s="8" t="s">
        <v>4725</v>
      </c>
      <c r="G732" s="6" t="s">
        <v>89</v>
      </c>
      <c r="H732" s="6" t="s">
        <v>53</v>
      </c>
      <c r="I732" s="8" t="s">
        <v>4726</v>
      </c>
      <c r="J732" s="9">
        <v>1</v>
      </c>
      <c r="K732" s="9">
        <v>301</v>
      </c>
      <c r="L732" s="9">
        <v>2025</v>
      </c>
      <c r="M732" s="8" t="s">
        <v>4727</v>
      </c>
      <c r="N732" s="8" t="s">
        <v>41</v>
      </c>
      <c r="O732" s="8" t="s">
        <v>129</v>
      </c>
      <c r="P732" s="6" t="s">
        <v>43</v>
      </c>
      <c r="Q732" s="8" t="s">
        <v>58</v>
      </c>
      <c r="R732" s="10" t="s">
        <v>4728</v>
      </c>
      <c r="S732" s="11" t="s">
        <v>4729</v>
      </c>
      <c r="T732" s="6"/>
      <c r="U732" s="24" t="str">
        <f>HYPERLINK("https://media.infra-m.ru/2159/2159593/cover/2159593.jpg", "Обложка")</f>
        <v>Обложка</v>
      </c>
      <c r="V732" s="24" t="str">
        <f>HYPERLINK("https://znanium.ru/catalog/product/2159593", "Ознакомиться")</f>
        <v>Ознакомиться</v>
      </c>
      <c r="W732" s="8" t="s">
        <v>4730</v>
      </c>
      <c r="X732" s="6"/>
      <c r="Y732" s="6"/>
      <c r="Z732" s="6"/>
      <c r="AA732" s="6" t="s">
        <v>207</v>
      </c>
      <c r="AB732" s="8"/>
    </row>
    <row r="733" spans="1:28" s="4" customFormat="1" ht="51.95" customHeight="1">
      <c r="A733" s="5">
        <v>0</v>
      </c>
      <c r="B733" s="6" t="s">
        <v>4731</v>
      </c>
      <c r="C733" s="13">
        <v>1700</v>
      </c>
      <c r="D733" s="8" t="s">
        <v>4732</v>
      </c>
      <c r="E733" s="8" t="s">
        <v>4733</v>
      </c>
      <c r="F733" s="8" t="s">
        <v>4734</v>
      </c>
      <c r="G733" s="6" t="s">
        <v>89</v>
      </c>
      <c r="H733" s="6" t="s">
        <v>53</v>
      </c>
      <c r="I733" s="8" t="s">
        <v>4726</v>
      </c>
      <c r="J733" s="9">
        <v>1</v>
      </c>
      <c r="K733" s="9">
        <v>340</v>
      </c>
      <c r="L733" s="9">
        <v>2024</v>
      </c>
      <c r="M733" s="8" t="s">
        <v>4735</v>
      </c>
      <c r="N733" s="8" t="s">
        <v>41</v>
      </c>
      <c r="O733" s="8" t="s">
        <v>129</v>
      </c>
      <c r="P733" s="6" t="s">
        <v>43</v>
      </c>
      <c r="Q733" s="8" t="s">
        <v>58</v>
      </c>
      <c r="R733" s="10" t="s">
        <v>4736</v>
      </c>
      <c r="S733" s="11" t="s">
        <v>4737</v>
      </c>
      <c r="T733" s="6" t="s">
        <v>299</v>
      </c>
      <c r="U733" s="24" t="str">
        <f>HYPERLINK("https://media.infra-m.ru/2159/2159603/cover/2159603.jpg", "Обложка")</f>
        <v>Обложка</v>
      </c>
      <c r="V733" s="24" t="str">
        <f>HYPERLINK("https://znanium.ru/catalog/product/2159603", "Ознакомиться")</f>
        <v>Ознакомиться</v>
      </c>
      <c r="W733" s="8" t="s">
        <v>4730</v>
      </c>
      <c r="X733" s="6"/>
      <c r="Y733" s="6"/>
      <c r="Z733" s="6"/>
      <c r="AA733" s="6" t="s">
        <v>133</v>
      </c>
      <c r="AB733" s="8" t="s">
        <v>840</v>
      </c>
    </row>
    <row r="734" spans="1:28" s="4" customFormat="1" ht="51.95" customHeight="1">
      <c r="A734" s="5">
        <v>0</v>
      </c>
      <c r="B734" s="6" t="s">
        <v>4738</v>
      </c>
      <c r="C734" s="13">
        <v>1520</v>
      </c>
      <c r="D734" s="8" t="s">
        <v>4739</v>
      </c>
      <c r="E734" s="8" t="s">
        <v>4740</v>
      </c>
      <c r="F734" s="8" t="s">
        <v>65</v>
      </c>
      <c r="G734" s="6" t="s">
        <v>89</v>
      </c>
      <c r="H734" s="6" t="s">
        <v>53</v>
      </c>
      <c r="I734" s="8" t="s">
        <v>100</v>
      </c>
      <c r="J734" s="9">
        <v>1</v>
      </c>
      <c r="K734" s="9">
        <v>292</v>
      </c>
      <c r="L734" s="9">
        <v>2025</v>
      </c>
      <c r="M734" s="8" t="s">
        <v>4741</v>
      </c>
      <c r="N734" s="8" t="s">
        <v>68</v>
      </c>
      <c r="O734" s="8" t="s">
        <v>69</v>
      </c>
      <c r="P734" s="6" t="s">
        <v>43</v>
      </c>
      <c r="Q734" s="8" t="s">
        <v>102</v>
      </c>
      <c r="R734" s="10" t="s">
        <v>4742</v>
      </c>
      <c r="S734" s="11" t="s">
        <v>4743</v>
      </c>
      <c r="T734" s="6"/>
      <c r="U734" s="24" t="str">
        <f>HYPERLINK("https://media.infra-m.ru/2199/2199353/cover/2199353.jpg", "Обложка")</f>
        <v>Обложка</v>
      </c>
      <c r="V734" s="24" t="str">
        <f>HYPERLINK("https://znanium.ru/catalog/product/2199353", "Ознакомиться")</f>
        <v>Ознакомиться</v>
      </c>
      <c r="W734" s="8" t="s">
        <v>71</v>
      </c>
      <c r="X734" s="6"/>
      <c r="Y734" s="6"/>
      <c r="Z734" s="6" t="s">
        <v>104</v>
      </c>
      <c r="AA734" s="6" t="s">
        <v>258</v>
      </c>
      <c r="AB734" s="8"/>
    </row>
    <row r="735" spans="1:28" s="4" customFormat="1" ht="51.95" customHeight="1">
      <c r="A735" s="5">
        <v>0</v>
      </c>
      <c r="B735" s="6" t="s">
        <v>4744</v>
      </c>
      <c r="C735" s="13">
        <v>1280</v>
      </c>
      <c r="D735" s="8" t="s">
        <v>4745</v>
      </c>
      <c r="E735" s="8" t="s">
        <v>4746</v>
      </c>
      <c r="F735" s="8" t="s">
        <v>4747</v>
      </c>
      <c r="G735" s="6" t="s">
        <v>89</v>
      </c>
      <c r="H735" s="6" t="s">
        <v>39</v>
      </c>
      <c r="I735" s="8" t="s">
        <v>100</v>
      </c>
      <c r="J735" s="9">
        <v>1</v>
      </c>
      <c r="K735" s="9">
        <v>272</v>
      </c>
      <c r="L735" s="9">
        <v>2024</v>
      </c>
      <c r="M735" s="8" t="s">
        <v>4748</v>
      </c>
      <c r="N735" s="8" t="s">
        <v>997</v>
      </c>
      <c r="O735" s="8" t="s">
        <v>998</v>
      </c>
      <c r="P735" s="6" t="s">
        <v>175</v>
      </c>
      <c r="Q735" s="8" t="s">
        <v>102</v>
      </c>
      <c r="R735" s="10" t="s">
        <v>4749</v>
      </c>
      <c r="S735" s="11" t="s">
        <v>4750</v>
      </c>
      <c r="T735" s="6"/>
      <c r="U735" s="24" t="str">
        <f>HYPERLINK("https://media.infra-m.ru/2096/2096305/cover/2096305.jpg", "Обложка")</f>
        <v>Обложка</v>
      </c>
      <c r="V735" s="24" t="str">
        <f>HYPERLINK("https://znanium.ru/catalog/product/2096305", "Ознакомиться")</f>
        <v>Ознакомиться</v>
      </c>
      <c r="W735" s="8" t="s">
        <v>71</v>
      </c>
      <c r="X735" s="6"/>
      <c r="Y735" s="6"/>
      <c r="Z735" s="6" t="s">
        <v>104</v>
      </c>
      <c r="AA735" s="6" t="s">
        <v>258</v>
      </c>
      <c r="AB735" s="8"/>
    </row>
    <row r="736" spans="1:28" s="4" customFormat="1" ht="51.95" customHeight="1">
      <c r="A736" s="5">
        <v>0</v>
      </c>
      <c r="B736" s="6" t="s">
        <v>4751</v>
      </c>
      <c r="C736" s="13">
        <v>1364</v>
      </c>
      <c r="D736" s="8" t="s">
        <v>4752</v>
      </c>
      <c r="E736" s="8" t="s">
        <v>4746</v>
      </c>
      <c r="F736" s="8" t="s">
        <v>4747</v>
      </c>
      <c r="G736" s="6" t="s">
        <v>89</v>
      </c>
      <c r="H736" s="6" t="s">
        <v>39</v>
      </c>
      <c r="I736" s="8" t="s">
        <v>90</v>
      </c>
      <c r="J736" s="9">
        <v>1</v>
      </c>
      <c r="K736" s="9">
        <v>272</v>
      </c>
      <c r="L736" s="9">
        <v>2024</v>
      </c>
      <c r="M736" s="8" t="s">
        <v>4753</v>
      </c>
      <c r="N736" s="8" t="s">
        <v>997</v>
      </c>
      <c r="O736" s="8" t="s">
        <v>998</v>
      </c>
      <c r="P736" s="6" t="s">
        <v>175</v>
      </c>
      <c r="Q736" s="8" t="s">
        <v>44</v>
      </c>
      <c r="R736" s="10" t="s">
        <v>4754</v>
      </c>
      <c r="S736" s="11"/>
      <c r="T736" s="6"/>
      <c r="U736" s="24" t="str">
        <f>HYPERLINK("https://media.infra-m.ru/2167/2167305/cover/2167305.jpg", "Обложка")</f>
        <v>Обложка</v>
      </c>
      <c r="V736" s="24" t="str">
        <f>HYPERLINK("https://znanium.ru/catalog/product/2128507", "Ознакомиться")</f>
        <v>Ознакомиться</v>
      </c>
      <c r="W736" s="8" t="s">
        <v>71</v>
      </c>
      <c r="X736" s="6"/>
      <c r="Y736" s="6"/>
      <c r="Z736" s="6"/>
      <c r="AA736" s="6" t="s">
        <v>47</v>
      </c>
      <c r="AB736" s="8"/>
    </row>
    <row r="737" spans="1:28" s="4" customFormat="1" ht="51.95" customHeight="1">
      <c r="A737" s="5">
        <v>0</v>
      </c>
      <c r="B737" s="6" t="s">
        <v>4755</v>
      </c>
      <c r="C737" s="13">
        <v>1644</v>
      </c>
      <c r="D737" s="8" t="s">
        <v>4756</v>
      </c>
      <c r="E737" s="8" t="s">
        <v>4757</v>
      </c>
      <c r="F737" s="8" t="s">
        <v>4758</v>
      </c>
      <c r="G737" s="6" t="s">
        <v>89</v>
      </c>
      <c r="H737" s="6" t="s">
        <v>53</v>
      </c>
      <c r="I737" s="8" t="s">
        <v>100</v>
      </c>
      <c r="J737" s="9">
        <v>1</v>
      </c>
      <c r="K737" s="9">
        <v>315</v>
      </c>
      <c r="L737" s="9">
        <v>2025</v>
      </c>
      <c r="M737" s="8" t="s">
        <v>4759</v>
      </c>
      <c r="N737" s="8" t="s">
        <v>997</v>
      </c>
      <c r="O737" s="8" t="s">
        <v>998</v>
      </c>
      <c r="P737" s="6" t="s">
        <v>43</v>
      </c>
      <c r="Q737" s="8" t="s">
        <v>102</v>
      </c>
      <c r="R737" s="10" t="s">
        <v>4760</v>
      </c>
      <c r="S737" s="11" t="s">
        <v>4761</v>
      </c>
      <c r="T737" s="6"/>
      <c r="U737" s="24" t="str">
        <f>HYPERLINK("https://media.infra-m.ru/2198/2198262/cover/2198262.jpg", "Обложка")</f>
        <v>Обложка</v>
      </c>
      <c r="V737" s="24" t="str">
        <f>HYPERLINK("https://znanium.ru/catalog/product/2128417", "Ознакомиться")</f>
        <v>Ознакомиться</v>
      </c>
      <c r="W737" s="8" t="s">
        <v>4762</v>
      </c>
      <c r="X737" s="6"/>
      <c r="Y737" s="6"/>
      <c r="Z737" s="6"/>
      <c r="AA737" s="6" t="s">
        <v>793</v>
      </c>
      <c r="AB737" s="8"/>
    </row>
    <row r="738" spans="1:28" s="4" customFormat="1" ht="44.1" customHeight="1">
      <c r="A738" s="5">
        <v>0</v>
      </c>
      <c r="B738" s="6" t="s">
        <v>4763</v>
      </c>
      <c r="C738" s="13">
        <v>2390</v>
      </c>
      <c r="D738" s="8" t="s">
        <v>4764</v>
      </c>
      <c r="E738" s="8" t="s">
        <v>4765</v>
      </c>
      <c r="F738" s="8" t="s">
        <v>4766</v>
      </c>
      <c r="G738" s="6" t="s">
        <v>52</v>
      </c>
      <c r="H738" s="6" t="s">
        <v>53</v>
      </c>
      <c r="I738" s="8" t="s">
        <v>4767</v>
      </c>
      <c r="J738" s="9">
        <v>1</v>
      </c>
      <c r="K738" s="9">
        <v>508</v>
      </c>
      <c r="L738" s="9">
        <v>2024</v>
      </c>
      <c r="M738" s="8" t="s">
        <v>4768</v>
      </c>
      <c r="N738" s="8" t="s">
        <v>997</v>
      </c>
      <c r="O738" s="8" t="s">
        <v>998</v>
      </c>
      <c r="P738" s="6" t="s">
        <v>43</v>
      </c>
      <c r="Q738" s="8" t="s">
        <v>44</v>
      </c>
      <c r="R738" s="10" t="s">
        <v>4769</v>
      </c>
      <c r="S738" s="11"/>
      <c r="T738" s="6"/>
      <c r="U738" s="24" t="str">
        <f>HYPERLINK("https://media.infra-m.ru/2084/2084341/cover/2084341.jpg", "Обложка")</f>
        <v>Обложка</v>
      </c>
      <c r="V738" s="24" t="str">
        <f>HYPERLINK("https://znanium.ru/catalog/product/2084341", "Ознакомиться")</f>
        <v>Ознакомиться</v>
      </c>
      <c r="W738" s="8" t="s">
        <v>2514</v>
      </c>
      <c r="X738" s="6"/>
      <c r="Y738" s="6"/>
      <c r="Z738" s="6"/>
      <c r="AA738" s="6" t="s">
        <v>160</v>
      </c>
      <c r="AB738" s="8"/>
    </row>
    <row r="739" spans="1:28" s="4" customFormat="1" ht="51.95" customHeight="1">
      <c r="A739" s="5">
        <v>0</v>
      </c>
      <c r="B739" s="6" t="s">
        <v>4770</v>
      </c>
      <c r="C739" s="7">
        <v>780</v>
      </c>
      <c r="D739" s="8" t="s">
        <v>4771</v>
      </c>
      <c r="E739" s="8" t="s">
        <v>4772</v>
      </c>
      <c r="F739" s="8" t="s">
        <v>4773</v>
      </c>
      <c r="G739" s="6" t="s">
        <v>89</v>
      </c>
      <c r="H739" s="6" t="s">
        <v>39</v>
      </c>
      <c r="I739" s="8" t="s">
        <v>4767</v>
      </c>
      <c r="J739" s="9">
        <v>1</v>
      </c>
      <c r="K739" s="9">
        <v>166</v>
      </c>
      <c r="L739" s="9">
        <v>2024</v>
      </c>
      <c r="M739" s="8" t="s">
        <v>4774</v>
      </c>
      <c r="N739" s="8" t="s">
        <v>997</v>
      </c>
      <c r="O739" s="8" t="s">
        <v>998</v>
      </c>
      <c r="P739" s="6" t="s">
        <v>43</v>
      </c>
      <c r="Q739" s="8" t="s">
        <v>58</v>
      </c>
      <c r="R739" s="10" t="s">
        <v>4775</v>
      </c>
      <c r="S739" s="11"/>
      <c r="T739" s="6"/>
      <c r="U739" s="24" t="str">
        <f>HYPERLINK("https://media.infra-m.ru/2052/2052374/cover/2052374.jpg", "Обложка")</f>
        <v>Обложка</v>
      </c>
      <c r="V739" s="24" t="str">
        <f>HYPERLINK("https://znanium.ru/catalog/product/2052374", "Ознакомиться")</f>
        <v>Ознакомиться</v>
      </c>
      <c r="W739" s="8" t="s">
        <v>4776</v>
      </c>
      <c r="X739" s="6"/>
      <c r="Y739" s="6"/>
      <c r="Z739" s="6"/>
      <c r="AA739" s="6" t="s">
        <v>95</v>
      </c>
      <c r="AB739" s="8"/>
    </row>
    <row r="740" spans="1:28" s="4" customFormat="1" ht="51.95" customHeight="1">
      <c r="A740" s="5">
        <v>0</v>
      </c>
      <c r="B740" s="6" t="s">
        <v>4777</v>
      </c>
      <c r="C740" s="13">
        <v>1864</v>
      </c>
      <c r="D740" s="8" t="s">
        <v>4778</v>
      </c>
      <c r="E740" s="8" t="s">
        <v>4779</v>
      </c>
      <c r="F740" s="8" t="s">
        <v>4780</v>
      </c>
      <c r="G740" s="6" t="s">
        <v>52</v>
      </c>
      <c r="H740" s="6" t="s">
        <v>53</v>
      </c>
      <c r="I740" s="8" t="s">
        <v>116</v>
      </c>
      <c r="J740" s="9">
        <v>1</v>
      </c>
      <c r="K740" s="9">
        <v>358</v>
      </c>
      <c r="L740" s="9">
        <v>2025</v>
      </c>
      <c r="M740" s="8" t="s">
        <v>4781</v>
      </c>
      <c r="N740" s="8" t="s">
        <v>79</v>
      </c>
      <c r="O740" s="8" t="s">
        <v>684</v>
      </c>
      <c r="P740" s="6" t="s">
        <v>43</v>
      </c>
      <c r="Q740" s="8" t="s">
        <v>44</v>
      </c>
      <c r="R740" s="10" t="s">
        <v>1591</v>
      </c>
      <c r="S740" s="11" t="s">
        <v>4782</v>
      </c>
      <c r="T740" s="6"/>
      <c r="U740" s="24" t="str">
        <f>HYPERLINK("https://media.infra-m.ru/2196/2196085/cover/2196085.jpg", "Обложка")</f>
        <v>Обложка</v>
      </c>
      <c r="V740" s="24" t="str">
        <f>HYPERLINK("https://znanium.ru/catalog/product/1015079", "Ознакомиться")</f>
        <v>Ознакомиться</v>
      </c>
      <c r="W740" s="8" t="s">
        <v>1635</v>
      </c>
      <c r="X740" s="6"/>
      <c r="Y740" s="6"/>
      <c r="Z740" s="6"/>
      <c r="AA740" s="6" t="s">
        <v>111</v>
      </c>
      <c r="AB740" s="8"/>
    </row>
    <row r="741" spans="1:28" s="4" customFormat="1" ht="42" customHeight="1">
      <c r="A741" s="5">
        <v>0</v>
      </c>
      <c r="B741" s="6" t="s">
        <v>4783</v>
      </c>
      <c r="C741" s="13">
        <v>1990</v>
      </c>
      <c r="D741" s="8" t="s">
        <v>4784</v>
      </c>
      <c r="E741" s="8" t="s">
        <v>4785</v>
      </c>
      <c r="F741" s="8" t="s">
        <v>4786</v>
      </c>
      <c r="G741" s="6" t="s">
        <v>52</v>
      </c>
      <c r="H741" s="6" t="s">
        <v>53</v>
      </c>
      <c r="I741" s="8" t="s">
        <v>560</v>
      </c>
      <c r="J741" s="9">
        <v>1</v>
      </c>
      <c r="K741" s="9">
        <v>455</v>
      </c>
      <c r="L741" s="9">
        <v>2024</v>
      </c>
      <c r="M741" s="8" t="s">
        <v>4787</v>
      </c>
      <c r="N741" s="8" t="s">
        <v>41</v>
      </c>
      <c r="O741" s="8" t="s">
        <v>129</v>
      </c>
      <c r="P741" s="6" t="s">
        <v>167</v>
      </c>
      <c r="Q741" s="8" t="s">
        <v>58</v>
      </c>
      <c r="R741" s="10" t="s">
        <v>4788</v>
      </c>
      <c r="S741" s="11"/>
      <c r="T741" s="6"/>
      <c r="U741" s="24" t="str">
        <f>HYPERLINK("https://media.infra-m.ru/2082/2082811/cover/2082811.jpg", "Обложка")</f>
        <v>Обложка</v>
      </c>
      <c r="V741" s="24" t="str">
        <f>HYPERLINK("https://znanium.ru/catalog/product/2082811", "Ознакомиться")</f>
        <v>Ознакомиться</v>
      </c>
      <c r="W741" s="8" t="s">
        <v>564</v>
      </c>
      <c r="X741" s="6"/>
      <c r="Y741" s="6"/>
      <c r="Z741" s="6"/>
      <c r="AA741" s="6" t="s">
        <v>133</v>
      </c>
      <c r="AB741" s="8"/>
    </row>
    <row r="742" spans="1:28" s="4" customFormat="1" ht="42" customHeight="1">
      <c r="A742" s="5">
        <v>0</v>
      </c>
      <c r="B742" s="6" t="s">
        <v>4789</v>
      </c>
      <c r="C742" s="13">
        <v>2070</v>
      </c>
      <c r="D742" s="8" t="s">
        <v>4790</v>
      </c>
      <c r="E742" s="8" t="s">
        <v>4791</v>
      </c>
      <c r="F742" s="8" t="s">
        <v>4786</v>
      </c>
      <c r="G742" s="6" t="s">
        <v>52</v>
      </c>
      <c r="H742" s="6" t="s">
        <v>53</v>
      </c>
      <c r="I742" s="8" t="s">
        <v>560</v>
      </c>
      <c r="J742" s="9">
        <v>1</v>
      </c>
      <c r="K742" s="9">
        <v>451</v>
      </c>
      <c r="L742" s="9">
        <v>2024</v>
      </c>
      <c r="M742" s="8" t="s">
        <v>4792</v>
      </c>
      <c r="N742" s="8" t="s">
        <v>41</v>
      </c>
      <c r="O742" s="8" t="s">
        <v>129</v>
      </c>
      <c r="P742" s="6" t="s">
        <v>167</v>
      </c>
      <c r="Q742" s="8" t="s">
        <v>58</v>
      </c>
      <c r="R742" s="10" t="s">
        <v>4788</v>
      </c>
      <c r="S742" s="11"/>
      <c r="T742" s="6"/>
      <c r="U742" s="24" t="str">
        <f>HYPERLINK("https://media.infra-m.ru/2082/2082817/cover/2082817.jpg", "Обложка")</f>
        <v>Обложка</v>
      </c>
      <c r="V742" s="24" t="str">
        <f>HYPERLINK("https://znanium.ru/catalog/product/2082817", "Ознакомиться")</f>
        <v>Ознакомиться</v>
      </c>
      <c r="W742" s="8" t="s">
        <v>564</v>
      </c>
      <c r="X742" s="6"/>
      <c r="Y742" s="6"/>
      <c r="Z742" s="6"/>
      <c r="AA742" s="6" t="s">
        <v>133</v>
      </c>
      <c r="AB742" s="8"/>
    </row>
    <row r="743" spans="1:28" s="4" customFormat="1" ht="51.95" customHeight="1">
      <c r="A743" s="5">
        <v>0</v>
      </c>
      <c r="B743" s="6" t="s">
        <v>4793</v>
      </c>
      <c r="C743" s="7">
        <v>930</v>
      </c>
      <c r="D743" s="8" t="s">
        <v>4794</v>
      </c>
      <c r="E743" s="8" t="s">
        <v>4795</v>
      </c>
      <c r="F743" s="8" t="s">
        <v>4796</v>
      </c>
      <c r="G743" s="6" t="s">
        <v>89</v>
      </c>
      <c r="H743" s="6" t="s">
        <v>39</v>
      </c>
      <c r="I743" s="8" t="s">
        <v>116</v>
      </c>
      <c r="J743" s="9">
        <v>1</v>
      </c>
      <c r="K743" s="9">
        <v>191</v>
      </c>
      <c r="L743" s="9">
        <v>2024</v>
      </c>
      <c r="M743" s="8" t="s">
        <v>4797</v>
      </c>
      <c r="N743" s="8" t="s">
        <v>79</v>
      </c>
      <c r="O743" s="8" t="s">
        <v>424</v>
      </c>
      <c r="P743" s="6" t="s">
        <v>175</v>
      </c>
      <c r="Q743" s="8" t="s">
        <v>44</v>
      </c>
      <c r="R743" s="10" t="s">
        <v>4798</v>
      </c>
      <c r="S743" s="11" t="s">
        <v>4799</v>
      </c>
      <c r="T743" s="6"/>
      <c r="U743" s="24" t="str">
        <f>HYPERLINK("https://media.infra-m.ru/2084/2084164/cover/2084164.jpg", "Обложка")</f>
        <v>Обложка</v>
      </c>
      <c r="V743" s="12"/>
      <c r="W743" s="8" t="s">
        <v>1563</v>
      </c>
      <c r="X743" s="6"/>
      <c r="Y743" s="6"/>
      <c r="Z743" s="6"/>
      <c r="AA743" s="6" t="s">
        <v>111</v>
      </c>
      <c r="AB743" s="8"/>
    </row>
    <row r="744" spans="1:28" s="4" customFormat="1" ht="42" customHeight="1">
      <c r="A744" s="5">
        <v>0</v>
      </c>
      <c r="B744" s="6" t="s">
        <v>4800</v>
      </c>
      <c r="C744" s="13">
        <v>1064</v>
      </c>
      <c r="D744" s="8" t="s">
        <v>4801</v>
      </c>
      <c r="E744" s="8" t="s">
        <v>4802</v>
      </c>
      <c r="F744" s="8" t="s">
        <v>4803</v>
      </c>
      <c r="G744" s="6" t="s">
        <v>89</v>
      </c>
      <c r="H744" s="6" t="s">
        <v>53</v>
      </c>
      <c r="I744" s="8" t="s">
        <v>90</v>
      </c>
      <c r="J744" s="9">
        <v>1</v>
      </c>
      <c r="K744" s="9">
        <v>212</v>
      </c>
      <c r="L744" s="9">
        <v>2025</v>
      </c>
      <c r="M744" s="8" t="s">
        <v>4804</v>
      </c>
      <c r="N744" s="8" t="s">
        <v>56</v>
      </c>
      <c r="O744" s="8" t="s">
        <v>57</v>
      </c>
      <c r="P744" s="6" t="s">
        <v>43</v>
      </c>
      <c r="Q744" s="8" t="s">
        <v>44</v>
      </c>
      <c r="R744" s="10" t="s">
        <v>292</v>
      </c>
      <c r="S744" s="11"/>
      <c r="T744" s="6"/>
      <c r="U744" s="24" t="str">
        <f>HYPERLINK("https://media.infra-m.ru/2183/2183350/cover/2183350.jpg", "Обложка")</f>
        <v>Обложка</v>
      </c>
      <c r="V744" s="24" t="str">
        <f>HYPERLINK("https://znanium.ru/catalog/product/2126640", "Ознакомиться")</f>
        <v>Ознакомиться</v>
      </c>
      <c r="W744" s="8" t="s">
        <v>71</v>
      </c>
      <c r="X744" s="6"/>
      <c r="Y744" s="6"/>
      <c r="Z744" s="6"/>
      <c r="AA744" s="6" t="s">
        <v>72</v>
      </c>
      <c r="AB744" s="8"/>
    </row>
    <row r="745" spans="1:28" s="4" customFormat="1" ht="42" customHeight="1">
      <c r="A745" s="5">
        <v>0</v>
      </c>
      <c r="B745" s="6" t="s">
        <v>4805</v>
      </c>
      <c r="C745" s="13">
        <v>1090</v>
      </c>
      <c r="D745" s="8" t="s">
        <v>4806</v>
      </c>
      <c r="E745" s="8" t="s">
        <v>4807</v>
      </c>
      <c r="F745" s="8" t="s">
        <v>4803</v>
      </c>
      <c r="G745" s="6" t="s">
        <v>52</v>
      </c>
      <c r="H745" s="6" t="s">
        <v>53</v>
      </c>
      <c r="I745" s="8" t="s">
        <v>100</v>
      </c>
      <c r="J745" s="9">
        <v>1</v>
      </c>
      <c r="K745" s="9">
        <v>212</v>
      </c>
      <c r="L745" s="9">
        <v>2025</v>
      </c>
      <c r="M745" s="8" t="s">
        <v>4808</v>
      </c>
      <c r="N745" s="8" t="s">
        <v>56</v>
      </c>
      <c r="O745" s="8" t="s">
        <v>57</v>
      </c>
      <c r="P745" s="6" t="s">
        <v>43</v>
      </c>
      <c r="Q745" s="8" t="s">
        <v>102</v>
      </c>
      <c r="R745" s="10" t="s">
        <v>4809</v>
      </c>
      <c r="S745" s="11"/>
      <c r="T745" s="6"/>
      <c r="U745" s="24" t="str">
        <f>HYPERLINK("https://media.infra-m.ru/2172/2172160/cover/2172160.jpg", "Обложка")</f>
        <v>Обложка</v>
      </c>
      <c r="V745" s="24" t="str">
        <f>HYPERLINK("https://znanium.ru/catalog/product/2172160", "Ознакомиться")</f>
        <v>Ознакомиться</v>
      </c>
      <c r="W745" s="8" t="s">
        <v>71</v>
      </c>
      <c r="X745" s="6" t="s">
        <v>785</v>
      </c>
      <c r="Y745" s="6"/>
      <c r="Z745" s="6" t="s">
        <v>104</v>
      </c>
      <c r="AA745" s="6" t="s">
        <v>61</v>
      </c>
      <c r="AB745" s="8"/>
    </row>
    <row r="746" spans="1:28" s="4" customFormat="1" ht="42" customHeight="1">
      <c r="A746" s="5">
        <v>0</v>
      </c>
      <c r="B746" s="6" t="s">
        <v>4810</v>
      </c>
      <c r="C746" s="13">
        <v>1354</v>
      </c>
      <c r="D746" s="8" t="s">
        <v>4811</v>
      </c>
      <c r="E746" s="8" t="s">
        <v>4812</v>
      </c>
      <c r="F746" s="8" t="s">
        <v>4813</v>
      </c>
      <c r="G746" s="6" t="s">
        <v>52</v>
      </c>
      <c r="H746" s="6" t="s">
        <v>674</v>
      </c>
      <c r="I746" s="8"/>
      <c r="J746" s="9">
        <v>1</v>
      </c>
      <c r="K746" s="9">
        <v>288</v>
      </c>
      <c r="L746" s="9">
        <v>2024</v>
      </c>
      <c r="M746" s="8" t="s">
        <v>4814</v>
      </c>
      <c r="N746" s="8" t="s">
        <v>41</v>
      </c>
      <c r="O746" s="8" t="s">
        <v>676</v>
      </c>
      <c r="P746" s="6" t="s">
        <v>43</v>
      </c>
      <c r="Q746" s="8" t="s">
        <v>44</v>
      </c>
      <c r="R746" s="10" t="s">
        <v>850</v>
      </c>
      <c r="S746" s="11"/>
      <c r="T746" s="6"/>
      <c r="U746" s="24" t="str">
        <f>HYPERLINK("https://media.infra-m.ru/2133/2133765/cover/2133765.jpg", "Обложка")</f>
        <v>Обложка</v>
      </c>
      <c r="V746" s="24" t="str">
        <f>HYPERLINK("https://znanium.ru/catalog/product/2133765", "Ознакомиться")</f>
        <v>Ознакомиться</v>
      </c>
      <c r="W746" s="8" t="s">
        <v>4815</v>
      </c>
      <c r="X746" s="6"/>
      <c r="Y746" s="6"/>
      <c r="Z746" s="6"/>
      <c r="AA746" s="6" t="s">
        <v>47</v>
      </c>
      <c r="AB746" s="8"/>
    </row>
    <row r="747" spans="1:28" s="4" customFormat="1" ht="51.95" customHeight="1">
      <c r="A747" s="5">
        <v>0</v>
      </c>
      <c r="B747" s="6" t="s">
        <v>4816</v>
      </c>
      <c r="C747" s="13">
        <v>2904</v>
      </c>
      <c r="D747" s="8" t="s">
        <v>4817</v>
      </c>
      <c r="E747" s="8" t="s">
        <v>4818</v>
      </c>
      <c r="F747" s="8" t="s">
        <v>4819</v>
      </c>
      <c r="G747" s="6" t="s">
        <v>52</v>
      </c>
      <c r="H747" s="6" t="s">
        <v>674</v>
      </c>
      <c r="I747" s="8"/>
      <c r="J747" s="9">
        <v>1</v>
      </c>
      <c r="K747" s="9">
        <v>816</v>
      </c>
      <c r="L747" s="9">
        <v>2025</v>
      </c>
      <c r="M747" s="8" t="s">
        <v>4820</v>
      </c>
      <c r="N747" s="8" t="s">
        <v>41</v>
      </c>
      <c r="O747" s="8" t="s">
        <v>676</v>
      </c>
      <c r="P747" s="6" t="s">
        <v>167</v>
      </c>
      <c r="Q747" s="8" t="s">
        <v>44</v>
      </c>
      <c r="R747" s="10" t="s">
        <v>677</v>
      </c>
      <c r="S747" s="11" t="s">
        <v>4821</v>
      </c>
      <c r="T747" s="6"/>
      <c r="U747" s="24" t="str">
        <f>HYPERLINK("https://media.infra-m.ru/2184/2184384/cover/2184384.jpg", "Обложка")</f>
        <v>Обложка</v>
      </c>
      <c r="V747" s="24" t="str">
        <f>HYPERLINK("https://znanium.ru/catalog/product/2114311", "Ознакомиться")</f>
        <v>Ознакомиться</v>
      </c>
      <c r="W747" s="8" t="s">
        <v>678</v>
      </c>
      <c r="X747" s="6"/>
      <c r="Y747" s="6"/>
      <c r="Z747" s="6"/>
      <c r="AA747" s="6" t="s">
        <v>4822</v>
      </c>
      <c r="AB747" s="8"/>
    </row>
    <row r="748" spans="1:28" s="4" customFormat="1" ht="51.95" customHeight="1">
      <c r="A748" s="5">
        <v>0</v>
      </c>
      <c r="B748" s="6" t="s">
        <v>4823</v>
      </c>
      <c r="C748" s="13">
        <v>1330</v>
      </c>
      <c r="D748" s="8" t="s">
        <v>4824</v>
      </c>
      <c r="E748" s="8" t="s">
        <v>4825</v>
      </c>
      <c r="F748" s="8" t="s">
        <v>4826</v>
      </c>
      <c r="G748" s="6" t="s">
        <v>89</v>
      </c>
      <c r="H748" s="6" t="s">
        <v>53</v>
      </c>
      <c r="I748" s="8" t="s">
        <v>116</v>
      </c>
      <c r="J748" s="9">
        <v>1</v>
      </c>
      <c r="K748" s="9">
        <v>283</v>
      </c>
      <c r="L748" s="9">
        <v>2023</v>
      </c>
      <c r="M748" s="8" t="s">
        <v>4827</v>
      </c>
      <c r="N748" s="8" t="s">
        <v>41</v>
      </c>
      <c r="O748" s="8" t="s">
        <v>4035</v>
      </c>
      <c r="P748" s="6" t="s">
        <v>43</v>
      </c>
      <c r="Q748" s="8" t="s">
        <v>58</v>
      </c>
      <c r="R748" s="10" t="s">
        <v>4828</v>
      </c>
      <c r="S748" s="11" t="s">
        <v>4829</v>
      </c>
      <c r="T748" s="6"/>
      <c r="U748" s="24" t="str">
        <f>HYPERLINK("https://media.infra-m.ru/2017/2017311/cover/2017311.jpg", "Обложка")</f>
        <v>Обложка</v>
      </c>
      <c r="V748" s="24" t="str">
        <f>HYPERLINK("https://znanium.ru/catalog/product/2017311", "Ознакомиться")</f>
        <v>Ознакомиться</v>
      </c>
      <c r="W748" s="8" t="s">
        <v>4830</v>
      </c>
      <c r="X748" s="6"/>
      <c r="Y748" s="6"/>
      <c r="Z748" s="6"/>
      <c r="AA748" s="6" t="s">
        <v>219</v>
      </c>
      <c r="AB748" s="8"/>
    </row>
    <row r="749" spans="1:28" s="4" customFormat="1" ht="51.95" customHeight="1">
      <c r="A749" s="5">
        <v>0</v>
      </c>
      <c r="B749" s="6" t="s">
        <v>4831</v>
      </c>
      <c r="C749" s="13">
        <v>1190</v>
      </c>
      <c r="D749" s="8" t="s">
        <v>4832</v>
      </c>
      <c r="E749" s="8" t="s">
        <v>4833</v>
      </c>
      <c r="F749" s="8" t="s">
        <v>4834</v>
      </c>
      <c r="G749" s="6" t="s">
        <v>89</v>
      </c>
      <c r="H749" s="6" t="s">
        <v>77</v>
      </c>
      <c r="I749" s="8" t="s">
        <v>100</v>
      </c>
      <c r="J749" s="9">
        <v>1</v>
      </c>
      <c r="K749" s="9">
        <v>252</v>
      </c>
      <c r="L749" s="9">
        <v>2024</v>
      </c>
      <c r="M749" s="8" t="s">
        <v>4835</v>
      </c>
      <c r="N749" s="8" t="s">
        <v>413</v>
      </c>
      <c r="O749" s="8" t="s">
        <v>1141</v>
      </c>
      <c r="P749" s="6" t="s">
        <v>397</v>
      </c>
      <c r="Q749" s="8" t="s">
        <v>102</v>
      </c>
      <c r="R749" s="10" t="s">
        <v>4836</v>
      </c>
      <c r="S749" s="11" t="s">
        <v>4837</v>
      </c>
      <c r="T749" s="6" t="s">
        <v>299</v>
      </c>
      <c r="U749" s="24" t="str">
        <f>HYPERLINK("https://media.infra-m.ru/2143/2143847/cover/2143847.jpg", "Обложка")</f>
        <v>Обложка</v>
      </c>
      <c r="V749" s="24" t="str">
        <f>HYPERLINK("https://znanium.ru/catalog/product/2143847", "Ознакомиться")</f>
        <v>Ознакомиться</v>
      </c>
      <c r="W749" s="8" t="s">
        <v>4838</v>
      </c>
      <c r="X749" s="6"/>
      <c r="Y749" s="6"/>
      <c r="Z749" s="6" t="s">
        <v>104</v>
      </c>
      <c r="AA749" s="6" t="s">
        <v>219</v>
      </c>
      <c r="AB749" s="8"/>
    </row>
    <row r="750" spans="1:28" s="4" customFormat="1" ht="51.95" customHeight="1">
      <c r="A750" s="5">
        <v>0</v>
      </c>
      <c r="B750" s="6" t="s">
        <v>4839</v>
      </c>
      <c r="C750" s="13">
        <v>1180</v>
      </c>
      <c r="D750" s="8" t="s">
        <v>4840</v>
      </c>
      <c r="E750" s="8" t="s">
        <v>4841</v>
      </c>
      <c r="F750" s="8" t="s">
        <v>4834</v>
      </c>
      <c r="G750" s="6" t="s">
        <v>89</v>
      </c>
      <c r="H750" s="6" t="s">
        <v>77</v>
      </c>
      <c r="I750" s="8" t="s">
        <v>116</v>
      </c>
      <c r="J750" s="9">
        <v>1</v>
      </c>
      <c r="K750" s="9">
        <v>252</v>
      </c>
      <c r="L750" s="9">
        <v>2024</v>
      </c>
      <c r="M750" s="8" t="s">
        <v>4842</v>
      </c>
      <c r="N750" s="8" t="s">
        <v>413</v>
      </c>
      <c r="O750" s="8" t="s">
        <v>1141</v>
      </c>
      <c r="P750" s="6" t="s">
        <v>397</v>
      </c>
      <c r="Q750" s="8" t="s">
        <v>44</v>
      </c>
      <c r="R750" s="10" t="s">
        <v>4843</v>
      </c>
      <c r="S750" s="11" t="s">
        <v>4844</v>
      </c>
      <c r="T750" s="6" t="s">
        <v>299</v>
      </c>
      <c r="U750" s="24" t="str">
        <f>HYPERLINK("https://media.infra-m.ru/2094/2094477/cover/2094477.jpg", "Обложка")</f>
        <v>Обложка</v>
      </c>
      <c r="V750" s="24" t="str">
        <f>HYPERLINK("https://znanium.ru/catalog/product/2094477", "Ознакомиться")</f>
        <v>Ознакомиться</v>
      </c>
      <c r="W750" s="8" t="s">
        <v>4838</v>
      </c>
      <c r="X750" s="6"/>
      <c r="Y750" s="6"/>
      <c r="Z750" s="6"/>
      <c r="AA750" s="6" t="s">
        <v>793</v>
      </c>
      <c r="AB750" s="8"/>
    </row>
    <row r="751" spans="1:28" s="4" customFormat="1" ht="51.95" customHeight="1">
      <c r="A751" s="5">
        <v>0</v>
      </c>
      <c r="B751" s="6" t="s">
        <v>4845</v>
      </c>
      <c r="C751" s="13">
        <v>1124</v>
      </c>
      <c r="D751" s="8" t="s">
        <v>4846</v>
      </c>
      <c r="E751" s="8" t="s">
        <v>4847</v>
      </c>
      <c r="F751" s="8" t="s">
        <v>4848</v>
      </c>
      <c r="G751" s="6" t="s">
        <v>89</v>
      </c>
      <c r="H751" s="6" t="s">
        <v>39</v>
      </c>
      <c r="I751" s="8" t="s">
        <v>100</v>
      </c>
      <c r="J751" s="9">
        <v>1</v>
      </c>
      <c r="K751" s="9">
        <v>238</v>
      </c>
      <c r="L751" s="9">
        <v>2024</v>
      </c>
      <c r="M751" s="8" t="s">
        <v>4849</v>
      </c>
      <c r="N751" s="8" t="s">
        <v>79</v>
      </c>
      <c r="O751" s="8" t="s">
        <v>396</v>
      </c>
      <c r="P751" s="6" t="s">
        <v>3424</v>
      </c>
      <c r="Q751" s="8" t="s">
        <v>102</v>
      </c>
      <c r="R751" s="10" t="s">
        <v>4850</v>
      </c>
      <c r="S751" s="11"/>
      <c r="T751" s="6"/>
      <c r="U751" s="24" t="str">
        <f>HYPERLINK("https://media.infra-m.ru/2145/2145762/cover/2145762.jpg", "Обложка")</f>
        <v>Обложка</v>
      </c>
      <c r="V751" s="24" t="str">
        <f>HYPERLINK("https://znanium.ru/catalog/product/1940919", "Ознакомиться")</f>
        <v>Ознакомиться</v>
      </c>
      <c r="W751" s="8" t="s">
        <v>71</v>
      </c>
      <c r="X751" s="6"/>
      <c r="Y751" s="6"/>
      <c r="Z751" s="6"/>
      <c r="AA751" s="6" t="s">
        <v>644</v>
      </c>
      <c r="AB751" s="8"/>
    </row>
    <row r="752" spans="1:28" s="4" customFormat="1" ht="51.95" customHeight="1">
      <c r="A752" s="5">
        <v>0</v>
      </c>
      <c r="B752" s="6" t="s">
        <v>4851</v>
      </c>
      <c r="C752" s="13">
        <v>1090</v>
      </c>
      <c r="D752" s="8" t="s">
        <v>4852</v>
      </c>
      <c r="E752" s="8" t="s">
        <v>4853</v>
      </c>
      <c r="F752" s="8" t="s">
        <v>4854</v>
      </c>
      <c r="G752" s="6" t="s">
        <v>89</v>
      </c>
      <c r="H752" s="6" t="s">
        <v>53</v>
      </c>
      <c r="I752" s="8" t="s">
        <v>4855</v>
      </c>
      <c r="J752" s="9">
        <v>1</v>
      </c>
      <c r="K752" s="9">
        <v>235</v>
      </c>
      <c r="L752" s="9">
        <v>2024</v>
      </c>
      <c r="M752" s="8" t="s">
        <v>4856</v>
      </c>
      <c r="N752" s="8" t="s">
        <v>79</v>
      </c>
      <c r="O752" s="8" t="s">
        <v>396</v>
      </c>
      <c r="P752" s="6" t="s">
        <v>43</v>
      </c>
      <c r="Q752" s="8" t="s">
        <v>44</v>
      </c>
      <c r="R752" s="10" t="s">
        <v>4857</v>
      </c>
      <c r="S752" s="11" t="s">
        <v>4858</v>
      </c>
      <c r="T752" s="6"/>
      <c r="U752" s="24" t="str">
        <f>HYPERLINK("https://media.infra-m.ru/2102/2102183/cover/2102183.jpg", "Обложка")</f>
        <v>Обложка</v>
      </c>
      <c r="V752" s="24" t="str">
        <f>HYPERLINK("https://znanium.ru/catalog/product/2102183", "Ознакомиться")</f>
        <v>Ознакомиться</v>
      </c>
      <c r="W752" s="8" t="s">
        <v>784</v>
      </c>
      <c r="X752" s="6"/>
      <c r="Y752" s="6"/>
      <c r="Z752" s="6"/>
      <c r="AA752" s="6" t="s">
        <v>47</v>
      </c>
      <c r="AB752" s="8"/>
    </row>
    <row r="753" spans="1:28" s="4" customFormat="1" ht="51.95" customHeight="1">
      <c r="A753" s="5">
        <v>0</v>
      </c>
      <c r="B753" s="6" t="s">
        <v>4859</v>
      </c>
      <c r="C753" s="7">
        <v>624.9</v>
      </c>
      <c r="D753" s="8" t="s">
        <v>4860</v>
      </c>
      <c r="E753" s="8" t="s">
        <v>4861</v>
      </c>
      <c r="F753" s="8" t="s">
        <v>4862</v>
      </c>
      <c r="G753" s="6" t="s">
        <v>38</v>
      </c>
      <c r="H753" s="6" t="s">
        <v>53</v>
      </c>
      <c r="I753" s="8" t="s">
        <v>2511</v>
      </c>
      <c r="J753" s="9">
        <v>1</v>
      </c>
      <c r="K753" s="9">
        <v>184</v>
      </c>
      <c r="L753" s="9">
        <v>2019</v>
      </c>
      <c r="M753" s="8" t="s">
        <v>4863</v>
      </c>
      <c r="N753" s="8" t="s">
        <v>79</v>
      </c>
      <c r="O753" s="8" t="s">
        <v>396</v>
      </c>
      <c r="P753" s="6" t="s">
        <v>1046</v>
      </c>
      <c r="Q753" s="8" t="s">
        <v>279</v>
      </c>
      <c r="R753" s="10" t="s">
        <v>4864</v>
      </c>
      <c r="S753" s="11"/>
      <c r="T753" s="6" t="s">
        <v>299</v>
      </c>
      <c r="U753" s="24" t="str">
        <f>HYPERLINK("https://media.infra-m.ru/1009/1009035/cover/1009035.jpg", "Обложка")</f>
        <v>Обложка</v>
      </c>
      <c r="V753" s="24" t="str">
        <f>HYPERLINK("https://znanium.ru/catalog/product/1851530", "Ознакомиться")</f>
        <v>Ознакомиться</v>
      </c>
      <c r="W753" s="8" t="s">
        <v>2672</v>
      </c>
      <c r="X753" s="6"/>
      <c r="Y753" s="6"/>
      <c r="Z753" s="6"/>
      <c r="AA753" s="6" t="s">
        <v>84</v>
      </c>
      <c r="AB753" s="8"/>
    </row>
    <row r="754" spans="1:28" s="4" customFormat="1" ht="51.95" customHeight="1">
      <c r="A754" s="5">
        <v>0</v>
      </c>
      <c r="B754" s="6" t="s">
        <v>4865</v>
      </c>
      <c r="C754" s="7">
        <v>980</v>
      </c>
      <c r="D754" s="8" t="s">
        <v>4866</v>
      </c>
      <c r="E754" s="8" t="s">
        <v>4867</v>
      </c>
      <c r="F754" s="8" t="s">
        <v>4868</v>
      </c>
      <c r="G754" s="6" t="s">
        <v>89</v>
      </c>
      <c r="H754" s="6" t="s">
        <v>53</v>
      </c>
      <c r="I754" s="8" t="s">
        <v>100</v>
      </c>
      <c r="J754" s="9">
        <v>1</v>
      </c>
      <c r="K754" s="9">
        <v>183</v>
      </c>
      <c r="L754" s="9">
        <v>2025</v>
      </c>
      <c r="M754" s="8" t="s">
        <v>4869</v>
      </c>
      <c r="N754" s="8" t="s">
        <v>79</v>
      </c>
      <c r="O754" s="8" t="s">
        <v>684</v>
      </c>
      <c r="P754" s="6" t="s">
        <v>43</v>
      </c>
      <c r="Q754" s="8" t="s">
        <v>102</v>
      </c>
      <c r="R754" s="10" t="s">
        <v>4870</v>
      </c>
      <c r="S754" s="11"/>
      <c r="T754" s="6"/>
      <c r="U754" s="24" t="str">
        <f>HYPERLINK("https://media.infra-m.ru/2166/2166233/cover/2166233.jpg", "Обложка")</f>
        <v>Обложка</v>
      </c>
      <c r="V754" s="24" t="str">
        <f>HYPERLINK("https://znanium.ru/catalog/product/2166233", "Ознакомиться")</f>
        <v>Ознакомиться</v>
      </c>
      <c r="W754" s="8" t="s">
        <v>4871</v>
      </c>
      <c r="X754" s="6"/>
      <c r="Y754" s="6"/>
      <c r="Z754" s="6"/>
      <c r="AA754" s="6" t="s">
        <v>133</v>
      </c>
      <c r="AB754" s="8"/>
    </row>
    <row r="755" spans="1:28" s="4" customFormat="1" ht="51.95" customHeight="1">
      <c r="A755" s="5">
        <v>0</v>
      </c>
      <c r="B755" s="6" t="s">
        <v>4872</v>
      </c>
      <c r="C755" s="13">
        <v>1090</v>
      </c>
      <c r="D755" s="8" t="s">
        <v>4873</v>
      </c>
      <c r="E755" s="8" t="s">
        <v>4874</v>
      </c>
      <c r="F755" s="8" t="s">
        <v>4875</v>
      </c>
      <c r="G755" s="6" t="s">
        <v>89</v>
      </c>
      <c r="H755" s="6" t="s">
        <v>53</v>
      </c>
      <c r="I755" s="8" t="s">
        <v>100</v>
      </c>
      <c r="J755" s="9">
        <v>1</v>
      </c>
      <c r="K755" s="9">
        <v>236</v>
      </c>
      <c r="L755" s="9">
        <v>2024</v>
      </c>
      <c r="M755" s="8" t="s">
        <v>4876</v>
      </c>
      <c r="N755" s="8" t="s">
        <v>997</v>
      </c>
      <c r="O755" s="8" t="s">
        <v>998</v>
      </c>
      <c r="P755" s="6" t="s">
        <v>175</v>
      </c>
      <c r="Q755" s="8" t="s">
        <v>102</v>
      </c>
      <c r="R755" s="10" t="s">
        <v>4877</v>
      </c>
      <c r="S755" s="11" t="s">
        <v>4878</v>
      </c>
      <c r="T755" s="6"/>
      <c r="U755" s="24" t="str">
        <f>HYPERLINK("https://media.infra-m.ru/2086/2086784/cover/2086784.jpg", "Обложка")</f>
        <v>Обложка</v>
      </c>
      <c r="V755" s="24" t="str">
        <f>HYPERLINK("https://znanium.ru/catalog/product/2086784", "Ознакомиться")</f>
        <v>Ознакомиться</v>
      </c>
      <c r="W755" s="8" t="s">
        <v>71</v>
      </c>
      <c r="X755" s="6"/>
      <c r="Y755" s="6"/>
      <c r="Z755" s="6"/>
      <c r="AA755" s="6" t="s">
        <v>258</v>
      </c>
      <c r="AB755" s="8"/>
    </row>
    <row r="756" spans="1:28" s="4" customFormat="1" ht="51.95" customHeight="1">
      <c r="A756" s="5">
        <v>0</v>
      </c>
      <c r="B756" s="6" t="s">
        <v>4879</v>
      </c>
      <c r="C756" s="13">
        <v>1184</v>
      </c>
      <c r="D756" s="8" t="s">
        <v>4880</v>
      </c>
      <c r="E756" s="8" t="s">
        <v>4881</v>
      </c>
      <c r="F756" s="8" t="s">
        <v>4882</v>
      </c>
      <c r="G756" s="6" t="s">
        <v>89</v>
      </c>
      <c r="H756" s="6" t="s">
        <v>53</v>
      </c>
      <c r="I756" s="8" t="s">
        <v>1223</v>
      </c>
      <c r="J756" s="9">
        <v>1</v>
      </c>
      <c r="K756" s="9">
        <v>228</v>
      </c>
      <c r="L756" s="9">
        <v>2025</v>
      </c>
      <c r="M756" s="8" t="s">
        <v>4883</v>
      </c>
      <c r="N756" s="8" t="s">
        <v>413</v>
      </c>
      <c r="O756" s="8" t="s">
        <v>2771</v>
      </c>
      <c r="P756" s="6" t="s">
        <v>43</v>
      </c>
      <c r="Q756" s="8" t="s">
        <v>44</v>
      </c>
      <c r="R756" s="10" t="s">
        <v>4884</v>
      </c>
      <c r="S756" s="11" t="s">
        <v>4885</v>
      </c>
      <c r="T756" s="6"/>
      <c r="U756" s="24" t="str">
        <f>HYPERLINK("https://media.infra-m.ru/2199/2199784/cover/2199784.jpg", "Обложка")</f>
        <v>Обложка</v>
      </c>
      <c r="V756" s="24" t="str">
        <f>HYPERLINK("https://znanium.ru/catalog/product/1906871", "Ознакомиться")</f>
        <v>Ознакомиться</v>
      </c>
      <c r="W756" s="8" t="s">
        <v>4886</v>
      </c>
      <c r="X756" s="6"/>
      <c r="Y756" s="6"/>
      <c r="Z756" s="6"/>
      <c r="AA756" s="6" t="s">
        <v>258</v>
      </c>
      <c r="AB756" s="8"/>
    </row>
    <row r="757" spans="1:28" s="4" customFormat="1" ht="42" customHeight="1">
      <c r="A757" s="5">
        <v>0</v>
      </c>
      <c r="B757" s="6" t="s">
        <v>4887</v>
      </c>
      <c r="C757" s="7">
        <v>980</v>
      </c>
      <c r="D757" s="8" t="s">
        <v>4888</v>
      </c>
      <c r="E757" s="8" t="s">
        <v>4889</v>
      </c>
      <c r="F757" s="8" t="s">
        <v>4882</v>
      </c>
      <c r="G757" s="6" t="s">
        <v>52</v>
      </c>
      <c r="H757" s="6" t="s">
        <v>53</v>
      </c>
      <c r="I757" s="8" t="s">
        <v>1054</v>
      </c>
      <c r="J757" s="9">
        <v>1</v>
      </c>
      <c r="K757" s="9">
        <v>200</v>
      </c>
      <c r="L757" s="9">
        <v>2023</v>
      </c>
      <c r="M757" s="8" t="s">
        <v>4890</v>
      </c>
      <c r="N757" s="8" t="s">
        <v>997</v>
      </c>
      <c r="O757" s="8" t="s">
        <v>998</v>
      </c>
      <c r="P757" s="6" t="s">
        <v>43</v>
      </c>
      <c r="Q757" s="8" t="s">
        <v>279</v>
      </c>
      <c r="R757" s="10" t="s">
        <v>2713</v>
      </c>
      <c r="S757" s="11"/>
      <c r="T757" s="6"/>
      <c r="U757" s="24" t="str">
        <f>HYPERLINK("https://media.infra-m.ru/1913/1913592/cover/1913592.jpg", "Обложка")</f>
        <v>Обложка</v>
      </c>
      <c r="V757" s="24" t="str">
        <f>HYPERLINK("https://znanium.ru/catalog/product/1913592", "Ознакомиться")</f>
        <v>Ознакомиться</v>
      </c>
      <c r="W757" s="8" t="s">
        <v>4886</v>
      </c>
      <c r="X757" s="6"/>
      <c r="Y757" s="6"/>
      <c r="Z757" s="6"/>
      <c r="AA757" s="6" t="s">
        <v>207</v>
      </c>
      <c r="AB757" s="8"/>
    </row>
    <row r="758" spans="1:28" s="4" customFormat="1" ht="51.95" customHeight="1">
      <c r="A758" s="5">
        <v>0</v>
      </c>
      <c r="B758" s="6" t="s">
        <v>4891</v>
      </c>
      <c r="C758" s="7">
        <v>920</v>
      </c>
      <c r="D758" s="8" t="s">
        <v>4892</v>
      </c>
      <c r="E758" s="8" t="s">
        <v>4893</v>
      </c>
      <c r="F758" s="8" t="s">
        <v>4894</v>
      </c>
      <c r="G758" s="6" t="s">
        <v>89</v>
      </c>
      <c r="H758" s="6" t="s">
        <v>53</v>
      </c>
      <c r="I758" s="8" t="s">
        <v>276</v>
      </c>
      <c r="J758" s="9">
        <v>1</v>
      </c>
      <c r="K758" s="9">
        <v>186</v>
      </c>
      <c r="L758" s="9">
        <v>2023</v>
      </c>
      <c r="M758" s="8" t="s">
        <v>4895</v>
      </c>
      <c r="N758" s="8" t="s">
        <v>79</v>
      </c>
      <c r="O758" s="8" t="s">
        <v>396</v>
      </c>
      <c r="P758" s="6" t="s">
        <v>43</v>
      </c>
      <c r="Q758" s="8" t="s">
        <v>279</v>
      </c>
      <c r="R758" s="10" t="s">
        <v>4896</v>
      </c>
      <c r="S758" s="11" t="s">
        <v>4897</v>
      </c>
      <c r="T758" s="6"/>
      <c r="U758" s="24" t="str">
        <f>HYPERLINK("https://media.infra-m.ru/2088/2088753/cover/2088753.jpg", "Обложка")</f>
        <v>Обложка</v>
      </c>
      <c r="V758" s="24" t="str">
        <f>HYPERLINK("https://znanium.ru/catalog/product/2088753", "Ознакомиться")</f>
        <v>Ознакомиться</v>
      </c>
      <c r="W758" s="8" t="s">
        <v>1144</v>
      </c>
      <c r="X758" s="6"/>
      <c r="Y758" s="6"/>
      <c r="Z758" s="6"/>
      <c r="AA758" s="6" t="s">
        <v>258</v>
      </c>
      <c r="AB758" s="8"/>
    </row>
    <row r="759" spans="1:28" s="4" customFormat="1" ht="51.95" customHeight="1">
      <c r="A759" s="5">
        <v>0</v>
      </c>
      <c r="B759" s="6" t="s">
        <v>4898</v>
      </c>
      <c r="C759" s="7">
        <v>799.9</v>
      </c>
      <c r="D759" s="8" t="s">
        <v>4899</v>
      </c>
      <c r="E759" s="8" t="s">
        <v>4900</v>
      </c>
      <c r="F759" s="8" t="s">
        <v>4901</v>
      </c>
      <c r="G759" s="6" t="s">
        <v>4902</v>
      </c>
      <c r="H759" s="6" t="s">
        <v>53</v>
      </c>
      <c r="I759" s="8" t="s">
        <v>90</v>
      </c>
      <c r="J759" s="9">
        <v>8</v>
      </c>
      <c r="K759" s="9">
        <v>491</v>
      </c>
      <c r="L759" s="9">
        <v>2015</v>
      </c>
      <c r="M759" s="8" t="s">
        <v>4903</v>
      </c>
      <c r="N759" s="8" t="s">
        <v>413</v>
      </c>
      <c r="O759" s="8" t="s">
        <v>1141</v>
      </c>
      <c r="P759" s="6" t="s">
        <v>43</v>
      </c>
      <c r="Q759" s="8" t="s">
        <v>44</v>
      </c>
      <c r="R759" s="10" t="s">
        <v>4904</v>
      </c>
      <c r="S759" s="11" t="s">
        <v>4905</v>
      </c>
      <c r="T759" s="6"/>
      <c r="U759" s="24" t="str">
        <f>HYPERLINK("https://media.infra-m.ru/0507/0507318/cover/507318.jpg", "Обложка")</f>
        <v>Обложка</v>
      </c>
      <c r="V759" s="24" t="str">
        <f>HYPERLINK("https://znanium.ru/catalog/product/507318", "Ознакомиться")</f>
        <v>Ознакомиться</v>
      </c>
      <c r="W759" s="8" t="s">
        <v>4343</v>
      </c>
      <c r="X759" s="6"/>
      <c r="Y759" s="6"/>
      <c r="Z759" s="6"/>
      <c r="AA759" s="6" t="s">
        <v>244</v>
      </c>
      <c r="AB759" s="8"/>
    </row>
    <row r="760" spans="1:28" s="4" customFormat="1" ht="42" customHeight="1">
      <c r="A760" s="5">
        <v>0</v>
      </c>
      <c r="B760" s="6" t="s">
        <v>4906</v>
      </c>
      <c r="C760" s="13">
        <v>2294</v>
      </c>
      <c r="D760" s="8" t="s">
        <v>4907</v>
      </c>
      <c r="E760" s="8" t="s">
        <v>4908</v>
      </c>
      <c r="F760" s="8" t="s">
        <v>4909</v>
      </c>
      <c r="G760" s="6" t="s">
        <v>52</v>
      </c>
      <c r="H760" s="6" t="s">
        <v>53</v>
      </c>
      <c r="I760" s="8" t="s">
        <v>90</v>
      </c>
      <c r="J760" s="9">
        <v>1</v>
      </c>
      <c r="K760" s="9">
        <v>539</v>
      </c>
      <c r="L760" s="9">
        <v>2025</v>
      </c>
      <c r="M760" s="8" t="s">
        <v>4910</v>
      </c>
      <c r="N760" s="8" t="s">
        <v>413</v>
      </c>
      <c r="O760" s="8" t="s">
        <v>1141</v>
      </c>
      <c r="P760" s="6" t="s">
        <v>43</v>
      </c>
      <c r="Q760" s="8" t="s">
        <v>44</v>
      </c>
      <c r="R760" s="10" t="s">
        <v>4911</v>
      </c>
      <c r="S760" s="11"/>
      <c r="T760" s="6"/>
      <c r="U760" s="24" t="str">
        <f>HYPERLINK("https://media.infra-m.ru/2181/2181433/cover/2181433.jpg", "Обложка")</f>
        <v>Обложка</v>
      </c>
      <c r="V760" s="24" t="str">
        <f>HYPERLINK("https://znanium.ru/catalog/product/2136802", "Ознакомиться")</f>
        <v>Ознакомиться</v>
      </c>
      <c r="W760" s="8" t="s">
        <v>189</v>
      </c>
      <c r="X760" s="6"/>
      <c r="Y760" s="6"/>
      <c r="Z760" s="6"/>
      <c r="AA760" s="6" t="s">
        <v>701</v>
      </c>
      <c r="AB760" s="8"/>
    </row>
    <row r="761" spans="1:28" s="4" customFormat="1" ht="51.95" customHeight="1">
      <c r="A761" s="5">
        <v>0</v>
      </c>
      <c r="B761" s="6" t="s">
        <v>4912</v>
      </c>
      <c r="C761" s="13">
        <v>1084.9000000000001</v>
      </c>
      <c r="D761" s="8" t="s">
        <v>4913</v>
      </c>
      <c r="E761" s="8" t="s">
        <v>4914</v>
      </c>
      <c r="F761" s="8" t="s">
        <v>4915</v>
      </c>
      <c r="G761" s="6" t="s">
        <v>52</v>
      </c>
      <c r="H761" s="6" t="s">
        <v>952</v>
      </c>
      <c r="I761" s="8" t="s">
        <v>1171</v>
      </c>
      <c r="J761" s="9">
        <v>1</v>
      </c>
      <c r="K761" s="9">
        <v>240</v>
      </c>
      <c r="L761" s="9">
        <v>2023</v>
      </c>
      <c r="M761" s="8" t="s">
        <v>4916</v>
      </c>
      <c r="N761" s="8" t="s">
        <v>413</v>
      </c>
      <c r="O761" s="8" t="s">
        <v>1141</v>
      </c>
      <c r="P761" s="6" t="s">
        <v>167</v>
      </c>
      <c r="Q761" s="8" t="s">
        <v>44</v>
      </c>
      <c r="R761" s="10" t="s">
        <v>4917</v>
      </c>
      <c r="S761" s="11" t="s">
        <v>4918</v>
      </c>
      <c r="T761" s="6"/>
      <c r="U761" s="24" t="str">
        <f>HYPERLINK("https://media.infra-m.ru/1981/1981624/cover/1981624.jpg", "Обложка")</f>
        <v>Обложка</v>
      </c>
      <c r="V761" s="24" t="str">
        <f>HYPERLINK("https://znanium.ru/catalog/product/960065", "Ознакомиться")</f>
        <v>Ознакомиться</v>
      </c>
      <c r="W761" s="8" t="s">
        <v>2463</v>
      </c>
      <c r="X761" s="6"/>
      <c r="Y761" s="6"/>
      <c r="Z761" s="6"/>
      <c r="AA761" s="6" t="s">
        <v>84</v>
      </c>
      <c r="AB761" s="8"/>
    </row>
    <row r="762" spans="1:28" s="4" customFormat="1" ht="44.1" customHeight="1">
      <c r="A762" s="5">
        <v>0</v>
      </c>
      <c r="B762" s="6" t="s">
        <v>4919</v>
      </c>
      <c r="C762" s="7">
        <v>730</v>
      </c>
      <c r="D762" s="8" t="s">
        <v>4920</v>
      </c>
      <c r="E762" s="8" t="s">
        <v>4921</v>
      </c>
      <c r="F762" s="8" t="s">
        <v>4922</v>
      </c>
      <c r="G762" s="6" t="s">
        <v>38</v>
      </c>
      <c r="H762" s="6" t="s">
        <v>77</v>
      </c>
      <c r="I762" s="8"/>
      <c r="J762" s="9">
        <v>1</v>
      </c>
      <c r="K762" s="9">
        <v>160</v>
      </c>
      <c r="L762" s="9">
        <v>2023</v>
      </c>
      <c r="M762" s="8" t="s">
        <v>4923</v>
      </c>
      <c r="N762" s="8" t="s">
        <v>413</v>
      </c>
      <c r="O762" s="8" t="s">
        <v>1141</v>
      </c>
      <c r="P762" s="6" t="s">
        <v>43</v>
      </c>
      <c r="Q762" s="8" t="s">
        <v>44</v>
      </c>
      <c r="R762" s="10" t="s">
        <v>4924</v>
      </c>
      <c r="S762" s="11"/>
      <c r="T762" s="6"/>
      <c r="U762" s="24" t="str">
        <f>HYPERLINK("https://media.infra-m.ru/1988/1988445/cover/1988445.jpg", "Обложка")</f>
        <v>Обложка</v>
      </c>
      <c r="V762" s="24" t="str">
        <f>HYPERLINK("https://znanium.ru/catalog/product/1988445", "Ознакомиться")</f>
        <v>Ознакомиться</v>
      </c>
      <c r="W762" s="8" t="s">
        <v>4925</v>
      </c>
      <c r="X762" s="6"/>
      <c r="Y762" s="6"/>
      <c r="Z762" s="6"/>
      <c r="AA762" s="6" t="s">
        <v>47</v>
      </c>
      <c r="AB762" s="8"/>
    </row>
    <row r="763" spans="1:28" s="4" customFormat="1" ht="51.95" customHeight="1">
      <c r="A763" s="5">
        <v>0</v>
      </c>
      <c r="B763" s="6" t="s">
        <v>4926</v>
      </c>
      <c r="C763" s="13">
        <v>2210</v>
      </c>
      <c r="D763" s="8" t="s">
        <v>4927</v>
      </c>
      <c r="E763" s="8" t="s">
        <v>4928</v>
      </c>
      <c r="F763" s="8" t="s">
        <v>4929</v>
      </c>
      <c r="G763" s="6" t="s">
        <v>52</v>
      </c>
      <c r="H763" s="6" t="s">
        <v>53</v>
      </c>
      <c r="I763" s="8" t="s">
        <v>116</v>
      </c>
      <c r="J763" s="9">
        <v>1</v>
      </c>
      <c r="K763" s="9">
        <v>479</v>
      </c>
      <c r="L763" s="9">
        <v>2024</v>
      </c>
      <c r="M763" s="8" t="s">
        <v>4930</v>
      </c>
      <c r="N763" s="8" t="s">
        <v>413</v>
      </c>
      <c r="O763" s="8" t="s">
        <v>1141</v>
      </c>
      <c r="P763" s="6" t="s">
        <v>167</v>
      </c>
      <c r="Q763" s="8" t="s">
        <v>44</v>
      </c>
      <c r="R763" s="10" t="s">
        <v>4931</v>
      </c>
      <c r="S763" s="11" t="s">
        <v>4932</v>
      </c>
      <c r="T763" s="6"/>
      <c r="U763" s="24" t="str">
        <f>HYPERLINK("https://media.infra-m.ru/2085/2085943/cover/2085943.jpg", "Обложка")</f>
        <v>Обложка</v>
      </c>
      <c r="V763" s="24" t="str">
        <f>HYPERLINK("https://znanium.ru/catalog/product/2085943", "Ознакомиться")</f>
        <v>Ознакомиться</v>
      </c>
      <c r="W763" s="8" t="s">
        <v>4274</v>
      </c>
      <c r="X763" s="6"/>
      <c r="Y763" s="6"/>
      <c r="Z763" s="6"/>
      <c r="AA763" s="6" t="s">
        <v>111</v>
      </c>
      <c r="AB763" s="8"/>
    </row>
    <row r="764" spans="1:28" s="4" customFormat="1" ht="51.95" customHeight="1">
      <c r="A764" s="5">
        <v>0</v>
      </c>
      <c r="B764" s="6" t="s">
        <v>4933</v>
      </c>
      <c r="C764" s="13">
        <v>2494</v>
      </c>
      <c r="D764" s="8" t="s">
        <v>4934</v>
      </c>
      <c r="E764" s="8" t="s">
        <v>4928</v>
      </c>
      <c r="F764" s="8" t="s">
        <v>4935</v>
      </c>
      <c r="G764" s="6" t="s">
        <v>52</v>
      </c>
      <c r="H764" s="6" t="s">
        <v>184</v>
      </c>
      <c r="I764" s="8" t="s">
        <v>185</v>
      </c>
      <c r="J764" s="9">
        <v>1</v>
      </c>
      <c r="K764" s="9">
        <v>752</v>
      </c>
      <c r="L764" s="9">
        <v>2025</v>
      </c>
      <c r="M764" s="8" t="s">
        <v>4936</v>
      </c>
      <c r="N764" s="8" t="s">
        <v>413</v>
      </c>
      <c r="O764" s="8" t="s">
        <v>1141</v>
      </c>
      <c r="P764" s="6" t="s">
        <v>167</v>
      </c>
      <c r="Q764" s="8" t="s">
        <v>44</v>
      </c>
      <c r="R764" s="10" t="s">
        <v>4931</v>
      </c>
      <c r="S764" s="11" t="s">
        <v>4937</v>
      </c>
      <c r="T764" s="6"/>
      <c r="U764" s="24" t="str">
        <f>HYPERLINK("https://media.infra-m.ru/2192/2192164/cover/2192164.jpg", "Обложка")</f>
        <v>Обложка</v>
      </c>
      <c r="V764" s="24" t="str">
        <f>HYPERLINK("https://znanium.ru/catalog/product/1056564", "Ознакомиться")</f>
        <v>Ознакомиться</v>
      </c>
      <c r="W764" s="8"/>
      <c r="X764" s="6"/>
      <c r="Y764" s="6"/>
      <c r="Z764" s="6"/>
      <c r="AA764" s="6" t="s">
        <v>122</v>
      </c>
      <c r="AB764" s="8"/>
    </row>
    <row r="765" spans="1:28" s="4" customFormat="1" ht="51.95" customHeight="1">
      <c r="A765" s="5">
        <v>0</v>
      </c>
      <c r="B765" s="6" t="s">
        <v>4938</v>
      </c>
      <c r="C765" s="13">
        <v>1670</v>
      </c>
      <c r="D765" s="8" t="s">
        <v>4939</v>
      </c>
      <c r="E765" s="8" t="s">
        <v>4940</v>
      </c>
      <c r="F765" s="8" t="s">
        <v>4941</v>
      </c>
      <c r="G765" s="6" t="s">
        <v>89</v>
      </c>
      <c r="H765" s="6" t="s">
        <v>66</v>
      </c>
      <c r="I765" s="8" t="s">
        <v>116</v>
      </c>
      <c r="J765" s="9">
        <v>1</v>
      </c>
      <c r="K765" s="9">
        <v>365</v>
      </c>
      <c r="L765" s="9">
        <v>2023</v>
      </c>
      <c r="M765" s="8" t="s">
        <v>4942</v>
      </c>
      <c r="N765" s="8" t="s">
        <v>413</v>
      </c>
      <c r="O765" s="8" t="s">
        <v>1141</v>
      </c>
      <c r="P765" s="6" t="s">
        <v>43</v>
      </c>
      <c r="Q765" s="8" t="s">
        <v>44</v>
      </c>
      <c r="R765" s="10" t="s">
        <v>375</v>
      </c>
      <c r="S765" s="11" t="s">
        <v>4943</v>
      </c>
      <c r="T765" s="6"/>
      <c r="U765" s="24" t="str">
        <f>HYPERLINK("https://media.infra-m.ru/1988/1988446/cover/1988446.jpg", "Обложка")</f>
        <v>Обложка</v>
      </c>
      <c r="V765" s="12"/>
      <c r="W765" s="8" t="s">
        <v>1345</v>
      </c>
      <c r="X765" s="6"/>
      <c r="Y765" s="6"/>
      <c r="Z765" s="6"/>
      <c r="AA765" s="6" t="s">
        <v>4944</v>
      </c>
      <c r="AB765" s="8"/>
    </row>
    <row r="766" spans="1:28" s="4" customFormat="1" ht="51.95" customHeight="1">
      <c r="A766" s="5">
        <v>0</v>
      </c>
      <c r="B766" s="6" t="s">
        <v>4945</v>
      </c>
      <c r="C766" s="13">
        <v>2294</v>
      </c>
      <c r="D766" s="8" t="s">
        <v>4946</v>
      </c>
      <c r="E766" s="8" t="s">
        <v>4947</v>
      </c>
      <c r="F766" s="8" t="s">
        <v>4948</v>
      </c>
      <c r="G766" s="6" t="s">
        <v>52</v>
      </c>
      <c r="H766" s="6" t="s">
        <v>39</v>
      </c>
      <c r="I766" s="8" t="s">
        <v>185</v>
      </c>
      <c r="J766" s="9">
        <v>1</v>
      </c>
      <c r="K766" s="9">
        <v>445</v>
      </c>
      <c r="L766" s="9">
        <v>2025</v>
      </c>
      <c r="M766" s="8" t="s">
        <v>4949</v>
      </c>
      <c r="N766" s="8" t="s">
        <v>79</v>
      </c>
      <c r="O766" s="8" t="s">
        <v>80</v>
      </c>
      <c r="P766" s="6" t="s">
        <v>43</v>
      </c>
      <c r="Q766" s="8" t="s">
        <v>102</v>
      </c>
      <c r="R766" s="10" t="s">
        <v>4950</v>
      </c>
      <c r="S766" s="11" t="s">
        <v>4951</v>
      </c>
      <c r="T766" s="6"/>
      <c r="U766" s="24" t="str">
        <f>HYPERLINK("https://media.infra-m.ru/2193/2193007/cover/2193007.jpg", "Обложка")</f>
        <v>Обложка</v>
      </c>
      <c r="V766" s="24" t="str">
        <f>HYPERLINK("https://znanium.ru/catalog/product/1703191", "Ознакомиться")</f>
        <v>Ознакомиться</v>
      </c>
      <c r="W766" s="8" t="s">
        <v>243</v>
      </c>
      <c r="X766" s="6"/>
      <c r="Y766" s="6"/>
      <c r="Z766" s="6"/>
      <c r="AA766" s="6" t="s">
        <v>4952</v>
      </c>
      <c r="AB766" s="8"/>
    </row>
    <row r="767" spans="1:28" s="4" customFormat="1" ht="51.95" customHeight="1">
      <c r="A767" s="5">
        <v>0</v>
      </c>
      <c r="B767" s="6" t="s">
        <v>4953</v>
      </c>
      <c r="C767" s="13">
        <v>1890</v>
      </c>
      <c r="D767" s="8" t="s">
        <v>4954</v>
      </c>
      <c r="E767" s="8" t="s">
        <v>4955</v>
      </c>
      <c r="F767" s="8" t="s">
        <v>4956</v>
      </c>
      <c r="G767" s="6" t="s">
        <v>89</v>
      </c>
      <c r="H767" s="6" t="s">
        <v>53</v>
      </c>
      <c r="I767" s="8" t="s">
        <v>116</v>
      </c>
      <c r="J767" s="9">
        <v>1</v>
      </c>
      <c r="K767" s="9">
        <v>395</v>
      </c>
      <c r="L767" s="9">
        <v>2024</v>
      </c>
      <c r="M767" s="8" t="s">
        <v>4957</v>
      </c>
      <c r="N767" s="8" t="s">
        <v>413</v>
      </c>
      <c r="O767" s="8" t="s">
        <v>1141</v>
      </c>
      <c r="P767" s="6" t="s">
        <v>43</v>
      </c>
      <c r="Q767" s="8" t="s">
        <v>44</v>
      </c>
      <c r="R767" s="10" t="s">
        <v>4958</v>
      </c>
      <c r="S767" s="11" t="s">
        <v>4959</v>
      </c>
      <c r="T767" s="6"/>
      <c r="U767" s="24" t="str">
        <f>HYPERLINK("https://media.infra-m.ru/2083/2083837/cover/2083837.jpg", "Обложка")</f>
        <v>Обложка</v>
      </c>
      <c r="V767" s="24" t="str">
        <f>HYPERLINK("https://znanium.ru/catalog/product/2083837", "Ознакомиться")</f>
        <v>Ознакомиться</v>
      </c>
      <c r="W767" s="8" t="s">
        <v>1158</v>
      </c>
      <c r="X767" s="6"/>
      <c r="Y767" s="6"/>
      <c r="Z767" s="6"/>
      <c r="AA767" s="6" t="s">
        <v>219</v>
      </c>
      <c r="AB767" s="8" t="s">
        <v>1383</v>
      </c>
    </row>
    <row r="768" spans="1:28" s="4" customFormat="1" ht="51.95" customHeight="1">
      <c r="A768" s="5">
        <v>0</v>
      </c>
      <c r="B768" s="6" t="s">
        <v>4960</v>
      </c>
      <c r="C768" s="13">
        <v>1330</v>
      </c>
      <c r="D768" s="8" t="s">
        <v>4961</v>
      </c>
      <c r="E768" s="8" t="s">
        <v>4962</v>
      </c>
      <c r="F768" s="8" t="s">
        <v>4963</v>
      </c>
      <c r="G768" s="6" t="s">
        <v>89</v>
      </c>
      <c r="H768" s="6" t="s">
        <v>674</v>
      </c>
      <c r="I768" s="8"/>
      <c r="J768" s="9">
        <v>1</v>
      </c>
      <c r="K768" s="9">
        <v>288</v>
      </c>
      <c r="L768" s="9">
        <v>2024</v>
      </c>
      <c r="M768" s="8" t="s">
        <v>4964</v>
      </c>
      <c r="N768" s="8" t="s">
        <v>41</v>
      </c>
      <c r="O768" s="8" t="s">
        <v>676</v>
      </c>
      <c r="P768" s="6" t="s">
        <v>167</v>
      </c>
      <c r="Q768" s="8" t="s">
        <v>44</v>
      </c>
      <c r="R768" s="10" t="s">
        <v>677</v>
      </c>
      <c r="S768" s="11" t="s">
        <v>4965</v>
      </c>
      <c r="T768" s="6"/>
      <c r="U768" s="24" t="str">
        <f>HYPERLINK("https://media.infra-m.ru/2120/2120740/cover/2120740.jpg", "Обложка")</f>
        <v>Обложка</v>
      </c>
      <c r="V768" s="24" t="str">
        <f>HYPERLINK("https://znanium.ru/catalog/product/2120740", "Ознакомиться")</f>
        <v>Ознакомиться</v>
      </c>
      <c r="W768" s="8" t="s">
        <v>792</v>
      </c>
      <c r="X768" s="6"/>
      <c r="Y768" s="6"/>
      <c r="Z768" s="6"/>
      <c r="AA768" s="6" t="s">
        <v>84</v>
      </c>
      <c r="AB768" s="8"/>
    </row>
    <row r="769" spans="1:28" s="4" customFormat="1" ht="51.95" customHeight="1">
      <c r="A769" s="5">
        <v>0</v>
      </c>
      <c r="B769" s="6" t="s">
        <v>4966</v>
      </c>
      <c r="C769" s="13">
        <v>1410</v>
      </c>
      <c r="D769" s="8" t="s">
        <v>4967</v>
      </c>
      <c r="E769" s="8" t="s">
        <v>4968</v>
      </c>
      <c r="F769" s="8" t="s">
        <v>4969</v>
      </c>
      <c r="G769" s="6" t="s">
        <v>89</v>
      </c>
      <c r="H769" s="6" t="s">
        <v>53</v>
      </c>
      <c r="I769" s="8" t="s">
        <v>100</v>
      </c>
      <c r="J769" s="9">
        <v>1</v>
      </c>
      <c r="K769" s="9">
        <v>392</v>
      </c>
      <c r="L769" s="9">
        <v>2021</v>
      </c>
      <c r="M769" s="8" t="s">
        <v>4970</v>
      </c>
      <c r="N769" s="8" t="s">
        <v>79</v>
      </c>
      <c r="O769" s="8" t="s">
        <v>424</v>
      </c>
      <c r="P769" s="6" t="s">
        <v>167</v>
      </c>
      <c r="Q769" s="8" t="s">
        <v>102</v>
      </c>
      <c r="R769" s="10" t="s">
        <v>4971</v>
      </c>
      <c r="S769" s="11" t="s">
        <v>4972</v>
      </c>
      <c r="T769" s="6"/>
      <c r="U769" s="24" t="str">
        <f>HYPERLINK("https://media.infra-m.ru/1232/1232422/cover/1232422.jpg", "Обложка")</f>
        <v>Обложка</v>
      </c>
      <c r="V769" s="24" t="str">
        <f>HYPERLINK("https://znanium.ru/catalog/product/2178262", "Ознакомиться")</f>
        <v>Ознакомиться</v>
      </c>
      <c r="W769" s="8" t="s">
        <v>478</v>
      </c>
      <c r="X769" s="6"/>
      <c r="Y769" s="6"/>
      <c r="Z769" s="6"/>
      <c r="AA769" s="6" t="s">
        <v>3065</v>
      </c>
      <c r="AB769" s="8"/>
    </row>
    <row r="770" spans="1:28" s="4" customFormat="1" ht="51.95" customHeight="1">
      <c r="A770" s="5">
        <v>0</v>
      </c>
      <c r="B770" s="6" t="s">
        <v>4973</v>
      </c>
      <c r="C770" s="13">
        <v>1964</v>
      </c>
      <c r="D770" s="8" t="s">
        <v>4974</v>
      </c>
      <c r="E770" s="8" t="s">
        <v>4975</v>
      </c>
      <c r="F770" s="8" t="s">
        <v>4976</v>
      </c>
      <c r="G770" s="6" t="s">
        <v>89</v>
      </c>
      <c r="H770" s="6" t="s">
        <v>53</v>
      </c>
      <c r="I770" s="8" t="s">
        <v>100</v>
      </c>
      <c r="J770" s="9">
        <v>1</v>
      </c>
      <c r="K770" s="9">
        <v>392</v>
      </c>
      <c r="L770" s="9">
        <v>2025</v>
      </c>
      <c r="M770" s="8" t="s">
        <v>4977</v>
      </c>
      <c r="N770" s="8" t="s">
        <v>79</v>
      </c>
      <c r="O770" s="8" t="s">
        <v>424</v>
      </c>
      <c r="P770" s="6" t="s">
        <v>167</v>
      </c>
      <c r="Q770" s="8" t="s">
        <v>102</v>
      </c>
      <c r="R770" s="10" t="s">
        <v>4971</v>
      </c>
      <c r="S770" s="11" t="s">
        <v>4978</v>
      </c>
      <c r="T770" s="6"/>
      <c r="U770" s="24" t="str">
        <f>HYPERLINK("https://media.infra-m.ru/2179/2179457/cover/2179457.jpg", "Обложка")</f>
        <v>Обложка</v>
      </c>
      <c r="V770" s="24" t="str">
        <f>HYPERLINK("https://znanium.ru/catalog/product/2178262", "Ознакомиться")</f>
        <v>Ознакомиться</v>
      </c>
      <c r="W770" s="8" t="s">
        <v>478</v>
      </c>
      <c r="X770" s="6"/>
      <c r="Y770" s="6"/>
      <c r="Z770" s="6"/>
      <c r="AA770" s="6" t="s">
        <v>1374</v>
      </c>
      <c r="AB770" s="8"/>
    </row>
    <row r="771" spans="1:28" s="4" customFormat="1" ht="42" customHeight="1">
      <c r="A771" s="5">
        <v>0</v>
      </c>
      <c r="B771" s="6" t="s">
        <v>4979</v>
      </c>
      <c r="C771" s="7">
        <v>634.9</v>
      </c>
      <c r="D771" s="8" t="s">
        <v>4980</v>
      </c>
      <c r="E771" s="8" t="s">
        <v>4981</v>
      </c>
      <c r="F771" s="8" t="s">
        <v>4982</v>
      </c>
      <c r="G771" s="6" t="s">
        <v>38</v>
      </c>
      <c r="H771" s="6" t="s">
        <v>184</v>
      </c>
      <c r="I771" s="8" t="s">
        <v>2511</v>
      </c>
      <c r="J771" s="9">
        <v>1</v>
      </c>
      <c r="K771" s="9">
        <v>186</v>
      </c>
      <c r="L771" s="9">
        <v>2019</v>
      </c>
      <c r="M771" s="8" t="s">
        <v>4983</v>
      </c>
      <c r="N771" s="8" t="s">
        <v>79</v>
      </c>
      <c r="O771" s="8" t="s">
        <v>684</v>
      </c>
      <c r="P771" s="6" t="s">
        <v>1046</v>
      </c>
      <c r="Q771" s="8" t="s">
        <v>44</v>
      </c>
      <c r="R771" s="10" t="s">
        <v>4984</v>
      </c>
      <c r="S771" s="11"/>
      <c r="T771" s="6"/>
      <c r="U771" s="24" t="str">
        <f>HYPERLINK("https://media.infra-m.ru/1009/1009759/cover/1009759.jpg", "Обложка")</f>
        <v>Обложка</v>
      </c>
      <c r="V771" s="24" t="str">
        <f>HYPERLINK("https://znanium.ru/catalog/product/1228785", "Ознакомиться")</f>
        <v>Ознакомиться</v>
      </c>
      <c r="W771" s="8" t="s">
        <v>4985</v>
      </c>
      <c r="X771" s="6"/>
      <c r="Y771" s="6"/>
      <c r="Z771" s="6"/>
      <c r="AA771" s="6" t="s">
        <v>84</v>
      </c>
      <c r="AB771" s="8"/>
    </row>
    <row r="772" spans="1:28" s="4" customFormat="1" ht="51.95" customHeight="1">
      <c r="A772" s="5">
        <v>0</v>
      </c>
      <c r="B772" s="6" t="s">
        <v>4986</v>
      </c>
      <c r="C772" s="13">
        <v>1324</v>
      </c>
      <c r="D772" s="8" t="s">
        <v>4987</v>
      </c>
      <c r="E772" s="8" t="s">
        <v>4988</v>
      </c>
      <c r="F772" s="8" t="s">
        <v>4989</v>
      </c>
      <c r="G772" s="6" t="s">
        <v>89</v>
      </c>
      <c r="H772" s="6" t="s">
        <v>77</v>
      </c>
      <c r="I772" s="8" t="s">
        <v>77</v>
      </c>
      <c r="J772" s="9">
        <v>1</v>
      </c>
      <c r="K772" s="9">
        <v>264</v>
      </c>
      <c r="L772" s="9">
        <v>2025</v>
      </c>
      <c r="M772" s="8" t="s">
        <v>4990</v>
      </c>
      <c r="N772" s="8" t="s">
        <v>56</v>
      </c>
      <c r="O772" s="8" t="s">
        <v>741</v>
      </c>
      <c r="P772" s="6" t="s">
        <v>167</v>
      </c>
      <c r="Q772" s="8" t="s">
        <v>44</v>
      </c>
      <c r="R772" s="10" t="s">
        <v>4991</v>
      </c>
      <c r="S772" s="11"/>
      <c r="T772" s="6"/>
      <c r="U772" s="24" t="str">
        <f>HYPERLINK("https://media.infra-m.ru/2184/2184151/cover/2184151.jpg", "Обложка")</f>
        <v>Обложка</v>
      </c>
      <c r="V772" s="24" t="str">
        <f>HYPERLINK("https://znanium.ru/catalog/product/1903882", "Ознакомиться")</f>
        <v>Ознакомиться</v>
      </c>
      <c r="W772" s="8" t="s">
        <v>1505</v>
      </c>
      <c r="X772" s="6"/>
      <c r="Y772" s="6"/>
      <c r="Z772" s="6"/>
      <c r="AA772" s="6" t="s">
        <v>47</v>
      </c>
      <c r="AB772" s="8"/>
    </row>
    <row r="773" spans="1:28" s="4" customFormat="1" ht="51.95" customHeight="1">
      <c r="A773" s="5">
        <v>0</v>
      </c>
      <c r="B773" s="6" t="s">
        <v>4992</v>
      </c>
      <c r="C773" s="13">
        <v>1430</v>
      </c>
      <c r="D773" s="8" t="s">
        <v>4993</v>
      </c>
      <c r="E773" s="8" t="s">
        <v>4994</v>
      </c>
      <c r="F773" s="8" t="s">
        <v>4995</v>
      </c>
      <c r="G773" s="6" t="s">
        <v>89</v>
      </c>
      <c r="H773" s="6" t="s">
        <v>53</v>
      </c>
      <c r="I773" s="8" t="s">
        <v>116</v>
      </c>
      <c r="J773" s="9">
        <v>1</v>
      </c>
      <c r="K773" s="9">
        <v>309</v>
      </c>
      <c r="L773" s="9">
        <v>2023</v>
      </c>
      <c r="M773" s="8" t="s">
        <v>4996</v>
      </c>
      <c r="N773" s="8" t="s">
        <v>56</v>
      </c>
      <c r="O773" s="8" t="s">
        <v>741</v>
      </c>
      <c r="P773" s="6" t="s">
        <v>43</v>
      </c>
      <c r="Q773" s="8" t="s">
        <v>44</v>
      </c>
      <c r="R773" s="10" t="s">
        <v>4997</v>
      </c>
      <c r="S773" s="11" t="s">
        <v>4998</v>
      </c>
      <c r="T773" s="6"/>
      <c r="U773" s="24" t="str">
        <f>HYPERLINK("https://media.infra-m.ru/2122/2122431/cover/2122431.jpg", "Обложка")</f>
        <v>Обложка</v>
      </c>
      <c r="V773" s="24" t="str">
        <f>HYPERLINK("https://znanium.ru/catalog/product/2117637", "Ознакомиться")</f>
        <v>Ознакомиться</v>
      </c>
      <c r="W773" s="8" t="s">
        <v>3426</v>
      </c>
      <c r="X773" s="6"/>
      <c r="Y773" s="6"/>
      <c r="Z773" s="6"/>
      <c r="AA773" s="6" t="s">
        <v>219</v>
      </c>
      <c r="AB773" s="8"/>
    </row>
    <row r="774" spans="1:28" s="4" customFormat="1" ht="51.95" customHeight="1">
      <c r="A774" s="5">
        <v>0</v>
      </c>
      <c r="B774" s="6" t="s">
        <v>4999</v>
      </c>
      <c r="C774" s="13">
        <v>1730</v>
      </c>
      <c r="D774" s="8" t="s">
        <v>5000</v>
      </c>
      <c r="E774" s="8" t="s">
        <v>5001</v>
      </c>
      <c r="F774" s="8" t="s">
        <v>5002</v>
      </c>
      <c r="G774" s="6" t="s">
        <v>52</v>
      </c>
      <c r="H774" s="6" t="s">
        <v>53</v>
      </c>
      <c r="I774" s="8" t="s">
        <v>116</v>
      </c>
      <c r="J774" s="9">
        <v>1</v>
      </c>
      <c r="K774" s="9">
        <v>366</v>
      </c>
      <c r="L774" s="9">
        <v>2024</v>
      </c>
      <c r="M774" s="8" t="s">
        <v>5003</v>
      </c>
      <c r="N774" s="8" t="s">
        <v>41</v>
      </c>
      <c r="O774" s="8" t="s">
        <v>1204</v>
      </c>
      <c r="P774" s="6" t="s">
        <v>167</v>
      </c>
      <c r="Q774" s="8" t="s">
        <v>58</v>
      </c>
      <c r="R774" s="10" t="s">
        <v>5004</v>
      </c>
      <c r="S774" s="11"/>
      <c r="T774" s="6"/>
      <c r="U774" s="24" t="str">
        <f>HYPERLINK("https://media.infra-m.ru/2133/2133667/cover/2133667.jpg", "Обложка")</f>
        <v>Обложка</v>
      </c>
      <c r="V774" s="24" t="str">
        <f>HYPERLINK("https://znanium.ru/catalog/product/2133667", "Ознакомиться")</f>
        <v>Ознакомиться</v>
      </c>
      <c r="W774" s="8" t="s">
        <v>2938</v>
      </c>
      <c r="X774" s="6" t="s">
        <v>3761</v>
      </c>
      <c r="Y774" s="6"/>
      <c r="Z774" s="6"/>
      <c r="AA774" s="6" t="s">
        <v>133</v>
      </c>
      <c r="AB774" s="8"/>
    </row>
    <row r="775" spans="1:28" s="4" customFormat="1" ht="51.95" customHeight="1">
      <c r="A775" s="5">
        <v>0</v>
      </c>
      <c r="B775" s="6" t="s">
        <v>5005</v>
      </c>
      <c r="C775" s="13">
        <v>1144</v>
      </c>
      <c r="D775" s="8" t="s">
        <v>5006</v>
      </c>
      <c r="E775" s="8" t="s">
        <v>5007</v>
      </c>
      <c r="F775" s="8" t="s">
        <v>5008</v>
      </c>
      <c r="G775" s="6" t="s">
        <v>89</v>
      </c>
      <c r="H775" s="6" t="s">
        <v>674</v>
      </c>
      <c r="I775" s="8"/>
      <c r="J775" s="9">
        <v>1</v>
      </c>
      <c r="K775" s="9">
        <v>220</v>
      </c>
      <c r="L775" s="9">
        <v>2025</v>
      </c>
      <c r="M775" s="8" t="s">
        <v>5009</v>
      </c>
      <c r="N775" s="8" t="s">
        <v>41</v>
      </c>
      <c r="O775" s="8" t="s">
        <v>676</v>
      </c>
      <c r="P775" s="6" t="s">
        <v>43</v>
      </c>
      <c r="Q775" s="8" t="s">
        <v>279</v>
      </c>
      <c r="R775" s="10" t="s">
        <v>5010</v>
      </c>
      <c r="S775" s="11"/>
      <c r="T775" s="6"/>
      <c r="U775" s="24" t="str">
        <f>HYPERLINK("https://media.infra-m.ru/2184/2184942/cover/2184942.jpg", "Обложка")</f>
        <v>Обложка</v>
      </c>
      <c r="V775" s="24" t="str">
        <f>HYPERLINK("https://znanium.ru/catalog/product/1855483", "Ознакомиться")</f>
        <v>Ознакомиться</v>
      </c>
      <c r="W775" s="8" t="s">
        <v>792</v>
      </c>
      <c r="X775" s="6"/>
      <c r="Y775" s="6"/>
      <c r="Z775" s="6"/>
      <c r="AA775" s="6" t="s">
        <v>5011</v>
      </c>
      <c r="AB775" s="8"/>
    </row>
    <row r="776" spans="1:28" s="4" customFormat="1" ht="51.95" customHeight="1">
      <c r="A776" s="5">
        <v>0</v>
      </c>
      <c r="B776" s="6" t="s">
        <v>5012</v>
      </c>
      <c r="C776" s="13">
        <v>1780</v>
      </c>
      <c r="D776" s="8" t="s">
        <v>5013</v>
      </c>
      <c r="E776" s="8" t="s">
        <v>5014</v>
      </c>
      <c r="F776" s="8" t="s">
        <v>5015</v>
      </c>
      <c r="G776" s="6" t="s">
        <v>89</v>
      </c>
      <c r="H776" s="6" t="s">
        <v>53</v>
      </c>
      <c r="I776" s="8" t="s">
        <v>116</v>
      </c>
      <c r="J776" s="9">
        <v>1</v>
      </c>
      <c r="K776" s="9">
        <v>356</v>
      </c>
      <c r="L776" s="9">
        <v>2025</v>
      </c>
      <c r="M776" s="8" t="s">
        <v>5016</v>
      </c>
      <c r="N776" s="8" t="s">
        <v>413</v>
      </c>
      <c r="O776" s="8" t="s">
        <v>414</v>
      </c>
      <c r="P776" s="6" t="s">
        <v>43</v>
      </c>
      <c r="Q776" s="8" t="s">
        <v>279</v>
      </c>
      <c r="R776" s="10" t="s">
        <v>5017</v>
      </c>
      <c r="S776" s="11" t="s">
        <v>5018</v>
      </c>
      <c r="T776" s="6"/>
      <c r="U776" s="24" t="str">
        <f>HYPERLINK("https://media.infra-m.ru/2170/2170391/cover/2170391.jpg", "Обложка")</f>
        <v>Обложка</v>
      </c>
      <c r="V776" s="24" t="str">
        <f>HYPERLINK("https://znanium.ru/catalog/product/2170391", "Ознакомиться")</f>
        <v>Ознакомиться</v>
      </c>
      <c r="W776" s="8" t="s">
        <v>5019</v>
      </c>
      <c r="X776" s="6"/>
      <c r="Y776" s="6"/>
      <c r="Z776" s="6"/>
      <c r="AA776" s="6" t="s">
        <v>160</v>
      </c>
      <c r="AB776" s="8"/>
    </row>
    <row r="777" spans="1:28" s="4" customFormat="1" ht="51.95" customHeight="1">
      <c r="A777" s="5">
        <v>0</v>
      </c>
      <c r="B777" s="6" t="s">
        <v>5020</v>
      </c>
      <c r="C777" s="7">
        <v>590</v>
      </c>
      <c r="D777" s="8" t="s">
        <v>5021</v>
      </c>
      <c r="E777" s="8" t="s">
        <v>5022</v>
      </c>
      <c r="F777" s="8" t="s">
        <v>5023</v>
      </c>
      <c r="G777" s="6" t="s">
        <v>38</v>
      </c>
      <c r="H777" s="6" t="s">
        <v>674</v>
      </c>
      <c r="I777" s="8"/>
      <c r="J777" s="9">
        <v>1</v>
      </c>
      <c r="K777" s="9">
        <v>128</v>
      </c>
      <c r="L777" s="9">
        <v>2024</v>
      </c>
      <c r="M777" s="8" t="s">
        <v>5024</v>
      </c>
      <c r="N777" s="8" t="s">
        <v>41</v>
      </c>
      <c r="O777" s="8" t="s">
        <v>676</v>
      </c>
      <c r="P777" s="6" t="s">
        <v>43</v>
      </c>
      <c r="Q777" s="8" t="s">
        <v>58</v>
      </c>
      <c r="R777" s="10" t="s">
        <v>5025</v>
      </c>
      <c r="S777" s="11"/>
      <c r="T777" s="6"/>
      <c r="U777" s="24" t="str">
        <f>HYPERLINK("https://media.infra-m.ru/2135/2135872/cover/2135872.jpg", "Обложка")</f>
        <v>Обложка</v>
      </c>
      <c r="V777" s="24" t="str">
        <f>HYPERLINK("https://znanium.ru/catalog/product/2135872", "Ознакомиться")</f>
        <v>Ознакомиться</v>
      </c>
      <c r="W777" s="8" t="s">
        <v>5026</v>
      </c>
      <c r="X777" s="6"/>
      <c r="Y777" s="6"/>
      <c r="Z777" s="6"/>
      <c r="AA777" s="6" t="s">
        <v>111</v>
      </c>
      <c r="AB777" s="8"/>
    </row>
    <row r="778" spans="1:28" s="4" customFormat="1" ht="51.95" customHeight="1">
      <c r="A778" s="5">
        <v>0</v>
      </c>
      <c r="B778" s="6" t="s">
        <v>5027</v>
      </c>
      <c r="C778" s="7">
        <v>834</v>
      </c>
      <c r="D778" s="8" t="s">
        <v>5028</v>
      </c>
      <c r="E778" s="8" t="s">
        <v>5029</v>
      </c>
      <c r="F778" s="8" t="s">
        <v>5030</v>
      </c>
      <c r="G778" s="6" t="s">
        <v>89</v>
      </c>
      <c r="H778" s="6" t="s">
        <v>53</v>
      </c>
      <c r="I778" s="8" t="s">
        <v>90</v>
      </c>
      <c r="J778" s="9">
        <v>1</v>
      </c>
      <c r="K778" s="9">
        <v>177</v>
      </c>
      <c r="L778" s="9">
        <v>2024</v>
      </c>
      <c r="M778" s="8" t="s">
        <v>5031</v>
      </c>
      <c r="N778" s="8" t="s">
        <v>413</v>
      </c>
      <c r="O778" s="8" t="s">
        <v>414</v>
      </c>
      <c r="P778" s="6" t="s">
        <v>43</v>
      </c>
      <c r="Q778" s="8" t="s">
        <v>44</v>
      </c>
      <c r="R778" s="10" t="s">
        <v>5032</v>
      </c>
      <c r="S778" s="11" t="s">
        <v>5033</v>
      </c>
      <c r="T778" s="6"/>
      <c r="U778" s="24" t="str">
        <f>HYPERLINK("https://media.infra-m.ru/2023/2023104/cover/2023104.jpg", "Обложка")</f>
        <v>Обложка</v>
      </c>
      <c r="V778" s="24" t="str">
        <f>HYPERLINK("https://znanium.ru/catalog/product/1850620", "Ознакомиться")</f>
        <v>Ознакомиться</v>
      </c>
      <c r="W778" s="8" t="s">
        <v>1689</v>
      </c>
      <c r="X778" s="6"/>
      <c r="Y778" s="6"/>
      <c r="Z778" s="6"/>
      <c r="AA778" s="6" t="s">
        <v>5034</v>
      </c>
      <c r="AB778" s="8"/>
    </row>
    <row r="779" spans="1:28" s="4" customFormat="1" ht="44.1" customHeight="1">
      <c r="A779" s="5">
        <v>0</v>
      </c>
      <c r="B779" s="6" t="s">
        <v>5035</v>
      </c>
      <c r="C779" s="13">
        <v>1220</v>
      </c>
      <c r="D779" s="8" t="s">
        <v>5036</v>
      </c>
      <c r="E779" s="8" t="s">
        <v>5037</v>
      </c>
      <c r="F779" s="8" t="s">
        <v>5038</v>
      </c>
      <c r="G779" s="6" t="s">
        <v>52</v>
      </c>
      <c r="H779" s="6" t="s">
        <v>53</v>
      </c>
      <c r="I779" s="8" t="s">
        <v>116</v>
      </c>
      <c r="J779" s="9">
        <v>1</v>
      </c>
      <c r="K779" s="9">
        <v>244</v>
      </c>
      <c r="L779" s="9">
        <v>2025</v>
      </c>
      <c r="M779" s="8" t="s">
        <v>5039</v>
      </c>
      <c r="N779" s="8" t="s">
        <v>413</v>
      </c>
      <c r="O779" s="8" t="s">
        <v>414</v>
      </c>
      <c r="P779" s="6" t="s">
        <v>167</v>
      </c>
      <c r="Q779" s="8" t="s">
        <v>58</v>
      </c>
      <c r="R779" s="10" t="s">
        <v>5040</v>
      </c>
      <c r="S779" s="11"/>
      <c r="T779" s="6"/>
      <c r="U779" s="24" t="str">
        <f>HYPERLINK("https://media.infra-m.ru/2125/2125938/cover/2125938.jpg", "Обложка")</f>
        <v>Обложка</v>
      </c>
      <c r="V779" s="24" t="str">
        <f>HYPERLINK("https://znanium.ru/catalog/product/2125938", "Ознакомиться")</f>
        <v>Ознакомиться</v>
      </c>
      <c r="W779" s="8" t="s">
        <v>2514</v>
      </c>
      <c r="X779" s="6" t="s">
        <v>389</v>
      </c>
      <c r="Y779" s="6"/>
      <c r="Z779" s="6"/>
      <c r="AA779" s="6" t="s">
        <v>61</v>
      </c>
      <c r="AB779" s="8"/>
    </row>
    <row r="780" spans="1:28" s="4" customFormat="1" ht="51.95" customHeight="1">
      <c r="A780" s="5">
        <v>0</v>
      </c>
      <c r="B780" s="6" t="s">
        <v>5041</v>
      </c>
      <c r="C780" s="13">
        <v>1180</v>
      </c>
      <c r="D780" s="8" t="s">
        <v>5042</v>
      </c>
      <c r="E780" s="8" t="s">
        <v>5043</v>
      </c>
      <c r="F780" s="8" t="s">
        <v>5044</v>
      </c>
      <c r="G780" s="6" t="s">
        <v>89</v>
      </c>
      <c r="H780" s="6" t="s">
        <v>53</v>
      </c>
      <c r="I780" s="8" t="s">
        <v>90</v>
      </c>
      <c r="J780" s="9">
        <v>1</v>
      </c>
      <c r="K780" s="9">
        <v>256</v>
      </c>
      <c r="L780" s="9">
        <v>2024</v>
      </c>
      <c r="M780" s="8" t="s">
        <v>5045</v>
      </c>
      <c r="N780" s="8" t="s">
        <v>41</v>
      </c>
      <c r="O780" s="8" t="s">
        <v>1007</v>
      </c>
      <c r="P780" s="6" t="s">
        <v>43</v>
      </c>
      <c r="Q780" s="8" t="s">
        <v>44</v>
      </c>
      <c r="R780" s="10" t="s">
        <v>1008</v>
      </c>
      <c r="S780" s="11" t="s">
        <v>5046</v>
      </c>
      <c r="T780" s="6" t="s">
        <v>299</v>
      </c>
      <c r="U780" s="24" t="str">
        <f>HYPERLINK("https://media.infra-m.ru/2029/2029855/cover/2029855.jpg", "Обложка")</f>
        <v>Обложка</v>
      </c>
      <c r="V780" s="24" t="str">
        <f>HYPERLINK("https://znanium.ru/catalog/product/2029855", "Ознакомиться")</f>
        <v>Ознакомиться</v>
      </c>
      <c r="W780" s="8" t="s">
        <v>1587</v>
      </c>
      <c r="X780" s="6"/>
      <c r="Y780" s="6"/>
      <c r="Z780" s="6"/>
      <c r="AA780" s="6" t="s">
        <v>47</v>
      </c>
      <c r="AB780" s="8"/>
    </row>
    <row r="781" spans="1:28" s="4" customFormat="1" ht="51.95" customHeight="1">
      <c r="A781" s="5">
        <v>0</v>
      </c>
      <c r="B781" s="6" t="s">
        <v>5047</v>
      </c>
      <c r="C781" s="13">
        <v>1304</v>
      </c>
      <c r="D781" s="8" t="s">
        <v>5048</v>
      </c>
      <c r="E781" s="8" t="s">
        <v>5049</v>
      </c>
      <c r="F781" s="8" t="s">
        <v>5050</v>
      </c>
      <c r="G781" s="6" t="s">
        <v>52</v>
      </c>
      <c r="H781" s="6" t="s">
        <v>53</v>
      </c>
      <c r="I781" s="8" t="s">
        <v>90</v>
      </c>
      <c r="J781" s="9">
        <v>1</v>
      </c>
      <c r="K781" s="9">
        <v>284</v>
      </c>
      <c r="L781" s="9">
        <v>2024</v>
      </c>
      <c r="M781" s="8" t="s">
        <v>5051</v>
      </c>
      <c r="N781" s="8" t="s">
        <v>413</v>
      </c>
      <c r="O781" s="8" t="s">
        <v>414</v>
      </c>
      <c r="P781" s="6" t="s">
        <v>167</v>
      </c>
      <c r="Q781" s="8" t="s">
        <v>44</v>
      </c>
      <c r="R781" s="10" t="s">
        <v>3172</v>
      </c>
      <c r="S781" s="11" t="s">
        <v>5052</v>
      </c>
      <c r="T781" s="6"/>
      <c r="U781" s="24" t="str">
        <f>HYPERLINK("https://media.infra-m.ru/2084/2084557/cover/2084557.jpg", "Обложка")</f>
        <v>Обложка</v>
      </c>
      <c r="V781" s="24" t="str">
        <f>HYPERLINK("https://znanium.ru/catalog/product/1846453", "Ознакомиться")</f>
        <v>Ознакомиться</v>
      </c>
      <c r="W781" s="8" t="s">
        <v>637</v>
      </c>
      <c r="X781" s="6"/>
      <c r="Y781" s="6"/>
      <c r="Z781" s="6"/>
      <c r="AA781" s="6" t="s">
        <v>84</v>
      </c>
      <c r="AB781" s="8"/>
    </row>
    <row r="782" spans="1:28" s="4" customFormat="1" ht="51.95" customHeight="1">
      <c r="A782" s="5">
        <v>0</v>
      </c>
      <c r="B782" s="6" t="s">
        <v>5053</v>
      </c>
      <c r="C782" s="13">
        <v>1150</v>
      </c>
      <c r="D782" s="8" t="s">
        <v>5054</v>
      </c>
      <c r="E782" s="8" t="s">
        <v>5055</v>
      </c>
      <c r="F782" s="8" t="s">
        <v>5056</v>
      </c>
      <c r="G782" s="6" t="s">
        <v>89</v>
      </c>
      <c r="H782" s="6" t="s">
        <v>53</v>
      </c>
      <c r="I782" s="8" t="s">
        <v>100</v>
      </c>
      <c r="J782" s="9">
        <v>1</v>
      </c>
      <c r="K782" s="9">
        <v>256</v>
      </c>
      <c r="L782" s="9">
        <v>2023</v>
      </c>
      <c r="M782" s="8" t="s">
        <v>5057</v>
      </c>
      <c r="N782" s="8" t="s">
        <v>41</v>
      </c>
      <c r="O782" s="8" t="s">
        <v>278</v>
      </c>
      <c r="P782" s="6" t="s">
        <v>167</v>
      </c>
      <c r="Q782" s="8" t="s">
        <v>102</v>
      </c>
      <c r="R782" s="10" t="s">
        <v>2779</v>
      </c>
      <c r="S782" s="11" t="s">
        <v>5058</v>
      </c>
      <c r="T782" s="6"/>
      <c r="U782" s="24" t="str">
        <f>HYPERLINK("https://media.infra-m.ru/1896/1896606/cover/1896606.jpg", "Обложка")</f>
        <v>Обложка</v>
      </c>
      <c r="V782" s="24" t="str">
        <f>HYPERLINK("https://znanium.ru/catalog/product/1896606", "Ознакомиться")</f>
        <v>Ознакомиться</v>
      </c>
      <c r="W782" s="8" t="s">
        <v>5059</v>
      </c>
      <c r="X782" s="6"/>
      <c r="Y782" s="6"/>
      <c r="Z782" s="6" t="s">
        <v>104</v>
      </c>
      <c r="AA782" s="6" t="s">
        <v>151</v>
      </c>
      <c r="AB782" s="8"/>
    </row>
    <row r="783" spans="1:28" s="4" customFormat="1" ht="51.95" customHeight="1">
      <c r="A783" s="5">
        <v>0</v>
      </c>
      <c r="B783" s="6" t="s">
        <v>5060</v>
      </c>
      <c r="C783" s="13">
        <v>1284</v>
      </c>
      <c r="D783" s="8" t="s">
        <v>5061</v>
      </c>
      <c r="E783" s="8" t="s">
        <v>5055</v>
      </c>
      <c r="F783" s="8" t="s">
        <v>5056</v>
      </c>
      <c r="G783" s="6" t="s">
        <v>89</v>
      </c>
      <c r="H783" s="6" t="s">
        <v>53</v>
      </c>
      <c r="I783" s="8" t="s">
        <v>90</v>
      </c>
      <c r="J783" s="9">
        <v>1</v>
      </c>
      <c r="K783" s="9">
        <v>256</v>
      </c>
      <c r="L783" s="9">
        <v>2025</v>
      </c>
      <c r="M783" s="8" t="s">
        <v>5062</v>
      </c>
      <c r="N783" s="8" t="s">
        <v>41</v>
      </c>
      <c r="O783" s="8" t="s">
        <v>278</v>
      </c>
      <c r="P783" s="6" t="s">
        <v>167</v>
      </c>
      <c r="Q783" s="8" t="s">
        <v>44</v>
      </c>
      <c r="R783" s="10" t="s">
        <v>5063</v>
      </c>
      <c r="S783" s="11" t="s">
        <v>5064</v>
      </c>
      <c r="T783" s="6"/>
      <c r="U783" s="24" t="str">
        <f>HYPERLINK("https://media.infra-m.ru/2188/2188757/cover/2188757.jpg", "Обложка")</f>
        <v>Обложка</v>
      </c>
      <c r="V783" s="24" t="str">
        <f>HYPERLINK("https://znanium.ru/catalog/product/1939096", "Ознакомиться")</f>
        <v>Ознакомиться</v>
      </c>
      <c r="W783" s="8" t="s">
        <v>5059</v>
      </c>
      <c r="X783" s="6"/>
      <c r="Y783" s="6"/>
      <c r="Z783" s="6"/>
      <c r="AA783" s="6" t="s">
        <v>122</v>
      </c>
      <c r="AB783" s="8"/>
    </row>
    <row r="784" spans="1:28" s="4" customFormat="1" ht="51.95" customHeight="1">
      <c r="A784" s="5">
        <v>0</v>
      </c>
      <c r="B784" s="6" t="s">
        <v>5065</v>
      </c>
      <c r="C784" s="13">
        <v>1774</v>
      </c>
      <c r="D784" s="8" t="s">
        <v>5066</v>
      </c>
      <c r="E784" s="8" t="s">
        <v>5067</v>
      </c>
      <c r="F784" s="8" t="s">
        <v>5068</v>
      </c>
      <c r="G784" s="6" t="s">
        <v>89</v>
      </c>
      <c r="H784" s="6" t="s">
        <v>53</v>
      </c>
      <c r="I784" s="8" t="s">
        <v>100</v>
      </c>
      <c r="J784" s="9">
        <v>1</v>
      </c>
      <c r="K784" s="9">
        <v>355</v>
      </c>
      <c r="L784" s="9">
        <v>2025</v>
      </c>
      <c r="M784" s="8" t="s">
        <v>5069</v>
      </c>
      <c r="N784" s="8" t="s">
        <v>41</v>
      </c>
      <c r="O784" s="8" t="s">
        <v>278</v>
      </c>
      <c r="P784" s="6" t="s">
        <v>43</v>
      </c>
      <c r="Q784" s="8" t="s">
        <v>102</v>
      </c>
      <c r="R784" s="10" t="s">
        <v>2779</v>
      </c>
      <c r="S784" s="11" t="s">
        <v>5070</v>
      </c>
      <c r="T784" s="6"/>
      <c r="U784" s="24" t="str">
        <f>HYPERLINK("https://media.infra-m.ru/2186/2186898/cover/2186898.jpg", "Обложка")</f>
        <v>Обложка</v>
      </c>
      <c r="V784" s="24" t="str">
        <f>HYPERLINK("https://znanium.ru/catalog/product/2023170", "Ознакомиться")</f>
        <v>Ознакомиться</v>
      </c>
      <c r="W784" s="8" t="s">
        <v>5071</v>
      </c>
      <c r="X784" s="6"/>
      <c r="Y784" s="6"/>
      <c r="Z784" s="6"/>
      <c r="AA784" s="6" t="s">
        <v>326</v>
      </c>
      <c r="AB784" s="8" t="s">
        <v>2336</v>
      </c>
    </row>
    <row r="785" spans="1:28" s="4" customFormat="1" ht="42" customHeight="1">
      <c r="A785" s="5">
        <v>0</v>
      </c>
      <c r="B785" s="6" t="s">
        <v>5072</v>
      </c>
      <c r="C785" s="13">
        <v>1550</v>
      </c>
      <c r="D785" s="8" t="s">
        <v>5073</v>
      </c>
      <c r="E785" s="8" t="s">
        <v>5055</v>
      </c>
      <c r="F785" s="8" t="s">
        <v>5074</v>
      </c>
      <c r="G785" s="6" t="s">
        <v>52</v>
      </c>
      <c r="H785" s="6" t="s">
        <v>53</v>
      </c>
      <c r="I785" s="8" t="s">
        <v>100</v>
      </c>
      <c r="J785" s="9">
        <v>1</v>
      </c>
      <c r="K785" s="9">
        <v>282</v>
      </c>
      <c r="L785" s="9">
        <v>2025</v>
      </c>
      <c r="M785" s="8" t="s">
        <v>5075</v>
      </c>
      <c r="N785" s="8" t="s">
        <v>41</v>
      </c>
      <c r="O785" s="8" t="s">
        <v>278</v>
      </c>
      <c r="P785" s="6" t="s">
        <v>43</v>
      </c>
      <c r="Q785" s="8" t="s">
        <v>102</v>
      </c>
      <c r="R785" s="10" t="s">
        <v>2779</v>
      </c>
      <c r="S785" s="11"/>
      <c r="T785" s="6"/>
      <c r="U785" s="24" t="str">
        <f>HYPERLINK("https://media.infra-m.ru/2132/2132111/cover/2132111.jpg", "Обложка")</f>
        <v>Обложка</v>
      </c>
      <c r="V785" s="24" t="str">
        <f>HYPERLINK("https://znanium.ru/catalog/product/2132111", "Ознакомиться")</f>
        <v>Ознакомиться</v>
      </c>
      <c r="W785" s="8" t="s">
        <v>234</v>
      </c>
      <c r="X785" s="6" t="s">
        <v>2790</v>
      </c>
      <c r="Y785" s="6"/>
      <c r="Z785" s="6"/>
      <c r="AA785" s="6" t="s">
        <v>61</v>
      </c>
      <c r="AB785" s="8" t="s">
        <v>550</v>
      </c>
    </row>
    <row r="786" spans="1:28" s="4" customFormat="1" ht="51.95" customHeight="1">
      <c r="A786" s="5">
        <v>0</v>
      </c>
      <c r="B786" s="6" t="s">
        <v>5076</v>
      </c>
      <c r="C786" s="13">
        <v>1630</v>
      </c>
      <c r="D786" s="8" t="s">
        <v>5077</v>
      </c>
      <c r="E786" s="8" t="s">
        <v>5078</v>
      </c>
      <c r="F786" s="8" t="s">
        <v>5079</v>
      </c>
      <c r="G786" s="6" t="s">
        <v>89</v>
      </c>
      <c r="H786" s="6" t="s">
        <v>53</v>
      </c>
      <c r="I786" s="8" t="s">
        <v>100</v>
      </c>
      <c r="J786" s="9">
        <v>1</v>
      </c>
      <c r="K786" s="9">
        <v>313</v>
      </c>
      <c r="L786" s="9">
        <v>2025</v>
      </c>
      <c r="M786" s="8" t="s">
        <v>5080</v>
      </c>
      <c r="N786" s="8" t="s">
        <v>413</v>
      </c>
      <c r="O786" s="8" t="s">
        <v>414</v>
      </c>
      <c r="P786" s="6" t="s">
        <v>167</v>
      </c>
      <c r="Q786" s="8" t="s">
        <v>102</v>
      </c>
      <c r="R786" s="10" t="s">
        <v>5081</v>
      </c>
      <c r="S786" s="11" t="s">
        <v>5082</v>
      </c>
      <c r="T786" s="6"/>
      <c r="U786" s="24" t="str">
        <f>HYPERLINK("https://media.infra-m.ru/2199/2199665/cover/2199665.jpg", "Обложка")</f>
        <v>Обложка</v>
      </c>
      <c r="V786" s="24" t="str">
        <f>HYPERLINK("https://znanium.ru/catalog/product/2199665", "Ознакомиться")</f>
        <v>Ознакомиться</v>
      </c>
      <c r="W786" s="8" t="s">
        <v>2514</v>
      </c>
      <c r="X786" s="6"/>
      <c r="Y786" s="6"/>
      <c r="Z786" s="6"/>
      <c r="AA786" s="6" t="s">
        <v>151</v>
      </c>
      <c r="AB786" s="8"/>
    </row>
    <row r="787" spans="1:28" s="4" customFormat="1" ht="51.95" customHeight="1">
      <c r="A787" s="5">
        <v>0</v>
      </c>
      <c r="B787" s="6" t="s">
        <v>5083</v>
      </c>
      <c r="C787" s="13">
        <v>1324</v>
      </c>
      <c r="D787" s="8" t="s">
        <v>5084</v>
      </c>
      <c r="E787" s="8" t="s">
        <v>5085</v>
      </c>
      <c r="F787" s="8" t="s">
        <v>5086</v>
      </c>
      <c r="G787" s="6" t="s">
        <v>89</v>
      </c>
      <c r="H787" s="6" t="s">
        <v>53</v>
      </c>
      <c r="I787" s="8" t="s">
        <v>90</v>
      </c>
      <c r="J787" s="9">
        <v>1</v>
      </c>
      <c r="K787" s="9">
        <v>288</v>
      </c>
      <c r="L787" s="9">
        <v>2024</v>
      </c>
      <c r="M787" s="8" t="s">
        <v>5087</v>
      </c>
      <c r="N787" s="8" t="s">
        <v>413</v>
      </c>
      <c r="O787" s="8" t="s">
        <v>414</v>
      </c>
      <c r="P787" s="6" t="s">
        <v>43</v>
      </c>
      <c r="Q787" s="8" t="s">
        <v>44</v>
      </c>
      <c r="R787" s="10" t="s">
        <v>5088</v>
      </c>
      <c r="S787" s="11" t="s">
        <v>5089</v>
      </c>
      <c r="T787" s="6" t="s">
        <v>299</v>
      </c>
      <c r="U787" s="24" t="str">
        <f>HYPERLINK("https://media.infra-m.ru/2023/2023108/cover/2023108.jpg", "Обложка")</f>
        <v>Обложка</v>
      </c>
      <c r="V787" s="24" t="str">
        <f>HYPERLINK("https://znanium.ru/catalog/product/1039035", "Ознакомиться")</f>
        <v>Ознакомиться</v>
      </c>
      <c r="W787" s="8" t="s">
        <v>71</v>
      </c>
      <c r="X787" s="6"/>
      <c r="Y787" s="6"/>
      <c r="Z787" s="6"/>
      <c r="AA787" s="6" t="s">
        <v>84</v>
      </c>
      <c r="AB787" s="8"/>
    </row>
    <row r="788" spans="1:28" s="4" customFormat="1" ht="51.95" customHeight="1">
      <c r="A788" s="5">
        <v>0</v>
      </c>
      <c r="B788" s="6" t="s">
        <v>5090</v>
      </c>
      <c r="C788" s="13">
        <v>3560</v>
      </c>
      <c r="D788" s="8" t="s">
        <v>5091</v>
      </c>
      <c r="E788" s="8" t="s">
        <v>5092</v>
      </c>
      <c r="F788" s="8" t="s">
        <v>5093</v>
      </c>
      <c r="G788" s="6" t="s">
        <v>52</v>
      </c>
      <c r="H788" s="6" t="s">
        <v>53</v>
      </c>
      <c r="I788" s="8" t="s">
        <v>116</v>
      </c>
      <c r="J788" s="9">
        <v>1</v>
      </c>
      <c r="K788" s="9">
        <v>775</v>
      </c>
      <c r="L788" s="9">
        <v>2024</v>
      </c>
      <c r="M788" s="8" t="s">
        <v>5094</v>
      </c>
      <c r="N788" s="8" t="s">
        <v>413</v>
      </c>
      <c r="O788" s="8" t="s">
        <v>414</v>
      </c>
      <c r="P788" s="6" t="s">
        <v>167</v>
      </c>
      <c r="Q788" s="8" t="s">
        <v>44</v>
      </c>
      <c r="R788" s="10" t="s">
        <v>5095</v>
      </c>
      <c r="S788" s="11" t="s">
        <v>5096</v>
      </c>
      <c r="T788" s="6"/>
      <c r="U788" s="24" t="str">
        <f>HYPERLINK("https://media.infra-m.ru/2098/2098102/cover/2098102.jpg", "Обложка")</f>
        <v>Обложка</v>
      </c>
      <c r="V788" s="24" t="str">
        <f>HYPERLINK("https://znanium.ru/catalog/product/2098102", "Ознакомиться")</f>
        <v>Ознакомиться</v>
      </c>
      <c r="W788" s="8" t="s">
        <v>5097</v>
      </c>
      <c r="X788" s="6"/>
      <c r="Y788" s="6"/>
      <c r="Z788" s="6"/>
      <c r="AA788" s="6" t="s">
        <v>235</v>
      </c>
      <c r="AB788" s="8"/>
    </row>
    <row r="789" spans="1:28" s="4" customFormat="1" ht="51.95" customHeight="1">
      <c r="A789" s="5">
        <v>0</v>
      </c>
      <c r="B789" s="6" t="s">
        <v>5098</v>
      </c>
      <c r="C789" s="13">
        <v>2252</v>
      </c>
      <c r="D789" s="8" t="s">
        <v>5099</v>
      </c>
      <c r="E789" s="8" t="s">
        <v>5100</v>
      </c>
      <c r="F789" s="8" t="s">
        <v>5101</v>
      </c>
      <c r="G789" s="6" t="s">
        <v>89</v>
      </c>
      <c r="H789" s="6" t="s">
        <v>53</v>
      </c>
      <c r="I789" s="8" t="s">
        <v>116</v>
      </c>
      <c r="J789" s="9">
        <v>1</v>
      </c>
      <c r="K789" s="9">
        <v>384</v>
      </c>
      <c r="L789" s="9">
        <v>2023</v>
      </c>
      <c r="M789" s="8" t="s">
        <v>5102</v>
      </c>
      <c r="N789" s="8" t="s">
        <v>413</v>
      </c>
      <c r="O789" s="8" t="s">
        <v>414</v>
      </c>
      <c r="P789" s="6" t="s">
        <v>167</v>
      </c>
      <c r="Q789" s="8" t="s">
        <v>1047</v>
      </c>
      <c r="R789" s="10" t="s">
        <v>5103</v>
      </c>
      <c r="S789" s="11" t="s">
        <v>5104</v>
      </c>
      <c r="T789" s="6"/>
      <c r="U789" s="24" t="str">
        <f>HYPERLINK("https://media.infra-m.ru/2023/2023171/cover/2023171.jpg", "Обложка")</f>
        <v>Обложка</v>
      </c>
      <c r="V789" s="24" t="str">
        <f>HYPERLINK("https://znanium.ru/catalog/product/2023171", "Ознакомиться")</f>
        <v>Ознакомиться</v>
      </c>
      <c r="W789" s="8" t="s">
        <v>71</v>
      </c>
      <c r="X789" s="6"/>
      <c r="Y789" s="6"/>
      <c r="Z789" s="6"/>
      <c r="AA789" s="6" t="s">
        <v>47</v>
      </c>
      <c r="AB789" s="8"/>
    </row>
    <row r="790" spans="1:28" s="4" customFormat="1" ht="51.95" customHeight="1">
      <c r="A790" s="5">
        <v>0</v>
      </c>
      <c r="B790" s="6" t="s">
        <v>5105</v>
      </c>
      <c r="C790" s="13">
        <v>1790</v>
      </c>
      <c r="D790" s="8" t="s">
        <v>5106</v>
      </c>
      <c r="E790" s="8" t="s">
        <v>5100</v>
      </c>
      <c r="F790" s="8" t="s">
        <v>5093</v>
      </c>
      <c r="G790" s="6" t="s">
        <v>89</v>
      </c>
      <c r="H790" s="6" t="s">
        <v>53</v>
      </c>
      <c r="I790" s="8" t="s">
        <v>116</v>
      </c>
      <c r="J790" s="9">
        <v>1</v>
      </c>
      <c r="K790" s="9">
        <v>344</v>
      </c>
      <c r="L790" s="9">
        <v>2025</v>
      </c>
      <c r="M790" s="8" t="s">
        <v>5107</v>
      </c>
      <c r="N790" s="8" t="s">
        <v>79</v>
      </c>
      <c r="O790" s="8" t="s">
        <v>424</v>
      </c>
      <c r="P790" s="6" t="s">
        <v>167</v>
      </c>
      <c r="Q790" s="8" t="s">
        <v>44</v>
      </c>
      <c r="R790" s="10" t="s">
        <v>5108</v>
      </c>
      <c r="S790" s="11" t="s">
        <v>5109</v>
      </c>
      <c r="T790" s="6"/>
      <c r="U790" s="24" t="str">
        <f>HYPERLINK("https://media.infra-m.ru/2125/2125251/cover/2125251.jpg", "Обложка")</f>
        <v>Обложка</v>
      </c>
      <c r="V790" s="24" t="str">
        <f>HYPERLINK("https://znanium.ru/catalog/product/2125251", "Ознакомиться")</f>
        <v>Ознакомиться</v>
      </c>
      <c r="W790" s="8" t="s">
        <v>5097</v>
      </c>
      <c r="X790" s="6"/>
      <c r="Y790" s="6"/>
      <c r="Z790" s="6"/>
      <c r="AA790" s="6" t="s">
        <v>442</v>
      </c>
      <c r="AB790" s="8"/>
    </row>
    <row r="791" spans="1:28" s="4" customFormat="1" ht="51.95" customHeight="1">
      <c r="A791" s="5">
        <v>0</v>
      </c>
      <c r="B791" s="6" t="s">
        <v>5110</v>
      </c>
      <c r="C791" s="13">
        <v>1720</v>
      </c>
      <c r="D791" s="8" t="s">
        <v>5111</v>
      </c>
      <c r="E791" s="8" t="s">
        <v>5100</v>
      </c>
      <c r="F791" s="8" t="s">
        <v>5093</v>
      </c>
      <c r="G791" s="6" t="s">
        <v>89</v>
      </c>
      <c r="H791" s="6" t="s">
        <v>53</v>
      </c>
      <c r="I791" s="8" t="s">
        <v>100</v>
      </c>
      <c r="J791" s="9">
        <v>1</v>
      </c>
      <c r="K791" s="9">
        <v>344</v>
      </c>
      <c r="L791" s="9">
        <v>2025</v>
      </c>
      <c r="M791" s="8" t="s">
        <v>5112</v>
      </c>
      <c r="N791" s="8" t="s">
        <v>79</v>
      </c>
      <c r="O791" s="8" t="s">
        <v>424</v>
      </c>
      <c r="P791" s="6" t="s">
        <v>167</v>
      </c>
      <c r="Q791" s="8" t="s">
        <v>102</v>
      </c>
      <c r="R791" s="10" t="s">
        <v>5113</v>
      </c>
      <c r="S791" s="11" t="s">
        <v>5114</v>
      </c>
      <c r="T791" s="6"/>
      <c r="U791" s="24" t="str">
        <f>HYPERLINK("https://media.infra-m.ru/2186/2186225/cover/2186225.jpg", "Обложка")</f>
        <v>Обложка</v>
      </c>
      <c r="V791" s="24" t="str">
        <f>HYPERLINK("https://znanium.ru/catalog/product/2186225", "Ознакомиться")</f>
        <v>Ознакомиться</v>
      </c>
      <c r="W791" s="8" t="s">
        <v>5097</v>
      </c>
      <c r="X791" s="6"/>
      <c r="Y791" s="6"/>
      <c r="Z791" s="6" t="s">
        <v>104</v>
      </c>
      <c r="AA791" s="6" t="s">
        <v>151</v>
      </c>
      <c r="AB791" s="8"/>
    </row>
    <row r="792" spans="1:28" s="4" customFormat="1" ht="51.95" customHeight="1">
      <c r="A792" s="5">
        <v>0</v>
      </c>
      <c r="B792" s="6" t="s">
        <v>5115</v>
      </c>
      <c r="C792" s="7">
        <v>580</v>
      </c>
      <c r="D792" s="8" t="s">
        <v>5116</v>
      </c>
      <c r="E792" s="8" t="s">
        <v>5117</v>
      </c>
      <c r="F792" s="8" t="s">
        <v>5118</v>
      </c>
      <c r="G792" s="6" t="s">
        <v>38</v>
      </c>
      <c r="H792" s="6" t="s">
        <v>53</v>
      </c>
      <c r="I792" s="8" t="s">
        <v>90</v>
      </c>
      <c r="J792" s="9">
        <v>1</v>
      </c>
      <c r="K792" s="9">
        <v>127</v>
      </c>
      <c r="L792" s="9">
        <v>2020</v>
      </c>
      <c r="M792" s="8" t="s">
        <v>5119</v>
      </c>
      <c r="N792" s="8" t="s">
        <v>413</v>
      </c>
      <c r="O792" s="8" t="s">
        <v>414</v>
      </c>
      <c r="P792" s="6" t="s">
        <v>43</v>
      </c>
      <c r="Q792" s="8" t="s">
        <v>44</v>
      </c>
      <c r="R792" s="10" t="s">
        <v>5120</v>
      </c>
      <c r="S792" s="11" t="s">
        <v>5121</v>
      </c>
      <c r="T792" s="6" t="s">
        <v>299</v>
      </c>
      <c r="U792" s="24" t="str">
        <f>HYPERLINK("https://media.infra-m.ru/1068/1068151/cover/1068151.jpg", "Обложка")</f>
        <v>Обложка</v>
      </c>
      <c r="V792" s="24" t="str">
        <f>HYPERLINK("https://znanium.ru/catalog/product/1068151", "Ознакомиться")</f>
        <v>Ознакомиться</v>
      </c>
      <c r="W792" s="8" t="s">
        <v>4331</v>
      </c>
      <c r="X792" s="6"/>
      <c r="Y792" s="6"/>
      <c r="Z792" s="6"/>
      <c r="AA792" s="6" t="s">
        <v>258</v>
      </c>
      <c r="AB792" s="8"/>
    </row>
    <row r="793" spans="1:28" s="4" customFormat="1" ht="51.95" customHeight="1">
      <c r="A793" s="5">
        <v>0</v>
      </c>
      <c r="B793" s="6" t="s">
        <v>5122</v>
      </c>
      <c r="C793" s="7">
        <v>724.9</v>
      </c>
      <c r="D793" s="8" t="s">
        <v>5123</v>
      </c>
      <c r="E793" s="8" t="s">
        <v>5124</v>
      </c>
      <c r="F793" s="8" t="s">
        <v>4080</v>
      </c>
      <c r="G793" s="6" t="s">
        <v>52</v>
      </c>
      <c r="H793" s="6" t="s">
        <v>39</v>
      </c>
      <c r="I793" s="8" t="s">
        <v>90</v>
      </c>
      <c r="J793" s="9">
        <v>1</v>
      </c>
      <c r="K793" s="9">
        <v>160</v>
      </c>
      <c r="L793" s="9">
        <v>2023</v>
      </c>
      <c r="M793" s="8" t="s">
        <v>5125</v>
      </c>
      <c r="N793" s="8" t="s">
        <v>413</v>
      </c>
      <c r="O793" s="8" t="s">
        <v>414</v>
      </c>
      <c r="P793" s="6" t="s">
        <v>43</v>
      </c>
      <c r="Q793" s="8" t="s">
        <v>44</v>
      </c>
      <c r="R793" s="10" t="s">
        <v>5126</v>
      </c>
      <c r="S793" s="11" t="s">
        <v>5127</v>
      </c>
      <c r="T793" s="6"/>
      <c r="U793" s="24" t="str">
        <f>HYPERLINK("https://media.infra-m.ru/2006/2006832/cover/2006832.jpg", "Обложка")</f>
        <v>Обложка</v>
      </c>
      <c r="V793" s="24" t="str">
        <f>HYPERLINK("https://znanium.ru/catalog/product/2006831", "Ознакомиться")</f>
        <v>Ознакомиться</v>
      </c>
      <c r="W793" s="8" t="s">
        <v>4083</v>
      </c>
      <c r="X793" s="6"/>
      <c r="Y793" s="6"/>
      <c r="Z793" s="6"/>
      <c r="AA793" s="6" t="s">
        <v>219</v>
      </c>
      <c r="AB793" s="8"/>
    </row>
    <row r="794" spans="1:28" s="4" customFormat="1" ht="51.95" customHeight="1">
      <c r="A794" s="5">
        <v>0</v>
      </c>
      <c r="B794" s="6" t="s">
        <v>5128</v>
      </c>
      <c r="C794" s="13">
        <v>2650</v>
      </c>
      <c r="D794" s="8" t="s">
        <v>5129</v>
      </c>
      <c r="E794" s="8" t="s">
        <v>5130</v>
      </c>
      <c r="F794" s="8" t="s">
        <v>5131</v>
      </c>
      <c r="G794" s="6" t="s">
        <v>52</v>
      </c>
      <c r="H794" s="6" t="s">
        <v>53</v>
      </c>
      <c r="I794" s="8" t="s">
        <v>212</v>
      </c>
      <c r="J794" s="9">
        <v>1</v>
      </c>
      <c r="K794" s="9">
        <v>576</v>
      </c>
      <c r="L794" s="9">
        <v>2024</v>
      </c>
      <c r="M794" s="8" t="s">
        <v>5132</v>
      </c>
      <c r="N794" s="8" t="s">
        <v>413</v>
      </c>
      <c r="O794" s="8" t="s">
        <v>414</v>
      </c>
      <c r="P794" s="6" t="s">
        <v>43</v>
      </c>
      <c r="Q794" s="8" t="s">
        <v>214</v>
      </c>
      <c r="R794" s="10" t="s">
        <v>5133</v>
      </c>
      <c r="S794" s="11" t="s">
        <v>5134</v>
      </c>
      <c r="T794" s="6"/>
      <c r="U794" s="24" t="str">
        <f>HYPERLINK("https://media.infra-m.ru/2087/2087717/cover/2087717.jpg", "Обложка")</f>
        <v>Обложка</v>
      </c>
      <c r="V794" s="24" t="str">
        <f>HYPERLINK("https://znanium.ru/catalog/product/2087717", "Ознакомиться")</f>
        <v>Ознакомиться</v>
      </c>
      <c r="W794" s="8" t="s">
        <v>4293</v>
      </c>
      <c r="X794" s="6"/>
      <c r="Y794" s="6"/>
      <c r="Z794" s="6"/>
      <c r="AA794" s="6" t="s">
        <v>160</v>
      </c>
      <c r="AB794" s="8"/>
    </row>
    <row r="795" spans="1:28" s="4" customFormat="1" ht="51.95" customHeight="1">
      <c r="A795" s="5">
        <v>0</v>
      </c>
      <c r="B795" s="6" t="s">
        <v>5135</v>
      </c>
      <c r="C795" s="13">
        <v>1110</v>
      </c>
      <c r="D795" s="8" t="s">
        <v>5136</v>
      </c>
      <c r="E795" s="8" t="s">
        <v>5137</v>
      </c>
      <c r="F795" s="8" t="s">
        <v>5138</v>
      </c>
      <c r="G795" s="6" t="s">
        <v>89</v>
      </c>
      <c r="H795" s="6" t="s">
        <v>53</v>
      </c>
      <c r="I795" s="8" t="s">
        <v>116</v>
      </c>
      <c r="J795" s="9">
        <v>1</v>
      </c>
      <c r="K795" s="9">
        <v>222</v>
      </c>
      <c r="L795" s="9">
        <v>2025</v>
      </c>
      <c r="M795" s="8" t="s">
        <v>5139</v>
      </c>
      <c r="N795" s="8" t="s">
        <v>413</v>
      </c>
      <c r="O795" s="8" t="s">
        <v>414</v>
      </c>
      <c r="P795" s="6" t="s">
        <v>167</v>
      </c>
      <c r="Q795" s="8" t="s">
        <v>279</v>
      </c>
      <c r="R795" s="10" t="s">
        <v>5140</v>
      </c>
      <c r="S795" s="11" t="s">
        <v>5141</v>
      </c>
      <c r="T795" s="6" t="s">
        <v>299</v>
      </c>
      <c r="U795" s="24" t="str">
        <f>HYPERLINK("https://media.infra-m.ru/2184/2184725/cover/2184725.jpg", "Обложка")</f>
        <v>Обложка</v>
      </c>
      <c r="V795" s="24" t="str">
        <f>HYPERLINK("https://znanium.ru/catalog/product/2184725", "Ознакомиться")</f>
        <v>Ознакомиться</v>
      </c>
      <c r="W795" s="8" t="s">
        <v>5142</v>
      </c>
      <c r="X795" s="6"/>
      <c r="Y795" s="6"/>
      <c r="Z795" s="6"/>
      <c r="AA795" s="6" t="s">
        <v>442</v>
      </c>
      <c r="AB795" s="8"/>
    </row>
    <row r="796" spans="1:28" s="4" customFormat="1" ht="51.95" customHeight="1">
      <c r="A796" s="5">
        <v>0</v>
      </c>
      <c r="B796" s="6" t="s">
        <v>5143</v>
      </c>
      <c r="C796" s="13">
        <v>1382</v>
      </c>
      <c r="D796" s="8" t="s">
        <v>5144</v>
      </c>
      <c r="E796" s="8" t="s">
        <v>5145</v>
      </c>
      <c r="F796" s="8" t="s">
        <v>5146</v>
      </c>
      <c r="G796" s="6" t="s">
        <v>89</v>
      </c>
      <c r="H796" s="6" t="s">
        <v>53</v>
      </c>
      <c r="I796" s="8" t="s">
        <v>116</v>
      </c>
      <c r="J796" s="9">
        <v>1</v>
      </c>
      <c r="K796" s="9">
        <v>230</v>
      </c>
      <c r="L796" s="9">
        <v>2024</v>
      </c>
      <c r="M796" s="8" t="s">
        <v>5147</v>
      </c>
      <c r="N796" s="8" t="s">
        <v>413</v>
      </c>
      <c r="O796" s="8" t="s">
        <v>414</v>
      </c>
      <c r="P796" s="6" t="s">
        <v>167</v>
      </c>
      <c r="Q796" s="8" t="s">
        <v>58</v>
      </c>
      <c r="R796" s="10" t="s">
        <v>5148</v>
      </c>
      <c r="S796" s="11" t="s">
        <v>5149</v>
      </c>
      <c r="T796" s="6"/>
      <c r="U796" s="24" t="str">
        <f>HYPERLINK("https://media.infra-m.ru/2054/2054119/cover/2054119.jpg", "Обложка")</f>
        <v>Обложка</v>
      </c>
      <c r="V796" s="24" t="str">
        <f>HYPERLINK("https://znanium.ru/catalog/product/2054119", "Ознакомиться")</f>
        <v>Ознакомиться</v>
      </c>
      <c r="W796" s="8" t="s">
        <v>4293</v>
      </c>
      <c r="X796" s="6"/>
      <c r="Y796" s="6"/>
      <c r="Z796" s="6"/>
      <c r="AA796" s="6" t="s">
        <v>326</v>
      </c>
      <c r="AB796" s="8"/>
    </row>
    <row r="797" spans="1:28" s="4" customFormat="1" ht="42" customHeight="1">
      <c r="A797" s="5">
        <v>0</v>
      </c>
      <c r="B797" s="6" t="s">
        <v>5150</v>
      </c>
      <c r="C797" s="13">
        <v>1084</v>
      </c>
      <c r="D797" s="8" t="s">
        <v>5151</v>
      </c>
      <c r="E797" s="8" t="s">
        <v>5152</v>
      </c>
      <c r="F797" s="8" t="s">
        <v>5153</v>
      </c>
      <c r="G797" s="6" t="s">
        <v>89</v>
      </c>
      <c r="H797" s="6" t="s">
        <v>53</v>
      </c>
      <c r="I797" s="8" t="s">
        <v>100</v>
      </c>
      <c r="J797" s="9">
        <v>1</v>
      </c>
      <c r="K797" s="9">
        <v>207</v>
      </c>
      <c r="L797" s="9">
        <v>2025</v>
      </c>
      <c r="M797" s="8" t="s">
        <v>5154</v>
      </c>
      <c r="N797" s="8" t="s">
        <v>413</v>
      </c>
      <c r="O797" s="8" t="s">
        <v>414</v>
      </c>
      <c r="P797" s="6" t="s">
        <v>43</v>
      </c>
      <c r="Q797" s="8" t="s">
        <v>102</v>
      </c>
      <c r="R797" s="10" t="s">
        <v>5155</v>
      </c>
      <c r="S797" s="11"/>
      <c r="T797" s="6" t="s">
        <v>299</v>
      </c>
      <c r="U797" s="24" t="str">
        <f>HYPERLINK("https://media.infra-m.ru/2199/2199684/cover/2199684.jpg", "Обложка")</f>
        <v>Обложка</v>
      </c>
      <c r="V797" s="24" t="str">
        <f>HYPERLINK("https://znanium.ru/catalog/product/2192681", "Ознакомиться")</f>
        <v>Ознакомиться</v>
      </c>
      <c r="W797" s="8" t="s">
        <v>637</v>
      </c>
      <c r="X797" s="6"/>
      <c r="Y797" s="6"/>
      <c r="Z797" s="6" t="s">
        <v>104</v>
      </c>
      <c r="AA797" s="6" t="s">
        <v>133</v>
      </c>
      <c r="AB797" s="8"/>
    </row>
    <row r="798" spans="1:28" s="4" customFormat="1" ht="42" customHeight="1">
      <c r="A798" s="5">
        <v>0</v>
      </c>
      <c r="B798" s="6" t="s">
        <v>5156</v>
      </c>
      <c r="C798" s="7">
        <v>980</v>
      </c>
      <c r="D798" s="8" t="s">
        <v>5157</v>
      </c>
      <c r="E798" s="8" t="s">
        <v>5152</v>
      </c>
      <c r="F798" s="8" t="s">
        <v>5158</v>
      </c>
      <c r="G798" s="6" t="s">
        <v>89</v>
      </c>
      <c r="H798" s="6" t="s">
        <v>53</v>
      </c>
      <c r="I798" s="8" t="s">
        <v>116</v>
      </c>
      <c r="J798" s="9">
        <v>1</v>
      </c>
      <c r="K798" s="9">
        <v>207</v>
      </c>
      <c r="L798" s="9">
        <v>2024</v>
      </c>
      <c r="M798" s="8" t="s">
        <v>5159</v>
      </c>
      <c r="N798" s="8" t="s">
        <v>413</v>
      </c>
      <c r="O798" s="8" t="s">
        <v>414</v>
      </c>
      <c r="P798" s="6" t="s">
        <v>43</v>
      </c>
      <c r="Q798" s="8" t="s">
        <v>44</v>
      </c>
      <c r="R798" s="10" t="s">
        <v>3172</v>
      </c>
      <c r="S798" s="11"/>
      <c r="T798" s="6" t="s">
        <v>299</v>
      </c>
      <c r="U798" s="24" t="str">
        <f>HYPERLINK("https://media.infra-m.ru/2145/2145821/cover/2145821.jpg", "Обложка")</f>
        <v>Обложка</v>
      </c>
      <c r="V798" s="24" t="str">
        <f>HYPERLINK("https://znanium.ru/catalog/product/2145821", "Ознакомиться")</f>
        <v>Ознакомиться</v>
      </c>
      <c r="W798" s="8" t="s">
        <v>637</v>
      </c>
      <c r="X798" s="6"/>
      <c r="Y798" s="6"/>
      <c r="Z798" s="6"/>
      <c r="AA798" s="6" t="s">
        <v>111</v>
      </c>
      <c r="AB798" s="8"/>
    </row>
    <row r="799" spans="1:28" s="4" customFormat="1" ht="42" customHeight="1">
      <c r="A799" s="5">
        <v>0</v>
      </c>
      <c r="B799" s="6" t="s">
        <v>5160</v>
      </c>
      <c r="C799" s="13">
        <v>1240</v>
      </c>
      <c r="D799" s="8" t="s">
        <v>5161</v>
      </c>
      <c r="E799" s="8" t="s">
        <v>5162</v>
      </c>
      <c r="F799" s="8" t="s">
        <v>5163</v>
      </c>
      <c r="G799" s="6" t="s">
        <v>52</v>
      </c>
      <c r="H799" s="6" t="s">
        <v>53</v>
      </c>
      <c r="I799" s="8" t="s">
        <v>3356</v>
      </c>
      <c r="J799" s="9">
        <v>1</v>
      </c>
      <c r="K799" s="9">
        <v>261</v>
      </c>
      <c r="L799" s="9">
        <v>2024</v>
      </c>
      <c r="M799" s="8" t="s">
        <v>5164</v>
      </c>
      <c r="N799" s="8" t="s">
        <v>413</v>
      </c>
      <c r="O799" s="8" t="s">
        <v>414</v>
      </c>
      <c r="P799" s="6" t="s">
        <v>43</v>
      </c>
      <c r="Q799" s="8" t="s">
        <v>58</v>
      </c>
      <c r="R799" s="10" t="s">
        <v>5165</v>
      </c>
      <c r="S799" s="11"/>
      <c r="T799" s="6"/>
      <c r="U799" s="24" t="str">
        <f>HYPERLINK("https://media.infra-m.ru/2130/2130293/cover/2130293.jpg", "Обложка")</f>
        <v>Обложка</v>
      </c>
      <c r="V799" s="12"/>
      <c r="W799" s="8" t="s">
        <v>784</v>
      </c>
      <c r="X799" s="6"/>
      <c r="Y799" s="6"/>
      <c r="Z799" s="6"/>
      <c r="AA799" s="6" t="s">
        <v>133</v>
      </c>
      <c r="AB799" s="8"/>
    </row>
    <row r="800" spans="1:28" s="4" customFormat="1" ht="51.95" customHeight="1">
      <c r="A800" s="5">
        <v>0</v>
      </c>
      <c r="B800" s="6" t="s">
        <v>5166</v>
      </c>
      <c r="C800" s="13">
        <v>2134</v>
      </c>
      <c r="D800" s="8" t="s">
        <v>5167</v>
      </c>
      <c r="E800" s="8" t="s">
        <v>5168</v>
      </c>
      <c r="F800" s="8" t="s">
        <v>5169</v>
      </c>
      <c r="G800" s="6" t="s">
        <v>52</v>
      </c>
      <c r="H800" s="6" t="s">
        <v>39</v>
      </c>
      <c r="I800" s="8" t="s">
        <v>185</v>
      </c>
      <c r="J800" s="9">
        <v>1</v>
      </c>
      <c r="K800" s="9">
        <v>464</v>
      </c>
      <c r="L800" s="9">
        <v>2024</v>
      </c>
      <c r="M800" s="8" t="s">
        <v>5170</v>
      </c>
      <c r="N800" s="8" t="s">
        <v>413</v>
      </c>
      <c r="O800" s="8" t="s">
        <v>1141</v>
      </c>
      <c r="P800" s="6" t="s">
        <v>43</v>
      </c>
      <c r="Q800" s="8" t="s">
        <v>102</v>
      </c>
      <c r="R800" s="10" t="s">
        <v>5171</v>
      </c>
      <c r="S800" s="11" t="s">
        <v>3075</v>
      </c>
      <c r="T800" s="6"/>
      <c r="U800" s="24" t="str">
        <f>HYPERLINK("https://media.infra-m.ru/2056/2056630/cover/2056630.jpg", "Обложка")</f>
        <v>Обложка</v>
      </c>
      <c r="V800" s="24" t="str">
        <f>HYPERLINK("https://znanium.ru/catalog/product/1082973", "Ознакомиться")</f>
        <v>Ознакомиться</v>
      </c>
      <c r="W800" s="8" t="s">
        <v>4343</v>
      </c>
      <c r="X800" s="6"/>
      <c r="Y800" s="6" t="s">
        <v>30</v>
      </c>
      <c r="Z800" s="6"/>
      <c r="AA800" s="6" t="s">
        <v>479</v>
      </c>
      <c r="AB800" s="8"/>
    </row>
    <row r="801" spans="1:28" s="4" customFormat="1" ht="51.95" customHeight="1">
      <c r="A801" s="5">
        <v>0</v>
      </c>
      <c r="B801" s="6" t="s">
        <v>5172</v>
      </c>
      <c r="C801" s="13">
        <v>1144.9000000000001</v>
      </c>
      <c r="D801" s="8" t="s">
        <v>5173</v>
      </c>
      <c r="E801" s="8" t="s">
        <v>5174</v>
      </c>
      <c r="F801" s="8" t="s">
        <v>5175</v>
      </c>
      <c r="G801" s="6" t="s">
        <v>89</v>
      </c>
      <c r="H801" s="6" t="s">
        <v>53</v>
      </c>
      <c r="I801" s="8" t="s">
        <v>4855</v>
      </c>
      <c r="J801" s="9">
        <v>1</v>
      </c>
      <c r="K801" s="9">
        <v>255</v>
      </c>
      <c r="L801" s="9">
        <v>2023</v>
      </c>
      <c r="M801" s="8" t="s">
        <v>5176</v>
      </c>
      <c r="N801" s="8" t="s">
        <v>79</v>
      </c>
      <c r="O801" s="8" t="s">
        <v>148</v>
      </c>
      <c r="P801" s="6" t="s">
        <v>43</v>
      </c>
      <c r="Q801" s="8" t="s">
        <v>44</v>
      </c>
      <c r="R801" s="10" t="s">
        <v>2005</v>
      </c>
      <c r="S801" s="11" t="s">
        <v>5177</v>
      </c>
      <c r="T801" s="6"/>
      <c r="U801" s="24" t="str">
        <f>HYPERLINK("https://media.infra-m.ru/2006/2006875/cover/2006875.jpg", "Обложка")</f>
        <v>Обложка</v>
      </c>
      <c r="V801" s="12"/>
      <c r="W801" s="8" t="s">
        <v>784</v>
      </c>
      <c r="X801" s="6"/>
      <c r="Y801" s="6"/>
      <c r="Z801" s="6"/>
      <c r="AA801" s="6" t="s">
        <v>151</v>
      </c>
      <c r="AB801" s="8"/>
    </row>
    <row r="802" spans="1:28" s="4" customFormat="1" ht="51.95" customHeight="1">
      <c r="A802" s="5">
        <v>0</v>
      </c>
      <c r="B802" s="6" t="s">
        <v>5178</v>
      </c>
      <c r="C802" s="13">
        <v>1850</v>
      </c>
      <c r="D802" s="8" t="s">
        <v>5179</v>
      </c>
      <c r="E802" s="8" t="s">
        <v>5180</v>
      </c>
      <c r="F802" s="8" t="s">
        <v>5181</v>
      </c>
      <c r="G802" s="6" t="s">
        <v>89</v>
      </c>
      <c r="H802" s="6" t="s">
        <v>438</v>
      </c>
      <c r="I802" s="8"/>
      <c r="J802" s="9">
        <v>1</v>
      </c>
      <c r="K802" s="9">
        <v>400</v>
      </c>
      <c r="L802" s="9">
        <v>2024</v>
      </c>
      <c r="M802" s="8" t="s">
        <v>5182</v>
      </c>
      <c r="N802" s="8" t="s">
        <v>79</v>
      </c>
      <c r="O802" s="8" t="s">
        <v>80</v>
      </c>
      <c r="P802" s="6" t="s">
        <v>43</v>
      </c>
      <c r="Q802" s="8" t="s">
        <v>58</v>
      </c>
      <c r="R802" s="10" t="s">
        <v>5183</v>
      </c>
      <c r="S802" s="11" t="s">
        <v>5184</v>
      </c>
      <c r="T802" s="6"/>
      <c r="U802" s="24" t="str">
        <f>HYPERLINK("https://media.infra-m.ru/2131/2131753/cover/2131753.jpg", "Обложка")</f>
        <v>Обложка</v>
      </c>
      <c r="V802" s="24" t="str">
        <f>HYPERLINK("https://znanium.ru/catalog/product/2131753", "Ознакомиться")</f>
        <v>Ознакомиться</v>
      </c>
      <c r="W802" s="8" t="s">
        <v>5185</v>
      </c>
      <c r="X802" s="6"/>
      <c r="Y802" s="6" t="s">
        <v>30</v>
      </c>
      <c r="Z802" s="6"/>
      <c r="AA802" s="6" t="s">
        <v>418</v>
      </c>
      <c r="AB802" s="8"/>
    </row>
    <row r="803" spans="1:28" s="4" customFormat="1" ht="42" customHeight="1">
      <c r="A803" s="5">
        <v>0</v>
      </c>
      <c r="B803" s="6" t="s">
        <v>5186</v>
      </c>
      <c r="C803" s="13">
        <v>1640</v>
      </c>
      <c r="D803" s="8" t="s">
        <v>5187</v>
      </c>
      <c r="E803" s="8" t="s">
        <v>5188</v>
      </c>
      <c r="F803" s="8" t="s">
        <v>5189</v>
      </c>
      <c r="G803" s="6" t="s">
        <v>52</v>
      </c>
      <c r="H803" s="6" t="s">
        <v>53</v>
      </c>
      <c r="I803" s="8" t="s">
        <v>100</v>
      </c>
      <c r="J803" s="9">
        <v>1</v>
      </c>
      <c r="K803" s="9">
        <v>313</v>
      </c>
      <c r="L803" s="9">
        <v>2025</v>
      </c>
      <c r="M803" s="8" t="s">
        <v>5190</v>
      </c>
      <c r="N803" s="8" t="s">
        <v>413</v>
      </c>
      <c r="O803" s="8" t="s">
        <v>1141</v>
      </c>
      <c r="P803" s="6" t="s">
        <v>43</v>
      </c>
      <c r="Q803" s="8" t="s">
        <v>102</v>
      </c>
      <c r="R803" s="10" t="s">
        <v>5191</v>
      </c>
      <c r="S803" s="11"/>
      <c r="T803" s="6"/>
      <c r="U803" s="24" t="str">
        <f>HYPERLINK("https://media.infra-m.ru/1414/1414398/cover/1414398.jpg", "Обложка")</f>
        <v>Обложка</v>
      </c>
      <c r="V803" s="24" t="str">
        <f>HYPERLINK("https://znanium.ru/catalog/product/1414398", "Ознакомиться")</f>
        <v>Ознакомиться</v>
      </c>
      <c r="W803" s="8" t="s">
        <v>2321</v>
      </c>
      <c r="X803" s="6" t="s">
        <v>548</v>
      </c>
      <c r="Y803" s="6"/>
      <c r="Z803" s="6"/>
      <c r="AA803" s="6" t="s">
        <v>61</v>
      </c>
      <c r="AB803" s="8"/>
    </row>
    <row r="804" spans="1:28" s="4" customFormat="1" ht="44.1" customHeight="1">
      <c r="A804" s="5">
        <v>0</v>
      </c>
      <c r="B804" s="6" t="s">
        <v>5192</v>
      </c>
      <c r="C804" s="13">
        <v>2180</v>
      </c>
      <c r="D804" s="8" t="s">
        <v>5193</v>
      </c>
      <c r="E804" s="8" t="s">
        <v>5194</v>
      </c>
      <c r="F804" s="8" t="s">
        <v>267</v>
      </c>
      <c r="G804" s="6" t="s">
        <v>52</v>
      </c>
      <c r="H804" s="6" t="s">
        <v>53</v>
      </c>
      <c r="I804" s="8" t="s">
        <v>116</v>
      </c>
      <c r="J804" s="9">
        <v>1</v>
      </c>
      <c r="K804" s="9">
        <v>463</v>
      </c>
      <c r="L804" s="9">
        <v>2024</v>
      </c>
      <c r="M804" s="8" t="s">
        <v>5195</v>
      </c>
      <c r="N804" s="8" t="s">
        <v>41</v>
      </c>
      <c r="O804" s="8" t="s">
        <v>1204</v>
      </c>
      <c r="P804" s="6" t="s">
        <v>167</v>
      </c>
      <c r="Q804" s="8" t="s">
        <v>58</v>
      </c>
      <c r="R804" s="10" t="s">
        <v>5196</v>
      </c>
      <c r="S804" s="11"/>
      <c r="T804" s="6"/>
      <c r="U804" s="24" t="str">
        <f>HYPERLINK("https://media.infra-m.ru/1938/1938063/cover/1938063.jpg", "Обложка")</f>
        <v>Обложка</v>
      </c>
      <c r="V804" s="24" t="str">
        <f>HYPERLINK("https://znanium.ru/catalog/product/1938063", "Ознакомиться")</f>
        <v>Ознакомиться</v>
      </c>
      <c r="W804" s="8" t="s">
        <v>189</v>
      </c>
      <c r="X804" s="6"/>
      <c r="Y804" s="6"/>
      <c r="Z804" s="6"/>
      <c r="AA804" s="6" t="s">
        <v>3787</v>
      </c>
      <c r="AB804" s="8"/>
    </row>
    <row r="805" spans="1:28" s="4" customFormat="1" ht="51.95" customHeight="1">
      <c r="A805" s="5">
        <v>0</v>
      </c>
      <c r="B805" s="6" t="s">
        <v>5197</v>
      </c>
      <c r="C805" s="13">
        <v>1204.9000000000001</v>
      </c>
      <c r="D805" s="8" t="s">
        <v>5198</v>
      </c>
      <c r="E805" s="8" t="s">
        <v>5199</v>
      </c>
      <c r="F805" s="8" t="s">
        <v>5200</v>
      </c>
      <c r="G805" s="6" t="s">
        <v>38</v>
      </c>
      <c r="H805" s="6" t="s">
        <v>77</v>
      </c>
      <c r="I805" s="8"/>
      <c r="J805" s="9">
        <v>1</v>
      </c>
      <c r="K805" s="9">
        <v>445</v>
      </c>
      <c r="L805" s="9">
        <v>2018</v>
      </c>
      <c r="M805" s="8" t="s">
        <v>5201</v>
      </c>
      <c r="N805" s="8" t="s">
        <v>41</v>
      </c>
      <c r="O805" s="8" t="s">
        <v>1204</v>
      </c>
      <c r="P805" s="6" t="s">
        <v>43</v>
      </c>
      <c r="Q805" s="8" t="s">
        <v>44</v>
      </c>
      <c r="R805" s="10" t="s">
        <v>5202</v>
      </c>
      <c r="S805" s="11" t="s">
        <v>5203</v>
      </c>
      <c r="T805" s="6"/>
      <c r="U805" s="24" t="str">
        <f>HYPERLINK("https://media.infra-m.ru/0898/0898778/cover/898778.jpg", "Обложка")</f>
        <v>Обложка</v>
      </c>
      <c r="V805" s="24" t="str">
        <f>HYPERLINK("https://znanium.ru/catalog/product/2083718", "Ознакомиться")</f>
        <v>Ознакомиться</v>
      </c>
      <c r="W805" s="8" t="s">
        <v>5204</v>
      </c>
      <c r="X805" s="6"/>
      <c r="Y805" s="6"/>
      <c r="Z805" s="6"/>
      <c r="AA805" s="6" t="s">
        <v>2217</v>
      </c>
      <c r="AB805" s="8"/>
    </row>
    <row r="806" spans="1:28" s="4" customFormat="1" ht="51.95" customHeight="1">
      <c r="A806" s="5">
        <v>0</v>
      </c>
      <c r="B806" s="6" t="s">
        <v>5205</v>
      </c>
      <c r="C806" s="13">
        <v>2130</v>
      </c>
      <c r="D806" s="8" t="s">
        <v>5206</v>
      </c>
      <c r="E806" s="8" t="s">
        <v>5207</v>
      </c>
      <c r="F806" s="8" t="s">
        <v>5200</v>
      </c>
      <c r="G806" s="6" t="s">
        <v>52</v>
      </c>
      <c r="H806" s="6" t="s">
        <v>77</v>
      </c>
      <c r="I806" s="8"/>
      <c r="J806" s="9">
        <v>1</v>
      </c>
      <c r="K806" s="9">
        <v>462</v>
      </c>
      <c r="L806" s="9">
        <v>2023</v>
      </c>
      <c r="M806" s="8" t="s">
        <v>5208</v>
      </c>
      <c r="N806" s="8" t="s">
        <v>41</v>
      </c>
      <c r="O806" s="8" t="s">
        <v>1204</v>
      </c>
      <c r="P806" s="6" t="s">
        <v>43</v>
      </c>
      <c r="Q806" s="8" t="s">
        <v>44</v>
      </c>
      <c r="R806" s="10" t="s">
        <v>5202</v>
      </c>
      <c r="S806" s="11" t="s">
        <v>5203</v>
      </c>
      <c r="T806" s="6"/>
      <c r="U806" s="24" t="str">
        <f>HYPERLINK("https://media.infra-m.ru/2110/2110925/cover/2110925.jpg", "Обложка")</f>
        <v>Обложка</v>
      </c>
      <c r="V806" s="24" t="str">
        <f>HYPERLINK("https://znanium.ru/catalog/product/2083718", "Ознакомиться")</f>
        <v>Ознакомиться</v>
      </c>
      <c r="W806" s="8" t="s">
        <v>5204</v>
      </c>
      <c r="X806" s="6"/>
      <c r="Y806" s="6"/>
      <c r="Z806" s="6"/>
      <c r="AA806" s="6" t="s">
        <v>160</v>
      </c>
      <c r="AB806" s="8"/>
    </row>
    <row r="807" spans="1:28" s="4" customFormat="1" ht="42" customHeight="1">
      <c r="A807" s="5">
        <v>0</v>
      </c>
      <c r="B807" s="6" t="s">
        <v>5209</v>
      </c>
      <c r="C807" s="13">
        <v>2180</v>
      </c>
      <c r="D807" s="8" t="s">
        <v>5210</v>
      </c>
      <c r="E807" s="8" t="s">
        <v>5211</v>
      </c>
      <c r="F807" s="8" t="s">
        <v>5212</v>
      </c>
      <c r="G807" s="6" t="s">
        <v>52</v>
      </c>
      <c r="H807" s="6" t="s">
        <v>53</v>
      </c>
      <c r="I807" s="8" t="s">
        <v>116</v>
      </c>
      <c r="J807" s="9">
        <v>1</v>
      </c>
      <c r="K807" s="9">
        <v>434</v>
      </c>
      <c r="L807" s="9">
        <v>2025</v>
      </c>
      <c r="M807" s="8" t="s">
        <v>5213</v>
      </c>
      <c r="N807" s="8" t="s">
        <v>41</v>
      </c>
      <c r="O807" s="8" t="s">
        <v>1204</v>
      </c>
      <c r="P807" s="6" t="s">
        <v>43</v>
      </c>
      <c r="Q807" s="8" t="s">
        <v>44</v>
      </c>
      <c r="R807" s="10" t="s">
        <v>5202</v>
      </c>
      <c r="S807" s="11"/>
      <c r="T807" s="6"/>
      <c r="U807" s="24" t="str">
        <f>HYPERLINK("https://media.infra-m.ru/2083/2083718/cover/2083718.jpg", "Обложка")</f>
        <v>Обложка</v>
      </c>
      <c r="V807" s="24" t="str">
        <f>HYPERLINK("https://znanium.ru/catalog/product/2083718", "Ознакомиться")</f>
        <v>Ознакомиться</v>
      </c>
      <c r="W807" s="8" t="s">
        <v>5204</v>
      </c>
      <c r="X807" s="6" t="s">
        <v>1049</v>
      </c>
      <c r="Y807" s="6"/>
      <c r="Z807" s="6"/>
      <c r="AA807" s="6" t="s">
        <v>818</v>
      </c>
      <c r="AB807" s="8"/>
    </row>
    <row r="808" spans="1:28" s="4" customFormat="1" ht="51.95" customHeight="1">
      <c r="A808" s="5">
        <v>0</v>
      </c>
      <c r="B808" s="6" t="s">
        <v>5214</v>
      </c>
      <c r="C808" s="13">
        <v>2250</v>
      </c>
      <c r="D808" s="8" t="s">
        <v>5215</v>
      </c>
      <c r="E808" s="8" t="s">
        <v>5216</v>
      </c>
      <c r="F808" s="8" t="s">
        <v>5217</v>
      </c>
      <c r="G808" s="6" t="s">
        <v>52</v>
      </c>
      <c r="H808" s="6" t="s">
        <v>53</v>
      </c>
      <c r="I808" s="8" t="s">
        <v>116</v>
      </c>
      <c r="J808" s="9">
        <v>1</v>
      </c>
      <c r="K808" s="9">
        <v>490</v>
      </c>
      <c r="L808" s="9">
        <v>2024</v>
      </c>
      <c r="M808" s="8" t="s">
        <v>5218</v>
      </c>
      <c r="N808" s="8" t="s">
        <v>41</v>
      </c>
      <c r="O808" s="8" t="s">
        <v>1204</v>
      </c>
      <c r="P808" s="6" t="s">
        <v>43</v>
      </c>
      <c r="Q808" s="8" t="s">
        <v>44</v>
      </c>
      <c r="R808" s="10" t="s">
        <v>5219</v>
      </c>
      <c r="S808" s="11" t="s">
        <v>5220</v>
      </c>
      <c r="T808" s="6"/>
      <c r="U808" s="24" t="str">
        <f>HYPERLINK("https://media.infra-m.ru/2130/2130796/cover/2130796.jpg", "Обложка")</f>
        <v>Обложка</v>
      </c>
      <c r="V808" s="24" t="str">
        <f>HYPERLINK("https://znanium.ru/catalog/product/2130796", "Ознакомиться")</f>
        <v>Ознакомиться</v>
      </c>
      <c r="W808" s="8" t="s">
        <v>5221</v>
      </c>
      <c r="X808" s="6"/>
      <c r="Y808" s="6"/>
      <c r="Z808" s="6"/>
      <c r="AA808" s="6" t="s">
        <v>377</v>
      </c>
      <c r="AB808" s="8"/>
    </row>
    <row r="809" spans="1:28" s="4" customFormat="1" ht="44.1" customHeight="1">
      <c r="A809" s="5">
        <v>0</v>
      </c>
      <c r="B809" s="6" t="s">
        <v>5222</v>
      </c>
      <c r="C809" s="13">
        <v>1600</v>
      </c>
      <c r="D809" s="8" t="s">
        <v>5223</v>
      </c>
      <c r="E809" s="8" t="s">
        <v>5224</v>
      </c>
      <c r="F809" s="8" t="s">
        <v>267</v>
      </c>
      <c r="G809" s="6" t="s">
        <v>52</v>
      </c>
      <c r="H809" s="6" t="s">
        <v>53</v>
      </c>
      <c r="I809" s="8" t="s">
        <v>116</v>
      </c>
      <c r="J809" s="9">
        <v>1</v>
      </c>
      <c r="K809" s="9">
        <v>327</v>
      </c>
      <c r="L809" s="9">
        <v>2024</v>
      </c>
      <c r="M809" s="8" t="s">
        <v>5225</v>
      </c>
      <c r="N809" s="8" t="s">
        <v>41</v>
      </c>
      <c r="O809" s="8" t="s">
        <v>1204</v>
      </c>
      <c r="P809" s="6" t="s">
        <v>167</v>
      </c>
      <c r="Q809" s="8" t="s">
        <v>58</v>
      </c>
      <c r="R809" s="10" t="s">
        <v>5196</v>
      </c>
      <c r="S809" s="11"/>
      <c r="T809" s="6"/>
      <c r="U809" s="24" t="str">
        <f>HYPERLINK("https://media.infra-m.ru/1946/1946247/cover/1946247.jpg", "Обложка")</f>
        <v>Обложка</v>
      </c>
      <c r="V809" s="24" t="str">
        <f>HYPERLINK("https://znanium.ru/catalog/product/1946247", "Ознакомиться")</f>
        <v>Ознакомиться</v>
      </c>
      <c r="W809" s="8" t="s">
        <v>189</v>
      </c>
      <c r="X809" s="6" t="s">
        <v>3761</v>
      </c>
      <c r="Y809" s="6"/>
      <c r="Z809" s="6"/>
      <c r="AA809" s="6" t="s">
        <v>3787</v>
      </c>
      <c r="AB809" s="8"/>
    </row>
    <row r="810" spans="1:28" s="4" customFormat="1" ht="51.95" customHeight="1">
      <c r="A810" s="5">
        <v>0</v>
      </c>
      <c r="B810" s="6" t="s">
        <v>5226</v>
      </c>
      <c r="C810" s="13">
        <v>1550</v>
      </c>
      <c r="D810" s="8" t="s">
        <v>5227</v>
      </c>
      <c r="E810" s="8" t="s">
        <v>5228</v>
      </c>
      <c r="F810" s="8" t="s">
        <v>5002</v>
      </c>
      <c r="G810" s="6" t="s">
        <v>52</v>
      </c>
      <c r="H810" s="6" t="s">
        <v>53</v>
      </c>
      <c r="I810" s="8" t="s">
        <v>276</v>
      </c>
      <c r="J810" s="9">
        <v>1</v>
      </c>
      <c r="K810" s="9">
        <v>332</v>
      </c>
      <c r="L810" s="9">
        <v>2023</v>
      </c>
      <c r="M810" s="8" t="s">
        <v>5229</v>
      </c>
      <c r="N810" s="8" t="s">
        <v>41</v>
      </c>
      <c r="O810" s="8" t="s">
        <v>676</v>
      </c>
      <c r="P810" s="6" t="s">
        <v>167</v>
      </c>
      <c r="Q810" s="8" t="s">
        <v>279</v>
      </c>
      <c r="R810" s="10" t="s">
        <v>5230</v>
      </c>
      <c r="S810" s="11" t="s">
        <v>5231</v>
      </c>
      <c r="T810" s="6"/>
      <c r="U810" s="24" t="str">
        <f>HYPERLINK("https://media.infra-m.ru/1192/1192104/cover/1192104.jpg", "Обложка")</f>
        <v>Обложка</v>
      </c>
      <c r="V810" s="24" t="str">
        <f>HYPERLINK("https://znanium.ru/catalog/product/1192104", "Ознакомиться")</f>
        <v>Ознакомиться</v>
      </c>
      <c r="W810" s="8" t="s">
        <v>2938</v>
      </c>
      <c r="X810" s="6"/>
      <c r="Y810" s="6"/>
      <c r="Z810" s="6"/>
      <c r="AA810" s="6" t="s">
        <v>207</v>
      </c>
      <c r="AB810" s="8"/>
    </row>
    <row r="811" spans="1:28" s="4" customFormat="1" ht="51.95" customHeight="1">
      <c r="A811" s="5">
        <v>0</v>
      </c>
      <c r="B811" s="6" t="s">
        <v>5232</v>
      </c>
      <c r="C811" s="7">
        <v>790</v>
      </c>
      <c r="D811" s="8" t="s">
        <v>5233</v>
      </c>
      <c r="E811" s="8" t="s">
        <v>5234</v>
      </c>
      <c r="F811" s="8" t="s">
        <v>5235</v>
      </c>
      <c r="G811" s="6" t="s">
        <v>89</v>
      </c>
      <c r="H811" s="6" t="s">
        <v>53</v>
      </c>
      <c r="I811" s="8" t="s">
        <v>212</v>
      </c>
      <c r="J811" s="9">
        <v>1</v>
      </c>
      <c r="K811" s="9">
        <v>170</v>
      </c>
      <c r="L811" s="9">
        <v>2024</v>
      </c>
      <c r="M811" s="8" t="s">
        <v>5236</v>
      </c>
      <c r="N811" s="8" t="s">
        <v>79</v>
      </c>
      <c r="O811" s="8" t="s">
        <v>396</v>
      </c>
      <c r="P811" s="6" t="s">
        <v>43</v>
      </c>
      <c r="Q811" s="8" t="s">
        <v>214</v>
      </c>
      <c r="R811" s="10" t="s">
        <v>5237</v>
      </c>
      <c r="S811" s="11" t="s">
        <v>5238</v>
      </c>
      <c r="T811" s="6"/>
      <c r="U811" s="24" t="str">
        <f>HYPERLINK("https://media.infra-m.ru/2111/2111348/cover/2111348.jpg", "Обложка")</f>
        <v>Обложка</v>
      </c>
      <c r="V811" s="24" t="str">
        <f>HYPERLINK("https://znanium.ru/catalog/product/2111348", "Ознакомиться")</f>
        <v>Ознакомиться</v>
      </c>
      <c r="W811" s="8" t="s">
        <v>450</v>
      </c>
      <c r="X811" s="6"/>
      <c r="Y811" s="6"/>
      <c r="Z811" s="6"/>
      <c r="AA811" s="6" t="s">
        <v>219</v>
      </c>
      <c r="AB811" s="8"/>
    </row>
    <row r="812" spans="1:28" s="4" customFormat="1" ht="51.95" customHeight="1">
      <c r="A812" s="5">
        <v>0</v>
      </c>
      <c r="B812" s="6" t="s">
        <v>5239</v>
      </c>
      <c r="C812" s="13">
        <v>1134</v>
      </c>
      <c r="D812" s="8" t="s">
        <v>5240</v>
      </c>
      <c r="E812" s="8" t="s">
        <v>5241</v>
      </c>
      <c r="F812" s="8" t="s">
        <v>5242</v>
      </c>
      <c r="G812" s="6" t="s">
        <v>89</v>
      </c>
      <c r="H812" s="6" t="s">
        <v>53</v>
      </c>
      <c r="I812" s="8" t="s">
        <v>90</v>
      </c>
      <c r="J812" s="9">
        <v>1</v>
      </c>
      <c r="K812" s="9">
        <v>251</v>
      </c>
      <c r="L812" s="9">
        <v>2023</v>
      </c>
      <c r="M812" s="8" t="s">
        <v>5243</v>
      </c>
      <c r="N812" s="8" t="s">
        <v>79</v>
      </c>
      <c r="O812" s="8" t="s">
        <v>396</v>
      </c>
      <c r="P812" s="6" t="s">
        <v>167</v>
      </c>
      <c r="Q812" s="8" t="s">
        <v>44</v>
      </c>
      <c r="R812" s="10" t="s">
        <v>5244</v>
      </c>
      <c r="S812" s="11" t="s">
        <v>5245</v>
      </c>
      <c r="T812" s="6" t="s">
        <v>299</v>
      </c>
      <c r="U812" s="24" t="str">
        <f>HYPERLINK("https://media.infra-m.ru/2006/2006031/cover/2006031.jpg", "Обложка")</f>
        <v>Обложка</v>
      </c>
      <c r="V812" s="24" t="str">
        <f>HYPERLINK("https://znanium.ru/catalog/product/2006031", "Ознакомиться")</f>
        <v>Ознакомиться</v>
      </c>
      <c r="W812" s="8" t="s">
        <v>5142</v>
      </c>
      <c r="X812" s="6"/>
      <c r="Y812" s="6"/>
      <c r="Z812" s="6"/>
      <c r="AA812" s="6" t="s">
        <v>442</v>
      </c>
      <c r="AB812" s="8"/>
    </row>
    <row r="813" spans="1:28" s="4" customFormat="1" ht="51.95" customHeight="1">
      <c r="A813" s="5">
        <v>0</v>
      </c>
      <c r="B813" s="6" t="s">
        <v>5246</v>
      </c>
      <c r="C813" s="7">
        <v>990</v>
      </c>
      <c r="D813" s="8" t="s">
        <v>5247</v>
      </c>
      <c r="E813" s="8" t="s">
        <v>5248</v>
      </c>
      <c r="F813" s="8" t="s">
        <v>5249</v>
      </c>
      <c r="G813" s="6" t="s">
        <v>89</v>
      </c>
      <c r="H813" s="6" t="s">
        <v>53</v>
      </c>
      <c r="I813" s="8" t="s">
        <v>90</v>
      </c>
      <c r="J813" s="9">
        <v>1</v>
      </c>
      <c r="K813" s="9">
        <v>270</v>
      </c>
      <c r="L813" s="9">
        <v>2021</v>
      </c>
      <c r="M813" s="8" t="s">
        <v>5250</v>
      </c>
      <c r="N813" s="8" t="s">
        <v>413</v>
      </c>
      <c r="O813" s="8" t="s">
        <v>414</v>
      </c>
      <c r="P813" s="6" t="s">
        <v>43</v>
      </c>
      <c r="Q813" s="8" t="s">
        <v>44</v>
      </c>
      <c r="R813" s="10" t="s">
        <v>5251</v>
      </c>
      <c r="S813" s="11" t="s">
        <v>5252</v>
      </c>
      <c r="T813" s="6" t="s">
        <v>299</v>
      </c>
      <c r="U813" s="24" t="str">
        <f>HYPERLINK("https://media.infra-m.ru/1194/1194144/cover/1194144.jpg", "Обложка")</f>
        <v>Обложка</v>
      </c>
      <c r="V813" s="24" t="str">
        <f>HYPERLINK("https://znanium.ru/catalog/product/2135405", "Ознакомиться")</f>
        <v>Ознакомиться</v>
      </c>
      <c r="W813" s="8" t="s">
        <v>4293</v>
      </c>
      <c r="X813" s="6"/>
      <c r="Y813" s="6"/>
      <c r="Z813" s="6"/>
      <c r="AA813" s="6" t="s">
        <v>47</v>
      </c>
      <c r="AB813" s="8"/>
    </row>
    <row r="814" spans="1:28" s="4" customFormat="1" ht="51.95" customHeight="1">
      <c r="A814" s="5">
        <v>0</v>
      </c>
      <c r="B814" s="6" t="s">
        <v>5253</v>
      </c>
      <c r="C814" s="13">
        <v>1290</v>
      </c>
      <c r="D814" s="8" t="s">
        <v>5254</v>
      </c>
      <c r="E814" s="8" t="s">
        <v>5255</v>
      </c>
      <c r="F814" s="8" t="s">
        <v>5249</v>
      </c>
      <c r="G814" s="6" t="s">
        <v>89</v>
      </c>
      <c r="H814" s="6" t="s">
        <v>53</v>
      </c>
      <c r="I814" s="8" t="s">
        <v>116</v>
      </c>
      <c r="J814" s="9">
        <v>1</v>
      </c>
      <c r="K814" s="9">
        <v>273</v>
      </c>
      <c r="L814" s="9">
        <v>2024</v>
      </c>
      <c r="M814" s="8" t="s">
        <v>5250</v>
      </c>
      <c r="N814" s="8" t="s">
        <v>413</v>
      </c>
      <c r="O814" s="8" t="s">
        <v>414</v>
      </c>
      <c r="P814" s="6" t="s">
        <v>43</v>
      </c>
      <c r="Q814" s="8" t="s">
        <v>44</v>
      </c>
      <c r="R814" s="10" t="s">
        <v>5251</v>
      </c>
      <c r="S814" s="11"/>
      <c r="T814" s="6" t="s">
        <v>299</v>
      </c>
      <c r="U814" s="24" t="str">
        <f>HYPERLINK("https://media.infra-m.ru/2135/2135405/cover/2135405.jpg", "Обложка")</f>
        <v>Обложка</v>
      </c>
      <c r="V814" s="24" t="str">
        <f>HYPERLINK("https://znanium.ru/catalog/product/2135405", "Ознакомиться")</f>
        <v>Ознакомиться</v>
      </c>
      <c r="W814" s="8" t="s">
        <v>4293</v>
      </c>
      <c r="X814" s="6"/>
      <c r="Y814" s="6"/>
      <c r="Z814" s="6"/>
      <c r="AA814" s="6" t="s">
        <v>813</v>
      </c>
      <c r="AB814" s="8"/>
    </row>
    <row r="815" spans="1:28" s="4" customFormat="1" ht="51.95" customHeight="1">
      <c r="A815" s="5">
        <v>0</v>
      </c>
      <c r="B815" s="6" t="s">
        <v>5256</v>
      </c>
      <c r="C815" s="13">
        <v>1910</v>
      </c>
      <c r="D815" s="8" t="s">
        <v>5257</v>
      </c>
      <c r="E815" s="8" t="s">
        <v>5258</v>
      </c>
      <c r="F815" s="8" t="s">
        <v>5259</v>
      </c>
      <c r="G815" s="6" t="s">
        <v>52</v>
      </c>
      <c r="H815" s="6" t="s">
        <v>53</v>
      </c>
      <c r="I815" s="8" t="s">
        <v>116</v>
      </c>
      <c r="J815" s="9">
        <v>1</v>
      </c>
      <c r="K815" s="9">
        <v>411</v>
      </c>
      <c r="L815" s="9">
        <v>2024</v>
      </c>
      <c r="M815" s="8" t="s">
        <v>5260</v>
      </c>
      <c r="N815" s="8" t="s">
        <v>413</v>
      </c>
      <c r="O815" s="8" t="s">
        <v>414</v>
      </c>
      <c r="P815" s="6" t="s">
        <v>43</v>
      </c>
      <c r="Q815" s="8" t="s">
        <v>44</v>
      </c>
      <c r="R815" s="10" t="s">
        <v>1311</v>
      </c>
      <c r="S815" s="11" t="s">
        <v>5261</v>
      </c>
      <c r="T815" s="6"/>
      <c r="U815" s="24" t="str">
        <f>HYPERLINK("https://media.infra-m.ru/1969/1969528/cover/1969528.jpg", "Обложка")</f>
        <v>Обложка</v>
      </c>
      <c r="V815" s="24" t="str">
        <f>HYPERLINK("https://znanium.ru/catalog/product/1969528", "Ознакомиться")</f>
        <v>Ознакомиться</v>
      </c>
      <c r="W815" s="8" t="s">
        <v>4293</v>
      </c>
      <c r="X815" s="6"/>
      <c r="Y815" s="6"/>
      <c r="Z815" s="6"/>
      <c r="AA815" s="6" t="s">
        <v>638</v>
      </c>
      <c r="AB815" s="8"/>
    </row>
    <row r="816" spans="1:28" s="4" customFormat="1" ht="51.95" customHeight="1">
      <c r="A816" s="5">
        <v>0</v>
      </c>
      <c r="B816" s="6" t="s">
        <v>5262</v>
      </c>
      <c r="C816" s="7">
        <v>750</v>
      </c>
      <c r="D816" s="8" t="s">
        <v>5263</v>
      </c>
      <c r="E816" s="8" t="s">
        <v>5264</v>
      </c>
      <c r="F816" s="8" t="s">
        <v>5265</v>
      </c>
      <c r="G816" s="6" t="s">
        <v>89</v>
      </c>
      <c r="H816" s="6" t="s">
        <v>53</v>
      </c>
      <c r="I816" s="8" t="s">
        <v>116</v>
      </c>
      <c r="J816" s="9">
        <v>1</v>
      </c>
      <c r="K816" s="9">
        <v>154</v>
      </c>
      <c r="L816" s="9">
        <v>2024</v>
      </c>
      <c r="M816" s="8" t="s">
        <v>5266</v>
      </c>
      <c r="N816" s="8" t="s">
        <v>41</v>
      </c>
      <c r="O816" s="8" t="s">
        <v>1007</v>
      </c>
      <c r="P816" s="6" t="s">
        <v>43</v>
      </c>
      <c r="Q816" s="8" t="s">
        <v>58</v>
      </c>
      <c r="R816" s="10" t="s">
        <v>5267</v>
      </c>
      <c r="S816" s="11" t="s">
        <v>5268</v>
      </c>
      <c r="T816" s="6"/>
      <c r="U816" s="24" t="str">
        <f>HYPERLINK("https://media.infra-m.ru/2142/2142818/cover/2142818.jpg", "Обложка")</f>
        <v>Обложка</v>
      </c>
      <c r="V816" s="24" t="str">
        <f>HYPERLINK("https://znanium.ru/catalog/product/2142818", "Ознакомиться")</f>
        <v>Ознакомиться</v>
      </c>
      <c r="W816" s="8" t="s">
        <v>3426</v>
      </c>
      <c r="X816" s="6"/>
      <c r="Y816" s="6"/>
      <c r="Z816" s="6"/>
      <c r="AA816" s="6" t="s">
        <v>151</v>
      </c>
      <c r="AB816" s="8"/>
    </row>
    <row r="817" spans="1:28" s="4" customFormat="1" ht="51.95" customHeight="1">
      <c r="A817" s="5">
        <v>0</v>
      </c>
      <c r="B817" s="6" t="s">
        <v>5269</v>
      </c>
      <c r="C817" s="13">
        <v>2650</v>
      </c>
      <c r="D817" s="8" t="s">
        <v>5270</v>
      </c>
      <c r="E817" s="8" t="s">
        <v>5271</v>
      </c>
      <c r="F817" s="8" t="s">
        <v>5272</v>
      </c>
      <c r="G817" s="6" t="s">
        <v>52</v>
      </c>
      <c r="H817" s="6" t="s">
        <v>53</v>
      </c>
      <c r="I817" s="8" t="s">
        <v>116</v>
      </c>
      <c r="J817" s="9">
        <v>1</v>
      </c>
      <c r="K817" s="9">
        <v>668</v>
      </c>
      <c r="L817" s="9">
        <v>2024</v>
      </c>
      <c r="M817" s="8" t="s">
        <v>5273</v>
      </c>
      <c r="N817" s="8" t="s">
        <v>79</v>
      </c>
      <c r="O817" s="8" t="s">
        <v>424</v>
      </c>
      <c r="P817" s="6" t="s">
        <v>43</v>
      </c>
      <c r="Q817" s="8" t="s">
        <v>58</v>
      </c>
      <c r="R817" s="10" t="s">
        <v>5274</v>
      </c>
      <c r="S817" s="11" t="s">
        <v>5275</v>
      </c>
      <c r="T817" s="6"/>
      <c r="U817" s="24" t="str">
        <f>HYPERLINK("https://media.infra-m.ru/2141/2141025/cover/2141025.jpg", "Обложка")</f>
        <v>Обложка</v>
      </c>
      <c r="V817" s="24" t="str">
        <f>HYPERLINK("https://znanium.ru/catalog/product/2141025", "Ознакомиться")</f>
        <v>Ознакомиться</v>
      </c>
      <c r="W817" s="8" t="s">
        <v>347</v>
      </c>
      <c r="X817" s="6"/>
      <c r="Y817" s="6"/>
      <c r="Z817" s="6"/>
      <c r="AA817" s="6" t="s">
        <v>442</v>
      </c>
      <c r="AB817" s="8"/>
    </row>
    <row r="818" spans="1:28" s="4" customFormat="1" ht="51.95" customHeight="1">
      <c r="A818" s="5">
        <v>0</v>
      </c>
      <c r="B818" s="6" t="s">
        <v>5276</v>
      </c>
      <c r="C818" s="7">
        <v>730</v>
      </c>
      <c r="D818" s="8" t="s">
        <v>5277</v>
      </c>
      <c r="E818" s="8" t="s">
        <v>5278</v>
      </c>
      <c r="F818" s="8" t="s">
        <v>5279</v>
      </c>
      <c r="G818" s="6" t="s">
        <v>38</v>
      </c>
      <c r="H818" s="6" t="s">
        <v>53</v>
      </c>
      <c r="I818" s="8" t="s">
        <v>5280</v>
      </c>
      <c r="J818" s="9">
        <v>1</v>
      </c>
      <c r="K818" s="9">
        <v>126</v>
      </c>
      <c r="L818" s="9">
        <v>2024</v>
      </c>
      <c r="M818" s="8" t="s">
        <v>5281</v>
      </c>
      <c r="N818" s="8" t="s">
        <v>79</v>
      </c>
      <c r="O818" s="8" t="s">
        <v>174</v>
      </c>
      <c r="P818" s="6" t="s">
        <v>43</v>
      </c>
      <c r="Q818" s="8" t="s">
        <v>214</v>
      </c>
      <c r="R818" s="10" t="s">
        <v>5282</v>
      </c>
      <c r="S818" s="11" t="s">
        <v>5283</v>
      </c>
      <c r="T818" s="6"/>
      <c r="U818" s="24" t="str">
        <f>HYPERLINK("https://media.infra-m.ru/2133/2133559/cover/2133559.jpg", "Обложка")</f>
        <v>Обложка</v>
      </c>
      <c r="V818" s="24" t="str">
        <f>HYPERLINK("https://znanium.ru/catalog/product/2133559", "Ознакомиться")</f>
        <v>Ознакомиться</v>
      </c>
      <c r="W818" s="8" t="s">
        <v>5284</v>
      </c>
      <c r="X818" s="6"/>
      <c r="Y818" s="6"/>
      <c r="Z818" s="6"/>
      <c r="AA818" s="6" t="s">
        <v>793</v>
      </c>
      <c r="AB818" s="8"/>
    </row>
    <row r="819" spans="1:28" s="4" customFormat="1" ht="51.95" customHeight="1">
      <c r="A819" s="5">
        <v>0</v>
      </c>
      <c r="B819" s="6" t="s">
        <v>5285</v>
      </c>
      <c r="C819" s="13">
        <v>1590</v>
      </c>
      <c r="D819" s="8" t="s">
        <v>5286</v>
      </c>
      <c r="E819" s="8" t="s">
        <v>5287</v>
      </c>
      <c r="F819" s="8" t="s">
        <v>483</v>
      </c>
      <c r="G819" s="6" t="s">
        <v>52</v>
      </c>
      <c r="H819" s="6" t="s">
        <v>53</v>
      </c>
      <c r="I819" s="8" t="s">
        <v>90</v>
      </c>
      <c r="J819" s="9">
        <v>1</v>
      </c>
      <c r="K819" s="9">
        <v>265</v>
      </c>
      <c r="L819" s="9">
        <v>2022</v>
      </c>
      <c r="M819" s="8" t="s">
        <v>5288</v>
      </c>
      <c r="N819" s="8" t="s">
        <v>79</v>
      </c>
      <c r="O819" s="8" t="s">
        <v>396</v>
      </c>
      <c r="P819" s="6" t="s">
        <v>43</v>
      </c>
      <c r="Q819" s="8" t="s">
        <v>44</v>
      </c>
      <c r="R819" s="10" t="s">
        <v>5289</v>
      </c>
      <c r="S819" s="11" t="s">
        <v>5290</v>
      </c>
      <c r="T819" s="6"/>
      <c r="U819" s="24" t="str">
        <f>HYPERLINK("https://media.infra-m.ru/1196/1196558/cover/1196558.jpg", "Обложка")</f>
        <v>Обложка</v>
      </c>
      <c r="V819" s="24" t="str">
        <f>HYPERLINK("https://znanium.ru/catalog/product/1196558", "Ознакомиться")</f>
        <v>Ознакомиться</v>
      </c>
      <c r="W819" s="8" t="s">
        <v>487</v>
      </c>
      <c r="X819" s="6"/>
      <c r="Y819" s="6"/>
      <c r="Z819" s="6"/>
      <c r="AA819" s="6" t="s">
        <v>235</v>
      </c>
      <c r="AB819" s="8"/>
    </row>
    <row r="820" spans="1:28" s="4" customFormat="1" ht="51.95" customHeight="1">
      <c r="A820" s="5">
        <v>0</v>
      </c>
      <c r="B820" s="6" t="s">
        <v>5291</v>
      </c>
      <c r="C820" s="13">
        <v>1244</v>
      </c>
      <c r="D820" s="8" t="s">
        <v>5292</v>
      </c>
      <c r="E820" s="8" t="s">
        <v>5293</v>
      </c>
      <c r="F820" s="8" t="s">
        <v>5294</v>
      </c>
      <c r="G820" s="6" t="s">
        <v>38</v>
      </c>
      <c r="H820" s="6" t="s">
        <v>39</v>
      </c>
      <c r="I820" s="8" t="s">
        <v>90</v>
      </c>
      <c r="J820" s="9">
        <v>1</v>
      </c>
      <c r="K820" s="9">
        <v>240</v>
      </c>
      <c r="L820" s="9">
        <v>2025</v>
      </c>
      <c r="M820" s="8" t="s">
        <v>5295</v>
      </c>
      <c r="N820" s="8" t="s">
        <v>79</v>
      </c>
      <c r="O820" s="8" t="s">
        <v>570</v>
      </c>
      <c r="P820" s="6" t="s">
        <v>43</v>
      </c>
      <c r="Q820" s="8" t="s">
        <v>44</v>
      </c>
      <c r="R820" s="10" t="s">
        <v>5296</v>
      </c>
      <c r="S820" s="11" t="s">
        <v>5297</v>
      </c>
      <c r="T820" s="6"/>
      <c r="U820" s="24" t="str">
        <f>HYPERLINK("https://media.infra-m.ru/2194/2194376/cover/2194376.jpg", "Обложка")</f>
        <v>Обложка</v>
      </c>
      <c r="V820" s="12"/>
      <c r="W820" s="8" t="s">
        <v>5298</v>
      </c>
      <c r="X820" s="6"/>
      <c r="Y820" s="6"/>
      <c r="Z820" s="6"/>
      <c r="AA820" s="6" t="s">
        <v>84</v>
      </c>
      <c r="AB820" s="8"/>
    </row>
    <row r="821" spans="1:28" s="4" customFormat="1" ht="42" customHeight="1">
      <c r="A821" s="5">
        <v>0</v>
      </c>
      <c r="B821" s="6" t="s">
        <v>5299</v>
      </c>
      <c r="C821" s="13">
        <v>1580</v>
      </c>
      <c r="D821" s="8" t="s">
        <v>5300</v>
      </c>
      <c r="E821" s="8" t="s">
        <v>5301</v>
      </c>
      <c r="F821" s="8" t="s">
        <v>5302</v>
      </c>
      <c r="G821" s="6" t="s">
        <v>52</v>
      </c>
      <c r="H821" s="6" t="s">
        <v>53</v>
      </c>
      <c r="I821" s="8" t="s">
        <v>116</v>
      </c>
      <c r="J821" s="9">
        <v>1</v>
      </c>
      <c r="K821" s="9">
        <v>315</v>
      </c>
      <c r="L821" s="9">
        <v>2025</v>
      </c>
      <c r="M821" s="8" t="s">
        <v>5303</v>
      </c>
      <c r="N821" s="8" t="s">
        <v>68</v>
      </c>
      <c r="O821" s="8" t="s">
        <v>69</v>
      </c>
      <c r="P821" s="6" t="s">
        <v>43</v>
      </c>
      <c r="Q821" s="8" t="s">
        <v>58</v>
      </c>
      <c r="R821" s="10" t="s">
        <v>5304</v>
      </c>
      <c r="S821" s="11"/>
      <c r="T821" s="6"/>
      <c r="U821" s="24" t="str">
        <f>HYPERLINK("https://media.infra-m.ru/1815/1815939/cover/1815939.jpg", "Обложка")</f>
        <v>Обложка</v>
      </c>
      <c r="V821" s="24" t="str">
        <f>HYPERLINK("https://znanium.ru/catalog/product/1815939", "Ознакомиться")</f>
        <v>Ознакомиться</v>
      </c>
      <c r="W821" s="8" t="s">
        <v>5305</v>
      </c>
      <c r="X821" s="6" t="s">
        <v>548</v>
      </c>
      <c r="Y821" s="6"/>
      <c r="Z821" s="6"/>
      <c r="AA821" s="6" t="s">
        <v>549</v>
      </c>
      <c r="AB821" s="8"/>
    </row>
    <row r="822" spans="1:28" s="4" customFormat="1" ht="42" customHeight="1">
      <c r="A822" s="5">
        <v>0</v>
      </c>
      <c r="B822" s="6" t="s">
        <v>5306</v>
      </c>
      <c r="C822" s="13">
        <v>1654</v>
      </c>
      <c r="D822" s="8" t="s">
        <v>5307</v>
      </c>
      <c r="E822" s="8" t="s">
        <v>5308</v>
      </c>
      <c r="F822" s="8" t="s">
        <v>5309</v>
      </c>
      <c r="G822" s="6" t="s">
        <v>52</v>
      </c>
      <c r="H822" s="6" t="s">
        <v>53</v>
      </c>
      <c r="I822" s="8" t="s">
        <v>116</v>
      </c>
      <c r="J822" s="9">
        <v>1</v>
      </c>
      <c r="K822" s="9">
        <v>319</v>
      </c>
      <c r="L822" s="9">
        <v>2025</v>
      </c>
      <c r="M822" s="8" t="s">
        <v>5310</v>
      </c>
      <c r="N822" s="8" t="s">
        <v>413</v>
      </c>
      <c r="O822" s="8" t="s">
        <v>1141</v>
      </c>
      <c r="P822" s="6" t="s">
        <v>167</v>
      </c>
      <c r="Q822" s="8" t="s">
        <v>44</v>
      </c>
      <c r="R822" s="10" t="s">
        <v>5311</v>
      </c>
      <c r="S822" s="11"/>
      <c r="T822" s="6"/>
      <c r="U822" s="24" t="str">
        <f>HYPERLINK("https://media.infra-m.ru/2191/2191627/cover/2191627.jpg", "Обложка")</f>
        <v>Обложка</v>
      </c>
      <c r="V822" s="24" t="str">
        <f>HYPERLINK("https://znanium.ru/catalog/product/2127952", "Ознакомиться")</f>
        <v>Ознакомиться</v>
      </c>
      <c r="W822" s="8" t="s">
        <v>450</v>
      </c>
      <c r="X822" s="6"/>
      <c r="Y822" s="6"/>
      <c r="Z822" s="6"/>
      <c r="AA822" s="6" t="s">
        <v>207</v>
      </c>
      <c r="AB822" s="8"/>
    </row>
    <row r="823" spans="1:28" s="4" customFormat="1" ht="51.95" customHeight="1">
      <c r="A823" s="5">
        <v>0</v>
      </c>
      <c r="B823" s="6" t="s">
        <v>5312</v>
      </c>
      <c r="C823" s="13">
        <v>1400</v>
      </c>
      <c r="D823" s="8" t="s">
        <v>5313</v>
      </c>
      <c r="E823" s="8" t="s">
        <v>5314</v>
      </c>
      <c r="F823" s="8" t="s">
        <v>5315</v>
      </c>
      <c r="G823" s="6" t="s">
        <v>89</v>
      </c>
      <c r="H823" s="6" t="s">
        <v>53</v>
      </c>
      <c r="I823" s="8" t="s">
        <v>100</v>
      </c>
      <c r="J823" s="9">
        <v>1</v>
      </c>
      <c r="K823" s="9">
        <v>270</v>
      </c>
      <c r="L823" s="9">
        <v>2025</v>
      </c>
      <c r="M823" s="8" t="s">
        <v>5316</v>
      </c>
      <c r="N823" s="8" t="s">
        <v>413</v>
      </c>
      <c r="O823" s="8" t="s">
        <v>1141</v>
      </c>
      <c r="P823" s="6" t="s">
        <v>167</v>
      </c>
      <c r="Q823" s="8" t="s">
        <v>102</v>
      </c>
      <c r="R823" s="10" t="s">
        <v>5317</v>
      </c>
      <c r="S823" s="11" t="s">
        <v>5318</v>
      </c>
      <c r="T823" s="6"/>
      <c r="U823" s="24" t="str">
        <f>HYPERLINK("https://media.infra-m.ru/2192/2192594/cover/2192594.jpg", "Обложка")</f>
        <v>Обложка</v>
      </c>
      <c r="V823" s="24" t="str">
        <f>HYPERLINK("https://znanium.ru/catalog/product/2192594", "Ознакомиться")</f>
        <v>Ознакомиться</v>
      </c>
      <c r="W823" s="8" t="s">
        <v>450</v>
      </c>
      <c r="X823" s="6"/>
      <c r="Y823" s="6"/>
      <c r="Z823" s="6" t="s">
        <v>502</v>
      </c>
      <c r="AA823" s="6" t="s">
        <v>898</v>
      </c>
      <c r="AB823" s="8"/>
    </row>
    <row r="824" spans="1:28" s="4" customFormat="1" ht="51.95" customHeight="1">
      <c r="A824" s="5">
        <v>0</v>
      </c>
      <c r="B824" s="6" t="s">
        <v>5319</v>
      </c>
      <c r="C824" s="13">
        <v>1290</v>
      </c>
      <c r="D824" s="8" t="s">
        <v>5320</v>
      </c>
      <c r="E824" s="8" t="s">
        <v>5321</v>
      </c>
      <c r="F824" s="8" t="s">
        <v>5315</v>
      </c>
      <c r="G824" s="6" t="s">
        <v>89</v>
      </c>
      <c r="H824" s="6" t="s">
        <v>53</v>
      </c>
      <c r="I824" s="8" t="s">
        <v>116</v>
      </c>
      <c r="J824" s="9">
        <v>1</v>
      </c>
      <c r="K824" s="9">
        <v>272</v>
      </c>
      <c r="L824" s="9">
        <v>2024</v>
      </c>
      <c r="M824" s="8" t="s">
        <v>5322</v>
      </c>
      <c r="N824" s="8" t="s">
        <v>413</v>
      </c>
      <c r="O824" s="8" t="s">
        <v>1141</v>
      </c>
      <c r="P824" s="6" t="s">
        <v>167</v>
      </c>
      <c r="Q824" s="8" t="s">
        <v>58</v>
      </c>
      <c r="R824" s="10" t="s">
        <v>5323</v>
      </c>
      <c r="S824" s="11" t="s">
        <v>5324</v>
      </c>
      <c r="T824" s="6"/>
      <c r="U824" s="24" t="str">
        <f>HYPERLINK("https://media.infra-m.ru/2113/2113849/cover/2113849.jpg", "Обложка")</f>
        <v>Обложка</v>
      </c>
      <c r="V824" s="24" t="str">
        <f>HYPERLINK("https://znanium.ru/catalog/product/2113849", "Ознакомиться")</f>
        <v>Ознакомиться</v>
      </c>
      <c r="W824" s="8" t="s">
        <v>450</v>
      </c>
      <c r="X824" s="6"/>
      <c r="Y824" s="6"/>
      <c r="Z824" s="6"/>
      <c r="AA824" s="6" t="s">
        <v>5325</v>
      </c>
      <c r="AB824" s="8"/>
    </row>
    <row r="825" spans="1:28" s="4" customFormat="1" ht="51.95" customHeight="1">
      <c r="A825" s="5">
        <v>0</v>
      </c>
      <c r="B825" s="6" t="s">
        <v>5326</v>
      </c>
      <c r="C825" s="13">
        <v>2320</v>
      </c>
      <c r="D825" s="8" t="s">
        <v>5327</v>
      </c>
      <c r="E825" s="8" t="s">
        <v>5328</v>
      </c>
      <c r="F825" s="8" t="s">
        <v>5329</v>
      </c>
      <c r="G825" s="6" t="s">
        <v>52</v>
      </c>
      <c r="H825" s="6" t="s">
        <v>53</v>
      </c>
      <c r="I825" s="8" t="s">
        <v>116</v>
      </c>
      <c r="J825" s="9">
        <v>1</v>
      </c>
      <c r="K825" s="9">
        <v>446</v>
      </c>
      <c r="L825" s="9">
        <v>2025</v>
      </c>
      <c r="M825" s="8" t="s">
        <v>5330</v>
      </c>
      <c r="N825" s="8" t="s">
        <v>79</v>
      </c>
      <c r="O825" s="8" t="s">
        <v>148</v>
      </c>
      <c r="P825" s="6" t="s">
        <v>167</v>
      </c>
      <c r="Q825" s="8" t="s">
        <v>44</v>
      </c>
      <c r="R825" s="10" t="s">
        <v>5331</v>
      </c>
      <c r="S825" s="11" t="s">
        <v>5324</v>
      </c>
      <c r="T825" s="6"/>
      <c r="U825" s="24" t="str">
        <f>HYPERLINK("https://media.infra-m.ru/2183/2183981/cover/2183981.jpg", "Обложка")</f>
        <v>Обложка</v>
      </c>
      <c r="V825" s="24" t="str">
        <f>HYPERLINK("https://znanium.ru/catalog/product/2183981", "Ознакомиться")</f>
        <v>Ознакомиться</v>
      </c>
      <c r="W825" s="8" t="s">
        <v>450</v>
      </c>
      <c r="X825" s="6"/>
      <c r="Y825" s="6"/>
      <c r="Z825" s="6"/>
      <c r="AA825" s="6" t="s">
        <v>5325</v>
      </c>
      <c r="AB825" s="8"/>
    </row>
    <row r="826" spans="1:28" s="4" customFormat="1" ht="42" customHeight="1">
      <c r="A826" s="5">
        <v>0</v>
      </c>
      <c r="B826" s="6" t="s">
        <v>5332</v>
      </c>
      <c r="C826" s="13">
        <v>1700</v>
      </c>
      <c r="D826" s="8" t="s">
        <v>5333</v>
      </c>
      <c r="E826" s="8" t="s">
        <v>5334</v>
      </c>
      <c r="F826" s="8" t="s">
        <v>5335</v>
      </c>
      <c r="G826" s="6" t="s">
        <v>89</v>
      </c>
      <c r="H826" s="6" t="s">
        <v>53</v>
      </c>
      <c r="I826" s="8" t="s">
        <v>90</v>
      </c>
      <c r="J826" s="9">
        <v>1</v>
      </c>
      <c r="K826" s="9">
        <v>368</v>
      </c>
      <c r="L826" s="9">
        <v>2023</v>
      </c>
      <c r="M826" s="8" t="s">
        <v>5336</v>
      </c>
      <c r="N826" s="8" t="s">
        <v>413</v>
      </c>
      <c r="O826" s="8" t="s">
        <v>414</v>
      </c>
      <c r="P826" s="6" t="s">
        <v>43</v>
      </c>
      <c r="Q826" s="8" t="s">
        <v>44</v>
      </c>
      <c r="R826" s="10" t="s">
        <v>4598</v>
      </c>
      <c r="S826" s="11"/>
      <c r="T826" s="6"/>
      <c r="U826" s="24" t="str">
        <f>HYPERLINK("https://media.infra-m.ru/2125/2125715/cover/2125715.jpg", "Обложка")</f>
        <v>Обложка</v>
      </c>
      <c r="V826" s="24" t="str">
        <f>HYPERLINK("https://znanium.ru/catalog/product/2125715", "Ознакомиться")</f>
        <v>Ознакомиться</v>
      </c>
      <c r="W826" s="8" t="s">
        <v>5337</v>
      </c>
      <c r="X826" s="6"/>
      <c r="Y826" s="6"/>
      <c r="Z826" s="6"/>
      <c r="AA826" s="6" t="s">
        <v>111</v>
      </c>
      <c r="AB826" s="8"/>
    </row>
    <row r="827" spans="1:28" s="4" customFormat="1" ht="51.95" customHeight="1">
      <c r="A827" s="5">
        <v>0</v>
      </c>
      <c r="B827" s="6" t="s">
        <v>5338</v>
      </c>
      <c r="C827" s="13">
        <v>1470</v>
      </c>
      <c r="D827" s="8" t="s">
        <v>5339</v>
      </c>
      <c r="E827" s="8" t="s">
        <v>5340</v>
      </c>
      <c r="F827" s="8" t="s">
        <v>5341</v>
      </c>
      <c r="G827" s="6" t="s">
        <v>89</v>
      </c>
      <c r="H827" s="6" t="s">
        <v>53</v>
      </c>
      <c r="I827" s="8" t="s">
        <v>90</v>
      </c>
      <c r="J827" s="9">
        <v>1</v>
      </c>
      <c r="K827" s="9">
        <v>318</v>
      </c>
      <c r="L827" s="9">
        <v>2023</v>
      </c>
      <c r="M827" s="8" t="s">
        <v>5342</v>
      </c>
      <c r="N827" s="8" t="s">
        <v>79</v>
      </c>
      <c r="O827" s="8" t="s">
        <v>684</v>
      </c>
      <c r="P827" s="6" t="s">
        <v>43</v>
      </c>
      <c r="Q827" s="8" t="s">
        <v>44</v>
      </c>
      <c r="R827" s="10" t="s">
        <v>5343</v>
      </c>
      <c r="S827" s="11" t="s">
        <v>5344</v>
      </c>
      <c r="T827" s="6"/>
      <c r="U827" s="24" t="str">
        <f>HYPERLINK("https://media.infra-m.ru/2127/2127024/cover/2127024.jpg", "Обложка")</f>
        <v>Обложка</v>
      </c>
      <c r="V827" s="24" t="str">
        <f>HYPERLINK("https://znanium.ru/catalog/product/2127024", "Ознакомиться")</f>
        <v>Ознакомиться</v>
      </c>
      <c r="W827" s="8" t="s">
        <v>5345</v>
      </c>
      <c r="X827" s="6"/>
      <c r="Y827" s="6"/>
      <c r="Z827" s="6"/>
      <c r="AA827" s="6" t="s">
        <v>793</v>
      </c>
      <c r="AB827" s="8" t="s">
        <v>1383</v>
      </c>
    </row>
    <row r="828" spans="1:28" s="4" customFormat="1" ht="51.95" customHeight="1">
      <c r="A828" s="5">
        <v>0</v>
      </c>
      <c r="B828" s="6" t="s">
        <v>5346</v>
      </c>
      <c r="C828" s="13">
        <v>2100</v>
      </c>
      <c r="D828" s="8" t="s">
        <v>5347</v>
      </c>
      <c r="E828" s="8" t="s">
        <v>5348</v>
      </c>
      <c r="F828" s="8" t="s">
        <v>5349</v>
      </c>
      <c r="G828" s="6" t="s">
        <v>52</v>
      </c>
      <c r="H828" s="6" t="s">
        <v>53</v>
      </c>
      <c r="I828" s="8" t="s">
        <v>116</v>
      </c>
      <c r="J828" s="9">
        <v>1</v>
      </c>
      <c r="K828" s="9">
        <v>420</v>
      </c>
      <c r="L828" s="9">
        <v>2025</v>
      </c>
      <c r="M828" s="8" t="s">
        <v>5350</v>
      </c>
      <c r="N828" s="8" t="s">
        <v>413</v>
      </c>
      <c r="O828" s="8" t="s">
        <v>1141</v>
      </c>
      <c r="P828" s="6" t="s">
        <v>167</v>
      </c>
      <c r="Q828" s="8" t="s">
        <v>44</v>
      </c>
      <c r="R828" s="10" t="s">
        <v>5343</v>
      </c>
      <c r="S828" s="11" t="s">
        <v>5351</v>
      </c>
      <c r="T828" s="6" t="s">
        <v>299</v>
      </c>
      <c r="U828" s="24" t="str">
        <f>HYPERLINK("https://media.infra-m.ru/2178/2178860/cover/2178860.jpg", "Обложка")</f>
        <v>Обложка</v>
      </c>
      <c r="V828" s="24" t="str">
        <f>HYPERLINK("https://znanium.ru/catalog/product/2178860", "Ознакомиться")</f>
        <v>Ознакомиться</v>
      </c>
      <c r="W828" s="8" t="s">
        <v>637</v>
      </c>
      <c r="X828" s="6"/>
      <c r="Y828" s="6"/>
      <c r="Z828" s="6"/>
      <c r="AA828" s="6" t="s">
        <v>111</v>
      </c>
      <c r="AB828" s="8"/>
    </row>
    <row r="829" spans="1:28" s="4" customFormat="1" ht="51.95" customHeight="1">
      <c r="A829" s="5">
        <v>0</v>
      </c>
      <c r="B829" s="6" t="s">
        <v>5352</v>
      </c>
      <c r="C829" s="13">
        <v>2164</v>
      </c>
      <c r="D829" s="8" t="s">
        <v>5353</v>
      </c>
      <c r="E829" s="8" t="s">
        <v>5348</v>
      </c>
      <c r="F829" s="8" t="s">
        <v>5354</v>
      </c>
      <c r="G829" s="6" t="s">
        <v>52</v>
      </c>
      <c r="H829" s="6" t="s">
        <v>53</v>
      </c>
      <c r="I829" s="8" t="s">
        <v>100</v>
      </c>
      <c r="J829" s="9">
        <v>1</v>
      </c>
      <c r="K829" s="9">
        <v>432</v>
      </c>
      <c r="L829" s="9">
        <v>2025</v>
      </c>
      <c r="M829" s="8" t="s">
        <v>5355</v>
      </c>
      <c r="N829" s="8" t="s">
        <v>79</v>
      </c>
      <c r="O829" s="8" t="s">
        <v>424</v>
      </c>
      <c r="P829" s="6" t="s">
        <v>167</v>
      </c>
      <c r="Q829" s="8" t="s">
        <v>102</v>
      </c>
      <c r="R829" s="10" t="s">
        <v>5356</v>
      </c>
      <c r="S829" s="11" t="s">
        <v>5357</v>
      </c>
      <c r="T829" s="6"/>
      <c r="U829" s="24" t="str">
        <f>HYPERLINK("https://media.infra-m.ru/2187/2187225/cover/2187225.jpg", "Обложка")</f>
        <v>Обложка</v>
      </c>
      <c r="V829" s="24" t="str">
        <f>HYPERLINK("https://znanium.ru/catalog/product/2130241", "Ознакомиться")</f>
        <v>Ознакомиться</v>
      </c>
      <c r="W829" s="8" t="s">
        <v>478</v>
      </c>
      <c r="X829" s="6"/>
      <c r="Y829" s="6"/>
      <c r="Z829" s="6"/>
      <c r="AA829" s="6" t="s">
        <v>654</v>
      </c>
      <c r="AB829" s="8"/>
    </row>
    <row r="830" spans="1:28" s="4" customFormat="1" ht="51.95" customHeight="1">
      <c r="A830" s="5">
        <v>0</v>
      </c>
      <c r="B830" s="6" t="s">
        <v>5358</v>
      </c>
      <c r="C830" s="13">
        <v>1250</v>
      </c>
      <c r="D830" s="8" t="s">
        <v>5359</v>
      </c>
      <c r="E830" s="8" t="s">
        <v>5348</v>
      </c>
      <c r="F830" s="8" t="s">
        <v>5360</v>
      </c>
      <c r="G830" s="6" t="s">
        <v>89</v>
      </c>
      <c r="H830" s="6" t="s">
        <v>438</v>
      </c>
      <c r="I830" s="8" t="s">
        <v>1171</v>
      </c>
      <c r="J830" s="9">
        <v>1</v>
      </c>
      <c r="K830" s="9">
        <v>320</v>
      </c>
      <c r="L830" s="9">
        <v>2022</v>
      </c>
      <c r="M830" s="8" t="s">
        <v>5361</v>
      </c>
      <c r="N830" s="8" t="s">
        <v>79</v>
      </c>
      <c r="O830" s="8" t="s">
        <v>148</v>
      </c>
      <c r="P830" s="6" t="s">
        <v>167</v>
      </c>
      <c r="Q830" s="8" t="s">
        <v>44</v>
      </c>
      <c r="R830" s="10" t="s">
        <v>5362</v>
      </c>
      <c r="S830" s="11" t="s">
        <v>5363</v>
      </c>
      <c r="T830" s="6"/>
      <c r="U830" s="24" t="str">
        <f>HYPERLINK("https://media.infra-m.ru/1841/1841090/cover/1841090.jpg", "Обложка")</f>
        <v>Обложка</v>
      </c>
      <c r="V830" s="24" t="str">
        <f>HYPERLINK("https://znanium.ru/catalog/product/1841090", "Ознакомиться")</f>
        <v>Ознакомиться</v>
      </c>
      <c r="W830" s="8" t="s">
        <v>758</v>
      </c>
      <c r="X830" s="6"/>
      <c r="Y830" s="6"/>
      <c r="Z830" s="6"/>
      <c r="AA830" s="6" t="s">
        <v>442</v>
      </c>
      <c r="AB830" s="8"/>
    </row>
    <row r="831" spans="1:28" s="4" customFormat="1" ht="51.95" customHeight="1">
      <c r="A831" s="5">
        <v>0</v>
      </c>
      <c r="B831" s="6" t="s">
        <v>5364</v>
      </c>
      <c r="C831" s="13">
        <v>2114</v>
      </c>
      <c r="D831" s="8" t="s">
        <v>5365</v>
      </c>
      <c r="E831" s="8" t="s">
        <v>5366</v>
      </c>
      <c r="F831" s="8" t="s">
        <v>5367</v>
      </c>
      <c r="G831" s="6" t="s">
        <v>89</v>
      </c>
      <c r="H831" s="6" t="s">
        <v>53</v>
      </c>
      <c r="I831" s="8" t="s">
        <v>90</v>
      </c>
      <c r="J831" s="9">
        <v>1</v>
      </c>
      <c r="K831" s="9">
        <v>423</v>
      </c>
      <c r="L831" s="9">
        <v>2025</v>
      </c>
      <c r="M831" s="8" t="s">
        <v>5368</v>
      </c>
      <c r="N831" s="8" t="s">
        <v>79</v>
      </c>
      <c r="O831" s="8" t="s">
        <v>396</v>
      </c>
      <c r="P831" s="6" t="s">
        <v>43</v>
      </c>
      <c r="Q831" s="8" t="s">
        <v>44</v>
      </c>
      <c r="R831" s="10" t="s">
        <v>5369</v>
      </c>
      <c r="S831" s="11" t="s">
        <v>5370</v>
      </c>
      <c r="T831" s="6"/>
      <c r="U831" s="24" t="str">
        <f>HYPERLINK("https://media.infra-m.ru/2168/2168791/cover/2168791.jpg", "Обложка")</f>
        <v>Обложка</v>
      </c>
      <c r="V831" s="24" t="str">
        <f>HYPERLINK("https://znanium.ru/catalog/product/996354", "Ознакомиться")</f>
        <v>Ознакомиться</v>
      </c>
      <c r="W831" s="8" t="s">
        <v>5371</v>
      </c>
      <c r="X831" s="6"/>
      <c r="Y831" s="6"/>
      <c r="Z831" s="6"/>
      <c r="AA831" s="6" t="s">
        <v>95</v>
      </c>
      <c r="AB831" s="8"/>
    </row>
    <row r="832" spans="1:28" s="4" customFormat="1" ht="51.95" customHeight="1">
      <c r="A832" s="5">
        <v>0</v>
      </c>
      <c r="B832" s="6" t="s">
        <v>5372</v>
      </c>
      <c r="C832" s="7">
        <v>910</v>
      </c>
      <c r="D832" s="8" t="s">
        <v>5373</v>
      </c>
      <c r="E832" s="8" t="s">
        <v>5348</v>
      </c>
      <c r="F832" s="8" t="s">
        <v>5367</v>
      </c>
      <c r="G832" s="6" t="s">
        <v>52</v>
      </c>
      <c r="H832" s="6" t="s">
        <v>53</v>
      </c>
      <c r="I832" s="8" t="s">
        <v>90</v>
      </c>
      <c r="J832" s="9">
        <v>1</v>
      </c>
      <c r="K832" s="9">
        <v>301</v>
      </c>
      <c r="L832" s="9">
        <v>2018</v>
      </c>
      <c r="M832" s="8" t="s">
        <v>5374</v>
      </c>
      <c r="N832" s="8" t="s">
        <v>79</v>
      </c>
      <c r="O832" s="8" t="s">
        <v>148</v>
      </c>
      <c r="P832" s="6" t="s">
        <v>43</v>
      </c>
      <c r="Q832" s="8" t="s">
        <v>44</v>
      </c>
      <c r="R832" s="10" t="s">
        <v>5369</v>
      </c>
      <c r="S832" s="11" t="s">
        <v>5370</v>
      </c>
      <c r="T832" s="6"/>
      <c r="U832" s="24" t="str">
        <f>HYPERLINK("https://media.infra-m.ru/0967/0967866/cover/967866.jpg", "Обложка")</f>
        <v>Обложка</v>
      </c>
      <c r="V832" s="24" t="str">
        <f>HYPERLINK("https://znanium.ru/catalog/product/996354", "Ознакомиться")</f>
        <v>Ознакомиться</v>
      </c>
      <c r="W832" s="8" t="s">
        <v>5371</v>
      </c>
      <c r="X832" s="6"/>
      <c r="Y832" s="6"/>
      <c r="Z832" s="6"/>
      <c r="AA832" s="6" t="s">
        <v>442</v>
      </c>
      <c r="AB832" s="8"/>
    </row>
    <row r="833" spans="1:28" s="4" customFormat="1" ht="51.95" customHeight="1">
      <c r="A833" s="5">
        <v>0</v>
      </c>
      <c r="B833" s="6" t="s">
        <v>5375</v>
      </c>
      <c r="C833" s="13">
        <v>2020</v>
      </c>
      <c r="D833" s="8" t="s">
        <v>5376</v>
      </c>
      <c r="E833" s="8" t="s">
        <v>5348</v>
      </c>
      <c r="F833" s="8" t="s">
        <v>5341</v>
      </c>
      <c r="G833" s="6" t="s">
        <v>52</v>
      </c>
      <c r="H833" s="6" t="s">
        <v>53</v>
      </c>
      <c r="I833" s="8" t="s">
        <v>90</v>
      </c>
      <c r="J833" s="9">
        <v>1</v>
      </c>
      <c r="K833" s="9">
        <v>438</v>
      </c>
      <c r="L833" s="9">
        <v>2023</v>
      </c>
      <c r="M833" s="8" t="s">
        <v>5377</v>
      </c>
      <c r="N833" s="8" t="s">
        <v>79</v>
      </c>
      <c r="O833" s="8" t="s">
        <v>684</v>
      </c>
      <c r="P833" s="6" t="s">
        <v>43</v>
      </c>
      <c r="Q833" s="8" t="s">
        <v>44</v>
      </c>
      <c r="R833" s="10" t="s">
        <v>5343</v>
      </c>
      <c r="S833" s="11" t="s">
        <v>5378</v>
      </c>
      <c r="T833" s="6"/>
      <c r="U833" s="24" t="str">
        <f>HYPERLINK("https://media.infra-m.ru/1960/1960101/cover/1960101.jpg", "Обложка")</f>
        <v>Обложка</v>
      </c>
      <c r="V833" s="24" t="str">
        <f>HYPERLINK("https://znanium.ru/catalog/product/1960101", "Ознакомиться")</f>
        <v>Ознакомиться</v>
      </c>
      <c r="W833" s="8" t="s">
        <v>5345</v>
      </c>
      <c r="X833" s="6"/>
      <c r="Y833" s="6"/>
      <c r="Z833" s="6"/>
      <c r="AA833" s="6" t="s">
        <v>219</v>
      </c>
      <c r="AB833" s="8" t="s">
        <v>1383</v>
      </c>
    </row>
    <row r="834" spans="1:28" s="4" customFormat="1" ht="51.95" customHeight="1">
      <c r="A834" s="5">
        <v>0</v>
      </c>
      <c r="B834" s="6" t="s">
        <v>5379</v>
      </c>
      <c r="C834" s="13">
        <v>1620</v>
      </c>
      <c r="D834" s="8" t="s">
        <v>5380</v>
      </c>
      <c r="E834" s="8" t="s">
        <v>5381</v>
      </c>
      <c r="F834" s="8" t="s">
        <v>5382</v>
      </c>
      <c r="G834" s="6" t="s">
        <v>89</v>
      </c>
      <c r="H834" s="6" t="s">
        <v>53</v>
      </c>
      <c r="I834" s="8" t="s">
        <v>116</v>
      </c>
      <c r="J834" s="9">
        <v>1</v>
      </c>
      <c r="K834" s="9">
        <v>336</v>
      </c>
      <c r="L834" s="9">
        <v>2023</v>
      </c>
      <c r="M834" s="8" t="s">
        <v>5383</v>
      </c>
      <c r="N834" s="8" t="s">
        <v>79</v>
      </c>
      <c r="O834" s="8" t="s">
        <v>396</v>
      </c>
      <c r="P834" s="6" t="s">
        <v>43</v>
      </c>
      <c r="Q834" s="8" t="s">
        <v>58</v>
      </c>
      <c r="R834" s="10" t="s">
        <v>5384</v>
      </c>
      <c r="S834" s="11" t="s">
        <v>5385</v>
      </c>
      <c r="T834" s="6"/>
      <c r="U834" s="24" t="str">
        <f>HYPERLINK("https://media.infra-m.ru/2036/2036528/cover/2036528.jpg", "Обложка")</f>
        <v>Обложка</v>
      </c>
      <c r="V834" s="24" t="str">
        <f>HYPERLINK("https://znanium.ru/catalog/product/1876254", "Ознакомиться")</f>
        <v>Ознакомиться</v>
      </c>
      <c r="W834" s="8" t="s">
        <v>1563</v>
      </c>
      <c r="X834" s="6"/>
      <c r="Y834" s="6"/>
      <c r="Z834" s="6"/>
      <c r="AA834" s="6" t="s">
        <v>72</v>
      </c>
      <c r="AB834" s="8"/>
    </row>
    <row r="835" spans="1:28" s="4" customFormat="1" ht="51.95" customHeight="1">
      <c r="A835" s="5">
        <v>0</v>
      </c>
      <c r="B835" s="6" t="s">
        <v>5386</v>
      </c>
      <c r="C835" s="13">
        <v>1644</v>
      </c>
      <c r="D835" s="8" t="s">
        <v>5387</v>
      </c>
      <c r="E835" s="8" t="s">
        <v>5388</v>
      </c>
      <c r="F835" s="8" t="s">
        <v>5389</v>
      </c>
      <c r="G835" s="6" t="s">
        <v>89</v>
      </c>
      <c r="H835" s="6" t="s">
        <v>53</v>
      </c>
      <c r="I835" s="8" t="s">
        <v>116</v>
      </c>
      <c r="J835" s="9">
        <v>1</v>
      </c>
      <c r="K835" s="9">
        <v>328</v>
      </c>
      <c r="L835" s="9">
        <v>2025</v>
      </c>
      <c r="M835" s="8" t="s">
        <v>5390</v>
      </c>
      <c r="N835" s="8" t="s">
        <v>413</v>
      </c>
      <c r="O835" s="8" t="s">
        <v>414</v>
      </c>
      <c r="P835" s="6" t="s">
        <v>43</v>
      </c>
      <c r="Q835" s="8" t="s">
        <v>58</v>
      </c>
      <c r="R835" s="10" t="s">
        <v>5391</v>
      </c>
      <c r="S835" s="11" t="s">
        <v>5392</v>
      </c>
      <c r="T835" s="6"/>
      <c r="U835" s="24" t="str">
        <f>HYPERLINK("https://media.infra-m.ru/2181/2181430/cover/2181430.jpg", "Обложка")</f>
        <v>Обложка</v>
      </c>
      <c r="V835" s="24" t="str">
        <f>HYPERLINK("https://znanium.ru/catalog/product/2019764", "Ознакомиться")</f>
        <v>Ознакомиться</v>
      </c>
      <c r="W835" s="8" t="s">
        <v>637</v>
      </c>
      <c r="X835" s="6"/>
      <c r="Y835" s="6"/>
      <c r="Z835" s="6"/>
      <c r="AA835" s="6" t="s">
        <v>151</v>
      </c>
      <c r="AB835" s="8"/>
    </row>
    <row r="836" spans="1:28" s="4" customFormat="1" ht="51.95" customHeight="1">
      <c r="A836" s="5">
        <v>0</v>
      </c>
      <c r="B836" s="6" t="s">
        <v>5393</v>
      </c>
      <c r="C836" s="13">
        <v>1134</v>
      </c>
      <c r="D836" s="8" t="s">
        <v>5394</v>
      </c>
      <c r="E836" s="8" t="s">
        <v>5395</v>
      </c>
      <c r="F836" s="8" t="s">
        <v>5242</v>
      </c>
      <c r="G836" s="6" t="s">
        <v>52</v>
      </c>
      <c r="H836" s="6" t="s">
        <v>53</v>
      </c>
      <c r="I836" s="8" t="s">
        <v>276</v>
      </c>
      <c r="J836" s="9">
        <v>1</v>
      </c>
      <c r="K836" s="9">
        <v>251</v>
      </c>
      <c r="L836" s="9">
        <v>2023</v>
      </c>
      <c r="M836" s="8" t="s">
        <v>5396</v>
      </c>
      <c r="N836" s="8" t="s">
        <v>413</v>
      </c>
      <c r="O836" s="8" t="s">
        <v>414</v>
      </c>
      <c r="P836" s="6" t="s">
        <v>167</v>
      </c>
      <c r="Q836" s="8" t="s">
        <v>279</v>
      </c>
      <c r="R836" s="10" t="s">
        <v>5397</v>
      </c>
      <c r="S836" s="11" t="s">
        <v>5398</v>
      </c>
      <c r="T836" s="6" t="s">
        <v>299</v>
      </c>
      <c r="U836" s="24" t="str">
        <f>HYPERLINK("https://media.infra-m.ru/2021/2021455/cover/2021455.jpg", "Обложка")</f>
        <v>Обложка</v>
      </c>
      <c r="V836" s="24" t="str">
        <f>HYPERLINK("https://znanium.ru/catalog/product/969661", "Ознакомиться")</f>
        <v>Ознакомиться</v>
      </c>
      <c r="W836" s="8" t="s">
        <v>5142</v>
      </c>
      <c r="X836" s="6"/>
      <c r="Y836" s="6"/>
      <c r="Z836" s="6"/>
      <c r="AA836" s="6" t="s">
        <v>793</v>
      </c>
      <c r="AB836" s="8"/>
    </row>
    <row r="837" spans="1:28" s="4" customFormat="1" ht="42" customHeight="1">
      <c r="A837" s="5">
        <v>0</v>
      </c>
      <c r="B837" s="6" t="s">
        <v>5399</v>
      </c>
      <c r="C837" s="13">
        <v>1120</v>
      </c>
      <c r="D837" s="8" t="s">
        <v>5400</v>
      </c>
      <c r="E837" s="8" t="s">
        <v>5401</v>
      </c>
      <c r="F837" s="8" t="s">
        <v>5402</v>
      </c>
      <c r="G837" s="6" t="s">
        <v>89</v>
      </c>
      <c r="H837" s="6" t="s">
        <v>53</v>
      </c>
      <c r="I837" s="8" t="s">
        <v>116</v>
      </c>
      <c r="J837" s="9">
        <v>1</v>
      </c>
      <c r="K837" s="9">
        <v>249</v>
      </c>
      <c r="L837" s="9">
        <v>2023</v>
      </c>
      <c r="M837" s="8" t="s">
        <v>5403</v>
      </c>
      <c r="N837" s="8" t="s">
        <v>413</v>
      </c>
      <c r="O837" s="8" t="s">
        <v>414</v>
      </c>
      <c r="P837" s="6" t="s">
        <v>167</v>
      </c>
      <c r="Q837" s="8" t="s">
        <v>44</v>
      </c>
      <c r="R837" s="10" t="s">
        <v>5404</v>
      </c>
      <c r="S837" s="11"/>
      <c r="T837" s="6" t="s">
        <v>299</v>
      </c>
      <c r="U837" s="24" t="str">
        <f>HYPERLINK("https://media.infra-m.ru/1891/1891823/cover/1891823.jpg", "Обложка")</f>
        <v>Обложка</v>
      </c>
      <c r="V837" s="24" t="str">
        <f>HYPERLINK("https://znanium.ru/catalog/product/1891823", "Ознакомиться")</f>
        <v>Ознакомиться</v>
      </c>
      <c r="W837" s="8" t="s">
        <v>5142</v>
      </c>
      <c r="X837" s="6"/>
      <c r="Y837" s="6"/>
      <c r="Z837" s="6"/>
      <c r="AA837" s="6" t="s">
        <v>418</v>
      </c>
      <c r="AB837" s="8"/>
    </row>
    <row r="838" spans="1:28" s="4" customFormat="1" ht="51.95" customHeight="1">
      <c r="A838" s="5">
        <v>0</v>
      </c>
      <c r="B838" s="6" t="s">
        <v>5405</v>
      </c>
      <c r="C838" s="13">
        <v>1050</v>
      </c>
      <c r="D838" s="8" t="s">
        <v>5406</v>
      </c>
      <c r="E838" s="8" t="s">
        <v>5407</v>
      </c>
      <c r="F838" s="8" t="s">
        <v>5408</v>
      </c>
      <c r="G838" s="6" t="s">
        <v>89</v>
      </c>
      <c r="H838" s="6" t="s">
        <v>53</v>
      </c>
      <c r="I838" s="8" t="s">
        <v>100</v>
      </c>
      <c r="J838" s="9">
        <v>1</v>
      </c>
      <c r="K838" s="9">
        <v>233</v>
      </c>
      <c r="L838" s="9">
        <v>2023</v>
      </c>
      <c r="M838" s="8" t="s">
        <v>5409</v>
      </c>
      <c r="N838" s="8" t="s">
        <v>413</v>
      </c>
      <c r="O838" s="8" t="s">
        <v>414</v>
      </c>
      <c r="P838" s="6" t="s">
        <v>167</v>
      </c>
      <c r="Q838" s="8" t="s">
        <v>102</v>
      </c>
      <c r="R838" s="10" t="s">
        <v>5410</v>
      </c>
      <c r="S838" s="11" t="s">
        <v>5411</v>
      </c>
      <c r="T838" s="6" t="s">
        <v>299</v>
      </c>
      <c r="U838" s="24" t="str">
        <f>HYPERLINK("https://media.infra-m.ru/1920/1920318/cover/1920318.jpg", "Обложка")</f>
        <v>Обложка</v>
      </c>
      <c r="V838" s="24" t="str">
        <f>HYPERLINK("https://znanium.ru/catalog/product/1920318", "Ознакомиться")</f>
        <v>Ознакомиться</v>
      </c>
      <c r="W838" s="8" t="s">
        <v>5142</v>
      </c>
      <c r="X838" s="6"/>
      <c r="Y838" s="6" t="s">
        <v>30</v>
      </c>
      <c r="Z838" s="6"/>
      <c r="AA838" s="6" t="s">
        <v>258</v>
      </c>
      <c r="AB838" s="8"/>
    </row>
    <row r="839" spans="1:28" s="4" customFormat="1" ht="51.95" customHeight="1">
      <c r="A839" s="5">
        <v>0</v>
      </c>
      <c r="B839" s="6" t="s">
        <v>5412</v>
      </c>
      <c r="C839" s="13">
        <v>1324</v>
      </c>
      <c r="D839" s="8" t="s">
        <v>5413</v>
      </c>
      <c r="E839" s="8" t="s">
        <v>5414</v>
      </c>
      <c r="F839" s="8" t="s">
        <v>5415</v>
      </c>
      <c r="G839" s="6" t="s">
        <v>89</v>
      </c>
      <c r="H839" s="6" t="s">
        <v>53</v>
      </c>
      <c r="I839" s="8" t="s">
        <v>276</v>
      </c>
      <c r="J839" s="9">
        <v>1</v>
      </c>
      <c r="K839" s="9">
        <v>288</v>
      </c>
      <c r="L839" s="9">
        <v>2024</v>
      </c>
      <c r="M839" s="8" t="s">
        <v>5416</v>
      </c>
      <c r="N839" s="8" t="s">
        <v>413</v>
      </c>
      <c r="O839" s="8" t="s">
        <v>414</v>
      </c>
      <c r="P839" s="6" t="s">
        <v>43</v>
      </c>
      <c r="Q839" s="8" t="s">
        <v>279</v>
      </c>
      <c r="R839" s="10" t="s">
        <v>5140</v>
      </c>
      <c r="S839" s="11" t="s">
        <v>5417</v>
      </c>
      <c r="T839" s="6"/>
      <c r="U839" s="24" t="str">
        <f>HYPERLINK("https://media.infra-m.ru/2130/2130178/cover/2130178.jpg", "Обложка")</f>
        <v>Обложка</v>
      </c>
      <c r="V839" s="24" t="str">
        <f>HYPERLINK("https://znanium.ru/catalog/product/2130178", "Ознакомиться")</f>
        <v>Ознакомиться</v>
      </c>
      <c r="W839" s="8"/>
      <c r="X839" s="6"/>
      <c r="Y839" s="6"/>
      <c r="Z839" s="6"/>
      <c r="AA839" s="6" t="s">
        <v>47</v>
      </c>
      <c r="AB839" s="8"/>
    </row>
    <row r="840" spans="1:28" s="4" customFormat="1" ht="42" customHeight="1">
      <c r="A840" s="5">
        <v>0</v>
      </c>
      <c r="B840" s="6" t="s">
        <v>5418</v>
      </c>
      <c r="C840" s="13">
        <v>1992</v>
      </c>
      <c r="D840" s="8" t="s">
        <v>5419</v>
      </c>
      <c r="E840" s="8" t="s">
        <v>5420</v>
      </c>
      <c r="F840" s="8" t="s">
        <v>5421</v>
      </c>
      <c r="G840" s="6" t="s">
        <v>89</v>
      </c>
      <c r="H840" s="6" t="s">
        <v>53</v>
      </c>
      <c r="I840" s="8" t="s">
        <v>1325</v>
      </c>
      <c r="J840" s="9">
        <v>1</v>
      </c>
      <c r="K840" s="9">
        <v>283</v>
      </c>
      <c r="L840" s="9">
        <v>2024</v>
      </c>
      <c r="M840" s="8" t="s">
        <v>5422</v>
      </c>
      <c r="N840" s="8" t="s">
        <v>79</v>
      </c>
      <c r="O840" s="8" t="s">
        <v>570</v>
      </c>
      <c r="P840" s="6" t="s">
        <v>175</v>
      </c>
      <c r="Q840" s="8" t="s">
        <v>44</v>
      </c>
      <c r="R840" s="10" t="s">
        <v>5423</v>
      </c>
      <c r="S840" s="11"/>
      <c r="T840" s="6"/>
      <c r="U840" s="24" t="str">
        <f>HYPERLINK("https://media.infra-m.ru/2099/2099965/cover/2099965.jpg", "Обложка")</f>
        <v>Обложка</v>
      </c>
      <c r="V840" s="24" t="str">
        <f>HYPERLINK("https://znanium.ru/catalog/product/2099965", "Ознакомиться")</f>
        <v>Ознакомиться</v>
      </c>
      <c r="W840" s="8" t="s">
        <v>1329</v>
      </c>
      <c r="X840" s="6"/>
      <c r="Y840" s="6"/>
      <c r="Z840" s="6"/>
      <c r="AA840" s="6" t="s">
        <v>258</v>
      </c>
      <c r="AB840" s="8"/>
    </row>
    <row r="841" spans="1:28" s="4" customFormat="1" ht="42" customHeight="1">
      <c r="A841" s="5">
        <v>0</v>
      </c>
      <c r="B841" s="6" t="s">
        <v>5424</v>
      </c>
      <c r="C841" s="13">
        <v>1917</v>
      </c>
      <c r="D841" s="8" t="s">
        <v>5425</v>
      </c>
      <c r="E841" s="8" t="s">
        <v>5420</v>
      </c>
      <c r="F841" s="8" t="s">
        <v>5426</v>
      </c>
      <c r="G841" s="6" t="s">
        <v>89</v>
      </c>
      <c r="H841" s="6" t="s">
        <v>53</v>
      </c>
      <c r="I841" s="8" t="s">
        <v>4013</v>
      </c>
      <c r="J841" s="9">
        <v>1</v>
      </c>
      <c r="K841" s="9">
        <v>283</v>
      </c>
      <c r="L841" s="9">
        <v>2025</v>
      </c>
      <c r="M841" s="8" t="s">
        <v>5427</v>
      </c>
      <c r="N841" s="8" t="s">
        <v>79</v>
      </c>
      <c r="O841" s="8" t="s">
        <v>570</v>
      </c>
      <c r="P841" s="6" t="s">
        <v>175</v>
      </c>
      <c r="Q841" s="8" t="s">
        <v>102</v>
      </c>
      <c r="R841" s="10" t="s">
        <v>5428</v>
      </c>
      <c r="S841" s="11"/>
      <c r="T841" s="6"/>
      <c r="U841" s="24" t="str">
        <f>HYPERLINK("https://media.infra-m.ru/2197/2197835/cover/2197835.jpg", "Обложка")</f>
        <v>Обложка</v>
      </c>
      <c r="V841" s="24" t="str">
        <f>HYPERLINK("https://znanium.ru/catalog/product/1914001", "Ознакомиться")</f>
        <v>Ознакомиться</v>
      </c>
      <c r="W841" s="8"/>
      <c r="X841" s="6"/>
      <c r="Y841" s="6"/>
      <c r="Z841" s="6" t="s">
        <v>104</v>
      </c>
      <c r="AA841" s="6" t="s">
        <v>219</v>
      </c>
      <c r="AB841" s="8"/>
    </row>
    <row r="842" spans="1:28" s="4" customFormat="1" ht="51.95" customHeight="1">
      <c r="A842" s="5">
        <v>0</v>
      </c>
      <c r="B842" s="6" t="s">
        <v>5429</v>
      </c>
      <c r="C842" s="7">
        <v>750</v>
      </c>
      <c r="D842" s="8" t="s">
        <v>5430</v>
      </c>
      <c r="E842" s="8" t="s">
        <v>5431</v>
      </c>
      <c r="F842" s="8" t="s">
        <v>5432</v>
      </c>
      <c r="G842" s="6" t="s">
        <v>38</v>
      </c>
      <c r="H842" s="6" t="s">
        <v>53</v>
      </c>
      <c r="I842" s="8" t="s">
        <v>212</v>
      </c>
      <c r="J842" s="9">
        <v>1</v>
      </c>
      <c r="K842" s="9">
        <v>149</v>
      </c>
      <c r="L842" s="9">
        <v>2023</v>
      </c>
      <c r="M842" s="8" t="s">
        <v>5433</v>
      </c>
      <c r="N842" s="8" t="s">
        <v>79</v>
      </c>
      <c r="O842" s="8" t="s">
        <v>396</v>
      </c>
      <c r="P842" s="6" t="s">
        <v>43</v>
      </c>
      <c r="Q842" s="8" t="s">
        <v>214</v>
      </c>
      <c r="R842" s="10" t="s">
        <v>5237</v>
      </c>
      <c r="S842" s="11" t="s">
        <v>5434</v>
      </c>
      <c r="T842" s="6"/>
      <c r="U842" s="24" t="str">
        <f>HYPERLINK("https://media.infra-m.ru/1913/1913614/cover/1913614.jpg", "Обложка")</f>
        <v>Обложка</v>
      </c>
      <c r="V842" s="24" t="str">
        <f>HYPERLINK("https://znanium.ru/catalog/product/1913614", "Ознакомиться")</f>
        <v>Ознакомиться</v>
      </c>
      <c r="W842" s="8" t="s">
        <v>5435</v>
      </c>
      <c r="X842" s="6"/>
      <c r="Y842" s="6"/>
      <c r="Z842" s="6"/>
      <c r="AA842" s="6" t="s">
        <v>418</v>
      </c>
      <c r="AB842" s="8"/>
    </row>
    <row r="843" spans="1:28" s="4" customFormat="1" ht="51.95" customHeight="1">
      <c r="A843" s="5">
        <v>0</v>
      </c>
      <c r="B843" s="6" t="s">
        <v>5436</v>
      </c>
      <c r="C843" s="13">
        <v>1270</v>
      </c>
      <c r="D843" s="8" t="s">
        <v>5437</v>
      </c>
      <c r="E843" s="8" t="s">
        <v>5438</v>
      </c>
      <c r="F843" s="8" t="s">
        <v>5439</v>
      </c>
      <c r="G843" s="6" t="s">
        <v>89</v>
      </c>
      <c r="H843" s="6" t="s">
        <v>53</v>
      </c>
      <c r="I843" s="8" t="s">
        <v>90</v>
      </c>
      <c r="J843" s="9">
        <v>1</v>
      </c>
      <c r="K843" s="9">
        <v>281</v>
      </c>
      <c r="L843" s="9">
        <v>2023</v>
      </c>
      <c r="M843" s="8" t="s">
        <v>5440</v>
      </c>
      <c r="N843" s="8" t="s">
        <v>79</v>
      </c>
      <c r="O843" s="8" t="s">
        <v>396</v>
      </c>
      <c r="P843" s="6" t="s">
        <v>43</v>
      </c>
      <c r="Q843" s="8" t="s">
        <v>44</v>
      </c>
      <c r="R843" s="10" t="s">
        <v>5441</v>
      </c>
      <c r="S843" s="11" t="s">
        <v>5442</v>
      </c>
      <c r="T843" s="6"/>
      <c r="U843" s="24" t="str">
        <f>HYPERLINK("https://media.infra-m.ru/1915/1915371/cover/1915371.jpg", "Обложка")</f>
        <v>Обложка</v>
      </c>
      <c r="V843" s="24" t="str">
        <f>HYPERLINK("https://znanium.ru/catalog/product/1915371", "Ознакомиться")</f>
        <v>Ознакомиться</v>
      </c>
      <c r="W843" s="8" t="s">
        <v>2343</v>
      </c>
      <c r="X843" s="6"/>
      <c r="Y843" s="6"/>
      <c r="Z843" s="6"/>
      <c r="AA843" s="6" t="s">
        <v>258</v>
      </c>
      <c r="AB843" s="8"/>
    </row>
    <row r="844" spans="1:28" s="4" customFormat="1" ht="42" customHeight="1">
      <c r="A844" s="5">
        <v>0</v>
      </c>
      <c r="B844" s="6" t="s">
        <v>5443</v>
      </c>
      <c r="C844" s="13">
        <v>2904</v>
      </c>
      <c r="D844" s="8" t="s">
        <v>5444</v>
      </c>
      <c r="E844" s="8" t="s">
        <v>5445</v>
      </c>
      <c r="F844" s="8" t="s">
        <v>5446</v>
      </c>
      <c r="G844" s="6" t="s">
        <v>52</v>
      </c>
      <c r="H844" s="6" t="s">
        <v>53</v>
      </c>
      <c r="I844" s="8" t="s">
        <v>90</v>
      </c>
      <c r="J844" s="9">
        <v>1</v>
      </c>
      <c r="K844" s="9">
        <v>601</v>
      </c>
      <c r="L844" s="9">
        <v>2025</v>
      </c>
      <c r="M844" s="8" t="s">
        <v>5447</v>
      </c>
      <c r="N844" s="8" t="s">
        <v>79</v>
      </c>
      <c r="O844" s="8" t="s">
        <v>424</v>
      </c>
      <c r="P844" s="6" t="s">
        <v>167</v>
      </c>
      <c r="Q844" s="8" t="s">
        <v>44</v>
      </c>
      <c r="R844" s="10" t="s">
        <v>5448</v>
      </c>
      <c r="S844" s="11"/>
      <c r="T844" s="6"/>
      <c r="U844" s="24" t="str">
        <f>HYPERLINK("https://media.infra-m.ru/2188/2188078/cover/2188078.jpg", "Обложка")</f>
        <v>Обложка</v>
      </c>
      <c r="V844" s="24" t="str">
        <f>HYPERLINK("https://znanium.ru/catalog/product/1815909", "Ознакомиться")</f>
        <v>Ознакомиться</v>
      </c>
      <c r="W844" s="8" t="s">
        <v>71</v>
      </c>
      <c r="X844" s="6"/>
      <c r="Y844" s="6"/>
      <c r="Z844" s="6"/>
      <c r="AA844" s="6" t="s">
        <v>494</v>
      </c>
      <c r="AB844" s="8"/>
    </row>
    <row r="845" spans="1:28" s="4" customFormat="1" ht="51.95" customHeight="1">
      <c r="A845" s="5">
        <v>0</v>
      </c>
      <c r="B845" s="6" t="s">
        <v>5449</v>
      </c>
      <c r="C845" s="13">
        <v>1744</v>
      </c>
      <c r="D845" s="8" t="s">
        <v>5450</v>
      </c>
      <c r="E845" s="8" t="s">
        <v>5451</v>
      </c>
      <c r="F845" s="8" t="s">
        <v>5452</v>
      </c>
      <c r="G845" s="6" t="s">
        <v>89</v>
      </c>
      <c r="H845" s="6" t="s">
        <v>53</v>
      </c>
      <c r="I845" s="8" t="s">
        <v>116</v>
      </c>
      <c r="J845" s="9">
        <v>1</v>
      </c>
      <c r="K845" s="9">
        <v>335</v>
      </c>
      <c r="L845" s="9">
        <v>2025</v>
      </c>
      <c r="M845" s="8" t="s">
        <v>5453</v>
      </c>
      <c r="N845" s="8" t="s">
        <v>68</v>
      </c>
      <c r="O845" s="8" t="s">
        <v>69</v>
      </c>
      <c r="P845" s="6" t="s">
        <v>167</v>
      </c>
      <c r="Q845" s="8" t="s">
        <v>58</v>
      </c>
      <c r="R845" s="10" t="s">
        <v>5454</v>
      </c>
      <c r="S845" s="11" t="s">
        <v>5455</v>
      </c>
      <c r="T845" s="6"/>
      <c r="U845" s="24" t="str">
        <f>HYPERLINK("https://media.infra-m.ru/2194/2194319/cover/2194319.jpg", "Обложка")</f>
        <v>Обложка</v>
      </c>
      <c r="V845" s="24" t="str">
        <f>HYPERLINK("https://znanium.ru/catalog/product/2139303", "Ознакомиться")</f>
        <v>Ознакомиться</v>
      </c>
      <c r="W845" s="8" t="s">
        <v>5456</v>
      </c>
      <c r="X845" s="6"/>
      <c r="Y845" s="6"/>
      <c r="Z845" s="6"/>
      <c r="AA845" s="6" t="s">
        <v>47</v>
      </c>
      <c r="AB845" s="8"/>
    </row>
    <row r="846" spans="1:28" s="4" customFormat="1" ht="44.1" customHeight="1">
      <c r="A846" s="5">
        <v>0</v>
      </c>
      <c r="B846" s="6" t="s">
        <v>5457</v>
      </c>
      <c r="C846" s="13">
        <v>1350</v>
      </c>
      <c r="D846" s="8" t="s">
        <v>5458</v>
      </c>
      <c r="E846" s="8" t="s">
        <v>5459</v>
      </c>
      <c r="F846" s="8" t="s">
        <v>5460</v>
      </c>
      <c r="G846" s="6" t="s">
        <v>52</v>
      </c>
      <c r="H846" s="6" t="s">
        <v>53</v>
      </c>
      <c r="I846" s="8" t="s">
        <v>960</v>
      </c>
      <c r="J846" s="9">
        <v>1</v>
      </c>
      <c r="K846" s="9">
        <v>240</v>
      </c>
      <c r="L846" s="9">
        <v>2025</v>
      </c>
      <c r="M846" s="8" t="s">
        <v>5461</v>
      </c>
      <c r="N846" s="8" t="s">
        <v>79</v>
      </c>
      <c r="O846" s="8" t="s">
        <v>174</v>
      </c>
      <c r="P846" s="6" t="s">
        <v>175</v>
      </c>
      <c r="Q846" s="8" t="s">
        <v>214</v>
      </c>
      <c r="R846" s="10" t="s">
        <v>1114</v>
      </c>
      <c r="S846" s="11"/>
      <c r="T846" s="6"/>
      <c r="U846" s="24" t="str">
        <f>HYPERLINK("https://media.infra-m.ru/2167/2167516/cover/2167516.jpg", "Обложка")</f>
        <v>Обложка</v>
      </c>
      <c r="V846" s="24" t="str">
        <f>HYPERLINK("https://znanium.ru/catalog/product/2167516", "Ознакомиться")</f>
        <v>Ознакомиться</v>
      </c>
      <c r="W846" s="8" t="s">
        <v>178</v>
      </c>
      <c r="X846" s="6" t="s">
        <v>2790</v>
      </c>
      <c r="Y846" s="6"/>
      <c r="Z846" s="6"/>
      <c r="AA846" s="6" t="s">
        <v>61</v>
      </c>
      <c r="AB846" s="8"/>
    </row>
    <row r="847" spans="1:28" s="4" customFormat="1" ht="42" customHeight="1">
      <c r="A847" s="5">
        <v>0</v>
      </c>
      <c r="B847" s="6" t="s">
        <v>5462</v>
      </c>
      <c r="C847" s="7">
        <v>394</v>
      </c>
      <c r="D847" s="8" t="s">
        <v>5463</v>
      </c>
      <c r="E847" s="8" t="s">
        <v>5464</v>
      </c>
      <c r="F847" s="8" t="s">
        <v>5465</v>
      </c>
      <c r="G847" s="6" t="s">
        <v>38</v>
      </c>
      <c r="H847" s="6" t="s">
        <v>39</v>
      </c>
      <c r="I847" s="8"/>
      <c r="J847" s="9">
        <v>1</v>
      </c>
      <c r="K847" s="9">
        <v>56</v>
      </c>
      <c r="L847" s="9">
        <v>2025</v>
      </c>
      <c r="M847" s="8" t="s">
        <v>5466</v>
      </c>
      <c r="N847" s="8" t="s">
        <v>79</v>
      </c>
      <c r="O847" s="8" t="s">
        <v>174</v>
      </c>
      <c r="P847" s="6" t="s">
        <v>43</v>
      </c>
      <c r="Q847" s="8" t="s">
        <v>214</v>
      </c>
      <c r="R847" s="10" t="s">
        <v>5467</v>
      </c>
      <c r="S847" s="11"/>
      <c r="T847" s="6"/>
      <c r="U847" s="24" t="str">
        <f>HYPERLINK("https://media.infra-m.ru/2159/2159156/cover/2159156.jpg", "Обложка")</f>
        <v>Обложка</v>
      </c>
      <c r="V847" s="24" t="str">
        <f>HYPERLINK("https://znanium.ru/catalog/product/1010059", "Ознакомиться")</f>
        <v>Ознакомиться</v>
      </c>
      <c r="W847" s="8" t="s">
        <v>5468</v>
      </c>
      <c r="X847" s="6"/>
      <c r="Y847" s="6"/>
      <c r="Z847" s="6"/>
      <c r="AA847" s="6" t="s">
        <v>111</v>
      </c>
      <c r="AB847" s="8"/>
    </row>
    <row r="848" spans="1:28" s="4" customFormat="1" ht="51.95" customHeight="1">
      <c r="A848" s="5">
        <v>0</v>
      </c>
      <c r="B848" s="6" t="s">
        <v>5469</v>
      </c>
      <c r="C848" s="13">
        <v>1154.9000000000001</v>
      </c>
      <c r="D848" s="8" t="s">
        <v>5470</v>
      </c>
      <c r="E848" s="8" t="s">
        <v>5471</v>
      </c>
      <c r="F848" s="8" t="s">
        <v>5472</v>
      </c>
      <c r="G848" s="6" t="s">
        <v>52</v>
      </c>
      <c r="H848" s="6" t="s">
        <v>1738</v>
      </c>
      <c r="I848" s="8"/>
      <c r="J848" s="9">
        <v>1</v>
      </c>
      <c r="K848" s="9">
        <v>256</v>
      </c>
      <c r="L848" s="9">
        <v>2023</v>
      </c>
      <c r="M848" s="8" t="s">
        <v>5473</v>
      </c>
      <c r="N848" s="8" t="s">
        <v>79</v>
      </c>
      <c r="O848" s="8" t="s">
        <v>174</v>
      </c>
      <c r="P848" s="6" t="s">
        <v>43</v>
      </c>
      <c r="Q848" s="8" t="s">
        <v>44</v>
      </c>
      <c r="R848" s="10" t="s">
        <v>962</v>
      </c>
      <c r="S848" s="11" t="s">
        <v>5474</v>
      </c>
      <c r="T848" s="6"/>
      <c r="U848" s="24" t="str">
        <f>HYPERLINK("https://media.infra-m.ru/2045/2045874/cover/2045874.jpg", "Обложка")</f>
        <v>Обложка</v>
      </c>
      <c r="V848" s="24" t="str">
        <f>HYPERLINK("https://znanium.ru/catalog/product/959999", "Ознакомиться")</f>
        <v>Ознакомиться</v>
      </c>
      <c r="W848" s="8" t="s">
        <v>5475</v>
      </c>
      <c r="X848" s="6"/>
      <c r="Y848" s="6"/>
      <c r="Z848" s="6"/>
      <c r="AA848" s="6" t="s">
        <v>47</v>
      </c>
      <c r="AB848" s="8"/>
    </row>
    <row r="849" spans="1:28" s="4" customFormat="1" ht="51.95" customHeight="1">
      <c r="A849" s="5">
        <v>0</v>
      </c>
      <c r="B849" s="6" t="s">
        <v>5476</v>
      </c>
      <c r="C849" s="7">
        <v>544.9</v>
      </c>
      <c r="D849" s="8" t="s">
        <v>5477</v>
      </c>
      <c r="E849" s="8" t="s">
        <v>5478</v>
      </c>
      <c r="F849" s="8" t="s">
        <v>5479</v>
      </c>
      <c r="G849" s="6" t="s">
        <v>52</v>
      </c>
      <c r="H849" s="6" t="s">
        <v>1738</v>
      </c>
      <c r="I849" s="8"/>
      <c r="J849" s="9">
        <v>1</v>
      </c>
      <c r="K849" s="9">
        <v>160</v>
      </c>
      <c r="L849" s="9">
        <v>2020</v>
      </c>
      <c r="M849" s="8" t="s">
        <v>5480</v>
      </c>
      <c r="N849" s="8" t="s">
        <v>79</v>
      </c>
      <c r="O849" s="8" t="s">
        <v>174</v>
      </c>
      <c r="P849" s="6" t="s">
        <v>43</v>
      </c>
      <c r="Q849" s="8" t="s">
        <v>44</v>
      </c>
      <c r="R849" s="10" t="s">
        <v>5481</v>
      </c>
      <c r="S849" s="11" t="s">
        <v>5474</v>
      </c>
      <c r="T849" s="6"/>
      <c r="U849" s="24" t="str">
        <f>HYPERLINK("https://media.infra-m.ru/1083/1083435/cover/1083435.jpg", "Обложка")</f>
        <v>Обложка</v>
      </c>
      <c r="V849" s="24" t="str">
        <f>HYPERLINK("https://znanium.ru/catalog/product/960000", "Ознакомиться")</f>
        <v>Ознакомиться</v>
      </c>
      <c r="W849" s="8" t="s">
        <v>5475</v>
      </c>
      <c r="X849" s="6"/>
      <c r="Y849" s="6"/>
      <c r="Z849" s="6"/>
      <c r="AA849" s="6" t="s">
        <v>47</v>
      </c>
      <c r="AB849" s="8"/>
    </row>
    <row r="850" spans="1:28" s="4" customFormat="1" ht="51.95" customHeight="1">
      <c r="A850" s="5">
        <v>0</v>
      </c>
      <c r="B850" s="6" t="s">
        <v>5482</v>
      </c>
      <c r="C850" s="7">
        <v>924</v>
      </c>
      <c r="D850" s="8" t="s">
        <v>5483</v>
      </c>
      <c r="E850" s="8" t="s">
        <v>5484</v>
      </c>
      <c r="F850" s="8" t="s">
        <v>5485</v>
      </c>
      <c r="G850" s="6" t="s">
        <v>38</v>
      </c>
      <c r="H850" s="6" t="s">
        <v>53</v>
      </c>
      <c r="I850" s="8" t="s">
        <v>90</v>
      </c>
      <c r="J850" s="9">
        <v>1</v>
      </c>
      <c r="K850" s="9">
        <v>202</v>
      </c>
      <c r="L850" s="9">
        <v>2024</v>
      </c>
      <c r="M850" s="8" t="s">
        <v>5486</v>
      </c>
      <c r="N850" s="8" t="s">
        <v>79</v>
      </c>
      <c r="O850" s="8" t="s">
        <v>684</v>
      </c>
      <c r="P850" s="6" t="s">
        <v>43</v>
      </c>
      <c r="Q850" s="8" t="s">
        <v>44</v>
      </c>
      <c r="R850" s="10" t="s">
        <v>4408</v>
      </c>
      <c r="S850" s="11" t="s">
        <v>5487</v>
      </c>
      <c r="T850" s="6"/>
      <c r="U850" s="24" t="str">
        <f>HYPERLINK("https://media.infra-m.ru/2087/2087259/cover/2087259.jpg", "Обложка")</f>
        <v>Обложка</v>
      </c>
      <c r="V850" s="24" t="str">
        <f>HYPERLINK("https://znanium.ru/catalog/product/1851549", "Ознакомиться")</f>
        <v>Ознакомиться</v>
      </c>
      <c r="W850" s="8" t="s">
        <v>1587</v>
      </c>
      <c r="X850" s="6"/>
      <c r="Y850" s="6"/>
      <c r="Z850" s="6"/>
      <c r="AA850" s="6" t="s">
        <v>111</v>
      </c>
      <c r="AB850" s="8"/>
    </row>
    <row r="851" spans="1:28" s="4" customFormat="1" ht="51.95" customHeight="1">
      <c r="A851" s="5">
        <v>0</v>
      </c>
      <c r="B851" s="6" t="s">
        <v>5488</v>
      </c>
      <c r="C851" s="13">
        <v>2650</v>
      </c>
      <c r="D851" s="8" t="s">
        <v>5489</v>
      </c>
      <c r="E851" s="8" t="s">
        <v>5490</v>
      </c>
      <c r="F851" s="8" t="s">
        <v>5491</v>
      </c>
      <c r="G851" s="6" t="s">
        <v>52</v>
      </c>
      <c r="H851" s="6" t="s">
        <v>53</v>
      </c>
      <c r="I851" s="8" t="s">
        <v>116</v>
      </c>
      <c r="J851" s="9">
        <v>1</v>
      </c>
      <c r="K851" s="9">
        <v>574</v>
      </c>
      <c r="L851" s="9">
        <v>2024</v>
      </c>
      <c r="M851" s="8" t="s">
        <v>5492</v>
      </c>
      <c r="N851" s="8" t="s">
        <v>79</v>
      </c>
      <c r="O851" s="8" t="s">
        <v>174</v>
      </c>
      <c r="P851" s="6" t="s">
        <v>43</v>
      </c>
      <c r="Q851" s="8" t="s">
        <v>44</v>
      </c>
      <c r="R851" s="10" t="s">
        <v>5493</v>
      </c>
      <c r="S851" s="11" t="s">
        <v>5494</v>
      </c>
      <c r="T851" s="6"/>
      <c r="U851" s="24" t="str">
        <f>HYPERLINK("https://media.infra-m.ru/2126/2126884/cover/2126884.jpg", "Обложка")</f>
        <v>Обложка</v>
      </c>
      <c r="V851" s="24" t="str">
        <f>HYPERLINK("https://znanium.ru/catalog/product/2126884", "Ознакомиться")</f>
        <v>Ознакомиться</v>
      </c>
      <c r="W851" s="8" t="s">
        <v>3218</v>
      </c>
      <c r="X851" s="6"/>
      <c r="Y851" s="6"/>
      <c r="Z851" s="6"/>
      <c r="AA851" s="6" t="s">
        <v>47</v>
      </c>
      <c r="AB851" s="8"/>
    </row>
    <row r="852" spans="1:28" s="4" customFormat="1" ht="51.95" customHeight="1">
      <c r="A852" s="5">
        <v>0</v>
      </c>
      <c r="B852" s="6" t="s">
        <v>5495</v>
      </c>
      <c r="C852" s="13">
        <v>1260</v>
      </c>
      <c r="D852" s="8" t="s">
        <v>5496</v>
      </c>
      <c r="E852" s="8" t="s">
        <v>5497</v>
      </c>
      <c r="F852" s="8" t="s">
        <v>5498</v>
      </c>
      <c r="G852" s="6" t="s">
        <v>52</v>
      </c>
      <c r="H852" s="6" t="s">
        <v>53</v>
      </c>
      <c r="I852" s="8" t="s">
        <v>960</v>
      </c>
      <c r="J852" s="9">
        <v>1</v>
      </c>
      <c r="K852" s="9">
        <v>234</v>
      </c>
      <c r="L852" s="9">
        <v>2025</v>
      </c>
      <c r="M852" s="8" t="s">
        <v>5499</v>
      </c>
      <c r="N852" s="8" t="s">
        <v>79</v>
      </c>
      <c r="O852" s="8" t="s">
        <v>174</v>
      </c>
      <c r="P852" s="6" t="s">
        <v>187</v>
      </c>
      <c r="Q852" s="8" t="s">
        <v>58</v>
      </c>
      <c r="R852" s="10" t="s">
        <v>5500</v>
      </c>
      <c r="S852" s="11"/>
      <c r="T852" s="6"/>
      <c r="U852" s="24" t="str">
        <f>HYPERLINK("https://media.infra-m.ru/2195/2195873/cover/2195873.jpg", "Обложка")</f>
        <v>Обложка</v>
      </c>
      <c r="V852" s="24" t="str">
        <f>HYPERLINK("https://znanium.ru/catalog/product/2195873", "Ознакомиться")</f>
        <v>Ознакомиться</v>
      </c>
      <c r="W852" s="8"/>
      <c r="X852" s="6" t="s">
        <v>60</v>
      </c>
      <c r="Y852" s="6"/>
      <c r="Z852" s="6"/>
      <c r="AA852" s="6" t="s">
        <v>61</v>
      </c>
      <c r="AB852" s="8"/>
    </row>
    <row r="853" spans="1:28" s="4" customFormat="1" ht="42" customHeight="1">
      <c r="A853" s="5">
        <v>0</v>
      </c>
      <c r="B853" s="6" t="s">
        <v>5501</v>
      </c>
      <c r="C853" s="13">
        <v>1194</v>
      </c>
      <c r="D853" s="8" t="s">
        <v>5502</v>
      </c>
      <c r="E853" s="8" t="s">
        <v>5503</v>
      </c>
      <c r="F853" s="8" t="s">
        <v>5504</v>
      </c>
      <c r="G853" s="6" t="s">
        <v>26</v>
      </c>
      <c r="H853" s="6" t="s">
        <v>674</v>
      </c>
      <c r="I853" s="8"/>
      <c r="J853" s="9">
        <v>1</v>
      </c>
      <c r="K853" s="9">
        <v>240</v>
      </c>
      <c r="L853" s="9">
        <v>2025</v>
      </c>
      <c r="M853" s="8" t="s">
        <v>5505</v>
      </c>
      <c r="N853" s="8" t="s">
        <v>41</v>
      </c>
      <c r="O853" s="8" t="s">
        <v>676</v>
      </c>
      <c r="P853" s="6" t="s">
        <v>1046</v>
      </c>
      <c r="Q853" s="8" t="s">
        <v>44</v>
      </c>
      <c r="R853" s="10" t="s">
        <v>5506</v>
      </c>
      <c r="S853" s="11"/>
      <c r="T853" s="6"/>
      <c r="U853" s="24" t="str">
        <f>HYPERLINK("https://media.infra-m.ru/2188/2188725/cover/2188725.jpg", "Обложка")</f>
        <v>Обложка</v>
      </c>
      <c r="V853" s="24" t="str">
        <f>HYPERLINK("https://znanium.ru/catalog/product/1860994", "Ознакомиться")</f>
        <v>Ознакомиться</v>
      </c>
      <c r="W853" s="8" t="s">
        <v>678</v>
      </c>
      <c r="X853" s="6"/>
      <c r="Y853" s="6"/>
      <c r="Z853" s="6"/>
      <c r="AA853" s="6" t="s">
        <v>479</v>
      </c>
      <c r="AB853" s="8"/>
    </row>
    <row r="854" spans="1:28" s="4" customFormat="1" ht="51.95" customHeight="1">
      <c r="A854" s="5">
        <v>0</v>
      </c>
      <c r="B854" s="6" t="s">
        <v>5507</v>
      </c>
      <c r="C854" s="13">
        <v>2194</v>
      </c>
      <c r="D854" s="8" t="s">
        <v>5508</v>
      </c>
      <c r="E854" s="8" t="s">
        <v>5509</v>
      </c>
      <c r="F854" s="8" t="s">
        <v>5510</v>
      </c>
      <c r="G854" s="6" t="s">
        <v>89</v>
      </c>
      <c r="H854" s="6" t="s">
        <v>53</v>
      </c>
      <c r="I854" s="8" t="s">
        <v>90</v>
      </c>
      <c r="J854" s="9">
        <v>1</v>
      </c>
      <c r="K854" s="9">
        <v>438</v>
      </c>
      <c r="L854" s="9">
        <v>2025</v>
      </c>
      <c r="M854" s="8" t="s">
        <v>5511</v>
      </c>
      <c r="N854" s="8" t="s">
        <v>41</v>
      </c>
      <c r="O854" s="8" t="s">
        <v>1007</v>
      </c>
      <c r="P854" s="6" t="s">
        <v>167</v>
      </c>
      <c r="Q854" s="8" t="s">
        <v>44</v>
      </c>
      <c r="R854" s="10" t="s">
        <v>1008</v>
      </c>
      <c r="S854" s="11" t="s">
        <v>5512</v>
      </c>
      <c r="T854" s="6"/>
      <c r="U854" s="24" t="str">
        <f>HYPERLINK("https://media.infra-m.ru/2186/2186403/cover/2186403.jpg", "Обложка")</f>
        <v>Обложка</v>
      </c>
      <c r="V854" s="24" t="str">
        <f>HYPERLINK("https://znanium.ru/catalog/product/1885956", "Ознакомиться")</f>
        <v>Ознакомиться</v>
      </c>
      <c r="W854" s="8" t="s">
        <v>347</v>
      </c>
      <c r="X854" s="6"/>
      <c r="Y854" s="6"/>
      <c r="Z854" s="6"/>
      <c r="AA854" s="6" t="s">
        <v>235</v>
      </c>
      <c r="AB854" s="8" t="s">
        <v>2963</v>
      </c>
    </row>
    <row r="855" spans="1:28" s="4" customFormat="1" ht="51.95" customHeight="1">
      <c r="A855" s="5">
        <v>0</v>
      </c>
      <c r="B855" s="6" t="s">
        <v>5513</v>
      </c>
      <c r="C855" s="13">
        <v>1850</v>
      </c>
      <c r="D855" s="8" t="s">
        <v>5514</v>
      </c>
      <c r="E855" s="8" t="s">
        <v>5515</v>
      </c>
      <c r="F855" s="8" t="s">
        <v>5516</v>
      </c>
      <c r="G855" s="6" t="s">
        <v>52</v>
      </c>
      <c r="H855" s="6" t="s">
        <v>53</v>
      </c>
      <c r="I855" s="8" t="s">
        <v>116</v>
      </c>
      <c r="J855" s="9">
        <v>1</v>
      </c>
      <c r="K855" s="9">
        <v>387</v>
      </c>
      <c r="L855" s="9">
        <v>2024</v>
      </c>
      <c r="M855" s="8" t="s">
        <v>5517</v>
      </c>
      <c r="N855" s="8" t="s">
        <v>41</v>
      </c>
      <c r="O855" s="8" t="s">
        <v>1007</v>
      </c>
      <c r="P855" s="6" t="s">
        <v>43</v>
      </c>
      <c r="Q855" s="8" t="s">
        <v>58</v>
      </c>
      <c r="R855" s="10" t="s">
        <v>5518</v>
      </c>
      <c r="S855" s="11"/>
      <c r="T855" s="6"/>
      <c r="U855" s="24" t="str">
        <f>HYPERLINK("https://media.infra-m.ru/2080/2080066/cover/2080066.jpg", "Обложка")</f>
        <v>Обложка</v>
      </c>
      <c r="V855" s="24" t="str">
        <f>HYPERLINK("https://znanium.ru/catalog/product/2080066", "Ознакомиться")</f>
        <v>Ознакомиться</v>
      </c>
      <c r="W855" s="8" t="s">
        <v>2988</v>
      </c>
      <c r="X855" s="6" t="s">
        <v>179</v>
      </c>
      <c r="Y855" s="6"/>
      <c r="Z855" s="6"/>
      <c r="AA855" s="6" t="s">
        <v>133</v>
      </c>
      <c r="AB855" s="8"/>
    </row>
    <row r="856" spans="1:28" s="4" customFormat="1" ht="42" customHeight="1">
      <c r="A856" s="5">
        <v>0</v>
      </c>
      <c r="B856" s="6" t="s">
        <v>5519</v>
      </c>
      <c r="C856" s="13">
        <v>2494</v>
      </c>
      <c r="D856" s="8" t="s">
        <v>5520</v>
      </c>
      <c r="E856" s="8" t="s">
        <v>5521</v>
      </c>
      <c r="F856" s="8" t="s">
        <v>5522</v>
      </c>
      <c r="G856" s="6" t="s">
        <v>52</v>
      </c>
      <c r="H856" s="6" t="s">
        <v>952</v>
      </c>
      <c r="I856" s="8" t="s">
        <v>1171</v>
      </c>
      <c r="J856" s="9">
        <v>1</v>
      </c>
      <c r="K856" s="9">
        <v>576</v>
      </c>
      <c r="L856" s="9">
        <v>2023</v>
      </c>
      <c r="M856" s="8" t="s">
        <v>5523</v>
      </c>
      <c r="N856" s="8" t="s">
        <v>41</v>
      </c>
      <c r="O856" s="8" t="s">
        <v>1007</v>
      </c>
      <c r="P856" s="6" t="s">
        <v>167</v>
      </c>
      <c r="Q856" s="8" t="s">
        <v>44</v>
      </c>
      <c r="R856" s="10" t="s">
        <v>2461</v>
      </c>
      <c r="S856" s="11"/>
      <c r="T856" s="6"/>
      <c r="U856" s="24" t="str">
        <f>HYPERLINK("https://media.infra-m.ru/2001/2001624/cover/2001624.jpg", "Обложка")</f>
        <v>Обложка</v>
      </c>
      <c r="V856" s="24" t="str">
        <f>HYPERLINK("https://znanium.ru/catalog/product/2001624", "Ознакомиться")</f>
        <v>Ознакомиться</v>
      </c>
      <c r="W856" s="8" t="s">
        <v>347</v>
      </c>
      <c r="X856" s="6"/>
      <c r="Y856" s="6"/>
      <c r="Z856" s="6"/>
      <c r="AA856" s="6" t="s">
        <v>418</v>
      </c>
      <c r="AB856" s="8"/>
    </row>
    <row r="857" spans="1:28" s="4" customFormat="1" ht="44.1" customHeight="1">
      <c r="A857" s="5">
        <v>0</v>
      </c>
      <c r="B857" s="6" t="s">
        <v>5524</v>
      </c>
      <c r="C857" s="13">
        <v>1210</v>
      </c>
      <c r="D857" s="8" t="s">
        <v>5525</v>
      </c>
      <c r="E857" s="8" t="s">
        <v>5526</v>
      </c>
      <c r="F857" s="8" t="s">
        <v>5527</v>
      </c>
      <c r="G857" s="6" t="s">
        <v>89</v>
      </c>
      <c r="H857" s="6" t="s">
        <v>674</v>
      </c>
      <c r="I857" s="8" t="s">
        <v>5528</v>
      </c>
      <c r="J857" s="9">
        <v>1</v>
      </c>
      <c r="K857" s="9">
        <v>256</v>
      </c>
      <c r="L857" s="9">
        <v>2024</v>
      </c>
      <c r="M857" s="8" t="s">
        <v>5529</v>
      </c>
      <c r="N857" s="8" t="s">
        <v>41</v>
      </c>
      <c r="O857" s="8" t="s">
        <v>1204</v>
      </c>
      <c r="P857" s="6" t="s">
        <v>43</v>
      </c>
      <c r="Q857" s="8" t="s">
        <v>44</v>
      </c>
      <c r="R857" s="10" t="s">
        <v>5530</v>
      </c>
      <c r="S857" s="11"/>
      <c r="T857" s="6"/>
      <c r="U857" s="24" t="str">
        <f>HYPERLINK("https://media.infra-m.ru/2131/2131752/cover/2131752.jpg", "Обложка")</f>
        <v>Обложка</v>
      </c>
      <c r="V857" s="24" t="str">
        <f>HYPERLINK("https://znanium.ru/catalog/product/2131752", "Ознакомиться")</f>
        <v>Ознакомиться</v>
      </c>
      <c r="W857" s="8" t="s">
        <v>4293</v>
      </c>
      <c r="X857" s="6"/>
      <c r="Y857" s="6"/>
      <c r="Z857" s="6"/>
      <c r="AA857" s="6" t="s">
        <v>111</v>
      </c>
      <c r="AB857" s="8"/>
    </row>
    <row r="858" spans="1:28" s="4" customFormat="1" ht="51.95" customHeight="1">
      <c r="A858" s="5">
        <v>0</v>
      </c>
      <c r="B858" s="6" t="s">
        <v>5531</v>
      </c>
      <c r="C858" s="13">
        <v>1080</v>
      </c>
      <c r="D858" s="8" t="s">
        <v>5532</v>
      </c>
      <c r="E858" s="8" t="s">
        <v>5533</v>
      </c>
      <c r="F858" s="8" t="s">
        <v>5534</v>
      </c>
      <c r="G858" s="6" t="s">
        <v>89</v>
      </c>
      <c r="H858" s="6" t="s">
        <v>674</v>
      </c>
      <c r="I858" s="8"/>
      <c r="J858" s="9">
        <v>1</v>
      </c>
      <c r="K858" s="9">
        <v>216</v>
      </c>
      <c r="L858" s="9">
        <v>2025</v>
      </c>
      <c r="M858" s="8" t="s">
        <v>5535</v>
      </c>
      <c r="N858" s="8" t="s">
        <v>413</v>
      </c>
      <c r="O858" s="8" t="s">
        <v>2771</v>
      </c>
      <c r="P858" s="6" t="s">
        <v>397</v>
      </c>
      <c r="Q858" s="8" t="s">
        <v>44</v>
      </c>
      <c r="R858" s="10" t="s">
        <v>262</v>
      </c>
      <c r="S858" s="11"/>
      <c r="T858" s="6"/>
      <c r="U858" s="24" t="str">
        <f>HYPERLINK("https://media.infra-m.ru/2165/2165225/cover/2165225.jpg", "Обложка")</f>
        <v>Обложка</v>
      </c>
      <c r="V858" s="24" t="str">
        <f>HYPERLINK("https://znanium.ru/catalog/product/2165225", "Ознакомиться")</f>
        <v>Ознакомиться</v>
      </c>
      <c r="W858" s="8" t="s">
        <v>347</v>
      </c>
      <c r="X858" s="6"/>
      <c r="Y858" s="6"/>
      <c r="Z858" s="6"/>
      <c r="AA858" s="6" t="s">
        <v>513</v>
      </c>
      <c r="AB858" s="8"/>
    </row>
    <row r="859" spans="1:28" s="4" customFormat="1" ht="51.95" customHeight="1">
      <c r="A859" s="5">
        <v>0</v>
      </c>
      <c r="B859" s="6" t="s">
        <v>5536</v>
      </c>
      <c r="C859" s="7">
        <v>590</v>
      </c>
      <c r="D859" s="8" t="s">
        <v>5537</v>
      </c>
      <c r="E859" s="8" t="s">
        <v>5538</v>
      </c>
      <c r="F859" s="8" t="s">
        <v>5534</v>
      </c>
      <c r="G859" s="6" t="s">
        <v>38</v>
      </c>
      <c r="H859" s="6" t="s">
        <v>674</v>
      </c>
      <c r="I859" s="8"/>
      <c r="J859" s="9">
        <v>1</v>
      </c>
      <c r="K859" s="9">
        <v>144</v>
      </c>
      <c r="L859" s="9">
        <v>2021</v>
      </c>
      <c r="M859" s="8" t="s">
        <v>5539</v>
      </c>
      <c r="N859" s="8" t="s">
        <v>413</v>
      </c>
      <c r="O859" s="8" t="s">
        <v>2771</v>
      </c>
      <c r="P859" s="6" t="s">
        <v>397</v>
      </c>
      <c r="Q859" s="8" t="s">
        <v>44</v>
      </c>
      <c r="R859" s="10" t="s">
        <v>262</v>
      </c>
      <c r="S859" s="11"/>
      <c r="T859" s="6"/>
      <c r="U859" s="24" t="str">
        <f>HYPERLINK("https://media.infra-m.ru/1353/1353632/cover/1353632.jpg", "Обложка")</f>
        <v>Обложка</v>
      </c>
      <c r="V859" s="24" t="str">
        <f>HYPERLINK("https://znanium.ru/catalog/product/2165225", "Ознакомиться")</f>
        <v>Ознакомиться</v>
      </c>
      <c r="W859" s="8" t="s">
        <v>347</v>
      </c>
      <c r="X859" s="6"/>
      <c r="Y859" s="6"/>
      <c r="Z859" s="6"/>
      <c r="AA859" s="6" t="s">
        <v>418</v>
      </c>
      <c r="AB859" s="8"/>
    </row>
    <row r="860" spans="1:28" s="4" customFormat="1" ht="51.95" customHeight="1">
      <c r="A860" s="5">
        <v>0</v>
      </c>
      <c r="B860" s="6" t="s">
        <v>5540</v>
      </c>
      <c r="C860" s="13">
        <v>1760</v>
      </c>
      <c r="D860" s="8" t="s">
        <v>5541</v>
      </c>
      <c r="E860" s="8" t="s">
        <v>5542</v>
      </c>
      <c r="F860" s="8" t="s">
        <v>5382</v>
      </c>
      <c r="G860" s="6" t="s">
        <v>89</v>
      </c>
      <c r="H860" s="6" t="s">
        <v>53</v>
      </c>
      <c r="I860" s="8" t="s">
        <v>90</v>
      </c>
      <c r="J860" s="9">
        <v>1</v>
      </c>
      <c r="K860" s="9">
        <v>390</v>
      </c>
      <c r="L860" s="9">
        <v>2023</v>
      </c>
      <c r="M860" s="8" t="s">
        <v>5543</v>
      </c>
      <c r="N860" s="8" t="s">
        <v>79</v>
      </c>
      <c r="O860" s="8" t="s">
        <v>396</v>
      </c>
      <c r="P860" s="6" t="s">
        <v>43</v>
      </c>
      <c r="Q860" s="8" t="s">
        <v>44</v>
      </c>
      <c r="R860" s="10" t="s">
        <v>5544</v>
      </c>
      <c r="S860" s="11" t="s">
        <v>5545</v>
      </c>
      <c r="T860" s="6"/>
      <c r="U860" s="24" t="str">
        <f>HYPERLINK("https://media.infra-m.ru/1974/1974344/cover/1974344.jpg", "Обложка")</f>
        <v>Обложка</v>
      </c>
      <c r="V860" s="24" t="str">
        <f>HYPERLINK("https://znanium.ru/catalog/product/1974344", "Ознакомиться")</f>
        <v>Ознакомиться</v>
      </c>
      <c r="W860" s="8" t="s">
        <v>1563</v>
      </c>
      <c r="X860" s="6"/>
      <c r="Y860" s="6"/>
      <c r="Z860" s="6"/>
      <c r="AA860" s="6" t="s">
        <v>111</v>
      </c>
      <c r="AB860" s="8"/>
    </row>
    <row r="861" spans="1:28" s="4" customFormat="1" ht="51.95" customHeight="1">
      <c r="A861" s="5">
        <v>0</v>
      </c>
      <c r="B861" s="6" t="s">
        <v>5546</v>
      </c>
      <c r="C861" s="13">
        <v>1210</v>
      </c>
      <c r="D861" s="8" t="s">
        <v>5547</v>
      </c>
      <c r="E861" s="8" t="s">
        <v>5548</v>
      </c>
      <c r="F861" s="8" t="s">
        <v>5549</v>
      </c>
      <c r="G861" s="6" t="s">
        <v>89</v>
      </c>
      <c r="H861" s="6" t="s">
        <v>53</v>
      </c>
      <c r="I861" s="8" t="s">
        <v>116</v>
      </c>
      <c r="J861" s="9">
        <v>1</v>
      </c>
      <c r="K861" s="9">
        <v>268</v>
      </c>
      <c r="L861" s="9">
        <v>2023</v>
      </c>
      <c r="M861" s="8" t="s">
        <v>5550</v>
      </c>
      <c r="N861" s="8" t="s">
        <v>41</v>
      </c>
      <c r="O861" s="8" t="s">
        <v>676</v>
      </c>
      <c r="P861" s="6" t="s">
        <v>167</v>
      </c>
      <c r="Q861" s="8" t="s">
        <v>44</v>
      </c>
      <c r="R861" s="10" t="s">
        <v>677</v>
      </c>
      <c r="S861" s="11" t="s">
        <v>3907</v>
      </c>
      <c r="T861" s="6"/>
      <c r="U861" s="24" t="str">
        <f>HYPERLINK("https://media.infra-m.ru/2002/2002646/cover/2002646.jpg", "Обложка")</f>
        <v>Обложка</v>
      </c>
      <c r="V861" s="24" t="str">
        <f>HYPERLINK("https://znanium.ru/catalog/product/2002646", "Ознакомиться")</f>
        <v>Ознакомиться</v>
      </c>
      <c r="W861" s="8" t="s">
        <v>189</v>
      </c>
      <c r="X861" s="6"/>
      <c r="Y861" s="6"/>
      <c r="Z861" s="6"/>
      <c r="AA861" s="6" t="s">
        <v>442</v>
      </c>
      <c r="AB861" s="8"/>
    </row>
    <row r="862" spans="1:28" s="4" customFormat="1" ht="51.95" customHeight="1">
      <c r="A862" s="5">
        <v>0</v>
      </c>
      <c r="B862" s="6" t="s">
        <v>5551</v>
      </c>
      <c r="C862" s="13">
        <v>1154</v>
      </c>
      <c r="D862" s="8" t="s">
        <v>5552</v>
      </c>
      <c r="E862" s="8" t="s">
        <v>5553</v>
      </c>
      <c r="F862" s="8" t="s">
        <v>5554</v>
      </c>
      <c r="G862" s="6" t="s">
        <v>89</v>
      </c>
      <c r="H862" s="6" t="s">
        <v>53</v>
      </c>
      <c r="I862" s="8" t="s">
        <v>3356</v>
      </c>
      <c r="J862" s="9">
        <v>1</v>
      </c>
      <c r="K862" s="9">
        <v>250</v>
      </c>
      <c r="L862" s="9">
        <v>2024</v>
      </c>
      <c r="M862" s="8" t="s">
        <v>5555</v>
      </c>
      <c r="N862" s="8" t="s">
        <v>79</v>
      </c>
      <c r="O862" s="8" t="s">
        <v>570</v>
      </c>
      <c r="P862" s="6" t="s">
        <v>43</v>
      </c>
      <c r="Q862" s="8" t="s">
        <v>214</v>
      </c>
      <c r="R862" s="10" t="s">
        <v>5556</v>
      </c>
      <c r="S862" s="11" t="s">
        <v>5557</v>
      </c>
      <c r="T862" s="6"/>
      <c r="U862" s="24" t="str">
        <f>HYPERLINK("https://media.infra-m.ru/2135/2135866/cover/2135866.jpg", "Обложка")</f>
        <v>Обложка</v>
      </c>
      <c r="V862" s="12"/>
      <c r="W862" s="8" t="s">
        <v>784</v>
      </c>
      <c r="X862" s="6"/>
      <c r="Y862" s="6"/>
      <c r="Z862" s="6"/>
      <c r="AA862" s="6" t="s">
        <v>151</v>
      </c>
      <c r="AB862" s="8"/>
    </row>
    <row r="863" spans="1:28" s="4" customFormat="1" ht="33" customHeight="1">
      <c r="A863" s="5">
        <v>0</v>
      </c>
      <c r="B863" s="6" t="s">
        <v>5558</v>
      </c>
      <c r="C863" s="7">
        <v>444.9</v>
      </c>
      <c r="D863" s="8" t="s">
        <v>5559</v>
      </c>
      <c r="E863" s="8" t="s">
        <v>5560</v>
      </c>
      <c r="F863" s="8" t="s">
        <v>5561</v>
      </c>
      <c r="G863" s="6" t="s">
        <v>38</v>
      </c>
      <c r="H863" s="6" t="s">
        <v>1094</v>
      </c>
      <c r="I863" s="8"/>
      <c r="J863" s="9">
        <v>1</v>
      </c>
      <c r="K863" s="9">
        <v>352</v>
      </c>
      <c r="L863" s="9">
        <v>2017</v>
      </c>
      <c r="M863" s="8" t="s">
        <v>5562</v>
      </c>
      <c r="N863" s="8" t="s">
        <v>56</v>
      </c>
      <c r="O863" s="8" t="s">
        <v>4042</v>
      </c>
      <c r="P863" s="6" t="s">
        <v>1046</v>
      </c>
      <c r="Q863" s="8" t="s">
        <v>44</v>
      </c>
      <c r="R863" s="10" t="s">
        <v>5563</v>
      </c>
      <c r="S863" s="11"/>
      <c r="T863" s="6"/>
      <c r="U863" s="12"/>
      <c r="V863" s="24" t="str">
        <f>HYPERLINK("https://znanium.ru/catalog/product/1865725", "Ознакомиться")</f>
        <v>Ознакомиться</v>
      </c>
      <c r="W863" s="8" t="s">
        <v>792</v>
      </c>
      <c r="X863" s="6"/>
      <c r="Y863" s="6"/>
      <c r="Z863" s="6"/>
      <c r="AA863" s="6" t="s">
        <v>654</v>
      </c>
      <c r="AB863" s="8"/>
    </row>
    <row r="864" spans="1:28" s="4" customFormat="1" ht="51.95" customHeight="1">
      <c r="A864" s="5">
        <v>0</v>
      </c>
      <c r="B864" s="6" t="s">
        <v>5564</v>
      </c>
      <c r="C864" s="7">
        <v>860</v>
      </c>
      <c r="D864" s="8" t="s">
        <v>5565</v>
      </c>
      <c r="E864" s="8" t="s">
        <v>5566</v>
      </c>
      <c r="F864" s="8" t="s">
        <v>5567</v>
      </c>
      <c r="G864" s="6" t="s">
        <v>89</v>
      </c>
      <c r="H864" s="6" t="s">
        <v>53</v>
      </c>
      <c r="I864" s="8" t="s">
        <v>100</v>
      </c>
      <c r="J864" s="9">
        <v>1</v>
      </c>
      <c r="K864" s="9">
        <v>179</v>
      </c>
      <c r="L864" s="9">
        <v>2024</v>
      </c>
      <c r="M864" s="8" t="s">
        <v>5568</v>
      </c>
      <c r="N864" s="8" t="s">
        <v>41</v>
      </c>
      <c r="O864" s="8" t="s">
        <v>278</v>
      </c>
      <c r="P864" s="6" t="s">
        <v>43</v>
      </c>
      <c r="Q864" s="8" t="s">
        <v>102</v>
      </c>
      <c r="R864" s="10" t="s">
        <v>5569</v>
      </c>
      <c r="S864" s="11" t="s">
        <v>5570</v>
      </c>
      <c r="T864" s="6"/>
      <c r="U864" s="24" t="str">
        <f>HYPERLINK("https://media.infra-m.ru/2094/2094373/cover/2094373.jpg", "Обложка")</f>
        <v>Обложка</v>
      </c>
      <c r="V864" s="24" t="str">
        <f>HYPERLINK("https://znanium.ru/catalog/product/2094373", "Ознакомиться")</f>
        <v>Ознакомиться</v>
      </c>
      <c r="W864" s="8" t="s">
        <v>3002</v>
      </c>
      <c r="X864" s="6"/>
      <c r="Y864" s="6"/>
      <c r="Z864" s="6" t="s">
        <v>104</v>
      </c>
      <c r="AA864" s="6" t="s">
        <v>793</v>
      </c>
      <c r="AB864" s="8"/>
    </row>
    <row r="865" spans="1:28" s="4" customFormat="1" ht="51.95" customHeight="1">
      <c r="A865" s="5">
        <v>0</v>
      </c>
      <c r="B865" s="6" t="s">
        <v>5571</v>
      </c>
      <c r="C865" s="7">
        <v>914</v>
      </c>
      <c r="D865" s="8" t="s">
        <v>5572</v>
      </c>
      <c r="E865" s="8" t="s">
        <v>5566</v>
      </c>
      <c r="F865" s="8" t="s">
        <v>5567</v>
      </c>
      <c r="G865" s="6" t="s">
        <v>52</v>
      </c>
      <c r="H865" s="6" t="s">
        <v>53</v>
      </c>
      <c r="I865" s="8" t="s">
        <v>90</v>
      </c>
      <c r="J865" s="9">
        <v>1</v>
      </c>
      <c r="K865" s="9">
        <v>183</v>
      </c>
      <c r="L865" s="9">
        <v>2025</v>
      </c>
      <c r="M865" s="8" t="s">
        <v>5573</v>
      </c>
      <c r="N865" s="8" t="s">
        <v>41</v>
      </c>
      <c r="O865" s="8" t="s">
        <v>278</v>
      </c>
      <c r="P865" s="6" t="s">
        <v>43</v>
      </c>
      <c r="Q865" s="8" t="s">
        <v>44</v>
      </c>
      <c r="R865" s="10" t="s">
        <v>5574</v>
      </c>
      <c r="S865" s="11" t="s">
        <v>5575</v>
      </c>
      <c r="T865" s="6"/>
      <c r="U865" s="24" t="str">
        <f>HYPERLINK("https://media.infra-m.ru/2179/2179101/cover/2179101.jpg", "Обложка")</f>
        <v>Обложка</v>
      </c>
      <c r="V865" s="24" t="str">
        <f>HYPERLINK("https://znanium.ru/catalog/product/2094601", "Ознакомиться")</f>
        <v>Ознакомиться</v>
      </c>
      <c r="W865" s="8" t="s">
        <v>3002</v>
      </c>
      <c r="X865" s="6"/>
      <c r="Y865" s="6"/>
      <c r="Z865" s="6"/>
      <c r="AA865" s="6" t="s">
        <v>793</v>
      </c>
      <c r="AB865" s="8"/>
    </row>
    <row r="866" spans="1:28" s="4" customFormat="1" ht="42" customHeight="1">
      <c r="A866" s="5">
        <v>0</v>
      </c>
      <c r="B866" s="6" t="s">
        <v>5576</v>
      </c>
      <c r="C866" s="13">
        <v>1100</v>
      </c>
      <c r="D866" s="8" t="s">
        <v>5577</v>
      </c>
      <c r="E866" s="8" t="s">
        <v>5578</v>
      </c>
      <c r="F866" s="8" t="s">
        <v>5579</v>
      </c>
      <c r="G866" s="6" t="s">
        <v>52</v>
      </c>
      <c r="H866" s="6" t="s">
        <v>53</v>
      </c>
      <c r="I866" s="8" t="s">
        <v>116</v>
      </c>
      <c r="J866" s="9">
        <v>1</v>
      </c>
      <c r="K866" s="9">
        <v>199</v>
      </c>
      <c r="L866" s="9">
        <v>2025</v>
      </c>
      <c r="M866" s="8" t="s">
        <v>5580</v>
      </c>
      <c r="N866" s="8" t="s">
        <v>56</v>
      </c>
      <c r="O866" s="8" t="s">
        <v>57</v>
      </c>
      <c r="P866" s="6" t="s">
        <v>43</v>
      </c>
      <c r="Q866" s="8" t="s">
        <v>58</v>
      </c>
      <c r="R866" s="10" t="s">
        <v>5581</v>
      </c>
      <c r="S866" s="11"/>
      <c r="T866" s="6"/>
      <c r="U866" s="24" t="str">
        <f>HYPERLINK("https://media.infra-m.ru/2122/2122974/cover/2122974.jpg", "Обложка")</f>
        <v>Обложка</v>
      </c>
      <c r="V866" s="24" t="str">
        <f>HYPERLINK("https://znanium.ru/catalog/product/2122974", "Ознакомиться")</f>
        <v>Ознакомиться</v>
      </c>
      <c r="W866" s="8" t="s">
        <v>189</v>
      </c>
      <c r="X866" s="6" t="s">
        <v>2790</v>
      </c>
      <c r="Y866" s="6"/>
      <c r="Z866" s="6"/>
      <c r="AA866" s="6" t="s">
        <v>61</v>
      </c>
      <c r="AB866" s="8"/>
    </row>
    <row r="867" spans="1:28" s="4" customFormat="1" ht="42" customHeight="1">
      <c r="A867" s="5">
        <v>0</v>
      </c>
      <c r="B867" s="6" t="s">
        <v>5582</v>
      </c>
      <c r="C867" s="13">
        <v>1120</v>
      </c>
      <c r="D867" s="8" t="s">
        <v>5583</v>
      </c>
      <c r="E867" s="8" t="s">
        <v>5584</v>
      </c>
      <c r="F867" s="8" t="s">
        <v>5585</v>
      </c>
      <c r="G867" s="6" t="s">
        <v>89</v>
      </c>
      <c r="H867" s="6" t="s">
        <v>53</v>
      </c>
      <c r="I867" s="8" t="s">
        <v>5586</v>
      </c>
      <c r="J867" s="9">
        <v>1</v>
      </c>
      <c r="K867" s="9">
        <v>247</v>
      </c>
      <c r="L867" s="9">
        <v>2023</v>
      </c>
      <c r="M867" s="8" t="s">
        <v>5587</v>
      </c>
      <c r="N867" s="8" t="s">
        <v>41</v>
      </c>
      <c r="O867" s="8" t="s">
        <v>278</v>
      </c>
      <c r="P867" s="6" t="s">
        <v>5588</v>
      </c>
      <c r="Q867" s="8" t="s">
        <v>58</v>
      </c>
      <c r="R867" s="10" t="s">
        <v>5589</v>
      </c>
      <c r="S867" s="11"/>
      <c r="T867" s="6"/>
      <c r="U867" s="24" t="str">
        <f>HYPERLINK("https://media.infra-m.ru/2019/2019765/cover/2019765.jpg", "Обложка")</f>
        <v>Обложка</v>
      </c>
      <c r="V867" s="24" t="str">
        <f>HYPERLINK("https://znanium.ru/catalog/product/2019765", "Ознакомиться")</f>
        <v>Ознакомиться</v>
      </c>
      <c r="W867" s="8" t="s">
        <v>3010</v>
      </c>
      <c r="X867" s="6"/>
      <c r="Y867" s="6"/>
      <c r="Z867" s="6"/>
      <c r="AA867" s="6" t="s">
        <v>258</v>
      </c>
      <c r="AB867" s="8"/>
    </row>
    <row r="868" spans="1:28" s="4" customFormat="1" ht="42" customHeight="1">
      <c r="A868" s="5">
        <v>0</v>
      </c>
      <c r="B868" s="6" t="s">
        <v>5590</v>
      </c>
      <c r="C868" s="13">
        <v>1540</v>
      </c>
      <c r="D868" s="8" t="s">
        <v>5591</v>
      </c>
      <c r="E868" s="8" t="s">
        <v>5592</v>
      </c>
      <c r="F868" s="8" t="s">
        <v>5593</v>
      </c>
      <c r="G868" s="6" t="s">
        <v>52</v>
      </c>
      <c r="H868" s="6" t="s">
        <v>53</v>
      </c>
      <c r="I868" s="8" t="s">
        <v>100</v>
      </c>
      <c r="J868" s="9">
        <v>1</v>
      </c>
      <c r="K868" s="9">
        <v>326</v>
      </c>
      <c r="L868" s="9">
        <v>2024</v>
      </c>
      <c r="M868" s="8" t="s">
        <v>5594</v>
      </c>
      <c r="N868" s="8" t="s">
        <v>41</v>
      </c>
      <c r="O868" s="8" t="s">
        <v>118</v>
      </c>
      <c r="P868" s="6" t="s">
        <v>43</v>
      </c>
      <c r="Q868" s="8" t="s">
        <v>102</v>
      </c>
      <c r="R868" s="10" t="s">
        <v>2779</v>
      </c>
      <c r="S868" s="11"/>
      <c r="T868" s="6"/>
      <c r="U868" s="24" t="str">
        <f>HYPERLINK("https://media.infra-m.ru/0961/0961502/cover/961502.jpg", "Обложка")</f>
        <v>Обложка</v>
      </c>
      <c r="V868" s="24" t="str">
        <f>HYPERLINK("https://znanium.ru/catalog/product/961502", "Ознакомиться")</f>
        <v>Ознакомиться</v>
      </c>
      <c r="W868" s="8" t="s">
        <v>3974</v>
      </c>
      <c r="X868" s="6" t="s">
        <v>3761</v>
      </c>
      <c r="Y868" s="6"/>
      <c r="Z868" s="6" t="s">
        <v>502</v>
      </c>
      <c r="AA868" s="6" t="s">
        <v>105</v>
      </c>
      <c r="AB868" s="8"/>
    </row>
    <row r="869" spans="1:28" s="4" customFormat="1" ht="51.95" customHeight="1">
      <c r="A869" s="5">
        <v>0</v>
      </c>
      <c r="B869" s="6" t="s">
        <v>5595</v>
      </c>
      <c r="C869" s="13">
        <v>1500</v>
      </c>
      <c r="D869" s="8" t="s">
        <v>5596</v>
      </c>
      <c r="E869" s="8" t="s">
        <v>5592</v>
      </c>
      <c r="F869" s="8" t="s">
        <v>5597</v>
      </c>
      <c r="G869" s="6" t="s">
        <v>89</v>
      </c>
      <c r="H869" s="6" t="s">
        <v>53</v>
      </c>
      <c r="I869" s="8" t="s">
        <v>116</v>
      </c>
      <c r="J869" s="9">
        <v>1</v>
      </c>
      <c r="K869" s="9">
        <v>326</v>
      </c>
      <c r="L869" s="9">
        <v>2024</v>
      </c>
      <c r="M869" s="8" t="s">
        <v>5598</v>
      </c>
      <c r="N869" s="8" t="s">
        <v>41</v>
      </c>
      <c r="O869" s="8" t="s">
        <v>118</v>
      </c>
      <c r="P869" s="6" t="s">
        <v>43</v>
      </c>
      <c r="Q869" s="8" t="s">
        <v>58</v>
      </c>
      <c r="R869" s="10" t="s">
        <v>3972</v>
      </c>
      <c r="S869" s="11" t="s">
        <v>5599</v>
      </c>
      <c r="T869" s="6"/>
      <c r="U869" s="24" t="str">
        <f>HYPERLINK("https://media.infra-m.ru/2111/2111930/cover/2111930.jpg", "Обложка")</f>
        <v>Обложка</v>
      </c>
      <c r="V869" s="24" t="str">
        <f>HYPERLINK("https://znanium.ru/catalog/product/2111930", "Ознакомиться")</f>
        <v>Ознакомиться</v>
      </c>
      <c r="W869" s="8" t="s">
        <v>3974</v>
      </c>
      <c r="X869" s="6"/>
      <c r="Y869" s="6"/>
      <c r="Z869" s="6"/>
      <c r="AA869" s="6" t="s">
        <v>1259</v>
      </c>
      <c r="AB869" s="8"/>
    </row>
    <row r="870" spans="1:28" s="4" customFormat="1" ht="51.95" customHeight="1">
      <c r="A870" s="5">
        <v>0</v>
      </c>
      <c r="B870" s="6" t="s">
        <v>5600</v>
      </c>
      <c r="C870" s="13">
        <v>1360</v>
      </c>
      <c r="D870" s="8" t="s">
        <v>5601</v>
      </c>
      <c r="E870" s="8" t="s">
        <v>5602</v>
      </c>
      <c r="F870" s="8" t="s">
        <v>5593</v>
      </c>
      <c r="G870" s="6" t="s">
        <v>89</v>
      </c>
      <c r="H870" s="6" t="s">
        <v>53</v>
      </c>
      <c r="I870" s="8"/>
      <c r="J870" s="9">
        <v>1</v>
      </c>
      <c r="K870" s="9">
        <v>352</v>
      </c>
      <c r="L870" s="9">
        <v>2022</v>
      </c>
      <c r="M870" s="8" t="s">
        <v>5603</v>
      </c>
      <c r="N870" s="8" t="s">
        <v>41</v>
      </c>
      <c r="O870" s="8" t="s">
        <v>118</v>
      </c>
      <c r="P870" s="6" t="s">
        <v>43</v>
      </c>
      <c r="Q870" s="8" t="s">
        <v>44</v>
      </c>
      <c r="R870" s="10" t="s">
        <v>3972</v>
      </c>
      <c r="S870" s="11" t="s">
        <v>5604</v>
      </c>
      <c r="T870" s="6"/>
      <c r="U870" s="24" t="str">
        <f>HYPERLINK("https://media.infra-m.ru/1855/1855501/cover/1855501.jpg", "Обложка")</f>
        <v>Обложка</v>
      </c>
      <c r="V870" s="24" t="str">
        <f>HYPERLINK("https://znanium.ru/catalog/product/2111930", "Ознакомиться")</f>
        <v>Ознакомиться</v>
      </c>
      <c r="W870" s="8" t="s">
        <v>3974</v>
      </c>
      <c r="X870" s="6"/>
      <c r="Y870" s="6"/>
      <c r="Z870" s="6"/>
      <c r="AA870" s="6" t="s">
        <v>111</v>
      </c>
      <c r="AB870" s="8"/>
    </row>
    <row r="871" spans="1:28" s="4" customFormat="1" ht="51.95" customHeight="1">
      <c r="A871" s="5">
        <v>0</v>
      </c>
      <c r="B871" s="6" t="s">
        <v>5605</v>
      </c>
      <c r="C871" s="13">
        <v>1120</v>
      </c>
      <c r="D871" s="8" t="s">
        <v>5606</v>
      </c>
      <c r="E871" s="8" t="s">
        <v>5607</v>
      </c>
      <c r="F871" s="8" t="s">
        <v>5608</v>
      </c>
      <c r="G871" s="6" t="s">
        <v>89</v>
      </c>
      <c r="H871" s="6" t="s">
        <v>53</v>
      </c>
      <c r="I871" s="8" t="s">
        <v>100</v>
      </c>
      <c r="J871" s="9">
        <v>1</v>
      </c>
      <c r="K871" s="9">
        <v>242</v>
      </c>
      <c r="L871" s="9">
        <v>2024</v>
      </c>
      <c r="M871" s="8" t="s">
        <v>5609</v>
      </c>
      <c r="N871" s="8" t="s">
        <v>41</v>
      </c>
      <c r="O871" s="8" t="s">
        <v>278</v>
      </c>
      <c r="P871" s="6" t="s">
        <v>167</v>
      </c>
      <c r="Q871" s="8" t="s">
        <v>102</v>
      </c>
      <c r="R871" s="10" t="s">
        <v>1801</v>
      </c>
      <c r="S871" s="11" t="s">
        <v>5610</v>
      </c>
      <c r="T871" s="6" t="s">
        <v>299</v>
      </c>
      <c r="U871" s="24" t="str">
        <f>HYPERLINK("https://media.infra-m.ru/2073/2073488/cover/2073488.jpg", "Обложка")</f>
        <v>Обложка</v>
      </c>
      <c r="V871" s="24" t="str">
        <f>HYPERLINK("https://znanium.ru/catalog/product/2073488", "Ознакомиться")</f>
        <v>Ознакомиться</v>
      </c>
      <c r="W871" s="8" t="s">
        <v>243</v>
      </c>
      <c r="X871" s="6"/>
      <c r="Y871" s="6"/>
      <c r="Z871" s="6"/>
      <c r="AA871" s="6" t="s">
        <v>1259</v>
      </c>
      <c r="AB871" s="8"/>
    </row>
    <row r="872" spans="1:28" s="4" customFormat="1" ht="51.95" customHeight="1">
      <c r="A872" s="5">
        <v>0</v>
      </c>
      <c r="B872" s="6" t="s">
        <v>5611</v>
      </c>
      <c r="C872" s="7">
        <v>704.9</v>
      </c>
      <c r="D872" s="8" t="s">
        <v>5612</v>
      </c>
      <c r="E872" s="8" t="s">
        <v>5613</v>
      </c>
      <c r="F872" s="8" t="s">
        <v>5614</v>
      </c>
      <c r="G872" s="6" t="s">
        <v>52</v>
      </c>
      <c r="H872" s="6" t="s">
        <v>1738</v>
      </c>
      <c r="I872" s="8" t="s">
        <v>1739</v>
      </c>
      <c r="J872" s="9">
        <v>1</v>
      </c>
      <c r="K872" s="9">
        <v>240</v>
      </c>
      <c r="L872" s="9">
        <v>2018</v>
      </c>
      <c r="M872" s="8" t="s">
        <v>5615</v>
      </c>
      <c r="N872" s="8" t="s">
        <v>41</v>
      </c>
      <c r="O872" s="8" t="s">
        <v>278</v>
      </c>
      <c r="P872" s="6" t="s">
        <v>167</v>
      </c>
      <c r="Q872" s="8" t="s">
        <v>102</v>
      </c>
      <c r="R872" s="10" t="s">
        <v>1801</v>
      </c>
      <c r="S872" s="11" t="s">
        <v>5616</v>
      </c>
      <c r="T872" s="6" t="s">
        <v>299</v>
      </c>
      <c r="U872" s="24" t="str">
        <f>HYPERLINK("https://media.infra-m.ru/0958/0958782/cover/958782.jpg", "Обложка")</f>
        <v>Обложка</v>
      </c>
      <c r="V872" s="24" t="str">
        <f>HYPERLINK("https://znanium.ru/catalog/product/2073488", "Ознакомиться")</f>
        <v>Ознакомиться</v>
      </c>
      <c r="W872" s="8" t="s">
        <v>243</v>
      </c>
      <c r="X872" s="6"/>
      <c r="Y872" s="6"/>
      <c r="Z872" s="6"/>
      <c r="AA872" s="6" t="s">
        <v>47</v>
      </c>
      <c r="AB872" s="8"/>
    </row>
    <row r="873" spans="1:28" s="4" customFormat="1" ht="51.95" customHeight="1">
      <c r="A873" s="5">
        <v>0</v>
      </c>
      <c r="B873" s="6" t="s">
        <v>5617</v>
      </c>
      <c r="C873" s="13">
        <v>2234</v>
      </c>
      <c r="D873" s="8" t="s">
        <v>5618</v>
      </c>
      <c r="E873" s="8" t="s">
        <v>5619</v>
      </c>
      <c r="F873" s="8" t="s">
        <v>5620</v>
      </c>
      <c r="G873" s="6" t="s">
        <v>89</v>
      </c>
      <c r="H873" s="6" t="s">
        <v>53</v>
      </c>
      <c r="I873" s="8" t="s">
        <v>116</v>
      </c>
      <c r="J873" s="9">
        <v>1</v>
      </c>
      <c r="K873" s="9">
        <v>429</v>
      </c>
      <c r="L873" s="9">
        <v>2025</v>
      </c>
      <c r="M873" s="8" t="s">
        <v>5621</v>
      </c>
      <c r="N873" s="8" t="s">
        <v>41</v>
      </c>
      <c r="O873" s="8" t="s">
        <v>1204</v>
      </c>
      <c r="P873" s="6" t="s">
        <v>167</v>
      </c>
      <c r="Q873" s="8" t="s">
        <v>44</v>
      </c>
      <c r="R873" s="10" t="s">
        <v>5622</v>
      </c>
      <c r="S873" s="11" t="s">
        <v>5623</v>
      </c>
      <c r="T873" s="6"/>
      <c r="U873" s="24" t="str">
        <f>HYPERLINK("https://media.infra-m.ru/2194/2194980/cover/2194980.jpg", "Обложка")</f>
        <v>Обложка</v>
      </c>
      <c r="V873" s="24" t="str">
        <f>HYPERLINK("https://znanium.ru/catalog/product/2006030", "Ознакомиться")</f>
        <v>Ознакомиться</v>
      </c>
      <c r="W873" s="8" t="s">
        <v>189</v>
      </c>
      <c r="X873" s="6"/>
      <c r="Y873" s="6"/>
      <c r="Z873" s="6"/>
      <c r="AA873" s="6" t="s">
        <v>442</v>
      </c>
      <c r="AB873" s="8" t="s">
        <v>271</v>
      </c>
    </row>
    <row r="874" spans="1:28" s="4" customFormat="1" ht="51.95" customHeight="1">
      <c r="A874" s="5">
        <v>0</v>
      </c>
      <c r="B874" s="6" t="s">
        <v>5624</v>
      </c>
      <c r="C874" s="13">
        <v>1970</v>
      </c>
      <c r="D874" s="8" t="s">
        <v>5625</v>
      </c>
      <c r="E874" s="8" t="s">
        <v>5619</v>
      </c>
      <c r="F874" s="8" t="s">
        <v>5620</v>
      </c>
      <c r="G874" s="6" t="s">
        <v>52</v>
      </c>
      <c r="H874" s="6" t="s">
        <v>53</v>
      </c>
      <c r="I874" s="8" t="s">
        <v>212</v>
      </c>
      <c r="J874" s="9">
        <v>1</v>
      </c>
      <c r="K874" s="9">
        <v>429</v>
      </c>
      <c r="L874" s="9">
        <v>2021</v>
      </c>
      <c r="M874" s="8" t="s">
        <v>5626</v>
      </c>
      <c r="N874" s="8" t="s">
        <v>41</v>
      </c>
      <c r="O874" s="8" t="s">
        <v>1204</v>
      </c>
      <c r="P874" s="6" t="s">
        <v>167</v>
      </c>
      <c r="Q874" s="8" t="s">
        <v>214</v>
      </c>
      <c r="R874" s="10" t="s">
        <v>215</v>
      </c>
      <c r="S874" s="11" t="s">
        <v>5627</v>
      </c>
      <c r="T874" s="6"/>
      <c r="U874" s="24" t="str">
        <f>HYPERLINK("https://media.infra-m.ru/2132/2132086/cover/2132086.jpg", "Обложка")</f>
        <v>Обложка</v>
      </c>
      <c r="V874" s="24" t="str">
        <f>HYPERLINK("https://znanium.ru/catalog/product/2132086", "Ознакомиться")</f>
        <v>Ознакомиться</v>
      </c>
      <c r="W874" s="8" t="s">
        <v>189</v>
      </c>
      <c r="X874" s="6"/>
      <c r="Y874" s="6"/>
      <c r="Z874" s="6" t="s">
        <v>218</v>
      </c>
      <c r="AA874" s="6" t="s">
        <v>219</v>
      </c>
      <c r="AB874" s="8"/>
    </row>
    <row r="875" spans="1:28" s="4" customFormat="1" ht="51.95" customHeight="1">
      <c r="A875" s="5">
        <v>0</v>
      </c>
      <c r="B875" s="6" t="s">
        <v>5628</v>
      </c>
      <c r="C875" s="13">
        <v>1280</v>
      </c>
      <c r="D875" s="8" t="s">
        <v>5629</v>
      </c>
      <c r="E875" s="8" t="s">
        <v>5630</v>
      </c>
      <c r="F875" s="8" t="s">
        <v>5631</v>
      </c>
      <c r="G875" s="6" t="s">
        <v>89</v>
      </c>
      <c r="H875" s="6" t="s">
        <v>53</v>
      </c>
      <c r="I875" s="8" t="s">
        <v>116</v>
      </c>
      <c r="J875" s="9">
        <v>1</v>
      </c>
      <c r="K875" s="9">
        <v>284</v>
      </c>
      <c r="L875" s="9">
        <v>2023</v>
      </c>
      <c r="M875" s="8" t="s">
        <v>5632</v>
      </c>
      <c r="N875" s="8" t="s">
        <v>41</v>
      </c>
      <c r="O875" s="8" t="s">
        <v>118</v>
      </c>
      <c r="P875" s="6" t="s">
        <v>167</v>
      </c>
      <c r="Q875" s="8" t="s">
        <v>44</v>
      </c>
      <c r="R875" s="10" t="s">
        <v>5633</v>
      </c>
      <c r="S875" s="11" t="s">
        <v>5634</v>
      </c>
      <c r="T875" s="6"/>
      <c r="U875" s="24" t="str">
        <f>HYPERLINK("https://media.infra-m.ru/1998/1998811/cover/1998811.jpg", "Обложка")</f>
        <v>Обложка</v>
      </c>
      <c r="V875" s="24" t="str">
        <f>HYPERLINK("https://znanium.ru/catalog/product/1998811", "Ознакомиться")</f>
        <v>Ознакомиться</v>
      </c>
      <c r="W875" s="8" t="s">
        <v>5635</v>
      </c>
      <c r="X875" s="6"/>
      <c r="Y875" s="6"/>
      <c r="Z875" s="6"/>
      <c r="AA875" s="6" t="s">
        <v>258</v>
      </c>
      <c r="AB875" s="8"/>
    </row>
    <row r="876" spans="1:28" s="4" customFormat="1" ht="51.95" customHeight="1">
      <c r="A876" s="5">
        <v>0</v>
      </c>
      <c r="B876" s="6" t="s">
        <v>5636</v>
      </c>
      <c r="C876" s="13">
        <v>2244</v>
      </c>
      <c r="D876" s="8" t="s">
        <v>5637</v>
      </c>
      <c r="E876" s="8" t="s">
        <v>5638</v>
      </c>
      <c r="F876" s="8" t="s">
        <v>5639</v>
      </c>
      <c r="G876" s="6" t="s">
        <v>89</v>
      </c>
      <c r="H876" s="6" t="s">
        <v>674</v>
      </c>
      <c r="I876" s="8"/>
      <c r="J876" s="9">
        <v>1</v>
      </c>
      <c r="K876" s="9">
        <v>448</v>
      </c>
      <c r="L876" s="9">
        <v>2025</v>
      </c>
      <c r="M876" s="8" t="s">
        <v>5640</v>
      </c>
      <c r="N876" s="8" t="s">
        <v>41</v>
      </c>
      <c r="O876" s="8" t="s">
        <v>676</v>
      </c>
      <c r="P876" s="6" t="s">
        <v>43</v>
      </c>
      <c r="Q876" s="8" t="s">
        <v>44</v>
      </c>
      <c r="R876" s="10" t="s">
        <v>5641</v>
      </c>
      <c r="S876" s="11"/>
      <c r="T876" s="6"/>
      <c r="U876" s="24" t="str">
        <f>HYPERLINK("https://media.infra-m.ru/2180/2180864/cover/2180864.jpg", "Обложка")</f>
        <v>Обложка</v>
      </c>
      <c r="V876" s="24" t="str">
        <f>HYPERLINK("https://znanium.ru/catalog/product/1923194", "Ознакомиться")</f>
        <v>Ознакомиться</v>
      </c>
      <c r="W876" s="8" t="s">
        <v>918</v>
      </c>
      <c r="X876" s="6"/>
      <c r="Y876" s="6"/>
      <c r="Z876" s="6"/>
      <c r="AA876" s="6" t="s">
        <v>813</v>
      </c>
      <c r="AB876" s="8"/>
    </row>
    <row r="877" spans="1:28" s="4" customFormat="1" ht="51.95" customHeight="1">
      <c r="A877" s="5">
        <v>0</v>
      </c>
      <c r="B877" s="6" t="s">
        <v>5642</v>
      </c>
      <c r="C877" s="7">
        <v>709.9</v>
      </c>
      <c r="D877" s="8" t="s">
        <v>5643</v>
      </c>
      <c r="E877" s="8" t="s">
        <v>5644</v>
      </c>
      <c r="F877" s="8" t="s">
        <v>5639</v>
      </c>
      <c r="G877" s="6" t="s">
        <v>52</v>
      </c>
      <c r="H877" s="6" t="s">
        <v>674</v>
      </c>
      <c r="I877" s="8"/>
      <c r="J877" s="9">
        <v>20</v>
      </c>
      <c r="K877" s="9">
        <v>240</v>
      </c>
      <c r="L877" s="9">
        <v>2018</v>
      </c>
      <c r="M877" s="8" t="s">
        <v>5645</v>
      </c>
      <c r="N877" s="8" t="s">
        <v>41</v>
      </c>
      <c r="O877" s="8" t="s">
        <v>676</v>
      </c>
      <c r="P877" s="6" t="s">
        <v>43</v>
      </c>
      <c r="Q877" s="8" t="s">
        <v>44</v>
      </c>
      <c r="R877" s="10" t="s">
        <v>5641</v>
      </c>
      <c r="S877" s="11"/>
      <c r="T877" s="6"/>
      <c r="U877" s="24" t="str">
        <f>HYPERLINK("https://media.infra-m.ru/0945/0945328/cover/945328.jpg", "Обложка")</f>
        <v>Обложка</v>
      </c>
      <c r="V877" s="24" t="str">
        <f>HYPERLINK("https://znanium.ru/catalog/product/1923194", "Ознакомиться")</f>
        <v>Ознакомиться</v>
      </c>
      <c r="W877" s="8" t="s">
        <v>918</v>
      </c>
      <c r="X877" s="6"/>
      <c r="Y877" s="6"/>
      <c r="Z877" s="6"/>
      <c r="AA877" s="6" t="s">
        <v>111</v>
      </c>
      <c r="AB877" s="8"/>
    </row>
    <row r="878" spans="1:28" s="4" customFormat="1" ht="51.95" customHeight="1">
      <c r="A878" s="5">
        <v>0</v>
      </c>
      <c r="B878" s="6" t="s">
        <v>5646</v>
      </c>
      <c r="C878" s="13">
        <v>1420</v>
      </c>
      <c r="D878" s="8" t="s">
        <v>5647</v>
      </c>
      <c r="E878" s="8" t="s">
        <v>5648</v>
      </c>
      <c r="F878" s="8" t="s">
        <v>5649</v>
      </c>
      <c r="G878" s="6" t="s">
        <v>52</v>
      </c>
      <c r="H878" s="6" t="s">
        <v>53</v>
      </c>
      <c r="I878" s="8" t="s">
        <v>116</v>
      </c>
      <c r="J878" s="9">
        <v>1</v>
      </c>
      <c r="K878" s="9">
        <v>284</v>
      </c>
      <c r="L878" s="9">
        <v>2024</v>
      </c>
      <c r="M878" s="8" t="s">
        <v>5650</v>
      </c>
      <c r="N878" s="8" t="s">
        <v>41</v>
      </c>
      <c r="O878" s="8" t="s">
        <v>118</v>
      </c>
      <c r="P878" s="6" t="s">
        <v>167</v>
      </c>
      <c r="Q878" s="8" t="s">
        <v>58</v>
      </c>
      <c r="R878" s="10" t="s">
        <v>5651</v>
      </c>
      <c r="S878" s="11"/>
      <c r="T878" s="6"/>
      <c r="U878" s="24" t="str">
        <f>HYPERLINK("https://media.infra-m.ru/2125/2125013/cover/2125013.jpg", "Обложка")</f>
        <v>Обложка</v>
      </c>
      <c r="V878" s="24" t="str">
        <f>HYPERLINK("https://znanium.ru/catalog/product/2125013", "Ознакомиться")</f>
        <v>Ознакомиться</v>
      </c>
      <c r="W878" s="8" t="s">
        <v>800</v>
      </c>
      <c r="X878" s="6" t="s">
        <v>179</v>
      </c>
      <c r="Y878" s="6"/>
      <c r="Z878" s="6"/>
      <c r="AA878" s="6" t="s">
        <v>133</v>
      </c>
      <c r="AB878" s="8"/>
    </row>
    <row r="879" spans="1:28" s="4" customFormat="1" ht="51.95" customHeight="1">
      <c r="A879" s="5">
        <v>0</v>
      </c>
      <c r="B879" s="6" t="s">
        <v>5652</v>
      </c>
      <c r="C879" s="13">
        <v>1320</v>
      </c>
      <c r="D879" s="8" t="s">
        <v>5653</v>
      </c>
      <c r="E879" s="8" t="s">
        <v>5654</v>
      </c>
      <c r="F879" s="8" t="s">
        <v>5655</v>
      </c>
      <c r="G879" s="6" t="s">
        <v>89</v>
      </c>
      <c r="H879" s="6" t="s">
        <v>53</v>
      </c>
      <c r="I879" s="8" t="s">
        <v>116</v>
      </c>
      <c r="J879" s="9">
        <v>1</v>
      </c>
      <c r="K879" s="9">
        <v>286</v>
      </c>
      <c r="L879" s="9">
        <v>2024</v>
      </c>
      <c r="M879" s="8" t="s">
        <v>5656</v>
      </c>
      <c r="N879" s="8" t="s">
        <v>41</v>
      </c>
      <c r="O879" s="8" t="s">
        <v>118</v>
      </c>
      <c r="P879" s="6" t="s">
        <v>43</v>
      </c>
      <c r="Q879" s="8" t="s">
        <v>44</v>
      </c>
      <c r="R879" s="10" t="s">
        <v>5657</v>
      </c>
      <c r="S879" s="11" t="s">
        <v>5658</v>
      </c>
      <c r="T879" s="6"/>
      <c r="U879" s="24" t="str">
        <f>HYPERLINK("https://media.infra-m.ru/2091/2091936/cover/2091936.jpg", "Обложка")</f>
        <v>Обложка</v>
      </c>
      <c r="V879" s="24" t="str">
        <f>HYPERLINK("https://znanium.ru/catalog/product/2091936", "Ознакомиться")</f>
        <v>Ознакомиться</v>
      </c>
      <c r="W879" s="8" t="s">
        <v>2059</v>
      </c>
      <c r="X879" s="6"/>
      <c r="Y879" s="6"/>
      <c r="Z879" s="6"/>
      <c r="AA879" s="6" t="s">
        <v>47</v>
      </c>
      <c r="AB879" s="8"/>
    </row>
    <row r="880" spans="1:28" s="4" customFormat="1" ht="51.95" customHeight="1">
      <c r="A880" s="5">
        <v>0</v>
      </c>
      <c r="B880" s="6" t="s">
        <v>5659</v>
      </c>
      <c r="C880" s="7">
        <v>620</v>
      </c>
      <c r="D880" s="8" t="s">
        <v>5660</v>
      </c>
      <c r="E880" s="8" t="s">
        <v>5661</v>
      </c>
      <c r="F880" s="8" t="s">
        <v>5662</v>
      </c>
      <c r="G880" s="6" t="s">
        <v>38</v>
      </c>
      <c r="H880" s="6" t="s">
        <v>53</v>
      </c>
      <c r="I880" s="8" t="s">
        <v>2511</v>
      </c>
      <c r="J880" s="9">
        <v>1</v>
      </c>
      <c r="K880" s="9">
        <v>178</v>
      </c>
      <c r="L880" s="9">
        <v>2018</v>
      </c>
      <c r="M880" s="8" t="s">
        <v>5663</v>
      </c>
      <c r="N880" s="8" t="s">
        <v>41</v>
      </c>
      <c r="O880" s="8" t="s">
        <v>1007</v>
      </c>
      <c r="P880" s="6" t="s">
        <v>1046</v>
      </c>
      <c r="Q880" s="8" t="s">
        <v>58</v>
      </c>
      <c r="R880" s="10" t="s">
        <v>5664</v>
      </c>
      <c r="S880" s="11"/>
      <c r="T880" s="6"/>
      <c r="U880" s="24" t="str">
        <f>HYPERLINK("https://media.infra-m.ru/0973/0973383/cover/973383.jpg", "Обложка")</f>
        <v>Обложка</v>
      </c>
      <c r="V880" s="24" t="str">
        <f>HYPERLINK("https://znanium.ru/catalog/product/973383", "Ознакомиться")</f>
        <v>Ознакомиться</v>
      </c>
      <c r="W880" s="8" t="s">
        <v>83</v>
      </c>
      <c r="X880" s="6"/>
      <c r="Y880" s="6"/>
      <c r="Z880" s="6"/>
      <c r="AA880" s="6" t="s">
        <v>418</v>
      </c>
      <c r="AB880" s="8"/>
    </row>
    <row r="881" spans="1:28" s="4" customFormat="1" ht="51.95" customHeight="1">
      <c r="A881" s="5">
        <v>0</v>
      </c>
      <c r="B881" s="6" t="s">
        <v>5665</v>
      </c>
      <c r="C881" s="13">
        <v>2174</v>
      </c>
      <c r="D881" s="8" t="s">
        <v>5666</v>
      </c>
      <c r="E881" s="8" t="s">
        <v>5667</v>
      </c>
      <c r="F881" s="8" t="s">
        <v>5668</v>
      </c>
      <c r="G881" s="6" t="s">
        <v>89</v>
      </c>
      <c r="H881" s="6" t="s">
        <v>53</v>
      </c>
      <c r="I881" s="8" t="s">
        <v>90</v>
      </c>
      <c r="J881" s="9">
        <v>1</v>
      </c>
      <c r="K881" s="9">
        <v>468</v>
      </c>
      <c r="L881" s="9">
        <v>2024</v>
      </c>
      <c r="M881" s="8" t="s">
        <v>5669</v>
      </c>
      <c r="N881" s="8" t="s">
        <v>41</v>
      </c>
      <c r="O881" s="8" t="s">
        <v>118</v>
      </c>
      <c r="P881" s="6" t="s">
        <v>167</v>
      </c>
      <c r="Q881" s="8" t="s">
        <v>44</v>
      </c>
      <c r="R881" s="10" t="s">
        <v>5670</v>
      </c>
      <c r="S881" s="11" t="s">
        <v>5671</v>
      </c>
      <c r="T881" s="6"/>
      <c r="U881" s="24" t="str">
        <f>HYPERLINK("https://media.infra-m.ru/2120/2120757/cover/2120757.jpg", "Обложка")</f>
        <v>Обложка</v>
      </c>
      <c r="V881" s="24" t="str">
        <f>HYPERLINK("https://znanium.ru/catalog/product/2125206", "Ознакомиться")</f>
        <v>Ознакомиться</v>
      </c>
      <c r="W881" s="8" t="s">
        <v>189</v>
      </c>
      <c r="X881" s="6"/>
      <c r="Y881" s="6"/>
      <c r="Z881" s="6"/>
      <c r="AA881" s="6" t="s">
        <v>219</v>
      </c>
      <c r="AB881" s="8" t="s">
        <v>1383</v>
      </c>
    </row>
    <row r="882" spans="1:28" s="4" customFormat="1" ht="51.95" customHeight="1">
      <c r="A882" s="5">
        <v>0</v>
      </c>
      <c r="B882" s="6" t="s">
        <v>5672</v>
      </c>
      <c r="C882" s="13">
        <v>2260</v>
      </c>
      <c r="D882" s="8" t="s">
        <v>5673</v>
      </c>
      <c r="E882" s="8" t="s">
        <v>5674</v>
      </c>
      <c r="F882" s="8" t="s">
        <v>267</v>
      </c>
      <c r="G882" s="6" t="s">
        <v>52</v>
      </c>
      <c r="H882" s="6" t="s">
        <v>53</v>
      </c>
      <c r="I882" s="8" t="s">
        <v>2048</v>
      </c>
      <c r="J882" s="9">
        <v>1</v>
      </c>
      <c r="K882" s="9">
        <v>477</v>
      </c>
      <c r="L882" s="9">
        <v>2024</v>
      </c>
      <c r="M882" s="8" t="s">
        <v>5675</v>
      </c>
      <c r="N882" s="8" t="s">
        <v>41</v>
      </c>
      <c r="O882" s="8" t="s">
        <v>118</v>
      </c>
      <c r="P882" s="6" t="s">
        <v>167</v>
      </c>
      <c r="Q882" s="8" t="s">
        <v>58</v>
      </c>
      <c r="R882" s="10" t="s">
        <v>5670</v>
      </c>
      <c r="S882" s="11" t="s">
        <v>5671</v>
      </c>
      <c r="T882" s="6"/>
      <c r="U882" s="24" t="str">
        <f>HYPERLINK("https://media.infra-m.ru/2125/2125206/cover/2125206.jpg", "Обложка")</f>
        <v>Обложка</v>
      </c>
      <c r="V882" s="24" t="str">
        <f>HYPERLINK("https://znanium.ru/catalog/product/2125206", "Ознакомиться")</f>
        <v>Ознакомиться</v>
      </c>
      <c r="W882" s="8"/>
      <c r="X882" s="6"/>
      <c r="Y882" s="6"/>
      <c r="Z882" s="6"/>
      <c r="AA882" s="6" t="s">
        <v>105</v>
      </c>
      <c r="AB882" s="8" t="s">
        <v>1383</v>
      </c>
    </row>
    <row r="883" spans="1:28" s="4" customFormat="1" ht="51.95" customHeight="1">
      <c r="A883" s="5">
        <v>0</v>
      </c>
      <c r="B883" s="6" t="s">
        <v>5676</v>
      </c>
      <c r="C883" s="13">
        <v>1330</v>
      </c>
      <c r="D883" s="8" t="s">
        <v>5677</v>
      </c>
      <c r="E883" s="8" t="s">
        <v>5667</v>
      </c>
      <c r="F883" s="8" t="s">
        <v>5678</v>
      </c>
      <c r="G883" s="6" t="s">
        <v>89</v>
      </c>
      <c r="H883" s="6" t="s">
        <v>53</v>
      </c>
      <c r="I883" s="8" t="s">
        <v>116</v>
      </c>
      <c r="J883" s="9">
        <v>1</v>
      </c>
      <c r="K883" s="9">
        <v>289</v>
      </c>
      <c r="L883" s="9">
        <v>2024</v>
      </c>
      <c r="M883" s="8" t="s">
        <v>5679</v>
      </c>
      <c r="N883" s="8" t="s">
        <v>41</v>
      </c>
      <c r="O883" s="8" t="s">
        <v>118</v>
      </c>
      <c r="P883" s="6" t="s">
        <v>167</v>
      </c>
      <c r="Q883" s="8" t="s">
        <v>44</v>
      </c>
      <c r="R883" s="10" t="s">
        <v>5680</v>
      </c>
      <c r="S883" s="11" t="s">
        <v>5681</v>
      </c>
      <c r="T883" s="6" t="s">
        <v>299</v>
      </c>
      <c r="U883" s="24" t="str">
        <f>HYPERLINK("https://media.infra-m.ru/2036/2036540/cover/2036540.jpg", "Обложка")</f>
        <v>Обложка</v>
      </c>
      <c r="V883" s="24" t="str">
        <f>HYPERLINK("https://znanium.ru/catalog/product/2036540", "Ознакомиться")</f>
        <v>Ознакомиться</v>
      </c>
      <c r="W883" s="8" t="s">
        <v>354</v>
      </c>
      <c r="X883" s="6"/>
      <c r="Y883" s="6"/>
      <c r="Z883" s="6"/>
      <c r="AA883" s="6" t="s">
        <v>84</v>
      </c>
      <c r="AB883" s="8"/>
    </row>
    <row r="884" spans="1:28" s="4" customFormat="1" ht="51.95" customHeight="1">
      <c r="A884" s="5">
        <v>0</v>
      </c>
      <c r="B884" s="6" t="s">
        <v>5682</v>
      </c>
      <c r="C884" s="13">
        <v>1504</v>
      </c>
      <c r="D884" s="8" t="s">
        <v>5683</v>
      </c>
      <c r="E884" s="8" t="s">
        <v>5684</v>
      </c>
      <c r="F884" s="8" t="s">
        <v>5685</v>
      </c>
      <c r="G884" s="6" t="s">
        <v>52</v>
      </c>
      <c r="H884" s="6" t="s">
        <v>53</v>
      </c>
      <c r="I884" s="8" t="s">
        <v>276</v>
      </c>
      <c r="J884" s="9">
        <v>1</v>
      </c>
      <c r="K884" s="9">
        <v>300</v>
      </c>
      <c r="L884" s="9">
        <v>2025</v>
      </c>
      <c r="M884" s="8" t="s">
        <v>5686</v>
      </c>
      <c r="N884" s="8" t="s">
        <v>41</v>
      </c>
      <c r="O884" s="8" t="s">
        <v>1007</v>
      </c>
      <c r="P884" s="6" t="s">
        <v>43</v>
      </c>
      <c r="Q884" s="8" t="s">
        <v>279</v>
      </c>
      <c r="R884" s="10" t="s">
        <v>5687</v>
      </c>
      <c r="S884" s="11" t="s">
        <v>5688</v>
      </c>
      <c r="T884" s="6"/>
      <c r="U884" s="24" t="str">
        <f>HYPERLINK("https://media.infra-m.ru/2187/2187018/cover/2187018.jpg", "Обложка")</f>
        <v>Обложка</v>
      </c>
      <c r="V884" s="24" t="str">
        <f>HYPERLINK("https://znanium.ru/catalog/product/1843631", "Ознакомиться")</f>
        <v>Ознакомиться</v>
      </c>
      <c r="W884" s="8" t="s">
        <v>5689</v>
      </c>
      <c r="X884" s="6"/>
      <c r="Y884" s="6"/>
      <c r="Z884" s="6"/>
      <c r="AA884" s="6" t="s">
        <v>122</v>
      </c>
      <c r="AB884" s="8"/>
    </row>
    <row r="885" spans="1:28" s="4" customFormat="1" ht="42" customHeight="1">
      <c r="A885" s="5">
        <v>0</v>
      </c>
      <c r="B885" s="6" t="s">
        <v>5690</v>
      </c>
      <c r="C885" s="7">
        <v>930</v>
      </c>
      <c r="D885" s="8" t="s">
        <v>5691</v>
      </c>
      <c r="E885" s="8" t="s">
        <v>5692</v>
      </c>
      <c r="F885" s="8" t="s">
        <v>5693</v>
      </c>
      <c r="G885" s="6" t="s">
        <v>52</v>
      </c>
      <c r="H885" s="6" t="s">
        <v>53</v>
      </c>
      <c r="I885" s="8" t="s">
        <v>116</v>
      </c>
      <c r="J885" s="9">
        <v>1</v>
      </c>
      <c r="K885" s="9">
        <v>174</v>
      </c>
      <c r="L885" s="9">
        <v>2025</v>
      </c>
      <c r="M885" s="8" t="s">
        <v>5694</v>
      </c>
      <c r="N885" s="8" t="s">
        <v>41</v>
      </c>
      <c r="O885" s="8" t="s">
        <v>278</v>
      </c>
      <c r="P885" s="6" t="s">
        <v>43</v>
      </c>
      <c r="Q885" s="8" t="s">
        <v>279</v>
      </c>
      <c r="R885" s="10" t="s">
        <v>5695</v>
      </c>
      <c r="S885" s="11"/>
      <c r="T885" s="6"/>
      <c r="U885" s="24" t="str">
        <f>HYPERLINK("https://media.infra-m.ru/2158/2158057/cover/2158057.jpg", "Обложка")</f>
        <v>Обложка</v>
      </c>
      <c r="V885" s="24" t="str">
        <f>HYPERLINK("https://znanium.ru/catalog/product/2158057", "Ознакомиться")</f>
        <v>Ознакомиться</v>
      </c>
      <c r="W885" s="8" t="s">
        <v>5696</v>
      </c>
      <c r="X885" s="6" t="s">
        <v>2790</v>
      </c>
      <c r="Y885" s="6"/>
      <c r="Z885" s="6"/>
      <c r="AA885" s="6" t="s">
        <v>61</v>
      </c>
      <c r="AB885" s="8"/>
    </row>
    <row r="886" spans="1:28" s="4" customFormat="1" ht="51.95" customHeight="1">
      <c r="A886" s="5">
        <v>0</v>
      </c>
      <c r="B886" s="6" t="s">
        <v>5697</v>
      </c>
      <c r="C886" s="13">
        <v>1544</v>
      </c>
      <c r="D886" s="8" t="s">
        <v>5698</v>
      </c>
      <c r="E886" s="8" t="s">
        <v>5699</v>
      </c>
      <c r="F886" s="8" t="s">
        <v>5700</v>
      </c>
      <c r="G886" s="6" t="s">
        <v>89</v>
      </c>
      <c r="H886" s="6" t="s">
        <v>53</v>
      </c>
      <c r="I886" s="8" t="s">
        <v>116</v>
      </c>
      <c r="J886" s="9">
        <v>1</v>
      </c>
      <c r="K886" s="9">
        <v>296</v>
      </c>
      <c r="L886" s="9">
        <v>2025</v>
      </c>
      <c r="M886" s="8" t="s">
        <v>5701</v>
      </c>
      <c r="N886" s="8" t="s">
        <v>41</v>
      </c>
      <c r="O886" s="8" t="s">
        <v>1007</v>
      </c>
      <c r="P886" s="6" t="s">
        <v>167</v>
      </c>
      <c r="Q886" s="8" t="s">
        <v>44</v>
      </c>
      <c r="R886" s="10" t="s">
        <v>3043</v>
      </c>
      <c r="S886" s="11" t="s">
        <v>5702</v>
      </c>
      <c r="T886" s="6" t="s">
        <v>299</v>
      </c>
      <c r="U886" s="24" t="str">
        <f>HYPERLINK("https://media.infra-m.ru/2192/2192255/cover/2192255.jpg", "Обложка")</f>
        <v>Обложка</v>
      </c>
      <c r="V886" s="24" t="str">
        <f>HYPERLINK("https://znanium.ru/catalog/product/2029858", "Ознакомиться")</f>
        <v>Ознакомиться</v>
      </c>
      <c r="W886" s="8" t="s">
        <v>450</v>
      </c>
      <c r="X886" s="6"/>
      <c r="Y886" s="6"/>
      <c r="Z886" s="6"/>
      <c r="AA886" s="6" t="s">
        <v>111</v>
      </c>
      <c r="AB886" s="8"/>
    </row>
    <row r="887" spans="1:28" s="4" customFormat="1" ht="51.95" customHeight="1">
      <c r="A887" s="5">
        <v>0</v>
      </c>
      <c r="B887" s="6" t="s">
        <v>5703</v>
      </c>
      <c r="C887" s="13">
        <v>1144</v>
      </c>
      <c r="D887" s="8" t="s">
        <v>5704</v>
      </c>
      <c r="E887" s="8" t="s">
        <v>5705</v>
      </c>
      <c r="F887" s="8" t="s">
        <v>848</v>
      </c>
      <c r="G887" s="6" t="s">
        <v>89</v>
      </c>
      <c r="H887" s="6" t="s">
        <v>53</v>
      </c>
      <c r="I887" s="8" t="s">
        <v>90</v>
      </c>
      <c r="J887" s="9">
        <v>1</v>
      </c>
      <c r="K887" s="9">
        <v>247</v>
      </c>
      <c r="L887" s="9">
        <v>2024</v>
      </c>
      <c r="M887" s="8" t="s">
        <v>5706</v>
      </c>
      <c r="N887" s="8" t="s">
        <v>41</v>
      </c>
      <c r="O887" s="8" t="s">
        <v>1007</v>
      </c>
      <c r="P887" s="6" t="s">
        <v>43</v>
      </c>
      <c r="Q887" s="8" t="s">
        <v>44</v>
      </c>
      <c r="R887" s="10" t="s">
        <v>5707</v>
      </c>
      <c r="S887" s="11" t="s">
        <v>5708</v>
      </c>
      <c r="T887" s="6"/>
      <c r="U887" s="24" t="str">
        <f>HYPERLINK("https://media.infra-m.ru/2006/2006896/cover/2006896.jpg", "Обложка")</f>
        <v>Обложка</v>
      </c>
      <c r="V887" s="24" t="str">
        <f>HYPERLINK("https://znanium.ru/catalog/product/1241806", "Ознакомиться")</f>
        <v>Ознакомиться</v>
      </c>
      <c r="W887" s="8" t="s">
        <v>852</v>
      </c>
      <c r="X887" s="6"/>
      <c r="Y887" s="6"/>
      <c r="Z887" s="6"/>
      <c r="AA887" s="6" t="s">
        <v>151</v>
      </c>
      <c r="AB887" s="8"/>
    </row>
    <row r="888" spans="1:28" s="4" customFormat="1" ht="51.95" customHeight="1">
      <c r="A888" s="5">
        <v>0</v>
      </c>
      <c r="B888" s="6" t="s">
        <v>5709</v>
      </c>
      <c r="C888" s="13">
        <v>1920</v>
      </c>
      <c r="D888" s="8" t="s">
        <v>5710</v>
      </c>
      <c r="E888" s="8" t="s">
        <v>5711</v>
      </c>
      <c r="F888" s="8" t="s">
        <v>5712</v>
      </c>
      <c r="G888" s="6" t="s">
        <v>89</v>
      </c>
      <c r="H888" s="6" t="s">
        <v>53</v>
      </c>
      <c r="I888" s="8" t="s">
        <v>116</v>
      </c>
      <c r="J888" s="9">
        <v>1</v>
      </c>
      <c r="K888" s="9">
        <v>384</v>
      </c>
      <c r="L888" s="9">
        <v>2025</v>
      </c>
      <c r="M888" s="8" t="s">
        <v>5713</v>
      </c>
      <c r="N888" s="8" t="s">
        <v>41</v>
      </c>
      <c r="O888" s="8" t="s">
        <v>118</v>
      </c>
      <c r="P888" s="6" t="s">
        <v>43</v>
      </c>
      <c r="Q888" s="8" t="s">
        <v>44</v>
      </c>
      <c r="R888" s="10" t="s">
        <v>5714</v>
      </c>
      <c r="S888" s="11" t="s">
        <v>5715</v>
      </c>
      <c r="T888" s="6"/>
      <c r="U888" s="24" t="str">
        <f>HYPERLINK("https://media.infra-m.ru/2054/2054174/cover/2054174.jpg", "Обложка")</f>
        <v>Обложка</v>
      </c>
      <c r="V888" s="24" t="str">
        <f>HYPERLINK("https://znanium.ru/catalog/product/2054174", "Ознакомиться")</f>
        <v>Ознакомиться</v>
      </c>
      <c r="W888" s="8" t="s">
        <v>5716</v>
      </c>
      <c r="X888" s="6"/>
      <c r="Y888" s="6"/>
      <c r="Z888" s="6"/>
      <c r="AA888" s="6" t="s">
        <v>3065</v>
      </c>
      <c r="AB888" s="8"/>
    </row>
    <row r="889" spans="1:28" s="4" customFormat="1" ht="42" customHeight="1">
      <c r="A889" s="5">
        <v>0</v>
      </c>
      <c r="B889" s="6" t="s">
        <v>5717</v>
      </c>
      <c r="C889" s="13">
        <v>1150</v>
      </c>
      <c r="D889" s="8" t="s">
        <v>5718</v>
      </c>
      <c r="E889" s="8" t="s">
        <v>5719</v>
      </c>
      <c r="F889" s="8" t="s">
        <v>5720</v>
      </c>
      <c r="G889" s="6" t="s">
        <v>89</v>
      </c>
      <c r="H889" s="6" t="s">
        <v>53</v>
      </c>
      <c r="I889" s="8" t="s">
        <v>116</v>
      </c>
      <c r="J889" s="9">
        <v>1</v>
      </c>
      <c r="K889" s="9">
        <v>230</v>
      </c>
      <c r="L889" s="9">
        <v>2024</v>
      </c>
      <c r="M889" s="8" t="s">
        <v>5721</v>
      </c>
      <c r="N889" s="8" t="s">
        <v>56</v>
      </c>
      <c r="O889" s="8" t="s">
        <v>57</v>
      </c>
      <c r="P889" s="6" t="s">
        <v>43</v>
      </c>
      <c r="Q889" s="8" t="s">
        <v>44</v>
      </c>
      <c r="R889" s="10" t="s">
        <v>1709</v>
      </c>
      <c r="S889" s="11"/>
      <c r="T889" s="6" t="s">
        <v>299</v>
      </c>
      <c r="U889" s="24" t="str">
        <f>HYPERLINK("https://media.infra-m.ru/2154/2154895/cover/2154895.jpg", "Обложка")</f>
        <v>Обложка</v>
      </c>
      <c r="V889" s="24" t="str">
        <f>HYPERLINK("https://znanium.ru/catalog/product/2154895", "Ознакомиться")</f>
        <v>Ознакомиться</v>
      </c>
      <c r="W889" s="8" t="s">
        <v>5435</v>
      </c>
      <c r="X889" s="6"/>
      <c r="Y889" s="6"/>
      <c r="Z889" s="6"/>
      <c r="AA889" s="6" t="s">
        <v>494</v>
      </c>
      <c r="AB889" s="8"/>
    </row>
    <row r="890" spans="1:28" s="4" customFormat="1" ht="51.95" customHeight="1">
      <c r="A890" s="5">
        <v>0</v>
      </c>
      <c r="B890" s="6" t="s">
        <v>5722</v>
      </c>
      <c r="C890" s="13">
        <v>1414</v>
      </c>
      <c r="D890" s="8" t="s">
        <v>5723</v>
      </c>
      <c r="E890" s="8" t="s">
        <v>5724</v>
      </c>
      <c r="F890" s="8" t="s">
        <v>5725</v>
      </c>
      <c r="G890" s="6" t="s">
        <v>52</v>
      </c>
      <c r="H890" s="6" t="s">
        <v>649</v>
      </c>
      <c r="I890" s="8" t="s">
        <v>116</v>
      </c>
      <c r="J890" s="9">
        <v>1</v>
      </c>
      <c r="K890" s="9">
        <v>272</v>
      </c>
      <c r="L890" s="9">
        <v>2025</v>
      </c>
      <c r="M890" s="8" t="s">
        <v>5726</v>
      </c>
      <c r="N890" s="8" t="s">
        <v>41</v>
      </c>
      <c r="O890" s="8" t="s">
        <v>676</v>
      </c>
      <c r="P890" s="6" t="s">
        <v>43</v>
      </c>
      <c r="Q890" s="8" t="s">
        <v>44</v>
      </c>
      <c r="R890" s="10" t="s">
        <v>5727</v>
      </c>
      <c r="S890" s="11" t="s">
        <v>5728</v>
      </c>
      <c r="T890" s="6"/>
      <c r="U890" s="24" t="str">
        <f>HYPERLINK("https://media.infra-m.ru/2193/2193745/cover/2193745.jpg", "Обложка")</f>
        <v>Обложка</v>
      </c>
      <c r="V890" s="24" t="str">
        <f>HYPERLINK("https://znanium.ru/catalog/product/945557", "Ознакомиться")</f>
        <v>Ознакомиться</v>
      </c>
      <c r="W890" s="8" t="s">
        <v>5635</v>
      </c>
      <c r="X890" s="6"/>
      <c r="Y890" s="6"/>
      <c r="Z890" s="6"/>
      <c r="AA890" s="6" t="s">
        <v>72</v>
      </c>
      <c r="AB890" s="8"/>
    </row>
    <row r="891" spans="1:28" s="4" customFormat="1" ht="51.95" customHeight="1">
      <c r="A891" s="5">
        <v>0</v>
      </c>
      <c r="B891" s="6" t="s">
        <v>5729</v>
      </c>
      <c r="C891" s="13">
        <v>2224</v>
      </c>
      <c r="D891" s="8" t="s">
        <v>5730</v>
      </c>
      <c r="E891" s="8" t="s">
        <v>5731</v>
      </c>
      <c r="F891" s="8" t="s">
        <v>5732</v>
      </c>
      <c r="G891" s="6" t="s">
        <v>89</v>
      </c>
      <c r="H891" s="6" t="s">
        <v>53</v>
      </c>
      <c r="I891" s="8" t="s">
        <v>90</v>
      </c>
      <c r="J891" s="9">
        <v>1</v>
      </c>
      <c r="K891" s="9">
        <v>445</v>
      </c>
      <c r="L891" s="9">
        <v>2025</v>
      </c>
      <c r="M891" s="8" t="s">
        <v>5733</v>
      </c>
      <c r="N891" s="8" t="s">
        <v>41</v>
      </c>
      <c r="O891" s="8" t="s">
        <v>1007</v>
      </c>
      <c r="P891" s="6" t="s">
        <v>167</v>
      </c>
      <c r="Q891" s="8" t="s">
        <v>44</v>
      </c>
      <c r="R891" s="10" t="s">
        <v>5734</v>
      </c>
      <c r="S891" s="11" t="s">
        <v>5735</v>
      </c>
      <c r="T891" s="6"/>
      <c r="U891" s="24" t="str">
        <f>HYPERLINK("https://media.infra-m.ru/2125/2125407/cover/2125407.jpg", "Обложка")</f>
        <v>Обложка</v>
      </c>
      <c r="V891" s="24" t="str">
        <f>HYPERLINK("https://znanium.ru/catalog/product/1940921", "Ознакомиться")</f>
        <v>Ознакомиться</v>
      </c>
      <c r="W891" s="8" t="s">
        <v>1253</v>
      </c>
      <c r="X891" s="6"/>
      <c r="Y891" s="6"/>
      <c r="Z891" s="6"/>
      <c r="AA891" s="6" t="s">
        <v>5034</v>
      </c>
      <c r="AB891" s="8"/>
    </row>
    <row r="892" spans="1:28" s="4" customFormat="1" ht="51.95" customHeight="1">
      <c r="A892" s="5">
        <v>0</v>
      </c>
      <c r="B892" s="6" t="s">
        <v>5736</v>
      </c>
      <c r="C892" s="13">
        <v>1720</v>
      </c>
      <c r="D892" s="8" t="s">
        <v>5737</v>
      </c>
      <c r="E892" s="8" t="s">
        <v>5738</v>
      </c>
      <c r="F892" s="8" t="s">
        <v>5739</v>
      </c>
      <c r="G892" s="6" t="s">
        <v>89</v>
      </c>
      <c r="H892" s="6" t="s">
        <v>184</v>
      </c>
      <c r="I892" s="8" t="s">
        <v>116</v>
      </c>
      <c r="J892" s="9">
        <v>1</v>
      </c>
      <c r="K892" s="9">
        <v>344</v>
      </c>
      <c r="L892" s="9">
        <v>2024</v>
      </c>
      <c r="M892" s="8" t="s">
        <v>5740</v>
      </c>
      <c r="N892" s="8" t="s">
        <v>41</v>
      </c>
      <c r="O892" s="8" t="s">
        <v>1007</v>
      </c>
      <c r="P892" s="6" t="s">
        <v>167</v>
      </c>
      <c r="Q892" s="8" t="s">
        <v>58</v>
      </c>
      <c r="R892" s="10" t="s">
        <v>5741</v>
      </c>
      <c r="S892" s="11"/>
      <c r="T892" s="6"/>
      <c r="U892" s="24" t="str">
        <f>HYPERLINK("https://media.infra-m.ru/2093/2093931/cover/2093931.jpg", "Обложка")</f>
        <v>Обложка</v>
      </c>
      <c r="V892" s="24" t="str">
        <f>HYPERLINK("https://znanium.ru/catalog/product/2093931", "Ознакомиться")</f>
        <v>Ознакомиться</v>
      </c>
      <c r="W892" s="8" t="s">
        <v>2392</v>
      </c>
      <c r="X892" s="6" t="s">
        <v>772</v>
      </c>
      <c r="Y892" s="6"/>
      <c r="Z892" s="6"/>
      <c r="AA892" s="6" t="s">
        <v>105</v>
      </c>
      <c r="AB892" s="8"/>
    </row>
    <row r="893" spans="1:28" s="4" customFormat="1" ht="51.95" customHeight="1">
      <c r="A893" s="5">
        <v>0</v>
      </c>
      <c r="B893" s="6" t="s">
        <v>5742</v>
      </c>
      <c r="C893" s="13">
        <v>1230</v>
      </c>
      <c r="D893" s="8" t="s">
        <v>5743</v>
      </c>
      <c r="E893" s="8" t="s">
        <v>5744</v>
      </c>
      <c r="F893" s="8" t="s">
        <v>5739</v>
      </c>
      <c r="G893" s="6" t="s">
        <v>52</v>
      </c>
      <c r="H893" s="6" t="s">
        <v>184</v>
      </c>
      <c r="I893" s="8" t="s">
        <v>116</v>
      </c>
      <c r="J893" s="9">
        <v>1</v>
      </c>
      <c r="K893" s="9">
        <v>345</v>
      </c>
      <c r="L893" s="9">
        <v>2020</v>
      </c>
      <c r="M893" s="8" t="s">
        <v>5745</v>
      </c>
      <c r="N893" s="8" t="s">
        <v>41</v>
      </c>
      <c r="O893" s="8" t="s">
        <v>1007</v>
      </c>
      <c r="P893" s="6" t="s">
        <v>167</v>
      </c>
      <c r="Q893" s="8" t="s">
        <v>58</v>
      </c>
      <c r="R893" s="10" t="s">
        <v>5741</v>
      </c>
      <c r="S893" s="11"/>
      <c r="T893" s="6"/>
      <c r="U893" s="24" t="str">
        <f>HYPERLINK("https://media.infra-m.ru/1088/1088721/cover/1088721.jpg", "Обложка")</f>
        <v>Обложка</v>
      </c>
      <c r="V893" s="24" t="str">
        <f>HYPERLINK("https://znanium.ru/catalog/product/2093931", "Ознакомиться")</f>
        <v>Ознакомиться</v>
      </c>
      <c r="W893" s="8" t="s">
        <v>2392</v>
      </c>
      <c r="X893" s="6"/>
      <c r="Y893" s="6"/>
      <c r="Z893" s="6"/>
      <c r="AA893" s="6" t="s">
        <v>793</v>
      </c>
      <c r="AB893" s="8"/>
    </row>
    <row r="894" spans="1:28" s="4" customFormat="1" ht="51.95" customHeight="1">
      <c r="A894" s="5">
        <v>0</v>
      </c>
      <c r="B894" s="6" t="s">
        <v>5746</v>
      </c>
      <c r="C894" s="7">
        <v>790</v>
      </c>
      <c r="D894" s="8" t="s">
        <v>5747</v>
      </c>
      <c r="E894" s="8" t="s">
        <v>5748</v>
      </c>
      <c r="F894" s="8" t="s">
        <v>5749</v>
      </c>
      <c r="G894" s="6" t="s">
        <v>52</v>
      </c>
      <c r="H894" s="6" t="s">
        <v>53</v>
      </c>
      <c r="I894" s="8" t="s">
        <v>276</v>
      </c>
      <c r="J894" s="9">
        <v>1</v>
      </c>
      <c r="K894" s="9">
        <v>169</v>
      </c>
      <c r="L894" s="9">
        <v>2022</v>
      </c>
      <c r="M894" s="8" t="s">
        <v>5750</v>
      </c>
      <c r="N894" s="8" t="s">
        <v>41</v>
      </c>
      <c r="O894" s="8" t="s">
        <v>676</v>
      </c>
      <c r="P894" s="6" t="s">
        <v>43</v>
      </c>
      <c r="Q894" s="8" t="s">
        <v>279</v>
      </c>
      <c r="R894" s="10" t="s">
        <v>5751</v>
      </c>
      <c r="S894" s="11" t="s">
        <v>5752</v>
      </c>
      <c r="T894" s="6"/>
      <c r="U894" s="24" t="str">
        <f>HYPERLINK("https://media.infra-m.ru/1096/1096100/cover/1096100.jpg", "Обложка")</f>
        <v>Обложка</v>
      </c>
      <c r="V894" s="24" t="str">
        <f>HYPERLINK("https://znanium.ru/catalog/product/1096100", "Ознакомиться")</f>
        <v>Ознакомиться</v>
      </c>
      <c r="W894" s="8" t="s">
        <v>1826</v>
      </c>
      <c r="X894" s="6"/>
      <c r="Y894" s="6"/>
      <c r="Z894" s="6"/>
      <c r="AA894" s="6" t="s">
        <v>235</v>
      </c>
      <c r="AB894" s="8"/>
    </row>
    <row r="895" spans="1:28" s="4" customFormat="1" ht="51.95" customHeight="1">
      <c r="A895" s="5">
        <v>0</v>
      </c>
      <c r="B895" s="6" t="s">
        <v>5753</v>
      </c>
      <c r="C895" s="7">
        <v>774</v>
      </c>
      <c r="D895" s="8" t="s">
        <v>5754</v>
      </c>
      <c r="E895" s="8" t="s">
        <v>5755</v>
      </c>
      <c r="F895" s="8" t="s">
        <v>5749</v>
      </c>
      <c r="G895" s="6" t="s">
        <v>52</v>
      </c>
      <c r="H895" s="6" t="s">
        <v>53</v>
      </c>
      <c r="I895" s="8" t="s">
        <v>276</v>
      </c>
      <c r="J895" s="9">
        <v>1</v>
      </c>
      <c r="K895" s="9">
        <v>165</v>
      </c>
      <c r="L895" s="9">
        <v>2023</v>
      </c>
      <c r="M895" s="8" t="s">
        <v>5756</v>
      </c>
      <c r="N895" s="8" t="s">
        <v>41</v>
      </c>
      <c r="O895" s="8" t="s">
        <v>676</v>
      </c>
      <c r="P895" s="6" t="s">
        <v>43</v>
      </c>
      <c r="Q895" s="8" t="s">
        <v>279</v>
      </c>
      <c r="R895" s="10" t="s">
        <v>5757</v>
      </c>
      <c r="S895" s="11" t="s">
        <v>5758</v>
      </c>
      <c r="T895" s="6"/>
      <c r="U895" s="24" t="str">
        <f>HYPERLINK("https://media.infra-m.ru/2006/2006089/cover/2006089.jpg", "Обложка")</f>
        <v>Обложка</v>
      </c>
      <c r="V895" s="24" t="str">
        <f>HYPERLINK("https://znanium.ru/catalog/product/1863145", "Ознакомиться")</f>
        <v>Ознакомиться</v>
      </c>
      <c r="W895" s="8" t="s">
        <v>1826</v>
      </c>
      <c r="X895" s="6"/>
      <c r="Y895" s="6"/>
      <c r="Z895" s="6"/>
      <c r="AA895" s="6" t="s">
        <v>151</v>
      </c>
      <c r="AB895" s="8"/>
    </row>
    <row r="896" spans="1:28" s="4" customFormat="1" ht="51.95" customHeight="1">
      <c r="A896" s="5">
        <v>0</v>
      </c>
      <c r="B896" s="6" t="s">
        <v>5759</v>
      </c>
      <c r="C896" s="13">
        <v>1294.9000000000001</v>
      </c>
      <c r="D896" s="8" t="s">
        <v>5760</v>
      </c>
      <c r="E896" s="8" t="s">
        <v>5761</v>
      </c>
      <c r="F896" s="8" t="s">
        <v>5732</v>
      </c>
      <c r="G896" s="6" t="s">
        <v>52</v>
      </c>
      <c r="H896" s="6" t="s">
        <v>53</v>
      </c>
      <c r="I896" s="8" t="s">
        <v>90</v>
      </c>
      <c r="J896" s="9">
        <v>1</v>
      </c>
      <c r="K896" s="9">
        <v>444</v>
      </c>
      <c r="L896" s="9">
        <v>2018</v>
      </c>
      <c r="M896" s="8" t="s">
        <v>5762</v>
      </c>
      <c r="N896" s="8" t="s">
        <v>41</v>
      </c>
      <c r="O896" s="8" t="s">
        <v>1007</v>
      </c>
      <c r="P896" s="6" t="s">
        <v>167</v>
      </c>
      <c r="Q896" s="8" t="s">
        <v>44</v>
      </c>
      <c r="R896" s="10" t="s">
        <v>5734</v>
      </c>
      <c r="S896" s="11" t="s">
        <v>5735</v>
      </c>
      <c r="T896" s="6"/>
      <c r="U896" s="24" t="str">
        <f>HYPERLINK("https://media.infra-m.ru/0981/0981154/cover/981154.jpg", "Обложка")</f>
        <v>Обложка</v>
      </c>
      <c r="V896" s="24" t="str">
        <f>HYPERLINK("https://znanium.ru/catalog/product/1940921", "Ознакомиться")</f>
        <v>Ознакомиться</v>
      </c>
      <c r="W896" s="8" t="s">
        <v>1253</v>
      </c>
      <c r="X896" s="6"/>
      <c r="Y896" s="6"/>
      <c r="Z896" s="6"/>
      <c r="AA896" s="6" t="s">
        <v>5763</v>
      </c>
      <c r="AB896" s="8"/>
    </row>
    <row r="897" spans="1:28" s="4" customFormat="1" ht="51.95" customHeight="1">
      <c r="A897" s="5">
        <v>0</v>
      </c>
      <c r="B897" s="6" t="s">
        <v>5764</v>
      </c>
      <c r="C897" s="13">
        <v>2090</v>
      </c>
      <c r="D897" s="8" t="s">
        <v>5765</v>
      </c>
      <c r="E897" s="8" t="s">
        <v>5731</v>
      </c>
      <c r="F897" s="8" t="s">
        <v>5732</v>
      </c>
      <c r="G897" s="6" t="s">
        <v>52</v>
      </c>
      <c r="H897" s="6" t="s">
        <v>53</v>
      </c>
      <c r="I897" s="8" t="s">
        <v>100</v>
      </c>
      <c r="J897" s="9">
        <v>1</v>
      </c>
      <c r="K897" s="9">
        <v>445</v>
      </c>
      <c r="L897" s="9">
        <v>2024</v>
      </c>
      <c r="M897" s="8" t="s">
        <v>5766</v>
      </c>
      <c r="N897" s="8" t="s">
        <v>41</v>
      </c>
      <c r="O897" s="8" t="s">
        <v>1007</v>
      </c>
      <c r="P897" s="6" t="s">
        <v>167</v>
      </c>
      <c r="Q897" s="8" t="s">
        <v>102</v>
      </c>
      <c r="R897" s="10" t="s">
        <v>5767</v>
      </c>
      <c r="S897" s="11" t="s">
        <v>5768</v>
      </c>
      <c r="T897" s="6"/>
      <c r="U897" s="24" t="str">
        <f>HYPERLINK("https://media.infra-m.ru/2119/2119558/cover/2119558.jpg", "Обложка")</f>
        <v>Обложка</v>
      </c>
      <c r="V897" s="24" t="str">
        <f>HYPERLINK("https://znanium.ru/catalog/product/2119558", "Ознакомиться")</f>
        <v>Ознакомиться</v>
      </c>
      <c r="W897" s="8" t="s">
        <v>1253</v>
      </c>
      <c r="X897" s="6"/>
      <c r="Y897" s="6"/>
      <c r="Z897" s="6" t="s">
        <v>104</v>
      </c>
      <c r="AA897" s="6" t="s">
        <v>5769</v>
      </c>
      <c r="AB897" s="8"/>
    </row>
    <row r="898" spans="1:28" s="4" customFormat="1" ht="51.95" customHeight="1">
      <c r="A898" s="5">
        <v>0</v>
      </c>
      <c r="B898" s="6" t="s">
        <v>5770</v>
      </c>
      <c r="C898" s="13">
        <v>1340</v>
      </c>
      <c r="D898" s="8" t="s">
        <v>5771</v>
      </c>
      <c r="E898" s="8" t="s">
        <v>5772</v>
      </c>
      <c r="F898" s="8" t="s">
        <v>5773</v>
      </c>
      <c r="G898" s="6" t="s">
        <v>89</v>
      </c>
      <c r="H898" s="6" t="s">
        <v>53</v>
      </c>
      <c r="I898" s="8" t="s">
        <v>100</v>
      </c>
      <c r="J898" s="9">
        <v>1</v>
      </c>
      <c r="K898" s="9">
        <v>297</v>
      </c>
      <c r="L898" s="9">
        <v>2023</v>
      </c>
      <c r="M898" s="8" t="s">
        <v>5774</v>
      </c>
      <c r="N898" s="8" t="s">
        <v>413</v>
      </c>
      <c r="O898" s="8" t="s">
        <v>414</v>
      </c>
      <c r="P898" s="6" t="s">
        <v>43</v>
      </c>
      <c r="Q898" s="8" t="s">
        <v>102</v>
      </c>
      <c r="R898" s="10" t="s">
        <v>5775</v>
      </c>
      <c r="S898" s="11" t="s">
        <v>5776</v>
      </c>
      <c r="T898" s="6"/>
      <c r="U898" s="24" t="str">
        <f>HYPERLINK("https://media.infra-m.ru/2033/2033546/cover/2033546.jpg", "Обложка")</f>
        <v>Обложка</v>
      </c>
      <c r="V898" s="24" t="str">
        <f>HYPERLINK("https://znanium.ru/catalog/product/2033546", "Ознакомиться")</f>
        <v>Ознакомиться</v>
      </c>
      <c r="W898" s="8" t="s">
        <v>2422</v>
      </c>
      <c r="X898" s="6"/>
      <c r="Y898" s="6"/>
      <c r="Z898" s="6"/>
      <c r="AA898" s="6" t="s">
        <v>219</v>
      </c>
      <c r="AB898" s="8"/>
    </row>
    <row r="899" spans="1:28" s="4" customFormat="1" ht="44.1" customHeight="1">
      <c r="A899" s="5">
        <v>0</v>
      </c>
      <c r="B899" s="6" t="s">
        <v>5777</v>
      </c>
      <c r="C899" s="7">
        <v>644.9</v>
      </c>
      <c r="D899" s="8" t="s">
        <v>5778</v>
      </c>
      <c r="E899" s="8" t="s">
        <v>5779</v>
      </c>
      <c r="F899" s="8" t="s">
        <v>5780</v>
      </c>
      <c r="G899" s="6" t="s">
        <v>52</v>
      </c>
      <c r="H899" s="6" t="s">
        <v>952</v>
      </c>
      <c r="I899" s="8"/>
      <c r="J899" s="9">
        <v>1</v>
      </c>
      <c r="K899" s="9">
        <v>144</v>
      </c>
      <c r="L899" s="9">
        <v>2023</v>
      </c>
      <c r="M899" s="8" t="s">
        <v>5781</v>
      </c>
      <c r="N899" s="8" t="s">
        <v>41</v>
      </c>
      <c r="O899" s="8" t="s">
        <v>1007</v>
      </c>
      <c r="P899" s="6" t="s">
        <v>43</v>
      </c>
      <c r="Q899" s="8" t="s">
        <v>279</v>
      </c>
      <c r="R899" s="10" t="s">
        <v>5782</v>
      </c>
      <c r="S899" s="11"/>
      <c r="T899" s="6"/>
      <c r="U899" s="24" t="str">
        <f>HYPERLINK("https://media.infra-m.ru/1903/1903308/cover/1903308.jpg", "Обложка")</f>
        <v>Обложка</v>
      </c>
      <c r="V899" s="24" t="str">
        <f>HYPERLINK("https://znanium.ru/catalog/product/1010031", "Ознакомиться")</f>
        <v>Ознакомиться</v>
      </c>
      <c r="W899" s="8" t="s">
        <v>5783</v>
      </c>
      <c r="X899" s="6"/>
      <c r="Y899" s="6"/>
      <c r="Z899" s="6"/>
      <c r="AA899" s="6" t="s">
        <v>111</v>
      </c>
      <c r="AB899" s="8"/>
    </row>
    <row r="900" spans="1:28" s="4" customFormat="1" ht="51.95" customHeight="1">
      <c r="A900" s="5">
        <v>0</v>
      </c>
      <c r="B900" s="6" t="s">
        <v>5784</v>
      </c>
      <c r="C900" s="13">
        <v>1684</v>
      </c>
      <c r="D900" s="8" t="s">
        <v>5785</v>
      </c>
      <c r="E900" s="8" t="s">
        <v>5786</v>
      </c>
      <c r="F900" s="8" t="s">
        <v>5787</v>
      </c>
      <c r="G900" s="6" t="s">
        <v>89</v>
      </c>
      <c r="H900" s="6" t="s">
        <v>53</v>
      </c>
      <c r="I900" s="8" t="s">
        <v>90</v>
      </c>
      <c r="J900" s="9">
        <v>1</v>
      </c>
      <c r="K900" s="9">
        <v>343</v>
      </c>
      <c r="L900" s="9">
        <v>2024</v>
      </c>
      <c r="M900" s="8" t="s">
        <v>5788</v>
      </c>
      <c r="N900" s="8" t="s">
        <v>41</v>
      </c>
      <c r="O900" s="8" t="s">
        <v>278</v>
      </c>
      <c r="P900" s="6" t="s">
        <v>167</v>
      </c>
      <c r="Q900" s="8" t="s">
        <v>44</v>
      </c>
      <c r="R900" s="10" t="s">
        <v>5789</v>
      </c>
      <c r="S900" s="11" t="s">
        <v>5790</v>
      </c>
      <c r="T900" s="6"/>
      <c r="U900" s="24" t="str">
        <f>HYPERLINK("https://media.infra-m.ru/2156/2156927/cover/2156927.jpg", "Обложка")</f>
        <v>Обложка</v>
      </c>
      <c r="V900" s="24" t="str">
        <f>HYPERLINK("https://znanium.ru/catalog/product/1904453", "Ознакомиться")</f>
        <v>Ознакомиться</v>
      </c>
      <c r="W900" s="8" t="s">
        <v>5791</v>
      </c>
      <c r="X900" s="6"/>
      <c r="Y900" s="6"/>
      <c r="Z900" s="6"/>
      <c r="AA900" s="6" t="s">
        <v>1365</v>
      </c>
      <c r="AB900" s="8"/>
    </row>
    <row r="901" spans="1:28" s="4" customFormat="1" ht="51.95" customHeight="1">
      <c r="A901" s="5">
        <v>0</v>
      </c>
      <c r="B901" s="6" t="s">
        <v>5792</v>
      </c>
      <c r="C901" s="7">
        <v>674.9</v>
      </c>
      <c r="D901" s="8" t="s">
        <v>5793</v>
      </c>
      <c r="E901" s="8" t="s">
        <v>5794</v>
      </c>
      <c r="F901" s="8" t="s">
        <v>5795</v>
      </c>
      <c r="G901" s="6" t="s">
        <v>38</v>
      </c>
      <c r="H901" s="6" t="s">
        <v>53</v>
      </c>
      <c r="I901" s="8" t="s">
        <v>90</v>
      </c>
      <c r="J901" s="9">
        <v>1</v>
      </c>
      <c r="K901" s="9">
        <v>151</v>
      </c>
      <c r="L901" s="9">
        <v>2023</v>
      </c>
      <c r="M901" s="8" t="s">
        <v>5796</v>
      </c>
      <c r="N901" s="8" t="s">
        <v>41</v>
      </c>
      <c r="O901" s="8" t="s">
        <v>1007</v>
      </c>
      <c r="P901" s="6" t="s">
        <v>43</v>
      </c>
      <c r="Q901" s="8" t="s">
        <v>44</v>
      </c>
      <c r="R901" s="10" t="s">
        <v>5782</v>
      </c>
      <c r="S901" s="11" t="s">
        <v>5797</v>
      </c>
      <c r="T901" s="6"/>
      <c r="U901" s="24" t="str">
        <f>HYPERLINK("https://media.infra-m.ru/1894/1894416/cover/1894416.jpg", "Обложка")</f>
        <v>Обложка</v>
      </c>
      <c r="V901" s="24" t="str">
        <f>HYPERLINK("https://znanium.ru/catalog/product/1852210", "Ознакомиться")</f>
        <v>Ознакомиться</v>
      </c>
      <c r="W901" s="8" t="s">
        <v>2559</v>
      </c>
      <c r="X901" s="6"/>
      <c r="Y901" s="6"/>
      <c r="Z901" s="6"/>
      <c r="AA901" s="6" t="s">
        <v>111</v>
      </c>
      <c r="AB901" s="8"/>
    </row>
    <row r="902" spans="1:28" s="4" customFormat="1" ht="42" customHeight="1">
      <c r="A902" s="5">
        <v>0</v>
      </c>
      <c r="B902" s="6" t="s">
        <v>5798</v>
      </c>
      <c r="C902" s="13">
        <v>1020</v>
      </c>
      <c r="D902" s="8" t="s">
        <v>5799</v>
      </c>
      <c r="E902" s="8" t="s">
        <v>5800</v>
      </c>
      <c r="F902" s="8" t="s">
        <v>5801</v>
      </c>
      <c r="G902" s="6" t="s">
        <v>52</v>
      </c>
      <c r="H902" s="6" t="s">
        <v>674</v>
      </c>
      <c r="I902" s="8"/>
      <c r="J902" s="9">
        <v>1</v>
      </c>
      <c r="K902" s="9">
        <v>216</v>
      </c>
      <c r="L902" s="9">
        <v>2023</v>
      </c>
      <c r="M902" s="8" t="s">
        <v>5802</v>
      </c>
      <c r="N902" s="8" t="s">
        <v>41</v>
      </c>
      <c r="O902" s="8" t="s">
        <v>676</v>
      </c>
      <c r="P902" s="6" t="s">
        <v>43</v>
      </c>
      <c r="Q902" s="8" t="s">
        <v>279</v>
      </c>
      <c r="R902" s="10" t="s">
        <v>5803</v>
      </c>
      <c r="S902" s="11"/>
      <c r="T902" s="6"/>
      <c r="U902" s="24" t="str">
        <f>HYPERLINK("https://media.infra-m.ru/1915/1915618/cover/1915618.jpg", "Обложка")</f>
        <v>Обложка</v>
      </c>
      <c r="V902" s="24" t="str">
        <f>HYPERLINK("https://znanium.ru/catalog/product/1915618", "Ознакомиться")</f>
        <v>Ознакомиться</v>
      </c>
      <c r="W902" s="8" t="s">
        <v>947</v>
      </c>
      <c r="X902" s="6"/>
      <c r="Y902" s="6"/>
      <c r="Z902" s="6"/>
      <c r="AA902" s="6" t="s">
        <v>207</v>
      </c>
      <c r="AB902" s="8"/>
    </row>
    <row r="903" spans="1:28" s="4" customFormat="1" ht="51.95" customHeight="1">
      <c r="A903" s="5">
        <v>0</v>
      </c>
      <c r="B903" s="6" t="s">
        <v>5804</v>
      </c>
      <c r="C903" s="13">
        <v>1474</v>
      </c>
      <c r="D903" s="8" t="s">
        <v>5805</v>
      </c>
      <c r="E903" s="8" t="s">
        <v>5806</v>
      </c>
      <c r="F903" s="8" t="s">
        <v>5807</v>
      </c>
      <c r="G903" s="6" t="s">
        <v>89</v>
      </c>
      <c r="H903" s="6" t="s">
        <v>53</v>
      </c>
      <c r="I903" s="8" t="s">
        <v>1223</v>
      </c>
      <c r="J903" s="9">
        <v>1</v>
      </c>
      <c r="K903" s="9">
        <v>295</v>
      </c>
      <c r="L903" s="9">
        <v>2024</v>
      </c>
      <c r="M903" s="8" t="s">
        <v>5808</v>
      </c>
      <c r="N903" s="8" t="s">
        <v>41</v>
      </c>
      <c r="O903" s="8" t="s">
        <v>1007</v>
      </c>
      <c r="P903" s="6" t="s">
        <v>167</v>
      </c>
      <c r="Q903" s="8" t="s">
        <v>44</v>
      </c>
      <c r="R903" s="10" t="s">
        <v>5809</v>
      </c>
      <c r="S903" s="11" t="s">
        <v>5810</v>
      </c>
      <c r="T903" s="6"/>
      <c r="U903" s="24" t="str">
        <f>HYPERLINK("https://media.infra-m.ru/2157/2157174/cover/2157174.jpg", "Обложка")</f>
        <v>Обложка</v>
      </c>
      <c r="V903" s="24" t="str">
        <f>HYPERLINK("https://znanium.ru/catalog/product/1903372", "Ознакомиться")</f>
        <v>Ознакомиться</v>
      </c>
      <c r="W903" s="8" t="s">
        <v>189</v>
      </c>
      <c r="X903" s="6"/>
      <c r="Y903" s="6"/>
      <c r="Z903" s="6"/>
      <c r="AA903" s="6" t="s">
        <v>258</v>
      </c>
      <c r="AB903" s="8"/>
    </row>
    <row r="904" spans="1:28" s="4" customFormat="1" ht="51.95" customHeight="1">
      <c r="A904" s="5">
        <v>0</v>
      </c>
      <c r="B904" s="6" t="s">
        <v>5811</v>
      </c>
      <c r="C904" s="7">
        <v>814</v>
      </c>
      <c r="D904" s="8" t="s">
        <v>5812</v>
      </c>
      <c r="E904" s="8" t="s">
        <v>5813</v>
      </c>
      <c r="F904" s="8" t="s">
        <v>5814</v>
      </c>
      <c r="G904" s="6" t="s">
        <v>89</v>
      </c>
      <c r="H904" s="6" t="s">
        <v>53</v>
      </c>
      <c r="I904" s="8" t="s">
        <v>90</v>
      </c>
      <c r="J904" s="9">
        <v>1</v>
      </c>
      <c r="K904" s="9">
        <v>156</v>
      </c>
      <c r="L904" s="9">
        <v>2025</v>
      </c>
      <c r="M904" s="8" t="s">
        <v>5815</v>
      </c>
      <c r="N904" s="8" t="s">
        <v>41</v>
      </c>
      <c r="O904" s="8" t="s">
        <v>1204</v>
      </c>
      <c r="P904" s="6" t="s">
        <v>43</v>
      </c>
      <c r="Q904" s="8" t="s">
        <v>44</v>
      </c>
      <c r="R904" s="10" t="s">
        <v>5816</v>
      </c>
      <c r="S904" s="11" t="s">
        <v>5817</v>
      </c>
      <c r="T904" s="6" t="s">
        <v>299</v>
      </c>
      <c r="U904" s="24" t="str">
        <f>HYPERLINK("https://media.infra-m.ru/2184/2184887/cover/2184887.jpg", "Обложка")</f>
        <v>Обложка</v>
      </c>
      <c r="V904" s="24" t="str">
        <f>HYPERLINK("https://znanium.ru/catalog/product/1694230", "Ознакомиться")</f>
        <v>Ознакомиться</v>
      </c>
      <c r="W904" s="8" t="s">
        <v>243</v>
      </c>
      <c r="X904" s="6"/>
      <c r="Y904" s="6"/>
      <c r="Z904" s="6"/>
      <c r="AA904" s="6" t="s">
        <v>84</v>
      </c>
      <c r="AB904" s="8"/>
    </row>
    <row r="905" spans="1:28" s="4" customFormat="1" ht="51.95" customHeight="1">
      <c r="A905" s="5">
        <v>0</v>
      </c>
      <c r="B905" s="6" t="s">
        <v>5818</v>
      </c>
      <c r="C905" s="13">
        <v>2449</v>
      </c>
      <c r="D905" s="8" t="s">
        <v>5819</v>
      </c>
      <c r="E905" s="8" t="s">
        <v>5820</v>
      </c>
      <c r="F905" s="8" t="s">
        <v>5821</v>
      </c>
      <c r="G905" s="6" t="s">
        <v>52</v>
      </c>
      <c r="H905" s="6" t="s">
        <v>39</v>
      </c>
      <c r="I905" s="8" t="s">
        <v>90</v>
      </c>
      <c r="J905" s="9">
        <v>1</v>
      </c>
      <c r="K905" s="9">
        <v>432</v>
      </c>
      <c r="L905" s="9">
        <v>2023</v>
      </c>
      <c r="M905" s="8" t="s">
        <v>5822</v>
      </c>
      <c r="N905" s="8" t="s">
        <v>56</v>
      </c>
      <c r="O905" s="8" t="s">
        <v>2183</v>
      </c>
      <c r="P905" s="6" t="s">
        <v>43</v>
      </c>
      <c r="Q905" s="8" t="s">
        <v>44</v>
      </c>
      <c r="R905" s="10" t="s">
        <v>5823</v>
      </c>
      <c r="S905" s="11" t="s">
        <v>5824</v>
      </c>
      <c r="T905" s="6"/>
      <c r="U905" s="24" t="str">
        <f>HYPERLINK("https://media.infra-m.ru/1940/1940914/cover/1940914.jpg", "Обложка")</f>
        <v>Обложка</v>
      </c>
      <c r="V905" s="24" t="str">
        <f>HYPERLINK("https://znanium.ru/catalog/product/1940914", "Ознакомиться")</f>
        <v>Ознакомиться</v>
      </c>
      <c r="W905" s="8" t="s">
        <v>5825</v>
      </c>
      <c r="X905" s="6"/>
      <c r="Y905" s="6"/>
      <c r="Z905" s="6"/>
      <c r="AA905" s="6" t="s">
        <v>84</v>
      </c>
      <c r="AB905" s="8"/>
    </row>
    <row r="906" spans="1:28" s="4" customFormat="1" ht="51.95" customHeight="1">
      <c r="A906" s="5">
        <v>0</v>
      </c>
      <c r="B906" s="6" t="s">
        <v>5826</v>
      </c>
      <c r="C906" s="13">
        <v>2599</v>
      </c>
      <c r="D906" s="8" t="s">
        <v>5827</v>
      </c>
      <c r="E906" s="8" t="s">
        <v>5828</v>
      </c>
      <c r="F906" s="8" t="s">
        <v>5829</v>
      </c>
      <c r="G906" s="6" t="s">
        <v>52</v>
      </c>
      <c r="H906" s="6" t="s">
        <v>53</v>
      </c>
      <c r="I906" s="8" t="s">
        <v>116</v>
      </c>
      <c r="J906" s="9">
        <v>1</v>
      </c>
      <c r="K906" s="9">
        <v>478</v>
      </c>
      <c r="L906" s="9">
        <v>2024</v>
      </c>
      <c r="M906" s="8" t="s">
        <v>5830</v>
      </c>
      <c r="N906" s="8" t="s">
        <v>56</v>
      </c>
      <c r="O906" s="8" t="s">
        <v>2183</v>
      </c>
      <c r="P906" s="6" t="s">
        <v>43</v>
      </c>
      <c r="Q906" s="8" t="s">
        <v>44</v>
      </c>
      <c r="R906" s="10" t="s">
        <v>5823</v>
      </c>
      <c r="S906" s="11" t="s">
        <v>5831</v>
      </c>
      <c r="T906" s="6"/>
      <c r="U906" s="24" t="str">
        <f>HYPERLINK("https://media.infra-m.ru/1223/1223290/cover/1223290.jpg", "Обложка")</f>
        <v>Обложка</v>
      </c>
      <c r="V906" s="24" t="str">
        <f>HYPERLINK("https://znanium.ru/catalog/product/1940914", "Ознакомиться")</f>
        <v>Ознакомиться</v>
      </c>
      <c r="W906" s="8" t="s">
        <v>5825</v>
      </c>
      <c r="X906" s="6"/>
      <c r="Y906" s="6"/>
      <c r="Z906" s="6"/>
      <c r="AA906" s="6" t="s">
        <v>105</v>
      </c>
      <c r="AB906" s="8"/>
    </row>
    <row r="907" spans="1:28" s="4" customFormat="1" ht="42" customHeight="1">
      <c r="A907" s="5">
        <v>0</v>
      </c>
      <c r="B907" s="6" t="s">
        <v>5832</v>
      </c>
      <c r="C907" s="7">
        <v>814</v>
      </c>
      <c r="D907" s="8" t="s">
        <v>5833</v>
      </c>
      <c r="E907" s="8" t="s">
        <v>5834</v>
      </c>
      <c r="F907" s="8" t="s">
        <v>5835</v>
      </c>
      <c r="G907" s="6" t="s">
        <v>38</v>
      </c>
      <c r="H907" s="6" t="s">
        <v>53</v>
      </c>
      <c r="I907" s="8" t="s">
        <v>90</v>
      </c>
      <c r="J907" s="9">
        <v>1</v>
      </c>
      <c r="K907" s="9">
        <v>156</v>
      </c>
      <c r="L907" s="9">
        <v>2025</v>
      </c>
      <c r="M907" s="8" t="s">
        <v>5836</v>
      </c>
      <c r="N907" s="8" t="s">
        <v>41</v>
      </c>
      <c r="O907" s="8" t="s">
        <v>118</v>
      </c>
      <c r="P907" s="6" t="s">
        <v>43</v>
      </c>
      <c r="Q907" s="8" t="s">
        <v>44</v>
      </c>
      <c r="R907" s="10" t="s">
        <v>5657</v>
      </c>
      <c r="S907" s="11"/>
      <c r="T907" s="6"/>
      <c r="U907" s="24" t="str">
        <f>HYPERLINK("https://media.infra-m.ru/2195/2195311/cover/2195311.jpg", "Обложка")</f>
        <v>Обложка</v>
      </c>
      <c r="V907" s="24" t="str">
        <f>HYPERLINK("https://znanium.ru/catalog/product/1897685", "Ознакомиться")</f>
        <v>Ознакомиться</v>
      </c>
      <c r="W907" s="8" t="s">
        <v>2059</v>
      </c>
      <c r="X907" s="6"/>
      <c r="Y907" s="6"/>
      <c r="Z907" s="6"/>
      <c r="AA907" s="6" t="s">
        <v>111</v>
      </c>
      <c r="AB907" s="8"/>
    </row>
    <row r="908" spans="1:28" s="4" customFormat="1" ht="51.95" customHeight="1">
      <c r="A908" s="5">
        <v>0</v>
      </c>
      <c r="B908" s="6" t="s">
        <v>5837</v>
      </c>
      <c r="C908" s="13">
        <v>1360</v>
      </c>
      <c r="D908" s="8" t="s">
        <v>5838</v>
      </c>
      <c r="E908" s="8" t="s">
        <v>5839</v>
      </c>
      <c r="F908" s="8" t="s">
        <v>5840</v>
      </c>
      <c r="G908" s="6" t="s">
        <v>38</v>
      </c>
      <c r="H908" s="6" t="s">
        <v>674</v>
      </c>
      <c r="I908" s="8" t="s">
        <v>5841</v>
      </c>
      <c r="J908" s="9">
        <v>1</v>
      </c>
      <c r="K908" s="9">
        <v>272</v>
      </c>
      <c r="L908" s="9">
        <v>2025</v>
      </c>
      <c r="M908" s="8" t="s">
        <v>5842</v>
      </c>
      <c r="N908" s="8" t="s">
        <v>41</v>
      </c>
      <c r="O908" s="8" t="s">
        <v>676</v>
      </c>
      <c r="P908" s="6" t="s">
        <v>43</v>
      </c>
      <c r="Q908" s="8" t="s">
        <v>44</v>
      </c>
      <c r="R908" s="10" t="s">
        <v>677</v>
      </c>
      <c r="S908" s="11"/>
      <c r="T908" s="6"/>
      <c r="U908" s="24" t="str">
        <f>HYPERLINK("https://media.infra-m.ru/2179/2179207/cover/2179207.jpg", "Обложка")</f>
        <v>Обложка</v>
      </c>
      <c r="V908" s="24" t="str">
        <f>HYPERLINK("https://znanium.ru/catalog/product/2179207", "Ознакомиться")</f>
        <v>Ознакомиться</v>
      </c>
      <c r="W908" s="8" t="s">
        <v>808</v>
      </c>
      <c r="X908" s="6"/>
      <c r="Y908" s="6"/>
      <c r="Z908" s="6"/>
      <c r="AA908" s="6" t="s">
        <v>5843</v>
      </c>
      <c r="AB908" s="8"/>
    </row>
    <row r="909" spans="1:28" s="4" customFormat="1" ht="51.95" customHeight="1">
      <c r="A909" s="5">
        <v>0</v>
      </c>
      <c r="B909" s="6" t="s">
        <v>5844</v>
      </c>
      <c r="C909" s="7">
        <v>790</v>
      </c>
      <c r="D909" s="8" t="s">
        <v>5845</v>
      </c>
      <c r="E909" s="8" t="s">
        <v>5846</v>
      </c>
      <c r="F909" s="8" t="s">
        <v>5840</v>
      </c>
      <c r="G909" s="6" t="s">
        <v>38</v>
      </c>
      <c r="H909" s="6" t="s">
        <v>674</v>
      </c>
      <c r="I909" s="8" t="s">
        <v>5841</v>
      </c>
      <c r="J909" s="9">
        <v>1</v>
      </c>
      <c r="K909" s="9">
        <v>304</v>
      </c>
      <c r="L909" s="9">
        <v>2019</v>
      </c>
      <c r="M909" s="8" t="s">
        <v>5847</v>
      </c>
      <c r="N909" s="8" t="s">
        <v>41</v>
      </c>
      <c r="O909" s="8" t="s">
        <v>676</v>
      </c>
      <c r="P909" s="6" t="s">
        <v>43</v>
      </c>
      <c r="Q909" s="8" t="s">
        <v>44</v>
      </c>
      <c r="R909" s="10" t="s">
        <v>677</v>
      </c>
      <c r="S909" s="11"/>
      <c r="T909" s="6"/>
      <c r="U909" s="24" t="str">
        <f>HYPERLINK("https://media.infra-m.ru/1002/1002332/cover/1002332.jpg", "Обложка")</f>
        <v>Обложка</v>
      </c>
      <c r="V909" s="24" t="str">
        <f>HYPERLINK("https://znanium.ru/catalog/product/2179207", "Ознакомиться")</f>
        <v>Ознакомиться</v>
      </c>
      <c r="W909" s="8" t="s">
        <v>808</v>
      </c>
      <c r="X909" s="6"/>
      <c r="Y909" s="6"/>
      <c r="Z909" s="6"/>
      <c r="AA909" s="6" t="s">
        <v>5848</v>
      </c>
      <c r="AB909" s="8"/>
    </row>
    <row r="910" spans="1:28" s="4" customFormat="1" ht="51.95" customHeight="1">
      <c r="A910" s="5">
        <v>0</v>
      </c>
      <c r="B910" s="6" t="s">
        <v>5849</v>
      </c>
      <c r="C910" s="13">
        <v>2450</v>
      </c>
      <c r="D910" s="8" t="s">
        <v>5850</v>
      </c>
      <c r="E910" s="8" t="s">
        <v>5851</v>
      </c>
      <c r="F910" s="8" t="s">
        <v>5852</v>
      </c>
      <c r="G910" s="6" t="s">
        <v>89</v>
      </c>
      <c r="H910" s="6" t="s">
        <v>53</v>
      </c>
      <c r="I910" s="8" t="s">
        <v>116</v>
      </c>
      <c r="J910" s="9">
        <v>1</v>
      </c>
      <c r="K910" s="9">
        <v>489</v>
      </c>
      <c r="L910" s="9">
        <v>2025</v>
      </c>
      <c r="M910" s="8" t="s">
        <v>5853</v>
      </c>
      <c r="N910" s="8" t="s">
        <v>41</v>
      </c>
      <c r="O910" s="8" t="s">
        <v>676</v>
      </c>
      <c r="P910" s="6" t="s">
        <v>167</v>
      </c>
      <c r="Q910" s="8" t="s">
        <v>214</v>
      </c>
      <c r="R910" s="10" t="s">
        <v>677</v>
      </c>
      <c r="S910" s="11" t="s">
        <v>3907</v>
      </c>
      <c r="T910" s="6"/>
      <c r="U910" s="24" t="str">
        <f>HYPERLINK("https://media.infra-m.ru/2132/2132115/cover/2132115.jpg", "Обложка")</f>
        <v>Обложка</v>
      </c>
      <c r="V910" s="24" t="str">
        <f>HYPERLINK("https://znanium.ru/catalog/product/2132115", "Ознакомиться")</f>
        <v>Ознакомиться</v>
      </c>
      <c r="W910" s="8" t="s">
        <v>5854</v>
      </c>
      <c r="X910" s="6" t="s">
        <v>1049</v>
      </c>
      <c r="Y910" s="6"/>
      <c r="Z910" s="6"/>
      <c r="AA910" s="6" t="s">
        <v>5855</v>
      </c>
      <c r="AB910" s="8"/>
    </row>
    <row r="911" spans="1:28" s="4" customFormat="1" ht="42" customHeight="1">
      <c r="A911" s="5">
        <v>0</v>
      </c>
      <c r="B911" s="6" t="s">
        <v>5856</v>
      </c>
      <c r="C911" s="13">
        <v>1360</v>
      </c>
      <c r="D911" s="8" t="s">
        <v>5857</v>
      </c>
      <c r="E911" s="8" t="s">
        <v>5858</v>
      </c>
      <c r="F911" s="8" t="s">
        <v>5840</v>
      </c>
      <c r="G911" s="6" t="s">
        <v>89</v>
      </c>
      <c r="H911" s="6" t="s">
        <v>674</v>
      </c>
      <c r="I911" s="8" t="s">
        <v>100</v>
      </c>
      <c r="J911" s="9">
        <v>1</v>
      </c>
      <c r="K911" s="9">
        <v>272</v>
      </c>
      <c r="L911" s="9">
        <v>2025</v>
      </c>
      <c r="M911" s="8" t="s">
        <v>5859</v>
      </c>
      <c r="N911" s="8" t="s">
        <v>41</v>
      </c>
      <c r="O911" s="8" t="s">
        <v>676</v>
      </c>
      <c r="P911" s="6" t="s">
        <v>167</v>
      </c>
      <c r="Q911" s="8" t="s">
        <v>102</v>
      </c>
      <c r="R911" s="10" t="s">
        <v>256</v>
      </c>
      <c r="S911" s="11"/>
      <c r="T911" s="6"/>
      <c r="U911" s="24" t="str">
        <f>HYPERLINK("https://media.infra-m.ru/2168/2168885/cover/2168885.jpg", "Обложка")</f>
        <v>Обложка</v>
      </c>
      <c r="V911" s="24" t="str">
        <f>HYPERLINK("https://znanium.ru/catalog/product/2168885", "Ознакомиться")</f>
        <v>Ознакомиться</v>
      </c>
      <c r="W911" s="8" t="s">
        <v>808</v>
      </c>
      <c r="X911" s="6"/>
      <c r="Y911" s="6"/>
      <c r="Z911" s="6" t="s">
        <v>104</v>
      </c>
      <c r="AA911" s="6" t="s">
        <v>95</v>
      </c>
      <c r="AB911" s="8"/>
    </row>
    <row r="912" spans="1:28" s="4" customFormat="1" ht="42" customHeight="1">
      <c r="A912" s="5">
        <v>0</v>
      </c>
      <c r="B912" s="6" t="s">
        <v>5860</v>
      </c>
      <c r="C912" s="7">
        <v>920</v>
      </c>
      <c r="D912" s="8" t="s">
        <v>5861</v>
      </c>
      <c r="E912" s="8" t="s">
        <v>5862</v>
      </c>
      <c r="F912" s="8" t="s">
        <v>5840</v>
      </c>
      <c r="G912" s="6" t="s">
        <v>52</v>
      </c>
      <c r="H912" s="6" t="s">
        <v>674</v>
      </c>
      <c r="I912" s="8" t="s">
        <v>100</v>
      </c>
      <c r="J912" s="9">
        <v>1</v>
      </c>
      <c r="K912" s="9">
        <v>304</v>
      </c>
      <c r="L912" s="9">
        <v>2019</v>
      </c>
      <c r="M912" s="8" t="s">
        <v>5863</v>
      </c>
      <c r="N912" s="8" t="s">
        <v>41</v>
      </c>
      <c r="O912" s="8" t="s">
        <v>676</v>
      </c>
      <c r="P912" s="6" t="s">
        <v>167</v>
      </c>
      <c r="Q912" s="8" t="s">
        <v>102</v>
      </c>
      <c r="R912" s="10" t="s">
        <v>256</v>
      </c>
      <c r="S912" s="11"/>
      <c r="T912" s="6"/>
      <c r="U912" s="24" t="str">
        <f>HYPERLINK("https://media.infra-m.ru/1003/1003236/cover/1003236.jpg", "Обложка")</f>
        <v>Обложка</v>
      </c>
      <c r="V912" s="24" t="str">
        <f>HYPERLINK("https://znanium.ru/catalog/product/2168885", "Ознакомиться")</f>
        <v>Ознакомиться</v>
      </c>
      <c r="W912" s="8" t="s">
        <v>808</v>
      </c>
      <c r="X912" s="6"/>
      <c r="Y912" s="6"/>
      <c r="Z912" s="6" t="s">
        <v>104</v>
      </c>
      <c r="AA912" s="6" t="s">
        <v>151</v>
      </c>
      <c r="AB912" s="8"/>
    </row>
    <row r="913" spans="1:28" s="4" customFormat="1" ht="51.95" customHeight="1">
      <c r="A913" s="5">
        <v>0</v>
      </c>
      <c r="B913" s="6" t="s">
        <v>5864</v>
      </c>
      <c r="C913" s="13">
        <v>1830</v>
      </c>
      <c r="D913" s="8" t="s">
        <v>5865</v>
      </c>
      <c r="E913" s="8" t="s">
        <v>5862</v>
      </c>
      <c r="F913" s="8" t="s">
        <v>5866</v>
      </c>
      <c r="G913" s="6" t="s">
        <v>89</v>
      </c>
      <c r="H913" s="6" t="s">
        <v>53</v>
      </c>
      <c r="I913" s="8"/>
      <c r="J913" s="9">
        <v>1</v>
      </c>
      <c r="K913" s="9">
        <v>404</v>
      </c>
      <c r="L913" s="9">
        <v>2023</v>
      </c>
      <c r="M913" s="8" t="s">
        <v>5867</v>
      </c>
      <c r="N913" s="8" t="s">
        <v>41</v>
      </c>
      <c r="O913" s="8" t="s">
        <v>676</v>
      </c>
      <c r="P913" s="6" t="s">
        <v>167</v>
      </c>
      <c r="Q913" s="8" t="s">
        <v>58</v>
      </c>
      <c r="R913" s="10" t="s">
        <v>677</v>
      </c>
      <c r="S913" s="11" t="s">
        <v>5868</v>
      </c>
      <c r="T913" s="6"/>
      <c r="U913" s="24" t="str">
        <f>HYPERLINK("https://media.infra-m.ru/2005/2005266/cover/2005266.jpg", "Обложка")</f>
        <v>Обложка</v>
      </c>
      <c r="V913" s="24" t="str">
        <f>HYPERLINK("https://znanium.ru/catalog/product/2005266", "Ознакомиться")</f>
        <v>Ознакомиться</v>
      </c>
      <c r="W913" s="8" t="s">
        <v>5869</v>
      </c>
      <c r="X913" s="6"/>
      <c r="Y913" s="6"/>
      <c r="Z913" s="6"/>
      <c r="AA913" s="6" t="s">
        <v>793</v>
      </c>
      <c r="AB913" s="8"/>
    </row>
    <row r="914" spans="1:28" s="4" customFormat="1" ht="51.95" customHeight="1">
      <c r="A914" s="5">
        <v>0</v>
      </c>
      <c r="B914" s="6" t="s">
        <v>5870</v>
      </c>
      <c r="C914" s="13">
        <v>1460</v>
      </c>
      <c r="D914" s="8" t="s">
        <v>5871</v>
      </c>
      <c r="E914" s="8" t="s">
        <v>5862</v>
      </c>
      <c r="F914" s="8" t="s">
        <v>5866</v>
      </c>
      <c r="G914" s="6" t="s">
        <v>52</v>
      </c>
      <c r="H914" s="6" t="s">
        <v>53</v>
      </c>
      <c r="I914" s="8" t="s">
        <v>100</v>
      </c>
      <c r="J914" s="9">
        <v>1</v>
      </c>
      <c r="K914" s="9">
        <v>404</v>
      </c>
      <c r="L914" s="9">
        <v>2021</v>
      </c>
      <c r="M914" s="8" t="s">
        <v>5872</v>
      </c>
      <c r="N914" s="8" t="s">
        <v>41</v>
      </c>
      <c r="O914" s="8" t="s">
        <v>676</v>
      </c>
      <c r="P914" s="6" t="s">
        <v>167</v>
      </c>
      <c r="Q914" s="8" t="s">
        <v>102</v>
      </c>
      <c r="R914" s="10" t="s">
        <v>256</v>
      </c>
      <c r="S914" s="11" t="s">
        <v>5873</v>
      </c>
      <c r="T914" s="6"/>
      <c r="U914" s="24" t="str">
        <f>HYPERLINK("https://media.infra-m.ru/1204/1204678/cover/1204678.jpg", "Обложка")</f>
        <v>Обложка</v>
      </c>
      <c r="V914" s="24" t="str">
        <f>HYPERLINK("https://znanium.ru/catalog/product/1204678", "Ознакомиться")</f>
        <v>Ознакомиться</v>
      </c>
      <c r="W914" s="8" t="s">
        <v>5869</v>
      </c>
      <c r="X914" s="6"/>
      <c r="Y914" s="6"/>
      <c r="Z914" s="6" t="s">
        <v>502</v>
      </c>
      <c r="AA914" s="6" t="s">
        <v>219</v>
      </c>
      <c r="AB914" s="8"/>
    </row>
    <row r="915" spans="1:28" s="4" customFormat="1" ht="51.95" customHeight="1">
      <c r="A915" s="5">
        <v>0</v>
      </c>
      <c r="B915" s="6" t="s">
        <v>5874</v>
      </c>
      <c r="C915" s="13">
        <v>2160</v>
      </c>
      <c r="D915" s="8" t="s">
        <v>5875</v>
      </c>
      <c r="E915" s="8" t="s">
        <v>5876</v>
      </c>
      <c r="F915" s="8" t="s">
        <v>5852</v>
      </c>
      <c r="G915" s="6" t="s">
        <v>52</v>
      </c>
      <c r="H915" s="6" t="s">
        <v>53</v>
      </c>
      <c r="I915" s="8" t="s">
        <v>90</v>
      </c>
      <c r="J915" s="9">
        <v>1</v>
      </c>
      <c r="K915" s="9">
        <v>479</v>
      </c>
      <c r="L915" s="9">
        <v>2023</v>
      </c>
      <c r="M915" s="8" t="s">
        <v>5877</v>
      </c>
      <c r="N915" s="8" t="s">
        <v>41</v>
      </c>
      <c r="O915" s="8" t="s">
        <v>676</v>
      </c>
      <c r="P915" s="6" t="s">
        <v>167</v>
      </c>
      <c r="Q915" s="8" t="s">
        <v>44</v>
      </c>
      <c r="R915" s="10" t="s">
        <v>677</v>
      </c>
      <c r="S915" s="11" t="s">
        <v>3907</v>
      </c>
      <c r="T915" s="6"/>
      <c r="U915" s="24" t="str">
        <f>HYPERLINK("https://media.infra-m.ru/1895/1895088/cover/1895088.jpg", "Обложка")</f>
        <v>Обложка</v>
      </c>
      <c r="V915" s="24" t="str">
        <f>HYPERLINK("https://znanium.ru/catalog/product/2132115", "Ознакомиться")</f>
        <v>Ознакомиться</v>
      </c>
      <c r="W915" s="8" t="s">
        <v>5854</v>
      </c>
      <c r="X915" s="6"/>
      <c r="Y915" s="6"/>
      <c r="Z915" s="6"/>
      <c r="AA915" s="6" t="s">
        <v>5878</v>
      </c>
      <c r="AB915" s="8"/>
    </row>
    <row r="916" spans="1:28" s="4" customFormat="1" ht="51.95" customHeight="1">
      <c r="A916" s="5">
        <v>0</v>
      </c>
      <c r="B916" s="6" t="s">
        <v>5879</v>
      </c>
      <c r="C916" s="13">
        <v>2580</v>
      </c>
      <c r="D916" s="8" t="s">
        <v>5880</v>
      </c>
      <c r="E916" s="8" t="s">
        <v>5881</v>
      </c>
      <c r="F916" s="8" t="s">
        <v>5882</v>
      </c>
      <c r="G916" s="6" t="s">
        <v>52</v>
      </c>
      <c r="H916" s="6" t="s">
        <v>53</v>
      </c>
      <c r="I916" s="8" t="s">
        <v>116</v>
      </c>
      <c r="J916" s="9">
        <v>1</v>
      </c>
      <c r="K916" s="9">
        <v>515</v>
      </c>
      <c r="L916" s="9">
        <v>2025</v>
      </c>
      <c r="M916" s="8" t="s">
        <v>5883</v>
      </c>
      <c r="N916" s="8" t="s">
        <v>41</v>
      </c>
      <c r="O916" s="8" t="s">
        <v>676</v>
      </c>
      <c r="P916" s="6" t="s">
        <v>167</v>
      </c>
      <c r="Q916" s="8" t="s">
        <v>58</v>
      </c>
      <c r="R916" s="10" t="s">
        <v>791</v>
      </c>
      <c r="S916" s="11" t="s">
        <v>5884</v>
      </c>
      <c r="T916" s="6"/>
      <c r="U916" s="24" t="str">
        <f>HYPERLINK("https://media.infra-m.ru/2171/2171237/cover/2171237.jpg", "Обложка")</f>
        <v>Обложка</v>
      </c>
      <c r="V916" s="24" t="str">
        <f>HYPERLINK("https://znanium.ru/catalog/product/2171237", "Ознакомиться")</f>
        <v>Ознакомиться</v>
      </c>
      <c r="W916" s="8" t="s">
        <v>4830</v>
      </c>
      <c r="X916" s="6"/>
      <c r="Y916" s="6"/>
      <c r="Z916" s="6"/>
      <c r="AA916" s="6" t="s">
        <v>219</v>
      </c>
      <c r="AB916" s="8"/>
    </row>
    <row r="917" spans="1:28" s="4" customFormat="1" ht="51.95" customHeight="1">
      <c r="A917" s="5">
        <v>0</v>
      </c>
      <c r="B917" s="6" t="s">
        <v>5885</v>
      </c>
      <c r="C917" s="7">
        <v>660</v>
      </c>
      <c r="D917" s="8" t="s">
        <v>5886</v>
      </c>
      <c r="E917" s="8" t="s">
        <v>5887</v>
      </c>
      <c r="F917" s="8" t="s">
        <v>5888</v>
      </c>
      <c r="G917" s="6" t="s">
        <v>38</v>
      </c>
      <c r="H917" s="6" t="s">
        <v>184</v>
      </c>
      <c r="I917" s="8"/>
      <c r="J917" s="9">
        <v>1</v>
      </c>
      <c r="K917" s="9">
        <v>193</v>
      </c>
      <c r="L917" s="9">
        <v>2020</v>
      </c>
      <c r="M917" s="8" t="s">
        <v>5889</v>
      </c>
      <c r="N917" s="8" t="s">
        <v>41</v>
      </c>
      <c r="O917" s="8" t="s">
        <v>676</v>
      </c>
      <c r="P917" s="6" t="s">
        <v>167</v>
      </c>
      <c r="Q917" s="8" t="s">
        <v>44</v>
      </c>
      <c r="R917" s="10" t="s">
        <v>5641</v>
      </c>
      <c r="S917" s="11"/>
      <c r="T917" s="6"/>
      <c r="U917" s="24" t="str">
        <f>HYPERLINK("https://media.infra-m.ru/1039/1039296/cover/1039296.jpg", "Обложка")</f>
        <v>Обложка</v>
      </c>
      <c r="V917" s="24" t="str">
        <f>HYPERLINK("https://znanium.ru/catalog/product/1039296", "Ознакомиться")</f>
        <v>Ознакомиться</v>
      </c>
      <c r="W917" s="8"/>
      <c r="X917" s="6"/>
      <c r="Y917" s="6"/>
      <c r="Z917" s="6"/>
      <c r="AA917" s="6" t="s">
        <v>151</v>
      </c>
      <c r="AB917" s="8"/>
    </row>
    <row r="918" spans="1:28" s="4" customFormat="1" ht="51.95" customHeight="1">
      <c r="A918" s="5">
        <v>0</v>
      </c>
      <c r="B918" s="6" t="s">
        <v>5890</v>
      </c>
      <c r="C918" s="13">
        <v>2920</v>
      </c>
      <c r="D918" s="8" t="s">
        <v>5891</v>
      </c>
      <c r="E918" s="8" t="s">
        <v>5887</v>
      </c>
      <c r="F918" s="8" t="s">
        <v>5892</v>
      </c>
      <c r="G918" s="6" t="s">
        <v>52</v>
      </c>
      <c r="H918" s="6" t="s">
        <v>53</v>
      </c>
      <c r="I918" s="8" t="s">
        <v>116</v>
      </c>
      <c r="J918" s="9">
        <v>1</v>
      </c>
      <c r="K918" s="9">
        <v>583</v>
      </c>
      <c r="L918" s="9">
        <v>2025</v>
      </c>
      <c r="M918" s="8" t="s">
        <v>5893</v>
      </c>
      <c r="N918" s="8" t="s">
        <v>41</v>
      </c>
      <c r="O918" s="8" t="s">
        <v>676</v>
      </c>
      <c r="P918" s="6" t="s">
        <v>167</v>
      </c>
      <c r="Q918" s="8" t="s">
        <v>58</v>
      </c>
      <c r="R918" s="10" t="s">
        <v>5894</v>
      </c>
      <c r="S918" s="11" t="s">
        <v>5895</v>
      </c>
      <c r="T918" s="6"/>
      <c r="U918" s="24" t="str">
        <f>HYPERLINK("https://media.infra-m.ru/2177/2177667/cover/2177667.jpg", "Обложка")</f>
        <v>Обложка</v>
      </c>
      <c r="V918" s="24" t="str">
        <f>HYPERLINK("https://znanium.ru/catalog/product/2177667", "Ознакомиться")</f>
        <v>Ознакомиться</v>
      </c>
      <c r="W918" s="8" t="s">
        <v>4830</v>
      </c>
      <c r="X918" s="6"/>
      <c r="Y918" s="6"/>
      <c r="Z918" s="6"/>
      <c r="AA918" s="6" t="s">
        <v>235</v>
      </c>
      <c r="AB918" s="8"/>
    </row>
    <row r="919" spans="1:28" s="4" customFormat="1" ht="51.95" customHeight="1">
      <c r="A919" s="5">
        <v>0</v>
      </c>
      <c r="B919" s="6" t="s">
        <v>5896</v>
      </c>
      <c r="C919" s="7">
        <v>699.9</v>
      </c>
      <c r="D919" s="8" t="s">
        <v>5897</v>
      </c>
      <c r="E919" s="8" t="s">
        <v>5898</v>
      </c>
      <c r="F919" s="8" t="s">
        <v>5899</v>
      </c>
      <c r="G919" s="6"/>
      <c r="H919" s="6" t="s">
        <v>674</v>
      </c>
      <c r="I919" s="8" t="s">
        <v>5900</v>
      </c>
      <c r="J919" s="9">
        <v>8</v>
      </c>
      <c r="K919" s="9">
        <v>608</v>
      </c>
      <c r="L919" s="9">
        <v>2015</v>
      </c>
      <c r="M919" s="8" t="s">
        <v>5901</v>
      </c>
      <c r="N919" s="8" t="s">
        <v>41</v>
      </c>
      <c r="O919" s="8" t="s">
        <v>676</v>
      </c>
      <c r="P919" s="6" t="s">
        <v>167</v>
      </c>
      <c r="Q919" s="8" t="s">
        <v>102</v>
      </c>
      <c r="R919" s="10" t="s">
        <v>256</v>
      </c>
      <c r="S919" s="11" t="s">
        <v>5902</v>
      </c>
      <c r="T919" s="6"/>
      <c r="U919" s="12"/>
      <c r="V919" s="24" t="str">
        <f>HYPERLINK("https://znanium.ru/catalog/product/2168886", "Ознакомиться")</f>
        <v>Ознакомиться</v>
      </c>
      <c r="W919" s="8" t="s">
        <v>792</v>
      </c>
      <c r="X919" s="6"/>
      <c r="Y919" s="6"/>
      <c r="Z919" s="6"/>
      <c r="AA919" s="6" t="s">
        <v>4822</v>
      </c>
      <c r="AB919" s="8"/>
    </row>
    <row r="920" spans="1:28" s="4" customFormat="1" ht="51.95" customHeight="1">
      <c r="A920" s="5">
        <v>0</v>
      </c>
      <c r="B920" s="6" t="s">
        <v>5903</v>
      </c>
      <c r="C920" s="13">
        <v>2994.9</v>
      </c>
      <c r="D920" s="8" t="s">
        <v>5904</v>
      </c>
      <c r="E920" s="8" t="s">
        <v>5905</v>
      </c>
      <c r="F920" s="8" t="s">
        <v>5906</v>
      </c>
      <c r="G920" s="6" t="s">
        <v>89</v>
      </c>
      <c r="H920" s="6" t="s">
        <v>674</v>
      </c>
      <c r="I920" s="8" t="s">
        <v>5900</v>
      </c>
      <c r="J920" s="9">
        <v>1</v>
      </c>
      <c r="K920" s="9">
        <v>688</v>
      </c>
      <c r="L920" s="9">
        <v>2021</v>
      </c>
      <c r="M920" s="8" t="s">
        <v>5907</v>
      </c>
      <c r="N920" s="8" t="s">
        <v>41</v>
      </c>
      <c r="O920" s="8" t="s">
        <v>676</v>
      </c>
      <c r="P920" s="6" t="s">
        <v>167</v>
      </c>
      <c r="Q920" s="8" t="s">
        <v>102</v>
      </c>
      <c r="R920" s="10" t="s">
        <v>256</v>
      </c>
      <c r="S920" s="11" t="s">
        <v>5908</v>
      </c>
      <c r="T920" s="6"/>
      <c r="U920" s="24" t="str">
        <f>HYPERLINK("https://media.infra-m.ru/1905/1905752/cover/1905752.jpg", "Обложка")</f>
        <v>Обложка</v>
      </c>
      <c r="V920" s="24" t="str">
        <f>HYPERLINK("https://znanium.ru/catalog/product/2168886", "Ознакомиться")</f>
        <v>Ознакомиться</v>
      </c>
      <c r="W920" s="8" t="s">
        <v>792</v>
      </c>
      <c r="X920" s="6"/>
      <c r="Y920" s="6"/>
      <c r="Z920" s="6"/>
      <c r="AA920" s="6" t="s">
        <v>2423</v>
      </c>
      <c r="AB920" s="8"/>
    </row>
    <row r="921" spans="1:28" s="4" customFormat="1" ht="51.95" customHeight="1">
      <c r="A921" s="5">
        <v>0</v>
      </c>
      <c r="B921" s="6" t="s">
        <v>5909</v>
      </c>
      <c r="C921" s="13">
        <v>3394</v>
      </c>
      <c r="D921" s="8" t="s">
        <v>5910</v>
      </c>
      <c r="E921" s="8" t="s">
        <v>5911</v>
      </c>
      <c r="F921" s="8" t="s">
        <v>5912</v>
      </c>
      <c r="G921" s="6" t="s">
        <v>52</v>
      </c>
      <c r="H921" s="6" t="s">
        <v>674</v>
      </c>
      <c r="I921" s="8" t="s">
        <v>5900</v>
      </c>
      <c r="J921" s="9">
        <v>1</v>
      </c>
      <c r="K921" s="9">
        <v>680</v>
      </c>
      <c r="L921" s="9">
        <v>2024</v>
      </c>
      <c r="M921" s="8" t="s">
        <v>5913</v>
      </c>
      <c r="N921" s="8" t="s">
        <v>41</v>
      </c>
      <c r="O921" s="8" t="s">
        <v>676</v>
      </c>
      <c r="P921" s="6" t="s">
        <v>167</v>
      </c>
      <c r="Q921" s="8" t="s">
        <v>102</v>
      </c>
      <c r="R921" s="10" t="s">
        <v>256</v>
      </c>
      <c r="S921" s="11" t="s">
        <v>5908</v>
      </c>
      <c r="T921" s="6"/>
      <c r="U921" s="24" t="str">
        <f>HYPERLINK("https://media.infra-m.ru/2175/2175282/cover/2175282.jpg", "Обложка")</f>
        <v>Обложка</v>
      </c>
      <c r="V921" s="24" t="str">
        <f>HYPERLINK("https://znanium.ru/catalog/product/2168886", "Ознакомиться")</f>
        <v>Ознакомиться</v>
      </c>
      <c r="W921" s="8" t="s">
        <v>792</v>
      </c>
      <c r="X921" s="6"/>
      <c r="Y921" s="6"/>
      <c r="Z921" s="6"/>
      <c r="AA921" s="6" t="s">
        <v>5914</v>
      </c>
      <c r="AB921" s="8"/>
    </row>
    <row r="922" spans="1:28" s="4" customFormat="1" ht="51.95" customHeight="1">
      <c r="A922" s="5">
        <v>0</v>
      </c>
      <c r="B922" s="6" t="s">
        <v>5915</v>
      </c>
      <c r="C922" s="13">
        <v>2234</v>
      </c>
      <c r="D922" s="8" t="s">
        <v>5916</v>
      </c>
      <c r="E922" s="8" t="s">
        <v>5917</v>
      </c>
      <c r="F922" s="8" t="s">
        <v>5918</v>
      </c>
      <c r="G922" s="6" t="s">
        <v>52</v>
      </c>
      <c r="H922" s="6" t="s">
        <v>53</v>
      </c>
      <c r="I922" s="8" t="s">
        <v>212</v>
      </c>
      <c r="J922" s="9">
        <v>1</v>
      </c>
      <c r="K922" s="9">
        <v>447</v>
      </c>
      <c r="L922" s="9">
        <v>2025</v>
      </c>
      <c r="M922" s="8" t="s">
        <v>5919</v>
      </c>
      <c r="N922" s="8" t="s">
        <v>41</v>
      </c>
      <c r="O922" s="8" t="s">
        <v>676</v>
      </c>
      <c r="P922" s="6" t="s">
        <v>167</v>
      </c>
      <c r="Q922" s="8" t="s">
        <v>214</v>
      </c>
      <c r="R922" s="10" t="s">
        <v>5920</v>
      </c>
      <c r="S922" s="11" t="s">
        <v>5921</v>
      </c>
      <c r="T922" s="6"/>
      <c r="U922" s="24" t="str">
        <f>HYPERLINK("https://media.infra-m.ru/2186/2186899/cover/2186899.jpg", "Обложка")</f>
        <v>Обложка</v>
      </c>
      <c r="V922" s="24" t="str">
        <f>HYPERLINK("https://znanium.ru/catalog/product/1921408", "Ознакомиться")</f>
        <v>Ознакомиться</v>
      </c>
      <c r="W922" s="8" t="s">
        <v>5869</v>
      </c>
      <c r="X922" s="6"/>
      <c r="Y922" s="6"/>
      <c r="Z922" s="6"/>
      <c r="AA922" s="6" t="s">
        <v>513</v>
      </c>
      <c r="AB922" s="8"/>
    </row>
    <row r="923" spans="1:28" s="4" customFormat="1" ht="51.95" customHeight="1">
      <c r="A923" s="5">
        <v>0</v>
      </c>
      <c r="B923" s="6" t="s">
        <v>5922</v>
      </c>
      <c r="C923" s="13">
        <v>1370</v>
      </c>
      <c r="D923" s="8" t="s">
        <v>5923</v>
      </c>
      <c r="E923" s="8" t="s">
        <v>5924</v>
      </c>
      <c r="F923" s="8" t="s">
        <v>5925</v>
      </c>
      <c r="G923" s="6" t="s">
        <v>89</v>
      </c>
      <c r="H923" s="6" t="s">
        <v>649</v>
      </c>
      <c r="I923" s="8" t="s">
        <v>116</v>
      </c>
      <c r="J923" s="9">
        <v>1</v>
      </c>
      <c r="K923" s="9">
        <v>400</v>
      </c>
      <c r="L923" s="9">
        <v>2020</v>
      </c>
      <c r="M923" s="8" t="s">
        <v>5926</v>
      </c>
      <c r="N923" s="8" t="s">
        <v>41</v>
      </c>
      <c r="O923" s="8" t="s">
        <v>676</v>
      </c>
      <c r="P923" s="6" t="s">
        <v>167</v>
      </c>
      <c r="Q923" s="8" t="s">
        <v>44</v>
      </c>
      <c r="R923" s="10" t="s">
        <v>5920</v>
      </c>
      <c r="S923" s="11" t="s">
        <v>5927</v>
      </c>
      <c r="T923" s="6"/>
      <c r="U923" s="24" t="str">
        <f>HYPERLINK("https://media.infra-m.ru/1066/1066009/cover/1066009.jpg", "Обложка")</f>
        <v>Обложка</v>
      </c>
      <c r="V923" s="24" t="str">
        <f>HYPERLINK("https://znanium.ru/catalog/product/1921408", "Ознакомиться")</f>
        <v>Ознакомиться</v>
      </c>
      <c r="W923" s="8" t="s">
        <v>5869</v>
      </c>
      <c r="X923" s="6"/>
      <c r="Y923" s="6"/>
      <c r="Z923" s="6"/>
      <c r="AA923" s="6" t="s">
        <v>418</v>
      </c>
      <c r="AB923" s="8"/>
    </row>
    <row r="924" spans="1:28" s="4" customFormat="1" ht="51.95" customHeight="1">
      <c r="A924" s="5">
        <v>0</v>
      </c>
      <c r="B924" s="6" t="s">
        <v>5928</v>
      </c>
      <c r="C924" s="13">
        <v>2894</v>
      </c>
      <c r="D924" s="8" t="s">
        <v>5929</v>
      </c>
      <c r="E924" s="8" t="s">
        <v>5930</v>
      </c>
      <c r="F924" s="8" t="s">
        <v>5931</v>
      </c>
      <c r="G924" s="6" t="s">
        <v>52</v>
      </c>
      <c r="H924" s="6" t="s">
        <v>53</v>
      </c>
      <c r="I924" s="8" t="s">
        <v>212</v>
      </c>
      <c r="J924" s="9">
        <v>1</v>
      </c>
      <c r="K924" s="9">
        <v>602</v>
      </c>
      <c r="L924" s="9">
        <v>2025</v>
      </c>
      <c r="M924" s="8" t="s">
        <v>5932</v>
      </c>
      <c r="N924" s="8" t="s">
        <v>41</v>
      </c>
      <c r="O924" s="8" t="s">
        <v>676</v>
      </c>
      <c r="P924" s="6" t="s">
        <v>167</v>
      </c>
      <c r="Q924" s="8" t="s">
        <v>58</v>
      </c>
      <c r="R924" s="10" t="s">
        <v>5933</v>
      </c>
      <c r="S924" s="11" t="s">
        <v>5921</v>
      </c>
      <c r="T924" s="6"/>
      <c r="U924" s="24" t="str">
        <f>HYPERLINK("https://media.infra-m.ru/2048/2048904/cover/2048904.jpg", "Обложка")</f>
        <v>Обложка</v>
      </c>
      <c r="V924" s="24" t="str">
        <f>HYPERLINK("https://znanium.ru/catalog/product/1186576", "Ознакомиться")</f>
        <v>Ознакомиться</v>
      </c>
      <c r="W924" s="8" t="s">
        <v>5869</v>
      </c>
      <c r="X924" s="6"/>
      <c r="Y924" s="6"/>
      <c r="Z924" s="6"/>
      <c r="AA924" s="6" t="s">
        <v>813</v>
      </c>
      <c r="AB924" s="8"/>
    </row>
    <row r="925" spans="1:28" s="4" customFormat="1" ht="51.95" customHeight="1">
      <c r="A925" s="5">
        <v>0</v>
      </c>
      <c r="B925" s="6" t="s">
        <v>5934</v>
      </c>
      <c r="C925" s="13">
        <v>2524</v>
      </c>
      <c r="D925" s="8" t="s">
        <v>5935</v>
      </c>
      <c r="E925" s="8" t="s">
        <v>5924</v>
      </c>
      <c r="F925" s="8" t="s">
        <v>5931</v>
      </c>
      <c r="G925" s="6" t="s">
        <v>52</v>
      </c>
      <c r="H925" s="6" t="s">
        <v>649</v>
      </c>
      <c r="I925" s="8" t="s">
        <v>90</v>
      </c>
      <c r="J925" s="9">
        <v>1</v>
      </c>
      <c r="K925" s="9">
        <v>559</v>
      </c>
      <c r="L925" s="9">
        <v>2023</v>
      </c>
      <c r="M925" s="8" t="s">
        <v>5936</v>
      </c>
      <c r="N925" s="8" t="s">
        <v>41</v>
      </c>
      <c r="O925" s="8" t="s">
        <v>676</v>
      </c>
      <c r="P925" s="6" t="s">
        <v>167</v>
      </c>
      <c r="Q925" s="8" t="s">
        <v>44</v>
      </c>
      <c r="R925" s="10" t="s">
        <v>5933</v>
      </c>
      <c r="S925" s="11" t="s">
        <v>5927</v>
      </c>
      <c r="T925" s="6"/>
      <c r="U925" s="24" t="str">
        <f>HYPERLINK("https://media.infra-m.ru/2012/2012681/cover/2012681.jpg", "Обложка")</f>
        <v>Обложка</v>
      </c>
      <c r="V925" s="24" t="str">
        <f>HYPERLINK("https://znanium.ru/catalog/product/1186576", "Ознакомиться")</f>
        <v>Ознакомиться</v>
      </c>
      <c r="W925" s="8" t="s">
        <v>5869</v>
      </c>
      <c r="X925" s="6"/>
      <c r="Y925" s="6"/>
      <c r="Z925" s="6"/>
      <c r="AA925" s="6" t="s">
        <v>418</v>
      </c>
      <c r="AB925" s="8"/>
    </row>
    <row r="926" spans="1:28" s="4" customFormat="1" ht="51.95" customHeight="1">
      <c r="A926" s="5">
        <v>0</v>
      </c>
      <c r="B926" s="6" t="s">
        <v>5937</v>
      </c>
      <c r="C926" s="13">
        <v>2800</v>
      </c>
      <c r="D926" s="8" t="s">
        <v>5938</v>
      </c>
      <c r="E926" s="8" t="s">
        <v>5939</v>
      </c>
      <c r="F926" s="8" t="s">
        <v>5940</v>
      </c>
      <c r="G926" s="6" t="s">
        <v>89</v>
      </c>
      <c r="H926" s="6" t="s">
        <v>53</v>
      </c>
      <c r="I926" s="8" t="s">
        <v>165</v>
      </c>
      <c r="J926" s="9">
        <v>1</v>
      </c>
      <c r="K926" s="9">
        <v>626</v>
      </c>
      <c r="L926" s="9">
        <v>2023</v>
      </c>
      <c r="M926" s="8" t="s">
        <v>5941</v>
      </c>
      <c r="N926" s="8" t="s">
        <v>41</v>
      </c>
      <c r="O926" s="8" t="s">
        <v>676</v>
      </c>
      <c r="P926" s="6" t="s">
        <v>167</v>
      </c>
      <c r="Q926" s="8" t="s">
        <v>58</v>
      </c>
      <c r="R926" s="10" t="s">
        <v>677</v>
      </c>
      <c r="S926" s="11" t="s">
        <v>5942</v>
      </c>
      <c r="T926" s="6"/>
      <c r="U926" s="24" t="str">
        <f>HYPERLINK("https://media.infra-m.ru/1925/1925513/cover/1925513.jpg", "Обложка")</f>
        <v>Обложка</v>
      </c>
      <c r="V926" s="24" t="str">
        <f>HYPERLINK("https://znanium.ru/catalog/product/1925513", "Ознакомиться")</f>
        <v>Ознакомиться</v>
      </c>
      <c r="W926" s="8" t="s">
        <v>83</v>
      </c>
      <c r="X926" s="6"/>
      <c r="Y926" s="6"/>
      <c r="Z926" s="6"/>
      <c r="AA926" s="6" t="s">
        <v>1374</v>
      </c>
      <c r="AB926" s="8"/>
    </row>
    <row r="927" spans="1:28" s="4" customFormat="1" ht="51.95" customHeight="1">
      <c r="A927" s="5">
        <v>0</v>
      </c>
      <c r="B927" s="6" t="s">
        <v>5943</v>
      </c>
      <c r="C927" s="13">
        <v>1200</v>
      </c>
      <c r="D927" s="8" t="s">
        <v>5944</v>
      </c>
      <c r="E927" s="8" t="s">
        <v>5905</v>
      </c>
      <c r="F927" s="8" t="s">
        <v>5945</v>
      </c>
      <c r="G927" s="6" t="s">
        <v>52</v>
      </c>
      <c r="H927" s="6" t="s">
        <v>184</v>
      </c>
      <c r="I927" s="8" t="s">
        <v>90</v>
      </c>
      <c r="J927" s="9">
        <v>1</v>
      </c>
      <c r="K927" s="9">
        <v>400</v>
      </c>
      <c r="L927" s="9">
        <v>2018</v>
      </c>
      <c r="M927" s="8" t="s">
        <v>5946</v>
      </c>
      <c r="N927" s="8" t="s">
        <v>41</v>
      </c>
      <c r="O927" s="8" t="s">
        <v>676</v>
      </c>
      <c r="P927" s="6" t="s">
        <v>43</v>
      </c>
      <c r="Q927" s="8" t="s">
        <v>44</v>
      </c>
      <c r="R927" s="10" t="s">
        <v>5947</v>
      </c>
      <c r="S927" s="11" t="s">
        <v>5948</v>
      </c>
      <c r="T927" s="6"/>
      <c r="U927" s="24" t="str">
        <f>HYPERLINK("https://media.infra-m.ru/0976/0976270/cover/976270.jpg", "Обложка")</f>
        <v>Обложка</v>
      </c>
      <c r="V927" s="24" t="str">
        <f>HYPERLINK("https://znanium.ru/catalog/product/1021900", "Ознакомиться")</f>
        <v>Ознакомиться</v>
      </c>
      <c r="W927" s="8" t="s">
        <v>189</v>
      </c>
      <c r="X927" s="6"/>
      <c r="Y927" s="6"/>
      <c r="Z927" s="6"/>
      <c r="AA927" s="6" t="s">
        <v>5763</v>
      </c>
      <c r="AB927" s="8"/>
    </row>
    <row r="928" spans="1:28" s="4" customFormat="1" ht="51.95" customHeight="1">
      <c r="A928" s="5">
        <v>0</v>
      </c>
      <c r="B928" s="6" t="s">
        <v>5949</v>
      </c>
      <c r="C928" s="13">
        <v>1994</v>
      </c>
      <c r="D928" s="8" t="s">
        <v>5950</v>
      </c>
      <c r="E928" s="8" t="s">
        <v>5911</v>
      </c>
      <c r="F928" s="8" t="s">
        <v>5945</v>
      </c>
      <c r="G928" s="6" t="s">
        <v>52</v>
      </c>
      <c r="H928" s="6" t="s">
        <v>184</v>
      </c>
      <c r="I928" s="8" t="s">
        <v>116</v>
      </c>
      <c r="J928" s="9">
        <v>1</v>
      </c>
      <c r="K928" s="9">
        <v>404</v>
      </c>
      <c r="L928" s="9">
        <v>2023</v>
      </c>
      <c r="M928" s="8" t="s">
        <v>5951</v>
      </c>
      <c r="N928" s="8" t="s">
        <v>41</v>
      </c>
      <c r="O928" s="8" t="s">
        <v>676</v>
      </c>
      <c r="P928" s="6" t="s">
        <v>43</v>
      </c>
      <c r="Q928" s="8" t="s">
        <v>44</v>
      </c>
      <c r="R928" s="10" t="s">
        <v>5947</v>
      </c>
      <c r="S928" s="11" t="s">
        <v>5948</v>
      </c>
      <c r="T928" s="6"/>
      <c r="U928" s="24" t="str">
        <f>HYPERLINK("https://media.infra-m.ru/1841/1841424/cover/1841424.jpg", "Обложка")</f>
        <v>Обложка</v>
      </c>
      <c r="V928" s="24" t="str">
        <f>HYPERLINK("https://znanium.ru/catalog/product/1021900", "Ознакомиться")</f>
        <v>Ознакомиться</v>
      </c>
      <c r="W928" s="8" t="s">
        <v>189</v>
      </c>
      <c r="X928" s="6"/>
      <c r="Y928" s="6"/>
      <c r="Z928" s="6"/>
      <c r="AA928" s="6" t="s">
        <v>5769</v>
      </c>
      <c r="AB928" s="8"/>
    </row>
    <row r="929" spans="1:28" s="4" customFormat="1" ht="42" customHeight="1">
      <c r="A929" s="5">
        <v>0</v>
      </c>
      <c r="B929" s="6" t="s">
        <v>5952</v>
      </c>
      <c r="C929" s="13">
        <v>2222</v>
      </c>
      <c r="D929" s="8" t="s">
        <v>5953</v>
      </c>
      <c r="E929" s="8" t="s">
        <v>5954</v>
      </c>
      <c r="F929" s="8" t="s">
        <v>1822</v>
      </c>
      <c r="G929" s="6" t="s">
        <v>38</v>
      </c>
      <c r="H929" s="6" t="s">
        <v>77</v>
      </c>
      <c r="I929" s="8" t="s">
        <v>116</v>
      </c>
      <c r="J929" s="9">
        <v>1</v>
      </c>
      <c r="K929" s="9">
        <v>439</v>
      </c>
      <c r="L929" s="9">
        <v>2024</v>
      </c>
      <c r="M929" s="8" t="s">
        <v>5955</v>
      </c>
      <c r="N929" s="8" t="s">
        <v>56</v>
      </c>
      <c r="O929" s="8" t="s">
        <v>57</v>
      </c>
      <c r="P929" s="6" t="s">
        <v>43</v>
      </c>
      <c r="Q929" s="8" t="s">
        <v>44</v>
      </c>
      <c r="R929" s="10" t="s">
        <v>292</v>
      </c>
      <c r="S929" s="11"/>
      <c r="T929" s="6"/>
      <c r="U929" s="24" t="str">
        <f>HYPERLINK("https://media.infra-m.ru/2129/2129117/cover/2129117.jpg", "Обложка")</f>
        <v>Обложка</v>
      </c>
      <c r="V929" s="24" t="str">
        <f>HYPERLINK("https://znanium.ru/catalog/product/2129117", "Ознакомиться")</f>
        <v>Ознакомиться</v>
      </c>
      <c r="W929" s="8" t="s">
        <v>1826</v>
      </c>
      <c r="X929" s="6"/>
      <c r="Y929" s="6"/>
      <c r="Z929" s="6"/>
      <c r="AA929" s="6" t="s">
        <v>442</v>
      </c>
      <c r="AB929" s="8"/>
    </row>
    <row r="930" spans="1:28" s="4" customFormat="1" ht="51.95" customHeight="1">
      <c r="A930" s="5">
        <v>0</v>
      </c>
      <c r="B930" s="6" t="s">
        <v>5956</v>
      </c>
      <c r="C930" s="7">
        <v>724</v>
      </c>
      <c r="D930" s="8" t="s">
        <v>5957</v>
      </c>
      <c r="E930" s="8" t="s">
        <v>5958</v>
      </c>
      <c r="F930" s="8" t="s">
        <v>1699</v>
      </c>
      <c r="G930" s="6" t="s">
        <v>38</v>
      </c>
      <c r="H930" s="6" t="s">
        <v>53</v>
      </c>
      <c r="I930" s="8" t="s">
        <v>116</v>
      </c>
      <c r="J930" s="9">
        <v>1</v>
      </c>
      <c r="K930" s="9">
        <v>140</v>
      </c>
      <c r="L930" s="9">
        <v>2025</v>
      </c>
      <c r="M930" s="8" t="s">
        <v>5959</v>
      </c>
      <c r="N930" s="8" t="s">
        <v>56</v>
      </c>
      <c r="O930" s="8" t="s">
        <v>57</v>
      </c>
      <c r="P930" s="6" t="s">
        <v>43</v>
      </c>
      <c r="Q930" s="8" t="s">
        <v>44</v>
      </c>
      <c r="R930" s="10" t="s">
        <v>5960</v>
      </c>
      <c r="S930" s="11"/>
      <c r="T930" s="6"/>
      <c r="U930" s="24" t="str">
        <f>HYPERLINK("https://media.infra-m.ru/2196/2196948/cover/2196948.jpg", "Обложка")</f>
        <v>Обложка</v>
      </c>
      <c r="V930" s="24" t="str">
        <f>HYPERLINK("https://znanium.ru/catalog/product/2125886", "Ознакомиться")</f>
        <v>Ознакомиться</v>
      </c>
      <c r="W930" s="8" t="s">
        <v>1703</v>
      </c>
      <c r="X930" s="6"/>
      <c r="Y930" s="6"/>
      <c r="Z930" s="6"/>
      <c r="AA930" s="6" t="s">
        <v>47</v>
      </c>
      <c r="AB930" s="8"/>
    </row>
    <row r="931" spans="1:28" s="4" customFormat="1" ht="42" customHeight="1">
      <c r="A931" s="5">
        <v>0</v>
      </c>
      <c r="B931" s="6" t="s">
        <v>5961</v>
      </c>
      <c r="C931" s="7">
        <v>960</v>
      </c>
      <c r="D931" s="8" t="s">
        <v>5962</v>
      </c>
      <c r="E931" s="8" t="s">
        <v>5963</v>
      </c>
      <c r="F931" s="8" t="s">
        <v>5964</v>
      </c>
      <c r="G931" s="6" t="s">
        <v>52</v>
      </c>
      <c r="H931" s="6" t="s">
        <v>53</v>
      </c>
      <c r="I931" s="8" t="s">
        <v>960</v>
      </c>
      <c r="J931" s="9">
        <v>1</v>
      </c>
      <c r="K931" s="9">
        <v>178</v>
      </c>
      <c r="L931" s="9">
        <v>2025</v>
      </c>
      <c r="M931" s="8" t="s">
        <v>5965</v>
      </c>
      <c r="N931" s="8" t="s">
        <v>56</v>
      </c>
      <c r="O931" s="8" t="s">
        <v>57</v>
      </c>
      <c r="P931" s="6" t="s">
        <v>43</v>
      </c>
      <c r="Q931" s="8" t="s">
        <v>58</v>
      </c>
      <c r="R931" s="10" t="s">
        <v>59</v>
      </c>
      <c r="S931" s="11"/>
      <c r="T931" s="6"/>
      <c r="U931" s="24" t="str">
        <f>HYPERLINK("https://media.infra-m.ru/2162/2162068/cover/2162068.jpg", "Обложка")</f>
        <v>Обложка</v>
      </c>
      <c r="V931" s="24" t="str">
        <f>HYPERLINK("https://znanium.ru/catalog/product/2162068", "Ознакомиться")</f>
        <v>Ознакомиться</v>
      </c>
      <c r="W931" s="8" t="s">
        <v>178</v>
      </c>
      <c r="X931" s="6" t="s">
        <v>2790</v>
      </c>
      <c r="Y931" s="6"/>
      <c r="Z931" s="6"/>
      <c r="AA931" s="6" t="s">
        <v>61</v>
      </c>
      <c r="AB931" s="8"/>
    </row>
    <row r="932" spans="1:28" s="4" customFormat="1" ht="51.95" customHeight="1">
      <c r="A932" s="5">
        <v>0</v>
      </c>
      <c r="B932" s="6" t="s">
        <v>5966</v>
      </c>
      <c r="C932" s="13">
        <v>1107</v>
      </c>
      <c r="D932" s="8" t="s">
        <v>5967</v>
      </c>
      <c r="E932" s="8" t="s">
        <v>5968</v>
      </c>
      <c r="F932" s="8" t="s">
        <v>5969</v>
      </c>
      <c r="G932" s="6" t="s">
        <v>38</v>
      </c>
      <c r="H932" s="6" t="s">
        <v>39</v>
      </c>
      <c r="I932" s="8" t="s">
        <v>116</v>
      </c>
      <c r="J932" s="9">
        <v>1</v>
      </c>
      <c r="K932" s="9">
        <v>184</v>
      </c>
      <c r="L932" s="9">
        <v>2024</v>
      </c>
      <c r="M932" s="8" t="s">
        <v>5970</v>
      </c>
      <c r="N932" s="8" t="s">
        <v>79</v>
      </c>
      <c r="O932" s="8" t="s">
        <v>174</v>
      </c>
      <c r="P932" s="6" t="s">
        <v>43</v>
      </c>
      <c r="Q932" s="8" t="s">
        <v>44</v>
      </c>
      <c r="R932" s="10" t="s">
        <v>5971</v>
      </c>
      <c r="S932" s="11" t="s">
        <v>5972</v>
      </c>
      <c r="T932" s="6"/>
      <c r="U932" s="24" t="str">
        <f>HYPERLINK("https://media.infra-m.ru/2073/2073491/cover/2073491.jpg", "Обложка")</f>
        <v>Обложка</v>
      </c>
      <c r="V932" s="24" t="str">
        <f>HYPERLINK("https://znanium.ru/catalog/product/1141234", "Ознакомиться")</f>
        <v>Ознакомиться</v>
      </c>
      <c r="W932" s="8" t="s">
        <v>5973</v>
      </c>
      <c r="X932" s="6"/>
      <c r="Y932" s="6"/>
      <c r="Z932" s="6"/>
      <c r="AA932" s="6" t="s">
        <v>111</v>
      </c>
      <c r="AB932" s="8"/>
    </row>
    <row r="933" spans="1:28" s="4" customFormat="1" ht="51.95" customHeight="1">
      <c r="A933" s="5">
        <v>0</v>
      </c>
      <c r="B933" s="6" t="s">
        <v>5974</v>
      </c>
      <c r="C933" s="7">
        <v>970</v>
      </c>
      <c r="D933" s="8" t="s">
        <v>5975</v>
      </c>
      <c r="E933" s="8" t="s">
        <v>5976</v>
      </c>
      <c r="F933" s="8" t="s">
        <v>76</v>
      </c>
      <c r="G933" s="6" t="s">
        <v>89</v>
      </c>
      <c r="H933" s="6" t="s">
        <v>53</v>
      </c>
      <c r="I933" s="8" t="s">
        <v>100</v>
      </c>
      <c r="J933" s="9">
        <v>1</v>
      </c>
      <c r="K933" s="9">
        <v>205</v>
      </c>
      <c r="L933" s="9">
        <v>2024</v>
      </c>
      <c r="M933" s="8" t="s">
        <v>5977</v>
      </c>
      <c r="N933" s="8" t="s">
        <v>79</v>
      </c>
      <c r="O933" s="8" t="s">
        <v>80</v>
      </c>
      <c r="P933" s="6" t="s">
        <v>167</v>
      </c>
      <c r="Q933" s="8" t="s">
        <v>102</v>
      </c>
      <c r="R933" s="10" t="s">
        <v>5978</v>
      </c>
      <c r="S933" s="11" t="s">
        <v>5979</v>
      </c>
      <c r="T933" s="6"/>
      <c r="U933" s="24" t="str">
        <f>HYPERLINK("https://media.infra-m.ru/2149/2149045/cover/2149045.jpg", "Обложка")</f>
        <v>Обложка</v>
      </c>
      <c r="V933" s="24" t="str">
        <f>HYPERLINK("https://znanium.ru/catalog/product/2149045", "Ознакомиться")</f>
        <v>Ознакомиться</v>
      </c>
      <c r="W933" s="8" t="s">
        <v>83</v>
      </c>
      <c r="X933" s="6"/>
      <c r="Y933" s="6"/>
      <c r="Z933" s="6" t="s">
        <v>104</v>
      </c>
      <c r="AA933" s="6" t="s">
        <v>793</v>
      </c>
      <c r="AB933" s="8"/>
    </row>
    <row r="934" spans="1:28" s="4" customFormat="1" ht="51.95" customHeight="1">
      <c r="A934" s="5">
        <v>0</v>
      </c>
      <c r="B934" s="6" t="s">
        <v>5980</v>
      </c>
      <c r="C934" s="13">
        <v>1024</v>
      </c>
      <c r="D934" s="8" t="s">
        <v>5981</v>
      </c>
      <c r="E934" s="8" t="s">
        <v>5976</v>
      </c>
      <c r="F934" s="8" t="s">
        <v>76</v>
      </c>
      <c r="G934" s="6" t="s">
        <v>52</v>
      </c>
      <c r="H934" s="6" t="s">
        <v>53</v>
      </c>
      <c r="I934" s="8" t="s">
        <v>1223</v>
      </c>
      <c r="J934" s="9">
        <v>1</v>
      </c>
      <c r="K934" s="9">
        <v>205</v>
      </c>
      <c r="L934" s="9">
        <v>2025</v>
      </c>
      <c r="M934" s="8" t="s">
        <v>5982</v>
      </c>
      <c r="N934" s="8" t="s">
        <v>79</v>
      </c>
      <c r="O934" s="8" t="s">
        <v>80</v>
      </c>
      <c r="P934" s="6" t="s">
        <v>167</v>
      </c>
      <c r="Q934" s="8" t="s">
        <v>44</v>
      </c>
      <c r="R934" s="10" t="s">
        <v>5983</v>
      </c>
      <c r="S934" s="11" t="s">
        <v>5984</v>
      </c>
      <c r="T934" s="6"/>
      <c r="U934" s="24" t="str">
        <f>HYPERLINK("https://media.infra-m.ru/2159/2159595/cover/2159595.jpg", "Обложка")</f>
        <v>Обложка</v>
      </c>
      <c r="V934" s="24" t="str">
        <f>HYPERLINK("https://znanium.ru/catalog/product/1149101", "Ознакомиться")</f>
        <v>Ознакомиться</v>
      </c>
      <c r="W934" s="8" t="s">
        <v>83</v>
      </c>
      <c r="X934" s="6"/>
      <c r="Y934" s="6"/>
      <c r="Z934" s="6"/>
      <c r="AA934" s="6" t="s">
        <v>258</v>
      </c>
      <c r="AB934" s="8"/>
    </row>
    <row r="935" spans="1:28" s="4" customFormat="1" ht="51.95" customHeight="1">
      <c r="A935" s="5">
        <v>0</v>
      </c>
      <c r="B935" s="6" t="s">
        <v>5985</v>
      </c>
      <c r="C935" s="13">
        <v>1200</v>
      </c>
      <c r="D935" s="8" t="s">
        <v>5986</v>
      </c>
      <c r="E935" s="8" t="s">
        <v>5987</v>
      </c>
      <c r="F935" s="8" t="s">
        <v>5988</v>
      </c>
      <c r="G935" s="6" t="s">
        <v>38</v>
      </c>
      <c r="H935" s="6" t="s">
        <v>53</v>
      </c>
      <c r="I935" s="8" t="s">
        <v>116</v>
      </c>
      <c r="J935" s="9">
        <v>1</v>
      </c>
      <c r="K935" s="9">
        <v>239</v>
      </c>
      <c r="L935" s="9">
        <v>2025</v>
      </c>
      <c r="M935" s="8" t="s">
        <v>5989</v>
      </c>
      <c r="N935" s="8" t="s">
        <v>79</v>
      </c>
      <c r="O935" s="8" t="s">
        <v>570</v>
      </c>
      <c r="P935" s="6" t="s">
        <v>43</v>
      </c>
      <c r="Q935" s="8" t="s">
        <v>44</v>
      </c>
      <c r="R935" s="10" t="s">
        <v>5990</v>
      </c>
      <c r="S935" s="11" t="s">
        <v>5991</v>
      </c>
      <c r="T935" s="6"/>
      <c r="U935" s="24" t="str">
        <f>HYPERLINK("https://media.infra-m.ru/2163/2163946/cover/2163946.jpg", "Обложка")</f>
        <v>Обложка</v>
      </c>
      <c r="V935" s="24" t="str">
        <f>HYPERLINK("https://znanium.ru/catalog/product/2163946", "Ознакомиться")</f>
        <v>Ознакомиться</v>
      </c>
      <c r="W935" s="8" t="s">
        <v>450</v>
      </c>
      <c r="X935" s="6"/>
      <c r="Y935" s="6"/>
      <c r="Z935" s="6"/>
      <c r="AA935" s="6" t="s">
        <v>418</v>
      </c>
      <c r="AB935" s="8"/>
    </row>
    <row r="936" spans="1:28" s="4" customFormat="1" ht="51.95" customHeight="1">
      <c r="A936" s="5">
        <v>0</v>
      </c>
      <c r="B936" s="6" t="s">
        <v>5992</v>
      </c>
      <c r="C936" s="13">
        <v>1194</v>
      </c>
      <c r="D936" s="8" t="s">
        <v>5993</v>
      </c>
      <c r="E936" s="8" t="s">
        <v>5987</v>
      </c>
      <c r="F936" s="8" t="s">
        <v>5988</v>
      </c>
      <c r="G936" s="6" t="s">
        <v>89</v>
      </c>
      <c r="H936" s="6" t="s">
        <v>39</v>
      </c>
      <c r="I936" s="8" t="s">
        <v>100</v>
      </c>
      <c r="J936" s="9">
        <v>1</v>
      </c>
      <c r="K936" s="9">
        <v>239</v>
      </c>
      <c r="L936" s="9">
        <v>2024</v>
      </c>
      <c r="M936" s="8" t="s">
        <v>5994</v>
      </c>
      <c r="N936" s="8" t="s">
        <v>79</v>
      </c>
      <c r="O936" s="8" t="s">
        <v>570</v>
      </c>
      <c r="P936" s="6" t="s">
        <v>43</v>
      </c>
      <c r="Q936" s="8" t="s">
        <v>102</v>
      </c>
      <c r="R936" s="10" t="s">
        <v>5995</v>
      </c>
      <c r="S936" s="11" t="s">
        <v>5996</v>
      </c>
      <c r="T936" s="6"/>
      <c r="U936" s="24" t="str">
        <f>HYPERLINK("https://media.infra-m.ru/2167/2167527/cover/2167527.jpg", "Обложка")</f>
        <v>Обложка</v>
      </c>
      <c r="V936" s="24" t="str">
        <f>HYPERLINK("https://znanium.ru/catalog/product/2160671", "Ознакомиться")</f>
        <v>Ознакомиться</v>
      </c>
      <c r="W936" s="8" t="s">
        <v>450</v>
      </c>
      <c r="X936" s="6"/>
      <c r="Y936" s="6"/>
      <c r="Z936" s="6" t="s">
        <v>104</v>
      </c>
      <c r="AA936" s="6" t="s">
        <v>258</v>
      </c>
      <c r="AB936" s="8"/>
    </row>
    <row r="937" spans="1:28" s="4" customFormat="1" ht="51.95" customHeight="1">
      <c r="A937" s="5">
        <v>0</v>
      </c>
      <c r="B937" s="6" t="s">
        <v>5997</v>
      </c>
      <c r="C937" s="13">
        <v>1000</v>
      </c>
      <c r="D937" s="8" t="s">
        <v>5998</v>
      </c>
      <c r="E937" s="8" t="s">
        <v>5999</v>
      </c>
      <c r="F937" s="8" t="s">
        <v>6000</v>
      </c>
      <c r="G937" s="6" t="s">
        <v>89</v>
      </c>
      <c r="H937" s="6" t="s">
        <v>53</v>
      </c>
      <c r="I937" s="8" t="s">
        <v>116</v>
      </c>
      <c r="J937" s="9">
        <v>1</v>
      </c>
      <c r="K937" s="9">
        <v>216</v>
      </c>
      <c r="L937" s="9">
        <v>2024</v>
      </c>
      <c r="M937" s="8" t="s">
        <v>6001</v>
      </c>
      <c r="N937" s="8" t="s">
        <v>41</v>
      </c>
      <c r="O937" s="8" t="s">
        <v>1007</v>
      </c>
      <c r="P937" s="6" t="s">
        <v>43</v>
      </c>
      <c r="Q937" s="8" t="s">
        <v>44</v>
      </c>
      <c r="R937" s="10" t="s">
        <v>6002</v>
      </c>
      <c r="S937" s="11" t="s">
        <v>1372</v>
      </c>
      <c r="T937" s="6" t="s">
        <v>299</v>
      </c>
      <c r="U937" s="24" t="str">
        <f>HYPERLINK("https://media.infra-m.ru/2093/2093915/cover/2093915.jpg", "Обложка")</f>
        <v>Обложка</v>
      </c>
      <c r="V937" s="24" t="str">
        <f>HYPERLINK("https://znanium.ru/catalog/product/2093915", "Ознакомиться")</f>
        <v>Ознакомиться</v>
      </c>
      <c r="W937" s="8" t="s">
        <v>1358</v>
      </c>
      <c r="X937" s="6"/>
      <c r="Y937" s="6"/>
      <c r="Z937" s="6"/>
      <c r="AA937" s="6" t="s">
        <v>84</v>
      </c>
      <c r="AB937" s="8"/>
    </row>
    <row r="938" spans="1:28" s="4" customFormat="1" ht="51.95" customHeight="1">
      <c r="A938" s="5">
        <v>0</v>
      </c>
      <c r="B938" s="6" t="s">
        <v>6003</v>
      </c>
      <c r="C938" s="13">
        <v>1350</v>
      </c>
      <c r="D938" s="8" t="s">
        <v>6004</v>
      </c>
      <c r="E938" s="8" t="s">
        <v>6005</v>
      </c>
      <c r="F938" s="8" t="s">
        <v>351</v>
      </c>
      <c r="G938" s="6" t="s">
        <v>89</v>
      </c>
      <c r="H938" s="6" t="s">
        <v>53</v>
      </c>
      <c r="I938" s="8" t="s">
        <v>276</v>
      </c>
      <c r="J938" s="9">
        <v>1</v>
      </c>
      <c r="K938" s="9">
        <v>301</v>
      </c>
      <c r="L938" s="9">
        <v>2023</v>
      </c>
      <c r="M938" s="8" t="s">
        <v>6006</v>
      </c>
      <c r="N938" s="8" t="s">
        <v>41</v>
      </c>
      <c r="O938" s="8" t="s">
        <v>118</v>
      </c>
      <c r="P938" s="6" t="s">
        <v>167</v>
      </c>
      <c r="Q938" s="8" t="s">
        <v>279</v>
      </c>
      <c r="R938" s="10" t="s">
        <v>6007</v>
      </c>
      <c r="S938" s="11" t="s">
        <v>6008</v>
      </c>
      <c r="T938" s="6"/>
      <c r="U938" s="24" t="str">
        <f>HYPERLINK("https://media.infra-m.ru/1920/1920311/cover/1920311.jpg", "Обложка")</f>
        <v>Обложка</v>
      </c>
      <c r="V938" s="24" t="str">
        <f>HYPERLINK("https://znanium.ru/catalog/product/2184927", "Ознакомиться")</f>
        <v>Ознакомиться</v>
      </c>
      <c r="W938" s="8" t="s">
        <v>354</v>
      </c>
      <c r="X938" s="6"/>
      <c r="Y938" s="6"/>
      <c r="Z938" s="6"/>
      <c r="AA938" s="6" t="s">
        <v>258</v>
      </c>
      <c r="AB938" s="8"/>
    </row>
    <row r="939" spans="1:28" s="4" customFormat="1" ht="51.95" customHeight="1">
      <c r="A939" s="5">
        <v>0</v>
      </c>
      <c r="B939" s="6" t="s">
        <v>6009</v>
      </c>
      <c r="C939" s="13">
        <v>1650</v>
      </c>
      <c r="D939" s="8" t="s">
        <v>6010</v>
      </c>
      <c r="E939" s="8" t="s">
        <v>6011</v>
      </c>
      <c r="F939" s="8" t="s">
        <v>351</v>
      </c>
      <c r="G939" s="6" t="s">
        <v>89</v>
      </c>
      <c r="H939" s="6" t="s">
        <v>53</v>
      </c>
      <c r="I939" s="8" t="s">
        <v>116</v>
      </c>
      <c r="J939" s="9">
        <v>1</v>
      </c>
      <c r="K939" s="9">
        <v>324</v>
      </c>
      <c r="L939" s="9">
        <v>2025</v>
      </c>
      <c r="M939" s="8" t="s">
        <v>6012</v>
      </c>
      <c r="N939" s="8" t="s">
        <v>41</v>
      </c>
      <c r="O939" s="8" t="s">
        <v>118</v>
      </c>
      <c r="P939" s="6" t="s">
        <v>167</v>
      </c>
      <c r="Q939" s="8" t="s">
        <v>279</v>
      </c>
      <c r="R939" s="10" t="s">
        <v>6007</v>
      </c>
      <c r="S939" s="11" t="s">
        <v>6008</v>
      </c>
      <c r="T939" s="6"/>
      <c r="U939" s="24" t="str">
        <f>HYPERLINK("https://media.infra-m.ru/2184/2184927/cover/2184927.jpg", "Обложка")</f>
        <v>Обложка</v>
      </c>
      <c r="V939" s="24" t="str">
        <f>HYPERLINK("https://znanium.ru/catalog/product/2184927", "Ознакомиться")</f>
        <v>Ознакомиться</v>
      </c>
      <c r="W939" s="8" t="s">
        <v>354</v>
      </c>
      <c r="X939" s="6"/>
      <c r="Y939" s="6"/>
      <c r="Z939" s="6"/>
      <c r="AA939" s="6" t="s">
        <v>105</v>
      </c>
      <c r="AB939" s="8"/>
    </row>
    <row r="940" spans="1:28" s="4" customFormat="1" ht="51.95" customHeight="1">
      <c r="A940" s="5">
        <v>0</v>
      </c>
      <c r="B940" s="6" t="s">
        <v>6013</v>
      </c>
      <c r="C940" s="13">
        <v>2410</v>
      </c>
      <c r="D940" s="8" t="s">
        <v>6014</v>
      </c>
      <c r="E940" s="8" t="s">
        <v>6015</v>
      </c>
      <c r="F940" s="8" t="s">
        <v>6016</v>
      </c>
      <c r="G940" s="6" t="s">
        <v>52</v>
      </c>
      <c r="H940" s="6" t="s">
        <v>53</v>
      </c>
      <c r="I940" s="8" t="s">
        <v>116</v>
      </c>
      <c r="J940" s="9">
        <v>1</v>
      </c>
      <c r="K940" s="9">
        <v>522</v>
      </c>
      <c r="L940" s="9">
        <v>2024</v>
      </c>
      <c r="M940" s="8" t="s">
        <v>6017</v>
      </c>
      <c r="N940" s="8" t="s">
        <v>79</v>
      </c>
      <c r="O940" s="8" t="s">
        <v>684</v>
      </c>
      <c r="P940" s="6" t="s">
        <v>167</v>
      </c>
      <c r="Q940" s="8" t="s">
        <v>44</v>
      </c>
      <c r="R940" s="10" t="s">
        <v>6018</v>
      </c>
      <c r="S940" s="11" t="s">
        <v>6019</v>
      </c>
      <c r="T940" s="6" t="s">
        <v>299</v>
      </c>
      <c r="U940" s="24" t="str">
        <f>HYPERLINK("https://media.infra-m.ru/2094/2094364/cover/2094364.jpg", "Обложка")</f>
        <v>Обложка</v>
      </c>
      <c r="V940" s="24" t="str">
        <f>HYPERLINK("https://znanium.ru/catalog/product/2094364", "Ознакомиться")</f>
        <v>Ознакомиться</v>
      </c>
      <c r="W940" s="8" t="s">
        <v>637</v>
      </c>
      <c r="X940" s="6"/>
      <c r="Y940" s="6"/>
      <c r="Z940" s="6"/>
      <c r="AA940" s="6" t="s">
        <v>418</v>
      </c>
      <c r="AB940" s="8"/>
    </row>
    <row r="941" spans="1:28" s="4" customFormat="1" ht="51.95" customHeight="1">
      <c r="A941" s="5">
        <v>0</v>
      </c>
      <c r="B941" s="6" t="s">
        <v>6020</v>
      </c>
      <c r="C941" s="13">
        <v>2400</v>
      </c>
      <c r="D941" s="8" t="s">
        <v>6021</v>
      </c>
      <c r="E941" s="8" t="s">
        <v>6015</v>
      </c>
      <c r="F941" s="8" t="s">
        <v>6016</v>
      </c>
      <c r="G941" s="6" t="s">
        <v>52</v>
      </c>
      <c r="H941" s="6" t="s">
        <v>53</v>
      </c>
      <c r="I941" s="8" t="s">
        <v>100</v>
      </c>
      <c r="J941" s="9">
        <v>1</v>
      </c>
      <c r="K941" s="9">
        <v>522</v>
      </c>
      <c r="L941" s="9">
        <v>2024</v>
      </c>
      <c r="M941" s="8" t="s">
        <v>6022</v>
      </c>
      <c r="N941" s="8" t="s">
        <v>79</v>
      </c>
      <c r="O941" s="8" t="s">
        <v>684</v>
      </c>
      <c r="P941" s="6" t="s">
        <v>167</v>
      </c>
      <c r="Q941" s="8" t="s">
        <v>102</v>
      </c>
      <c r="R941" s="10" t="s">
        <v>6023</v>
      </c>
      <c r="S941" s="11" t="s">
        <v>6024</v>
      </c>
      <c r="T941" s="6" t="s">
        <v>299</v>
      </c>
      <c r="U941" s="24" t="str">
        <f>HYPERLINK("https://media.infra-m.ru/2132/2132536/cover/2132536.jpg", "Обложка")</f>
        <v>Обложка</v>
      </c>
      <c r="V941" s="24" t="str">
        <f>HYPERLINK("https://znanium.ru/catalog/product/2132536", "Ознакомиться")</f>
        <v>Ознакомиться</v>
      </c>
      <c r="W941" s="8" t="s">
        <v>637</v>
      </c>
      <c r="X941" s="6"/>
      <c r="Y941" s="6"/>
      <c r="Z941" s="6" t="s">
        <v>104</v>
      </c>
      <c r="AA941" s="6" t="s">
        <v>151</v>
      </c>
      <c r="AB941" s="8"/>
    </row>
    <row r="942" spans="1:28" s="4" customFormat="1" ht="51.95" customHeight="1">
      <c r="A942" s="5">
        <v>0</v>
      </c>
      <c r="B942" s="6" t="s">
        <v>6025</v>
      </c>
      <c r="C942" s="13">
        <v>2199</v>
      </c>
      <c r="D942" s="8" t="s">
        <v>6026</v>
      </c>
      <c r="E942" s="8" t="s">
        <v>6027</v>
      </c>
      <c r="F942" s="8" t="s">
        <v>6028</v>
      </c>
      <c r="G942" s="6" t="s">
        <v>89</v>
      </c>
      <c r="H942" s="6" t="s">
        <v>39</v>
      </c>
      <c r="I942" s="8" t="s">
        <v>100</v>
      </c>
      <c r="J942" s="9">
        <v>1</v>
      </c>
      <c r="K942" s="9">
        <v>288</v>
      </c>
      <c r="L942" s="9">
        <v>2024</v>
      </c>
      <c r="M942" s="8" t="s">
        <v>6029</v>
      </c>
      <c r="N942" s="8" t="s">
        <v>56</v>
      </c>
      <c r="O942" s="8" t="s">
        <v>2183</v>
      </c>
      <c r="P942" s="6" t="s">
        <v>43</v>
      </c>
      <c r="Q942" s="8" t="s">
        <v>102</v>
      </c>
      <c r="R942" s="10" t="s">
        <v>6030</v>
      </c>
      <c r="S942" s="11" t="s">
        <v>3081</v>
      </c>
      <c r="T942" s="6"/>
      <c r="U942" s="24" t="str">
        <f>HYPERLINK("https://media.infra-m.ru/2086/2086796/cover/2086796.jpg", "Обложка")</f>
        <v>Обложка</v>
      </c>
      <c r="V942" s="24" t="str">
        <f>HYPERLINK("https://znanium.ru/catalog/product/2086796", "Ознакомиться")</f>
        <v>Ознакомиться</v>
      </c>
      <c r="W942" s="8" t="s">
        <v>71</v>
      </c>
      <c r="X942" s="6"/>
      <c r="Y942" s="6"/>
      <c r="Z942" s="6"/>
      <c r="AA942" s="6" t="s">
        <v>2001</v>
      </c>
      <c r="AB942" s="8"/>
    </row>
    <row r="943" spans="1:28" s="4" customFormat="1" ht="51.95" customHeight="1">
      <c r="A943" s="5">
        <v>0</v>
      </c>
      <c r="B943" s="6" t="s">
        <v>6031</v>
      </c>
      <c r="C943" s="7">
        <v>760</v>
      </c>
      <c r="D943" s="8" t="s">
        <v>6032</v>
      </c>
      <c r="E943" s="8" t="s">
        <v>6033</v>
      </c>
      <c r="F943" s="8" t="s">
        <v>6034</v>
      </c>
      <c r="G943" s="6" t="s">
        <v>52</v>
      </c>
      <c r="H943" s="6" t="s">
        <v>53</v>
      </c>
      <c r="I943" s="8" t="s">
        <v>116</v>
      </c>
      <c r="J943" s="9">
        <v>1</v>
      </c>
      <c r="K943" s="9">
        <v>153</v>
      </c>
      <c r="L943" s="9">
        <v>2024</v>
      </c>
      <c r="M943" s="8" t="s">
        <v>6035</v>
      </c>
      <c r="N943" s="8" t="s">
        <v>41</v>
      </c>
      <c r="O943" s="8" t="s">
        <v>118</v>
      </c>
      <c r="P943" s="6" t="s">
        <v>43</v>
      </c>
      <c r="Q943" s="8" t="s">
        <v>44</v>
      </c>
      <c r="R943" s="10" t="s">
        <v>6036</v>
      </c>
      <c r="S943" s="11"/>
      <c r="T943" s="6"/>
      <c r="U943" s="24" t="str">
        <f>HYPERLINK("https://media.infra-m.ru/1891/1891259/cover/1891259.jpg", "Обложка")</f>
        <v>Обложка</v>
      </c>
      <c r="V943" s="24" t="str">
        <f>HYPERLINK("https://znanium.ru/catalog/product/1891259", "Ознакомиться")</f>
        <v>Ознакомиться</v>
      </c>
      <c r="W943" s="8" t="s">
        <v>6037</v>
      </c>
      <c r="X943" s="6"/>
      <c r="Y943" s="6"/>
      <c r="Z943" s="6"/>
      <c r="AA943" s="6" t="s">
        <v>6038</v>
      </c>
      <c r="AB943" s="8"/>
    </row>
    <row r="944" spans="1:28" s="4" customFormat="1" ht="51.95" customHeight="1">
      <c r="A944" s="5">
        <v>0</v>
      </c>
      <c r="B944" s="6" t="s">
        <v>6039</v>
      </c>
      <c r="C944" s="7">
        <v>620</v>
      </c>
      <c r="D944" s="8" t="s">
        <v>6040</v>
      </c>
      <c r="E944" s="8" t="s">
        <v>6041</v>
      </c>
      <c r="F944" s="8" t="s">
        <v>6042</v>
      </c>
      <c r="G944" s="6" t="s">
        <v>38</v>
      </c>
      <c r="H944" s="6" t="s">
        <v>53</v>
      </c>
      <c r="I944" s="8" t="s">
        <v>90</v>
      </c>
      <c r="J944" s="9">
        <v>1</v>
      </c>
      <c r="K944" s="9">
        <v>136</v>
      </c>
      <c r="L944" s="9">
        <v>2022</v>
      </c>
      <c r="M944" s="8" t="s">
        <v>6043</v>
      </c>
      <c r="N944" s="8" t="s">
        <v>41</v>
      </c>
      <c r="O944" s="8" t="s">
        <v>118</v>
      </c>
      <c r="P944" s="6" t="s">
        <v>937</v>
      </c>
      <c r="Q944" s="8" t="s">
        <v>44</v>
      </c>
      <c r="R944" s="10" t="s">
        <v>6036</v>
      </c>
      <c r="S944" s="11" t="s">
        <v>6044</v>
      </c>
      <c r="T944" s="6"/>
      <c r="U944" s="24" t="str">
        <f>HYPERLINK("https://media.infra-m.ru/1710/1710999/cover/1710999.jpg", "Обложка")</f>
        <v>Обложка</v>
      </c>
      <c r="V944" s="24" t="str">
        <f>HYPERLINK("https://znanium.ru/catalog/product/1891259", "Ознакомиться")</f>
        <v>Ознакомиться</v>
      </c>
      <c r="W944" s="8" t="s">
        <v>6037</v>
      </c>
      <c r="X944" s="6"/>
      <c r="Y944" s="6"/>
      <c r="Z944" s="6"/>
      <c r="AA944" s="6" t="s">
        <v>6045</v>
      </c>
      <c r="AB944" s="8"/>
    </row>
    <row r="945" spans="1:28" s="4" customFormat="1" ht="51.95" customHeight="1">
      <c r="A945" s="5">
        <v>0</v>
      </c>
      <c r="B945" s="6" t="s">
        <v>6046</v>
      </c>
      <c r="C945" s="7">
        <v>620</v>
      </c>
      <c r="D945" s="8" t="s">
        <v>6047</v>
      </c>
      <c r="E945" s="8" t="s">
        <v>6041</v>
      </c>
      <c r="F945" s="8" t="s">
        <v>6042</v>
      </c>
      <c r="G945" s="6" t="s">
        <v>38</v>
      </c>
      <c r="H945" s="6" t="s">
        <v>53</v>
      </c>
      <c r="I945" s="8" t="s">
        <v>100</v>
      </c>
      <c r="J945" s="9">
        <v>1</v>
      </c>
      <c r="K945" s="9">
        <v>136</v>
      </c>
      <c r="L945" s="9">
        <v>2023</v>
      </c>
      <c r="M945" s="8" t="s">
        <v>6048</v>
      </c>
      <c r="N945" s="8" t="s">
        <v>41</v>
      </c>
      <c r="O945" s="8" t="s">
        <v>118</v>
      </c>
      <c r="P945" s="6" t="s">
        <v>937</v>
      </c>
      <c r="Q945" s="8" t="s">
        <v>102</v>
      </c>
      <c r="R945" s="10" t="s">
        <v>6049</v>
      </c>
      <c r="S945" s="11" t="s">
        <v>6050</v>
      </c>
      <c r="T945" s="6"/>
      <c r="U945" s="24" t="str">
        <f>HYPERLINK("https://media.infra-m.ru/2008/2008751/cover/2008751.jpg", "Обложка")</f>
        <v>Обложка</v>
      </c>
      <c r="V945" s="24" t="str">
        <f>HYPERLINK("https://znanium.ru/catalog/product/2151405", "Ознакомиться")</f>
        <v>Ознакомиться</v>
      </c>
      <c r="W945" s="8" t="s">
        <v>6037</v>
      </c>
      <c r="X945" s="6"/>
      <c r="Y945" s="6"/>
      <c r="Z945" s="6" t="s">
        <v>104</v>
      </c>
      <c r="AA945" s="6" t="s">
        <v>707</v>
      </c>
      <c r="AB945" s="8"/>
    </row>
    <row r="946" spans="1:28" s="4" customFormat="1" ht="51.95" customHeight="1">
      <c r="A946" s="5">
        <v>0</v>
      </c>
      <c r="B946" s="6" t="s">
        <v>6051</v>
      </c>
      <c r="C946" s="7">
        <v>790</v>
      </c>
      <c r="D946" s="8" t="s">
        <v>6052</v>
      </c>
      <c r="E946" s="8" t="s">
        <v>6033</v>
      </c>
      <c r="F946" s="8" t="s">
        <v>6034</v>
      </c>
      <c r="G946" s="6" t="s">
        <v>52</v>
      </c>
      <c r="H946" s="6" t="s">
        <v>53</v>
      </c>
      <c r="I946" s="8" t="s">
        <v>100</v>
      </c>
      <c r="J946" s="9">
        <v>1</v>
      </c>
      <c r="K946" s="9">
        <v>153</v>
      </c>
      <c r="L946" s="9">
        <v>2024</v>
      </c>
      <c r="M946" s="8" t="s">
        <v>6053</v>
      </c>
      <c r="N946" s="8" t="s">
        <v>41</v>
      </c>
      <c r="O946" s="8" t="s">
        <v>118</v>
      </c>
      <c r="P946" s="6" t="s">
        <v>937</v>
      </c>
      <c r="Q946" s="8" t="s">
        <v>102</v>
      </c>
      <c r="R946" s="10" t="s">
        <v>6049</v>
      </c>
      <c r="S946" s="11" t="s">
        <v>6050</v>
      </c>
      <c r="T946" s="6"/>
      <c r="U946" s="24" t="str">
        <f>HYPERLINK("https://media.infra-m.ru/2151/2151405/cover/2151405.jpg", "Обложка")</f>
        <v>Обложка</v>
      </c>
      <c r="V946" s="24" t="str">
        <f>HYPERLINK("https://znanium.ru/catalog/product/2151405", "Ознакомиться")</f>
        <v>Ознакомиться</v>
      </c>
      <c r="W946" s="8" t="s">
        <v>6037</v>
      </c>
      <c r="X946" s="6" t="s">
        <v>179</v>
      </c>
      <c r="Y946" s="6"/>
      <c r="Z946" s="6" t="s">
        <v>104</v>
      </c>
      <c r="AA946" s="6" t="s">
        <v>6038</v>
      </c>
      <c r="AB946" s="8"/>
    </row>
    <row r="947" spans="1:28" s="4" customFormat="1" ht="51.95" customHeight="1">
      <c r="A947" s="5">
        <v>0</v>
      </c>
      <c r="B947" s="6" t="s">
        <v>6054</v>
      </c>
      <c r="C947" s="13">
        <v>1650</v>
      </c>
      <c r="D947" s="8" t="s">
        <v>6055</v>
      </c>
      <c r="E947" s="8" t="s">
        <v>6056</v>
      </c>
      <c r="F947" s="8" t="s">
        <v>6057</v>
      </c>
      <c r="G947" s="6" t="s">
        <v>89</v>
      </c>
      <c r="H947" s="6" t="s">
        <v>53</v>
      </c>
      <c r="I947" s="8" t="s">
        <v>116</v>
      </c>
      <c r="J947" s="9">
        <v>1</v>
      </c>
      <c r="K947" s="9">
        <v>323</v>
      </c>
      <c r="L947" s="9">
        <v>2025</v>
      </c>
      <c r="M947" s="8" t="s">
        <v>6058</v>
      </c>
      <c r="N947" s="8" t="s">
        <v>41</v>
      </c>
      <c r="O947" s="8" t="s">
        <v>118</v>
      </c>
      <c r="P947" s="6" t="s">
        <v>167</v>
      </c>
      <c r="Q947" s="8" t="s">
        <v>58</v>
      </c>
      <c r="R947" s="10" t="s">
        <v>6059</v>
      </c>
      <c r="S947" s="11" t="s">
        <v>6060</v>
      </c>
      <c r="T947" s="6"/>
      <c r="U947" s="24" t="str">
        <f>HYPERLINK("https://media.infra-m.ru/2170/2170876/cover/2170876.jpg", "Обложка")</f>
        <v>Обложка</v>
      </c>
      <c r="V947" s="24" t="str">
        <f>HYPERLINK("https://znanium.ru/catalog/product/2170876", "Ознакомиться")</f>
        <v>Ознакомиться</v>
      </c>
      <c r="W947" s="8" t="s">
        <v>1245</v>
      </c>
      <c r="X947" s="6"/>
      <c r="Y947" s="6"/>
      <c r="Z947" s="6"/>
      <c r="AA947" s="6" t="s">
        <v>235</v>
      </c>
      <c r="AB947" s="8"/>
    </row>
    <row r="948" spans="1:28" s="4" customFormat="1" ht="51.95" customHeight="1">
      <c r="A948" s="5">
        <v>0</v>
      </c>
      <c r="B948" s="6" t="s">
        <v>6061</v>
      </c>
      <c r="C948" s="13">
        <v>1510</v>
      </c>
      <c r="D948" s="8" t="s">
        <v>6062</v>
      </c>
      <c r="E948" s="8" t="s">
        <v>6056</v>
      </c>
      <c r="F948" s="8" t="s">
        <v>6057</v>
      </c>
      <c r="G948" s="6" t="s">
        <v>89</v>
      </c>
      <c r="H948" s="6" t="s">
        <v>53</v>
      </c>
      <c r="I948" s="8" t="s">
        <v>90</v>
      </c>
      <c r="J948" s="9">
        <v>1</v>
      </c>
      <c r="K948" s="9">
        <v>320</v>
      </c>
      <c r="L948" s="9">
        <v>2023</v>
      </c>
      <c r="M948" s="8" t="s">
        <v>6063</v>
      </c>
      <c r="N948" s="8" t="s">
        <v>41</v>
      </c>
      <c r="O948" s="8" t="s">
        <v>278</v>
      </c>
      <c r="P948" s="6" t="s">
        <v>187</v>
      </c>
      <c r="Q948" s="8" t="s">
        <v>44</v>
      </c>
      <c r="R948" s="10" t="s">
        <v>6064</v>
      </c>
      <c r="S948" s="11" t="s">
        <v>6065</v>
      </c>
      <c r="T948" s="6"/>
      <c r="U948" s="24" t="str">
        <f>HYPERLINK("https://media.infra-m.ru/2111/2111782/cover/2111782.jpg", "Обложка")</f>
        <v>Обложка</v>
      </c>
      <c r="V948" s="24" t="str">
        <f>HYPERLINK("https://znanium.ru/catalog/product/1859082", "Ознакомиться")</f>
        <v>Ознакомиться</v>
      </c>
      <c r="W948" s="8" t="s">
        <v>1245</v>
      </c>
      <c r="X948" s="6"/>
      <c r="Y948" s="6"/>
      <c r="Z948" s="6"/>
      <c r="AA948" s="6" t="s">
        <v>207</v>
      </c>
      <c r="AB948" s="8"/>
    </row>
    <row r="949" spans="1:28" s="4" customFormat="1" ht="51.95" customHeight="1">
      <c r="A949" s="5">
        <v>0</v>
      </c>
      <c r="B949" s="6" t="s">
        <v>6066</v>
      </c>
      <c r="C949" s="7">
        <v>760</v>
      </c>
      <c r="D949" s="8" t="s">
        <v>6067</v>
      </c>
      <c r="E949" s="8" t="s">
        <v>6068</v>
      </c>
      <c r="F949" s="8" t="s">
        <v>1898</v>
      </c>
      <c r="G949" s="6" t="s">
        <v>89</v>
      </c>
      <c r="H949" s="6" t="s">
        <v>53</v>
      </c>
      <c r="I949" s="8" t="s">
        <v>116</v>
      </c>
      <c r="J949" s="9">
        <v>1</v>
      </c>
      <c r="K949" s="9">
        <v>160</v>
      </c>
      <c r="L949" s="9">
        <v>2024</v>
      </c>
      <c r="M949" s="8" t="s">
        <v>6069</v>
      </c>
      <c r="N949" s="8" t="s">
        <v>56</v>
      </c>
      <c r="O949" s="8" t="s">
        <v>57</v>
      </c>
      <c r="P949" s="6" t="s">
        <v>167</v>
      </c>
      <c r="Q949" s="8" t="s">
        <v>44</v>
      </c>
      <c r="R949" s="10" t="s">
        <v>157</v>
      </c>
      <c r="S949" s="11" t="s">
        <v>1372</v>
      </c>
      <c r="T949" s="6"/>
      <c r="U949" s="24" t="str">
        <f>HYPERLINK("https://media.infra-m.ru/2086/2086860/cover/2086860.jpg", "Обложка")</f>
        <v>Обложка</v>
      </c>
      <c r="V949" s="24" t="str">
        <f>HYPERLINK("https://znanium.ru/catalog/product/2086860", "Ознакомиться")</f>
        <v>Ознакомиться</v>
      </c>
      <c r="W949" s="8" t="s">
        <v>1703</v>
      </c>
      <c r="X949" s="6"/>
      <c r="Y949" s="6"/>
      <c r="Z949" s="6"/>
      <c r="AA949" s="6" t="s">
        <v>84</v>
      </c>
      <c r="AB949" s="8"/>
    </row>
    <row r="950" spans="1:28" s="4" customFormat="1" ht="44.1" customHeight="1">
      <c r="A950" s="5">
        <v>0</v>
      </c>
      <c r="B950" s="6" t="s">
        <v>6070</v>
      </c>
      <c r="C950" s="7">
        <v>830</v>
      </c>
      <c r="D950" s="8" t="s">
        <v>6071</v>
      </c>
      <c r="E950" s="8" t="s">
        <v>6072</v>
      </c>
      <c r="F950" s="8" t="s">
        <v>6073</v>
      </c>
      <c r="G950" s="6" t="s">
        <v>38</v>
      </c>
      <c r="H950" s="6" t="s">
        <v>53</v>
      </c>
      <c r="I950" s="8" t="s">
        <v>116</v>
      </c>
      <c r="J950" s="9">
        <v>1</v>
      </c>
      <c r="K950" s="9">
        <v>165</v>
      </c>
      <c r="L950" s="9">
        <v>2025</v>
      </c>
      <c r="M950" s="8" t="s">
        <v>6074</v>
      </c>
      <c r="N950" s="8" t="s">
        <v>56</v>
      </c>
      <c r="O950" s="8" t="s">
        <v>57</v>
      </c>
      <c r="P950" s="6" t="s">
        <v>43</v>
      </c>
      <c r="Q950" s="8" t="s">
        <v>44</v>
      </c>
      <c r="R950" s="10" t="s">
        <v>6075</v>
      </c>
      <c r="S950" s="11"/>
      <c r="T950" s="6" t="s">
        <v>299</v>
      </c>
      <c r="U950" s="24" t="str">
        <f>HYPERLINK("https://media.infra-m.ru/2161/2161853/cover/2161853.jpg", "Обложка")</f>
        <v>Обложка</v>
      </c>
      <c r="V950" s="24" t="str">
        <f>HYPERLINK("https://znanium.ru/catalog/product/2017312", "Ознакомиться")</f>
        <v>Ознакомиться</v>
      </c>
      <c r="W950" s="8" t="s">
        <v>6076</v>
      </c>
      <c r="X950" s="6"/>
      <c r="Y950" s="6"/>
      <c r="Z950" s="6"/>
      <c r="AA950" s="6" t="s">
        <v>111</v>
      </c>
      <c r="AB950" s="8"/>
    </row>
    <row r="951" spans="1:28" s="4" customFormat="1" ht="51.95" customHeight="1">
      <c r="A951" s="5">
        <v>0</v>
      </c>
      <c r="B951" s="6" t="s">
        <v>6077</v>
      </c>
      <c r="C951" s="13">
        <v>1057</v>
      </c>
      <c r="D951" s="8" t="s">
        <v>6078</v>
      </c>
      <c r="E951" s="8" t="s">
        <v>6079</v>
      </c>
      <c r="F951" s="8" t="s">
        <v>6080</v>
      </c>
      <c r="G951" s="6" t="s">
        <v>52</v>
      </c>
      <c r="H951" s="6" t="s">
        <v>39</v>
      </c>
      <c r="I951" s="8"/>
      <c r="J951" s="9">
        <v>1</v>
      </c>
      <c r="K951" s="9">
        <v>176</v>
      </c>
      <c r="L951" s="9">
        <v>2024</v>
      </c>
      <c r="M951" s="8" t="s">
        <v>6081</v>
      </c>
      <c r="N951" s="8" t="s">
        <v>56</v>
      </c>
      <c r="O951" s="8" t="s">
        <v>57</v>
      </c>
      <c r="P951" s="6" t="s">
        <v>43</v>
      </c>
      <c r="Q951" s="8" t="s">
        <v>58</v>
      </c>
      <c r="R951" s="10" t="s">
        <v>6082</v>
      </c>
      <c r="S951" s="11" t="s">
        <v>6083</v>
      </c>
      <c r="T951" s="6"/>
      <c r="U951" s="24" t="str">
        <f>HYPERLINK("https://media.infra-m.ru/2058/2058773/cover/2058773.jpg", "Обложка")</f>
        <v>Обложка</v>
      </c>
      <c r="V951" s="12"/>
      <c r="W951" s="8" t="s">
        <v>159</v>
      </c>
      <c r="X951" s="6"/>
      <c r="Y951" s="6"/>
      <c r="Z951" s="6"/>
      <c r="AA951" s="6" t="s">
        <v>2217</v>
      </c>
      <c r="AB951" s="8"/>
    </row>
    <row r="952" spans="1:28" s="4" customFormat="1" ht="42" customHeight="1">
      <c r="A952" s="5">
        <v>0</v>
      </c>
      <c r="B952" s="6" t="s">
        <v>6084</v>
      </c>
      <c r="C952" s="13">
        <v>1780</v>
      </c>
      <c r="D952" s="8" t="s">
        <v>6085</v>
      </c>
      <c r="E952" s="8" t="s">
        <v>6086</v>
      </c>
      <c r="F952" s="8" t="s">
        <v>6087</v>
      </c>
      <c r="G952" s="6" t="s">
        <v>89</v>
      </c>
      <c r="H952" s="6" t="s">
        <v>53</v>
      </c>
      <c r="I952" s="8" t="s">
        <v>6088</v>
      </c>
      <c r="J952" s="9">
        <v>1</v>
      </c>
      <c r="K952" s="9">
        <v>348</v>
      </c>
      <c r="L952" s="9">
        <v>2025</v>
      </c>
      <c r="M952" s="8" t="s">
        <v>6089</v>
      </c>
      <c r="N952" s="8" t="s">
        <v>41</v>
      </c>
      <c r="O952" s="8" t="s">
        <v>1007</v>
      </c>
      <c r="P952" s="6" t="s">
        <v>6090</v>
      </c>
      <c r="Q952" s="8" t="s">
        <v>58</v>
      </c>
      <c r="R952" s="10" t="s">
        <v>6091</v>
      </c>
      <c r="S952" s="11"/>
      <c r="T952" s="6"/>
      <c r="U952" s="24" t="str">
        <f>HYPERLINK("https://media.infra-m.ru/2183/2183784/cover/2183784.jpg", "Обложка")</f>
        <v>Обложка</v>
      </c>
      <c r="V952" s="24" t="str">
        <f>HYPERLINK("https://znanium.ru/catalog/product/2183784", "Ознакомиться")</f>
        <v>Ознакомиться</v>
      </c>
      <c r="W952" s="8" t="s">
        <v>4343</v>
      </c>
      <c r="X952" s="6"/>
      <c r="Y952" s="6"/>
      <c r="Z952" s="6"/>
      <c r="AA952" s="6" t="s">
        <v>61</v>
      </c>
      <c r="AB952" s="8"/>
    </row>
    <row r="953" spans="1:28" s="4" customFormat="1" ht="51.95" customHeight="1">
      <c r="A953" s="5">
        <v>0</v>
      </c>
      <c r="B953" s="6" t="s">
        <v>6092</v>
      </c>
      <c r="C953" s="13">
        <v>1604</v>
      </c>
      <c r="D953" s="8" t="s">
        <v>6093</v>
      </c>
      <c r="E953" s="8" t="s">
        <v>6086</v>
      </c>
      <c r="F953" s="8" t="s">
        <v>6094</v>
      </c>
      <c r="G953" s="6" t="s">
        <v>89</v>
      </c>
      <c r="H953" s="6" t="s">
        <v>53</v>
      </c>
      <c r="I953" s="8" t="s">
        <v>116</v>
      </c>
      <c r="J953" s="9">
        <v>1</v>
      </c>
      <c r="K953" s="9">
        <v>348</v>
      </c>
      <c r="L953" s="9">
        <v>2024</v>
      </c>
      <c r="M953" s="8" t="s">
        <v>6095</v>
      </c>
      <c r="N953" s="8" t="s">
        <v>41</v>
      </c>
      <c r="O953" s="8" t="s">
        <v>1007</v>
      </c>
      <c r="P953" s="6" t="s">
        <v>43</v>
      </c>
      <c r="Q953" s="8" t="s">
        <v>58</v>
      </c>
      <c r="R953" s="10" t="s">
        <v>6096</v>
      </c>
      <c r="S953" s="11" t="s">
        <v>6097</v>
      </c>
      <c r="T953" s="6"/>
      <c r="U953" s="24" t="str">
        <f>HYPERLINK("https://media.infra-m.ru/2127/2127764/cover/2127764.jpg", "Обложка")</f>
        <v>Обложка</v>
      </c>
      <c r="V953" s="24" t="str">
        <f>HYPERLINK("https://znanium.ru/catalog/product/2008759", "Ознакомиться")</f>
        <v>Ознакомиться</v>
      </c>
      <c r="W953" s="8" t="s">
        <v>4343</v>
      </c>
      <c r="X953" s="6"/>
      <c r="Y953" s="6"/>
      <c r="Z953" s="6"/>
      <c r="AA953" s="6" t="s">
        <v>72</v>
      </c>
      <c r="AB953" s="8"/>
    </row>
    <row r="954" spans="1:28" s="4" customFormat="1" ht="51.95" customHeight="1">
      <c r="A954" s="5">
        <v>0</v>
      </c>
      <c r="B954" s="6" t="s">
        <v>6098</v>
      </c>
      <c r="C954" s="7">
        <v>910</v>
      </c>
      <c r="D954" s="8" t="s">
        <v>6099</v>
      </c>
      <c r="E954" s="8" t="s">
        <v>6100</v>
      </c>
      <c r="F954" s="8" t="s">
        <v>6101</v>
      </c>
      <c r="G954" s="6" t="s">
        <v>89</v>
      </c>
      <c r="H954" s="6" t="s">
        <v>77</v>
      </c>
      <c r="I954" s="8"/>
      <c r="J954" s="9">
        <v>1</v>
      </c>
      <c r="K954" s="9">
        <v>254</v>
      </c>
      <c r="L954" s="9">
        <v>2021</v>
      </c>
      <c r="M954" s="8" t="s">
        <v>6102</v>
      </c>
      <c r="N954" s="8" t="s">
        <v>41</v>
      </c>
      <c r="O954" s="8" t="s">
        <v>1007</v>
      </c>
      <c r="P954" s="6" t="s">
        <v>43</v>
      </c>
      <c r="Q954" s="8" t="s">
        <v>44</v>
      </c>
      <c r="R954" s="10" t="s">
        <v>6103</v>
      </c>
      <c r="S954" s="11" t="s">
        <v>6104</v>
      </c>
      <c r="T954" s="6" t="s">
        <v>299</v>
      </c>
      <c r="U954" s="24" t="str">
        <f>HYPERLINK("https://media.infra-m.ru/1235/1235907/cover/1235907.jpg", "Обложка")</f>
        <v>Обложка</v>
      </c>
      <c r="V954" s="24" t="str">
        <f>HYPERLINK("https://znanium.ru/catalog/product/2140130", "Ознакомиться")</f>
        <v>Ознакомиться</v>
      </c>
      <c r="W954" s="8" t="s">
        <v>354</v>
      </c>
      <c r="X954" s="6"/>
      <c r="Y954" s="6"/>
      <c r="Z954" s="6"/>
      <c r="AA954" s="6" t="s">
        <v>72</v>
      </c>
      <c r="AB954" s="8"/>
    </row>
    <row r="955" spans="1:28" s="4" customFormat="1" ht="51.95" customHeight="1">
      <c r="A955" s="5">
        <v>0</v>
      </c>
      <c r="B955" s="6" t="s">
        <v>6105</v>
      </c>
      <c r="C955" s="13">
        <v>1550</v>
      </c>
      <c r="D955" s="8" t="s">
        <v>6106</v>
      </c>
      <c r="E955" s="8" t="s">
        <v>6107</v>
      </c>
      <c r="F955" s="8" t="s">
        <v>6108</v>
      </c>
      <c r="G955" s="6" t="s">
        <v>52</v>
      </c>
      <c r="H955" s="6" t="s">
        <v>53</v>
      </c>
      <c r="I955" s="8" t="s">
        <v>116</v>
      </c>
      <c r="J955" s="9">
        <v>1</v>
      </c>
      <c r="K955" s="9">
        <v>288</v>
      </c>
      <c r="L955" s="9">
        <v>2025</v>
      </c>
      <c r="M955" s="8" t="s">
        <v>6109</v>
      </c>
      <c r="N955" s="8" t="s">
        <v>41</v>
      </c>
      <c r="O955" s="8" t="s">
        <v>278</v>
      </c>
      <c r="P955" s="6" t="s">
        <v>43</v>
      </c>
      <c r="Q955" s="8" t="s">
        <v>44</v>
      </c>
      <c r="R955" s="10" t="s">
        <v>6103</v>
      </c>
      <c r="S955" s="11"/>
      <c r="T955" s="6" t="s">
        <v>299</v>
      </c>
      <c r="U955" s="24" t="str">
        <f>HYPERLINK("https://media.infra-m.ru/2140/2140130/cover/2140130.jpg", "Обложка")</f>
        <v>Обложка</v>
      </c>
      <c r="V955" s="24" t="str">
        <f>HYPERLINK("https://znanium.ru/catalog/product/2140130", "Ознакомиться")</f>
        <v>Ознакомиться</v>
      </c>
      <c r="W955" s="8" t="s">
        <v>354</v>
      </c>
      <c r="X955" s="6" t="s">
        <v>226</v>
      </c>
      <c r="Y955" s="6"/>
      <c r="Z955" s="6"/>
      <c r="AA955" s="6" t="s">
        <v>549</v>
      </c>
      <c r="AB955" s="8"/>
    </row>
    <row r="956" spans="1:28" s="4" customFormat="1" ht="51.95" customHeight="1">
      <c r="A956" s="5">
        <v>0</v>
      </c>
      <c r="B956" s="6" t="s">
        <v>6110</v>
      </c>
      <c r="C956" s="7">
        <v>750</v>
      </c>
      <c r="D956" s="8" t="s">
        <v>6111</v>
      </c>
      <c r="E956" s="8" t="s">
        <v>6112</v>
      </c>
      <c r="F956" s="8" t="s">
        <v>6113</v>
      </c>
      <c r="G956" s="6" t="s">
        <v>89</v>
      </c>
      <c r="H956" s="6" t="s">
        <v>53</v>
      </c>
      <c r="I956" s="8" t="s">
        <v>90</v>
      </c>
      <c r="J956" s="9">
        <v>1</v>
      </c>
      <c r="K956" s="9">
        <v>189</v>
      </c>
      <c r="L956" s="9">
        <v>2022</v>
      </c>
      <c r="M956" s="8" t="s">
        <v>6114</v>
      </c>
      <c r="N956" s="8" t="s">
        <v>56</v>
      </c>
      <c r="O956" s="8" t="s">
        <v>741</v>
      </c>
      <c r="P956" s="6" t="s">
        <v>175</v>
      </c>
      <c r="Q956" s="8" t="s">
        <v>44</v>
      </c>
      <c r="R956" s="10" t="s">
        <v>6115</v>
      </c>
      <c r="S956" s="11" t="s">
        <v>6116</v>
      </c>
      <c r="T956" s="6"/>
      <c r="U956" s="24" t="str">
        <f>HYPERLINK("https://media.infra-m.ru/1860/1860859/cover/1860859.jpg", "Обложка")</f>
        <v>Обложка</v>
      </c>
      <c r="V956" s="24" t="str">
        <f>HYPERLINK("https://znanium.ru/catalog/product/1860859", "Ознакомиться")</f>
        <v>Ознакомиться</v>
      </c>
      <c r="W956" s="8" t="s">
        <v>6117</v>
      </c>
      <c r="X956" s="6"/>
      <c r="Y956" s="6"/>
      <c r="Z956" s="6"/>
      <c r="AA956" s="6" t="s">
        <v>196</v>
      </c>
      <c r="AB956" s="8"/>
    </row>
    <row r="957" spans="1:28" s="4" customFormat="1" ht="51.95" customHeight="1">
      <c r="A957" s="5">
        <v>0</v>
      </c>
      <c r="B957" s="6" t="s">
        <v>6118</v>
      </c>
      <c r="C957" s="7">
        <v>399.9</v>
      </c>
      <c r="D957" s="8" t="s">
        <v>6119</v>
      </c>
      <c r="E957" s="8" t="s">
        <v>6120</v>
      </c>
      <c r="F957" s="8" t="s">
        <v>6121</v>
      </c>
      <c r="G957" s="6" t="s">
        <v>38</v>
      </c>
      <c r="H957" s="6" t="s">
        <v>184</v>
      </c>
      <c r="I957" s="8" t="s">
        <v>276</v>
      </c>
      <c r="J957" s="9">
        <v>1</v>
      </c>
      <c r="K957" s="9">
        <v>146</v>
      </c>
      <c r="L957" s="9">
        <v>2017</v>
      </c>
      <c r="M957" s="8" t="s">
        <v>6122</v>
      </c>
      <c r="N957" s="8" t="s">
        <v>41</v>
      </c>
      <c r="O957" s="8" t="s">
        <v>118</v>
      </c>
      <c r="P957" s="6" t="s">
        <v>43</v>
      </c>
      <c r="Q957" s="8" t="s">
        <v>279</v>
      </c>
      <c r="R957" s="10" t="s">
        <v>6123</v>
      </c>
      <c r="S957" s="11"/>
      <c r="T957" s="6"/>
      <c r="U957" s="24" t="str">
        <f>HYPERLINK("https://media.infra-m.ru/0672/0672802/cover/672802.jpg", "Обложка")</f>
        <v>Обложка</v>
      </c>
      <c r="V957" s="24" t="str">
        <f>HYPERLINK("https://znanium.ru/catalog/product/2133532", "Ознакомиться")</f>
        <v>Ознакомиться</v>
      </c>
      <c r="W957" s="8" t="s">
        <v>6124</v>
      </c>
      <c r="X957" s="6"/>
      <c r="Y957" s="6"/>
      <c r="Z957" s="6"/>
      <c r="AA957" s="6" t="s">
        <v>442</v>
      </c>
      <c r="AB957" s="8"/>
    </row>
    <row r="958" spans="1:28" s="4" customFormat="1" ht="51.95" customHeight="1">
      <c r="A958" s="5">
        <v>0</v>
      </c>
      <c r="B958" s="6" t="s">
        <v>6125</v>
      </c>
      <c r="C958" s="7">
        <v>810</v>
      </c>
      <c r="D958" s="8" t="s">
        <v>6126</v>
      </c>
      <c r="E958" s="8" t="s">
        <v>6127</v>
      </c>
      <c r="F958" s="8" t="s">
        <v>6121</v>
      </c>
      <c r="G958" s="6" t="s">
        <v>38</v>
      </c>
      <c r="H958" s="6" t="s">
        <v>184</v>
      </c>
      <c r="I958" s="8" t="s">
        <v>116</v>
      </c>
      <c r="J958" s="9">
        <v>1</v>
      </c>
      <c r="K958" s="9">
        <v>162</v>
      </c>
      <c r="L958" s="9">
        <v>2022</v>
      </c>
      <c r="M958" s="8" t="s">
        <v>6128</v>
      </c>
      <c r="N958" s="8" t="s">
        <v>41</v>
      </c>
      <c r="O958" s="8" t="s">
        <v>118</v>
      </c>
      <c r="P958" s="6" t="s">
        <v>43</v>
      </c>
      <c r="Q958" s="8" t="s">
        <v>279</v>
      </c>
      <c r="R958" s="10" t="s">
        <v>6123</v>
      </c>
      <c r="S958" s="11"/>
      <c r="T958" s="6"/>
      <c r="U958" s="24" t="str">
        <f>HYPERLINK("https://media.infra-m.ru/2163/2163069/cover/2163069.jpg", "Обложка")</f>
        <v>Обложка</v>
      </c>
      <c r="V958" s="24" t="str">
        <f>HYPERLINK("https://znanium.ru/catalog/product/2133532", "Ознакомиться")</f>
        <v>Ознакомиться</v>
      </c>
      <c r="W958" s="8" t="s">
        <v>6124</v>
      </c>
      <c r="X958" s="6"/>
      <c r="Y958" s="6"/>
      <c r="Z958" s="6"/>
      <c r="AA958" s="6" t="s">
        <v>513</v>
      </c>
      <c r="AB958" s="8"/>
    </row>
    <row r="959" spans="1:28" s="4" customFormat="1" ht="51.95" customHeight="1">
      <c r="A959" s="5">
        <v>0</v>
      </c>
      <c r="B959" s="6" t="s">
        <v>6129</v>
      </c>
      <c r="C959" s="7">
        <v>750</v>
      </c>
      <c r="D959" s="8" t="s">
        <v>6130</v>
      </c>
      <c r="E959" s="8" t="s">
        <v>6131</v>
      </c>
      <c r="F959" s="8" t="s">
        <v>6132</v>
      </c>
      <c r="G959" s="6" t="s">
        <v>89</v>
      </c>
      <c r="H959" s="6" t="s">
        <v>77</v>
      </c>
      <c r="I959" s="8" t="s">
        <v>116</v>
      </c>
      <c r="J959" s="9">
        <v>1</v>
      </c>
      <c r="K959" s="9">
        <v>160</v>
      </c>
      <c r="L959" s="9">
        <v>2024</v>
      </c>
      <c r="M959" s="8" t="s">
        <v>6133</v>
      </c>
      <c r="N959" s="8" t="s">
        <v>41</v>
      </c>
      <c r="O959" s="8" t="s">
        <v>118</v>
      </c>
      <c r="P959" s="6" t="s">
        <v>43</v>
      </c>
      <c r="Q959" s="8" t="s">
        <v>44</v>
      </c>
      <c r="R959" s="10" t="s">
        <v>6134</v>
      </c>
      <c r="S959" s="11" t="s">
        <v>6135</v>
      </c>
      <c r="T959" s="6"/>
      <c r="U959" s="24" t="str">
        <f>HYPERLINK("https://media.infra-m.ru/1899/1899859/cover/1899859.jpg", "Обложка")</f>
        <v>Обложка</v>
      </c>
      <c r="V959" s="24" t="str">
        <f>HYPERLINK("https://znanium.ru/catalog/product/1899859", "Ознакомиться")</f>
        <v>Ознакомиться</v>
      </c>
      <c r="W959" s="8" t="s">
        <v>2422</v>
      </c>
      <c r="X959" s="6"/>
      <c r="Y959" s="6"/>
      <c r="Z959" s="6"/>
      <c r="AA959" s="6" t="s">
        <v>84</v>
      </c>
      <c r="AB959" s="8"/>
    </row>
    <row r="960" spans="1:28" s="4" customFormat="1" ht="51.95" customHeight="1">
      <c r="A960" s="5">
        <v>0</v>
      </c>
      <c r="B960" s="6" t="s">
        <v>6136</v>
      </c>
      <c r="C960" s="7">
        <v>874</v>
      </c>
      <c r="D960" s="8" t="s">
        <v>6137</v>
      </c>
      <c r="E960" s="8" t="s">
        <v>6131</v>
      </c>
      <c r="F960" s="8" t="s">
        <v>6138</v>
      </c>
      <c r="G960" s="6" t="s">
        <v>52</v>
      </c>
      <c r="H960" s="6" t="s">
        <v>53</v>
      </c>
      <c r="I960" s="8" t="s">
        <v>90</v>
      </c>
      <c r="J960" s="9">
        <v>1</v>
      </c>
      <c r="K960" s="9">
        <v>190</v>
      </c>
      <c r="L960" s="9">
        <v>2024</v>
      </c>
      <c r="M960" s="8" t="s">
        <v>6139</v>
      </c>
      <c r="N960" s="8" t="s">
        <v>41</v>
      </c>
      <c r="O960" s="8" t="s">
        <v>118</v>
      </c>
      <c r="P960" s="6" t="s">
        <v>43</v>
      </c>
      <c r="Q960" s="8" t="s">
        <v>44</v>
      </c>
      <c r="R960" s="10" t="s">
        <v>6140</v>
      </c>
      <c r="S960" s="11" t="s">
        <v>6141</v>
      </c>
      <c r="T960" s="6"/>
      <c r="U960" s="24" t="str">
        <f>HYPERLINK("https://media.infra-m.ru/2107/2107380/cover/2107380.jpg", "Обложка")</f>
        <v>Обложка</v>
      </c>
      <c r="V960" s="24" t="str">
        <f>HYPERLINK("https://znanium.ru/catalog/product/2107380", "Ознакомиться")</f>
        <v>Ознакомиться</v>
      </c>
      <c r="W960" s="8" t="s">
        <v>1293</v>
      </c>
      <c r="X960" s="6"/>
      <c r="Y960" s="6"/>
      <c r="Z960" s="6"/>
      <c r="AA960" s="6" t="s">
        <v>622</v>
      </c>
      <c r="AB960" s="8"/>
    </row>
    <row r="961" spans="1:28" s="4" customFormat="1" ht="51.95" customHeight="1">
      <c r="A961" s="5">
        <v>0</v>
      </c>
      <c r="B961" s="6" t="s">
        <v>6142</v>
      </c>
      <c r="C961" s="7">
        <v>990</v>
      </c>
      <c r="D961" s="8" t="s">
        <v>6143</v>
      </c>
      <c r="E961" s="8" t="s">
        <v>6131</v>
      </c>
      <c r="F961" s="8" t="s">
        <v>6138</v>
      </c>
      <c r="G961" s="6" t="s">
        <v>52</v>
      </c>
      <c r="H961" s="6" t="s">
        <v>53</v>
      </c>
      <c r="I961" s="8" t="s">
        <v>100</v>
      </c>
      <c r="J961" s="9">
        <v>1</v>
      </c>
      <c r="K961" s="9">
        <v>190</v>
      </c>
      <c r="L961" s="9">
        <v>2025</v>
      </c>
      <c r="M961" s="8" t="s">
        <v>6144</v>
      </c>
      <c r="N961" s="8" t="s">
        <v>41</v>
      </c>
      <c r="O961" s="8" t="s">
        <v>118</v>
      </c>
      <c r="P961" s="6" t="s">
        <v>43</v>
      </c>
      <c r="Q961" s="8" t="s">
        <v>102</v>
      </c>
      <c r="R961" s="10" t="s">
        <v>6145</v>
      </c>
      <c r="S961" s="11"/>
      <c r="T961" s="6"/>
      <c r="U961" s="24" t="str">
        <f>HYPERLINK("https://media.infra-m.ru/2169/2169572/cover/2169572.jpg", "Обложка")</f>
        <v>Обложка</v>
      </c>
      <c r="V961" s="24" t="str">
        <f>HYPERLINK("https://znanium.ru/catalog/product/2169572", "Ознакомиться")</f>
        <v>Ознакомиться</v>
      </c>
      <c r="W961" s="8" t="s">
        <v>1293</v>
      </c>
      <c r="X961" s="6" t="s">
        <v>785</v>
      </c>
      <c r="Y961" s="6"/>
      <c r="Z961" s="6" t="s">
        <v>104</v>
      </c>
      <c r="AA961" s="6" t="s">
        <v>61</v>
      </c>
      <c r="AB961" s="8"/>
    </row>
    <row r="962" spans="1:28" s="4" customFormat="1" ht="51.95" customHeight="1">
      <c r="A962" s="5">
        <v>0</v>
      </c>
      <c r="B962" s="6" t="s">
        <v>6146</v>
      </c>
      <c r="C962" s="13">
        <v>1330</v>
      </c>
      <c r="D962" s="8" t="s">
        <v>6147</v>
      </c>
      <c r="E962" s="8" t="s">
        <v>6148</v>
      </c>
      <c r="F962" s="8" t="s">
        <v>6149</v>
      </c>
      <c r="G962" s="6" t="s">
        <v>52</v>
      </c>
      <c r="H962" s="6" t="s">
        <v>53</v>
      </c>
      <c r="I962" s="8" t="s">
        <v>116</v>
      </c>
      <c r="J962" s="9">
        <v>1</v>
      </c>
      <c r="K962" s="9">
        <v>258</v>
      </c>
      <c r="L962" s="9">
        <v>2025</v>
      </c>
      <c r="M962" s="8" t="s">
        <v>6150</v>
      </c>
      <c r="N962" s="8" t="s">
        <v>41</v>
      </c>
      <c r="O962" s="8" t="s">
        <v>118</v>
      </c>
      <c r="P962" s="6" t="s">
        <v>43</v>
      </c>
      <c r="Q962" s="8" t="s">
        <v>44</v>
      </c>
      <c r="R962" s="10" t="s">
        <v>6151</v>
      </c>
      <c r="S962" s="11"/>
      <c r="T962" s="6"/>
      <c r="U962" s="24" t="str">
        <f>HYPERLINK("https://media.infra-m.ru/1874/1874278/cover/1874278.jpg", "Обложка")</f>
        <v>Обложка</v>
      </c>
      <c r="V962" s="24" t="str">
        <f>HYPERLINK("https://znanium.ru/catalog/product/1874278", "Ознакомиться")</f>
        <v>Ознакомиться</v>
      </c>
      <c r="W962" s="8" t="s">
        <v>3577</v>
      </c>
      <c r="X962" s="6" t="s">
        <v>389</v>
      </c>
      <c r="Y962" s="6"/>
      <c r="Z962" s="6"/>
      <c r="AA962" s="6" t="s">
        <v>61</v>
      </c>
      <c r="AB962" s="8"/>
    </row>
    <row r="963" spans="1:28" s="4" customFormat="1" ht="44.1" customHeight="1">
      <c r="A963" s="5">
        <v>0</v>
      </c>
      <c r="B963" s="6" t="s">
        <v>6152</v>
      </c>
      <c r="C963" s="13">
        <v>1300</v>
      </c>
      <c r="D963" s="8" t="s">
        <v>6153</v>
      </c>
      <c r="E963" s="8" t="s">
        <v>6148</v>
      </c>
      <c r="F963" s="8" t="s">
        <v>6149</v>
      </c>
      <c r="G963" s="6" t="s">
        <v>52</v>
      </c>
      <c r="H963" s="6" t="s">
        <v>53</v>
      </c>
      <c r="I963" s="8" t="s">
        <v>100</v>
      </c>
      <c r="J963" s="9">
        <v>1</v>
      </c>
      <c r="K963" s="9">
        <v>258</v>
      </c>
      <c r="L963" s="9">
        <v>2025</v>
      </c>
      <c r="M963" s="8" t="s">
        <v>6154</v>
      </c>
      <c r="N963" s="8" t="s">
        <v>41</v>
      </c>
      <c r="O963" s="8" t="s">
        <v>118</v>
      </c>
      <c r="P963" s="6" t="s">
        <v>43</v>
      </c>
      <c r="Q963" s="8" t="s">
        <v>102</v>
      </c>
      <c r="R963" s="10" t="s">
        <v>6155</v>
      </c>
      <c r="S963" s="11"/>
      <c r="T963" s="6"/>
      <c r="U963" s="24" t="str">
        <f>HYPERLINK("https://media.infra-m.ru/2163/2163868/cover/2163868.jpg", "Обложка")</f>
        <v>Обложка</v>
      </c>
      <c r="V963" s="24" t="str">
        <f>HYPERLINK("https://znanium.ru/catalog/product/2163868", "Ознакомиться")</f>
        <v>Ознакомиться</v>
      </c>
      <c r="W963" s="8" t="s">
        <v>3577</v>
      </c>
      <c r="X963" s="6" t="s">
        <v>785</v>
      </c>
      <c r="Y963" s="6"/>
      <c r="Z963" s="6" t="s">
        <v>104</v>
      </c>
      <c r="AA963" s="6" t="s">
        <v>61</v>
      </c>
      <c r="AB963" s="8"/>
    </row>
    <row r="964" spans="1:28" s="4" customFormat="1" ht="51.95" customHeight="1">
      <c r="A964" s="5">
        <v>0</v>
      </c>
      <c r="B964" s="6" t="s">
        <v>6156</v>
      </c>
      <c r="C964" s="13">
        <v>2100</v>
      </c>
      <c r="D964" s="8" t="s">
        <v>6157</v>
      </c>
      <c r="E964" s="8" t="s">
        <v>6158</v>
      </c>
      <c r="F964" s="8" t="s">
        <v>6159</v>
      </c>
      <c r="G964" s="6" t="s">
        <v>52</v>
      </c>
      <c r="H964" s="6" t="s">
        <v>53</v>
      </c>
      <c r="I964" s="8" t="s">
        <v>100</v>
      </c>
      <c r="J964" s="9">
        <v>1</v>
      </c>
      <c r="K964" s="9">
        <v>403</v>
      </c>
      <c r="L964" s="9">
        <v>2025</v>
      </c>
      <c r="M964" s="8" t="s">
        <v>6160</v>
      </c>
      <c r="N964" s="8" t="s">
        <v>41</v>
      </c>
      <c r="O964" s="8" t="s">
        <v>118</v>
      </c>
      <c r="P964" s="6" t="s">
        <v>167</v>
      </c>
      <c r="Q964" s="8" t="s">
        <v>102</v>
      </c>
      <c r="R964" s="10" t="s">
        <v>6161</v>
      </c>
      <c r="S964" s="11"/>
      <c r="T964" s="6" t="s">
        <v>299</v>
      </c>
      <c r="U964" s="24" t="str">
        <f>HYPERLINK("https://media.infra-m.ru/2199/2199486/cover/2199486.jpg", "Обложка")</f>
        <v>Обложка</v>
      </c>
      <c r="V964" s="24" t="str">
        <f>HYPERLINK("https://znanium.ru/catalog/product/2174888", "Ознакомиться")</f>
        <v>Ознакомиться</v>
      </c>
      <c r="W964" s="8" t="s">
        <v>243</v>
      </c>
      <c r="X964" s="6"/>
      <c r="Y964" s="6"/>
      <c r="Z964" s="6" t="s">
        <v>104</v>
      </c>
      <c r="AA964" s="6" t="s">
        <v>3736</v>
      </c>
      <c r="AB964" s="8"/>
    </row>
    <row r="965" spans="1:28" s="4" customFormat="1" ht="51.95" customHeight="1">
      <c r="A965" s="5">
        <v>0</v>
      </c>
      <c r="B965" s="6" t="s">
        <v>6162</v>
      </c>
      <c r="C965" s="13">
        <v>1760</v>
      </c>
      <c r="D965" s="8" t="s">
        <v>6163</v>
      </c>
      <c r="E965" s="8" t="s">
        <v>6164</v>
      </c>
      <c r="F965" s="8" t="s">
        <v>6159</v>
      </c>
      <c r="G965" s="6" t="s">
        <v>89</v>
      </c>
      <c r="H965" s="6" t="s">
        <v>53</v>
      </c>
      <c r="I965" s="8" t="s">
        <v>90</v>
      </c>
      <c r="J965" s="9">
        <v>1</v>
      </c>
      <c r="K965" s="9">
        <v>393</v>
      </c>
      <c r="L965" s="9">
        <v>2021</v>
      </c>
      <c r="M965" s="8" t="s">
        <v>6165</v>
      </c>
      <c r="N965" s="8" t="s">
        <v>41</v>
      </c>
      <c r="O965" s="8" t="s">
        <v>118</v>
      </c>
      <c r="P965" s="6" t="s">
        <v>167</v>
      </c>
      <c r="Q965" s="8" t="s">
        <v>44</v>
      </c>
      <c r="R965" s="10" t="s">
        <v>6166</v>
      </c>
      <c r="S965" s="11" t="s">
        <v>6167</v>
      </c>
      <c r="T965" s="6" t="s">
        <v>299</v>
      </c>
      <c r="U965" s="24" t="str">
        <f>HYPERLINK("https://media.infra-m.ru/1246/1246687/cover/1246687.jpg", "Обложка")</f>
        <v>Обложка</v>
      </c>
      <c r="V965" s="24" t="str">
        <f>HYPERLINK("https://znanium.ru/catalog/product/2145045", "Ознакомиться")</f>
        <v>Ознакомиться</v>
      </c>
      <c r="W965" s="8" t="s">
        <v>243</v>
      </c>
      <c r="X965" s="6"/>
      <c r="Y965" s="6"/>
      <c r="Z965" s="6"/>
      <c r="AA965" s="6" t="s">
        <v>2423</v>
      </c>
      <c r="AB965" s="8"/>
    </row>
    <row r="966" spans="1:28" s="4" customFormat="1" ht="51.95" customHeight="1">
      <c r="A966" s="5">
        <v>0</v>
      </c>
      <c r="B966" s="6" t="s">
        <v>6168</v>
      </c>
      <c r="C966" s="13">
        <v>1244.9000000000001</v>
      </c>
      <c r="D966" s="8" t="s">
        <v>6169</v>
      </c>
      <c r="E966" s="8" t="s">
        <v>6170</v>
      </c>
      <c r="F966" s="8" t="s">
        <v>6171</v>
      </c>
      <c r="G966" s="6" t="s">
        <v>52</v>
      </c>
      <c r="H966" s="6" t="s">
        <v>53</v>
      </c>
      <c r="I966" s="8" t="s">
        <v>90</v>
      </c>
      <c r="J966" s="9">
        <v>1</v>
      </c>
      <c r="K966" s="9">
        <v>364</v>
      </c>
      <c r="L966" s="9">
        <v>2019</v>
      </c>
      <c r="M966" s="8" t="s">
        <v>6172</v>
      </c>
      <c r="N966" s="8" t="s">
        <v>41</v>
      </c>
      <c r="O966" s="8" t="s">
        <v>118</v>
      </c>
      <c r="P966" s="6" t="s">
        <v>167</v>
      </c>
      <c r="Q966" s="8" t="s">
        <v>44</v>
      </c>
      <c r="R966" s="10" t="s">
        <v>6166</v>
      </c>
      <c r="S966" s="11" t="s">
        <v>6173</v>
      </c>
      <c r="T966" s="6" t="s">
        <v>299</v>
      </c>
      <c r="U966" s="24" t="str">
        <f>HYPERLINK("https://media.infra-m.ru/0991/0991884/cover/991884.jpg", "Обложка")</f>
        <v>Обложка</v>
      </c>
      <c r="V966" s="24" t="str">
        <f>HYPERLINK("https://znanium.ru/catalog/product/2145045", "Ознакомиться")</f>
        <v>Ознакомиться</v>
      </c>
      <c r="W966" s="8" t="s">
        <v>243</v>
      </c>
      <c r="X966" s="6"/>
      <c r="Y966" s="6"/>
      <c r="Z966" s="6"/>
      <c r="AA966" s="6" t="s">
        <v>4952</v>
      </c>
      <c r="AB966" s="8"/>
    </row>
    <row r="967" spans="1:28" s="4" customFormat="1" ht="42" customHeight="1">
      <c r="A967" s="5">
        <v>0</v>
      </c>
      <c r="B967" s="6" t="s">
        <v>6174</v>
      </c>
      <c r="C967" s="13">
        <v>2000</v>
      </c>
      <c r="D967" s="8" t="s">
        <v>6175</v>
      </c>
      <c r="E967" s="8" t="s">
        <v>6158</v>
      </c>
      <c r="F967" s="8" t="s">
        <v>6159</v>
      </c>
      <c r="G967" s="6" t="s">
        <v>52</v>
      </c>
      <c r="H967" s="6" t="s">
        <v>53</v>
      </c>
      <c r="I967" s="8" t="s">
        <v>116</v>
      </c>
      <c r="J967" s="9">
        <v>1</v>
      </c>
      <c r="K967" s="9">
        <v>403</v>
      </c>
      <c r="L967" s="9">
        <v>2025</v>
      </c>
      <c r="M967" s="8" t="s">
        <v>6176</v>
      </c>
      <c r="N967" s="8" t="s">
        <v>41</v>
      </c>
      <c r="O967" s="8" t="s">
        <v>118</v>
      </c>
      <c r="P967" s="6" t="s">
        <v>167</v>
      </c>
      <c r="Q967" s="8" t="s">
        <v>44</v>
      </c>
      <c r="R967" s="10" t="s">
        <v>6166</v>
      </c>
      <c r="S967" s="11"/>
      <c r="T967" s="6" t="s">
        <v>299</v>
      </c>
      <c r="U967" s="24" t="str">
        <f>HYPERLINK("https://media.infra-m.ru/2145/2145045/cover/2145045.jpg", "Обложка")</f>
        <v>Обложка</v>
      </c>
      <c r="V967" s="24" t="str">
        <f>HYPERLINK("https://znanium.ru/catalog/product/2145045", "Ознакомиться")</f>
        <v>Ознакомиться</v>
      </c>
      <c r="W967" s="8" t="s">
        <v>243</v>
      </c>
      <c r="X967" s="6"/>
      <c r="Y967" s="6"/>
      <c r="Z967" s="6"/>
      <c r="AA967" s="6" t="s">
        <v>5914</v>
      </c>
      <c r="AB967" s="8"/>
    </row>
    <row r="968" spans="1:28" s="4" customFormat="1" ht="51.95" customHeight="1">
      <c r="A968" s="5">
        <v>0</v>
      </c>
      <c r="B968" s="6" t="s">
        <v>6177</v>
      </c>
      <c r="C968" s="13">
        <v>1660</v>
      </c>
      <c r="D968" s="8" t="s">
        <v>6178</v>
      </c>
      <c r="E968" s="8" t="s">
        <v>6179</v>
      </c>
      <c r="F968" s="8" t="s">
        <v>6180</v>
      </c>
      <c r="G968" s="6" t="s">
        <v>89</v>
      </c>
      <c r="H968" s="6" t="s">
        <v>53</v>
      </c>
      <c r="I968" s="8" t="s">
        <v>116</v>
      </c>
      <c r="J968" s="9">
        <v>1</v>
      </c>
      <c r="K968" s="9">
        <v>332</v>
      </c>
      <c r="L968" s="9">
        <v>2025</v>
      </c>
      <c r="M968" s="8" t="s">
        <v>6181</v>
      </c>
      <c r="N968" s="8" t="s">
        <v>41</v>
      </c>
      <c r="O968" s="8" t="s">
        <v>6182</v>
      </c>
      <c r="P968" s="6" t="s">
        <v>167</v>
      </c>
      <c r="Q968" s="8" t="s">
        <v>44</v>
      </c>
      <c r="R968" s="10" t="s">
        <v>6183</v>
      </c>
      <c r="S968" s="11" t="s">
        <v>6184</v>
      </c>
      <c r="T968" s="6" t="s">
        <v>299</v>
      </c>
      <c r="U968" s="24" t="str">
        <f>HYPERLINK("https://media.infra-m.ru/1906/1906699/cover/1906699.jpg", "Обложка")</f>
        <v>Обложка</v>
      </c>
      <c r="V968" s="24" t="str">
        <f>HYPERLINK("https://znanium.ru/catalog/product/1906699", "Ознакомиться")</f>
        <v>Ознакомиться</v>
      </c>
      <c r="W968" s="8" t="s">
        <v>4293</v>
      </c>
      <c r="X968" s="6"/>
      <c r="Y968" s="6"/>
      <c r="Z968" s="6"/>
      <c r="AA968" s="6" t="s">
        <v>4236</v>
      </c>
      <c r="AB968" s="8"/>
    </row>
    <row r="969" spans="1:28" s="4" customFormat="1" ht="51.95" customHeight="1">
      <c r="A969" s="5">
        <v>0</v>
      </c>
      <c r="B969" s="6" t="s">
        <v>6185</v>
      </c>
      <c r="C969" s="13">
        <v>1124</v>
      </c>
      <c r="D969" s="8" t="s">
        <v>6186</v>
      </c>
      <c r="E969" s="8" t="s">
        <v>6187</v>
      </c>
      <c r="F969" s="8" t="s">
        <v>6188</v>
      </c>
      <c r="G969" s="6" t="s">
        <v>89</v>
      </c>
      <c r="H969" s="6" t="s">
        <v>53</v>
      </c>
      <c r="I969" s="8" t="s">
        <v>90</v>
      </c>
      <c r="J969" s="9">
        <v>1</v>
      </c>
      <c r="K969" s="9">
        <v>216</v>
      </c>
      <c r="L969" s="9">
        <v>2025</v>
      </c>
      <c r="M969" s="8" t="s">
        <v>6189</v>
      </c>
      <c r="N969" s="8" t="s">
        <v>41</v>
      </c>
      <c r="O969" s="8" t="s">
        <v>6182</v>
      </c>
      <c r="P969" s="6" t="s">
        <v>43</v>
      </c>
      <c r="Q969" s="8" t="s">
        <v>44</v>
      </c>
      <c r="R969" s="10" t="s">
        <v>6190</v>
      </c>
      <c r="S969" s="11" t="s">
        <v>6191</v>
      </c>
      <c r="T969" s="6"/>
      <c r="U969" s="24" t="str">
        <f>HYPERLINK("https://media.infra-m.ru/2196/2196125/cover/2196125.jpg", "Обложка")</f>
        <v>Обложка</v>
      </c>
      <c r="V969" s="24" t="str">
        <f>HYPERLINK("https://znanium.ru/catalog/product/1904461", "Ознакомиться")</f>
        <v>Ознакомиться</v>
      </c>
      <c r="W969" s="8" t="s">
        <v>354</v>
      </c>
      <c r="X969" s="6"/>
      <c r="Y969" s="6"/>
      <c r="Z969" s="6"/>
      <c r="AA969" s="6" t="s">
        <v>442</v>
      </c>
      <c r="AB969" s="8"/>
    </row>
    <row r="970" spans="1:28" s="4" customFormat="1" ht="51.95" customHeight="1">
      <c r="A970" s="5">
        <v>0</v>
      </c>
      <c r="B970" s="6" t="s">
        <v>6192</v>
      </c>
      <c r="C970" s="7">
        <v>794</v>
      </c>
      <c r="D970" s="8" t="s">
        <v>6193</v>
      </c>
      <c r="E970" s="8" t="s">
        <v>6187</v>
      </c>
      <c r="F970" s="8" t="s">
        <v>6194</v>
      </c>
      <c r="G970" s="6" t="s">
        <v>52</v>
      </c>
      <c r="H970" s="6" t="s">
        <v>53</v>
      </c>
      <c r="I970" s="8" t="s">
        <v>90</v>
      </c>
      <c r="J970" s="9">
        <v>1</v>
      </c>
      <c r="K970" s="9">
        <v>169</v>
      </c>
      <c r="L970" s="9">
        <v>2024</v>
      </c>
      <c r="M970" s="8" t="s">
        <v>6195</v>
      </c>
      <c r="N970" s="8" t="s">
        <v>41</v>
      </c>
      <c r="O970" s="8" t="s">
        <v>6182</v>
      </c>
      <c r="P970" s="6" t="s">
        <v>43</v>
      </c>
      <c r="Q970" s="8" t="s">
        <v>44</v>
      </c>
      <c r="R970" s="10" t="s">
        <v>6196</v>
      </c>
      <c r="S970" s="11" t="s">
        <v>6197</v>
      </c>
      <c r="T970" s="6"/>
      <c r="U970" s="24" t="str">
        <f>HYPERLINK("https://media.infra-m.ru/2144/2144884/cover/2144884.jpg", "Обложка")</f>
        <v>Обложка</v>
      </c>
      <c r="V970" s="24" t="str">
        <f>HYPERLINK("https://znanium.ru/catalog/product/1020561", "Ознакомиться")</f>
        <v>Ознакомиться</v>
      </c>
      <c r="W970" s="8" t="s">
        <v>6198</v>
      </c>
      <c r="X970" s="6"/>
      <c r="Y970" s="6"/>
      <c r="Z970" s="6"/>
      <c r="AA970" s="6" t="s">
        <v>219</v>
      </c>
      <c r="AB970" s="8"/>
    </row>
    <row r="971" spans="1:28" s="4" customFormat="1" ht="51.95" customHeight="1">
      <c r="A971" s="5">
        <v>0</v>
      </c>
      <c r="B971" s="6" t="s">
        <v>6199</v>
      </c>
      <c r="C971" s="7">
        <v>584</v>
      </c>
      <c r="D971" s="8" t="s">
        <v>6200</v>
      </c>
      <c r="E971" s="8" t="s">
        <v>6187</v>
      </c>
      <c r="F971" s="8" t="s">
        <v>6201</v>
      </c>
      <c r="G971" s="6" t="s">
        <v>38</v>
      </c>
      <c r="H971" s="6" t="s">
        <v>77</v>
      </c>
      <c r="I971" s="8"/>
      <c r="J971" s="9">
        <v>1</v>
      </c>
      <c r="K971" s="9">
        <v>112</v>
      </c>
      <c r="L971" s="9">
        <v>2025</v>
      </c>
      <c r="M971" s="8" t="s">
        <v>6202</v>
      </c>
      <c r="N971" s="8" t="s">
        <v>41</v>
      </c>
      <c r="O971" s="8" t="s">
        <v>6182</v>
      </c>
      <c r="P971" s="6" t="s">
        <v>937</v>
      </c>
      <c r="Q971" s="8" t="s">
        <v>44</v>
      </c>
      <c r="R971" s="10" t="s">
        <v>6203</v>
      </c>
      <c r="S971" s="11"/>
      <c r="T971" s="6"/>
      <c r="U971" s="24" t="str">
        <f>HYPERLINK("https://media.infra-m.ru/2193/2193210/cover/2193210.jpg", "Обложка")</f>
        <v>Обложка</v>
      </c>
      <c r="V971" s="12"/>
      <c r="W971" s="8" t="s">
        <v>6204</v>
      </c>
      <c r="X971" s="6"/>
      <c r="Y971" s="6"/>
      <c r="Z971" s="6"/>
      <c r="AA971" s="6" t="s">
        <v>622</v>
      </c>
      <c r="AB971" s="8"/>
    </row>
    <row r="972" spans="1:28" s="4" customFormat="1" ht="51.95" customHeight="1">
      <c r="A972" s="5">
        <v>0</v>
      </c>
      <c r="B972" s="6" t="s">
        <v>6205</v>
      </c>
      <c r="C972" s="13">
        <v>2174</v>
      </c>
      <c r="D972" s="8" t="s">
        <v>6206</v>
      </c>
      <c r="E972" s="8" t="s">
        <v>6207</v>
      </c>
      <c r="F972" s="8" t="s">
        <v>2706</v>
      </c>
      <c r="G972" s="6" t="s">
        <v>89</v>
      </c>
      <c r="H972" s="6" t="s">
        <v>53</v>
      </c>
      <c r="I972" s="8" t="s">
        <v>90</v>
      </c>
      <c r="J972" s="9">
        <v>1</v>
      </c>
      <c r="K972" s="9">
        <v>483</v>
      </c>
      <c r="L972" s="9">
        <v>2023</v>
      </c>
      <c r="M972" s="8" t="s">
        <v>6208</v>
      </c>
      <c r="N972" s="8" t="s">
        <v>41</v>
      </c>
      <c r="O972" s="8" t="s">
        <v>1007</v>
      </c>
      <c r="P972" s="6" t="s">
        <v>167</v>
      </c>
      <c r="Q972" s="8" t="s">
        <v>44</v>
      </c>
      <c r="R972" s="10" t="s">
        <v>6209</v>
      </c>
      <c r="S972" s="11" t="s">
        <v>6210</v>
      </c>
      <c r="T972" s="6"/>
      <c r="U972" s="24" t="str">
        <f>HYPERLINK("https://media.infra-m.ru/2002/2002609/cover/2002609.jpg", "Обложка")</f>
        <v>Обложка</v>
      </c>
      <c r="V972" s="24" t="str">
        <f>HYPERLINK("https://znanium.ru/catalog/product/2002609", "Ознакомиться")</f>
        <v>Ознакомиться</v>
      </c>
      <c r="W972" s="8" t="s">
        <v>1233</v>
      </c>
      <c r="X972" s="6"/>
      <c r="Y972" s="6"/>
      <c r="Z972" s="6"/>
      <c r="AA972" s="6" t="s">
        <v>326</v>
      </c>
      <c r="AB972" s="8"/>
    </row>
    <row r="973" spans="1:28" s="4" customFormat="1" ht="51.95" customHeight="1">
      <c r="A973" s="5">
        <v>0</v>
      </c>
      <c r="B973" s="6" t="s">
        <v>6211</v>
      </c>
      <c r="C973" s="13">
        <v>2844</v>
      </c>
      <c r="D973" s="8" t="s">
        <v>6212</v>
      </c>
      <c r="E973" s="8" t="s">
        <v>6213</v>
      </c>
      <c r="F973" s="8" t="s">
        <v>6214</v>
      </c>
      <c r="G973" s="6" t="s">
        <v>52</v>
      </c>
      <c r="H973" s="6" t="s">
        <v>53</v>
      </c>
      <c r="I973" s="8" t="s">
        <v>90</v>
      </c>
      <c r="J973" s="9">
        <v>1</v>
      </c>
      <c r="K973" s="9">
        <v>592</v>
      </c>
      <c r="L973" s="9">
        <v>2025</v>
      </c>
      <c r="M973" s="8" t="s">
        <v>6215</v>
      </c>
      <c r="N973" s="8" t="s">
        <v>41</v>
      </c>
      <c r="O973" s="8" t="s">
        <v>1007</v>
      </c>
      <c r="P973" s="6" t="s">
        <v>167</v>
      </c>
      <c r="Q973" s="8" t="s">
        <v>44</v>
      </c>
      <c r="R973" s="10" t="s">
        <v>5782</v>
      </c>
      <c r="S973" s="11" t="s">
        <v>6216</v>
      </c>
      <c r="T973" s="6"/>
      <c r="U973" s="24" t="str">
        <f>HYPERLINK("https://media.infra-m.ru/2188/2188764/cover/2188764.jpg", "Обложка")</f>
        <v>Обложка</v>
      </c>
      <c r="V973" s="24" t="str">
        <f>HYPERLINK("https://znanium.ru/catalog/product/1906700", "Ознакомиться")</f>
        <v>Ознакомиться</v>
      </c>
      <c r="W973" s="8" t="s">
        <v>189</v>
      </c>
      <c r="X973" s="6"/>
      <c r="Y973" s="6"/>
      <c r="Z973" s="6"/>
      <c r="AA973" s="6" t="s">
        <v>122</v>
      </c>
      <c r="AB973" s="8"/>
    </row>
    <row r="974" spans="1:28" s="4" customFormat="1" ht="51.95" customHeight="1">
      <c r="A974" s="5">
        <v>0</v>
      </c>
      <c r="B974" s="6" t="s">
        <v>6217</v>
      </c>
      <c r="C974" s="7">
        <v>734</v>
      </c>
      <c r="D974" s="8" t="s">
        <v>6218</v>
      </c>
      <c r="E974" s="8" t="s">
        <v>6213</v>
      </c>
      <c r="F974" s="8" t="s">
        <v>6219</v>
      </c>
      <c r="G974" s="6" t="s">
        <v>52</v>
      </c>
      <c r="H974" s="6" t="s">
        <v>184</v>
      </c>
      <c r="I974" s="8" t="s">
        <v>90</v>
      </c>
      <c r="J974" s="9">
        <v>1</v>
      </c>
      <c r="K974" s="9">
        <v>155</v>
      </c>
      <c r="L974" s="9">
        <v>2024</v>
      </c>
      <c r="M974" s="8" t="s">
        <v>6220</v>
      </c>
      <c r="N974" s="8" t="s">
        <v>41</v>
      </c>
      <c r="O974" s="8" t="s">
        <v>1007</v>
      </c>
      <c r="P974" s="6" t="s">
        <v>43</v>
      </c>
      <c r="Q974" s="8" t="s">
        <v>44</v>
      </c>
      <c r="R974" s="10" t="s">
        <v>6221</v>
      </c>
      <c r="S974" s="11" t="s">
        <v>6222</v>
      </c>
      <c r="T974" s="6"/>
      <c r="U974" s="24" t="str">
        <f>HYPERLINK("https://media.infra-m.ru/2131/2131765/cover/2131765.jpg", "Обложка")</f>
        <v>Обложка</v>
      </c>
      <c r="V974" s="24" t="str">
        <f>HYPERLINK("https://znanium.ru/catalog/product/1062369", "Ознакомиться")</f>
        <v>Ознакомиться</v>
      </c>
      <c r="W974" s="8" t="s">
        <v>368</v>
      </c>
      <c r="X974" s="6"/>
      <c r="Y974" s="6"/>
      <c r="Z974" s="6"/>
      <c r="AA974" s="6" t="s">
        <v>84</v>
      </c>
      <c r="AB974" s="8"/>
    </row>
    <row r="975" spans="1:28" s="4" customFormat="1" ht="51.95" customHeight="1">
      <c r="A975" s="5">
        <v>0</v>
      </c>
      <c r="B975" s="6" t="s">
        <v>6223</v>
      </c>
      <c r="C975" s="13">
        <v>1354</v>
      </c>
      <c r="D975" s="8" t="s">
        <v>6224</v>
      </c>
      <c r="E975" s="8" t="s">
        <v>6213</v>
      </c>
      <c r="F975" s="8" t="s">
        <v>6225</v>
      </c>
      <c r="G975" s="6" t="s">
        <v>52</v>
      </c>
      <c r="H975" s="6" t="s">
        <v>77</v>
      </c>
      <c r="I975" s="8"/>
      <c r="J975" s="9">
        <v>1</v>
      </c>
      <c r="K975" s="9">
        <v>288</v>
      </c>
      <c r="L975" s="9">
        <v>2024</v>
      </c>
      <c r="M975" s="8" t="s">
        <v>6226</v>
      </c>
      <c r="N975" s="8" t="s">
        <v>41</v>
      </c>
      <c r="O975" s="8" t="s">
        <v>1007</v>
      </c>
      <c r="P975" s="6" t="s">
        <v>43</v>
      </c>
      <c r="Q975" s="8" t="s">
        <v>44</v>
      </c>
      <c r="R975" s="10" t="s">
        <v>6227</v>
      </c>
      <c r="S975" s="11" t="s">
        <v>6228</v>
      </c>
      <c r="T975" s="6"/>
      <c r="U975" s="24" t="str">
        <f>HYPERLINK("https://media.infra-m.ru/2149/2149173/cover/2149173.jpg", "Обложка")</f>
        <v>Обложка</v>
      </c>
      <c r="V975" s="24" t="str">
        <f>HYPERLINK("https://znanium.ru/catalog/product/1913820", "Ознакомиться")</f>
        <v>Ознакомиться</v>
      </c>
      <c r="W975" s="8" t="s">
        <v>1233</v>
      </c>
      <c r="X975" s="6"/>
      <c r="Y975" s="6"/>
      <c r="Z975" s="6"/>
      <c r="AA975" s="6" t="s">
        <v>84</v>
      </c>
      <c r="AB975" s="8"/>
    </row>
    <row r="976" spans="1:28" s="4" customFormat="1" ht="51.95" customHeight="1">
      <c r="A976" s="5">
        <v>0</v>
      </c>
      <c r="B976" s="6" t="s">
        <v>6229</v>
      </c>
      <c r="C976" s="13">
        <v>2574</v>
      </c>
      <c r="D976" s="8" t="s">
        <v>6230</v>
      </c>
      <c r="E976" s="8" t="s">
        <v>6213</v>
      </c>
      <c r="F976" s="8" t="s">
        <v>6231</v>
      </c>
      <c r="G976" s="6" t="s">
        <v>89</v>
      </c>
      <c r="H976" s="6" t="s">
        <v>952</v>
      </c>
      <c r="I976" s="8"/>
      <c r="J976" s="9">
        <v>1</v>
      </c>
      <c r="K976" s="9">
        <v>496</v>
      </c>
      <c r="L976" s="9">
        <v>2025</v>
      </c>
      <c r="M976" s="8" t="s">
        <v>6232</v>
      </c>
      <c r="N976" s="8" t="s">
        <v>41</v>
      </c>
      <c r="O976" s="8" t="s">
        <v>1007</v>
      </c>
      <c r="P976" s="6" t="s">
        <v>43</v>
      </c>
      <c r="Q976" s="8" t="s">
        <v>44</v>
      </c>
      <c r="R976" s="10" t="s">
        <v>6233</v>
      </c>
      <c r="S976" s="11" t="s">
        <v>6234</v>
      </c>
      <c r="T976" s="6"/>
      <c r="U976" s="24" t="str">
        <f>HYPERLINK("https://media.infra-m.ru/2188/2188714/cover/2188714.jpg", "Обложка")</f>
        <v>Обложка</v>
      </c>
      <c r="V976" s="24" t="str">
        <f>HYPERLINK("https://znanium.ru/catalog/product/1933179", "Ознакомиться")</f>
        <v>Ознакомиться</v>
      </c>
      <c r="W976" s="8" t="s">
        <v>83</v>
      </c>
      <c r="X976" s="6"/>
      <c r="Y976" s="6"/>
      <c r="Z976" s="6"/>
      <c r="AA976" s="6" t="s">
        <v>2217</v>
      </c>
      <c r="AB976" s="8"/>
    </row>
    <row r="977" spans="1:28" s="4" customFormat="1" ht="51.95" customHeight="1">
      <c r="A977" s="5">
        <v>0</v>
      </c>
      <c r="B977" s="6" t="s">
        <v>6235</v>
      </c>
      <c r="C977" s="13">
        <v>1490</v>
      </c>
      <c r="D977" s="8" t="s">
        <v>6236</v>
      </c>
      <c r="E977" s="8" t="s">
        <v>6237</v>
      </c>
      <c r="F977" s="8" t="s">
        <v>6238</v>
      </c>
      <c r="G977" s="6" t="s">
        <v>52</v>
      </c>
      <c r="H977" s="6" t="s">
        <v>53</v>
      </c>
      <c r="I977" s="8" t="s">
        <v>116</v>
      </c>
      <c r="J977" s="9">
        <v>1</v>
      </c>
      <c r="K977" s="9">
        <v>323</v>
      </c>
      <c r="L977" s="9">
        <v>2023</v>
      </c>
      <c r="M977" s="8" t="s">
        <v>6239</v>
      </c>
      <c r="N977" s="8" t="s">
        <v>41</v>
      </c>
      <c r="O977" s="8" t="s">
        <v>1007</v>
      </c>
      <c r="P977" s="6" t="s">
        <v>167</v>
      </c>
      <c r="Q977" s="8" t="s">
        <v>44</v>
      </c>
      <c r="R977" s="10" t="s">
        <v>6240</v>
      </c>
      <c r="S977" s="11"/>
      <c r="T977" s="6"/>
      <c r="U977" s="24" t="str">
        <f>HYPERLINK("https://media.infra-m.ru/1020/1020455/cover/1020455.jpg", "Обложка")</f>
        <v>Обложка</v>
      </c>
      <c r="V977" s="24" t="str">
        <f>HYPERLINK("https://znanium.ru/catalog/product/1020455", "Ознакомиться")</f>
        <v>Ознакомиться</v>
      </c>
      <c r="W977" s="8" t="s">
        <v>6124</v>
      </c>
      <c r="X977" s="6"/>
      <c r="Y977" s="6"/>
      <c r="Z977" s="6"/>
      <c r="AA977" s="6" t="s">
        <v>207</v>
      </c>
      <c r="AB977" s="8"/>
    </row>
    <row r="978" spans="1:28" s="4" customFormat="1" ht="51.95" customHeight="1">
      <c r="A978" s="5">
        <v>0</v>
      </c>
      <c r="B978" s="6" t="s">
        <v>6241</v>
      </c>
      <c r="C978" s="13">
        <v>1180</v>
      </c>
      <c r="D978" s="8" t="s">
        <v>6242</v>
      </c>
      <c r="E978" s="8" t="s">
        <v>6243</v>
      </c>
      <c r="F978" s="8" t="s">
        <v>6244</v>
      </c>
      <c r="G978" s="6" t="s">
        <v>52</v>
      </c>
      <c r="H978" s="6" t="s">
        <v>53</v>
      </c>
      <c r="I978" s="8" t="s">
        <v>712</v>
      </c>
      <c r="J978" s="9">
        <v>1</v>
      </c>
      <c r="K978" s="9">
        <v>235</v>
      </c>
      <c r="L978" s="9">
        <v>2025</v>
      </c>
      <c r="M978" s="8" t="s">
        <v>6245</v>
      </c>
      <c r="N978" s="8" t="s">
        <v>79</v>
      </c>
      <c r="O978" s="8" t="s">
        <v>684</v>
      </c>
      <c r="P978" s="6" t="s">
        <v>43</v>
      </c>
      <c r="Q978" s="8" t="s">
        <v>44</v>
      </c>
      <c r="R978" s="10" t="s">
        <v>6246</v>
      </c>
      <c r="S978" s="11" t="s">
        <v>6247</v>
      </c>
      <c r="T978" s="6"/>
      <c r="U978" s="24" t="str">
        <f>HYPERLINK("https://media.infra-m.ru/2168/2168126/cover/2168126.jpg", "Обложка")</f>
        <v>Обложка</v>
      </c>
      <c r="V978" s="24" t="str">
        <f>HYPERLINK("https://znanium.ru/catalog/product/2168126", "Ознакомиться")</f>
        <v>Ознакомиться</v>
      </c>
      <c r="W978" s="8" t="s">
        <v>716</v>
      </c>
      <c r="X978" s="6" t="s">
        <v>132</v>
      </c>
      <c r="Y978" s="6"/>
      <c r="Z978" s="6"/>
      <c r="AA978" s="6" t="s">
        <v>61</v>
      </c>
      <c r="AB978" s="8"/>
    </row>
    <row r="979" spans="1:28" s="4" customFormat="1" ht="51.95" customHeight="1">
      <c r="A979" s="5">
        <v>0</v>
      </c>
      <c r="B979" s="6" t="s">
        <v>6248</v>
      </c>
      <c r="C979" s="7">
        <v>960</v>
      </c>
      <c r="D979" s="8" t="s">
        <v>6249</v>
      </c>
      <c r="E979" s="8" t="s">
        <v>6250</v>
      </c>
      <c r="F979" s="8" t="s">
        <v>6251</v>
      </c>
      <c r="G979" s="6" t="s">
        <v>89</v>
      </c>
      <c r="H979" s="6" t="s">
        <v>53</v>
      </c>
      <c r="I979" s="8" t="s">
        <v>100</v>
      </c>
      <c r="J979" s="9">
        <v>1</v>
      </c>
      <c r="K979" s="9">
        <v>203</v>
      </c>
      <c r="L979" s="9">
        <v>2024</v>
      </c>
      <c r="M979" s="8" t="s">
        <v>6252</v>
      </c>
      <c r="N979" s="8" t="s">
        <v>79</v>
      </c>
      <c r="O979" s="8" t="s">
        <v>396</v>
      </c>
      <c r="P979" s="6" t="s">
        <v>43</v>
      </c>
      <c r="Q979" s="8" t="s">
        <v>102</v>
      </c>
      <c r="R979" s="10" t="s">
        <v>6253</v>
      </c>
      <c r="S979" s="11" t="s">
        <v>6254</v>
      </c>
      <c r="T979" s="6"/>
      <c r="U979" s="24" t="str">
        <f>HYPERLINK("https://media.infra-m.ru/2141/2141116/cover/2141116.jpg", "Обложка")</f>
        <v>Обложка</v>
      </c>
      <c r="V979" s="24" t="str">
        <f>HYPERLINK("https://znanium.ru/catalog/product/2141116", "Ознакомиться")</f>
        <v>Ознакомиться</v>
      </c>
      <c r="W979" s="8" t="s">
        <v>2878</v>
      </c>
      <c r="X979" s="6"/>
      <c r="Y979" s="6" t="s">
        <v>30</v>
      </c>
      <c r="Z979" s="6"/>
      <c r="AA979" s="6" t="s">
        <v>326</v>
      </c>
      <c r="AB979" s="8" t="s">
        <v>2336</v>
      </c>
    </row>
    <row r="980" spans="1:28" s="4" customFormat="1" ht="51.95" customHeight="1">
      <c r="A980" s="5">
        <v>0</v>
      </c>
      <c r="B980" s="6" t="s">
        <v>6255</v>
      </c>
      <c r="C980" s="13">
        <v>1020</v>
      </c>
      <c r="D980" s="8" t="s">
        <v>6256</v>
      </c>
      <c r="E980" s="8" t="s">
        <v>6257</v>
      </c>
      <c r="F980" s="8" t="s">
        <v>6258</v>
      </c>
      <c r="G980" s="6" t="s">
        <v>89</v>
      </c>
      <c r="H980" s="6" t="s">
        <v>53</v>
      </c>
      <c r="I980" s="8" t="s">
        <v>6259</v>
      </c>
      <c r="J980" s="9">
        <v>1</v>
      </c>
      <c r="K980" s="9">
        <v>204</v>
      </c>
      <c r="L980" s="9">
        <v>2023</v>
      </c>
      <c r="M980" s="8" t="s">
        <v>6260</v>
      </c>
      <c r="N980" s="8" t="s">
        <v>79</v>
      </c>
      <c r="O980" s="8" t="s">
        <v>174</v>
      </c>
      <c r="P980" s="6" t="s">
        <v>43</v>
      </c>
      <c r="Q980" s="8" t="s">
        <v>214</v>
      </c>
      <c r="R980" s="10" t="s">
        <v>6261</v>
      </c>
      <c r="S980" s="11" t="s">
        <v>6262</v>
      </c>
      <c r="T980" s="6"/>
      <c r="U980" s="24" t="str">
        <f>HYPERLINK("https://media.infra-m.ru/2045/2045889/cover/2045889.jpg", "Обложка")</f>
        <v>Обложка</v>
      </c>
      <c r="V980" s="24" t="str">
        <f>HYPERLINK("https://znanium.ru/catalog/product/2045889", "Ознакомиться")</f>
        <v>Ознакомиться</v>
      </c>
      <c r="W980" s="8" t="s">
        <v>206</v>
      </c>
      <c r="X980" s="6"/>
      <c r="Y980" s="6"/>
      <c r="Z980" s="6"/>
      <c r="AA980" s="6" t="s">
        <v>258</v>
      </c>
      <c r="AB980" s="8"/>
    </row>
    <row r="981" spans="1:28" s="4" customFormat="1" ht="51.95" customHeight="1">
      <c r="A981" s="5">
        <v>0</v>
      </c>
      <c r="B981" s="6" t="s">
        <v>6263</v>
      </c>
      <c r="C981" s="13">
        <v>1940</v>
      </c>
      <c r="D981" s="8" t="s">
        <v>6264</v>
      </c>
      <c r="E981" s="8" t="s">
        <v>6265</v>
      </c>
      <c r="F981" s="8" t="s">
        <v>6266</v>
      </c>
      <c r="G981" s="6" t="s">
        <v>52</v>
      </c>
      <c r="H981" s="6" t="s">
        <v>53</v>
      </c>
      <c r="I981" s="8" t="s">
        <v>116</v>
      </c>
      <c r="J981" s="9">
        <v>1</v>
      </c>
      <c r="K981" s="9">
        <v>416</v>
      </c>
      <c r="L981" s="9">
        <v>2024</v>
      </c>
      <c r="M981" s="8" t="s">
        <v>6267</v>
      </c>
      <c r="N981" s="8" t="s">
        <v>79</v>
      </c>
      <c r="O981" s="8" t="s">
        <v>396</v>
      </c>
      <c r="P981" s="6" t="s">
        <v>43</v>
      </c>
      <c r="Q981" s="8" t="s">
        <v>58</v>
      </c>
      <c r="R981" s="10" t="s">
        <v>6268</v>
      </c>
      <c r="S981" s="11" t="s">
        <v>6269</v>
      </c>
      <c r="T981" s="6"/>
      <c r="U981" s="24" t="str">
        <f>HYPERLINK("https://media.infra-m.ru/2067/2067369/cover/2067369.jpg", "Обложка")</f>
        <v>Обложка</v>
      </c>
      <c r="V981" s="24" t="str">
        <f>HYPERLINK("https://znanium.ru/catalog/product/2067369", "Ознакомиться")</f>
        <v>Ознакомиться</v>
      </c>
      <c r="W981" s="8" t="s">
        <v>334</v>
      </c>
      <c r="X981" s="6"/>
      <c r="Y981" s="6"/>
      <c r="Z981" s="6"/>
      <c r="AA981" s="6" t="s">
        <v>494</v>
      </c>
      <c r="AB981" s="8"/>
    </row>
    <row r="982" spans="1:28" s="4" customFormat="1" ht="51.95" customHeight="1">
      <c r="A982" s="5">
        <v>0</v>
      </c>
      <c r="B982" s="6" t="s">
        <v>6270</v>
      </c>
      <c r="C982" s="13">
        <v>1870</v>
      </c>
      <c r="D982" s="8" t="s">
        <v>6271</v>
      </c>
      <c r="E982" s="8" t="s">
        <v>6265</v>
      </c>
      <c r="F982" s="8" t="s">
        <v>6266</v>
      </c>
      <c r="G982" s="6" t="s">
        <v>89</v>
      </c>
      <c r="H982" s="6" t="s">
        <v>53</v>
      </c>
      <c r="I982" s="8" t="s">
        <v>100</v>
      </c>
      <c r="J982" s="9">
        <v>1</v>
      </c>
      <c r="K982" s="9">
        <v>416</v>
      </c>
      <c r="L982" s="9">
        <v>2023</v>
      </c>
      <c r="M982" s="8" t="s">
        <v>6272</v>
      </c>
      <c r="N982" s="8" t="s">
        <v>79</v>
      </c>
      <c r="O982" s="8" t="s">
        <v>396</v>
      </c>
      <c r="P982" s="6" t="s">
        <v>43</v>
      </c>
      <c r="Q982" s="8" t="s">
        <v>102</v>
      </c>
      <c r="R982" s="10" t="s">
        <v>6273</v>
      </c>
      <c r="S982" s="11" t="s">
        <v>6274</v>
      </c>
      <c r="T982" s="6"/>
      <c r="U982" s="24" t="str">
        <f>HYPERLINK("https://media.infra-m.ru/1915/1915372/cover/1915372.jpg", "Обложка")</f>
        <v>Обложка</v>
      </c>
      <c r="V982" s="24" t="str">
        <f>HYPERLINK("https://znanium.ru/catalog/product/1915372", "Ознакомиться")</f>
        <v>Ознакомиться</v>
      </c>
      <c r="W982" s="8" t="s">
        <v>334</v>
      </c>
      <c r="X982" s="6"/>
      <c r="Y982" s="6"/>
      <c r="Z982" s="6" t="s">
        <v>502</v>
      </c>
      <c r="AA982" s="6" t="s">
        <v>1259</v>
      </c>
      <c r="AB982" s="8"/>
    </row>
    <row r="983" spans="1:28" s="4" customFormat="1" ht="51.95" customHeight="1">
      <c r="A983" s="5">
        <v>0</v>
      </c>
      <c r="B983" s="6" t="s">
        <v>6275</v>
      </c>
      <c r="C983" s="13">
        <v>1507</v>
      </c>
      <c r="D983" s="8" t="s">
        <v>6276</v>
      </c>
      <c r="E983" s="8" t="s">
        <v>6277</v>
      </c>
      <c r="F983" s="8" t="s">
        <v>6278</v>
      </c>
      <c r="G983" s="6" t="s">
        <v>89</v>
      </c>
      <c r="H983" s="6" t="s">
        <v>39</v>
      </c>
      <c r="I983" s="8" t="s">
        <v>90</v>
      </c>
      <c r="J983" s="9">
        <v>1</v>
      </c>
      <c r="K983" s="9">
        <v>232</v>
      </c>
      <c r="L983" s="9">
        <v>2024</v>
      </c>
      <c r="M983" s="8" t="s">
        <v>6279</v>
      </c>
      <c r="N983" s="8" t="s">
        <v>79</v>
      </c>
      <c r="O983" s="8" t="s">
        <v>396</v>
      </c>
      <c r="P983" s="6" t="s">
        <v>43</v>
      </c>
      <c r="Q983" s="8" t="s">
        <v>44</v>
      </c>
      <c r="R983" s="10" t="s">
        <v>6280</v>
      </c>
      <c r="S983" s="11" t="s">
        <v>6281</v>
      </c>
      <c r="T983" s="6"/>
      <c r="U983" s="24" t="str">
        <f>HYPERLINK("https://media.infra-m.ru/2158/2158130/cover/2158130.jpg", "Обложка")</f>
        <v>Обложка</v>
      </c>
      <c r="V983" s="24" t="str">
        <f>HYPERLINK("https://znanium.ru/catalog/product/1915385", "Ознакомиться")</f>
        <v>Ознакомиться</v>
      </c>
      <c r="W983" s="8" t="s">
        <v>6282</v>
      </c>
      <c r="X983" s="6"/>
      <c r="Y983" s="6"/>
      <c r="Z983" s="6" t="s">
        <v>335</v>
      </c>
      <c r="AA983" s="6" t="s">
        <v>6283</v>
      </c>
      <c r="AB983" s="8"/>
    </row>
    <row r="984" spans="1:28" s="4" customFormat="1" ht="51.95" customHeight="1">
      <c r="A984" s="5">
        <v>0</v>
      </c>
      <c r="B984" s="6" t="s">
        <v>6284</v>
      </c>
      <c r="C984" s="13">
        <v>1572</v>
      </c>
      <c r="D984" s="8" t="s">
        <v>6285</v>
      </c>
      <c r="E984" s="8" t="s">
        <v>6277</v>
      </c>
      <c r="F984" s="8" t="s">
        <v>6278</v>
      </c>
      <c r="G984" s="6" t="s">
        <v>89</v>
      </c>
      <c r="H984" s="6" t="s">
        <v>39</v>
      </c>
      <c r="I984" s="8" t="s">
        <v>185</v>
      </c>
      <c r="J984" s="9">
        <v>1</v>
      </c>
      <c r="K984" s="9">
        <v>232</v>
      </c>
      <c r="L984" s="9">
        <v>2025</v>
      </c>
      <c r="M984" s="8" t="s">
        <v>6286</v>
      </c>
      <c r="N984" s="8" t="s">
        <v>79</v>
      </c>
      <c r="O984" s="8" t="s">
        <v>396</v>
      </c>
      <c r="P984" s="6" t="s">
        <v>43</v>
      </c>
      <c r="Q984" s="8" t="s">
        <v>102</v>
      </c>
      <c r="R984" s="10" t="s">
        <v>6287</v>
      </c>
      <c r="S984" s="11" t="s">
        <v>3081</v>
      </c>
      <c r="T984" s="6"/>
      <c r="U984" s="24" t="str">
        <f>HYPERLINK("https://media.infra-m.ru/2180/2180051/cover/2180051.jpg", "Обложка")</f>
        <v>Обложка</v>
      </c>
      <c r="V984" s="24" t="str">
        <f>HYPERLINK("https://znanium.ru/catalog/product/2180051", "Ознакомиться")</f>
        <v>Ознакомиться</v>
      </c>
      <c r="W984" s="8" t="s">
        <v>6282</v>
      </c>
      <c r="X984" s="6"/>
      <c r="Y984" s="6"/>
      <c r="Z984" s="6"/>
      <c r="AA984" s="6" t="s">
        <v>2644</v>
      </c>
      <c r="AB984" s="8"/>
    </row>
    <row r="985" spans="1:28" s="4" customFormat="1" ht="51.95" customHeight="1">
      <c r="A985" s="5">
        <v>0</v>
      </c>
      <c r="B985" s="6" t="s">
        <v>6288</v>
      </c>
      <c r="C985" s="13">
        <v>1094.9000000000001</v>
      </c>
      <c r="D985" s="8" t="s">
        <v>6289</v>
      </c>
      <c r="E985" s="8" t="s">
        <v>6290</v>
      </c>
      <c r="F985" s="8" t="s">
        <v>6291</v>
      </c>
      <c r="G985" s="6" t="s">
        <v>52</v>
      </c>
      <c r="H985" s="6" t="s">
        <v>39</v>
      </c>
      <c r="I985" s="8" t="s">
        <v>185</v>
      </c>
      <c r="J985" s="9">
        <v>1</v>
      </c>
      <c r="K985" s="9">
        <v>240</v>
      </c>
      <c r="L985" s="9">
        <v>2021</v>
      </c>
      <c r="M985" s="8" t="s">
        <v>6292</v>
      </c>
      <c r="N985" s="8" t="s">
        <v>79</v>
      </c>
      <c r="O985" s="8" t="s">
        <v>396</v>
      </c>
      <c r="P985" s="6" t="s">
        <v>43</v>
      </c>
      <c r="Q985" s="8" t="s">
        <v>102</v>
      </c>
      <c r="R985" s="10" t="s">
        <v>6287</v>
      </c>
      <c r="S985" s="11" t="s">
        <v>3081</v>
      </c>
      <c r="T985" s="6"/>
      <c r="U985" s="24" t="str">
        <f>HYPERLINK("https://media.infra-m.ru/1254/1254669/cover/1254669.jpg", "Обложка")</f>
        <v>Обложка</v>
      </c>
      <c r="V985" s="24" t="str">
        <f>HYPERLINK("https://znanium.ru/catalog/product/2180051", "Ознакомиться")</f>
        <v>Ознакомиться</v>
      </c>
      <c r="W985" s="8" t="s">
        <v>6282</v>
      </c>
      <c r="X985" s="6"/>
      <c r="Y985" s="6"/>
      <c r="Z985" s="6"/>
      <c r="AA985" s="6" t="s">
        <v>4952</v>
      </c>
      <c r="AB985" s="8"/>
    </row>
    <row r="986" spans="1:28" s="4" customFormat="1" ht="51.95" customHeight="1">
      <c r="A986" s="5">
        <v>0</v>
      </c>
      <c r="B986" s="6" t="s">
        <v>6293</v>
      </c>
      <c r="C986" s="13">
        <v>1450</v>
      </c>
      <c r="D986" s="8" t="s">
        <v>6294</v>
      </c>
      <c r="E986" s="8" t="s">
        <v>6295</v>
      </c>
      <c r="F986" s="8" t="s">
        <v>6296</v>
      </c>
      <c r="G986" s="6" t="s">
        <v>89</v>
      </c>
      <c r="H986" s="6" t="s">
        <v>53</v>
      </c>
      <c r="I986" s="8" t="s">
        <v>90</v>
      </c>
      <c r="J986" s="9">
        <v>1</v>
      </c>
      <c r="K986" s="9">
        <v>323</v>
      </c>
      <c r="L986" s="9">
        <v>2022</v>
      </c>
      <c r="M986" s="8" t="s">
        <v>6297</v>
      </c>
      <c r="N986" s="8" t="s">
        <v>79</v>
      </c>
      <c r="O986" s="8" t="s">
        <v>396</v>
      </c>
      <c r="P986" s="6" t="s">
        <v>43</v>
      </c>
      <c r="Q986" s="8" t="s">
        <v>44</v>
      </c>
      <c r="R986" s="10" t="s">
        <v>6298</v>
      </c>
      <c r="S986" s="11" t="s">
        <v>6299</v>
      </c>
      <c r="T986" s="6"/>
      <c r="U986" s="24" t="str">
        <f>HYPERLINK("https://media.infra-m.ru/1942/1942640/cover/1942640.jpg", "Обложка")</f>
        <v>Обложка</v>
      </c>
      <c r="V986" s="24" t="str">
        <f>HYPERLINK("https://znanium.ru/catalog/product/1171976", "Ознакомиться")</f>
        <v>Ознакомиться</v>
      </c>
      <c r="W986" s="8" t="s">
        <v>3333</v>
      </c>
      <c r="X986" s="6"/>
      <c r="Y986" s="6"/>
      <c r="Z986" s="6"/>
      <c r="AA986" s="6" t="s">
        <v>235</v>
      </c>
      <c r="AB986" s="8"/>
    </row>
    <row r="987" spans="1:28" s="4" customFormat="1" ht="51.95" customHeight="1">
      <c r="A987" s="5">
        <v>0</v>
      </c>
      <c r="B987" s="6" t="s">
        <v>6300</v>
      </c>
      <c r="C987" s="7">
        <v>550</v>
      </c>
      <c r="D987" s="8" t="s">
        <v>6301</v>
      </c>
      <c r="E987" s="8" t="s">
        <v>6302</v>
      </c>
      <c r="F987" s="8" t="s">
        <v>6278</v>
      </c>
      <c r="G987" s="6" t="s">
        <v>38</v>
      </c>
      <c r="H987" s="6" t="s">
        <v>39</v>
      </c>
      <c r="I987" s="8" t="s">
        <v>116</v>
      </c>
      <c r="J987" s="9">
        <v>1</v>
      </c>
      <c r="K987" s="9">
        <v>72</v>
      </c>
      <c r="L987" s="9">
        <v>2024</v>
      </c>
      <c r="M987" s="8" t="s">
        <v>6303</v>
      </c>
      <c r="N987" s="8" t="s">
        <v>79</v>
      </c>
      <c r="O987" s="8" t="s">
        <v>396</v>
      </c>
      <c r="P987" s="6" t="s">
        <v>43</v>
      </c>
      <c r="Q987" s="8" t="s">
        <v>44</v>
      </c>
      <c r="R987" s="10" t="s">
        <v>6304</v>
      </c>
      <c r="S987" s="11" t="s">
        <v>6305</v>
      </c>
      <c r="T987" s="6"/>
      <c r="U987" s="24" t="str">
        <f>HYPERLINK("https://media.infra-m.ru/2147/2147580/cover/2147580.jpg", "Обложка")</f>
        <v>Обложка</v>
      </c>
      <c r="V987" s="24" t="str">
        <f>HYPERLINK("https://znanium.ru/catalog/product/2147580", "Ознакомиться")</f>
        <v>Ознакомиться</v>
      </c>
      <c r="W987" s="8" t="s">
        <v>6282</v>
      </c>
      <c r="X987" s="6"/>
      <c r="Y987" s="6"/>
      <c r="Z987" s="6"/>
      <c r="AA987" s="6" t="s">
        <v>111</v>
      </c>
      <c r="AB987" s="8"/>
    </row>
    <row r="988" spans="1:28" s="4" customFormat="1" ht="51.95" customHeight="1">
      <c r="A988" s="5">
        <v>0</v>
      </c>
      <c r="B988" s="6" t="s">
        <v>6306</v>
      </c>
      <c r="C988" s="7">
        <v>424</v>
      </c>
      <c r="D988" s="8" t="s">
        <v>6307</v>
      </c>
      <c r="E988" s="8" t="s">
        <v>6302</v>
      </c>
      <c r="F988" s="8" t="s">
        <v>6278</v>
      </c>
      <c r="G988" s="6" t="s">
        <v>38</v>
      </c>
      <c r="H988" s="6" t="s">
        <v>39</v>
      </c>
      <c r="I988" s="8" t="s">
        <v>100</v>
      </c>
      <c r="J988" s="9">
        <v>1</v>
      </c>
      <c r="K988" s="9">
        <v>72</v>
      </c>
      <c r="L988" s="9">
        <v>2025</v>
      </c>
      <c r="M988" s="8" t="s">
        <v>6308</v>
      </c>
      <c r="N988" s="8" t="s">
        <v>79</v>
      </c>
      <c r="O988" s="8" t="s">
        <v>396</v>
      </c>
      <c r="P988" s="6" t="s">
        <v>43</v>
      </c>
      <c r="Q988" s="8" t="s">
        <v>102</v>
      </c>
      <c r="R988" s="10" t="s">
        <v>6309</v>
      </c>
      <c r="S988" s="11" t="s">
        <v>6310</v>
      </c>
      <c r="T988" s="6"/>
      <c r="U988" s="24" t="str">
        <f>HYPERLINK("https://media.infra-m.ru/2188/2188287/cover/2188287.jpg", "Обложка")</f>
        <v>Обложка</v>
      </c>
      <c r="V988" s="24" t="str">
        <f>HYPERLINK("https://znanium.ru/catalog/product/1190665", "Ознакомиться")</f>
        <v>Ознакомиться</v>
      </c>
      <c r="W988" s="8" t="s">
        <v>6282</v>
      </c>
      <c r="X988" s="6"/>
      <c r="Y988" s="6"/>
      <c r="Z988" s="6" t="s">
        <v>104</v>
      </c>
      <c r="AA988" s="6" t="s">
        <v>151</v>
      </c>
      <c r="AB988" s="8"/>
    </row>
    <row r="989" spans="1:28" s="4" customFormat="1" ht="51.95" customHeight="1">
      <c r="A989" s="5">
        <v>0</v>
      </c>
      <c r="B989" s="6" t="s">
        <v>6311</v>
      </c>
      <c r="C989" s="13">
        <v>1457</v>
      </c>
      <c r="D989" s="8" t="s">
        <v>6312</v>
      </c>
      <c r="E989" s="8" t="s">
        <v>6313</v>
      </c>
      <c r="F989" s="8" t="s">
        <v>6314</v>
      </c>
      <c r="G989" s="6" t="s">
        <v>89</v>
      </c>
      <c r="H989" s="6" t="s">
        <v>649</v>
      </c>
      <c r="I989" s="8" t="s">
        <v>185</v>
      </c>
      <c r="J989" s="9">
        <v>1</v>
      </c>
      <c r="K989" s="9">
        <v>224</v>
      </c>
      <c r="L989" s="9">
        <v>2025</v>
      </c>
      <c r="M989" s="8" t="s">
        <v>6315</v>
      </c>
      <c r="N989" s="8" t="s">
        <v>79</v>
      </c>
      <c r="O989" s="8" t="s">
        <v>396</v>
      </c>
      <c r="P989" s="6" t="s">
        <v>43</v>
      </c>
      <c r="Q989" s="8" t="s">
        <v>102</v>
      </c>
      <c r="R989" s="10" t="s">
        <v>6316</v>
      </c>
      <c r="S989" s="11" t="s">
        <v>6317</v>
      </c>
      <c r="T989" s="6"/>
      <c r="U989" s="24" t="str">
        <f>HYPERLINK("https://media.infra-m.ru/2141/2141707/cover/2141707.jpg", "Обложка")</f>
        <v>Обложка</v>
      </c>
      <c r="V989" s="24" t="str">
        <f>HYPERLINK("https://znanium.ru/catalog/product/1832153", "Ознакомиться")</f>
        <v>Ознакомиться</v>
      </c>
      <c r="W989" s="8" t="s">
        <v>6318</v>
      </c>
      <c r="X989" s="6"/>
      <c r="Y989" s="6"/>
      <c r="Z989" s="6"/>
      <c r="AA989" s="6" t="s">
        <v>1135</v>
      </c>
      <c r="AB989" s="8"/>
    </row>
    <row r="990" spans="1:28" s="4" customFormat="1" ht="51.95" customHeight="1">
      <c r="A990" s="5">
        <v>0</v>
      </c>
      <c r="B990" s="6" t="s">
        <v>6319</v>
      </c>
      <c r="C990" s="13">
        <v>2444</v>
      </c>
      <c r="D990" s="8" t="s">
        <v>6320</v>
      </c>
      <c r="E990" s="8" t="s">
        <v>6321</v>
      </c>
      <c r="F990" s="8" t="s">
        <v>6322</v>
      </c>
      <c r="G990" s="6" t="s">
        <v>52</v>
      </c>
      <c r="H990" s="6" t="s">
        <v>438</v>
      </c>
      <c r="I990" s="8"/>
      <c r="J990" s="9">
        <v>1</v>
      </c>
      <c r="K990" s="9">
        <v>512</v>
      </c>
      <c r="L990" s="9">
        <v>2024</v>
      </c>
      <c r="M990" s="8" t="s">
        <v>6323</v>
      </c>
      <c r="N990" s="8" t="s">
        <v>79</v>
      </c>
      <c r="O990" s="8" t="s">
        <v>396</v>
      </c>
      <c r="P990" s="6" t="s">
        <v>167</v>
      </c>
      <c r="Q990" s="8" t="s">
        <v>102</v>
      </c>
      <c r="R990" s="10" t="s">
        <v>6324</v>
      </c>
      <c r="S990" s="11"/>
      <c r="T990" s="6"/>
      <c r="U990" s="24" t="str">
        <f>HYPERLINK("https://media.infra-m.ru/2161/2161079/cover/2161079.jpg", "Обложка")</f>
        <v>Обложка</v>
      </c>
      <c r="V990" s="12"/>
      <c r="W990" s="8"/>
      <c r="X990" s="6"/>
      <c r="Y990" s="6"/>
      <c r="Z990" s="6"/>
      <c r="AA990" s="6" t="s">
        <v>6325</v>
      </c>
      <c r="AB990" s="8"/>
    </row>
    <row r="991" spans="1:28" s="4" customFormat="1" ht="44.1" customHeight="1">
      <c r="A991" s="5">
        <v>0</v>
      </c>
      <c r="B991" s="6" t="s">
        <v>6326</v>
      </c>
      <c r="C991" s="13">
        <v>1104</v>
      </c>
      <c r="D991" s="8" t="s">
        <v>6327</v>
      </c>
      <c r="E991" s="8" t="s">
        <v>6328</v>
      </c>
      <c r="F991" s="8" t="s">
        <v>6329</v>
      </c>
      <c r="G991" s="6" t="s">
        <v>52</v>
      </c>
      <c r="H991" s="6" t="s">
        <v>53</v>
      </c>
      <c r="I991" s="8" t="s">
        <v>100</v>
      </c>
      <c r="J991" s="9">
        <v>1</v>
      </c>
      <c r="K991" s="9">
        <v>207</v>
      </c>
      <c r="L991" s="9">
        <v>2025</v>
      </c>
      <c r="M991" s="8" t="s">
        <v>6330</v>
      </c>
      <c r="N991" s="8" t="s">
        <v>997</v>
      </c>
      <c r="O991" s="8" t="s">
        <v>998</v>
      </c>
      <c r="P991" s="6" t="s">
        <v>43</v>
      </c>
      <c r="Q991" s="8" t="s">
        <v>102</v>
      </c>
      <c r="R991" s="10" t="s">
        <v>6331</v>
      </c>
      <c r="S991" s="11"/>
      <c r="T991" s="6"/>
      <c r="U991" s="24" t="str">
        <f>HYPERLINK("https://media.infra-m.ru/2198/2198382/cover/2198382.jpg", "Обложка")</f>
        <v>Обложка</v>
      </c>
      <c r="V991" s="24" t="str">
        <f>HYPERLINK("https://znanium.ru/catalog/product/2185775", "Ознакомиться")</f>
        <v>Ознакомиться</v>
      </c>
      <c r="W991" s="8" t="s">
        <v>71</v>
      </c>
      <c r="X991" s="6"/>
      <c r="Y991" s="6"/>
      <c r="Z991" s="6"/>
      <c r="AA991" s="6" t="s">
        <v>133</v>
      </c>
      <c r="AB991" s="8"/>
    </row>
    <row r="992" spans="1:28" s="4" customFormat="1" ht="51.95" customHeight="1">
      <c r="A992" s="5">
        <v>0</v>
      </c>
      <c r="B992" s="6" t="s">
        <v>6332</v>
      </c>
      <c r="C992" s="7">
        <v>950</v>
      </c>
      <c r="D992" s="8" t="s">
        <v>6333</v>
      </c>
      <c r="E992" s="8" t="s">
        <v>6334</v>
      </c>
      <c r="F992" s="8" t="s">
        <v>6335</v>
      </c>
      <c r="G992" s="6" t="s">
        <v>89</v>
      </c>
      <c r="H992" s="6" t="s">
        <v>53</v>
      </c>
      <c r="I992" s="8" t="s">
        <v>100</v>
      </c>
      <c r="J992" s="9">
        <v>1</v>
      </c>
      <c r="K992" s="9">
        <v>190</v>
      </c>
      <c r="L992" s="9">
        <v>2025</v>
      </c>
      <c r="M992" s="8" t="s">
        <v>6336</v>
      </c>
      <c r="N992" s="8" t="s">
        <v>56</v>
      </c>
      <c r="O992" s="8" t="s">
        <v>57</v>
      </c>
      <c r="P992" s="6" t="s">
        <v>167</v>
      </c>
      <c r="Q992" s="8" t="s">
        <v>102</v>
      </c>
      <c r="R992" s="10" t="s">
        <v>6337</v>
      </c>
      <c r="S992" s="11" t="s">
        <v>6338</v>
      </c>
      <c r="T992" s="6"/>
      <c r="U992" s="24" t="str">
        <f>HYPERLINK("https://media.infra-m.ru/2179/2179088/cover/2179088.jpg", "Обложка")</f>
        <v>Обложка</v>
      </c>
      <c r="V992" s="24" t="str">
        <f>HYPERLINK("https://znanium.ru/catalog/product/2179088", "Ознакомиться")</f>
        <v>Ознакомиться</v>
      </c>
      <c r="W992" s="8" t="s">
        <v>1358</v>
      </c>
      <c r="X992" s="6"/>
      <c r="Y992" s="6"/>
      <c r="Z992" s="6"/>
      <c r="AA992" s="6" t="s">
        <v>219</v>
      </c>
      <c r="AB992" s="8"/>
    </row>
    <row r="993" spans="1:28" s="4" customFormat="1" ht="51.95" customHeight="1">
      <c r="A993" s="5">
        <v>0</v>
      </c>
      <c r="B993" s="6" t="s">
        <v>6339</v>
      </c>
      <c r="C993" s="13">
        <v>1444</v>
      </c>
      <c r="D993" s="8" t="s">
        <v>6340</v>
      </c>
      <c r="E993" s="8" t="s">
        <v>6341</v>
      </c>
      <c r="F993" s="8" t="s">
        <v>6342</v>
      </c>
      <c r="G993" s="6" t="s">
        <v>38</v>
      </c>
      <c r="H993" s="6" t="s">
        <v>39</v>
      </c>
      <c r="I993" s="8" t="s">
        <v>116</v>
      </c>
      <c r="J993" s="9">
        <v>1</v>
      </c>
      <c r="K993" s="9">
        <v>288</v>
      </c>
      <c r="L993" s="9">
        <v>2025</v>
      </c>
      <c r="M993" s="8" t="s">
        <v>6343</v>
      </c>
      <c r="N993" s="8" t="s">
        <v>56</v>
      </c>
      <c r="O993" s="8" t="s">
        <v>741</v>
      </c>
      <c r="P993" s="6" t="s">
        <v>43</v>
      </c>
      <c r="Q993" s="8" t="s">
        <v>44</v>
      </c>
      <c r="R993" s="10" t="s">
        <v>6344</v>
      </c>
      <c r="S993" s="11" t="s">
        <v>6345</v>
      </c>
      <c r="T993" s="6"/>
      <c r="U993" s="24" t="str">
        <f>HYPERLINK("https://media.infra-m.ru/2159/2159186/cover/2159186.jpg", "Обложка")</f>
        <v>Обложка</v>
      </c>
      <c r="V993" s="24" t="str">
        <f>HYPERLINK("https://znanium.ru/catalog/product/1817993", "Ознакомиться")</f>
        <v>Ознакомиться</v>
      </c>
      <c r="W993" s="8" t="s">
        <v>6346</v>
      </c>
      <c r="X993" s="6"/>
      <c r="Y993" s="6"/>
      <c r="Z993" s="6"/>
      <c r="AA993" s="6" t="s">
        <v>1461</v>
      </c>
      <c r="AB993" s="8"/>
    </row>
    <row r="994" spans="1:28" s="4" customFormat="1" ht="51.95" customHeight="1">
      <c r="A994" s="5">
        <v>0</v>
      </c>
      <c r="B994" s="6" t="s">
        <v>6347</v>
      </c>
      <c r="C994" s="13">
        <v>1890</v>
      </c>
      <c r="D994" s="8" t="s">
        <v>6348</v>
      </c>
      <c r="E994" s="8" t="s">
        <v>6349</v>
      </c>
      <c r="F994" s="8" t="s">
        <v>6350</v>
      </c>
      <c r="G994" s="6" t="s">
        <v>89</v>
      </c>
      <c r="H994" s="6" t="s">
        <v>53</v>
      </c>
      <c r="I994" s="8" t="s">
        <v>100</v>
      </c>
      <c r="J994" s="9">
        <v>1</v>
      </c>
      <c r="K994" s="9">
        <v>372</v>
      </c>
      <c r="L994" s="9">
        <v>2025</v>
      </c>
      <c r="M994" s="8" t="s">
        <v>6351</v>
      </c>
      <c r="N994" s="8" t="s">
        <v>56</v>
      </c>
      <c r="O994" s="8" t="s">
        <v>741</v>
      </c>
      <c r="P994" s="6" t="s">
        <v>167</v>
      </c>
      <c r="Q994" s="8" t="s">
        <v>102</v>
      </c>
      <c r="R994" s="10" t="s">
        <v>6352</v>
      </c>
      <c r="S994" s="11" t="s">
        <v>6353</v>
      </c>
      <c r="T994" s="6"/>
      <c r="U994" s="24" t="str">
        <f>HYPERLINK("https://media.infra-m.ru/2167/2167528/cover/2167528.jpg", "Обложка")</f>
        <v>Обложка</v>
      </c>
      <c r="V994" s="24" t="str">
        <f>HYPERLINK("https://znanium.ru/catalog/product/2167528", "Ознакомиться")</f>
        <v>Ознакомиться</v>
      </c>
      <c r="W994" s="8" t="s">
        <v>6354</v>
      </c>
      <c r="X994" s="6"/>
      <c r="Y994" s="6"/>
      <c r="Z994" s="6"/>
      <c r="AA994" s="6" t="s">
        <v>6355</v>
      </c>
      <c r="AB994" s="8"/>
    </row>
    <row r="995" spans="1:28" s="4" customFormat="1" ht="51.95" customHeight="1">
      <c r="A995" s="5">
        <v>0</v>
      </c>
      <c r="B995" s="6" t="s">
        <v>6356</v>
      </c>
      <c r="C995" s="13">
        <v>1920</v>
      </c>
      <c r="D995" s="8" t="s">
        <v>6357</v>
      </c>
      <c r="E995" s="8" t="s">
        <v>6358</v>
      </c>
      <c r="F995" s="8" t="s">
        <v>6350</v>
      </c>
      <c r="G995" s="6" t="s">
        <v>89</v>
      </c>
      <c r="H995" s="6" t="s">
        <v>53</v>
      </c>
      <c r="I995" s="8" t="s">
        <v>116</v>
      </c>
      <c r="J995" s="9">
        <v>1</v>
      </c>
      <c r="K995" s="9">
        <v>384</v>
      </c>
      <c r="L995" s="9">
        <v>2025</v>
      </c>
      <c r="M995" s="8" t="s">
        <v>6359</v>
      </c>
      <c r="N995" s="8" t="s">
        <v>56</v>
      </c>
      <c r="O995" s="8" t="s">
        <v>741</v>
      </c>
      <c r="P995" s="6" t="s">
        <v>167</v>
      </c>
      <c r="Q995" s="8" t="s">
        <v>44</v>
      </c>
      <c r="R995" s="10" t="s">
        <v>6360</v>
      </c>
      <c r="S995" s="11" t="s">
        <v>6361</v>
      </c>
      <c r="T995" s="6"/>
      <c r="U995" s="24" t="str">
        <f>HYPERLINK("https://media.infra-m.ru/2186/2186851/cover/2186851.jpg", "Обложка")</f>
        <v>Обложка</v>
      </c>
      <c r="V995" s="24" t="str">
        <f>HYPERLINK("https://znanium.ru/catalog/product/2079955", "Ознакомиться")</f>
        <v>Ознакомиться</v>
      </c>
      <c r="W995" s="8" t="s">
        <v>6354</v>
      </c>
      <c r="X995" s="6"/>
      <c r="Y995" s="6"/>
      <c r="Z995" s="6"/>
      <c r="AA995" s="6" t="s">
        <v>6283</v>
      </c>
      <c r="AB995" s="8"/>
    </row>
    <row r="996" spans="1:28" s="4" customFormat="1" ht="51.95" customHeight="1">
      <c r="A996" s="5">
        <v>0</v>
      </c>
      <c r="B996" s="6" t="s">
        <v>6362</v>
      </c>
      <c r="C996" s="13">
        <v>2190</v>
      </c>
      <c r="D996" s="8" t="s">
        <v>6363</v>
      </c>
      <c r="E996" s="8" t="s">
        <v>6364</v>
      </c>
      <c r="F996" s="8" t="s">
        <v>6365</v>
      </c>
      <c r="G996" s="6" t="s">
        <v>52</v>
      </c>
      <c r="H996" s="6" t="s">
        <v>53</v>
      </c>
      <c r="I996" s="8" t="s">
        <v>960</v>
      </c>
      <c r="J996" s="9">
        <v>1</v>
      </c>
      <c r="K996" s="9">
        <v>413</v>
      </c>
      <c r="L996" s="9">
        <v>2024</v>
      </c>
      <c r="M996" s="8" t="s">
        <v>6366</v>
      </c>
      <c r="N996" s="8" t="s">
        <v>79</v>
      </c>
      <c r="O996" s="8" t="s">
        <v>174</v>
      </c>
      <c r="P996" s="6" t="s">
        <v>167</v>
      </c>
      <c r="Q996" s="8" t="s">
        <v>58</v>
      </c>
      <c r="R996" s="10" t="s">
        <v>6367</v>
      </c>
      <c r="S996" s="11" t="s">
        <v>6368</v>
      </c>
      <c r="T996" s="6"/>
      <c r="U996" s="24" t="str">
        <f>HYPERLINK("https://media.infra-m.ru/2151/2151085/cover/2151085.jpg", "Обложка")</f>
        <v>Обложка</v>
      </c>
      <c r="V996" s="24" t="str">
        <f>HYPERLINK("https://znanium.ru/catalog/product/2151085", "Ознакомиться")</f>
        <v>Ознакомиться</v>
      </c>
      <c r="W996" s="8" t="s">
        <v>178</v>
      </c>
      <c r="X996" s="6" t="s">
        <v>772</v>
      </c>
      <c r="Y996" s="6"/>
      <c r="Z996" s="6"/>
      <c r="AA996" s="6" t="s">
        <v>133</v>
      </c>
      <c r="AB996" s="8"/>
    </row>
    <row r="997" spans="1:28" s="4" customFormat="1" ht="42" customHeight="1">
      <c r="A997" s="5">
        <v>0</v>
      </c>
      <c r="B997" s="6" t="s">
        <v>6369</v>
      </c>
      <c r="C997" s="13">
        <v>2550</v>
      </c>
      <c r="D997" s="8" t="s">
        <v>6370</v>
      </c>
      <c r="E997" s="8" t="s">
        <v>6371</v>
      </c>
      <c r="F997" s="8" t="s">
        <v>6372</v>
      </c>
      <c r="G997" s="6" t="s">
        <v>52</v>
      </c>
      <c r="H997" s="6" t="s">
        <v>53</v>
      </c>
      <c r="I997" s="8" t="s">
        <v>127</v>
      </c>
      <c r="J997" s="9">
        <v>1</v>
      </c>
      <c r="K997" s="9">
        <v>489</v>
      </c>
      <c r="L997" s="9">
        <v>2025</v>
      </c>
      <c r="M997" s="8" t="s">
        <v>6373</v>
      </c>
      <c r="N997" s="8" t="s">
        <v>41</v>
      </c>
      <c r="O997" s="8" t="s">
        <v>676</v>
      </c>
      <c r="P997" s="6" t="s">
        <v>167</v>
      </c>
      <c r="Q997" s="8" t="s">
        <v>58</v>
      </c>
      <c r="R997" s="10" t="s">
        <v>969</v>
      </c>
      <c r="S997" s="11"/>
      <c r="T997" s="6"/>
      <c r="U997" s="24" t="str">
        <f>HYPERLINK("https://media.infra-m.ru/2194/2194987/cover/2194987.jpg", "Обложка")</f>
        <v>Обложка</v>
      </c>
      <c r="V997" s="24" t="str">
        <f>HYPERLINK("https://znanium.ru/catalog/product/2145828", "Ознакомиться")</f>
        <v>Ознакомиться</v>
      </c>
      <c r="W997" s="8" t="s">
        <v>131</v>
      </c>
      <c r="X997" s="6"/>
      <c r="Y997" s="6"/>
      <c r="Z997" s="6"/>
      <c r="AA997" s="6" t="s">
        <v>61</v>
      </c>
      <c r="AB997" s="8"/>
    </row>
    <row r="998" spans="1:28" s="4" customFormat="1" ht="51.95" customHeight="1">
      <c r="A998" s="5">
        <v>0</v>
      </c>
      <c r="B998" s="6" t="s">
        <v>6374</v>
      </c>
      <c r="C998" s="7">
        <v>990</v>
      </c>
      <c r="D998" s="8" t="s">
        <v>6375</v>
      </c>
      <c r="E998" s="8" t="s">
        <v>6376</v>
      </c>
      <c r="F998" s="8" t="s">
        <v>6377</v>
      </c>
      <c r="G998" s="6" t="s">
        <v>52</v>
      </c>
      <c r="H998" s="6" t="s">
        <v>53</v>
      </c>
      <c r="I998" s="8" t="s">
        <v>116</v>
      </c>
      <c r="J998" s="9">
        <v>1</v>
      </c>
      <c r="K998" s="9">
        <v>171</v>
      </c>
      <c r="L998" s="9">
        <v>2025</v>
      </c>
      <c r="M998" s="8" t="s">
        <v>6378</v>
      </c>
      <c r="N998" s="8" t="s">
        <v>41</v>
      </c>
      <c r="O998" s="8" t="s">
        <v>676</v>
      </c>
      <c r="P998" s="6" t="s">
        <v>43</v>
      </c>
      <c r="Q998" s="8" t="s">
        <v>58</v>
      </c>
      <c r="R998" s="10" t="s">
        <v>677</v>
      </c>
      <c r="S998" s="11"/>
      <c r="T998" s="6"/>
      <c r="U998" s="24" t="str">
        <f>HYPERLINK("https://media.infra-m.ru/2160/2160986/cover/2160986.jpg", "Обложка")</f>
        <v>Обложка</v>
      </c>
      <c r="V998" s="24" t="str">
        <f>HYPERLINK("https://znanium.ru/catalog/product/2160986", "Ознакомиться")</f>
        <v>Ознакомиться</v>
      </c>
      <c r="W998" s="8" t="s">
        <v>764</v>
      </c>
      <c r="X998" s="6" t="s">
        <v>60</v>
      </c>
      <c r="Y998" s="6"/>
      <c r="Z998" s="6"/>
      <c r="AA998" s="6" t="s">
        <v>61</v>
      </c>
      <c r="AB998" s="8"/>
    </row>
    <row r="999" spans="1:28" s="4" customFormat="1" ht="51.95" customHeight="1">
      <c r="A999" s="5">
        <v>0</v>
      </c>
      <c r="B999" s="6" t="s">
        <v>6379</v>
      </c>
      <c r="C999" s="13">
        <v>1274</v>
      </c>
      <c r="D999" s="8" t="s">
        <v>6380</v>
      </c>
      <c r="E999" s="8" t="s">
        <v>6381</v>
      </c>
      <c r="F999" s="8" t="s">
        <v>6382</v>
      </c>
      <c r="G999" s="6" t="s">
        <v>89</v>
      </c>
      <c r="H999" s="6" t="s">
        <v>53</v>
      </c>
      <c r="I999" s="8" t="s">
        <v>212</v>
      </c>
      <c r="J999" s="9">
        <v>1</v>
      </c>
      <c r="K999" s="9">
        <v>255</v>
      </c>
      <c r="L999" s="9">
        <v>2025</v>
      </c>
      <c r="M999" s="8" t="s">
        <v>6383</v>
      </c>
      <c r="N999" s="8" t="s">
        <v>41</v>
      </c>
      <c r="O999" s="8" t="s">
        <v>676</v>
      </c>
      <c r="P999" s="6" t="s">
        <v>43</v>
      </c>
      <c r="Q999" s="8" t="s">
        <v>214</v>
      </c>
      <c r="R999" s="10" t="s">
        <v>6384</v>
      </c>
      <c r="S999" s="11"/>
      <c r="T999" s="6"/>
      <c r="U999" s="24" t="str">
        <f>HYPERLINK("https://media.infra-m.ru/2185/2185015/cover/2185015.jpg", "Обложка")</f>
        <v>Обложка</v>
      </c>
      <c r="V999" s="24" t="str">
        <f>HYPERLINK("https://znanium.ru/catalog/product/2122509", "Ознакомиться")</f>
        <v>Ознакомиться</v>
      </c>
      <c r="W999" s="8" t="s">
        <v>792</v>
      </c>
      <c r="X999" s="6"/>
      <c r="Y999" s="6"/>
      <c r="Z999" s="6"/>
      <c r="AA999" s="6" t="s">
        <v>207</v>
      </c>
      <c r="AB999" s="8"/>
    </row>
    <row r="1000" spans="1:28" s="4" customFormat="1" ht="42" customHeight="1">
      <c r="A1000" s="5">
        <v>0</v>
      </c>
      <c r="B1000" s="6" t="s">
        <v>6385</v>
      </c>
      <c r="C1000" s="13">
        <v>2660</v>
      </c>
      <c r="D1000" s="8" t="s">
        <v>6386</v>
      </c>
      <c r="E1000" s="8" t="s">
        <v>6387</v>
      </c>
      <c r="F1000" s="8" t="s">
        <v>6388</v>
      </c>
      <c r="G1000" s="6" t="s">
        <v>52</v>
      </c>
      <c r="H1000" s="6" t="s">
        <v>53</v>
      </c>
      <c r="I1000" s="8" t="s">
        <v>116</v>
      </c>
      <c r="J1000" s="9">
        <v>1</v>
      </c>
      <c r="K1000" s="9">
        <v>530</v>
      </c>
      <c r="L1000" s="9">
        <v>2024</v>
      </c>
      <c r="M1000" s="8" t="s">
        <v>6389</v>
      </c>
      <c r="N1000" s="8" t="s">
        <v>997</v>
      </c>
      <c r="O1000" s="8" t="s">
        <v>998</v>
      </c>
      <c r="P1000" s="6" t="s">
        <v>167</v>
      </c>
      <c r="Q1000" s="8" t="s">
        <v>44</v>
      </c>
      <c r="R1000" s="10" t="s">
        <v>6390</v>
      </c>
      <c r="S1000" s="11"/>
      <c r="T1000" s="6"/>
      <c r="U1000" s="24" t="str">
        <f>HYPERLINK("https://media.infra-m.ru/2134/2134547/cover/2134547.jpg", "Обложка")</f>
        <v>Обложка</v>
      </c>
      <c r="V1000" s="24" t="str">
        <f>HYPERLINK("https://znanium.ru/catalog/product/2134547", "Ознакомиться")</f>
        <v>Ознакомиться</v>
      </c>
      <c r="W1000" s="8" t="s">
        <v>2514</v>
      </c>
      <c r="X1000" s="6" t="s">
        <v>548</v>
      </c>
      <c r="Y1000" s="6"/>
      <c r="Z1000" s="6"/>
      <c r="AA1000" s="6" t="s">
        <v>133</v>
      </c>
      <c r="AB1000" s="8"/>
    </row>
    <row r="1001" spans="1:28" s="4" customFormat="1" ht="51.95" customHeight="1">
      <c r="A1001" s="5">
        <v>0</v>
      </c>
      <c r="B1001" s="6" t="s">
        <v>6391</v>
      </c>
      <c r="C1001" s="13">
        <v>1410</v>
      </c>
      <c r="D1001" s="8" t="s">
        <v>6392</v>
      </c>
      <c r="E1001" s="8" t="s">
        <v>6387</v>
      </c>
      <c r="F1001" s="8" t="s">
        <v>6388</v>
      </c>
      <c r="G1001" s="6" t="s">
        <v>89</v>
      </c>
      <c r="H1001" s="6" t="s">
        <v>53</v>
      </c>
      <c r="I1001" s="8" t="s">
        <v>116</v>
      </c>
      <c r="J1001" s="9">
        <v>1</v>
      </c>
      <c r="K1001" s="9">
        <v>299</v>
      </c>
      <c r="L1001" s="9">
        <v>2024</v>
      </c>
      <c r="M1001" s="8" t="s">
        <v>6393</v>
      </c>
      <c r="N1001" s="8" t="s">
        <v>997</v>
      </c>
      <c r="O1001" s="8" t="s">
        <v>998</v>
      </c>
      <c r="P1001" s="6" t="s">
        <v>175</v>
      </c>
      <c r="Q1001" s="8" t="s">
        <v>44</v>
      </c>
      <c r="R1001" s="10" t="s">
        <v>6394</v>
      </c>
      <c r="S1001" s="11" t="s">
        <v>6395</v>
      </c>
      <c r="T1001" s="6"/>
      <c r="U1001" s="24" t="str">
        <f>HYPERLINK("https://media.infra-m.ru/2138/2138719/cover/2138719.jpg", "Обложка")</f>
        <v>Обложка</v>
      </c>
      <c r="V1001" s="24" t="str">
        <f>HYPERLINK("https://znanium.ru/catalog/product/2161273", "Ознакомиться")</f>
        <v>Ознакомиться</v>
      </c>
      <c r="W1001" s="8" t="s">
        <v>2514</v>
      </c>
      <c r="X1001" s="6"/>
      <c r="Y1001" s="6"/>
      <c r="Z1001" s="6"/>
      <c r="AA1001" s="6" t="s">
        <v>235</v>
      </c>
      <c r="AB1001" s="8"/>
    </row>
    <row r="1002" spans="1:28" s="4" customFormat="1" ht="51.95" customHeight="1">
      <c r="A1002" s="5">
        <v>0</v>
      </c>
      <c r="B1002" s="6" t="s">
        <v>6396</v>
      </c>
      <c r="C1002" s="7">
        <v>950</v>
      </c>
      <c r="D1002" s="8" t="s">
        <v>6397</v>
      </c>
      <c r="E1002" s="8" t="s">
        <v>6398</v>
      </c>
      <c r="F1002" s="8" t="s">
        <v>6399</v>
      </c>
      <c r="G1002" s="6" t="s">
        <v>52</v>
      </c>
      <c r="H1002" s="6" t="s">
        <v>53</v>
      </c>
      <c r="I1002" s="8" t="s">
        <v>960</v>
      </c>
      <c r="J1002" s="9">
        <v>1</v>
      </c>
      <c r="K1002" s="9">
        <v>161</v>
      </c>
      <c r="L1002" s="9">
        <v>2025</v>
      </c>
      <c r="M1002" s="8" t="s">
        <v>6400</v>
      </c>
      <c r="N1002" s="8" t="s">
        <v>79</v>
      </c>
      <c r="O1002" s="8" t="s">
        <v>174</v>
      </c>
      <c r="P1002" s="6" t="s">
        <v>175</v>
      </c>
      <c r="Q1002" s="8" t="s">
        <v>58</v>
      </c>
      <c r="R1002" s="10" t="s">
        <v>1134</v>
      </c>
      <c r="S1002" s="11" t="s">
        <v>1115</v>
      </c>
      <c r="T1002" s="6"/>
      <c r="U1002" s="24" t="str">
        <f>HYPERLINK("https://media.infra-m.ru/2157/2157886/cover/2157886.jpg", "Обложка")</f>
        <v>Обложка</v>
      </c>
      <c r="V1002" s="24" t="str">
        <f>HYPERLINK("https://znanium.ru/catalog/product/2157886", "Ознакомиться")</f>
        <v>Ознакомиться</v>
      </c>
      <c r="W1002" s="8" t="s">
        <v>178</v>
      </c>
      <c r="X1002" s="6" t="s">
        <v>1049</v>
      </c>
      <c r="Y1002" s="6"/>
      <c r="Z1002" s="6"/>
      <c r="AA1002" s="6" t="s">
        <v>61</v>
      </c>
      <c r="AB1002" s="8"/>
    </row>
    <row r="1003" spans="1:28" s="4" customFormat="1" ht="51.95" customHeight="1">
      <c r="A1003" s="5">
        <v>0</v>
      </c>
      <c r="B1003" s="6" t="s">
        <v>6401</v>
      </c>
      <c r="C1003" s="13">
        <v>1990</v>
      </c>
      <c r="D1003" s="8" t="s">
        <v>6402</v>
      </c>
      <c r="E1003" s="8" t="s">
        <v>6403</v>
      </c>
      <c r="F1003" s="8" t="s">
        <v>1185</v>
      </c>
      <c r="G1003" s="6" t="s">
        <v>89</v>
      </c>
      <c r="H1003" s="6" t="s">
        <v>53</v>
      </c>
      <c r="I1003" s="8" t="s">
        <v>100</v>
      </c>
      <c r="J1003" s="9">
        <v>1</v>
      </c>
      <c r="K1003" s="9">
        <v>391</v>
      </c>
      <c r="L1003" s="9">
        <v>2025</v>
      </c>
      <c r="M1003" s="8" t="s">
        <v>6404</v>
      </c>
      <c r="N1003" s="8" t="s">
        <v>79</v>
      </c>
      <c r="O1003" s="8" t="s">
        <v>396</v>
      </c>
      <c r="P1003" s="6" t="s">
        <v>43</v>
      </c>
      <c r="Q1003" s="8" t="s">
        <v>102</v>
      </c>
      <c r="R1003" s="10" t="s">
        <v>1187</v>
      </c>
      <c r="S1003" s="11" t="s">
        <v>6405</v>
      </c>
      <c r="T1003" s="6"/>
      <c r="U1003" s="24" t="str">
        <f>HYPERLINK("https://media.infra-m.ru/2163/2163869/cover/2163869.jpg", "Обложка")</f>
        <v>Обложка</v>
      </c>
      <c r="V1003" s="24" t="str">
        <f>HYPERLINK("https://znanium.ru/catalog/product/2163869", "Ознакомиться")</f>
        <v>Ознакомиться</v>
      </c>
      <c r="W1003" s="8" t="s">
        <v>71</v>
      </c>
      <c r="X1003" s="6" t="s">
        <v>1049</v>
      </c>
      <c r="Y1003" s="6"/>
      <c r="Z1003" s="6" t="s">
        <v>104</v>
      </c>
      <c r="AA1003" s="6" t="s">
        <v>549</v>
      </c>
      <c r="AB1003" s="8"/>
    </row>
    <row r="1004" spans="1:28" s="4" customFormat="1" ht="51.95" customHeight="1">
      <c r="A1004" s="5">
        <v>0</v>
      </c>
      <c r="B1004" s="6" t="s">
        <v>6406</v>
      </c>
      <c r="C1004" s="13">
        <v>1844</v>
      </c>
      <c r="D1004" s="8" t="s">
        <v>6407</v>
      </c>
      <c r="E1004" s="8" t="s">
        <v>6403</v>
      </c>
      <c r="F1004" s="8" t="s">
        <v>1185</v>
      </c>
      <c r="G1004" s="6" t="s">
        <v>52</v>
      </c>
      <c r="H1004" s="6" t="s">
        <v>53</v>
      </c>
      <c r="I1004" s="8" t="s">
        <v>90</v>
      </c>
      <c r="J1004" s="9">
        <v>1</v>
      </c>
      <c r="K1004" s="9">
        <v>391</v>
      </c>
      <c r="L1004" s="9">
        <v>2024</v>
      </c>
      <c r="M1004" s="8" t="s">
        <v>6408</v>
      </c>
      <c r="N1004" s="8" t="s">
        <v>79</v>
      </c>
      <c r="O1004" s="8" t="s">
        <v>396</v>
      </c>
      <c r="P1004" s="6" t="s">
        <v>43</v>
      </c>
      <c r="Q1004" s="8" t="s">
        <v>44</v>
      </c>
      <c r="R1004" s="10" t="s">
        <v>6409</v>
      </c>
      <c r="S1004" s="11" t="s">
        <v>6405</v>
      </c>
      <c r="T1004" s="6"/>
      <c r="U1004" s="24" t="str">
        <f>HYPERLINK("https://media.infra-m.ru/2116/2116906/cover/2116906.jpg", "Обложка")</f>
        <v>Обложка</v>
      </c>
      <c r="V1004" s="24" t="str">
        <f>HYPERLINK("https://znanium.ru/catalog/product/2168805", "Ознакомиться")</f>
        <v>Ознакомиться</v>
      </c>
      <c r="W1004" s="8" t="s">
        <v>71</v>
      </c>
      <c r="X1004" s="6"/>
      <c r="Y1004" s="6"/>
      <c r="Z1004" s="6"/>
      <c r="AA1004" s="6" t="s">
        <v>813</v>
      </c>
      <c r="AB1004" s="8"/>
    </row>
    <row r="1005" spans="1:28" s="4" customFormat="1" ht="51.95" customHeight="1">
      <c r="A1005" s="5">
        <v>0</v>
      </c>
      <c r="B1005" s="6" t="s">
        <v>6410</v>
      </c>
      <c r="C1005" s="13">
        <v>1180</v>
      </c>
      <c r="D1005" s="8" t="s">
        <v>6411</v>
      </c>
      <c r="E1005" s="8" t="s">
        <v>6412</v>
      </c>
      <c r="F1005" s="8" t="s">
        <v>6413</v>
      </c>
      <c r="G1005" s="6" t="s">
        <v>89</v>
      </c>
      <c r="H1005" s="6" t="s">
        <v>53</v>
      </c>
      <c r="I1005" s="8" t="s">
        <v>116</v>
      </c>
      <c r="J1005" s="9">
        <v>1</v>
      </c>
      <c r="K1005" s="9">
        <v>229</v>
      </c>
      <c r="L1005" s="9">
        <v>2025</v>
      </c>
      <c r="M1005" s="8" t="s">
        <v>6414</v>
      </c>
      <c r="N1005" s="8" t="s">
        <v>79</v>
      </c>
      <c r="O1005" s="8" t="s">
        <v>570</v>
      </c>
      <c r="P1005" s="6" t="s">
        <v>43</v>
      </c>
      <c r="Q1005" s="8" t="s">
        <v>279</v>
      </c>
      <c r="R1005" s="10" t="s">
        <v>6415</v>
      </c>
      <c r="S1005" s="11" t="s">
        <v>6416</v>
      </c>
      <c r="T1005" s="6"/>
      <c r="U1005" s="24" t="str">
        <f>HYPERLINK("https://media.infra-m.ru/2186/2186879/cover/2186879.jpg", "Обложка")</f>
        <v>Обложка</v>
      </c>
      <c r="V1005" s="24" t="str">
        <f>HYPERLINK("https://znanium.ru/catalog/product/2186879", "Ознакомиться")</f>
        <v>Ознакомиться</v>
      </c>
      <c r="W1005" s="8" t="s">
        <v>487</v>
      </c>
      <c r="X1005" s="6"/>
      <c r="Y1005" s="6"/>
      <c r="Z1005" s="6"/>
      <c r="AA1005" s="6" t="s">
        <v>219</v>
      </c>
      <c r="AB1005" s="8"/>
    </row>
    <row r="1006" spans="1:28" s="4" customFormat="1" ht="51.95" customHeight="1">
      <c r="A1006" s="5">
        <v>0</v>
      </c>
      <c r="B1006" s="6" t="s">
        <v>6417</v>
      </c>
      <c r="C1006" s="7">
        <v>860</v>
      </c>
      <c r="D1006" s="8" t="s">
        <v>6418</v>
      </c>
      <c r="E1006" s="8" t="s">
        <v>6419</v>
      </c>
      <c r="F1006" s="8" t="s">
        <v>6420</v>
      </c>
      <c r="G1006" s="6" t="s">
        <v>89</v>
      </c>
      <c r="H1006" s="6" t="s">
        <v>184</v>
      </c>
      <c r="I1006" s="8" t="s">
        <v>116</v>
      </c>
      <c r="J1006" s="9">
        <v>1</v>
      </c>
      <c r="K1006" s="9">
        <v>180</v>
      </c>
      <c r="L1006" s="9">
        <v>2024</v>
      </c>
      <c r="M1006" s="8" t="s">
        <v>6421</v>
      </c>
      <c r="N1006" s="8" t="s">
        <v>79</v>
      </c>
      <c r="O1006" s="8" t="s">
        <v>570</v>
      </c>
      <c r="P1006" s="6" t="s">
        <v>43</v>
      </c>
      <c r="Q1006" s="8" t="s">
        <v>44</v>
      </c>
      <c r="R1006" s="10" t="s">
        <v>6422</v>
      </c>
      <c r="S1006" s="11"/>
      <c r="T1006" s="6"/>
      <c r="U1006" s="24" t="str">
        <f>HYPERLINK("https://media.infra-m.ru/2085/2085964/cover/2085964.jpg", "Обложка")</f>
        <v>Обложка</v>
      </c>
      <c r="V1006" s="24" t="str">
        <f>HYPERLINK("https://znanium.ru/catalog/product/2085964", "Ознакомиться")</f>
        <v>Ознакомиться</v>
      </c>
      <c r="W1006" s="8" t="s">
        <v>2343</v>
      </c>
      <c r="X1006" s="6"/>
      <c r="Y1006" s="6"/>
      <c r="Z1006" s="6"/>
      <c r="AA1006" s="6" t="s">
        <v>793</v>
      </c>
      <c r="AB1006" s="8"/>
    </row>
    <row r="1007" spans="1:28" s="4" customFormat="1" ht="42" customHeight="1">
      <c r="A1007" s="5">
        <v>0</v>
      </c>
      <c r="B1007" s="6" t="s">
        <v>6423</v>
      </c>
      <c r="C1007" s="7">
        <v>900</v>
      </c>
      <c r="D1007" s="8" t="s">
        <v>6424</v>
      </c>
      <c r="E1007" s="8" t="s">
        <v>6419</v>
      </c>
      <c r="F1007" s="8" t="s">
        <v>6420</v>
      </c>
      <c r="G1007" s="6" t="s">
        <v>89</v>
      </c>
      <c r="H1007" s="6" t="s">
        <v>184</v>
      </c>
      <c r="I1007" s="8" t="s">
        <v>185</v>
      </c>
      <c r="J1007" s="9">
        <v>1</v>
      </c>
      <c r="K1007" s="9">
        <v>180</v>
      </c>
      <c r="L1007" s="9">
        <v>2025</v>
      </c>
      <c r="M1007" s="8" t="s">
        <v>6425</v>
      </c>
      <c r="N1007" s="8" t="s">
        <v>79</v>
      </c>
      <c r="O1007" s="8" t="s">
        <v>570</v>
      </c>
      <c r="P1007" s="6" t="s">
        <v>43</v>
      </c>
      <c r="Q1007" s="8" t="s">
        <v>102</v>
      </c>
      <c r="R1007" s="10" t="s">
        <v>6426</v>
      </c>
      <c r="S1007" s="11"/>
      <c r="T1007" s="6"/>
      <c r="U1007" s="24" t="str">
        <f>HYPERLINK("https://media.infra-m.ru/2173/2173386/cover/2173386.jpg", "Обложка")</f>
        <v>Обложка</v>
      </c>
      <c r="V1007" s="24" t="str">
        <f>HYPERLINK("https://znanium.ru/catalog/product/2173386", "Ознакомиться")</f>
        <v>Ознакомиться</v>
      </c>
      <c r="W1007" s="8" t="s">
        <v>2343</v>
      </c>
      <c r="X1007" s="6"/>
      <c r="Y1007" s="6"/>
      <c r="Z1007" s="6" t="s">
        <v>104</v>
      </c>
      <c r="AA1007" s="6" t="s">
        <v>793</v>
      </c>
      <c r="AB1007" s="8"/>
    </row>
    <row r="1008" spans="1:28" s="4" customFormat="1" ht="51.95" customHeight="1">
      <c r="A1008" s="5">
        <v>0</v>
      </c>
      <c r="B1008" s="6" t="s">
        <v>6427</v>
      </c>
      <c r="C1008" s="13">
        <v>1154.9000000000001</v>
      </c>
      <c r="D1008" s="8" t="s">
        <v>6428</v>
      </c>
      <c r="E1008" s="8" t="s">
        <v>6429</v>
      </c>
      <c r="F1008" s="8" t="s">
        <v>6430</v>
      </c>
      <c r="G1008" s="6" t="s">
        <v>52</v>
      </c>
      <c r="H1008" s="6" t="s">
        <v>53</v>
      </c>
      <c r="I1008" s="8" t="s">
        <v>90</v>
      </c>
      <c r="J1008" s="9">
        <v>1</v>
      </c>
      <c r="K1008" s="9">
        <v>304</v>
      </c>
      <c r="L1008" s="9">
        <v>2022</v>
      </c>
      <c r="M1008" s="8" t="s">
        <v>6431</v>
      </c>
      <c r="N1008" s="8" t="s">
        <v>41</v>
      </c>
      <c r="O1008" s="8" t="s">
        <v>118</v>
      </c>
      <c r="P1008" s="6" t="s">
        <v>43</v>
      </c>
      <c r="Q1008" s="8" t="s">
        <v>44</v>
      </c>
      <c r="R1008" s="10" t="s">
        <v>1291</v>
      </c>
      <c r="S1008" s="11" t="s">
        <v>1292</v>
      </c>
      <c r="T1008" s="6" t="s">
        <v>299</v>
      </c>
      <c r="U1008" s="24" t="str">
        <f>HYPERLINK("https://media.infra-m.ru/1844/1844307/cover/1844307.jpg", "Обложка")</f>
        <v>Обложка</v>
      </c>
      <c r="V1008" s="24" t="str">
        <f>HYPERLINK("https://znanium.ru/catalog/product/2169529", "Ознакомиться")</f>
        <v>Ознакомиться</v>
      </c>
      <c r="W1008" s="8" t="s">
        <v>1293</v>
      </c>
      <c r="X1008" s="6"/>
      <c r="Y1008" s="6"/>
      <c r="Z1008" s="6"/>
      <c r="AA1008" s="6" t="s">
        <v>84</v>
      </c>
      <c r="AB1008" s="8"/>
    </row>
    <row r="1009" spans="1:28" s="4" customFormat="1" ht="51.95" customHeight="1">
      <c r="A1009" s="5">
        <v>0</v>
      </c>
      <c r="B1009" s="6" t="s">
        <v>6432</v>
      </c>
      <c r="C1009" s="13">
        <v>1200</v>
      </c>
      <c r="D1009" s="8" t="s">
        <v>6433</v>
      </c>
      <c r="E1009" s="8" t="s">
        <v>6434</v>
      </c>
      <c r="F1009" s="8" t="s">
        <v>5988</v>
      </c>
      <c r="G1009" s="6" t="s">
        <v>89</v>
      </c>
      <c r="H1009" s="6" t="s">
        <v>39</v>
      </c>
      <c r="I1009" s="8" t="s">
        <v>100</v>
      </c>
      <c r="J1009" s="9">
        <v>1</v>
      </c>
      <c r="K1009" s="9">
        <v>287</v>
      </c>
      <c r="L1009" s="9">
        <v>2023</v>
      </c>
      <c r="M1009" s="8" t="s">
        <v>6435</v>
      </c>
      <c r="N1009" s="8" t="s">
        <v>79</v>
      </c>
      <c r="O1009" s="8" t="s">
        <v>570</v>
      </c>
      <c r="P1009" s="6" t="s">
        <v>43</v>
      </c>
      <c r="Q1009" s="8" t="s">
        <v>102</v>
      </c>
      <c r="R1009" s="10" t="s">
        <v>6436</v>
      </c>
      <c r="S1009" s="11" t="s">
        <v>6437</v>
      </c>
      <c r="T1009" s="6"/>
      <c r="U1009" s="24" t="str">
        <f>HYPERLINK("https://media.infra-m.ru/1873/1873953/cover/1873953.jpg", "Обложка")</f>
        <v>Обложка</v>
      </c>
      <c r="V1009" s="24" t="str">
        <f>HYPERLINK("https://znanium.ru/catalog/product/2079927", "Ознакомиться")</f>
        <v>Ознакомиться</v>
      </c>
      <c r="W1009" s="8" t="s">
        <v>450</v>
      </c>
      <c r="X1009" s="6"/>
      <c r="Y1009" s="6"/>
      <c r="Z1009" s="6" t="s">
        <v>104</v>
      </c>
      <c r="AA1009" s="6" t="s">
        <v>1374</v>
      </c>
      <c r="AB1009" s="8"/>
    </row>
    <row r="1010" spans="1:28" s="4" customFormat="1" ht="51.95" customHeight="1">
      <c r="A1010" s="5">
        <v>0</v>
      </c>
      <c r="B1010" s="6" t="s">
        <v>6438</v>
      </c>
      <c r="C1010" s="13">
        <v>1484</v>
      </c>
      <c r="D1010" s="8" t="s">
        <v>6439</v>
      </c>
      <c r="E1010" s="8" t="s">
        <v>6434</v>
      </c>
      <c r="F1010" s="8" t="s">
        <v>5988</v>
      </c>
      <c r="G1010" s="6" t="s">
        <v>89</v>
      </c>
      <c r="H1010" s="6" t="s">
        <v>39</v>
      </c>
      <c r="I1010" s="8" t="s">
        <v>116</v>
      </c>
      <c r="J1010" s="9">
        <v>1</v>
      </c>
      <c r="K1010" s="9">
        <v>287</v>
      </c>
      <c r="L1010" s="9">
        <v>2025</v>
      </c>
      <c r="M1010" s="8" t="s">
        <v>6440</v>
      </c>
      <c r="N1010" s="8" t="s">
        <v>79</v>
      </c>
      <c r="O1010" s="8" t="s">
        <v>570</v>
      </c>
      <c r="P1010" s="6" t="s">
        <v>43</v>
      </c>
      <c r="Q1010" s="8" t="s">
        <v>44</v>
      </c>
      <c r="R1010" s="10" t="s">
        <v>6441</v>
      </c>
      <c r="S1010" s="11" t="s">
        <v>6442</v>
      </c>
      <c r="T1010" s="6"/>
      <c r="U1010" s="24" t="str">
        <f>HYPERLINK("https://media.infra-m.ru/2191/2191631/cover/2191631.jpg", "Обложка")</f>
        <v>Обложка</v>
      </c>
      <c r="V1010" s="24" t="str">
        <f>HYPERLINK("https://znanium.ru/catalog/product/2191631", "Ознакомиться")</f>
        <v>Ознакомиться</v>
      </c>
      <c r="W1010" s="8" t="s">
        <v>450</v>
      </c>
      <c r="X1010" s="6"/>
      <c r="Y1010" s="6"/>
      <c r="Z1010" s="6"/>
      <c r="AA1010" s="6" t="s">
        <v>494</v>
      </c>
      <c r="AB1010" s="8"/>
    </row>
    <row r="1011" spans="1:28" s="4" customFormat="1" ht="51.95" customHeight="1">
      <c r="A1011" s="5">
        <v>0</v>
      </c>
      <c r="B1011" s="6" t="s">
        <v>6443</v>
      </c>
      <c r="C1011" s="13">
        <v>1090</v>
      </c>
      <c r="D1011" s="8" t="s">
        <v>6444</v>
      </c>
      <c r="E1011" s="8" t="s">
        <v>6445</v>
      </c>
      <c r="F1011" s="8" t="s">
        <v>6446</v>
      </c>
      <c r="G1011" s="6" t="s">
        <v>89</v>
      </c>
      <c r="H1011" s="6" t="s">
        <v>53</v>
      </c>
      <c r="I1011" s="8" t="s">
        <v>116</v>
      </c>
      <c r="J1011" s="9">
        <v>1</v>
      </c>
      <c r="K1011" s="9">
        <v>208</v>
      </c>
      <c r="L1011" s="9">
        <v>2025</v>
      </c>
      <c r="M1011" s="8" t="s">
        <v>6447</v>
      </c>
      <c r="N1011" s="8" t="s">
        <v>79</v>
      </c>
      <c r="O1011" s="8" t="s">
        <v>570</v>
      </c>
      <c r="P1011" s="6" t="s">
        <v>43</v>
      </c>
      <c r="Q1011" s="8" t="s">
        <v>58</v>
      </c>
      <c r="R1011" s="10" t="s">
        <v>6448</v>
      </c>
      <c r="S1011" s="11" t="s">
        <v>6449</v>
      </c>
      <c r="T1011" s="6"/>
      <c r="U1011" s="24" t="str">
        <f>HYPERLINK("https://media.infra-m.ru/2202/2202815/cover/2202815.jpg", "Обложка")</f>
        <v>Обложка</v>
      </c>
      <c r="V1011" s="24" t="str">
        <f>HYPERLINK("https://znanium.ru/catalog/product/2202815", "Ознакомиться")</f>
        <v>Ознакомиться</v>
      </c>
      <c r="W1011" s="8" t="s">
        <v>6450</v>
      </c>
      <c r="X1011" s="6"/>
      <c r="Y1011" s="6"/>
      <c r="Z1011" s="6"/>
      <c r="AA1011" s="6" t="s">
        <v>72</v>
      </c>
      <c r="AB1011" s="8"/>
    </row>
    <row r="1012" spans="1:28" s="4" customFormat="1" ht="42" customHeight="1">
      <c r="A1012" s="5">
        <v>0</v>
      </c>
      <c r="B1012" s="6" t="s">
        <v>6451</v>
      </c>
      <c r="C1012" s="7">
        <v>400</v>
      </c>
      <c r="D1012" s="8" t="s">
        <v>6452</v>
      </c>
      <c r="E1012" s="8" t="s">
        <v>6453</v>
      </c>
      <c r="F1012" s="8" t="s">
        <v>6454</v>
      </c>
      <c r="G1012" s="6" t="s">
        <v>38</v>
      </c>
      <c r="H1012" s="6" t="s">
        <v>53</v>
      </c>
      <c r="I1012" s="8" t="s">
        <v>116</v>
      </c>
      <c r="J1012" s="9">
        <v>1</v>
      </c>
      <c r="K1012" s="9">
        <v>86</v>
      </c>
      <c r="L1012" s="9">
        <v>2023</v>
      </c>
      <c r="M1012" s="8" t="s">
        <v>6455</v>
      </c>
      <c r="N1012" s="8" t="s">
        <v>56</v>
      </c>
      <c r="O1012" s="8" t="s">
        <v>57</v>
      </c>
      <c r="P1012" s="6" t="s">
        <v>43</v>
      </c>
      <c r="Q1012" s="8" t="s">
        <v>58</v>
      </c>
      <c r="R1012" s="10" t="s">
        <v>6456</v>
      </c>
      <c r="S1012" s="11"/>
      <c r="T1012" s="6"/>
      <c r="U1012" s="24" t="str">
        <f>HYPERLINK("https://media.infra-m.ru/2000/2000881/cover/2000881.jpg", "Обложка")</f>
        <v>Обложка</v>
      </c>
      <c r="V1012" s="24" t="str">
        <f>HYPERLINK("https://znanium.ru/catalog/product/2000881", "Ознакомиться")</f>
        <v>Ознакомиться</v>
      </c>
      <c r="W1012" s="8" t="s">
        <v>4323</v>
      </c>
      <c r="X1012" s="6"/>
      <c r="Y1012" s="6"/>
      <c r="Z1012" s="6"/>
      <c r="AA1012" s="6" t="s">
        <v>122</v>
      </c>
      <c r="AB1012" s="8"/>
    </row>
    <row r="1013" spans="1:28" s="4" customFormat="1" ht="51.95" customHeight="1">
      <c r="A1013" s="5">
        <v>0</v>
      </c>
      <c r="B1013" s="6" t="s">
        <v>6457</v>
      </c>
      <c r="C1013" s="13">
        <v>1580</v>
      </c>
      <c r="D1013" s="8" t="s">
        <v>6458</v>
      </c>
      <c r="E1013" s="8" t="s">
        <v>6459</v>
      </c>
      <c r="F1013" s="8" t="s">
        <v>6460</v>
      </c>
      <c r="G1013" s="6" t="s">
        <v>89</v>
      </c>
      <c r="H1013" s="6" t="s">
        <v>53</v>
      </c>
      <c r="I1013" s="8" t="s">
        <v>90</v>
      </c>
      <c r="J1013" s="9">
        <v>1</v>
      </c>
      <c r="K1013" s="9">
        <v>343</v>
      </c>
      <c r="L1013" s="9">
        <v>2023</v>
      </c>
      <c r="M1013" s="8" t="s">
        <v>6461</v>
      </c>
      <c r="N1013" s="8" t="s">
        <v>997</v>
      </c>
      <c r="O1013" s="8" t="s">
        <v>6462</v>
      </c>
      <c r="P1013" s="6" t="s">
        <v>43</v>
      </c>
      <c r="Q1013" s="8" t="s">
        <v>44</v>
      </c>
      <c r="R1013" s="10" t="s">
        <v>6360</v>
      </c>
      <c r="S1013" s="11" t="s">
        <v>6463</v>
      </c>
      <c r="T1013" s="6"/>
      <c r="U1013" s="24" t="str">
        <f>HYPERLINK("https://media.infra-m.ru/2127/2127167/cover/2127167.jpg", "Обложка")</f>
        <v>Обложка</v>
      </c>
      <c r="V1013" s="24" t="str">
        <f>HYPERLINK("https://znanium.ru/catalog/product/2127167", "Ознакомиться")</f>
        <v>Ознакомиться</v>
      </c>
      <c r="W1013" s="8" t="s">
        <v>6464</v>
      </c>
      <c r="X1013" s="6"/>
      <c r="Y1013" s="6"/>
      <c r="Z1013" s="6"/>
      <c r="AA1013" s="6" t="s">
        <v>235</v>
      </c>
      <c r="AB1013" s="8"/>
    </row>
    <row r="1014" spans="1:28" s="4" customFormat="1" ht="42" customHeight="1">
      <c r="A1014" s="5">
        <v>0</v>
      </c>
      <c r="B1014" s="6" t="s">
        <v>6465</v>
      </c>
      <c r="C1014" s="7">
        <v>734</v>
      </c>
      <c r="D1014" s="8" t="s">
        <v>6466</v>
      </c>
      <c r="E1014" s="8" t="s">
        <v>6467</v>
      </c>
      <c r="F1014" s="8" t="s">
        <v>6468</v>
      </c>
      <c r="G1014" s="6" t="s">
        <v>38</v>
      </c>
      <c r="H1014" s="6" t="s">
        <v>952</v>
      </c>
      <c r="I1014" s="8" t="s">
        <v>2699</v>
      </c>
      <c r="J1014" s="9">
        <v>1</v>
      </c>
      <c r="K1014" s="9">
        <v>152</v>
      </c>
      <c r="L1014" s="9">
        <v>2023</v>
      </c>
      <c r="M1014" s="8" t="s">
        <v>6469</v>
      </c>
      <c r="N1014" s="8" t="s">
        <v>41</v>
      </c>
      <c r="O1014" s="8" t="s">
        <v>278</v>
      </c>
      <c r="P1014" s="6" t="s">
        <v>43</v>
      </c>
      <c r="Q1014" s="8" t="s">
        <v>44</v>
      </c>
      <c r="R1014" s="10" t="s">
        <v>6470</v>
      </c>
      <c r="S1014" s="11"/>
      <c r="T1014" s="6"/>
      <c r="U1014" s="24" t="str">
        <f>HYPERLINK("https://media.infra-m.ru/2109/2109056/cover/2109056.jpg", "Обложка")</f>
        <v>Обложка</v>
      </c>
      <c r="V1014" s="24" t="str">
        <f>HYPERLINK("https://znanium.ru/catalog/product/2086800", "Ознакомиться")</f>
        <v>Ознакомиться</v>
      </c>
      <c r="W1014" s="8"/>
      <c r="X1014" s="6"/>
      <c r="Y1014" s="6"/>
      <c r="Z1014" s="6"/>
      <c r="AA1014" s="6" t="s">
        <v>442</v>
      </c>
      <c r="AB1014" s="8"/>
    </row>
    <row r="1015" spans="1:28" s="4" customFormat="1" ht="42" customHeight="1">
      <c r="A1015" s="5">
        <v>0</v>
      </c>
      <c r="B1015" s="6" t="s">
        <v>6471</v>
      </c>
      <c r="C1015" s="7">
        <v>880</v>
      </c>
      <c r="D1015" s="8" t="s">
        <v>6472</v>
      </c>
      <c r="E1015" s="8" t="s">
        <v>6473</v>
      </c>
      <c r="F1015" s="8" t="s">
        <v>6474</v>
      </c>
      <c r="G1015" s="6" t="s">
        <v>38</v>
      </c>
      <c r="H1015" s="6" t="s">
        <v>952</v>
      </c>
      <c r="I1015" s="8" t="s">
        <v>100</v>
      </c>
      <c r="J1015" s="9">
        <v>1</v>
      </c>
      <c r="K1015" s="9">
        <v>176</v>
      </c>
      <c r="L1015" s="9">
        <v>2025</v>
      </c>
      <c r="M1015" s="8" t="s">
        <v>6475</v>
      </c>
      <c r="N1015" s="8" t="s">
        <v>41</v>
      </c>
      <c r="O1015" s="8" t="s">
        <v>278</v>
      </c>
      <c r="P1015" s="6" t="s">
        <v>43</v>
      </c>
      <c r="Q1015" s="8" t="s">
        <v>102</v>
      </c>
      <c r="R1015" s="10" t="s">
        <v>6476</v>
      </c>
      <c r="S1015" s="11"/>
      <c r="T1015" s="6"/>
      <c r="U1015" s="24" t="str">
        <f>HYPERLINK("https://media.infra-m.ru/2192/2192953/cover/2192953.jpg", "Обложка")</f>
        <v>Обложка</v>
      </c>
      <c r="V1015" s="24" t="str">
        <f>HYPERLINK("https://znanium.ru/catalog/product/2192953", "Ознакомиться")</f>
        <v>Ознакомиться</v>
      </c>
      <c r="W1015" s="8" t="s">
        <v>564</v>
      </c>
      <c r="X1015" s="6" t="s">
        <v>1476</v>
      </c>
      <c r="Y1015" s="6"/>
      <c r="Z1015" s="6"/>
      <c r="AA1015" s="6" t="s">
        <v>61</v>
      </c>
      <c r="AB1015" s="8"/>
    </row>
    <row r="1016" spans="1:28" s="4" customFormat="1" ht="51.95" customHeight="1">
      <c r="A1016" s="5">
        <v>0</v>
      </c>
      <c r="B1016" s="6" t="s">
        <v>6477</v>
      </c>
      <c r="C1016" s="7">
        <v>810</v>
      </c>
      <c r="D1016" s="8" t="s">
        <v>6478</v>
      </c>
      <c r="E1016" s="8" t="s">
        <v>6473</v>
      </c>
      <c r="F1016" s="8" t="s">
        <v>6474</v>
      </c>
      <c r="G1016" s="6" t="s">
        <v>38</v>
      </c>
      <c r="H1016" s="6" t="s">
        <v>952</v>
      </c>
      <c r="I1016" s="8" t="s">
        <v>1171</v>
      </c>
      <c r="J1016" s="9">
        <v>1</v>
      </c>
      <c r="K1016" s="9">
        <v>176</v>
      </c>
      <c r="L1016" s="9">
        <v>2024</v>
      </c>
      <c r="M1016" s="8" t="s">
        <v>6479</v>
      </c>
      <c r="N1016" s="8" t="s">
        <v>41</v>
      </c>
      <c r="O1016" s="8" t="s">
        <v>278</v>
      </c>
      <c r="P1016" s="6" t="s">
        <v>43</v>
      </c>
      <c r="Q1016" s="8" t="s">
        <v>44</v>
      </c>
      <c r="R1016" s="10" t="s">
        <v>6480</v>
      </c>
      <c r="S1016" s="11" t="s">
        <v>6481</v>
      </c>
      <c r="T1016" s="6"/>
      <c r="U1016" s="24" t="str">
        <f>HYPERLINK("https://media.infra-m.ru/2117/2117171/cover/2117171.jpg", "Обложка")</f>
        <v>Обложка</v>
      </c>
      <c r="V1016" s="24" t="str">
        <f>HYPERLINK("https://znanium.ru/catalog/product/2117171", "Ознакомиться")</f>
        <v>Ознакомиться</v>
      </c>
      <c r="W1016" s="8" t="s">
        <v>564</v>
      </c>
      <c r="X1016" s="6"/>
      <c r="Y1016" s="6"/>
      <c r="Z1016" s="6"/>
      <c r="AA1016" s="6" t="s">
        <v>122</v>
      </c>
      <c r="AB1016" s="8"/>
    </row>
    <row r="1017" spans="1:28" s="4" customFormat="1" ht="51.95" customHeight="1">
      <c r="A1017" s="5">
        <v>0</v>
      </c>
      <c r="B1017" s="6" t="s">
        <v>6482</v>
      </c>
      <c r="C1017" s="7">
        <v>914</v>
      </c>
      <c r="D1017" s="8" t="s">
        <v>6483</v>
      </c>
      <c r="E1017" s="8" t="s">
        <v>6484</v>
      </c>
      <c r="F1017" s="8" t="s">
        <v>6485</v>
      </c>
      <c r="G1017" s="6" t="s">
        <v>52</v>
      </c>
      <c r="H1017" s="6" t="s">
        <v>53</v>
      </c>
      <c r="I1017" s="8" t="s">
        <v>90</v>
      </c>
      <c r="J1017" s="9">
        <v>1</v>
      </c>
      <c r="K1017" s="9">
        <v>175</v>
      </c>
      <c r="L1017" s="9">
        <v>2025</v>
      </c>
      <c r="M1017" s="8" t="s">
        <v>6486</v>
      </c>
      <c r="N1017" s="8" t="s">
        <v>79</v>
      </c>
      <c r="O1017" s="8" t="s">
        <v>396</v>
      </c>
      <c r="P1017" s="6" t="s">
        <v>43</v>
      </c>
      <c r="Q1017" s="8" t="s">
        <v>44</v>
      </c>
      <c r="R1017" s="10" t="s">
        <v>6487</v>
      </c>
      <c r="S1017" s="11" t="s">
        <v>6488</v>
      </c>
      <c r="T1017" s="6"/>
      <c r="U1017" s="24" t="str">
        <f>HYPERLINK("https://media.infra-m.ru/2194/2194324/cover/2194324.jpg", "Обложка")</f>
        <v>Обложка</v>
      </c>
      <c r="V1017" s="24" t="str">
        <f>HYPERLINK("https://znanium.ru/catalog/product/1846457", "Ознакомиться")</f>
        <v>Ознакомиться</v>
      </c>
      <c r="W1017" s="8" t="s">
        <v>6489</v>
      </c>
      <c r="X1017" s="6"/>
      <c r="Y1017" s="6"/>
      <c r="Z1017" s="6"/>
      <c r="AA1017" s="6" t="s">
        <v>874</v>
      </c>
      <c r="AB1017" s="8"/>
    </row>
    <row r="1018" spans="1:28" s="4" customFormat="1" ht="51.95" customHeight="1">
      <c r="A1018" s="5">
        <v>0</v>
      </c>
      <c r="B1018" s="6" t="s">
        <v>6490</v>
      </c>
      <c r="C1018" s="7">
        <v>484.9</v>
      </c>
      <c r="D1018" s="8" t="s">
        <v>6491</v>
      </c>
      <c r="E1018" s="8" t="s">
        <v>6492</v>
      </c>
      <c r="F1018" s="8" t="s">
        <v>6493</v>
      </c>
      <c r="G1018" s="6" t="s">
        <v>38</v>
      </c>
      <c r="H1018" s="6" t="s">
        <v>39</v>
      </c>
      <c r="I1018" s="8" t="s">
        <v>90</v>
      </c>
      <c r="J1018" s="9">
        <v>1</v>
      </c>
      <c r="K1018" s="9">
        <v>160</v>
      </c>
      <c r="L1018" s="9">
        <v>2019</v>
      </c>
      <c r="M1018" s="8" t="s">
        <v>6494</v>
      </c>
      <c r="N1018" s="8" t="s">
        <v>79</v>
      </c>
      <c r="O1018" s="8" t="s">
        <v>396</v>
      </c>
      <c r="P1018" s="6" t="s">
        <v>43</v>
      </c>
      <c r="Q1018" s="8" t="s">
        <v>44</v>
      </c>
      <c r="R1018" s="10" t="s">
        <v>6487</v>
      </c>
      <c r="S1018" s="11" t="s">
        <v>6495</v>
      </c>
      <c r="T1018" s="6"/>
      <c r="U1018" s="24" t="str">
        <f>HYPERLINK("https://media.infra-m.ru/1012/1012796/cover/1012796.jpg", "Обложка")</f>
        <v>Обложка</v>
      </c>
      <c r="V1018" s="24" t="str">
        <f>HYPERLINK("https://znanium.ru/catalog/product/1846457", "Ознакомиться")</f>
        <v>Ознакомиться</v>
      </c>
      <c r="W1018" s="8" t="s">
        <v>6489</v>
      </c>
      <c r="X1018" s="6"/>
      <c r="Y1018" s="6"/>
      <c r="Z1018" s="6"/>
      <c r="AA1018" s="6" t="s">
        <v>377</v>
      </c>
      <c r="AB1018" s="8"/>
    </row>
    <row r="1019" spans="1:28" s="4" customFormat="1" ht="51.95" customHeight="1">
      <c r="A1019" s="5">
        <v>0</v>
      </c>
      <c r="B1019" s="6" t="s">
        <v>6496</v>
      </c>
      <c r="C1019" s="13">
        <v>1100</v>
      </c>
      <c r="D1019" s="8" t="s">
        <v>6497</v>
      </c>
      <c r="E1019" s="8" t="s">
        <v>6498</v>
      </c>
      <c r="F1019" s="8" t="s">
        <v>6499</v>
      </c>
      <c r="G1019" s="6" t="s">
        <v>89</v>
      </c>
      <c r="H1019" s="6" t="s">
        <v>53</v>
      </c>
      <c r="I1019" s="8" t="s">
        <v>212</v>
      </c>
      <c r="J1019" s="9">
        <v>1</v>
      </c>
      <c r="K1019" s="9">
        <v>214</v>
      </c>
      <c r="L1019" s="9">
        <v>2024</v>
      </c>
      <c r="M1019" s="8" t="s">
        <v>6500</v>
      </c>
      <c r="N1019" s="8" t="s">
        <v>79</v>
      </c>
      <c r="O1019" s="8" t="s">
        <v>570</v>
      </c>
      <c r="P1019" s="6" t="s">
        <v>43</v>
      </c>
      <c r="Q1019" s="8" t="s">
        <v>214</v>
      </c>
      <c r="R1019" s="10" t="s">
        <v>6501</v>
      </c>
      <c r="S1019" s="11" t="s">
        <v>6502</v>
      </c>
      <c r="T1019" s="6"/>
      <c r="U1019" s="24" t="str">
        <f>HYPERLINK("https://media.infra-m.ru/2119/2119561/cover/2119561.jpg", "Обложка")</f>
        <v>Обложка</v>
      </c>
      <c r="V1019" s="24" t="str">
        <f>HYPERLINK("https://znanium.ru/catalog/product/2119561", "Ознакомиться")</f>
        <v>Ознакомиться</v>
      </c>
      <c r="W1019" s="8" t="s">
        <v>6503</v>
      </c>
      <c r="X1019" s="6"/>
      <c r="Y1019" s="6"/>
      <c r="Z1019" s="6"/>
      <c r="AA1019" s="6" t="s">
        <v>219</v>
      </c>
      <c r="AB1019" s="8"/>
    </row>
    <row r="1020" spans="1:28" s="4" customFormat="1" ht="42" customHeight="1">
      <c r="A1020" s="5">
        <v>0</v>
      </c>
      <c r="B1020" s="6" t="s">
        <v>6504</v>
      </c>
      <c r="C1020" s="13">
        <v>1570</v>
      </c>
      <c r="D1020" s="8" t="s">
        <v>6505</v>
      </c>
      <c r="E1020" s="8" t="s">
        <v>6506</v>
      </c>
      <c r="F1020" s="8" t="s">
        <v>6507</v>
      </c>
      <c r="G1020" s="6" t="s">
        <v>89</v>
      </c>
      <c r="H1020" s="6" t="s">
        <v>674</v>
      </c>
      <c r="I1020" s="8"/>
      <c r="J1020" s="9">
        <v>1</v>
      </c>
      <c r="K1020" s="9">
        <v>336</v>
      </c>
      <c r="L1020" s="9">
        <v>2024</v>
      </c>
      <c r="M1020" s="8" t="s">
        <v>6508</v>
      </c>
      <c r="N1020" s="8" t="s">
        <v>41</v>
      </c>
      <c r="O1020" s="8" t="s">
        <v>1204</v>
      </c>
      <c r="P1020" s="6" t="s">
        <v>43</v>
      </c>
      <c r="Q1020" s="8" t="s">
        <v>279</v>
      </c>
      <c r="R1020" s="10" t="s">
        <v>5202</v>
      </c>
      <c r="S1020" s="11"/>
      <c r="T1020" s="6"/>
      <c r="U1020" s="24" t="str">
        <f>HYPERLINK("https://media.infra-m.ru/2133/2133754/cover/2133754.jpg", "Обложка")</f>
        <v>Обложка</v>
      </c>
      <c r="V1020" s="24" t="str">
        <f>HYPERLINK("https://znanium.ru/catalog/product/2133754", "Ознакомиться")</f>
        <v>Ознакомиться</v>
      </c>
      <c r="W1020" s="8" t="s">
        <v>6509</v>
      </c>
      <c r="X1020" s="6"/>
      <c r="Y1020" s="6"/>
      <c r="Z1020" s="6"/>
      <c r="AA1020" s="6" t="s">
        <v>479</v>
      </c>
      <c r="AB1020" s="8"/>
    </row>
    <row r="1021" spans="1:28" s="4" customFormat="1" ht="42" customHeight="1">
      <c r="A1021" s="5">
        <v>0</v>
      </c>
      <c r="B1021" s="6" t="s">
        <v>6510</v>
      </c>
      <c r="C1021" s="13">
        <v>1820</v>
      </c>
      <c r="D1021" s="8" t="s">
        <v>6511</v>
      </c>
      <c r="E1021" s="8" t="s">
        <v>6512</v>
      </c>
      <c r="F1021" s="8" t="s">
        <v>6513</v>
      </c>
      <c r="G1021" s="6" t="s">
        <v>52</v>
      </c>
      <c r="H1021" s="6" t="s">
        <v>53</v>
      </c>
      <c r="I1021" s="8" t="s">
        <v>116</v>
      </c>
      <c r="J1021" s="9">
        <v>1</v>
      </c>
      <c r="K1021" s="9">
        <v>341</v>
      </c>
      <c r="L1021" s="9">
        <v>2025</v>
      </c>
      <c r="M1021" s="8" t="s">
        <v>6514</v>
      </c>
      <c r="N1021" s="8" t="s">
        <v>41</v>
      </c>
      <c r="O1021" s="8" t="s">
        <v>42</v>
      </c>
      <c r="P1021" s="6" t="s">
        <v>43</v>
      </c>
      <c r="Q1021" s="8" t="s">
        <v>44</v>
      </c>
      <c r="R1021" s="10" t="s">
        <v>6515</v>
      </c>
      <c r="S1021" s="11"/>
      <c r="T1021" s="6"/>
      <c r="U1021" s="24" t="str">
        <f>HYPERLINK("https://media.infra-m.ru/2143/2143073/cover/2143073.jpg", "Обложка")</f>
        <v>Обложка</v>
      </c>
      <c r="V1021" s="24" t="str">
        <f>HYPERLINK("https://znanium.ru/catalog/product/2143073", "Ознакомиться")</f>
        <v>Ознакомиться</v>
      </c>
      <c r="W1021" s="8" t="s">
        <v>243</v>
      </c>
      <c r="X1021" s="6" t="s">
        <v>226</v>
      </c>
      <c r="Y1021" s="6"/>
      <c r="Z1021" s="6"/>
      <c r="AA1021" s="6" t="s">
        <v>61</v>
      </c>
      <c r="AB1021" s="8"/>
    </row>
    <row r="1022" spans="1:28" s="4" customFormat="1" ht="51.95" customHeight="1">
      <c r="A1022" s="5">
        <v>0</v>
      </c>
      <c r="B1022" s="6" t="s">
        <v>6516</v>
      </c>
      <c r="C1022" s="13">
        <v>1224</v>
      </c>
      <c r="D1022" s="8" t="s">
        <v>6517</v>
      </c>
      <c r="E1022" s="8" t="s">
        <v>6518</v>
      </c>
      <c r="F1022" s="8" t="s">
        <v>648</v>
      </c>
      <c r="G1022" s="6" t="s">
        <v>89</v>
      </c>
      <c r="H1022" s="6" t="s">
        <v>649</v>
      </c>
      <c r="I1022" s="8" t="s">
        <v>100</v>
      </c>
      <c r="J1022" s="9">
        <v>1</v>
      </c>
      <c r="K1022" s="9">
        <v>240</v>
      </c>
      <c r="L1022" s="9">
        <v>2025</v>
      </c>
      <c r="M1022" s="8" t="s">
        <v>6519</v>
      </c>
      <c r="N1022" s="8" t="s">
        <v>79</v>
      </c>
      <c r="O1022" s="8" t="s">
        <v>570</v>
      </c>
      <c r="P1022" s="6" t="s">
        <v>43</v>
      </c>
      <c r="Q1022" s="8" t="s">
        <v>102</v>
      </c>
      <c r="R1022" s="10" t="s">
        <v>6520</v>
      </c>
      <c r="S1022" s="11" t="s">
        <v>6521</v>
      </c>
      <c r="T1022" s="6"/>
      <c r="U1022" s="24" t="str">
        <f>HYPERLINK("https://media.infra-m.ru/2185/2185410/cover/2185410.jpg", "Обложка")</f>
        <v>Обложка</v>
      </c>
      <c r="V1022" s="24" t="str">
        <f>HYPERLINK("https://znanium.ru/catalog/product/2115756", "Ознакомиться")</f>
        <v>Ознакомиться</v>
      </c>
      <c r="W1022" s="8" t="s">
        <v>653</v>
      </c>
      <c r="X1022" s="6"/>
      <c r="Y1022" s="6"/>
      <c r="Z1022" s="6"/>
      <c r="AA1022" s="6" t="s">
        <v>555</v>
      </c>
      <c r="AB1022" s="8"/>
    </row>
    <row r="1023" spans="1:28" s="4" customFormat="1" ht="51.95" customHeight="1">
      <c r="A1023" s="5">
        <v>0</v>
      </c>
      <c r="B1023" s="6" t="s">
        <v>6522</v>
      </c>
      <c r="C1023" s="13">
        <v>1200</v>
      </c>
      <c r="D1023" s="8" t="s">
        <v>6523</v>
      </c>
      <c r="E1023" s="8" t="s">
        <v>6524</v>
      </c>
      <c r="F1023" s="8" t="s">
        <v>6525</v>
      </c>
      <c r="G1023" s="6" t="s">
        <v>89</v>
      </c>
      <c r="H1023" s="6" t="s">
        <v>649</v>
      </c>
      <c r="I1023" s="8" t="s">
        <v>100</v>
      </c>
      <c r="J1023" s="9">
        <v>1</v>
      </c>
      <c r="K1023" s="9">
        <v>240</v>
      </c>
      <c r="L1023" s="9">
        <v>2025</v>
      </c>
      <c r="M1023" s="8" t="s">
        <v>6526</v>
      </c>
      <c r="N1023" s="8" t="s">
        <v>79</v>
      </c>
      <c r="O1023" s="8" t="s">
        <v>570</v>
      </c>
      <c r="P1023" s="6" t="s">
        <v>43</v>
      </c>
      <c r="Q1023" s="8" t="s">
        <v>102</v>
      </c>
      <c r="R1023" s="10" t="s">
        <v>6527</v>
      </c>
      <c r="S1023" s="11" t="s">
        <v>6528</v>
      </c>
      <c r="T1023" s="6"/>
      <c r="U1023" s="24" t="str">
        <f>HYPERLINK("https://media.infra-m.ru/2180/2180533/cover/2180533.jpg", "Обложка")</f>
        <v>Обложка</v>
      </c>
      <c r="V1023" s="24" t="str">
        <f>HYPERLINK("https://znanium.ru/catalog/product/2180533", "Ознакомиться")</f>
        <v>Ознакомиться</v>
      </c>
      <c r="W1023" s="8" t="s">
        <v>653</v>
      </c>
      <c r="X1023" s="6"/>
      <c r="Y1023" s="6"/>
      <c r="Z1023" s="6"/>
      <c r="AA1023" s="6" t="s">
        <v>654</v>
      </c>
      <c r="AB1023" s="8"/>
    </row>
    <row r="1024" spans="1:28" s="4" customFormat="1" ht="51.95" customHeight="1">
      <c r="A1024" s="5">
        <v>0</v>
      </c>
      <c r="B1024" s="6" t="s">
        <v>6529</v>
      </c>
      <c r="C1024" s="7">
        <v>490</v>
      </c>
      <c r="D1024" s="8" t="s">
        <v>6530</v>
      </c>
      <c r="E1024" s="8" t="s">
        <v>6531</v>
      </c>
      <c r="F1024" s="8" t="s">
        <v>6532</v>
      </c>
      <c r="G1024" s="6" t="s">
        <v>38</v>
      </c>
      <c r="H1024" s="6" t="s">
        <v>53</v>
      </c>
      <c r="I1024" s="8" t="s">
        <v>100</v>
      </c>
      <c r="J1024" s="9">
        <v>1</v>
      </c>
      <c r="K1024" s="9">
        <v>105</v>
      </c>
      <c r="L1024" s="9">
        <v>2024</v>
      </c>
      <c r="M1024" s="8" t="s">
        <v>6533</v>
      </c>
      <c r="N1024" s="8" t="s">
        <v>413</v>
      </c>
      <c r="O1024" s="8" t="s">
        <v>1141</v>
      </c>
      <c r="P1024" s="6" t="s">
        <v>175</v>
      </c>
      <c r="Q1024" s="8" t="s">
        <v>102</v>
      </c>
      <c r="R1024" s="10" t="s">
        <v>6534</v>
      </c>
      <c r="S1024" s="11" t="s">
        <v>6535</v>
      </c>
      <c r="T1024" s="6"/>
      <c r="U1024" s="24" t="str">
        <f>HYPERLINK("https://media.infra-m.ru/2102/2102684/cover/2102684.jpg", "Обложка")</f>
        <v>Обложка</v>
      </c>
      <c r="V1024" s="24" t="str">
        <f>HYPERLINK("https://znanium.ru/catalog/product/2102684", "Ознакомиться")</f>
        <v>Ознакомиться</v>
      </c>
      <c r="W1024" s="8" t="s">
        <v>4274</v>
      </c>
      <c r="X1024" s="6"/>
      <c r="Y1024" s="6"/>
      <c r="Z1024" s="6" t="s">
        <v>104</v>
      </c>
      <c r="AA1024" s="6" t="s">
        <v>1259</v>
      </c>
      <c r="AB1024" s="8"/>
    </row>
    <row r="1025" spans="1:28" s="4" customFormat="1" ht="51.95" customHeight="1">
      <c r="A1025" s="5">
        <v>0</v>
      </c>
      <c r="B1025" s="6" t="s">
        <v>6536</v>
      </c>
      <c r="C1025" s="7">
        <v>520</v>
      </c>
      <c r="D1025" s="8" t="s">
        <v>6537</v>
      </c>
      <c r="E1025" s="8" t="s">
        <v>6531</v>
      </c>
      <c r="F1025" s="8" t="s">
        <v>6532</v>
      </c>
      <c r="G1025" s="6" t="s">
        <v>38</v>
      </c>
      <c r="H1025" s="6" t="s">
        <v>53</v>
      </c>
      <c r="I1025" s="8" t="s">
        <v>116</v>
      </c>
      <c r="J1025" s="9">
        <v>1</v>
      </c>
      <c r="K1025" s="9">
        <v>105</v>
      </c>
      <c r="L1025" s="9">
        <v>2024</v>
      </c>
      <c r="M1025" s="8" t="s">
        <v>6538</v>
      </c>
      <c r="N1025" s="8" t="s">
        <v>413</v>
      </c>
      <c r="O1025" s="8" t="s">
        <v>1141</v>
      </c>
      <c r="P1025" s="6" t="s">
        <v>175</v>
      </c>
      <c r="Q1025" s="8" t="s">
        <v>44</v>
      </c>
      <c r="R1025" s="10" t="s">
        <v>6539</v>
      </c>
      <c r="S1025" s="11" t="s">
        <v>6540</v>
      </c>
      <c r="T1025" s="6"/>
      <c r="U1025" s="24" t="str">
        <f>HYPERLINK("https://media.infra-m.ru/2082/2082670/cover/2082670.jpg", "Обложка")</f>
        <v>Обложка</v>
      </c>
      <c r="V1025" s="24" t="str">
        <f>HYPERLINK("https://znanium.ru/catalog/product/2082670", "Ознакомиться")</f>
        <v>Ознакомиться</v>
      </c>
      <c r="W1025" s="8" t="s">
        <v>4274</v>
      </c>
      <c r="X1025" s="6"/>
      <c r="Y1025" s="6"/>
      <c r="Z1025" s="6"/>
      <c r="AA1025" s="6" t="s">
        <v>105</v>
      </c>
      <c r="AB1025" s="8" t="s">
        <v>840</v>
      </c>
    </row>
    <row r="1026" spans="1:28" s="4" customFormat="1" ht="51.95" customHeight="1">
      <c r="A1026" s="5">
        <v>0</v>
      </c>
      <c r="B1026" s="6" t="s">
        <v>6541</v>
      </c>
      <c r="C1026" s="7">
        <v>470</v>
      </c>
      <c r="D1026" s="8" t="s">
        <v>6542</v>
      </c>
      <c r="E1026" s="8" t="s">
        <v>6543</v>
      </c>
      <c r="F1026" s="8" t="s">
        <v>6544</v>
      </c>
      <c r="G1026" s="6" t="s">
        <v>38</v>
      </c>
      <c r="H1026" s="6" t="s">
        <v>53</v>
      </c>
      <c r="I1026" s="8" t="s">
        <v>90</v>
      </c>
      <c r="J1026" s="9">
        <v>1</v>
      </c>
      <c r="K1026" s="9">
        <v>104</v>
      </c>
      <c r="L1026" s="9">
        <v>2022</v>
      </c>
      <c r="M1026" s="8" t="s">
        <v>6545</v>
      </c>
      <c r="N1026" s="8" t="s">
        <v>413</v>
      </c>
      <c r="O1026" s="8" t="s">
        <v>1141</v>
      </c>
      <c r="P1026" s="6" t="s">
        <v>175</v>
      </c>
      <c r="Q1026" s="8" t="s">
        <v>44</v>
      </c>
      <c r="R1026" s="10" t="s">
        <v>6539</v>
      </c>
      <c r="S1026" s="11" t="s">
        <v>6546</v>
      </c>
      <c r="T1026" s="6"/>
      <c r="U1026" s="24" t="str">
        <f>HYPERLINK("https://media.infra-m.ru/1942/1942678/cover/1942678.jpg", "Обложка")</f>
        <v>Обложка</v>
      </c>
      <c r="V1026" s="24" t="str">
        <f>HYPERLINK("https://znanium.ru/catalog/product/2082670", "Ознакомиться")</f>
        <v>Ознакомиться</v>
      </c>
      <c r="W1026" s="8" t="s">
        <v>4274</v>
      </c>
      <c r="X1026" s="6"/>
      <c r="Y1026" s="6"/>
      <c r="Z1026" s="6"/>
      <c r="AA1026" s="6" t="s">
        <v>47</v>
      </c>
      <c r="AB1026" s="8" t="s">
        <v>840</v>
      </c>
    </row>
    <row r="1027" spans="1:28" s="4" customFormat="1" ht="51.95" customHeight="1">
      <c r="A1027" s="5">
        <v>0</v>
      </c>
      <c r="B1027" s="6" t="s">
        <v>6547</v>
      </c>
      <c r="C1027" s="7">
        <v>820</v>
      </c>
      <c r="D1027" s="8" t="s">
        <v>6548</v>
      </c>
      <c r="E1027" s="8" t="s">
        <v>6549</v>
      </c>
      <c r="F1027" s="8" t="s">
        <v>6550</v>
      </c>
      <c r="G1027" s="6" t="s">
        <v>52</v>
      </c>
      <c r="H1027" s="6" t="s">
        <v>438</v>
      </c>
      <c r="I1027" s="8" t="s">
        <v>100</v>
      </c>
      <c r="J1027" s="9">
        <v>1</v>
      </c>
      <c r="K1027" s="9">
        <v>224</v>
      </c>
      <c r="L1027" s="9">
        <v>2021</v>
      </c>
      <c r="M1027" s="8" t="s">
        <v>6551</v>
      </c>
      <c r="N1027" s="8" t="s">
        <v>413</v>
      </c>
      <c r="O1027" s="8" t="s">
        <v>1141</v>
      </c>
      <c r="P1027" s="6" t="s">
        <v>43</v>
      </c>
      <c r="Q1027" s="8" t="s">
        <v>102</v>
      </c>
      <c r="R1027" s="10" t="s">
        <v>6534</v>
      </c>
      <c r="S1027" s="11"/>
      <c r="T1027" s="6"/>
      <c r="U1027" s="24" t="str">
        <f>HYPERLINK("https://media.infra-m.ru/1094/1094740/cover/1094740.jpg", "Обложка")</f>
        <v>Обложка</v>
      </c>
      <c r="V1027" s="24" t="str">
        <f>HYPERLINK("https://znanium.ru/catalog/product/1094740", "Ознакомиться")</f>
        <v>Ознакомиться</v>
      </c>
      <c r="W1027" s="8" t="s">
        <v>2201</v>
      </c>
      <c r="X1027" s="6"/>
      <c r="Y1027" s="6"/>
      <c r="Z1027" s="6"/>
      <c r="AA1027" s="6" t="s">
        <v>442</v>
      </c>
      <c r="AB1027" s="8"/>
    </row>
    <row r="1028" spans="1:28" s="4" customFormat="1" ht="51.95" customHeight="1">
      <c r="A1028" s="5">
        <v>0</v>
      </c>
      <c r="B1028" s="6" t="s">
        <v>6552</v>
      </c>
      <c r="C1028" s="13">
        <v>1294</v>
      </c>
      <c r="D1028" s="8" t="s">
        <v>6553</v>
      </c>
      <c r="E1028" s="8" t="s">
        <v>6554</v>
      </c>
      <c r="F1028" s="8" t="s">
        <v>6555</v>
      </c>
      <c r="G1028" s="6" t="s">
        <v>52</v>
      </c>
      <c r="H1028" s="6" t="s">
        <v>438</v>
      </c>
      <c r="I1028" s="8" t="s">
        <v>1171</v>
      </c>
      <c r="J1028" s="9">
        <v>1</v>
      </c>
      <c r="K1028" s="9">
        <v>278</v>
      </c>
      <c r="L1028" s="9">
        <v>2024</v>
      </c>
      <c r="M1028" s="8" t="s">
        <v>6556</v>
      </c>
      <c r="N1028" s="8" t="s">
        <v>413</v>
      </c>
      <c r="O1028" s="8" t="s">
        <v>1141</v>
      </c>
      <c r="P1028" s="6" t="s">
        <v>167</v>
      </c>
      <c r="Q1028" s="8" t="s">
        <v>44</v>
      </c>
      <c r="R1028" s="10" t="s">
        <v>6557</v>
      </c>
      <c r="S1028" s="11"/>
      <c r="T1028" s="6"/>
      <c r="U1028" s="24" t="str">
        <f>HYPERLINK("https://media.infra-m.ru/2102/2102723/cover/2102723.jpg", "Обложка")</f>
        <v>Обложка</v>
      </c>
      <c r="V1028" s="24" t="str">
        <f>HYPERLINK("https://znanium.ru/catalog/product/1015049", "Ознакомиться")</f>
        <v>Ознакомиться</v>
      </c>
      <c r="W1028" s="8" t="s">
        <v>6558</v>
      </c>
      <c r="X1028" s="6"/>
      <c r="Y1028" s="6"/>
      <c r="Z1028" s="6"/>
      <c r="AA1028" s="6" t="s">
        <v>418</v>
      </c>
      <c r="AB1028" s="8"/>
    </row>
    <row r="1029" spans="1:28" s="4" customFormat="1" ht="51.95" customHeight="1">
      <c r="A1029" s="5">
        <v>0</v>
      </c>
      <c r="B1029" s="6" t="s">
        <v>6559</v>
      </c>
      <c r="C1029" s="13">
        <v>2324</v>
      </c>
      <c r="D1029" s="8" t="s">
        <v>6560</v>
      </c>
      <c r="E1029" s="8" t="s">
        <v>6561</v>
      </c>
      <c r="F1029" s="8" t="s">
        <v>6562</v>
      </c>
      <c r="G1029" s="6" t="s">
        <v>52</v>
      </c>
      <c r="H1029" s="6" t="s">
        <v>53</v>
      </c>
      <c r="I1029" s="8" t="s">
        <v>90</v>
      </c>
      <c r="J1029" s="9">
        <v>1</v>
      </c>
      <c r="K1029" s="9">
        <v>466</v>
      </c>
      <c r="L1029" s="9">
        <v>2025</v>
      </c>
      <c r="M1029" s="8" t="s">
        <v>6563</v>
      </c>
      <c r="N1029" s="8" t="s">
        <v>413</v>
      </c>
      <c r="O1029" s="8" t="s">
        <v>1141</v>
      </c>
      <c r="P1029" s="6" t="s">
        <v>43</v>
      </c>
      <c r="Q1029" s="8" t="s">
        <v>44</v>
      </c>
      <c r="R1029" s="10" t="s">
        <v>6564</v>
      </c>
      <c r="S1029" s="11" t="s">
        <v>6565</v>
      </c>
      <c r="T1029" s="6"/>
      <c r="U1029" s="24" t="str">
        <f>HYPERLINK("https://media.infra-m.ru/2160/2160644/cover/2160644.jpg", "Обложка")</f>
        <v>Обложка</v>
      </c>
      <c r="V1029" s="24" t="str">
        <f>HYPERLINK("https://znanium.ru/catalog/product/2051471", "Ознакомиться")</f>
        <v>Ознакомиться</v>
      </c>
      <c r="W1029" s="8" t="s">
        <v>450</v>
      </c>
      <c r="X1029" s="6"/>
      <c r="Y1029" s="6"/>
      <c r="Z1029" s="6"/>
      <c r="AA1029" s="6" t="s">
        <v>235</v>
      </c>
      <c r="AB1029" s="8"/>
    </row>
    <row r="1030" spans="1:28" s="4" customFormat="1" ht="51.95" customHeight="1">
      <c r="A1030" s="5">
        <v>0</v>
      </c>
      <c r="B1030" s="6" t="s">
        <v>6566</v>
      </c>
      <c r="C1030" s="7">
        <v>984</v>
      </c>
      <c r="D1030" s="8" t="s">
        <v>6567</v>
      </c>
      <c r="E1030" s="8" t="s">
        <v>6568</v>
      </c>
      <c r="F1030" s="8" t="s">
        <v>6550</v>
      </c>
      <c r="G1030" s="6" t="s">
        <v>89</v>
      </c>
      <c r="H1030" s="6" t="s">
        <v>438</v>
      </c>
      <c r="I1030" s="8" t="s">
        <v>100</v>
      </c>
      <c r="J1030" s="9">
        <v>1</v>
      </c>
      <c r="K1030" s="9">
        <v>208</v>
      </c>
      <c r="L1030" s="9">
        <v>2024</v>
      </c>
      <c r="M1030" s="8" t="s">
        <v>6569</v>
      </c>
      <c r="N1030" s="8" t="s">
        <v>413</v>
      </c>
      <c r="O1030" s="8" t="s">
        <v>1141</v>
      </c>
      <c r="P1030" s="6" t="s">
        <v>167</v>
      </c>
      <c r="Q1030" s="8" t="s">
        <v>102</v>
      </c>
      <c r="R1030" s="10" t="s">
        <v>6534</v>
      </c>
      <c r="S1030" s="11"/>
      <c r="T1030" s="6"/>
      <c r="U1030" s="24" t="str">
        <f>HYPERLINK("https://media.infra-m.ru/2139/2139076/cover/2139076.jpg", "Обложка")</f>
        <v>Обложка</v>
      </c>
      <c r="V1030" s="24" t="str">
        <f>HYPERLINK("https://znanium.ru/catalog/product/1796823", "Ознакомиться")</f>
        <v>Ознакомиться</v>
      </c>
      <c r="W1030" s="8" t="s">
        <v>2201</v>
      </c>
      <c r="X1030" s="6"/>
      <c r="Y1030" s="6"/>
      <c r="Z1030" s="6"/>
      <c r="AA1030" s="6" t="s">
        <v>442</v>
      </c>
      <c r="AB1030" s="8"/>
    </row>
    <row r="1031" spans="1:28" s="4" customFormat="1" ht="51.95" customHeight="1">
      <c r="A1031" s="5">
        <v>0</v>
      </c>
      <c r="B1031" s="6" t="s">
        <v>6570</v>
      </c>
      <c r="C1031" s="7">
        <v>650</v>
      </c>
      <c r="D1031" s="8" t="s">
        <v>6571</v>
      </c>
      <c r="E1031" s="8" t="s">
        <v>6568</v>
      </c>
      <c r="F1031" s="8" t="s">
        <v>6572</v>
      </c>
      <c r="G1031" s="6" t="s">
        <v>89</v>
      </c>
      <c r="H1031" s="6" t="s">
        <v>53</v>
      </c>
      <c r="I1031" s="8" t="s">
        <v>116</v>
      </c>
      <c r="J1031" s="9">
        <v>1</v>
      </c>
      <c r="K1031" s="9">
        <v>133</v>
      </c>
      <c r="L1031" s="9">
        <v>2023</v>
      </c>
      <c r="M1031" s="8" t="s">
        <v>6573</v>
      </c>
      <c r="N1031" s="8" t="s">
        <v>413</v>
      </c>
      <c r="O1031" s="8" t="s">
        <v>1141</v>
      </c>
      <c r="P1031" s="6" t="s">
        <v>167</v>
      </c>
      <c r="Q1031" s="8" t="s">
        <v>58</v>
      </c>
      <c r="R1031" s="10" t="s">
        <v>6574</v>
      </c>
      <c r="S1031" s="11" t="s">
        <v>6575</v>
      </c>
      <c r="T1031" s="6"/>
      <c r="U1031" s="24" t="str">
        <f>HYPERLINK("https://media.infra-m.ru/2012/2012529/cover/2012529.jpg", "Обложка")</f>
        <v>Обложка</v>
      </c>
      <c r="V1031" s="24" t="str">
        <f>HYPERLINK("https://znanium.ru/catalog/product/1915507", "Ознакомиться")</f>
        <v>Ознакомиться</v>
      </c>
      <c r="W1031" s="8" t="s">
        <v>4274</v>
      </c>
      <c r="X1031" s="6"/>
      <c r="Y1031" s="6"/>
      <c r="Z1031" s="6"/>
      <c r="AA1031" s="6" t="s">
        <v>122</v>
      </c>
      <c r="AB1031" s="8"/>
    </row>
    <row r="1032" spans="1:28" s="4" customFormat="1" ht="51.95" customHeight="1">
      <c r="A1032" s="5">
        <v>0</v>
      </c>
      <c r="B1032" s="6" t="s">
        <v>6576</v>
      </c>
      <c r="C1032" s="7">
        <v>630</v>
      </c>
      <c r="D1032" s="8" t="s">
        <v>6577</v>
      </c>
      <c r="E1032" s="8" t="s">
        <v>6568</v>
      </c>
      <c r="F1032" s="8" t="s">
        <v>6578</v>
      </c>
      <c r="G1032" s="6" t="s">
        <v>52</v>
      </c>
      <c r="H1032" s="6" t="s">
        <v>184</v>
      </c>
      <c r="I1032" s="8" t="s">
        <v>185</v>
      </c>
      <c r="J1032" s="9">
        <v>1</v>
      </c>
      <c r="K1032" s="9">
        <v>174</v>
      </c>
      <c r="L1032" s="9">
        <v>2020</v>
      </c>
      <c r="M1032" s="8" t="s">
        <v>6579</v>
      </c>
      <c r="N1032" s="8" t="s">
        <v>413</v>
      </c>
      <c r="O1032" s="8" t="s">
        <v>1141</v>
      </c>
      <c r="P1032" s="6" t="s">
        <v>43</v>
      </c>
      <c r="Q1032" s="8" t="s">
        <v>102</v>
      </c>
      <c r="R1032" s="10" t="s">
        <v>6534</v>
      </c>
      <c r="S1032" s="11"/>
      <c r="T1032" s="6"/>
      <c r="U1032" s="24" t="str">
        <f>HYPERLINK("https://media.infra-m.ru/1045/1045945/cover/1045945.jpg", "Обложка")</f>
        <v>Обложка</v>
      </c>
      <c r="V1032" s="24" t="str">
        <f>HYPERLINK("https://znanium.ru/catalog/product/1045945", "Ознакомиться")</f>
        <v>Ознакомиться</v>
      </c>
      <c r="W1032" s="8"/>
      <c r="X1032" s="6"/>
      <c r="Y1032" s="6"/>
      <c r="Z1032" s="6" t="s">
        <v>104</v>
      </c>
      <c r="AA1032" s="6" t="s">
        <v>793</v>
      </c>
      <c r="AB1032" s="8"/>
    </row>
    <row r="1033" spans="1:28" s="4" customFormat="1" ht="51.95" customHeight="1">
      <c r="A1033" s="5">
        <v>0</v>
      </c>
      <c r="B1033" s="6" t="s">
        <v>6580</v>
      </c>
      <c r="C1033" s="13">
        <v>2520</v>
      </c>
      <c r="D1033" s="8" t="s">
        <v>6581</v>
      </c>
      <c r="E1033" s="8" t="s">
        <v>6568</v>
      </c>
      <c r="F1033" s="8" t="s">
        <v>6582</v>
      </c>
      <c r="G1033" s="6" t="s">
        <v>52</v>
      </c>
      <c r="H1033" s="6" t="s">
        <v>53</v>
      </c>
      <c r="I1033" s="8" t="s">
        <v>116</v>
      </c>
      <c r="J1033" s="9">
        <v>1</v>
      </c>
      <c r="K1033" s="9">
        <v>542</v>
      </c>
      <c r="L1033" s="9">
        <v>2024</v>
      </c>
      <c r="M1033" s="8" t="s">
        <v>6583</v>
      </c>
      <c r="N1033" s="8" t="s">
        <v>413</v>
      </c>
      <c r="O1033" s="8" t="s">
        <v>1141</v>
      </c>
      <c r="P1033" s="6" t="s">
        <v>43</v>
      </c>
      <c r="Q1033" s="8" t="s">
        <v>44</v>
      </c>
      <c r="R1033" s="10" t="s">
        <v>6584</v>
      </c>
      <c r="S1033" s="11" t="s">
        <v>6585</v>
      </c>
      <c r="T1033" s="6"/>
      <c r="U1033" s="24" t="str">
        <f>HYPERLINK("https://media.infra-m.ru/2125/2125933/cover/2125933.jpg", "Обложка")</f>
        <v>Обложка</v>
      </c>
      <c r="V1033" s="24" t="str">
        <f>HYPERLINK("https://znanium.ru/catalog/product/2125933", "Ознакомиться")</f>
        <v>Ознакомиться</v>
      </c>
      <c r="W1033" s="8" t="s">
        <v>71</v>
      </c>
      <c r="X1033" s="6"/>
      <c r="Y1033" s="6"/>
      <c r="Z1033" s="6"/>
      <c r="AA1033" s="6" t="s">
        <v>258</v>
      </c>
      <c r="AB1033" s="8"/>
    </row>
    <row r="1034" spans="1:28" s="4" customFormat="1" ht="51.95" customHeight="1">
      <c r="A1034" s="5">
        <v>0</v>
      </c>
      <c r="B1034" s="6" t="s">
        <v>6586</v>
      </c>
      <c r="C1034" s="13">
        <v>1114</v>
      </c>
      <c r="D1034" s="8" t="s">
        <v>6587</v>
      </c>
      <c r="E1034" s="8" t="s">
        <v>6568</v>
      </c>
      <c r="F1034" s="8" t="s">
        <v>6588</v>
      </c>
      <c r="G1034" s="6" t="s">
        <v>89</v>
      </c>
      <c r="H1034" s="6" t="s">
        <v>649</v>
      </c>
      <c r="I1034" s="8" t="s">
        <v>100</v>
      </c>
      <c r="J1034" s="9">
        <v>1</v>
      </c>
      <c r="K1034" s="9">
        <v>222</v>
      </c>
      <c r="L1034" s="9">
        <v>2025</v>
      </c>
      <c r="M1034" s="8" t="s">
        <v>6589</v>
      </c>
      <c r="N1034" s="8" t="s">
        <v>413</v>
      </c>
      <c r="O1034" s="8" t="s">
        <v>1141</v>
      </c>
      <c r="P1034" s="6" t="s">
        <v>43</v>
      </c>
      <c r="Q1034" s="8" t="s">
        <v>102</v>
      </c>
      <c r="R1034" s="10" t="s">
        <v>6534</v>
      </c>
      <c r="S1034" s="11" t="s">
        <v>6590</v>
      </c>
      <c r="T1034" s="6"/>
      <c r="U1034" s="24" t="str">
        <f>HYPERLINK("https://media.infra-m.ru/2138/2138775/cover/2138775.jpg", "Обложка")</f>
        <v>Обложка</v>
      </c>
      <c r="V1034" s="24" t="str">
        <f>HYPERLINK("https://znanium.ru/catalog/product/1843569", "Ознакомиться")</f>
        <v>Ознакомиться</v>
      </c>
      <c r="W1034" s="8" t="s">
        <v>71</v>
      </c>
      <c r="X1034" s="6"/>
      <c r="Y1034" s="6"/>
      <c r="Z1034" s="6"/>
      <c r="AA1034" s="6" t="s">
        <v>555</v>
      </c>
      <c r="AB1034" s="8"/>
    </row>
    <row r="1035" spans="1:28" s="4" customFormat="1" ht="51.95" customHeight="1">
      <c r="A1035" s="5">
        <v>0</v>
      </c>
      <c r="B1035" s="6" t="s">
        <v>6591</v>
      </c>
      <c r="C1035" s="7">
        <v>594.9</v>
      </c>
      <c r="D1035" s="8" t="s">
        <v>6592</v>
      </c>
      <c r="E1035" s="8" t="s">
        <v>6568</v>
      </c>
      <c r="F1035" s="8" t="s">
        <v>6593</v>
      </c>
      <c r="G1035" s="6" t="s">
        <v>52</v>
      </c>
      <c r="H1035" s="6" t="s">
        <v>184</v>
      </c>
      <c r="I1035" s="8" t="s">
        <v>185</v>
      </c>
      <c r="J1035" s="9">
        <v>1</v>
      </c>
      <c r="K1035" s="9">
        <v>174</v>
      </c>
      <c r="L1035" s="9">
        <v>2020</v>
      </c>
      <c r="M1035" s="8" t="s">
        <v>6594</v>
      </c>
      <c r="N1035" s="8" t="s">
        <v>413</v>
      </c>
      <c r="O1035" s="8" t="s">
        <v>1141</v>
      </c>
      <c r="P1035" s="6" t="s">
        <v>43</v>
      </c>
      <c r="Q1035" s="8" t="s">
        <v>44</v>
      </c>
      <c r="R1035" s="10" t="s">
        <v>6595</v>
      </c>
      <c r="S1035" s="11" t="s">
        <v>6596</v>
      </c>
      <c r="T1035" s="6"/>
      <c r="U1035" s="24" t="str">
        <f>HYPERLINK("https://media.infra-m.ru/1044/1044359/cover/1044359.jpg", "Обложка")</f>
        <v>Обложка</v>
      </c>
      <c r="V1035" s="24" t="str">
        <f>HYPERLINK("https://znanium.ru/catalog/product/1044359", "Ознакомиться")</f>
        <v>Ознакомиться</v>
      </c>
      <c r="W1035" s="8"/>
      <c r="X1035" s="6"/>
      <c r="Y1035" s="6"/>
      <c r="Z1035" s="6"/>
      <c r="AA1035" s="6" t="s">
        <v>1135</v>
      </c>
      <c r="AB1035" s="8"/>
    </row>
    <row r="1036" spans="1:28" s="4" customFormat="1" ht="42" customHeight="1">
      <c r="A1036" s="5">
        <v>0</v>
      </c>
      <c r="B1036" s="6" t="s">
        <v>6597</v>
      </c>
      <c r="C1036" s="13">
        <v>1190</v>
      </c>
      <c r="D1036" s="8" t="s">
        <v>6598</v>
      </c>
      <c r="E1036" s="8" t="s">
        <v>6599</v>
      </c>
      <c r="F1036" s="8" t="s">
        <v>6600</v>
      </c>
      <c r="G1036" s="6" t="s">
        <v>89</v>
      </c>
      <c r="H1036" s="6" t="s">
        <v>53</v>
      </c>
      <c r="I1036" s="8" t="s">
        <v>116</v>
      </c>
      <c r="J1036" s="9">
        <v>1</v>
      </c>
      <c r="K1036" s="9">
        <v>225</v>
      </c>
      <c r="L1036" s="9">
        <v>2025</v>
      </c>
      <c r="M1036" s="8" t="s">
        <v>6601</v>
      </c>
      <c r="N1036" s="8" t="s">
        <v>997</v>
      </c>
      <c r="O1036" s="8" t="s">
        <v>998</v>
      </c>
      <c r="P1036" s="6" t="s">
        <v>43</v>
      </c>
      <c r="Q1036" s="8" t="s">
        <v>1674</v>
      </c>
      <c r="R1036" s="10" t="s">
        <v>6602</v>
      </c>
      <c r="S1036" s="11"/>
      <c r="T1036" s="6"/>
      <c r="U1036" s="24" t="str">
        <f>HYPERLINK("https://media.infra-m.ru/2178/2178145/cover/2178145.jpg", "Обложка")</f>
        <v>Обложка</v>
      </c>
      <c r="V1036" s="24" t="str">
        <f>HYPERLINK("https://znanium.ru/catalog/product/2178145", "Ознакомиться")</f>
        <v>Ознакомиться</v>
      </c>
      <c r="W1036" s="8" t="s">
        <v>4331</v>
      </c>
      <c r="X1036" s="6"/>
      <c r="Y1036" s="6"/>
      <c r="Z1036" s="6"/>
      <c r="AA1036" s="6" t="s">
        <v>133</v>
      </c>
      <c r="AB1036" s="8"/>
    </row>
    <row r="1037" spans="1:28" s="4" customFormat="1" ht="51.95" customHeight="1">
      <c r="A1037" s="5">
        <v>0</v>
      </c>
      <c r="B1037" s="6" t="s">
        <v>6603</v>
      </c>
      <c r="C1037" s="7">
        <v>664</v>
      </c>
      <c r="D1037" s="8" t="s">
        <v>6604</v>
      </c>
      <c r="E1037" s="8" t="s">
        <v>6605</v>
      </c>
      <c r="F1037" s="8" t="s">
        <v>6606</v>
      </c>
      <c r="G1037" s="6" t="s">
        <v>38</v>
      </c>
      <c r="H1037" s="6" t="s">
        <v>53</v>
      </c>
      <c r="I1037" s="8" t="s">
        <v>2297</v>
      </c>
      <c r="J1037" s="9">
        <v>1</v>
      </c>
      <c r="K1037" s="9">
        <v>128</v>
      </c>
      <c r="L1037" s="9">
        <v>2025</v>
      </c>
      <c r="M1037" s="8" t="s">
        <v>6607</v>
      </c>
      <c r="N1037" s="8" t="s">
        <v>413</v>
      </c>
      <c r="O1037" s="8" t="s">
        <v>2771</v>
      </c>
      <c r="P1037" s="6" t="s">
        <v>6608</v>
      </c>
      <c r="Q1037" s="8" t="s">
        <v>1674</v>
      </c>
      <c r="R1037" s="10" t="s">
        <v>6609</v>
      </c>
      <c r="S1037" s="11"/>
      <c r="T1037" s="6"/>
      <c r="U1037" s="24" t="str">
        <f>HYPERLINK("https://media.infra-m.ru/2199/2199752/cover/2199752.jpg", "Обложка")</f>
        <v>Обложка</v>
      </c>
      <c r="V1037" s="24" t="str">
        <f>HYPERLINK("https://znanium.ru/catalog/product/2102720", "Ознакомиться")</f>
        <v>Ознакомиться</v>
      </c>
      <c r="W1037" s="8" t="s">
        <v>4331</v>
      </c>
      <c r="X1037" s="6"/>
      <c r="Y1037" s="6"/>
      <c r="Z1037" s="6"/>
      <c r="AA1037" s="6" t="s">
        <v>2414</v>
      </c>
      <c r="AB1037" s="8"/>
    </row>
    <row r="1038" spans="1:28" s="4" customFormat="1" ht="51.95" customHeight="1">
      <c r="A1038" s="5">
        <v>0</v>
      </c>
      <c r="B1038" s="6" t="s">
        <v>6610</v>
      </c>
      <c r="C1038" s="13">
        <v>1274</v>
      </c>
      <c r="D1038" s="8" t="s">
        <v>6611</v>
      </c>
      <c r="E1038" s="8" t="s">
        <v>6612</v>
      </c>
      <c r="F1038" s="8" t="s">
        <v>5712</v>
      </c>
      <c r="G1038" s="6" t="s">
        <v>89</v>
      </c>
      <c r="H1038" s="6" t="s">
        <v>53</v>
      </c>
      <c r="I1038" s="8" t="s">
        <v>2297</v>
      </c>
      <c r="J1038" s="9">
        <v>1</v>
      </c>
      <c r="K1038" s="9">
        <v>253</v>
      </c>
      <c r="L1038" s="9">
        <v>2025</v>
      </c>
      <c r="M1038" s="8" t="s">
        <v>6613</v>
      </c>
      <c r="N1038" s="8" t="s">
        <v>413</v>
      </c>
      <c r="O1038" s="8" t="s">
        <v>2771</v>
      </c>
      <c r="P1038" s="6" t="s">
        <v>6614</v>
      </c>
      <c r="Q1038" s="8" t="s">
        <v>1674</v>
      </c>
      <c r="R1038" s="10" t="s">
        <v>6615</v>
      </c>
      <c r="S1038" s="11"/>
      <c r="T1038" s="6"/>
      <c r="U1038" s="24" t="str">
        <f>HYPERLINK("https://media.infra-m.ru/2191/2191614/cover/2191614.jpg", "Обложка")</f>
        <v>Обложка</v>
      </c>
      <c r="V1038" s="24" t="str">
        <f>HYPERLINK("https://znanium.ru/catalog/product/2172766", "Ознакомиться")</f>
        <v>Ознакомиться</v>
      </c>
      <c r="W1038" s="8" t="s">
        <v>5716</v>
      </c>
      <c r="X1038" s="6"/>
      <c r="Y1038" s="6"/>
      <c r="Z1038" s="6"/>
      <c r="AA1038" s="6" t="s">
        <v>6616</v>
      </c>
      <c r="AB1038" s="8"/>
    </row>
    <row r="1039" spans="1:28" s="4" customFormat="1" ht="51.95" customHeight="1">
      <c r="A1039" s="5">
        <v>0</v>
      </c>
      <c r="B1039" s="6" t="s">
        <v>6617</v>
      </c>
      <c r="C1039" s="13">
        <v>1270</v>
      </c>
      <c r="D1039" s="8" t="s">
        <v>6618</v>
      </c>
      <c r="E1039" s="8" t="s">
        <v>6619</v>
      </c>
      <c r="F1039" s="8" t="s">
        <v>6620</v>
      </c>
      <c r="G1039" s="6" t="s">
        <v>38</v>
      </c>
      <c r="H1039" s="6" t="s">
        <v>53</v>
      </c>
      <c r="I1039" s="8" t="s">
        <v>276</v>
      </c>
      <c r="J1039" s="9">
        <v>1</v>
      </c>
      <c r="K1039" s="9">
        <v>276</v>
      </c>
      <c r="L1039" s="9">
        <v>2024</v>
      </c>
      <c r="M1039" s="8" t="s">
        <v>6621</v>
      </c>
      <c r="N1039" s="8" t="s">
        <v>41</v>
      </c>
      <c r="O1039" s="8" t="s">
        <v>4035</v>
      </c>
      <c r="P1039" s="6" t="s">
        <v>43</v>
      </c>
      <c r="Q1039" s="8" t="s">
        <v>279</v>
      </c>
      <c r="R1039" s="10" t="s">
        <v>6622</v>
      </c>
      <c r="S1039" s="11" t="s">
        <v>6623</v>
      </c>
      <c r="T1039" s="6"/>
      <c r="U1039" s="24" t="str">
        <f>HYPERLINK("https://media.infra-m.ru/2107/2107384/cover/2107384.jpg", "Обложка")</f>
        <v>Обложка</v>
      </c>
      <c r="V1039" s="24" t="str">
        <f>HYPERLINK("https://znanium.ru/catalog/product/2107384", "Ознакомиться")</f>
        <v>Ознакомиться</v>
      </c>
      <c r="W1039" s="8" t="s">
        <v>2080</v>
      </c>
      <c r="X1039" s="6"/>
      <c r="Y1039" s="6"/>
      <c r="Z1039" s="6"/>
      <c r="AA1039" s="6" t="s">
        <v>122</v>
      </c>
      <c r="AB1039" s="8"/>
    </row>
    <row r="1040" spans="1:28" s="4" customFormat="1" ht="51.95" customHeight="1">
      <c r="A1040" s="5">
        <v>0</v>
      </c>
      <c r="B1040" s="6" t="s">
        <v>6624</v>
      </c>
      <c r="C1040" s="7">
        <v>920</v>
      </c>
      <c r="D1040" s="8" t="s">
        <v>6625</v>
      </c>
      <c r="E1040" s="8" t="s">
        <v>6626</v>
      </c>
      <c r="F1040" s="8" t="s">
        <v>6627</v>
      </c>
      <c r="G1040" s="6" t="s">
        <v>89</v>
      </c>
      <c r="H1040" s="6" t="s">
        <v>53</v>
      </c>
      <c r="I1040" s="8" t="s">
        <v>1868</v>
      </c>
      <c r="J1040" s="9">
        <v>1</v>
      </c>
      <c r="K1040" s="9">
        <v>196</v>
      </c>
      <c r="L1040" s="9">
        <v>2023</v>
      </c>
      <c r="M1040" s="8" t="s">
        <v>6628</v>
      </c>
      <c r="N1040" s="8" t="s">
        <v>79</v>
      </c>
      <c r="O1040" s="8" t="s">
        <v>537</v>
      </c>
      <c r="P1040" s="6" t="s">
        <v>43</v>
      </c>
      <c r="Q1040" s="8" t="s">
        <v>44</v>
      </c>
      <c r="R1040" s="10" t="s">
        <v>3300</v>
      </c>
      <c r="S1040" s="11" t="s">
        <v>6629</v>
      </c>
      <c r="T1040" s="6"/>
      <c r="U1040" s="24" t="str">
        <f>HYPERLINK("https://media.infra-m.ru/1902/1902905/cover/1902905.jpg", "Обложка")</f>
        <v>Обложка</v>
      </c>
      <c r="V1040" s="12"/>
      <c r="W1040" s="8" t="s">
        <v>784</v>
      </c>
      <c r="X1040" s="6"/>
      <c r="Y1040" s="6"/>
      <c r="Z1040" s="6"/>
      <c r="AA1040" s="6" t="s">
        <v>442</v>
      </c>
      <c r="AB1040" s="8"/>
    </row>
    <row r="1041" spans="1:28" s="4" customFormat="1" ht="42" customHeight="1">
      <c r="A1041" s="5">
        <v>0</v>
      </c>
      <c r="B1041" s="6" t="s">
        <v>6630</v>
      </c>
      <c r="C1041" s="7">
        <v>310</v>
      </c>
      <c r="D1041" s="8" t="s">
        <v>6631</v>
      </c>
      <c r="E1041" s="8" t="s">
        <v>6632</v>
      </c>
      <c r="F1041" s="8" t="s">
        <v>6633</v>
      </c>
      <c r="G1041" s="6" t="s">
        <v>38</v>
      </c>
      <c r="H1041" s="6" t="s">
        <v>53</v>
      </c>
      <c r="I1041" s="8" t="s">
        <v>6634</v>
      </c>
      <c r="J1041" s="9">
        <v>1</v>
      </c>
      <c r="K1041" s="9">
        <v>66</v>
      </c>
      <c r="L1041" s="9">
        <v>2024</v>
      </c>
      <c r="M1041" s="8" t="s">
        <v>6635</v>
      </c>
      <c r="N1041" s="8" t="s">
        <v>41</v>
      </c>
      <c r="O1041" s="8" t="s">
        <v>129</v>
      </c>
      <c r="P1041" s="6" t="s">
        <v>6636</v>
      </c>
      <c r="Q1041" s="8" t="s">
        <v>58</v>
      </c>
      <c r="R1041" s="10" t="s">
        <v>6637</v>
      </c>
      <c r="S1041" s="11"/>
      <c r="T1041" s="6"/>
      <c r="U1041" s="24" t="str">
        <f>HYPERLINK("https://media.infra-m.ru/2146/2146186/cover/2146186.jpg", "Обложка")</f>
        <v>Обложка</v>
      </c>
      <c r="V1041" s="24" t="str">
        <f>HYPERLINK("https://znanium.ru/catalog/product/2146186", "Ознакомиться")</f>
        <v>Ознакомиться</v>
      </c>
      <c r="W1041" s="8"/>
      <c r="X1041" s="6" t="s">
        <v>179</v>
      </c>
      <c r="Y1041" s="6"/>
      <c r="Z1041" s="6"/>
      <c r="AA1041" s="6" t="s">
        <v>105</v>
      </c>
      <c r="AB1041" s="8"/>
    </row>
    <row r="1042" spans="1:28" s="4" customFormat="1" ht="42" customHeight="1">
      <c r="A1042" s="5">
        <v>0</v>
      </c>
      <c r="B1042" s="6" t="s">
        <v>6638</v>
      </c>
      <c r="C1042" s="7">
        <v>214</v>
      </c>
      <c r="D1042" s="8" t="s">
        <v>6639</v>
      </c>
      <c r="E1042" s="8" t="s">
        <v>6640</v>
      </c>
      <c r="F1042" s="8" t="s">
        <v>6633</v>
      </c>
      <c r="G1042" s="6" t="s">
        <v>38</v>
      </c>
      <c r="H1042" s="6" t="s">
        <v>53</v>
      </c>
      <c r="I1042" s="8" t="s">
        <v>6634</v>
      </c>
      <c r="J1042" s="9">
        <v>1</v>
      </c>
      <c r="K1042" s="9">
        <v>65</v>
      </c>
      <c r="L1042" s="9">
        <v>2024</v>
      </c>
      <c r="M1042" s="8" t="s">
        <v>6641</v>
      </c>
      <c r="N1042" s="8" t="s">
        <v>41</v>
      </c>
      <c r="O1042" s="8" t="s">
        <v>129</v>
      </c>
      <c r="P1042" s="6" t="s">
        <v>6636</v>
      </c>
      <c r="Q1042" s="8" t="s">
        <v>58</v>
      </c>
      <c r="R1042" s="10" t="s">
        <v>6637</v>
      </c>
      <c r="S1042" s="11"/>
      <c r="T1042" s="6"/>
      <c r="U1042" s="24" t="str">
        <f>HYPERLINK("https://media.infra-m.ru/2081/2081084/cover/2081084.jpg", "Обложка")</f>
        <v>Обложка</v>
      </c>
      <c r="V1042" s="24" t="str">
        <f>HYPERLINK("https://znanium.ru/catalog/product/2146186", "Ознакомиться")</f>
        <v>Ознакомиться</v>
      </c>
      <c r="W1042" s="8"/>
      <c r="X1042" s="6"/>
      <c r="Y1042" s="6"/>
      <c r="Z1042" s="6"/>
      <c r="AA1042" s="6" t="s">
        <v>207</v>
      </c>
      <c r="AB1042" s="8"/>
    </row>
    <row r="1043" spans="1:28" s="4" customFormat="1" ht="51.95" customHeight="1">
      <c r="A1043" s="5">
        <v>0</v>
      </c>
      <c r="B1043" s="6" t="s">
        <v>6642</v>
      </c>
      <c r="C1043" s="7">
        <v>824</v>
      </c>
      <c r="D1043" s="8" t="s">
        <v>6643</v>
      </c>
      <c r="E1043" s="8" t="s">
        <v>6644</v>
      </c>
      <c r="F1043" s="8" t="s">
        <v>6645</v>
      </c>
      <c r="G1043" s="6" t="s">
        <v>89</v>
      </c>
      <c r="H1043" s="6" t="s">
        <v>39</v>
      </c>
      <c r="I1043" s="8" t="s">
        <v>90</v>
      </c>
      <c r="J1043" s="9">
        <v>1</v>
      </c>
      <c r="K1043" s="9">
        <v>160</v>
      </c>
      <c r="L1043" s="9">
        <v>2024</v>
      </c>
      <c r="M1043" s="8" t="s">
        <v>6646</v>
      </c>
      <c r="N1043" s="8" t="s">
        <v>997</v>
      </c>
      <c r="O1043" s="8" t="s">
        <v>998</v>
      </c>
      <c r="P1043" s="6" t="s">
        <v>175</v>
      </c>
      <c r="Q1043" s="8" t="s">
        <v>44</v>
      </c>
      <c r="R1043" s="10" t="s">
        <v>6390</v>
      </c>
      <c r="S1043" s="11" t="s">
        <v>6647</v>
      </c>
      <c r="T1043" s="6"/>
      <c r="U1043" s="24" t="str">
        <f>HYPERLINK("https://media.infra-m.ru/2148/2148316/cover/2148316.jpg", "Обложка")</f>
        <v>Обложка</v>
      </c>
      <c r="V1043" s="24" t="str">
        <f>HYPERLINK("https://znanium.ru/catalog/product/2043280", "Ознакомиться")</f>
        <v>Ознакомиться</v>
      </c>
      <c r="W1043" s="8" t="s">
        <v>6648</v>
      </c>
      <c r="X1043" s="6"/>
      <c r="Y1043" s="6"/>
      <c r="Z1043" s="6"/>
      <c r="AA1043" s="6" t="s">
        <v>111</v>
      </c>
      <c r="AB1043" s="8"/>
    </row>
    <row r="1044" spans="1:28" s="4" customFormat="1" ht="51.95" customHeight="1">
      <c r="A1044" s="5">
        <v>0</v>
      </c>
      <c r="B1044" s="6" t="s">
        <v>6649</v>
      </c>
      <c r="C1044" s="13">
        <v>1454</v>
      </c>
      <c r="D1044" s="8" t="s">
        <v>6650</v>
      </c>
      <c r="E1044" s="8" t="s">
        <v>6651</v>
      </c>
      <c r="F1044" s="8" t="s">
        <v>4708</v>
      </c>
      <c r="G1044" s="6" t="s">
        <v>52</v>
      </c>
      <c r="H1044" s="6" t="s">
        <v>77</v>
      </c>
      <c r="I1044" s="8"/>
      <c r="J1044" s="9">
        <v>1</v>
      </c>
      <c r="K1044" s="9">
        <v>315</v>
      </c>
      <c r="L1044" s="9">
        <v>2024</v>
      </c>
      <c r="M1044" s="8" t="s">
        <v>6652</v>
      </c>
      <c r="N1044" s="8" t="s">
        <v>56</v>
      </c>
      <c r="O1044" s="8" t="s">
        <v>741</v>
      </c>
      <c r="P1044" s="6" t="s">
        <v>43</v>
      </c>
      <c r="Q1044" s="8" t="s">
        <v>44</v>
      </c>
      <c r="R1044" s="10" t="s">
        <v>4991</v>
      </c>
      <c r="S1044" s="11"/>
      <c r="T1044" s="6"/>
      <c r="U1044" s="24" t="str">
        <f>HYPERLINK("https://media.infra-m.ru/2094/2094484/cover/2094484.jpg", "Обложка")</f>
        <v>Обложка</v>
      </c>
      <c r="V1044" s="24" t="str">
        <f>HYPERLINK("https://znanium.ru/catalog/product/1841710", "Ознакомиться")</f>
        <v>Ознакомиться</v>
      </c>
      <c r="W1044" s="8" t="s">
        <v>320</v>
      </c>
      <c r="X1044" s="6"/>
      <c r="Y1044" s="6"/>
      <c r="Z1044" s="6"/>
      <c r="AA1044" s="6" t="s">
        <v>122</v>
      </c>
      <c r="AB1044" s="8"/>
    </row>
    <row r="1045" spans="1:28" s="4" customFormat="1" ht="42" customHeight="1">
      <c r="A1045" s="5">
        <v>0</v>
      </c>
      <c r="B1045" s="6" t="s">
        <v>6653</v>
      </c>
      <c r="C1045" s="13">
        <v>1034</v>
      </c>
      <c r="D1045" s="8" t="s">
        <v>6654</v>
      </c>
      <c r="E1045" s="8" t="s">
        <v>6655</v>
      </c>
      <c r="F1045" s="8" t="s">
        <v>6656</v>
      </c>
      <c r="G1045" s="6" t="s">
        <v>52</v>
      </c>
      <c r="H1045" s="6" t="s">
        <v>53</v>
      </c>
      <c r="I1045" s="8" t="s">
        <v>90</v>
      </c>
      <c r="J1045" s="9">
        <v>1</v>
      </c>
      <c r="K1045" s="9">
        <v>224</v>
      </c>
      <c r="L1045" s="9">
        <v>2024</v>
      </c>
      <c r="M1045" s="8" t="s">
        <v>6657</v>
      </c>
      <c r="N1045" s="8" t="s">
        <v>56</v>
      </c>
      <c r="O1045" s="8" t="s">
        <v>741</v>
      </c>
      <c r="P1045" s="6" t="s">
        <v>167</v>
      </c>
      <c r="Q1045" s="8" t="s">
        <v>44</v>
      </c>
      <c r="R1045" s="10" t="s">
        <v>1894</v>
      </c>
      <c r="S1045" s="11"/>
      <c r="T1045" s="6"/>
      <c r="U1045" s="24" t="str">
        <f>HYPERLINK("https://media.infra-m.ru/2094/2094490/cover/2094490.jpg", "Обложка")</f>
        <v>Обложка</v>
      </c>
      <c r="V1045" s="24" t="str">
        <f>HYPERLINK("https://znanium.ru/catalog/product/2094490", "Ознакомиться")</f>
        <v>Ознакомиться</v>
      </c>
      <c r="W1045" s="8" t="s">
        <v>5371</v>
      </c>
      <c r="X1045" s="6"/>
      <c r="Y1045" s="6"/>
      <c r="Z1045" s="6"/>
      <c r="AA1045" s="6" t="s">
        <v>111</v>
      </c>
      <c r="AB1045" s="8"/>
    </row>
    <row r="1046" spans="1:28" s="4" customFormat="1" ht="51.95" customHeight="1">
      <c r="A1046" s="5">
        <v>0</v>
      </c>
      <c r="B1046" s="6" t="s">
        <v>6658</v>
      </c>
      <c r="C1046" s="13">
        <v>1670</v>
      </c>
      <c r="D1046" s="8" t="s">
        <v>6659</v>
      </c>
      <c r="E1046" s="8" t="s">
        <v>6660</v>
      </c>
      <c r="F1046" s="8" t="s">
        <v>6661</v>
      </c>
      <c r="G1046" s="6" t="s">
        <v>89</v>
      </c>
      <c r="H1046" s="6" t="s">
        <v>53</v>
      </c>
      <c r="I1046" s="8" t="s">
        <v>165</v>
      </c>
      <c r="J1046" s="9">
        <v>1</v>
      </c>
      <c r="K1046" s="9">
        <v>348</v>
      </c>
      <c r="L1046" s="9">
        <v>2024</v>
      </c>
      <c r="M1046" s="8" t="s">
        <v>6662</v>
      </c>
      <c r="N1046" s="8" t="s">
        <v>413</v>
      </c>
      <c r="O1046" s="8" t="s">
        <v>1141</v>
      </c>
      <c r="P1046" s="6" t="s">
        <v>43</v>
      </c>
      <c r="Q1046" s="8" t="s">
        <v>44</v>
      </c>
      <c r="R1046" s="10" t="s">
        <v>6663</v>
      </c>
      <c r="S1046" s="11" t="s">
        <v>6664</v>
      </c>
      <c r="T1046" s="6"/>
      <c r="U1046" s="24" t="str">
        <f>HYPERLINK("https://media.infra-m.ru/2082/2082671/cover/2082671.jpg", "Обложка")</f>
        <v>Обложка</v>
      </c>
      <c r="V1046" s="24" t="str">
        <f>HYPERLINK("https://znanium.ru/catalog/product/2082671", "Ознакомиться")</f>
        <v>Ознакомиться</v>
      </c>
      <c r="W1046" s="8" t="s">
        <v>83</v>
      </c>
      <c r="X1046" s="6"/>
      <c r="Y1046" s="6"/>
      <c r="Z1046" s="6"/>
      <c r="AA1046" s="6" t="s">
        <v>219</v>
      </c>
      <c r="AB1046" s="8"/>
    </row>
    <row r="1047" spans="1:28" s="4" customFormat="1" ht="51.95" customHeight="1">
      <c r="A1047" s="5">
        <v>0</v>
      </c>
      <c r="B1047" s="6" t="s">
        <v>6665</v>
      </c>
      <c r="C1047" s="13">
        <v>1720</v>
      </c>
      <c r="D1047" s="8" t="s">
        <v>6666</v>
      </c>
      <c r="E1047" s="8" t="s">
        <v>6667</v>
      </c>
      <c r="F1047" s="8" t="s">
        <v>6661</v>
      </c>
      <c r="G1047" s="6" t="s">
        <v>52</v>
      </c>
      <c r="H1047" s="6" t="s">
        <v>53</v>
      </c>
      <c r="I1047" s="8" t="s">
        <v>1223</v>
      </c>
      <c r="J1047" s="9">
        <v>1</v>
      </c>
      <c r="K1047" s="9">
        <v>504</v>
      </c>
      <c r="L1047" s="9">
        <v>2020</v>
      </c>
      <c r="M1047" s="8" t="s">
        <v>6668</v>
      </c>
      <c r="N1047" s="8" t="s">
        <v>413</v>
      </c>
      <c r="O1047" s="8" t="s">
        <v>1141</v>
      </c>
      <c r="P1047" s="6" t="s">
        <v>167</v>
      </c>
      <c r="Q1047" s="8" t="s">
        <v>44</v>
      </c>
      <c r="R1047" s="10" t="s">
        <v>6669</v>
      </c>
      <c r="S1047" s="11" t="s">
        <v>6670</v>
      </c>
      <c r="T1047" s="6"/>
      <c r="U1047" s="24" t="str">
        <f>HYPERLINK("https://media.infra-m.ru/1072/1072180/cover/1072180.jpg", "Обложка")</f>
        <v>Обложка</v>
      </c>
      <c r="V1047" s="24" t="str">
        <f>HYPERLINK("https://znanium.ru/catalog/product/1072180", "Ознакомиться")</f>
        <v>Ознакомиться</v>
      </c>
      <c r="W1047" s="8" t="s">
        <v>83</v>
      </c>
      <c r="X1047" s="6"/>
      <c r="Y1047" s="6"/>
      <c r="Z1047" s="6"/>
      <c r="AA1047" s="6" t="s">
        <v>793</v>
      </c>
      <c r="AB1047" s="8"/>
    </row>
    <row r="1048" spans="1:28" s="4" customFormat="1" ht="44.1" customHeight="1">
      <c r="A1048" s="5">
        <v>0</v>
      </c>
      <c r="B1048" s="6" t="s">
        <v>6671</v>
      </c>
      <c r="C1048" s="7">
        <v>944.9</v>
      </c>
      <c r="D1048" s="8" t="s">
        <v>6672</v>
      </c>
      <c r="E1048" s="8" t="s">
        <v>6673</v>
      </c>
      <c r="F1048" s="8" t="s">
        <v>6674</v>
      </c>
      <c r="G1048" s="6" t="s">
        <v>52</v>
      </c>
      <c r="H1048" s="6" t="s">
        <v>77</v>
      </c>
      <c r="I1048" s="8"/>
      <c r="J1048" s="9">
        <v>1</v>
      </c>
      <c r="K1048" s="9">
        <v>224</v>
      </c>
      <c r="L1048" s="9">
        <v>2022</v>
      </c>
      <c r="M1048" s="8" t="s">
        <v>6675</v>
      </c>
      <c r="N1048" s="8" t="s">
        <v>41</v>
      </c>
      <c r="O1048" s="8" t="s">
        <v>118</v>
      </c>
      <c r="P1048" s="6" t="s">
        <v>43</v>
      </c>
      <c r="Q1048" s="8" t="s">
        <v>44</v>
      </c>
      <c r="R1048" s="10" t="s">
        <v>6676</v>
      </c>
      <c r="S1048" s="11"/>
      <c r="T1048" s="6"/>
      <c r="U1048" s="24" t="str">
        <f>HYPERLINK("https://media.infra-m.ru/1873/1873273/cover/1873273.jpg", "Обложка")</f>
        <v>Обложка</v>
      </c>
      <c r="V1048" s="24" t="str">
        <f>HYPERLINK("https://znanium.ru/catalog/product/1290479", "Ознакомиться")</f>
        <v>Ознакомиться</v>
      </c>
      <c r="W1048" s="8" t="s">
        <v>83</v>
      </c>
      <c r="X1048" s="6"/>
      <c r="Y1048" s="6"/>
      <c r="Z1048" s="6"/>
      <c r="AA1048" s="6" t="s">
        <v>111</v>
      </c>
      <c r="AB1048" s="8"/>
    </row>
    <row r="1049" spans="1:28" s="4" customFormat="1" ht="51.95" customHeight="1">
      <c r="A1049" s="5">
        <v>0</v>
      </c>
      <c r="B1049" s="6" t="s">
        <v>6677</v>
      </c>
      <c r="C1049" s="7">
        <v>470</v>
      </c>
      <c r="D1049" s="8" t="s">
        <v>6678</v>
      </c>
      <c r="E1049" s="8" t="s">
        <v>6679</v>
      </c>
      <c r="F1049" s="8" t="s">
        <v>6680</v>
      </c>
      <c r="G1049" s="6" t="s">
        <v>38</v>
      </c>
      <c r="H1049" s="6" t="s">
        <v>53</v>
      </c>
      <c r="I1049" s="8" t="s">
        <v>100</v>
      </c>
      <c r="J1049" s="9">
        <v>1</v>
      </c>
      <c r="K1049" s="9">
        <v>74</v>
      </c>
      <c r="L1049" s="9">
        <v>2025</v>
      </c>
      <c r="M1049" s="8" t="s">
        <v>6681</v>
      </c>
      <c r="N1049" s="8" t="s">
        <v>79</v>
      </c>
      <c r="O1049" s="8" t="s">
        <v>174</v>
      </c>
      <c r="P1049" s="6" t="s">
        <v>43</v>
      </c>
      <c r="Q1049" s="8" t="s">
        <v>102</v>
      </c>
      <c r="R1049" s="10" t="s">
        <v>6682</v>
      </c>
      <c r="S1049" s="11" t="s">
        <v>6683</v>
      </c>
      <c r="T1049" s="6"/>
      <c r="U1049" s="24" t="str">
        <f>HYPERLINK("https://media.infra-m.ru/2173/2173436/cover/2173436.jpg", "Обложка")</f>
        <v>Обложка</v>
      </c>
      <c r="V1049" s="24" t="str">
        <f>HYPERLINK("https://znanium.ru/catalog/product/2173436", "Ознакомиться")</f>
        <v>Ознакомиться</v>
      </c>
      <c r="W1049" s="8" t="s">
        <v>6684</v>
      </c>
      <c r="X1049" s="6"/>
      <c r="Y1049" s="6"/>
      <c r="Z1049" s="6" t="s">
        <v>369</v>
      </c>
      <c r="AA1049" s="6" t="s">
        <v>151</v>
      </c>
      <c r="AB1049" s="8"/>
    </row>
    <row r="1050" spans="1:28" s="4" customFormat="1" ht="51.95" customHeight="1">
      <c r="A1050" s="5">
        <v>0</v>
      </c>
      <c r="B1050" s="6" t="s">
        <v>6685</v>
      </c>
      <c r="C1050" s="7">
        <v>684</v>
      </c>
      <c r="D1050" s="8" t="s">
        <v>6686</v>
      </c>
      <c r="E1050" s="8" t="s">
        <v>6687</v>
      </c>
      <c r="F1050" s="8" t="s">
        <v>6688</v>
      </c>
      <c r="G1050" s="6" t="s">
        <v>38</v>
      </c>
      <c r="H1050" s="6" t="s">
        <v>53</v>
      </c>
      <c r="I1050" s="8" t="s">
        <v>90</v>
      </c>
      <c r="J1050" s="9">
        <v>1</v>
      </c>
      <c r="K1050" s="9">
        <v>126</v>
      </c>
      <c r="L1050" s="9">
        <v>2025</v>
      </c>
      <c r="M1050" s="8" t="s">
        <v>6689</v>
      </c>
      <c r="N1050" s="8" t="s">
        <v>41</v>
      </c>
      <c r="O1050" s="8" t="s">
        <v>676</v>
      </c>
      <c r="P1050" s="6" t="s">
        <v>43</v>
      </c>
      <c r="Q1050" s="8" t="s">
        <v>44</v>
      </c>
      <c r="R1050" s="10" t="s">
        <v>806</v>
      </c>
      <c r="S1050" s="11"/>
      <c r="T1050" s="6"/>
      <c r="U1050" s="24" t="str">
        <f>HYPERLINK("https://media.infra-m.ru/2192/2192258/cover/2192258.jpg", "Обложка")</f>
        <v>Обложка</v>
      </c>
      <c r="V1050" s="24" t="str">
        <f>HYPERLINK("https://znanium.ru/catalog/product/1844319", "Ознакомиться")</f>
        <v>Ознакомиться</v>
      </c>
      <c r="W1050" s="8" t="s">
        <v>6690</v>
      </c>
      <c r="X1050" s="6"/>
      <c r="Y1050" s="6"/>
      <c r="Z1050" s="6"/>
      <c r="AA1050" s="6" t="s">
        <v>84</v>
      </c>
      <c r="AB1050" s="8"/>
    </row>
    <row r="1051" spans="1:28" s="4" customFormat="1" ht="51.95" customHeight="1">
      <c r="A1051" s="5">
        <v>0</v>
      </c>
      <c r="B1051" s="6" t="s">
        <v>6691</v>
      </c>
      <c r="C1051" s="13">
        <v>1390</v>
      </c>
      <c r="D1051" s="8" t="s">
        <v>6692</v>
      </c>
      <c r="E1051" s="8" t="s">
        <v>6693</v>
      </c>
      <c r="F1051" s="8" t="s">
        <v>6694</v>
      </c>
      <c r="G1051" s="6" t="s">
        <v>89</v>
      </c>
      <c r="H1051" s="6" t="s">
        <v>53</v>
      </c>
      <c r="I1051" s="8" t="s">
        <v>116</v>
      </c>
      <c r="J1051" s="9">
        <v>1</v>
      </c>
      <c r="K1051" s="9">
        <v>255</v>
      </c>
      <c r="L1051" s="9">
        <v>2025</v>
      </c>
      <c r="M1051" s="8" t="s">
        <v>6695</v>
      </c>
      <c r="N1051" s="8" t="s">
        <v>41</v>
      </c>
      <c r="O1051" s="8" t="s">
        <v>676</v>
      </c>
      <c r="P1051" s="6" t="s">
        <v>43</v>
      </c>
      <c r="Q1051" s="8" t="s">
        <v>58</v>
      </c>
      <c r="R1051" s="10" t="s">
        <v>6696</v>
      </c>
      <c r="S1051" s="11"/>
      <c r="T1051" s="6"/>
      <c r="U1051" s="24" t="str">
        <f>HYPERLINK("https://media.infra-m.ru/2201/2201253/cover/2201253.jpg", "Обложка")</f>
        <v>Обложка</v>
      </c>
      <c r="V1051" s="24" t="str">
        <f>HYPERLINK("https://znanium.ru/catalog/product/2201253", "Ознакомиться")</f>
        <v>Ознакомиться</v>
      </c>
      <c r="W1051" s="8" t="s">
        <v>71</v>
      </c>
      <c r="X1051" s="6"/>
      <c r="Y1051" s="6"/>
      <c r="Z1051" s="6"/>
      <c r="AA1051" s="6" t="s">
        <v>133</v>
      </c>
      <c r="AB1051" s="8"/>
    </row>
    <row r="1052" spans="1:28" s="4" customFormat="1" ht="51.95" customHeight="1">
      <c r="A1052" s="5">
        <v>0</v>
      </c>
      <c r="B1052" s="6" t="s">
        <v>6697</v>
      </c>
      <c r="C1052" s="13">
        <v>1518</v>
      </c>
      <c r="D1052" s="8" t="s">
        <v>6698</v>
      </c>
      <c r="E1052" s="8" t="s">
        <v>6699</v>
      </c>
      <c r="F1052" s="8" t="s">
        <v>6700</v>
      </c>
      <c r="G1052" s="6" t="s">
        <v>52</v>
      </c>
      <c r="H1052" s="6" t="s">
        <v>674</v>
      </c>
      <c r="I1052" s="8"/>
      <c r="J1052" s="9">
        <v>1</v>
      </c>
      <c r="K1052" s="9">
        <v>284</v>
      </c>
      <c r="L1052" s="9">
        <v>2025</v>
      </c>
      <c r="M1052" s="8" t="s">
        <v>6701</v>
      </c>
      <c r="N1052" s="8" t="s">
        <v>41</v>
      </c>
      <c r="O1052" s="8" t="s">
        <v>676</v>
      </c>
      <c r="P1052" s="6" t="s">
        <v>1046</v>
      </c>
      <c r="Q1052" s="8" t="s">
        <v>58</v>
      </c>
      <c r="R1052" s="10" t="s">
        <v>6702</v>
      </c>
      <c r="S1052" s="11"/>
      <c r="T1052" s="6"/>
      <c r="U1052" s="24" t="str">
        <f>HYPERLINK("https://media.infra-m.ru/2196/2196816/cover/2196816.jpg", "Обложка")</f>
        <v>Обложка</v>
      </c>
      <c r="V1052" s="24" t="str">
        <f>HYPERLINK("https://znanium.ru/catalog/product/2170604", "Ознакомиться")</f>
        <v>Ознакомиться</v>
      </c>
      <c r="W1052" s="8" t="s">
        <v>678</v>
      </c>
      <c r="X1052" s="6"/>
      <c r="Y1052" s="6"/>
      <c r="Z1052" s="6"/>
      <c r="AA1052" s="6" t="s">
        <v>61</v>
      </c>
      <c r="AB1052" s="8"/>
    </row>
    <row r="1053" spans="1:28" s="4" customFormat="1" ht="51.95" customHeight="1">
      <c r="A1053" s="5">
        <v>0</v>
      </c>
      <c r="B1053" s="6" t="s">
        <v>6703</v>
      </c>
      <c r="C1053" s="13">
        <v>1440</v>
      </c>
      <c r="D1053" s="8" t="s">
        <v>6704</v>
      </c>
      <c r="E1053" s="8" t="s">
        <v>6705</v>
      </c>
      <c r="F1053" s="8" t="s">
        <v>2296</v>
      </c>
      <c r="G1053" s="6" t="s">
        <v>89</v>
      </c>
      <c r="H1053" s="6" t="s">
        <v>53</v>
      </c>
      <c r="I1053" s="8" t="s">
        <v>2297</v>
      </c>
      <c r="J1053" s="9">
        <v>1</v>
      </c>
      <c r="K1053" s="9">
        <v>282</v>
      </c>
      <c r="L1053" s="9">
        <v>2025</v>
      </c>
      <c r="M1053" s="8" t="s">
        <v>6706</v>
      </c>
      <c r="N1053" s="8" t="s">
        <v>41</v>
      </c>
      <c r="O1053" s="8" t="s">
        <v>118</v>
      </c>
      <c r="P1053" s="6" t="s">
        <v>366</v>
      </c>
      <c r="Q1053" s="8" t="s">
        <v>1674</v>
      </c>
      <c r="R1053" s="10" t="s">
        <v>6707</v>
      </c>
      <c r="S1053" s="11" t="s">
        <v>6708</v>
      </c>
      <c r="T1053" s="6" t="s">
        <v>299</v>
      </c>
      <c r="U1053" s="24" t="str">
        <f>HYPERLINK("https://media.infra-m.ru/2184/2184889/cover/2184889.jpg", "Обложка")</f>
        <v>Обложка</v>
      </c>
      <c r="V1053" s="24" t="str">
        <f>HYPERLINK("https://znanium.ru/catalog/product/2184889", "Ознакомиться")</f>
        <v>Ознакомиться</v>
      </c>
      <c r="W1053" s="8" t="s">
        <v>2080</v>
      </c>
      <c r="X1053" s="6"/>
      <c r="Y1053" s="6"/>
      <c r="Z1053" s="6"/>
      <c r="AA1053" s="6" t="s">
        <v>2086</v>
      </c>
      <c r="AB1053" s="8"/>
    </row>
    <row r="1054" spans="1:28" s="4" customFormat="1" ht="51.95" customHeight="1">
      <c r="A1054" s="5">
        <v>0</v>
      </c>
      <c r="B1054" s="6" t="s">
        <v>6709</v>
      </c>
      <c r="C1054" s="7">
        <v>984.9</v>
      </c>
      <c r="D1054" s="8" t="s">
        <v>6710</v>
      </c>
      <c r="E1054" s="8" t="s">
        <v>6711</v>
      </c>
      <c r="F1054" s="8" t="s">
        <v>6712</v>
      </c>
      <c r="G1054" s="6" t="s">
        <v>52</v>
      </c>
      <c r="H1054" s="6" t="s">
        <v>53</v>
      </c>
      <c r="I1054" s="8" t="s">
        <v>2297</v>
      </c>
      <c r="J1054" s="9">
        <v>1</v>
      </c>
      <c r="K1054" s="9">
        <v>299</v>
      </c>
      <c r="L1054" s="9">
        <v>2020</v>
      </c>
      <c r="M1054" s="8" t="s">
        <v>6713</v>
      </c>
      <c r="N1054" s="8" t="s">
        <v>41</v>
      </c>
      <c r="O1054" s="8" t="s">
        <v>118</v>
      </c>
      <c r="P1054" s="6" t="s">
        <v>6714</v>
      </c>
      <c r="Q1054" s="8" t="s">
        <v>1674</v>
      </c>
      <c r="R1054" s="10" t="s">
        <v>6707</v>
      </c>
      <c r="S1054" s="11" t="s">
        <v>6715</v>
      </c>
      <c r="T1054" s="6" t="s">
        <v>299</v>
      </c>
      <c r="U1054" s="24" t="str">
        <f>HYPERLINK("https://media.infra-m.ru/1088/1088225/cover/1088225.jpg", "Обложка")</f>
        <v>Обложка</v>
      </c>
      <c r="V1054" s="24" t="str">
        <f>HYPERLINK("https://znanium.ru/catalog/product/2184889", "Ознакомиться")</f>
        <v>Ознакомиться</v>
      </c>
      <c r="W1054" s="8" t="s">
        <v>2080</v>
      </c>
      <c r="X1054" s="6"/>
      <c r="Y1054" s="6"/>
      <c r="Z1054" s="6"/>
      <c r="AA1054" s="6" t="s">
        <v>479</v>
      </c>
      <c r="AB1054" s="8"/>
    </row>
    <row r="1055" spans="1:28" s="4" customFormat="1" ht="44.1" customHeight="1">
      <c r="A1055" s="5">
        <v>0</v>
      </c>
      <c r="B1055" s="6" t="s">
        <v>6716</v>
      </c>
      <c r="C1055" s="7">
        <v>630</v>
      </c>
      <c r="D1055" s="8" t="s">
        <v>6717</v>
      </c>
      <c r="E1055" s="8" t="s">
        <v>6718</v>
      </c>
      <c r="F1055" s="8" t="s">
        <v>6719</v>
      </c>
      <c r="G1055" s="6" t="s">
        <v>38</v>
      </c>
      <c r="H1055" s="6" t="s">
        <v>952</v>
      </c>
      <c r="I1055" s="8"/>
      <c r="J1055" s="9">
        <v>1</v>
      </c>
      <c r="K1055" s="9">
        <v>128</v>
      </c>
      <c r="L1055" s="9">
        <v>2024</v>
      </c>
      <c r="M1055" s="8" t="s">
        <v>6720</v>
      </c>
      <c r="N1055" s="8" t="s">
        <v>41</v>
      </c>
      <c r="O1055" s="8" t="s">
        <v>6721</v>
      </c>
      <c r="P1055" s="6" t="s">
        <v>366</v>
      </c>
      <c r="Q1055" s="8" t="s">
        <v>1047</v>
      </c>
      <c r="R1055" s="10" t="s">
        <v>6722</v>
      </c>
      <c r="S1055" s="11"/>
      <c r="T1055" s="6"/>
      <c r="U1055" s="24" t="str">
        <f>HYPERLINK("https://media.infra-m.ru/2149/2149170/cover/2149170.jpg", "Обложка")</f>
        <v>Обложка</v>
      </c>
      <c r="V1055" s="24" t="str">
        <f>HYPERLINK("https://znanium.ru/catalog/product/2149170", "Ознакомиться")</f>
        <v>Ознакомиться</v>
      </c>
      <c r="W1055" s="8" t="s">
        <v>6723</v>
      </c>
      <c r="X1055" s="6"/>
      <c r="Y1055" s="6"/>
      <c r="Z1055" s="6"/>
      <c r="AA1055" s="6" t="s">
        <v>111</v>
      </c>
      <c r="AB1055" s="8"/>
    </row>
    <row r="1056" spans="1:28" s="4" customFormat="1" ht="51.95" customHeight="1">
      <c r="A1056" s="5">
        <v>0</v>
      </c>
      <c r="B1056" s="6" t="s">
        <v>6724</v>
      </c>
      <c r="C1056" s="7">
        <v>490</v>
      </c>
      <c r="D1056" s="8" t="s">
        <v>6725</v>
      </c>
      <c r="E1056" s="8" t="s">
        <v>6726</v>
      </c>
      <c r="F1056" s="8" t="s">
        <v>6727</v>
      </c>
      <c r="G1056" s="6" t="s">
        <v>38</v>
      </c>
      <c r="H1056" s="6" t="s">
        <v>53</v>
      </c>
      <c r="I1056" s="8" t="s">
        <v>90</v>
      </c>
      <c r="J1056" s="9">
        <v>1</v>
      </c>
      <c r="K1056" s="9">
        <v>99</v>
      </c>
      <c r="L1056" s="9">
        <v>2020</v>
      </c>
      <c r="M1056" s="8" t="s">
        <v>6728</v>
      </c>
      <c r="N1056" s="8" t="s">
        <v>41</v>
      </c>
      <c r="O1056" s="8" t="s">
        <v>1007</v>
      </c>
      <c r="P1056" s="6" t="s">
        <v>43</v>
      </c>
      <c r="Q1056" s="8" t="s">
        <v>44</v>
      </c>
      <c r="R1056" s="10" t="s">
        <v>6729</v>
      </c>
      <c r="S1056" s="11" t="s">
        <v>6730</v>
      </c>
      <c r="T1056" s="6"/>
      <c r="U1056" s="24" t="str">
        <f>HYPERLINK("https://media.infra-m.ru/1942/1942688/cover/1942688.jpg", "Обложка")</f>
        <v>Обложка</v>
      </c>
      <c r="V1056" s="24" t="str">
        <f>HYPERLINK("https://znanium.ru/catalog/product/912747", "Ознакомиться")</f>
        <v>Ознакомиться</v>
      </c>
      <c r="W1056" s="8" t="s">
        <v>6731</v>
      </c>
      <c r="X1056" s="6"/>
      <c r="Y1056" s="6"/>
      <c r="Z1056" s="6"/>
      <c r="AA1056" s="6" t="s">
        <v>442</v>
      </c>
      <c r="AB1056" s="8"/>
    </row>
    <row r="1057" spans="1:28" s="4" customFormat="1" ht="51.95" customHeight="1">
      <c r="A1057" s="5">
        <v>0</v>
      </c>
      <c r="B1057" s="6" t="s">
        <v>6732</v>
      </c>
      <c r="C1057" s="7">
        <v>490</v>
      </c>
      <c r="D1057" s="8" t="s">
        <v>6733</v>
      </c>
      <c r="E1057" s="8" t="s">
        <v>6726</v>
      </c>
      <c r="F1057" s="8" t="s">
        <v>6727</v>
      </c>
      <c r="G1057" s="6" t="s">
        <v>38</v>
      </c>
      <c r="H1057" s="6" t="s">
        <v>53</v>
      </c>
      <c r="I1057" s="8" t="s">
        <v>100</v>
      </c>
      <c r="J1057" s="9">
        <v>1</v>
      </c>
      <c r="K1057" s="9">
        <v>99</v>
      </c>
      <c r="L1057" s="9">
        <v>2024</v>
      </c>
      <c r="M1057" s="8" t="s">
        <v>6734</v>
      </c>
      <c r="N1057" s="8" t="s">
        <v>41</v>
      </c>
      <c r="O1057" s="8" t="s">
        <v>1007</v>
      </c>
      <c r="P1057" s="6" t="s">
        <v>43</v>
      </c>
      <c r="Q1057" s="8" t="s">
        <v>102</v>
      </c>
      <c r="R1057" s="10" t="s">
        <v>6735</v>
      </c>
      <c r="S1057" s="11" t="s">
        <v>6736</v>
      </c>
      <c r="T1057" s="6"/>
      <c r="U1057" s="24" t="str">
        <f>HYPERLINK("https://media.infra-m.ru/1844/1844361/cover/1844361.jpg", "Обложка")</f>
        <v>Обложка</v>
      </c>
      <c r="V1057" s="24" t="str">
        <f>HYPERLINK("https://znanium.ru/catalog/product/1844361", "Ознакомиться")</f>
        <v>Ознакомиться</v>
      </c>
      <c r="W1057" s="8" t="s">
        <v>6731</v>
      </c>
      <c r="X1057" s="6"/>
      <c r="Y1057" s="6"/>
      <c r="Z1057" s="6" t="s">
        <v>104</v>
      </c>
      <c r="AA1057" s="6" t="s">
        <v>258</v>
      </c>
      <c r="AB1057" s="8"/>
    </row>
    <row r="1058" spans="1:28" s="4" customFormat="1" ht="51.95" customHeight="1">
      <c r="A1058" s="5">
        <v>0</v>
      </c>
      <c r="B1058" s="6" t="s">
        <v>6737</v>
      </c>
      <c r="C1058" s="13">
        <v>1514</v>
      </c>
      <c r="D1058" s="8" t="s">
        <v>6738</v>
      </c>
      <c r="E1058" s="8" t="s">
        <v>6739</v>
      </c>
      <c r="F1058" s="8" t="s">
        <v>6740</v>
      </c>
      <c r="G1058" s="6" t="s">
        <v>89</v>
      </c>
      <c r="H1058" s="6" t="s">
        <v>53</v>
      </c>
      <c r="I1058" s="8" t="s">
        <v>90</v>
      </c>
      <c r="J1058" s="9">
        <v>1</v>
      </c>
      <c r="K1058" s="9">
        <v>304</v>
      </c>
      <c r="L1058" s="9">
        <v>2024</v>
      </c>
      <c r="M1058" s="8" t="s">
        <v>6741</v>
      </c>
      <c r="N1058" s="8" t="s">
        <v>41</v>
      </c>
      <c r="O1058" s="8" t="s">
        <v>118</v>
      </c>
      <c r="P1058" s="6" t="s">
        <v>43</v>
      </c>
      <c r="Q1058" s="8" t="s">
        <v>44</v>
      </c>
      <c r="R1058" s="10" t="s">
        <v>6742</v>
      </c>
      <c r="S1058" s="11" t="s">
        <v>6743</v>
      </c>
      <c r="T1058" s="6" t="s">
        <v>299</v>
      </c>
      <c r="U1058" s="24" t="str">
        <f>HYPERLINK("https://media.infra-m.ru/2168/2168030/cover/2168030.jpg", "Обложка")</f>
        <v>Обложка</v>
      </c>
      <c r="V1058" s="24" t="str">
        <f>HYPERLINK("https://znanium.ru/catalog/product/2110037", "Ознакомиться")</f>
        <v>Ознакомиться</v>
      </c>
      <c r="W1058" s="8" t="s">
        <v>243</v>
      </c>
      <c r="X1058" s="6"/>
      <c r="Y1058" s="6"/>
      <c r="Z1058" s="6"/>
      <c r="AA1058" s="6" t="s">
        <v>407</v>
      </c>
      <c r="AB1058" s="8"/>
    </row>
    <row r="1059" spans="1:28" s="4" customFormat="1" ht="51.95" customHeight="1">
      <c r="A1059" s="5">
        <v>0</v>
      </c>
      <c r="B1059" s="6" t="s">
        <v>6744</v>
      </c>
      <c r="C1059" s="7">
        <v>930</v>
      </c>
      <c r="D1059" s="8" t="s">
        <v>6745</v>
      </c>
      <c r="E1059" s="8" t="s">
        <v>6746</v>
      </c>
      <c r="F1059" s="8" t="s">
        <v>3416</v>
      </c>
      <c r="G1059" s="6" t="s">
        <v>89</v>
      </c>
      <c r="H1059" s="6" t="s">
        <v>53</v>
      </c>
      <c r="I1059" s="8" t="s">
        <v>100</v>
      </c>
      <c r="J1059" s="9">
        <v>1</v>
      </c>
      <c r="K1059" s="9">
        <v>242</v>
      </c>
      <c r="L1059" s="9">
        <v>2022</v>
      </c>
      <c r="M1059" s="8" t="s">
        <v>6747</v>
      </c>
      <c r="N1059" s="8" t="s">
        <v>41</v>
      </c>
      <c r="O1059" s="8" t="s">
        <v>1007</v>
      </c>
      <c r="P1059" s="6" t="s">
        <v>167</v>
      </c>
      <c r="Q1059" s="8" t="s">
        <v>102</v>
      </c>
      <c r="R1059" s="10" t="s">
        <v>6748</v>
      </c>
      <c r="S1059" s="11" t="s">
        <v>6749</v>
      </c>
      <c r="T1059" s="6"/>
      <c r="U1059" s="24" t="str">
        <f>HYPERLINK("https://media.infra-m.ru/1855/1855470/cover/1855470.jpg", "Обложка")</f>
        <v>Обложка</v>
      </c>
      <c r="V1059" s="24" t="str">
        <f>HYPERLINK("https://znanium.ru/catalog/product/1855470", "Ознакомиться")</f>
        <v>Ознакомиться</v>
      </c>
      <c r="W1059" s="8" t="s">
        <v>450</v>
      </c>
      <c r="X1059" s="6"/>
      <c r="Y1059" s="6"/>
      <c r="Z1059" s="6"/>
      <c r="AA1059" s="6" t="s">
        <v>793</v>
      </c>
      <c r="AB1059" s="8" t="s">
        <v>1383</v>
      </c>
    </row>
    <row r="1060" spans="1:28" s="4" customFormat="1" ht="42" customHeight="1">
      <c r="A1060" s="5">
        <v>0</v>
      </c>
      <c r="B1060" s="6" t="s">
        <v>6750</v>
      </c>
      <c r="C1060" s="13">
        <v>2160</v>
      </c>
      <c r="D1060" s="8" t="s">
        <v>6751</v>
      </c>
      <c r="E1060" s="8" t="s">
        <v>6746</v>
      </c>
      <c r="F1060" s="8" t="s">
        <v>4353</v>
      </c>
      <c r="G1060" s="6" t="s">
        <v>52</v>
      </c>
      <c r="H1060" s="6" t="s">
        <v>53</v>
      </c>
      <c r="I1060" s="8" t="s">
        <v>223</v>
      </c>
      <c r="J1060" s="9">
        <v>1</v>
      </c>
      <c r="K1060" s="9">
        <v>459</v>
      </c>
      <c r="L1060" s="9">
        <v>2024</v>
      </c>
      <c r="M1060" s="8" t="s">
        <v>6752</v>
      </c>
      <c r="N1060" s="8" t="s">
        <v>41</v>
      </c>
      <c r="O1060" s="8" t="s">
        <v>1007</v>
      </c>
      <c r="P1060" s="6" t="s">
        <v>167</v>
      </c>
      <c r="Q1060" s="8" t="s">
        <v>102</v>
      </c>
      <c r="R1060" s="10" t="s">
        <v>6748</v>
      </c>
      <c r="S1060" s="11"/>
      <c r="T1060" s="6"/>
      <c r="U1060" s="24" t="str">
        <f>HYPERLINK("https://media.infra-m.ru/1905/1905753/cover/1905753.jpg", "Обложка")</f>
        <v>Обложка</v>
      </c>
      <c r="V1060" s="24" t="str">
        <f>HYPERLINK("https://znanium.ru/catalog/product/1905753", "Ознакомиться")</f>
        <v>Ознакомиться</v>
      </c>
      <c r="W1060" s="8" t="s">
        <v>83</v>
      </c>
      <c r="X1060" s="6"/>
      <c r="Y1060" s="6"/>
      <c r="Z1060" s="6"/>
      <c r="AA1060" s="6" t="s">
        <v>133</v>
      </c>
      <c r="AB1060" s="8"/>
    </row>
    <row r="1061" spans="1:28" s="4" customFormat="1" ht="51.95" customHeight="1">
      <c r="A1061" s="5">
        <v>0</v>
      </c>
      <c r="B1061" s="6" t="s">
        <v>6753</v>
      </c>
      <c r="C1061" s="7">
        <v>820</v>
      </c>
      <c r="D1061" s="8" t="s">
        <v>6754</v>
      </c>
      <c r="E1061" s="8" t="s">
        <v>6755</v>
      </c>
      <c r="F1061" s="8" t="s">
        <v>6756</v>
      </c>
      <c r="G1061" s="6" t="s">
        <v>52</v>
      </c>
      <c r="H1061" s="6" t="s">
        <v>53</v>
      </c>
      <c r="I1061" s="8" t="s">
        <v>212</v>
      </c>
      <c r="J1061" s="9">
        <v>1</v>
      </c>
      <c r="K1061" s="9">
        <v>188</v>
      </c>
      <c r="L1061" s="9">
        <v>2022</v>
      </c>
      <c r="M1061" s="8" t="s">
        <v>6757</v>
      </c>
      <c r="N1061" s="8" t="s">
        <v>41</v>
      </c>
      <c r="O1061" s="8" t="s">
        <v>1007</v>
      </c>
      <c r="P1061" s="6" t="s">
        <v>43</v>
      </c>
      <c r="Q1061" s="8" t="s">
        <v>214</v>
      </c>
      <c r="R1061" s="10" t="s">
        <v>6758</v>
      </c>
      <c r="S1061" s="11" t="s">
        <v>6759</v>
      </c>
      <c r="T1061" s="6"/>
      <c r="U1061" s="24" t="str">
        <f>HYPERLINK("https://media.infra-m.ru/1414/1414396/cover/1414396.jpg", "Обложка")</f>
        <v>Обложка</v>
      </c>
      <c r="V1061" s="24" t="str">
        <f>HYPERLINK("https://znanium.ru/catalog/product/1414396", "Ознакомиться")</f>
        <v>Ознакомиться</v>
      </c>
      <c r="W1061" s="8" t="s">
        <v>1064</v>
      </c>
      <c r="X1061" s="6"/>
      <c r="Y1061" s="6"/>
      <c r="Z1061" s="6"/>
      <c r="AA1061" s="6" t="s">
        <v>235</v>
      </c>
      <c r="AB1061" s="8"/>
    </row>
    <row r="1062" spans="1:28" s="4" customFormat="1" ht="51.95" customHeight="1">
      <c r="A1062" s="5">
        <v>0</v>
      </c>
      <c r="B1062" s="6" t="s">
        <v>6760</v>
      </c>
      <c r="C1062" s="13">
        <v>1004</v>
      </c>
      <c r="D1062" s="8" t="s">
        <v>6761</v>
      </c>
      <c r="E1062" s="8" t="s">
        <v>6762</v>
      </c>
      <c r="F1062" s="8" t="s">
        <v>6763</v>
      </c>
      <c r="G1062" s="6" t="s">
        <v>89</v>
      </c>
      <c r="H1062" s="6" t="s">
        <v>53</v>
      </c>
      <c r="I1062" s="8" t="s">
        <v>90</v>
      </c>
      <c r="J1062" s="9">
        <v>1</v>
      </c>
      <c r="K1062" s="9">
        <v>193</v>
      </c>
      <c r="L1062" s="9">
        <v>2025</v>
      </c>
      <c r="M1062" s="8" t="s">
        <v>6764</v>
      </c>
      <c r="N1062" s="8" t="s">
        <v>41</v>
      </c>
      <c r="O1062" s="8" t="s">
        <v>118</v>
      </c>
      <c r="P1062" s="6" t="s">
        <v>43</v>
      </c>
      <c r="Q1062" s="8" t="s">
        <v>44</v>
      </c>
      <c r="R1062" s="10" t="s">
        <v>6765</v>
      </c>
      <c r="S1062" s="11" t="s">
        <v>6766</v>
      </c>
      <c r="T1062" s="6"/>
      <c r="U1062" s="24" t="str">
        <f>HYPERLINK("https://media.infra-m.ru/2194/2194386/cover/2194386.jpg", "Обложка")</f>
        <v>Обложка</v>
      </c>
      <c r="V1062" s="24" t="str">
        <f>HYPERLINK("https://znanium.ru/catalog/product/1869370", "Ознакомиться")</f>
        <v>Ознакомиться</v>
      </c>
      <c r="W1062" s="8" t="s">
        <v>913</v>
      </c>
      <c r="X1062" s="6"/>
      <c r="Y1062" s="6"/>
      <c r="Z1062" s="6"/>
      <c r="AA1062" s="6" t="s">
        <v>1374</v>
      </c>
      <c r="AB1062" s="8"/>
    </row>
    <row r="1063" spans="1:28" s="4" customFormat="1" ht="51.95" customHeight="1">
      <c r="A1063" s="5">
        <v>0</v>
      </c>
      <c r="B1063" s="6" t="s">
        <v>6767</v>
      </c>
      <c r="C1063" s="7">
        <v>674.9</v>
      </c>
      <c r="D1063" s="8" t="s">
        <v>6768</v>
      </c>
      <c r="E1063" s="8" t="s">
        <v>6769</v>
      </c>
      <c r="F1063" s="8" t="s">
        <v>6770</v>
      </c>
      <c r="G1063" s="6" t="s">
        <v>52</v>
      </c>
      <c r="H1063" s="6" t="s">
        <v>1738</v>
      </c>
      <c r="I1063" s="8"/>
      <c r="J1063" s="9">
        <v>1</v>
      </c>
      <c r="K1063" s="9">
        <v>208</v>
      </c>
      <c r="L1063" s="9">
        <v>2019</v>
      </c>
      <c r="M1063" s="8" t="s">
        <v>6771</v>
      </c>
      <c r="N1063" s="8" t="s">
        <v>41</v>
      </c>
      <c r="O1063" s="8" t="s">
        <v>118</v>
      </c>
      <c r="P1063" s="6" t="s">
        <v>43</v>
      </c>
      <c r="Q1063" s="8" t="s">
        <v>44</v>
      </c>
      <c r="R1063" s="10" t="s">
        <v>6765</v>
      </c>
      <c r="S1063" s="11"/>
      <c r="T1063" s="6"/>
      <c r="U1063" s="24" t="str">
        <f>HYPERLINK("https://media.infra-m.ru/1009/1009286/cover/1009286.jpg", "Обложка")</f>
        <v>Обложка</v>
      </c>
      <c r="V1063" s="24" t="str">
        <f>HYPERLINK("https://znanium.ru/catalog/product/1869370", "Ознакомиться")</f>
        <v>Ознакомиться</v>
      </c>
      <c r="W1063" s="8" t="s">
        <v>913</v>
      </c>
      <c r="X1063" s="6"/>
      <c r="Y1063" s="6"/>
      <c r="Z1063" s="6"/>
      <c r="AA1063" s="6" t="s">
        <v>84</v>
      </c>
      <c r="AB1063" s="8"/>
    </row>
    <row r="1064" spans="1:28" s="4" customFormat="1" ht="51.95" customHeight="1">
      <c r="A1064" s="5">
        <v>0</v>
      </c>
      <c r="B1064" s="6" t="s">
        <v>6772</v>
      </c>
      <c r="C1064" s="13">
        <v>1400</v>
      </c>
      <c r="D1064" s="8" t="s">
        <v>6773</v>
      </c>
      <c r="E1064" s="8" t="s">
        <v>6774</v>
      </c>
      <c r="F1064" s="8" t="s">
        <v>6775</v>
      </c>
      <c r="G1064" s="6" t="s">
        <v>89</v>
      </c>
      <c r="H1064" s="6" t="s">
        <v>53</v>
      </c>
      <c r="I1064" s="8" t="s">
        <v>100</v>
      </c>
      <c r="J1064" s="9">
        <v>1</v>
      </c>
      <c r="K1064" s="9">
        <v>278</v>
      </c>
      <c r="L1064" s="9">
        <v>2025</v>
      </c>
      <c r="M1064" s="8" t="s">
        <v>6776</v>
      </c>
      <c r="N1064" s="8" t="s">
        <v>79</v>
      </c>
      <c r="O1064" s="8" t="s">
        <v>396</v>
      </c>
      <c r="P1064" s="6" t="s">
        <v>43</v>
      </c>
      <c r="Q1064" s="8" t="s">
        <v>102</v>
      </c>
      <c r="R1064" s="10" t="s">
        <v>6777</v>
      </c>
      <c r="S1064" s="11" t="s">
        <v>6778</v>
      </c>
      <c r="T1064" s="6"/>
      <c r="U1064" s="24" t="str">
        <f>HYPERLINK("https://media.infra-m.ru/2169/2169727/cover/2169727.jpg", "Обложка")</f>
        <v>Обложка</v>
      </c>
      <c r="V1064" s="24" t="str">
        <f>HYPERLINK("https://znanium.ru/catalog/product/2169727", "Ознакомиться")</f>
        <v>Ознакомиться</v>
      </c>
      <c r="W1064" s="8" t="s">
        <v>6779</v>
      </c>
      <c r="X1064" s="6"/>
      <c r="Y1064" s="6"/>
      <c r="Z1064" s="6"/>
      <c r="AA1064" s="6" t="s">
        <v>258</v>
      </c>
      <c r="AB1064" s="8"/>
    </row>
    <row r="1065" spans="1:28" s="4" customFormat="1" ht="51.95" customHeight="1">
      <c r="A1065" s="5">
        <v>0</v>
      </c>
      <c r="B1065" s="6" t="s">
        <v>6780</v>
      </c>
      <c r="C1065" s="13">
        <v>2074.9</v>
      </c>
      <c r="D1065" s="8" t="s">
        <v>6781</v>
      </c>
      <c r="E1065" s="8" t="s">
        <v>6782</v>
      </c>
      <c r="F1065" s="8" t="s">
        <v>6783</v>
      </c>
      <c r="G1065" s="6" t="s">
        <v>89</v>
      </c>
      <c r="H1065" s="6" t="s">
        <v>53</v>
      </c>
      <c r="I1065" s="8" t="s">
        <v>90</v>
      </c>
      <c r="J1065" s="9">
        <v>1</v>
      </c>
      <c r="K1065" s="9">
        <v>462</v>
      </c>
      <c r="L1065" s="9">
        <v>2023</v>
      </c>
      <c r="M1065" s="8" t="s">
        <v>6784</v>
      </c>
      <c r="N1065" s="8" t="s">
        <v>79</v>
      </c>
      <c r="O1065" s="8" t="s">
        <v>424</v>
      </c>
      <c r="P1065" s="6" t="s">
        <v>43</v>
      </c>
      <c r="Q1065" s="8" t="s">
        <v>44</v>
      </c>
      <c r="R1065" s="10" t="s">
        <v>4598</v>
      </c>
      <c r="S1065" s="11" t="s">
        <v>6785</v>
      </c>
      <c r="T1065" s="6"/>
      <c r="U1065" s="24" t="str">
        <f>HYPERLINK("https://media.infra-m.ru/1981/1981686/cover/1981686.jpg", "Обложка")</f>
        <v>Обложка</v>
      </c>
      <c r="V1065" s="24" t="str">
        <f>HYPERLINK("https://znanium.ru/catalog/product/1007981", "Ознакомиться")</f>
        <v>Ознакомиться</v>
      </c>
      <c r="W1065" s="8" t="s">
        <v>5825</v>
      </c>
      <c r="X1065" s="6"/>
      <c r="Y1065" s="6"/>
      <c r="Z1065" s="6"/>
      <c r="AA1065" s="6" t="s">
        <v>47</v>
      </c>
      <c r="AB1065" s="8"/>
    </row>
    <row r="1066" spans="1:28" s="4" customFormat="1" ht="51.95" customHeight="1">
      <c r="A1066" s="5">
        <v>0</v>
      </c>
      <c r="B1066" s="6" t="s">
        <v>6786</v>
      </c>
      <c r="C1066" s="13">
        <v>3154</v>
      </c>
      <c r="D1066" s="8" t="s">
        <v>6787</v>
      </c>
      <c r="E1066" s="8" t="s">
        <v>6788</v>
      </c>
      <c r="F1066" s="8" t="s">
        <v>6789</v>
      </c>
      <c r="G1066" s="6" t="s">
        <v>52</v>
      </c>
      <c r="H1066" s="6" t="s">
        <v>53</v>
      </c>
      <c r="I1066" s="8" t="s">
        <v>90</v>
      </c>
      <c r="J1066" s="9">
        <v>1</v>
      </c>
      <c r="K1066" s="9">
        <v>630</v>
      </c>
      <c r="L1066" s="9">
        <v>2025</v>
      </c>
      <c r="M1066" s="8" t="s">
        <v>6790</v>
      </c>
      <c r="N1066" s="8" t="s">
        <v>79</v>
      </c>
      <c r="O1066" s="8" t="s">
        <v>424</v>
      </c>
      <c r="P1066" s="6" t="s">
        <v>175</v>
      </c>
      <c r="Q1066" s="8" t="s">
        <v>44</v>
      </c>
      <c r="R1066" s="10" t="s">
        <v>4598</v>
      </c>
      <c r="S1066" s="11" t="s">
        <v>6791</v>
      </c>
      <c r="T1066" s="6"/>
      <c r="U1066" s="24" t="str">
        <f>HYPERLINK("https://media.infra-m.ru/2178/2178809/cover/2178809.jpg", "Обложка")</f>
        <v>Обложка</v>
      </c>
      <c r="V1066" s="24" t="str">
        <f>HYPERLINK("https://znanium.ru/catalog/product/1939088", "Ознакомиться")</f>
        <v>Ознакомиться</v>
      </c>
      <c r="W1066" s="8" t="s">
        <v>5825</v>
      </c>
      <c r="X1066" s="6"/>
      <c r="Y1066" s="6"/>
      <c r="Z1066" s="6"/>
      <c r="AA1066" s="6" t="s">
        <v>47</v>
      </c>
      <c r="AB1066" s="8"/>
    </row>
    <row r="1067" spans="1:28" s="4" customFormat="1" ht="51.95" customHeight="1">
      <c r="A1067" s="5">
        <v>0</v>
      </c>
      <c r="B1067" s="6" t="s">
        <v>6792</v>
      </c>
      <c r="C1067" s="13">
        <v>1070</v>
      </c>
      <c r="D1067" s="8" t="s">
        <v>6793</v>
      </c>
      <c r="E1067" s="8" t="s">
        <v>6794</v>
      </c>
      <c r="F1067" s="8" t="s">
        <v>6795</v>
      </c>
      <c r="G1067" s="6" t="s">
        <v>89</v>
      </c>
      <c r="H1067" s="6" t="s">
        <v>53</v>
      </c>
      <c r="I1067" s="8" t="s">
        <v>6796</v>
      </c>
      <c r="J1067" s="9">
        <v>1</v>
      </c>
      <c r="K1067" s="9">
        <v>237</v>
      </c>
      <c r="L1067" s="9">
        <v>2023</v>
      </c>
      <c r="M1067" s="8" t="s">
        <v>6797</v>
      </c>
      <c r="N1067" s="8" t="s">
        <v>79</v>
      </c>
      <c r="O1067" s="8" t="s">
        <v>396</v>
      </c>
      <c r="P1067" s="6" t="s">
        <v>43</v>
      </c>
      <c r="Q1067" s="8" t="s">
        <v>279</v>
      </c>
      <c r="R1067" s="10" t="s">
        <v>6798</v>
      </c>
      <c r="S1067" s="11" t="s">
        <v>6799</v>
      </c>
      <c r="T1067" s="6"/>
      <c r="U1067" s="24" t="str">
        <f>HYPERLINK("https://media.infra-m.ru/1939/1939945/cover/1939945.jpg", "Обложка")</f>
        <v>Обложка</v>
      </c>
      <c r="V1067" s="12"/>
      <c r="W1067" s="8" t="s">
        <v>784</v>
      </c>
      <c r="X1067" s="6"/>
      <c r="Y1067" s="6"/>
      <c r="Z1067" s="6"/>
      <c r="AA1067" s="6" t="s">
        <v>151</v>
      </c>
      <c r="AB1067" s="8"/>
    </row>
    <row r="1068" spans="1:28" s="4" customFormat="1" ht="51.95" customHeight="1">
      <c r="A1068" s="5">
        <v>0</v>
      </c>
      <c r="B1068" s="6" t="s">
        <v>6800</v>
      </c>
      <c r="C1068" s="13">
        <v>2444</v>
      </c>
      <c r="D1068" s="8" t="s">
        <v>6801</v>
      </c>
      <c r="E1068" s="8" t="s">
        <v>6802</v>
      </c>
      <c r="F1068" s="8" t="s">
        <v>6803</v>
      </c>
      <c r="G1068" s="6" t="s">
        <v>52</v>
      </c>
      <c r="H1068" s="6" t="s">
        <v>53</v>
      </c>
      <c r="I1068" s="8" t="s">
        <v>116</v>
      </c>
      <c r="J1068" s="9">
        <v>1</v>
      </c>
      <c r="K1068" s="9">
        <v>520</v>
      </c>
      <c r="L1068" s="9">
        <v>2024</v>
      </c>
      <c r="M1068" s="8" t="s">
        <v>6804</v>
      </c>
      <c r="N1068" s="8" t="s">
        <v>79</v>
      </c>
      <c r="O1068" s="8" t="s">
        <v>424</v>
      </c>
      <c r="P1068" s="6" t="s">
        <v>43</v>
      </c>
      <c r="Q1068" s="8" t="s">
        <v>44</v>
      </c>
      <c r="R1068" s="10" t="s">
        <v>4598</v>
      </c>
      <c r="S1068" s="11" t="s">
        <v>6805</v>
      </c>
      <c r="T1068" s="6"/>
      <c r="U1068" s="24" t="str">
        <f>HYPERLINK("https://media.infra-m.ru/2146/2146346/cover/2146346.jpg", "Обложка")</f>
        <v>Обложка</v>
      </c>
      <c r="V1068" s="24" t="str">
        <f>HYPERLINK("https://znanium.ru/catalog/product/1216848", "Ознакомиться")</f>
        <v>Ознакомиться</v>
      </c>
      <c r="W1068" s="8" t="s">
        <v>2938</v>
      </c>
      <c r="X1068" s="6"/>
      <c r="Y1068" s="6"/>
      <c r="Z1068" s="6"/>
      <c r="AA1068" s="6" t="s">
        <v>111</v>
      </c>
      <c r="AB1068" s="8"/>
    </row>
    <row r="1069" spans="1:28" s="4" customFormat="1" ht="42" customHeight="1">
      <c r="A1069" s="5">
        <v>0</v>
      </c>
      <c r="B1069" s="6" t="s">
        <v>6806</v>
      </c>
      <c r="C1069" s="13">
        <v>1280</v>
      </c>
      <c r="D1069" s="8" t="s">
        <v>6807</v>
      </c>
      <c r="E1069" s="8" t="s">
        <v>6808</v>
      </c>
      <c r="F1069" s="8" t="s">
        <v>6809</v>
      </c>
      <c r="G1069" s="6" t="s">
        <v>52</v>
      </c>
      <c r="H1069" s="6" t="s">
        <v>53</v>
      </c>
      <c r="I1069" s="8" t="s">
        <v>116</v>
      </c>
      <c r="J1069" s="9">
        <v>1</v>
      </c>
      <c r="K1069" s="9">
        <v>241</v>
      </c>
      <c r="L1069" s="9">
        <v>2024</v>
      </c>
      <c r="M1069" s="8" t="s">
        <v>6810</v>
      </c>
      <c r="N1069" s="8" t="s">
        <v>41</v>
      </c>
      <c r="O1069" s="8" t="s">
        <v>676</v>
      </c>
      <c r="P1069" s="6" t="s">
        <v>43</v>
      </c>
      <c r="Q1069" s="8" t="s">
        <v>58</v>
      </c>
      <c r="R1069" s="10" t="s">
        <v>6811</v>
      </c>
      <c r="S1069" s="11"/>
      <c r="T1069" s="6"/>
      <c r="U1069" s="24" t="str">
        <f>HYPERLINK("https://media.infra-m.ru/2098/2098991/cover/2098991.jpg", "Обложка")</f>
        <v>Обложка</v>
      </c>
      <c r="V1069" s="24" t="str">
        <f>HYPERLINK("https://znanium.ru/catalog/product/2098991", "Ознакомиться")</f>
        <v>Ознакомиться</v>
      </c>
      <c r="W1069" s="8" t="s">
        <v>6124</v>
      </c>
      <c r="X1069" s="6" t="s">
        <v>389</v>
      </c>
      <c r="Y1069" s="6"/>
      <c r="Z1069" s="6"/>
      <c r="AA1069" s="6" t="s">
        <v>133</v>
      </c>
      <c r="AB1069" s="8"/>
    </row>
    <row r="1070" spans="1:28" s="4" customFormat="1" ht="42" customHeight="1">
      <c r="A1070" s="5">
        <v>0</v>
      </c>
      <c r="B1070" s="6" t="s">
        <v>6812</v>
      </c>
      <c r="C1070" s="13">
        <v>1210</v>
      </c>
      <c r="D1070" s="8" t="s">
        <v>6813</v>
      </c>
      <c r="E1070" s="8" t="s">
        <v>6814</v>
      </c>
      <c r="F1070" s="8" t="s">
        <v>6815</v>
      </c>
      <c r="G1070" s="6" t="s">
        <v>89</v>
      </c>
      <c r="H1070" s="6" t="s">
        <v>674</v>
      </c>
      <c r="I1070" s="8"/>
      <c r="J1070" s="9">
        <v>1</v>
      </c>
      <c r="K1070" s="9">
        <v>232</v>
      </c>
      <c r="L1070" s="9">
        <v>2025</v>
      </c>
      <c r="M1070" s="8" t="s">
        <v>6816</v>
      </c>
      <c r="N1070" s="8" t="s">
        <v>41</v>
      </c>
      <c r="O1070" s="8" t="s">
        <v>676</v>
      </c>
      <c r="P1070" s="6" t="s">
        <v>167</v>
      </c>
      <c r="Q1070" s="8" t="s">
        <v>44</v>
      </c>
      <c r="R1070" s="10" t="s">
        <v>791</v>
      </c>
      <c r="S1070" s="11"/>
      <c r="T1070" s="6"/>
      <c r="U1070" s="24" t="str">
        <f>HYPERLINK("https://media.infra-m.ru/2194/2194345/cover/2194345.jpg", "Обложка")</f>
        <v>Обложка</v>
      </c>
      <c r="V1070" s="24" t="str">
        <f>HYPERLINK("https://znanium.ru/catalog/product/2194345", "Ознакомиться")</f>
        <v>Ознакомиться</v>
      </c>
      <c r="W1070" s="8" t="s">
        <v>792</v>
      </c>
      <c r="X1070" s="6"/>
      <c r="Y1070" s="6"/>
      <c r="Z1070" s="6"/>
      <c r="AA1070" s="6" t="s">
        <v>235</v>
      </c>
      <c r="AB1070" s="8"/>
    </row>
    <row r="1071" spans="1:28" s="4" customFormat="1" ht="51.95" customHeight="1">
      <c r="A1071" s="5">
        <v>0</v>
      </c>
      <c r="B1071" s="6" t="s">
        <v>6817</v>
      </c>
      <c r="C1071" s="7">
        <v>844</v>
      </c>
      <c r="D1071" s="8" t="s">
        <v>6818</v>
      </c>
      <c r="E1071" s="8" t="s">
        <v>6819</v>
      </c>
      <c r="F1071" s="8" t="s">
        <v>6820</v>
      </c>
      <c r="G1071" s="6" t="s">
        <v>89</v>
      </c>
      <c r="H1071" s="6" t="s">
        <v>53</v>
      </c>
      <c r="I1071" s="8" t="s">
        <v>276</v>
      </c>
      <c r="J1071" s="9">
        <v>1</v>
      </c>
      <c r="K1071" s="9">
        <v>168</v>
      </c>
      <c r="L1071" s="9">
        <v>2025</v>
      </c>
      <c r="M1071" s="8" t="s">
        <v>6821</v>
      </c>
      <c r="N1071" s="8" t="s">
        <v>41</v>
      </c>
      <c r="O1071" s="8" t="s">
        <v>676</v>
      </c>
      <c r="P1071" s="6" t="s">
        <v>43</v>
      </c>
      <c r="Q1071" s="8" t="s">
        <v>279</v>
      </c>
      <c r="R1071" s="10" t="s">
        <v>6822</v>
      </c>
      <c r="S1071" s="11" t="s">
        <v>6823</v>
      </c>
      <c r="T1071" s="6"/>
      <c r="U1071" s="24" t="str">
        <f>HYPERLINK("https://media.infra-m.ru/2115/2115270/cover/2115270.jpg", "Обложка")</f>
        <v>Обложка</v>
      </c>
      <c r="V1071" s="24" t="str">
        <f>HYPERLINK("https://znanium.ru/catalog/product/1816290", "Ознакомиться")</f>
        <v>Ознакомиться</v>
      </c>
      <c r="W1071" s="8" t="s">
        <v>6824</v>
      </c>
      <c r="X1071" s="6"/>
      <c r="Y1071" s="6"/>
      <c r="Z1071" s="6"/>
      <c r="AA1071" s="6" t="s">
        <v>793</v>
      </c>
      <c r="AB1071" s="8"/>
    </row>
    <row r="1072" spans="1:28" s="4" customFormat="1" ht="51.95" customHeight="1">
      <c r="A1072" s="5">
        <v>0</v>
      </c>
      <c r="B1072" s="6" t="s">
        <v>6825</v>
      </c>
      <c r="C1072" s="7">
        <v>524</v>
      </c>
      <c r="D1072" s="8" t="s">
        <v>6826</v>
      </c>
      <c r="E1072" s="8" t="s">
        <v>6827</v>
      </c>
      <c r="F1072" s="8" t="s">
        <v>6828</v>
      </c>
      <c r="G1072" s="6" t="s">
        <v>38</v>
      </c>
      <c r="H1072" s="6" t="s">
        <v>649</v>
      </c>
      <c r="I1072" s="8" t="s">
        <v>90</v>
      </c>
      <c r="J1072" s="9">
        <v>1</v>
      </c>
      <c r="K1072" s="9">
        <v>95</v>
      </c>
      <c r="L1072" s="9">
        <v>2024</v>
      </c>
      <c r="M1072" s="8" t="s">
        <v>6829</v>
      </c>
      <c r="N1072" s="8" t="s">
        <v>41</v>
      </c>
      <c r="O1072" s="8" t="s">
        <v>278</v>
      </c>
      <c r="P1072" s="6" t="s">
        <v>43</v>
      </c>
      <c r="Q1072" s="8" t="s">
        <v>44</v>
      </c>
      <c r="R1072" s="10" t="s">
        <v>6830</v>
      </c>
      <c r="S1072" s="11" t="s">
        <v>6831</v>
      </c>
      <c r="T1072" s="6"/>
      <c r="U1072" s="24" t="str">
        <f>HYPERLINK("https://media.infra-m.ru/2094/2094492/cover/2094492.jpg", "Обложка")</f>
        <v>Обложка</v>
      </c>
      <c r="V1072" s="24" t="str">
        <f>HYPERLINK("https://znanium.ru/catalog/product/1043392", "Ознакомиться")</f>
        <v>Ознакомиться</v>
      </c>
      <c r="W1072" s="8" t="s">
        <v>189</v>
      </c>
      <c r="X1072" s="6"/>
      <c r="Y1072" s="6"/>
      <c r="Z1072" s="6"/>
      <c r="AA1072" s="6" t="s">
        <v>47</v>
      </c>
      <c r="AB1072" s="8"/>
    </row>
    <row r="1073" spans="1:28" s="4" customFormat="1" ht="44.1" customHeight="1">
      <c r="A1073" s="5">
        <v>0</v>
      </c>
      <c r="B1073" s="6" t="s">
        <v>6832</v>
      </c>
      <c r="C1073" s="13">
        <v>1360</v>
      </c>
      <c r="D1073" s="8" t="s">
        <v>6833</v>
      </c>
      <c r="E1073" s="8" t="s">
        <v>6834</v>
      </c>
      <c r="F1073" s="8" t="s">
        <v>6835</v>
      </c>
      <c r="G1073" s="6" t="s">
        <v>89</v>
      </c>
      <c r="H1073" s="6" t="s">
        <v>53</v>
      </c>
      <c r="I1073" s="8" t="s">
        <v>100</v>
      </c>
      <c r="J1073" s="9">
        <v>1</v>
      </c>
      <c r="K1073" s="9">
        <v>272</v>
      </c>
      <c r="L1073" s="9">
        <v>2024</v>
      </c>
      <c r="M1073" s="8" t="s">
        <v>6836</v>
      </c>
      <c r="N1073" s="8" t="s">
        <v>997</v>
      </c>
      <c r="O1073" s="8" t="s">
        <v>998</v>
      </c>
      <c r="P1073" s="6" t="s">
        <v>43</v>
      </c>
      <c r="Q1073" s="8" t="s">
        <v>102</v>
      </c>
      <c r="R1073" s="10" t="s">
        <v>6837</v>
      </c>
      <c r="S1073" s="11"/>
      <c r="T1073" s="6"/>
      <c r="U1073" s="24" t="str">
        <f>HYPERLINK("https://media.infra-m.ru/2164/2164007/cover/2164007.jpg", "Обложка")</f>
        <v>Обложка</v>
      </c>
      <c r="V1073" s="24" t="str">
        <f>HYPERLINK("https://znanium.ru/catalog/product/2164007", "Ознакомиться")</f>
        <v>Ознакомиться</v>
      </c>
      <c r="W1073" s="8" t="s">
        <v>6838</v>
      </c>
      <c r="X1073" s="6"/>
      <c r="Y1073" s="6"/>
      <c r="Z1073" s="6" t="s">
        <v>104</v>
      </c>
      <c r="AA1073" s="6" t="s">
        <v>133</v>
      </c>
      <c r="AB1073" s="8"/>
    </row>
    <row r="1074" spans="1:28" s="4" customFormat="1" ht="42" customHeight="1">
      <c r="A1074" s="5">
        <v>0</v>
      </c>
      <c r="B1074" s="6" t="s">
        <v>6839</v>
      </c>
      <c r="C1074" s="13">
        <v>1300</v>
      </c>
      <c r="D1074" s="8" t="s">
        <v>6840</v>
      </c>
      <c r="E1074" s="8" t="s">
        <v>6834</v>
      </c>
      <c r="F1074" s="8" t="s">
        <v>6835</v>
      </c>
      <c r="G1074" s="6" t="s">
        <v>52</v>
      </c>
      <c r="H1074" s="6" t="s">
        <v>53</v>
      </c>
      <c r="I1074" s="8" t="s">
        <v>116</v>
      </c>
      <c r="J1074" s="9">
        <v>1</v>
      </c>
      <c r="K1074" s="9">
        <v>272</v>
      </c>
      <c r="L1074" s="9">
        <v>2024</v>
      </c>
      <c r="M1074" s="8" t="s">
        <v>6841</v>
      </c>
      <c r="N1074" s="8" t="s">
        <v>997</v>
      </c>
      <c r="O1074" s="8" t="s">
        <v>998</v>
      </c>
      <c r="P1074" s="6" t="s">
        <v>43</v>
      </c>
      <c r="Q1074" s="8" t="s">
        <v>44</v>
      </c>
      <c r="R1074" s="10" t="s">
        <v>6842</v>
      </c>
      <c r="S1074" s="11"/>
      <c r="T1074" s="6"/>
      <c r="U1074" s="24" t="str">
        <f>HYPERLINK("https://media.infra-m.ru/1079/1079943/cover/1079943.jpg", "Обложка")</f>
        <v>Обложка</v>
      </c>
      <c r="V1074" s="24" t="str">
        <f>HYPERLINK("https://znanium.ru/catalog/product/1079943", "Ознакомиться")</f>
        <v>Ознакомиться</v>
      </c>
      <c r="W1074" s="8" t="s">
        <v>6838</v>
      </c>
      <c r="X1074" s="6"/>
      <c r="Y1074" s="6"/>
      <c r="Z1074" s="6"/>
      <c r="AA1074" s="6" t="s">
        <v>133</v>
      </c>
      <c r="AB1074" s="8"/>
    </row>
    <row r="1075" spans="1:28" s="4" customFormat="1" ht="51.95" customHeight="1">
      <c r="A1075" s="5">
        <v>0</v>
      </c>
      <c r="B1075" s="6" t="s">
        <v>6843</v>
      </c>
      <c r="C1075" s="13">
        <v>1070</v>
      </c>
      <c r="D1075" s="8" t="s">
        <v>6844</v>
      </c>
      <c r="E1075" s="8" t="s">
        <v>6845</v>
      </c>
      <c r="F1075" s="8" t="s">
        <v>6846</v>
      </c>
      <c r="G1075" s="6" t="s">
        <v>89</v>
      </c>
      <c r="H1075" s="6" t="s">
        <v>53</v>
      </c>
      <c r="I1075" s="8" t="s">
        <v>100</v>
      </c>
      <c r="J1075" s="9">
        <v>1</v>
      </c>
      <c r="K1075" s="9">
        <v>223</v>
      </c>
      <c r="L1075" s="9">
        <v>2024</v>
      </c>
      <c r="M1075" s="8" t="s">
        <v>6847</v>
      </c>
      <c r="N1075" s="8" t="s">
        <v>997</v>
      </c>
      <c r="O1075" s="8" t="s">
        <v>998</v>
      </c>
      <c r="P1075" s="6" t="s">
        <v>43</v>
      </c>
      <c r="Q1075" s="8" t="s">
        <v>102</v>
      </c>
      <c r="R1075" s="10" t="s">
        <v>6848</v>
      </c>
      <c r="S1075" s="11" t="s">
        <v>6849</v>
      </c>
      <c r="T1075" s="6"/>
      <c r="U1075" s="24" t="str">
        <f>HYPERLINK("https://media.infra-m.ru/2096/2096934/cover/2096934.jpg", "Обложка")</f>
        <v>Обложка</v>
      </c>
      <c r="V1075" s="24" t="str">
        <f>HYPERLINK("https://znanium.ru/catalog/product/2096934", "Ознакомиться")</f>
        <v>Ознакомиться</v>
      </c>
      <c r="W1075" s="8" t="s">
        <v>3605</v>
      </c>
      <c r="X1075" s="6"/>
      <c r="Y1075" s="6"/>
      <c r="Z1075" s="6"/>
      <c r="AA1075" s="6" t="s">
        <v>235</v>
      </c>
      <c r="AB1075" s="8"/>
    </row>
    <row r="1076" spans="1:28" s="4" customFormat="1" ht="51.95" customHeight="1">
      <c r="A1076" s="5">
        <v>0</v>
      </c>
      <c r="B1076" s="6" t="s">
        <v>6850</v>
      </c>
      <c r="C1076" s="13">
        <v>1084</v>
      </c>
      <c r="D1076" s="8" t="s">
        <v>6851</v>
      </c>
      <c r="E1076" s="8" t="s">
        <v>6852</v>
      </c>
      <c r="F1076" s="8" t="s">
        <v>2510</v>
      </c>
      <c r="G1076" s="6" t="s">
        <v>89</v>
      </c>
      <c r="H1076" s="6" t="s">
        <v>53</v>
      </c>
      <c r="I1076" s="8" t="s">
        <v>90</v>
      </c>
      <c r="J1076" s="9">
        <v>1</v>
      </c>
      <c r="K1076" s="9">
        <v>208</v>
      </c>
      <c r="L1076" s="9">
        <v>2025</v>
      </c>
      <c r="M1076" s="8" t="s">
        <v>6853</v>
      </c>
      <c r="N1076" s="8" t="s">
        <v>56</v>
      </c>
      <c r="O1076" s="8" t="s">
        <v>57</v>
      </c>
      <c r="P1076" s="6" t="s">
        <v>43</v>
      </c>
      <c r="Q1076" s="8" t="s">
        <v>44</v>
      </c>
      <c r="R1076" s="10" t="s">
        <v>6854</v>
      </c>
      <c r="S1076" s="11" t="s">
        <v>6855</v>
      </c>
      <c r="T1076" s="6"/>
      <c r="U1076" s="24" t="str">
        <f>HYPERLINK("https://media.infra-m.ru/2196/2196100/cover/2196100.jpg", "Обложка")</f>
        <v>Обложка</v>
      </c>
      <c r="V1076" s="24" t="str">
        <f>HYPERLINK("https://znanium.ru/catalog/product/1067431", "Ознакомиться")</f>
        <v>Ознакомиться</v>
      </c>
      <c r="W1076" s="8" t="s">
        <v>2514</v>
      </c>
      <c r="X1076" s="6"/>
      <c r="Y1076" s="6"/>
      <c r="Z1076" s="6"/>
      <c r="AA1076" s="6" t="s">
        <v>160</v>
      </c>
      <c r="AB1076" s="8"/>
    </row>
    <row r="1077" spans="1:28" s="4" customFormat="1" ht="51.95" customHeight="1">
      <c r="A1077" s="5">
        <v>0</v>
      </c>
      <c r="B1077" s="6" t="s">
        <v>6856</v>
      </c>
      <c r="C1077" s="13">
        <v>2900</v>
      </c>
      <c r="D1077" s="8" t="s">
        <v>6857</v>
      </c>
      <c r="E1077" s="8" t="s">
        <v>6858</v>
      </c>
      <c r="F1077" s="8" t="s">
        <v>6859</v>
      </c>
      <c r="G1077" s="6" t="s">
        <v>52</v>
      </c>
      <c r="H1077" s="6" t="s">
        <v>77</v>
      </c>
      <c r="I1077" s="8" t="s">
        <v>100</v>
      </c>
      <c r="J1077" s="9">
        <v>1</v>
      </c>
      <c r="K1077" s="9">
        <v>661</v>
      </c>
      <c r="L1077" s="9">
        <v>2025</v>
      </c>
      <c r="M1077" s="8" t="s">
        <v>6860</v>
      </c>
      <c r="N1077" s="8" t="s">
        <v>56</v>
      </c>
      <c r="O1077" s="8" t="s">
        <v>2183</v>
      </c>
      <c r="P1077" s="6" t="s">
        <v>167</v>
      </c>
      <c r="Q1077" s="8" t="s">
        <v>102</v>
      </c>
      <c r="R1077" s="10" t="s">
        <v>6861</v>
      </c>
      <c r="S1077" s="11" t="s">
        <v>6862</v>
      </c>
      <c r="T1077" s="6" t="s">
        <v>299</v>
      </c>
      <c r="U1077" s="24" t="str">
        <f>HYPERLINK("https://media.infra-m.ru/2182/2182619/cover/2182619.jpg", "Обложка")</f>
        <v>Обложка</v>
      </c>
      <c r="V1077" s="24" t="str">
        <f>HYPERLINK("https://znanium.ru/catalog/product/2182619", "Ознакомиться")</f>
        <v>Ознакомиться</v>
      </c>
      <c r="W1077" s="8" t="s">
        <v>243</v>
      </c>
      <c r="X1077" s="6"/>
      <c r="Y1077" s="6"/>
      <c r="Z1077" s="6" t="s">
        <v>104</v>
      </c>
      <c r="AA1077" s="6" t="s">
        <v>258</v>
      </c>
      <c r="AB1077" s="8"/>
    </row>
    <row r="1078" spans="1:28" s="4" customFormat="1" ht="51.95" customHeight="1">
      <c r="A1078" s="5">
        <v>0</v>
      </c>
      <c r="B1078" s="6" t="s">
        <v>6863</v>
      </c>
      <c r="C1078" s="13">
        <v>2800</v>
      </c>
      <c r="D1078" s="8" t="s">
        <v>6864</v>
      </c>
      <c r="E1078" s="8" t="s">
        <v>6858</v>
      </c>
      <c r="F1078" s="8" t="s">
        <v>6859</v>
      </c>
      <c r="G1078" s="6" t="s">
        <v>89</v>
      </c>
      <c r="H1078" s="6" t="s">
        <v>77</v>
      </c>
      <c r="I1078" s="8" t="s">
        <v>90</v>
      </c>
      <c r="J1078" s="9">
        <v>1</v>
      </c>
      <c r="K1078" s="9">
        <v>656</v>
      </c>
      <c r="L1078" s="9">
        <v>2025</v>
      </c>
      <c r="M1078" s="8" t="s">
        <v>6865</v>
      </c>
      <c r="N1078" s="8" t="s">
        <v>56</v>
      </c>
      <c r="O1078" s="8" t="s">
        <v>2183</v>
      </c>
      <c r="P1078" s="6" t="s">
        <v>167</v>
      </c>
      <c r="Q1078" s="8" t="s">
        <v>44</v>
      </c>
      <c r="R1078" s="10" t="s">
        <v>6866</v>
      </c>
      <c r="S1078" s="11" t="s">
        <v>6867</v>
      </c>
      <c r="T1078" s="6"/>
      <c r="U1078" s="24" t="str">
        <f>HYPERLINK("https://media.infra-m.ru/2184/2184915/cover/2184915.jpg", "Обложка")</f>
        <v>Обложка</v>
      </c>
      <c r="V1078" s="24" t="str">
        <f>HYPERLINK("https://znanium.ru/catalog/product/1900575", "Ознакомиться")</f>
        <v>Ознакомиться</v>
      </c>
      <c r="W1078" s="8" t="s">
        <v>243</v>
      </c>
      <c r="X1078" s="6"/>
      <c r="Y1078" s="6"/>
      <c r="Z1078" s="6"/>
      <c r="AA1078" s="6" t="s">
        <v>151</v>
      </c>
      <c r="AB1078" s="8"/>
    </row>
    <row r="1079" spans="1:28" s="4" customFormat="1" ht="51.95" customHeight="1">
      <c r="A1079" s="5">
        <v>0</v>
      </c>
      <c r="B1079" s="6" t="s">
        <v>6868</v>
      </c>
      <c r="C1079" s="7">
        <v>930</v>
      </c>
      <c r="D1079" s="8" t="s">
        <v>6869</v>
      </c>
      <c r="E1079" s="8" t="s">
        <v>6870</v>
      </c>
      <c r="F1079" s="8" t="s">
        <v>6871</v>
      </c>
      <c r="G1079" s="6" t="s">
        <v>89</v>
      </c>
      <c r="H1079" s="6" t="s">
        <v>53</v>
      </c>
      <c r="I1079" s="8" t="s">
        <v>276</v>
      </c>
      <c r="J1079" s="9">
        <v>1</v>
      </c>
      <c r="K1079" s="9">
        <v>182</v>
      </c>
      <c r="L1079" s="9">
        <v>2024</v>
      </c>
      <c r="M1079" s="8" t="s">
        <v>6872</v>
      </c>
      <c r="N1079" s="8" t="s">
        <v>997</v>
      </c>
      <c r="O1079" s="8" t="s">
        <v>998</v>
      </c>
      <c r="P1079" s="6" t="s">
        <v>43</v>
      </c>
      <c r="Q1079" s="8" t="s">
        <v>279</v>
      </c>
      <c r="R1079" s="10" t="s">
        <v>6873</v>
      </c>
      <c r="S1079" s="11" t="s">
        <v>6874</v>
      </c>
      <c r="T1079" s="6" t="s">
        <v>299</v>
      </c>
      <c r="U1079" s="24" t="str">
        <f>HYPERLINK("https://media.infra-m.ru/2100/2100972/cover/2100972.jpg", "Обложка")</f>
        <v>Обложка</v>
      </c>
      <c r="V1079" s="24" t="str">
        <f>HYPERLINK("https://znanium.ru/catalog/product/2100972", "Ознакомиться")</f>
        <v>Ознакомиться</v>
      </c>
      <c r="W1079" s="8" t="s">
        <v>6875</v>
      </c>
      <c r="X1079" s="6"/>
      <c r="Y1079" s="6"/>
      <c r="Z1079" s="6"/>
      <c r="AA1079" s="6" t="s">
        <v>793</v>
      </c>
      <c r="AB1079" s="8"/>
    </row>
    <row r="1080" spans="1:28" s="4" customFormat="1" ht="44.1" customHeight="1">
      <c r="A1080" s="5">
        <v>0</v>
      </c>
      <c r="B1080" s="6" t="s">
        <v>6876</v>
      </c>
      <c r="C1080" s="13">
        <v>1000</v>
      </c>
      <c r="D1080" s="8" t="s">
        <v>6877</v>
      </c>
      <c r="E1080" s="8" t="s">
        <v>6878</v>
      </c>
      <c r="F1080" s="8" t="s">
        <v>6879</v>
      </c>
      <c r="G1080" s="6" t="s">
        <v>38</v>
      </c>
      <c r="H1080" s="6" t="s">
        <v>952</v>
      </c>
      <c r="I1080" s="8"/>
      <c r="J1080" s="9">
        <v>1</v>
      </c>
      <c r="K1080" s="9">
        <v>264</v>
      </c>
      <c r="L1080" s="9">
        <v>2022</v>
      </c>
      <c r="M1080" s="8" t="s">
        <v>6880</v>
      </c>
      <c r="N1080" s="8" t="s">
        <v>41</v>
      </c>
      <c r="O1080" s="8" t="s">
        <v>1007</v>
      </c>
      <c r="P1080" s="6" t="s">
        <v>43</v>
      </c>
      <c r="Q1080" s="8" t="s">
        <v>44</v>
      </c>
      <c r="R1080" s="10" t="s">
        <v>6196</v>
      </c>
      <c r="S1080" s="11"/>
      <c r="T1080" s="6"/>
      <c r="U1080" s="24" t="str">
        <f>HYPERLINK("https://media.infra-m.ru/1855/1855982/cover/1855982.jpg", "Обложка")</f>
        <v>Обложка</v>
      </c>
      <c r="V1080" s="24" t="str">
        <f>HYPERLINK("https://znanium.ru/catalog/product/1855982", "Ознакомиться")</f>
        <v>Ознакомиться</v>
      </c>
      <c r="W1080" s="8" t="s">
        <v>2988</v>
      </c>
      <c r="X1080" s="6"/>
      <c r="Y1080" s="6"/>
      <c r="Z1080" s="6"/>
      <c r="AA1080" s="6" t="s">
        <v>258</v>
      </c>
      <c r="AB1080" s="8"/>
    </row>
    <row r="1081" spans="1:28" s="4" customFormat="1" ht="51.95" customHeight="1">
      <c r="A1081" s="5">
        <v>0</v>
      </c>
      <c r="B1081" s="6" t="s">
        <v>6881</v>
      </c>
      <c r="C1081" s="13">
        <v>2380</v>
      </c>
      <c r="D1081" s="8" t="s">
        <v>6882</v>
      </c>
      <c r="E1081" s="8" t="s">
        <v>6883</v>
      </c>
      <c r="F1081" s="8" t="s">
        <v>6884</v>
      </c>
      <c r="G1081" s="6" t="s">
        <v>52</v>
      </c>
      <c r="H1081" s="6" t="s">
        <v>674</v>
      </c>
      <c r="I1081" s="8"/>
      <c r="J1081" s="9">
        <v>1</v>
      </c>
      <c r="K1081" s="9">
        <v>528</v>
      </c>
      <c r="L1081" s="9">
        <v>2023</v>
      </c>
      <c r="M1081" s="8" t="s">
        <v>6885</v>
      </c>
      <c r="N1081" s="8" t="s">
        <v>41</v>
      </c>
      <c r="O1081" s="8" t="s">
        <v>676</v>
      </c>
      <c r="P1081" s="6" t="s">
        <v>167</v>
      </c>
      <c r="Q1081" s="8" t="s">
        <v>44</v>
      </c>
      <c r="R1081" s="10" t="s">
        <v>983</v>
      </c>
      <c r="S1081" s="11"/>
      <c r="T1081" s="6"/>
      <c r="U1081" s="24" t="str">
        <f>HYPERLINK("https://media.infra-m.ru/1938/1938052/cover/1938052.jpg", "Обложка")</f>
        <v>Обложка</v>
      </c>
      <c r="V1081" s="24" t="str">
        <f>HYPERLINK("https://znanium.ru/catalog/product/1938052", "Ознакомиться")</f>
        <v>Ознакомиться</v>
      </c>
      <c r="W1081" s="8" t="s">
        <v>3282</v>
      </c>
      <c r="X1081" s="6"/>
      <c r="Y1081" s="6"/>
      <c r="Z1081" s="6"/>
      <c r="AA1081" s="6" t="s">
        <v>151</v>
      </c>
      <c r="AB1081" s="8"/>
    </row>
    <row r="1082" spans="1:28" s="4" customFormat="1" ht="51.95" customHeight="1">
      <c r="A1082" s="5">
        <v>0</v>
      </c>
      <c r="B1082" s="6" t="s">
        <v>6886</v>
      </c>
      <c r="C1082" s="13">
        <v>1920</v>
      </c>
      <c r="D1082" s="8" t="s">
        <v>6887</v>
      </c>
      <c r="E1082" s="8" t="s">
        <v>6888</v>
      </c>
      <c r="F1082" s="8" t="s">
        <v>6884</v>
      </c>
      <c r="G1082" s="6" t="s">
        <v>52</v>
      </c>
      <c r="H1082" s="6" t="s">
        <v>674</v>
      </c>
      <c r="I1082" s="8"/>
      <c r="J1082" s="9">
        <v>1</v>
      </c>
      <c r="K1082" s="9">
        <v>416</v>
      </c>
      <c r="L1082" s="9">
        <v>2024</v>
      </c>
      <c r="M1082" s="8" t="s">
        <v>6889</v>
      </c>
      <c r="N1082" s="8" t="s">
        <v>41</v>
      </c>
      <c r="O1082" s="8" t="s">
        <v>676</v>
      </c>
      <c r="P1082" s="6" t="s">
        <v>167</v>
      </c>
      <c r="Q1082" s="8" t="s">
        <v>44</v>
      </c>
      <c r="R1082" s="10" t="s">
        <v>806</v>
      </c>
      <c r="S1082" s="11"/>
      <c r="T1082" s="6"/>
      <c r="U1082" s="24" t="str">
        <f>HYPERLINK("https://media.infra-m.ru/2091/2091880/cover/2091880.jpg", "Обложка")</f>
        <v>Обложка</v>
      </c>
      <c r="V1082" s="24" t="str">
        <f>HYPERLINK("https://znanium.ru/catalog/product/2091880", "Ознакомиться")</f>
        <v>Ознакомиться</v>
      </c>
      <c r="W1082" s="8" t="s">
        <v>3282</v>
      </c>
      <c r="X1082" s="6"/>
      <c r="Y1082" s="6"/>
      <c r="Z1082" s="6"/>
      <c r="AA1082" s="6" t="s">
        <v>151</v>
      </c>
      <c r="AB1082" s="8"/>
    </row>
    <row r="1083" spans="1:28" s="4" customFormat="1" ht="51.95" customHeight="1">
      <c r="A1083" s="5">
        <v>0</v>
      </c>
      <c r="B1083" s="6" t="s">
        <v>6890</v>
      </c>
      <c r="C1083" s="7">
        <v>844</v>
      </c>
      <c r="D1083" s="8" t="s">
        <v>6891</v>
      </c>
      <c r="E1083" s="8" t="s">
        <v>6892</v>
      </c>
      <c r="F1083" s="8" t="s">
        <v>6893</v>
      </c>
      <c r="G1083" s="6" t="s">
        <v>89</v>
      </c>
      <c r="H1083" s="6" t="s">
        <v>53</v>
      </c>
      <c r="I1083" s="8" t="s">
        <v>1223</v>
      </c>
      <c r="J1083" s="9">
        <v>1</v>
      </c>
      <c r="K1083" s="9">
        <v>182</v>
      </c>
      <c r="L1083" s="9">
        <v>2024</v>
      </c>
      <c r="M1083" s="8" t="s">
        <v>6894</v>
      </c>
      <c r="N1083" s="8" t="s">
        <v>41</v>
      </c>
      <c r="O1083" s="8" t="s">
        <v>676</v>
      </c>
      <c r="P1083" s="6" t="s">
        <v>43</v>
      </c>
      <c r="Q1083" s="8" t="s">
        <v>44</v>
      </c>
      <c r="R1083" s="10" t="s">
        <v>6895</v>
      </c>
      <c r="S1083" s="11" t="s">
        <v>6896</v>
      </c>
      <c r="T1083" s="6"/>
      <c r="U1083" s="24" t="str">
        <f>HYPERLINK("https://media.infra-m.ru/2006/2006935/cover/2006935.jpg", "Обложка")</f>
        <v>Обложка</v>
      </c>
      <c r="V1083" s="24" t="str">
        <f>HYPERLINK("https://znanium.ru/catalog/product/2006935", "Ознакомиться")</f>
        <v>Ознакомиться</v>
      </c>
      <c r="W1083" s="8" t="s">
        <v>792</v>
      </c>
      <c r="X1083" s="6"/>
      <c r="Y1083" s="6"/>
      <c r="Z1083" s="6"/>
      <c r="AA1083" s="6" t="s">
        <v>258</v>
      </c>
      <c r="AB1083" s="8"/>
    </row>
    <row r="1084" spans="1:28" s="4" customFormat="1" ht="51.95" customHeight="1">
      <c r="A1084" s="5">
        <v>0</v>
      </c>
      <c r="B1084" s="6" t="s">
        <v>6897</v>
      </c>
      <c r="C1084" s="7">
        <v>844.9</v>
      </c>
      <c r="D1084" s="8" t="s">
        <v>6898</v>
      </c>
      <c r="E1084" s="8" t="s">
        <v>6899</v>
      </c>
      <c r="F1084" s="8" t="s">
        <v>6900</v>
      </c>
      <c r="G1084" s="6" t="s">
        <v>52</v>
      </c>
      <c r="H1084" s="6" t="s">
        <v>952</v>
      </c>
      <c r="I1084" s="8"/>
      <c r="J1084" s="9">
        <v>10</v>
      </c>
      <c r="K1084" s="9">
        <v>384</v>
      </c>
      <c r="L1084" s="9">
        <v>2016</v>
      </c>
      <c r="M1084" s="8" t="s">
        <v>6901</v>
      </c>
      <c r="N1084" s="8" t="s">
        <v>41</v>
      </c>
      <c r="O1084" s="8" t="s">
        <v>1007</v>
      </c>
      <c r="P1084" s="6" t="s">
        <v>43</v>
      </c>
      <c r="Q1084" s="8" t="s">
        <v>44</v>
      </c>
      <c r="R1084" s="10" t="s">
        <v>1008</v>
      </c>
      <c r="S1084" s="11" t="s">
        <v>6902</v>
      </c>
      <c r="T1084" s="6"/>
      <c r="U1084" s="24" t="str">
        <f>HYPERLINK("https://media.infra-m.ru/0521/0521848/cover/521848.jpg", "Обложка")</f>
        <v>Обложка</v>
      </c>
      <c r="V1084" s="24" t="str">
        <f>HYPERLINK("https://znanium.ru/catalog/product/449453", "Ознакомиться")</f>
        <v>Ознакомиться</v>
      </c>
      <c r="W1084" s="8" t="s">
        <v>3282</v>
      </c>
      <c r="X1084" s="6"/>
      <c r="Y1084" s="6"/>
      <c r="Z1084" s="6"/>
      <c r="AA1084" s="6" t="s">
        <v>84</v>
      </c>
      <c r="AB1084" s="8"/>
    </row>
    <row r="1085" spans="1:28" s="4" customFormat="1" ht="51.95" customHeight="1">
      <c r="A1085" s="5">
        <v>0</v>
      </c>
      <c r="B1085" s="6" t="s">
        <v>6903</v>
      </c>
      <c r="C1085" s="7">
        <v>670</v>
      </c>
      <c r="D1085" s="8" t="s">
        <v>6904</v>
      </c>
      <c r="E1085" s="8" t="s">
        <v>6905</v>
      </c>
      <c r="F1085" s="8" t="s">
        <v>6906</v>
      </c>
      <c r="G1085" s="6" t="s">
        <v>6907</v>
      </c>
      <c r="H1085" s="6" t="s">
        <v>53</v>
      </c>
      <c r="I1085" s="8"/>
      <c r="J1085" s="9">
        <v>1</v>
      </c>
      <c r="K1085" s="9">
        <v>228</v>
      </c>
      <c r="L1085" s="9">
        <v>2017</v>
      </c>
      <c r="M1085" s="8" t="s">
        <v>6908</v>
      </c>
      <c r="N1085" s="8" t="s">
        <v>997</v>
      </c>
      <c r="O1085" s="8" t="s">
        <v>998</v>
      </c>
      <c r="P1085" s="6" t="s">
        <v>6714</v>
      </c>
      <c r="Q1085" s="8" t="s">
        <v>279</v>
      </c>
      <c r="R1085" s="10" t="s">
        <v>6909</v>
      </c>
      <c r="S1085" s="11"/>
      <c r="T1085" s="6"/>
      <c r="U1085" s="24" t="str">
        <f>HYPERLINK("https://media.infra-m.ru/0792/0792747/cover/792747.jpg", "Обложка")</f>
        <v>Обложка</v>
      </c>
      <c r="V1085" s="24" t="str">
        <f>HYPERLINK("https://znanium.ru/catalog/product/792747", "Ознакомиться")</f>
        <v>Ознакомиться</v>
      </c>
      <c r="W1085" s="8" t="s">
        <v>2080</v>
      </c>
      <c r="X1085" s="6"/>
      <c r="Y1085" s="6"/>
      <c r="Z1085" s="6"/>
      <c r="AA1085" s="6" t="s">
        <v>442</v>
      </c>
      <c r="AB1085" s="8"/>
    </row>
    <row r="1086" spans="1:28" s="4" customFormat="1" ht="51.95" customHeight="1">
      <c r="A1086" s="5">
        <v>0</v>
      </c>
      <c r="B1086" s="6" t="s">
        <v>6910</v>
      </c>
      <c r="C1086" s="13">
        <v>1520</v>
      </c>
      <c r="D1086" s="8" t="s">
        <v>6911</v>
      </c>
      <c r="E1086" s="8" t="s">
        <v>6912</v>
      </c>
      <c r="F1086" s="8" t="s">
        <v>6913</v>
      </c>
      <c r="G1086" s="6" t="s">
        <v>89</v>
      </c>
      <c r="H1086" s="6" t="s">
        <v>674</v>
      </c>
      <c r="I1086" s="8"/>
      <c r="J1086" s="9">
        <v>1</v>
      </c>
      <c r="K1086" s="9">
        <v>304</v>
      </c>
      <c r="L1086" s="9">
        <v>2025</v>
      </c>
      <c r="M1086" s="8" t="s">
        <v>6914</v>
      </c>
      <c r="N1086" s="8" t="s">
        <v>41</v>
      </c>
      <c r="O1086" s="8" t="s">
        <v>676</v>
      </c>
      <c r="P1086" s="6" t="s">
        <v>167</v>
      </c>
      <c r="Q1086" s="8" t="s">
        <v>44</v>
      </c>
      <c r="R1086" s="10" t="s">
        <v>806</v>
      </c>
      <c r="S1086" s="11" t="s">
        <v>6915</v>
      </c>
      <c r="T1086" s="6"/>
      <c r="U1086" s="24" t="str">
        <f>HYPERLINK("https://media.infra-m.ru/2174/2174261/cover/2174261.jpg", "Обложка")</f>
        <v>Обложка</v>
      </c>
      <c r="V1086" s="24" t="str">
        <f>HYPERLINK("https://znanium.ru/catalog/product/2174261", "Ознакомиться")</f>
        <v>Ознакомиться</v>
      </c>
      <c r="W1086" s="8" t="s">
        <v>792</v>
      </c>
      <c r="X1086" s="6"/>
      <c r="Y1086" s="6"/>
      <c r="Z1086" s="6"/>
      <c r="AA1086" s="6" t="s">
        <v>111</v>
      </c>
      <c r="AB1086" s="8"/>
    </row>
    <row r="1087" spans="1:28" s="4" customFormat="1" ht="51.95" customHeight="1">
      <c r="A1087" s="5">
        <v>0</v>
      </c>
      <c r="B1087" s="6" t="s">
        <v>6916</v>
      </c>
      <c r="C1087" s="7">
        <v>770</v>
      </c>
      <c r="D1087" s="8" t="s">
        <v>6917</v>
      </c>
      <c r="E1087" s="8" t="s">
        <v>6918</v>
      </c>
      <c r="F1087" s="8" t="s">
        <v>6919</v>
      </c>
      <c r="G1087" s="6" t="s">
        <v>89</v>
      </c>
      <c r="H1087" s="6" t="s">
        <v>53</v>
      </c>
      <c r="I1087" s="8" t="s">
        <v>100</v>
      </c>
      <c r="J1087" s="9">
        <v>1</v>
      </c>
      <c r="K1087" s="9">
        <v>153</v>
      </c>
      <c r="L1087" s="9">
        <v>2025</v>
      </c>
      <c r="M1087" s="8" t="s">
        <v>6920</v>
      </c>
      <c r="N1087" s="8" t="s">
        <v>79</v>
      </c>
      <c r="O1087" s="8" t="s">
        <v>424</v>
      </c>
      <c r="P1087" s="6" t="s">
        <v>43</v>
      </c>
      <c r="Q1087" s="8" t="s">
        <v>102</v>
      </c>
      <c r="R1087" s="10" t="s">
        <v>6921</v>
      </c>
      <c r="S1087" s="11" t="s">
        <v>6922</v>
      </c>
      <c r="T1087" s="6" t="s">
        <v>299</v>
      </c>
      <c r="U1087" s="24" t="str">
        <f>HYPERLINK("https://media.infra-m.ru/2172/2172775/cover/2172775.jpg", "Обложка")</f>
        <v>Обложка</v>
      </c>
      <c r="V1087" s="24" t="str">
        <f>HYPERLINK("https://znanium.ru/catalog/product/2172775", "Ознакомиться")</f>
        <v>Ознакомиться</v>
      </c>
      <c r="W1087" s="8"/>
      <c r="X1087" s="6"/>
      <c r="Y1087" s="6"/>
      <c r="Z1087" s="6"/>
      <c r="AA1087" s="6" t="s">
        <v>1374</v>
      </c>
      <c r="AB1087" s="8"/>
    </row>
    <row r="1088" spans="1:28" s="4" customFormat="1" ht="51.95" customHeight="1">
      <c r="A1088" s="5">
        <v>0</v>
      </c>
      <c r="B1088" s="6" t="s">
        <v>6923</v>
      </c>
      <c r="C1088" s="7">
        <v>350</v>
      </c>
      <c r="D1088" s="8" t="s">
        <v>6924</v>
      </c>
      <c r="E1088" s="8" t="s">
        <v>6925</v>
      </c>
      <c r="F1088" s="8" t="s">
        <v>6919</v>
      </c>
      <c r="G1088" s="6" t="s">
        <v>38</v>
      </c>
      <c r="H1088" s="6" t="s">
        <v>53</v>
      </c>
      <c r="I1088" s="8" t="s">
        <v>100</v>
      </c>
      <c r="J1088" s="9">
        <v>1</v>
      </c>
      <c r="K1088" s="9">
        <v>152</v>
      </c>
      <c r="L1088" s="9">
        <v>2018</v>
      </c>
      <c r="M1088" s="8" t="s">
        <v>6926</v>
      </c>
      <c r="N1088" s="8" t="s">
        <v>79</v>
      </c>
      <c r="O1088" s="8" t="s">
        <v>424</v>
      </c>
      <c r="P1088" s="6" t="s">
        <v>43</v>
      </c>
      <c r="Q1088" s="8" t="s">
        <v>102</v>
      </c>
      <c r="R1088" s="10" t="s">
        <v>6921</v>
      </c>
      <c r="S1088" s="11" t="s">
        <v>6922</v>
      </c>
      <c r="T1088" s="6" t="s">
        <v>299</v>
      </c>
      <c r="U1088" s="24" t="str">
        <f>HYPERLINK("https://media.infra-m.ru/0933/0933879/cover/933879.jpg", "Обложка")</f>
        <v>Обложка</v>
      </c>
      <c r="V1088" s="24" t="str">
        <f>HYPERLINK("https://znanium.ru/catalog/product/2172775", "Ознакомиться")</f>
        <v>Ознакомиться</v>
      </c>
      <c r="W1088" s="8"/>
      <c r="X1088" s="6"/>
      <c r="Y1088" s="6"/>
      <c r="Z1088" s="6"/>
      <c r="AA1088" s="6" t="s">
        <v>72</v>
      </c>
      <c r="AB1088" s="8"/>
    </row>
    <row r="1089" spans="1:28" s="4" customFormat="1" ht="42" customHeight="1">
      <c r="A1089" s="5">
        <v>0</v>
      </c>
      <c r="B1089" s="6" t="s">
        <v>6927</v>
      </c>
      <c r="C1089" s="13">
        <v>1084</v>
      </c>
      <c r="D1089" s="8" t="s">
        <v>6928</v>
      </c>
      <c r="E1089" s="8" t="s">
        <v>6929</v>
      </c>
      <c r="F1089" s="8" t="s">
        <v>6930</v>
      </c>
      <c r="G1089" s="6" t="s">
        <v>89</v>
      </c>
      <c r="H1089" s="6" t="s">
        <v>53</v>
      </c>
      <c r="I1089" s="8" t="s">
        <v>116</v>
      </c>
      <c r="J1089" s="9">
        <v>1</v>
      </c>
      <c r="K1089" s="9">
        <v>208</v>
      </c>
      <c r="L1089" s="9">
        <v>2025</v>
      </c>
      <c r="M1089" s="8" t="s">
        <v>6931</v>
      </c>
      <c r="N1089" s="8" t="s">
        <v>41</v>
      </c>
      <c r="O1089" s="8" t="s">
        <v>129</v>
      </c>
      <c r="P1089" s="6" t="s">
        <v>43</v>
      </c>
      <c r="Q1089" s="8" t="s">
        <v>58</v>
      </c>
      <c r="R1089" s="10" t="s">
        <v>130</v>
      </c>
      <c r="S1089" s="11"/>
      <c r="T1089" s="6"/>
      <c r="U1089" s="24" t="str">
        <f>HYPERLINK("https://media.infra-m.ru/2180/2180881/cover/2180881.jpg", "Обложка")</f>
        <v>Обложка</v>
      </c>
      <c r="V1089" s="24" t="str">
        <f>HYPERLINK("https://znanium.ru/catalog/product/2148586", "Ознакомиться")</f>
        <v>Ознакомиться</v>
      </c>
      <c r="W1089" s="8" t="s">
        <v>2835</v>
      </c>
      <c r="X1089" s="6"/>
      <c r="Y1089" s="6"/>
      <c r="Z1089" s="6" t="s">
        <v>2627</v>
      </c>
      <c r="AA1089" s="6" t="s">
        <v>133</v>
      </c>
      <c r="AB1089" s="8"/>
    </row>
    <row r="1090" spans="1:28" s="4" customFormat="1" ht="51.95" customHeight="1">
      <c r="A1090" s="5">
        <v>0</v>
      </c>
      <c r="B1090" s="6" t="s">
        <v>6932</v>
      </c>
      <c r="C1090" s="7">
        <v>980</v>
      </c>
      <c r="D1090" s="8" t="s">
        <v>6933</v>
      </c>
      <c r="E1090" s="8" t="s">
        <v>6929</v>
      </c>
      <c r="F1090" s="8" t="s">
        <v>6930</v>
      </c>
      <c r="G1090" s="6" t="s">
        <v>89</v>
      </c>
      <c r="H1090" s="6" t="s">
        <v>53</v>
      </c>
      <c r="I1090" s="8" t="s">
        <v>100</v>
      </c>
      <c r="J1090" s="9">
        <v>1</v>
      </c>
      <c r="K1090" s="9">
        <v>208</v>
      </c>
      <c r="L1090" s="9">
        <v>2024</v>
      </c>
      <c r="M1090" s="8" t="s">
        <v>6934</v>
      </c>
      <c r="N1090" s="8" t="s">
        <v>41</v>
      </c>
      <c r="O1090" s="8" t="s">
        <v>129</v>
      </c>
      <c r="P1090" s="6" t="s">
        <v>43</v>
      </c>
      <c r="Q1090" s="8" t="s">
        <v>102</v>
      </c>
      <c r="R1090" s="10" t="s">
        <v>2822</v>
      </c>
      <c r="S1090" s="11" t="s">
        <v>6935</v>
      </c>
      <c r="T1090" s="6"/>
      <c r="U1090" s="24" t="str">
        <f>HYPERLINK("https://media.infra-m.ru/2081/2081088/cover/2081088.jpg", "Обложка")</f>
        <v>Обложка</v>
      </c>
      <c r="V1090" s="24" t="str">
        <f>HYPERLINK("https://znanium.ru/catalog/product/2081088", "Ознакомиться")</f>
        <v>Ознакомиться</v>
      </c>
      <c r="W1090" s="8" t="s">
        <v>2835</v>
      </c>
      <c r="X1090" s="6"/>
      <c r="Y1090" s="6"/>
      <c r="Z1090" s="6"/>
      <c r="AA1090" s="6" t="s">
        <v>793</v>
      </c>
      <c r="AB1090" s="8" t="s">
        <v>906</v>
      </c>
    </row>
    <row r="1091" spans="1:28" s="4" customFormat="1" ht="51.95" customHeight="1">
      <c r="A1091" s="5">
        <v>0</v>
      </c>
      <c r="B1091" s="6" t="s">
        <v>6936</v>
      </c>
      <c r="C1091" s="7">
        <v>880</v>
      </c>
      <c r="D1091" s="8" t="s">
        <v>6937</v>
      </c>
      <c r="E1091" s="8" t="s">
        <v>6938</v>
      </c>
      <c r="F1091" s="8" t="s">
        <v>6939</v>
      </c>
      <c r="G1091" s="6" t="s">
        <v>89</v>
      </c>
      <c r="H1091" s="6" t="s">
        <v>649</v>
      </c>
      <c r="I1091" s="8" t="s">
        <v>116</v>
      </c>
      <c r="J1091" s="9">
        <v>1</v>
      </c>
      <c r="K1091" s="9">
        <v>176</v>
      </c>
      <c r="L1091" s="9">
        <v>2025</v>
      </c>
      <c r="M1091" s="8" t="s">
        <v>6940</v>
      </c>
      <c r="N1091" s="8" t="s">
        <v>41</v>
      </c>
      <c r="O1091" s="8" t="s">
        <v>42</v>
      </c>
      <c r="P1091" s="6" t="s">
        <v>43</v>
      </c>
      <c r="Q1091" s="8" t="s">
        <v>44</v>
      </c>
      <c r="R1091" s="10" t="s">
        <v>6941</v>
      </c>
      <c r="S1091" s="11" t="s">
        <v>6942</v>
      </c>
      <c r="T1091" s="6"/>
      <c r="U1091" s="24" t="str">
        <f>HYPERLINK("https://media.infra-m.ru/2161/2161068/cover/2161068.jpg", "Обложка")</f>
        <v>Обложка</v>
      </c>
      <c r="V1091" s="24" t="str">
        <f>HYPERLINK("https://znanium.ru/catalog/product/2161068", "Ознакомиться")</f>
        <v>Ознакомиться</v>
      </c>
      <c r="W1091" s="8" t="s">
        <v>2321</v>
      </c>
      <c r="X1091" s="6"/>
      <c r="Y1091" s="6"/>
      <c r="Z1091" s="6"/>
      <c r="AA1091" s="6" t="s">
        <v>47</v>
      </c>
      <c r="AB1091" s="8"/>
    </row>
    <row r="1092" spans="1:28" s="4" customFormat="1" ht="51.95" customHeight="1">
      <c r="A1092" s="5">
        <v>0</v>
      </c>
      <c r="B1092" s="6" t="s">
        <v>6943</v>
      </c>
      <c r="C1092" s="7">
        <v>724.9</v>
      </c>
      <c r="D1092" s="8" t="s">
        <v>6944</v>
      </c>
      <c r="E1092" s="8" t="s">
        <v>6945</v>
      </c>
      <c r="F1092" s="8" t="s">
        <v>6946</v>
      </c>
      <c r="G1092" s="6" t="s">
        <v>38</v>
      </c>
      <c r="H1092" s="6" t="s">
        <v>53</v>
      </c>
      <c r="I1092" s="8" t="s">
        <v>276</v>
      </c>
      <c r="J1092" s="9">
        <v>1</v>
      </c>
      <c r="K1092" s="9">
        <v>164</v>
      </c>
      <c r="L1092" s="9">
        <v>2020</v>
      </c>
      <c r="M1092" s="8" t="s">
        <v>6947</v>
      </c>
      <c r="N1092" s="8" t="s">
        <v>413</v>
      </c>
      <c r="O1092" s="8" t="s">
        <v>1141</v>
      </c>
      <c r="P1092" s="6" t="s">
        <v>43</v>
      </c>
      <c r="Q1092" s="8" t="s">
        <v>44</v>
      </c>
      <c r="R1092" s="10" t="s">
        <v>6948</v>
      </c>
      <c r="S1092" s="11" t="s">
        <v>6949</v>
      </c>
      <c r="T1092" s="6"/>
      <c r="U1092" s="24" t="str">
        <f>HYPERLINK("https://media.infra-m.ru/1081/1081986/cover/1081986.jpg", "Обложка")</f>
        <v>Обложка</v>
      </c>
      <c r="V1092" s="24" t="str">
        <f>HYPERLINK("https://znanium.ru/catalog/product/917972", "Ознакомиться")</f>
        <v>Ознакомиться</v>
      </c>
      <c r="W1092" s="8" t="s">
        <v>4274</v>
      </c>
      <c r="X1092" s="6"/>
      <c r="Y1092" s="6"/>
      <c r="Z1092" s="6"/>
      <c r="AA1092" s="6" t="s">
        <v>47</v>
      </c>
      <c r="AB1092" s="8"/>
    </row>
    <row r="1093" spans="1:28" s="4" customFormat="1" ht="51.95" customHeight="1">
      <c r="A1093" s="5">
        <v>0</v>
      </c>
      <c r="B1093" s="6" t="s">
        <v>6950</v>
      </c>
      <c r="C1093" s="13">
        <v>1420</v>
      </c>
      <c r="D1093" s="8" t="s">
        <v>6951</v>
      </c>
      <c r="E1093" s="8" t="s">
        <v>6952</v>
      </c>
      <c r="F1093" s="8" t="s">
        <v>6953</v>
      </c>
      <c r="G1093" s="6" t="s">
        <v>89</v>
      </c>
      <c r="H1093" s="6" t="s">
        <v>53</v>
      </c>
      <c r="I1093" s="8" t="s">
        <v>116</v>
      </c>
      <c r="J1093" s="9">
        <v>1</v>
      </c>
      <c r="K1093" s="9">
        <v>304</v>
      </c>
      <c r="L1093" s="9">
        <v>2024</v>
      </c>
      <c r="M1093" s="8" t="s">
        <v>6954</v>
      </c>
      <c r="N1093" s="8" t="s">
        <v>413</v>
      </c>
      <c r="O1093" s="8" t="s">
        <v>1141</v>
      </c>
      <c r="P1093" s="6" t="s">
        <v>43</v>
      </c>
      <c r="Q1093" s="8" t="s">
        <v>44</v>
      </c>
      <c r="R1093" s="10" t="s">
        <v>4931</v>
      </c>
      <c r="S1093" s="11" t="s">
        <v>6955</v>
      </c>
      <c r="T1093" s="6"/>
      <c r="U1093" s="24" t="str">
        <f>HYPERLINK("https://media.infra-m.ru/2124/2124772/cover/2124772.jpg", "Обложка")</f>
        <v>Обложка</v>
      </c>
      <c r="V1093" s="24" t="str">
        <f>HYPERLINK("https://znanium.ru/catalog/product/2124772", "Ознакомиться")</f>
        <v>Ознакомиться</v>
      </c>
      <c r="W1093" s="8" t="s">
        <v>4274</v>
      </c>
      <c r="X1093" s="6"/>
      <c r="Y1093" s="6"/>
      <c r="Z1093" s="6"/>
      <c r="AA1093" s="6" t="s">
        <v>6956</v>
      </c>
      <c r="AB1093" s="8"/>
    </row>
    <row r="1094" spans="1:28" s="4" customFormat="1" ht="51.95" customHeight="1">
      <c r="A1094" s="5">
        <v>0</v>
      </c>
      <c r="B1094" s="6" t="s">
        <v>6957</v>
      </c>
      <c r="C1094" s="13">
        <v>1000</v>
      </c>
      <c r="D1094" s="8" t="s">
        <v>6958</v>
      </c>
      <c r="E1094" s="8" t="s">
        <v>6959</v>
      </c>
      <c r="F1094" s="8" t="s">
        <v>6960</v>
      </c>
      <c r="G1094" s="6" t="s">
        <v>52</v>
      </c>
      <c r="H1094" s="6" t="s">
        <v>53</v>
      </c>
      <c r="I1094" s="8" t="s">
        <v>5586</v>
      </c>
      <c r="J1094" s="9">
        <v>1</v>
      </c>
      <c r="K1094" s="9">
        <v>198</v>
      </c>
      <c r="L1094" s="9">
        <v>2025</v>
      </c>
      <c r="M1094" s="8" t="s">
        <v>6961</v>
      </c>
      <c r="N1094" s="8" t="s">
        <v>56</v>
      </c>
      <c r="O1094" s="8" t="s">
        <v>57</v>
      </c>
      <c r="P1094" s="6" t="s">
        <v>5588</v>
      </c>
      <c r="Q1094" s="8" t="s">
        <v>58</v>
      </c>
      <c r="R1094" s="10" t="s">
        <v>6962</v>
      </c>
      <c r="S1094" s="11"/>
      <c r="T1094" s="6"/>
      <c r="U1094" s="24" t="str">
        <f>HYPERLINK("https://media.infra-m.ru/1893/1893882/cover/1893882.jpg", "Обложка")</f>
        <v>Обложка</v>
      </c>
      <c r="V1094" s="24" t="str">
        <f>HYPERLINK("https://znanium.ru/catalog/product/1893882", "Ознакомиться")</f>
        <v>Ознакомиться</v>
      </c>
      <c r="W1094" s="8" t="s">
        <v>2672</v>
      </c>
      <c r="X1094" s="6" t="s">
        <v>2790</v>
      </c>
      <c r="Y1094" s="6"/>
      <c r="Z1094" s="6"/>
      <c r="AA1094" s="6" t="s">
        <v>61</v>
      </c>
      <c r="AB1094" s="8"/>
    </row>
    <row r="1095" spans="1:28" s="4" customFormat="1" ht="51.95" customHeight="1">
      <c r="A1095" s="5">
        <v>0</v>
      </c>
      <c r="B1095" s="6" t="s">
        <v>6963</v>
      </c>
      <c r="C1095" s="7">
        <v>690</v>
      </c>
      <c r="D1095" s="8" t="s">
        <v>6964</v>
      </c>
      <c r="E1095" s="8" t="s">
        <v>6965</v>
      </c>
      <c r="F1095" s="8" t="s">
        <v>6966</v>
      </c>
      <c r="G1095" s="6" t="s">
        <v>89</v>
      </c>
      <c r="H1095" s="6" t="s">
        <v>674</v>
      </c>
      <c r="I1095" s="8"/>
      <c r="J1095" s="9">
        <v>1</v>
      </c>
      <c r="K1095" s="9">
        <v>127</v>
      </c>
      <c r="L1095" s="9">
        <v>2025</v>
      </c>
      <c r="M1095" s="8" t="s">
        <v>6967</v>
      </c>
      <c r="N1095" s="8" t="s">
        <v>41</v>
      </c>
      <c r="O1095" s="8" t="s">
        <v>676</v>
      </c>
      <c r="P1095" s="6" t="s">
        <v>43</v>
      </c>
      <c r="Q1095" s="8" t="s">
        <v>44</v>
      </c>
      <c r="R1095" s="10" t="s">
        <v>806</v>
      </c>
      <c r="S1095" s="11"/>
      <c r="T1095" s="6"/>
      <c r="U1095" s="24" t="str">
        <f>HYPERLINK("https://media.infra-m.ru/2175/2175022/cover/2175022.jpg", "Обложка")</f>
        <v>Обложка</v>
      </c>
      <c r="V1095" s="24" t="str">
        <f>HYPERLINK("https://znanium.ru/catalog/product/2175022", "Ознакомиться")</f>
        <v>Ознакомиться</v>
      </c>
      <c r="W1095" s="8" t="s">
        <v>6648</v>
      </c>
      <c r="X1095" s="6"/>
      <c r="Y1095" s="6"/>
      <c r="Z1095" s="6"/>
      <c r="AA1095" s="6" t="s">
        <v>258</v>
      </c>
      <c r="AB1095" s="8"/>
    </row>
    <row r="1096" spans="1:28" s="4" customFormat="1" ht="51.95" customHeight="1">
      <c r="A1096" s="5">
        <v>0</v>
      </c>
      <c r="B1096" s="6" t="s">
        <v>6968</v>
      </c>
      <c r="C1096" s="7">
        <v>940</v>
      </c>
      <c r="D1096" s="8" t="s">
        <v>6969</v>
      </c>
      <c r="E1096" s="8" t="s">
        <v>6970</v>
      </c>
      <c r="F1096" s="8" t="s">
        <v>6971</v>
      </c>
      <c r="G1096" s="6" t="s">
        <v>52</v>
      </c>
      <c r="H1096" s="6" t="s">
        <v>53</v>
      </c>
      <c r="I1096" s="8" t="s">
        <v>116</v>
      </c>
      <c r="J1096" s="9">
        <v>1</v>
      </c>
      <c r="K1096" s="9">
        <v>175</v>
      </c>
      <c r="L1096" s="9">
        <v>2024</v>
      </c>
      <c r="M1096" s="8" t="s">
        <v>6972</v>
      </c>
      <c r="N1096" s="8" t="s">
        <v>41</v>
      </c>
      <c r="O1096" s="8" t="s">
        <v>676</v>
      </c>
      <c r="P1096" s="6" t="s">
        <v>43</v>
      </c>
      <c r="Q1096" s="8" t="s">
        <v>58</v>
      </c>
      <c r="R1096" s="10" t="s">
        <v>6973</v>
      </c>
      <c r="S1096" s="11" t="s">
        <v>6974</v>
      </c>
      <c r="T1096" s="6" t="s">
        <v>299</v>
      </c>
      <c r="U1096" s="24" t="str">
        <f>HYPERLINK("https://media.infra-m.ru/2134/2134589/cover/2134589.jpg", "Обложка")</f>
        <v>Обложка</v>
      </c>
      <c r="V1096" s="24" t="str">
        <f>HYPERLINK("https://znanium.ru/catalog/product/2134589", "Ознакомиться")</f>
        <v>Ознакомиться</v>
      </c>
      <c r="W1096" s="8" t="s">
        <v>2122</v>
      </c>
      <c r="X1096" s="6" t="s">
        <v>548</v>
      </c>
      <c r="Y1096" s="6"/>
      <c r="Z1096" s="6"/>
      <c r="AA1096" s="6" t="s">
        <v>133</v>
      </c>
      <c r="AB1096" s="8"/>
    </row>
    <row r="1097" spans="1:28" s="4" customFormat="1" ht="51.95" customHeight="1">
      <c r="A1097" s="5">
        <v>0</v>
      </c>
      <c r="B1097" s="6" t="s">
        <v>6975</v>
      </c>
      <c r="C1097" s="13">
        <v>1424</v>
      </c>
      <c r="D1097" s="8" t="s">
        <v>6976</v>
      </c>
      <c r="E1097" s="8" t="s">
        <v>6977</v>
      </c>
      <c r="F1097" s="8" t="s">
        <v>6978</v>
      </c>
      <c r="G1097" s="6" t="s">
        <v>38</v>
      </c>
      <c r="H1097" s="6" t="s">
        <v>53</v>
      </c>
      <c r="I1097" s="8" t="s">
        <v>90</v>
      </c>
      <c r="J1097" s="9">
        <v>1</v>
      </c>
      <c r="K1097" s="9">
        <v>285</v>
      </c>
      <c r="L1097" s="9">
        <v>2025</v>
      </c>
      <c r="M1097" s="8" t="s">
        <v>6979</v>
      </c>
      <c r="N1097" s="8" t="s">
        <v>41</v>
      </c>
      <c r="O1097" s="8" t="s">
        <v>1204</v>
      </c>
      <c r="P1097" s="6" t="s">
        <v>43</v>
      </c>
      <c r="Q1097" s="8" t="s">
        <v>44</v>
      </c>
      <c r="R1097" s="10" t="s">
        <v>6980</v>
      </c>
      <c r="S1097" s="11" t="s">
        <v>6981</v>
      </c>
      <c r="T1097" s="6"/>
      <c r="U1097" s="24" t="str">
        <f>HYPERLINK("https://media.infra-m.ru/2170/2170067/cover/2170067.jpg", "Обложка")</f>
        <v>Обложка</v>
      </c>
      <c r="V1097" s="24" t="str">
        <f>HYPERLINK("https://znanium.ru/catalog/product/1063725", "Ознакомиться")</f>
        <v>Ознакомиться</v>
      </c>
      <c r="W1097" s="8" t="s">
        <v>4293</v>
      </c>
      <c r="X1097" s="6"/>
      <c r="Y1097" s="6"/>
      <c r="Z1097" s="6"/>
      <c r="AA1097" s="6" t="s">
        <v>418</v>
      </c>
      <c r="AB1097" s="8"/>
    </row>
    <row r="1098" spans="1:28" s="4" customFormat="1" ht="51.95" customHeight="1">
      <c r="A1098" s="5">
        <v>0</v>
      </c>
      <c r="B1098" s="6" t="s">
        <v>6982</v>
      </c>
      <c r="C1098" s="13">
        <v>1680</v>
      </c>
      <c r="D1098" s="8" t="s">
        <v>6983</v>
      </c>
      <c r="E1098" s="8" t="s">
        <v>6984</v>
      </c>
      <c r="F1098" s="8" t="s">
        <v>6985</v>
      </c>
      <c r="G1098" s="6" t="s">
        <v>89</v>
      </c>
      <c r="H1098" s="6" t="s">
        <v>952</v>
      </c>
      <c r="I1098" s="8"/>
      <c r="J1098" s="9">
        <v>1</v>
      </c>
      <c r="K1098" s="9">
        <v>336</v>
      </c>
      <c r="L1098" s="9">
        <v>2025</v>
      </c>
      <c r="M1098" s="8" t="s">
        <v>6986</v>
      </c>
      <c r="N1098" s="8" t="s">
        <v>41</v>
      </c>
      <c r="O1098" s="8" t="s">
        <v>118</v>
      </c>
      <c r="P1098" s="6" t="s">
        <v>43</v>
      </c>
      <c r="Q1098" s="8" t="s">
        <v>58</v>
      </c>
      <c r="R1098" s="10" t="s">
        <v>6987</v>
      </c>
      <c r="S1098" s="11" t="s">
        <v>6988</v>
      </c>
      <c r="T1098" s="6"/>
      <c r="U1098" s="24" t="str">
        <f>HYPERLINK("https://media.infra-m.ru/2156/2156917/cover/2156917.jpg", "Обложка")</f>
        <v>Обложка</v>
      </c>
      <c r="V1098" s="24" t="str">
        <f>HYPERLINK("https://znanium.ru/catalog/product/2156917", "Ознакомиться")</f>
        <v>Ознакомиться</v>
      </c>
      <c r="W1098" s="8" t="s">
        <v>83</v>
      </c>
      <c r="X1098" s="6"/>
      <c r="Y1098" s="6"/>
      <c r="Z1098" s="6"/>
      <c r="AA1098" s="6" t="s">
        <v>1259</v>
      </c>
      <c r="AB1098" s="8"/>
    </row>
    <row r="1099" spans="1:28" s="4" customFormat="1" ht="51.95" customHeight="1">
      <c r="A1099" s="5">
        <v>0</v>
      </c>
      <c r="B1099" s="6" t="s">
        <v>6989</v>
      </c>
      <c r="C1099" s="7">
        <v>820</v>
      </c>
      <c r="D1099" s="8" t="s">
        <v>6990</v>
      </c>
      <c r="E1099" s="8" t="s">
        <v>6991</v>
      </c>
      <c r="F1099" s="8" t="s">
        <v>6985</v>
      </c>
      <c r="G1099" s="6" t="s">
        <v>38</v>
      </c>
      <c r="H1099" s="6" t="s">
        <v>952</v>
      </c>
      <c r="I1099" s="8"/>
      <c r="J1099" s="9">
        <v>1</v>
      </c>
      <c r="K1099" s="9">
        <v>272</v>
      </c>
      <c r="L1099" s="9">
        <v>2019</v>
      </c>
      <c r="M1099" s="8" t="s">
        <v>6992</v>
      </c>
      <c r="N1099" s="8" t="s">
        <v>41</v>
      </c>
      <c r="O1099" s="8" t="s">
        <v>118</v>
      </c>
      <c r="P1099" s="6" t="s">
        <v>43</v>
      </c>
      <c r="Q1099" s="8" t="s">
        <v>58</v>
      </c>
      <c r="R1099" s="10" t="s">
        <v>6987</v>
      </c>
      <c r="S1099" s="11" t="s">
        <v>6988</v>
      </c>
      <c r="T1099" s="6"/>
      <c r="U1099" s="24" t="str">
        <f>HYPERLINK("https://media.infra-m.ru/1031/1031637/cover/1031637.jpg", "Обложка")</f>
        <v>Обложка</v>
      </c>
      <c r="V1099" s="24" t="str">
        <f>HYPERLINK("https://znanium.ru/catalog/product/2156917", "Ознакомиться")</f>
        <v>Ознакомиться</v>
      </c>
      <c r="W1099" s="8" t="s">
        <v>83</v>
      </c>
      <c r="X1099" s="6"/>
      <c r="Y1099" s="6"/>
      <c r="Z1099" s="6"/>
      <c r="AA1099" s="6" t="s">
        <v>622</v>
      </c>
      <c r="AB1099" s="8"/>
    </row>
    <row r="1100" spans="1:28" s="4" customFormat="1" ht="51.95" customHeight="1">
      <c r="A1100" s="5">
        <v>0</v>
      </c>
      <c r="B1100" s="6" t="s">
        <v>6993</v>
      </c>
      <c r="C1100" s="13">
        <v>1564</v>
      </c>
      <c r="D1100" s="8" t="s">
        <v>6994</v>
      </c>
      <c r="E1100" s="8" t="s">
        <v>6995</v>
      </c>
      <c r="F1100" s="8" t="s">
        <v>6996</v>
      </c>
      <c r="G1100" s="6" t="s">
        <v>89</v>
      </c>
      <c r="H1100" s="6" t="s">
        <v>53</v>
      </c>
      <c r="I1100" s="8" t="s">
        <v>90</v>
      </c>
      <c r="J1100" s="9">
        <v>1</v>
      </c>
      <c r="K1100" s="9">
        <v>300</v>
      </c>
      <c r="L1100" s="9">
        <v>2025</v>
      </c>
      <c r="M1100" s="8" t="s">
        <v>6997</v>
      </c>
      <c r="N1100" s="8" t="s">
        <v>41</v>
      </c>
      <c r="O1100" s="8" t="s">
        <v>676</v>
      </c>
      <c r="P1100" s="6" t="s">
        <v>43</v>
      </c>
      <c r="Q1100" s="8" t="s">
        <v>44</v>
      </c>
      <c r="R1100" s="10" t="s">
        <v>6998</v>
      </c>
      <c r="S1100" s="11"/>
      <c r="T1100" s="6"/>
      <c r="U1100" s="24" t="str">
        <f>HYPERLINK("https://media.infra-m.ru/2192/2192152/cover/2192152.jpg", "Обложка")</f>
        <v>Обложка</v>
      </c>
      <c r="V1100" s="24" t="str">
        <f>HYPERLINK("https://znanium.ru/catalog/product/1818705", "Ознакомиться")</f>
        <v>Ознакомиться</v>
      </c>
      <c r="W1100" s="8" t="s">
        <v>71</v>
      </c>
      <c r="X1100" s="6"/>
      <c r="Y1100" s="6"/>
      <c r="Z1100" s="6"/>
      <c r="AA1100" s="6" t="s">
        <v>258</v>
      </c>
      <c r="AB1100" s="8"/>
    </row>
    <row r="1101" spans="1:28" s="4" customFormat="1" ht="51.95" customHeight="1">
      <c r="A1101" s="5">
        <v>0</v>
      </c>
      <c r="B1101" s="6" t="s">
        <v>6999</v>
      </c>
      <c r="C1101" s="13">
        <v>1240</v>
      </c>
      <c r="D1101" s="8" t="s">
        <v>7000</v>
      </c>
      <c r="E1101" s="8" t="s">
        <v>7001</v>
      </c>
      <c r="F1101" s="8" t="s">
        <v>7002</v>
      </c>
      <c r="G1101" s="6" t="s">
        <v>89</v>
      </c>
      <c r="H1101" s="6" t="s">
        <v>53</v>
      </c>
      <c r="I1101" s="8" t="s">
        <v>116</v>
      </c>
      <c r="J1101" s="9">
        <v>1</v>
      </c>
      <c r="K1101" s="9">
        <v>263</v>
      </c>
      <c r="L1101" s="9">
        <v>2024</v>
      </c>
      <c r="M1101" s="8" t="s">
        <v>7003</v>
      </c>
      <c r="N1101" s="8" t="s">
        <v>41</v>
      </c>
      <c r="O1101" s="8" t="s">
        <v>42</v>
      </c>
      <c r="P1101" s="6" t="s">
        <v>43</v>
      </c>
      <c r="Q1101" s="8" t="s">
        <v>44</v>
      </c>
      <c r="R1101" s="10" t="s">
        <v>7004</v>
      </c>
      <c r="S1101" s="11" t="s">
        <v>7005</v>
      </c>
      <c r="T1101" s="6"/>
      <c r="U1101" s="24" t="str">
        <f>HYPERLINK("https://media.infra-m.ru/2138/2138943/cover/2138943.jpg", "Обложка")</f>
        <v>Обложка</v>
      </c>
      <c r="V1101" s="24" t="str">
        <f>HYPERLINK("https://znanium.ru/catalog/product/2138943", "Ознакомиться")</f>
        <v>Ознакомиться</v>
      </c>
      <c r="W1101" s="8" t="s">
        <v>7006</v>
      </c>
      <c r="X1101" s="6"/>
      <c r="Y1101" s="6"/>
      <c r="Z1101" s="6"/>
      <c r="AA1101" s="6" t="s">
        <v>258</v>
      </c>
      <c r="AB1101" s="8"/>
    </row>
    <row r="1102" spans="1:28" s="4" customFormat="1" ht="42" customHeight="1">
      <c r="A1102" s="5">
        <v>0</v>
      </c>
      <c r="B1102" s="6" t="s">
        <v>7007</v>
      </c>
      <c r="C1102" s="7">
        <v>800</v>
      </c>
      <c r="D1102" s="8" t="s">
        <v>7008</v>
      </c>
      <c r="E1102" s="8" t="s">
        <v>7009</v>
      </c>
      <c r="F1102" s="8" t="s">
        <v>7010</v>
      </c>
      <c r="G1102" s="6" t="s">
        <v>38</v>
      </c>
      <c r="H1102" s="6" t="s">
        <v>39</v>
      </c>
      <c r="I1102" s="8" t="s">
        <v>90</v>
      </c>
      <c r="J1102" s="9">
        <v>1</v>
      </c>
      <c r="K1102" s="9">
        <v>176</v>
      </c>
      <c r="L1102" s="9">
        <v>2020</v>
      </c>
      <c r="M1102" s="8" t="s">
        <v>7011</v>
      </c>
      <c r="N1102" s="8" t="s">
        <v>79</v>
      </c>
      <c r="O1102" s="8" t="s">
        <v>396</v>
      </c>
      <c r="P1102" s="6" t="s">
        <v>43</v>
      </c>
      <c r="Q1102" s="8" t="s">
        <v>44</v>
      </c>
      <c r="R1102" s="10" t="s">
        <v>7012</v>
      </c>
      <c r="S1102" s="11"/>
      <c r="T1102" s="6"/>
      <c r="U1102" s="24" t="str">
        <f>HYPERLINK("https://media.infra-m.ru/1946/1946454/cover/1946454.jpg", "Обложка")</f>
        <v>Обложка</v>
      </c>
      <c r="V1102" s="24" t="str">
        <f>HYPERLINK("https://znanium.ru/catalog/product/1946454", "Ознакомиться")</f>
        <v>Ознакомиться</v>
      </c>
      <c r="W1102" s="8" t="s">
        <v>487</v>
      </c>
      <c r="X1102" s="6"/>
      <c r="Y1102" s="6"/>
      <c r="Z1102" s="6"/>
      <c r="AA1102" s="6" t="s">
        <v>111</v>
      </c>
      <c r="AB1102" s="8"/>
    </row>
    <row r="1103" spans="1:28" s="4" customFormat="1" ht="51.95" customHeight="1">
      <c r="A1103" s="5">
        <v>0</v>
      </c>
      <c r="B1103" s="6" t="s">
        <v>7013</v>
      </c>
      <c r="C1103" s="7">
        <v>984.9</v>
      </c>
      <c r="D1103" s="8" t="s">
        <v>7014</v>
      </c>
      <c r="E1103" s="8" t="s">
        <v>7015</v>
      </c>
      <c r="F1103" s="8" t="s">
        <v>7016</v>
      </c>
      <c r="G1103" s="6" t="s">
        <v>89</v>
      </c>
      <c r="H1103" s="6" t="s">
        <v>53</v>
      </c>
      <c r="I1103" s="8" t="s">
        <v>100</v>
      </c>
      <c r="J1103" s="9">
        <v>1</v>
      </c>
      <c r="K1103" s="9">
        <v>219</v>
      </c>
      <c r="L1103" s="9">
        <v>2023</v>
      </c>
      <c r="M1103" s="8" t="s">
        <v>7017</v>
      </c>
      <c r="N1103" s="8" t="s">
        <v>79</v>
      </c>
      <c r="O1103" s="8" t="s">
        <v>396</v>
      </c>
      <c r="P1103" s="6" t="s">
        <v>43</v>
      </c>
      <c r="Q1103" s="8" t="s">
        <v>102</v>
      </c>
      <c r="R1103" s="10" t="s">
        <v>7018</v>
      </c>
      <c r="S1103" s="11" t="s">
        <v>7019</v>
      </c>
      <c r="T1103" s="6"/>
      <c r="U1103" s="24" t="str">
        <f>HYPERLINK("https://media.infra-m.ru/1854/1854247/cover/1854247.jpg", "Обложка")</f>
        <v>Обложка</v>
      </c>
      <c r="V1103" s="24" t="str">
        <f>HYPERLINK("https://znanium.ru/catalog/product/1854247", "Ознакомиться")</f>
        <v>Ознакомиться</v>
      </c>
      <c r="W1103" s="8" t="s">
        <v>7020</v>
      </c>
      <c r="X1103" s="6"/>
      <c r="Y1103" s="6"/>
      <c r="Z1103" s="6"/>
      <c r="AA1103" s="6" t="s">
        <v>793</v>
      </c>
      <c r="AB1103" s="8"/>
    </row>
    <row r="1104" spans="1:28" s="4" customFormat="1" ht="42" customHeight="1">
      <c r="A1104" s="5">
        <v>0</v>
      </c>
      <c r="B1104" s="6" t="s">
        <v>7021</v>
      </c>
      <c r="C1104" s="13">
        <v>1960</v>
      </c>
      <c r="D1104" s="8" t="s">
        <v>7022</v>
      </c>
      <c r="E1104" s="8" t="s">
        <v>7023</v>
      </c>
      <c r="F1104" s="8" t="s">
        <v>7024</v>
      </c>
      <c r="G1104" s="6" t="s">
        <v>89</v>
      </c>
      <c r="H1104" s="6" t="s">
        <v>53</v>
      </c>
      <c r="I1104" s="8" t="s">
        <v>7025</v>
      </c>
      <c r="J1104" s="9">
        <v>1</v>
      </c>
      <c r="K1104" s="9">
        <v>392</v>
      </c>
      <c r="L1104" s="9">
        <v>2025</v>
      </c>
      <c r="M1104" s="8" t="s">
        <v>7026</v>
      </c>
      <c r="N1104" s="8" t="s">
        <v>413</v>
      </c>
      <c r="O1104" s="8" t="s">
        <v>414</v>
      </c>
      <c r="P1104" s="6" t="s">
        <v>43</v>
      </c>
      <c r="Q1104" s="8" t="s">
        <v>102</v>
      </c>
      <c r="R1104" s="10" t="s">
        <v>7027</v>
      </c>
      <c r="S1104" s="11"/>
      <c r="T1104" s="6"/>
      <c r="U1104" s="24" t="str">
        <f>HYPERLINK("https://media.infra-m.ru/2162/2162988/cover/2162988.jpg", "Обложка")</f>
        <v>Обложка</v>
      </c>
      <c r="V1104" s="24" t="str">
        <f>HYPERLINK("https://znanium.ru/catalog/product/2162988", "Ознакомиться")</f>
        <v>Ознакомиться</v>
      </c>
      <c r="W1104" s="8" t="s">
        <v>784</v>
      </c>
      <c r="X1104" s="6" t="s">
        <v>785</v>
      </c>
      <c r="Y1104" s="6"/>
      <c r="Z1104" s="6" t="s">
        <v>502</v>
      </c>
      <c r="AA1104" s="6" t="s">
        <v>61</v>
      </c>
      <c r="AB1104" s="8"/>
    </row>
    <row r="1105" spans="1:28" s="4" customFormat="1" ht="51.95" customHeight="1">
      <c r="A1105" s="5">
        <v>0</v>
      </c>
      <c r="B1105" s="6" t="s">
        <v>7028</v>
      </c>
      <c r="C1105" s="13">
        <v>1760</v>
      </c>
      <c r="D1105" s="8" t="s">
        <v>7029</v>
      </c>
      <c r="E1105" s="8" t="s">
        <v>7023</v>
      </c>
      <c r="F1105" s="8" t="s">
        <v>7024</v>
      </c>
      <c r="G1105" s="6" t="s">
        <v>89</v>
      </c>
      <c r="H1105" s="6" t="s">
        <v>53</v>
      </c>
      <c r="I1105" s="8" t="s">
        <v>90</v>
      </c>
      <c r="J1105" s="9">
        <v>1</v>
      </c>
      <c r="K1105" s="9">
        <v>392</v>
      </c>
      <c r="L1105" s="9">
        <v>2023</v>
      </c>
      <c r="M1105" s="8" t="s">
        <v>7030</v>
      </c>
      <c r="N1105" s="8" t="s">
        <v>413</v>
      </c>
      <c r="O1105" s="8" t="s">
        <v>414</v>
      </c>
      <c r="P1105" s="6" t="s">
        <v>43</v>
      </c>
      <c r="Q1105" s="8" t="s">
        <v>44</v>
      </c>
      <c r="R1105" s="10" t="s">
        <v>7031</v>
      </c>
      <c r="S1105" s="11" t="s">
        <v>7032</v>
      </c>
      <c r="T1105" s="6"/>
      <c r="U1105" s="24" t="str">
        <f>HYPERLINK("https://media.infra-m.ru/1894/1894764/cover/1894764.jpg", "Обложка")</f>
        <v>Обложка</v>
      </c>
      <c r="V1105" s="24" t="str">
        <f>HYPERLINK("https://znanium.ru/catalog/product/1894764", "Ознакомиться")</f>
        <v>Ознакомиться</v>
      </c>
      <c r="W1105" s="8" t="s">
        <v>784</v>
      </c>
      <c r="X1105" s="6"/>
      <c r="Y1105" s="6"/>
      <c r="Z1105" s="6"/>
      <c r="AA1105" s="6" t="s">
        <v>47</v>
      </c>
      <c r="AB1105" s="8"/>
    </row>
    <row r="1106" spans="1:28" s="4" customFormat="1" ht="51.95" customHeight="1">
      <c r="A1106" s="5">
        <v>0</v>
      </c>
      <c r="B1106" s="6" t="s">
        <v>7033</v>
      </c>
      <c r="C1106" s="13">
        <v>1920</v>
      </c>
      <c r="D1106" s="8" t="s">
        <v>7034</v>
      </c>
      <c r="E1106" s="8" t="s">
        <v>7035</v>
      </c>
      <c r="F1106" s="8" t="s">
        <v>7036</v>
      </c>
      <c r="G1106" s="6" t="s">
        <v>89</v>
      </c>
      <c r="H1106" s="6" t="s">
        <v>39</v>
      </c>
      <c r="I1106" s="8" t="s">
        <v>100</v>
      </c>
      <c r="J1106" s="9">
        <v>1</v>
      </c>
      <c r="K1106" s="9">
        <v>368</v>
      </c>
      <c r="L1106" s="9">
        <v>2025</v>
      </c>
      <c r="M1106" s="8" t="s">
        <v>7037</v>
      </c>
      <c r="N1106" s="8" t="s">
        <v>79</v>
      </c>
      <c r="O1106" s="8" t="s">
        <v>80</v>
      </c>
      <c r="P1106" s="6" t="s">
        <v>43</v>
      </c>
      <c r="Q1106" s="8" t="s">
        <v>102</v>
      </c>
      <c r="R1106" s="10" t="s">
        <v>7038</v>
      </c>
      <c r="S1106" s="11" t="s">
        <v>620</v>
      </c>
      <c r="T1106" s="6"/>
      <c r="U1106" s="24" t="str">
        <f>HYPERLINK("https://media.infra-m.ru/2181/2181286/cover/2181286.jpg", "Обложка")</f>
        <v>Обложка</v>
      </c>
      <c r="V1106" s="24" t="str">
        <f>HYPERLINK("https://znanium.ru/catalog/product/2181286", "Ознакомиться")</f>
        <v>Ознакомиться</v>
      </c>
      <c r="W1106" s="8" t="s">
        <v>1144</v>
      </c>
      <c r="X1106" s="6"/>
      <c r="Y1106" s="6"/>
      <c r="Z1106" s="6"/>
      <c r="AA1106" s="6" t="s">
        <v>494</v>
      </c>
      <c r="AB1106" s="8"/>
    </row>
    <row r="1107" spans="1:28" s="4" customFormat="1" ht="51.95" customHeight="1">
      <c r="A1107" s="5">
        <v>0</v>
      </c>
      <c r="B1107" s="6" t="s">
        <v>7039</v>
      </c>
      <c r="C1107" s="13">
        <v>1890</v>
      </c>
      <c r="D1107" s="8" t="s">
        <v>7040</v>
      </c>
      <c r="E1107" s="8" t="s">
        <v>7041</v>
      </c>
      <c r="F1107" s="8" t="s">
        <v>7042</v>
      </c>
      <c r="G1107" s="6" t="s">
        <v>89</v>
      </c>
      <c r="H1107" s="6" t="s">
        <v>184</v>
      </c>
      <c r="I1107" s="8" t="s">
        <v>116</v>
      </c>
      <c r="J1107" s="9">
        <v>1</v>
      </c>
      <c r="K1107" s="9">
        <v>400</v>
      </c>
      <c r="L1107" s="9">
        <v>2024</v>
      </c>
      <c r="M1107" s="8" t="s">
        <v>7043</v>
      </c>
      <c r="N1107" s="8" t="s">
        <v>79</v>
      </c>
      <c r="O1107" s="8" t="s">
        <v>80</v>
      </c>
      <c r="P1107" s="6" t="s">
        <v>43</v>
      </c>
      <c r="Q1107" s="8" t="s">
        <v>58</v>
      </c>
      <c r="R1107" s="10" t="s">
        <v>7044</v>
      </c>
      <c r="S1107" s="11"/>
      <c r="T1107" s="6"/>
      <c r="U1107" s="24" t="str">
        <f>HYPERLINK("https://media.infra-m.ru/2140/2140566/cover/2140566.jpg", "Обложка")</f>
        <v>Обложка</v>
      </c>
      <c r="V1107" s="24" t="str">
        <f>HYPERLINK("https://znanium.ru/catalog/product/2140566", "Ознакомиться")</f>
        <v>Ознакомиться</v>
      </c>
      <c r="W1107" s="8" t="s">
        <v>1293</v>
      </c>
      <c r="X1107" s="6"/>
      <c r="Y1107" s="6"/>
      <c r="Z1107" s="6"/>
      <c r="AA1107" s="6" t="s">
        <v>638</v>
      </c>
      <c r="AB1107" s="8"/>
    </row>
    <row r="1108" spans="1:28" s="4" customFormat="1" ht="51.95" customHeight="1">
      <c r="A1108" s="5">
        <v>0</v>
      </c>
      <c r="B1108" s="6" t="s">
        <v>7045</v>
      </c>
      <c r="C1108" s="7">
        <v>999.9</v>
      </c>
      <c r="D1108" s="8" t="s">
        <v>7046</v>
      </c>
      <c r="E1108" s="8" t="s">
        <v>7047</v>
      </c>
      <c r="F1108" s="8" t="s">
        <v>7048</v>
      </c>
      <c r="G1108" s="6" t="s">
        <v>52</v>
      </c>
      <c r="H1108" s="6" t="s">
        <v>184</v>
      </c>
      <c r="I1108" s="8" t="s">
        <v>7049</v>
      </c>
      <c r="J1108" s="9">
        <v>1</v>
      </c>
      <c r="K1108" s="9">
        <v>392</v>
      </c>
      <c r="L1108" s="9">
        <v>2018</v>
      </c>
      <c r="M1108" s="8" t="s">
        <v>7050</v>
      </c>
      <c r="N1108" s="8" t="s">
        <v>79</v>
      </c>
      <c r="O1108" s="8" t="s">
        <v>80</v>
      </c>
      <c r="P1108" s="6" t="s">
        <v>43</v>
      </c>
      <c r="Q1108" s="8" t="s">
        <v>44</v>
      </c>
      <c r="R1108" s="10" t="s">
        <v>7044</v>
      </c>
      <c r="S1108" s="11" t="s">
        <v>7051</v>
      </c>
      <c r="T1108" s="6"/>
      <c r="U1108" s="24" t="str">
        <f>HYPERLINK("https://media.infra-m.ru/0937/0937469/cover/937469.jpg", "Обложка")</f>
        <v>Обложка</v>
      </c>
      <c r="V1108" s="24" t="str">
        <f>HYPERLINK("https://znanium.ru/catalog/product/2140566", "Ознакомиться")</f>
        <v>Ознакомиться</v>
      </c>
      <c r="W1108" s="8" t="s">
        <v>1293</v>
      </c>
      <c r="X1108" s="6"/>
      <c r="Y1108" s="6"/>
      <c r="Z1108" s="6"/>
      <c r="AA1108" s="6" t="s">
        <v>494</v>
      </c>
      <c r="AB1108" s="8"/>
    </row>
    <row r="1109" spans="1:28" s="4" customFormat="1" ht="51.95" customHeight="1">
      <c r="A1109" s="5">
        <v>0</v>
      </c>
      <c r="B1109" s="6" t="s">
        <v>7052</v>
      </c>
      <c r="C1109" s="7">
        <v>680</v>
      </c>
      <c r="D1109" s="8" t="s">
        <v>7053</v>
      </c>
      <c r="E1109" s="8" t="s">
        <v>7054</v>
      </c>
      <c r="F1109" s="8" t="s">
        <v>7055</v>
      </c>
      <c r="G1109" s="6" t="s">
        <v>38</v>
      </c>
      <c r="H1109" s="6" t="s">
        <v>53</v>
      </c>
      <c r="I1109" s="8" t="s">
        <v>90</v>
      </c>
      <c r="J1109" s="9">
        <v>1</v>
      </c>
      <c r="K1109" s="9">
        <v>142</v>
      </c>
      <c r="L1109" s="9">
        <v>2023</v>
      </c>
      <c r="M1109" s="8" t="s">
        <v>7056</v>
      </c>
      <c r="N1109" s="8" t="s">
        <v>413</v>
      </c>
      <c r="O1109" s="8" t="s">
        <v>414</v>
      </c>
      <c r="P1109" s="6" t="s">
        <v>43</v>
      </c>
      <c r="Q1109" s="8" t="s">
        <v>44</v>
      </c>
      <c r="R1109" s="10" t="s">
        <v>7057</v>
      </c>
      <c r="S1109" s="11" t="s">
        <v>7058</v>
      </c>
      <c r="T1109" s="6"/>
      <c r="U1109" s="24" t="str">
        <f>HYPERLINK("https://media.infra-m.ru/2126/2126634/cover/2126634.jpg", "Обложка")</f>
        <v>Обложка</v>
      </c>
      <c r="V1109" s="24" t="str">
        <f>HYPERLINK("https://znanium.ru/catalog/product/2126634", "Ознакомиться")</f>
        <v>Ознакомиться</v>
      </c>
      <c r="W1109" s="8" t="s">
        <v>450</v>
      </c>
      <c r="X1109" s="6"/>
      <c r="Y1109" s="6"/>
      <c r="Z1109" s="6"/>
      <c r="AA1109" s="6" t="s">
        <v>418</v>
      </c>
      <c r="AB1109" s="8"/>
    </row>
    <row r="1110" spans="1:28" s="4" customFormat="1" ht="51.95" customHeight="1">
      <c r="A1110" s="5">
        <v>0</v>
      </c>
      <c r="B1110" s="6" t="s">
        <v>7059</v>
      </c>
      <c r="C1110" s="7">
        <v>734</v>
      </c>
      <c r="D1110" s="8" t="s">
        <v>7060</v>
      </c>
      <c r="E1110" s="8" t="s">
        <v>7054</v>
      </c>
      <c r="F1110" s="8" t="s">
        <v>7055</v>
      </c>
      <c r="G1110" s="6" t="s">
        <v>52</v>
      </c>
      <c r="H1110" s="6" t="s">
        <v>53</v>
      </c>
      <c r="I1110" s="8" t="s">
        <v>100</v>
      </c>
      <c r="J1110" s="9">
        <v>1</v>
      </c>
      <c r="K1110" s="9">
        <v>142</v>
      </c>
      <c r="L1110" s="9">
        <v>2025</v>
      </c>
      <c r="M1110" s="8" t="s">
        <v>7061</v>
      </c>
      <c r="N1110" s="8" t="s">
        <v>413</v>
      </c>
      <c r="O1110" s="8" t="s">
        <v>414</v>
      </c>
      <c r="P1110" s="6" t="s">
        <v>43</v>
      </c>
      <c r="Q1110" s="8" t="s">
        <v>102</v>
      </c>
      <c r="R1110" s="10" t="s">
        <v>7062</v>
      </c>
      <c r="S1110" s="11" t="s">
        <v>7063</v>
      </c>
      <c r="T1110" s="6"/>
      <c r="U1110" s="24" t="str">
        <f>HYPERLINK("https://media.infra-m.ru/2197/2197821/cover/2197821.jpg", "Обложка")</f>
        <v>Обложка</v>
      </c>
      <c r="V1110" s="24" t="str">
        <f>HYPERLINK("https://znanium.ru/catalog/product/1898986", "Ознакомиться")</f>
        <v>Ознакомиться</v>
      </c>
      <c r="W1110" s="8" t="s">
        <v>450</v>
      </c>
      <c r="X1110" s="6"/>
      <c r="Y1110" s="6"/>
      <c r="Z1110" s="6" t="s">
        <v>104</v>
      </c>
      <c r="AA1110" s="6" t="s">
        <v>219</v>
      </c>
      <c r="AB1110" s="8"/>
    </row>
    <row r="1111" spans="1:28" s="4" customFormat="1" ht="51.95" customHeight="1">
      <c r="A1111" s="5">
        <v>0</v>
      </c>
      <c r="B1111" s="6" t="s">
        <v>7064</v>
      </c>
      <c r="C1111" s="13">
        <v>1160</v>
      </c>
      <c r="D1111" s="8" t="s">
        <v>7065</v>
      </c>
      <c r="E1111" s="8" t="s">
        <v>7066</v>
      </c>
      <c r="F1111" s="8" t="s">
        <v>7067</v>
      </c>
      <c r="G1111" s="6" t="s">
        <v>89</v>
      </c>
      <c r="H1111" s="6" t="s">
        <v>53</v>
      </c>
      <c r="I1111" s="8" t="s">
        <v>100</v>
      </c>
      <c r="J1111" s="9">
        <v>1</v>
      </c>
      <c r="K1111" s="9">
        <v>252</v>
      </c>
      <c r="L1111" s="9">
        <v>2024</v>
      </c>
      <c r="M1111" s="8" t="s">
        <v>7068</v>
      </c>
      <c r="N1111" s="8" t="s">
        <v>79</v>
      </c>
      <c r="O1111" s="8" t="s">
        <v>684</v>
      </c>
      <c r="P1111" s="6" t="s">
        <v>167</v>
      </c>
      <c r="Q1111" s="8" t="s">
        <v>102</v>
      </c>
      <c r="R1111" s="10" t="s">
        <v>7069</v>
      </c>
      <c r="S1111" s="11" t="s">
        <v>7070</v>
      </c>
      <c r="T1111" s="6" t="s">
        <v>299</v>
      </c>
      <c r="U1111" s="24" t="str">
        <f>HYPERLINK("https://media.infra-m.ru/2126/2126824/cover/2126824.jpg", "Обложка")</f>
        <v>Обложка</v>
      </c>
      <c r="V1111" s="24" t="str">
        <f>HYPERLINK("https://znanium.ru/catalog/product/2126824", "Ознакомиться")</f>
        <v>Ознакомиться</v>
      </c>
      <c r="W1111" s="8" t="s">
        <v>637</v>
      </c>
      <c r="X1111" s="6"/>
      <c r="Y1111" s="6"/>
      <c r="Z1111" s="6"/>
      <c r="AA1111" s="6" t="s">
        <v>418</v>
      </c>
      <c r="AB1111" s="8"/>
    </row>
    <row r="1112" spans="1:28" s="4" customFormat="1" ht="51.95" customHeight="1">
      <c r="A1112" s="5">
        <v>0</v>
      </c>
      <c r="B1112" s="6" t="s">
        <v>7071</v>
      </c>
      <c r="C1112" s="7">
        <v>804.9</v>
      </c>
      <c r="D1112" s="8" t="s">
        <v>7072</v>
      </c>
      <c r="E1112" s="8" t="s">
        <v>7073</v>
      </c>
      <c r="F1112" s="8" t="s">
        <v>7074</v>
      </c>
      <c r="G1112" s="6" t="s">
        <v>52</v>
      </c>
      <c r="H1112" s="6" t="s">
        <v>53</v>
      </c>
      <c r="I1112" s="8" t="s">
        <v>7075</v>
      </c>
      <c r="J1112" s="9">
        <v>1</v>
      </c>
      <c r="K1112" s="9">
        <v>178</v>
      </c>
      <c r="L1112" s="9">
        <v>2023</v>
      </c>
      <c r="M1112" s="8" t="s">
        <v>7076</v>
      </c>
      <c r="N1112" s="8" t="s">
        <v>41</v>
      </c>
      <c r="O1112" s="8" t="s">
        <v>676</v>
      </c>
      <c r="P1112" s="6" t="s">
        <v>6614</v>
      </c>
      <c r="Q1112" s="8" t="s">
        <v>58</v>
      </c>
      <c r="R1112" s="10" t="s">
        <v>5025</v>
      </c>
      <c r="S1112" s="11"/>
      <c r="T1112" s="6" t="s">
        <v>299</v>
      </c>
      <c r="U1112" s="24" t="str">
        <f>HYPERLINK("https://media.infra-m.ru/1910/1910536/cover/1910536.jpg", "Обложка")</f>
        <v>Обложка</v>
      </c>
      <c r="V1112" s="24" t="str">
        <f>HYPERLINK("https://znanium.ru/catalog/product/1855487", "Ознакомиться")</f>
        <v>Ознакомиться</v>
      </c>
      <c r="W1112" s="8" t="s">
        <v>7077</v>
      </c>
      <c r="X1112" s="6"/>
      <c r="Y1112" s="6"/>
      <c r="Z1112" s="6"/>
      <c r="AA1112" s="6" t="s">
        <v>151</v>
      </c>
      <c r="AB1112" s="8"/>
    </row>
    <row r="1113" spans="1:28" s="4" customFormat="1" ht="51.95" customHeight="1">
      <c r="A1113" s="5">
        <v>0</v>
      </c>
      <c r="B1113" s="6" t="s">
        <v>7078</v>
      </c>
      <c r="C1113" s="13">
        <v>1840</v>
      </c>
      <c r="D1113" s="8" t="s">
        <v>7079</v>
      </c>
      <c r="E1113" s="8" t="s">
        <v>7080</v>
      </c>
      <c r="F1113" s="8" t="s">
        <v>7081</v>
      </c>
      <c r="G1113" s="6" t="s">
        <v>89</v>
      </c>
      <c r="H1113" s="6" t="s">
        <v>53</v>
      </c>
      <c r="I1113" s="8" t="s">
        <v>116</v>
      </c>
      <c r="J1113" s="9">
        <v>1</v>
      </c>
      <c r="K1113" s="9">
        <v>398</v>
      </c>
      <c r="L1113" s="9">
        <v>2024</v>
      </c>
      <c r="M1113" s="8" t="s">
        <v>7082</v>
      </c>
      <c r="N1113" s="8" t="s">
        <v>41</v>
      </c>
      <c r="O1113" s="8" t="s">
        <v>1204</v>
      </c>
      <c r="P1113" s="6" t="s">
        <v>43</v>
      </c>
      <c r="Q1113" s="8" t="s">
        <v>44</v>
      </c>
      <c r="R1113" s="10" t="s">
        <v>7083</v>
      </c>
      <c r="S1113" s="11" t="s">
        <v>7084</v>
      </c>
      <c r="T1113" s="6" t="s">
        <v>299</v>
      </c>
      <c r="U1113" s="24" t="str">
        <f>HYPERLINK("https://media.infra-m.ru/2122/2122487/cover/2122487.jpg", "Обложка")</f>
        <v>Обложка</v>
      </c>
      <c r="V1113" s="24" t="str">
        <f>HYPERLINK("https://znanium.ru/catalog/product/2122487", "Ознакомиться")</f>
        <v>Ознакомиться</v>
      </c>
      <c r="W1113" s="8" t="s">
        <v>5635</v>
      </c>
      <c r="X1113" s="6"/>
      <c r="Y1113" s="6"/>
      <c r="Z1113" s="6"/>
      <c r="AA1113" s="6" t="s">
        <v>151</v>
      </c>
      <c r="AB1113" s="8"/>
    </row>
    <row r="1114" spans="1:28" s="4" customFormat="1" ht="51.95" customHeight="1">
      <c r="A1114" s="5">
        <v>0</v>
      </c>
      <c r="B1114" s="6" t="s">
        <v>7085</v>
      </c>
      <c r="C1114" s="7">
        <v>834</v>
      </c>
      <c r="D1114" s="8" t="s">
        <v>7086</v>
      </c>
      <c r="E1114" s="8" t="s">
        <v>7087</v>
      </c>
      <c r="F1114" s="8" t="s">
        <v>7088</v>
      </c>
      <c r="G1114" s="6" t="s">
        <v>52</v>
      </c>
      <c r="H1114" s="6" t="s">
        <v>77</v>
      </c>
      <c r="I1114" s="8"/>
      <c r="J1114" s="9">
        <v>1</v>
      </c>
      <c r="K1114" s="9">
        <v>176</v>
      </c>
      <c r="L1114" s="9">
        <v>2024</v>
      </c>
      <c r="M1114" s="8" t="s">
        <v>7089</v>
      </c>
      <c r="N1114" s="8" t="s">
        <v>79</v>
      </c>
      <c r="O1114" s="8" t="s">
        <v>148</v>
      </c>
      <c r="P1114" s="6" t="s">
        <v>43</v>
      </c>
      <c r="Q1114" s="8" t="s">
        <v>44</v>
      </c>
      <c r="R1114" s="10" t="s">
        <v>7090</v>
      </c>
      <c r="S1114" s="11"/>
      <c r="T1114" s="6"/>
      <c r="U1114" s="24" t="str">
        <f>HYPERLINK("https://media.infra-m.ru/2125/2125185/cover/2125185.jpg", "Обложка")</f>
        <v>Обложка</v>
      </c>
      <c r="V1114" s="24" t="str">
        <f>HYPERLINK("https://znanium.ru/catalog/product/1042475", "Ознакомиться")</f>
        <v>Ознакомиться</v>
      </c>
      <c r="W1114" s="8" t="s">
        <v>7091</v>
      </c>
      <c r="X1114" s="6"/>
      <c r="Y1114" s="6"/>
      <c r="Z1114" s="6"/>
      <c r="AA1114" s="6" t="s">
        <v>47</v>
      </c>
      <c r="AB1114" s="8"/>
    </row>
    <row r="1115" spans="1:28" s="4" customFormat="1" ht="51.95" customHeight="1">
      <c r="A1115" s="5">
        <v>0</v>
      </c>
      <c r="B1115" s="6" t="s">
        <v>7092</v>
      </c>
      <c r="C1115" s="13">
        <v>2910</v>
      </c>
      <c r="D1115" s="8" t="s">
        <v>7093</v>
      </c>
      <c r="E1115" s="8" t="s">
        <v>7094</v>
      </c>
      <c r="F1115" s="8" t="s">
        <v>7095</v>
      </c>
      <c r="G1115" s="6" t="s">
        <v>52</v>
      </c>
      <c r="H1115" s="6" t="s">
        <v>53</v>
      </c>
      <c r="I1115" s="8" t="s">
        <v>100</v>
      </c>
      <c r="J1115" s="9">
        <v>1</v>
      </c>
      <c r="K1115" s="9">
        <v>641</v>
      </c>
      <c r="L1115" s="9">
        <v>2024</v>
      </c>
      <c r="M1115" s="8" t="s">
        <v>7096</v>
      </c>
      <c r="N1115" s="8" t="s">
        <v>79</v>
      </c>
      <c r="O1115" s="8" t="s">
        <v>174</v>
      </c>
      <c r="P1115" s="6" t="s">
        <v>167</v>
      </c>
      <c r="Q1115" s="8" t="s">
        <v>102</v>
      </c>
      <c r="R1115" s="10" t="s">
        <v>7097</v>
      </c>
      <c r="S1115" s="11" t="s">
        <v>7098</v>
      </c>
      <c r="T1115" s="6"/>
      <c r="U1115" s="24" t="str">
        <f>HYPERLINK("https://media.infra-m.ru/2170/2170974/cover/2170974.jpg", "Обложка")</f>
        <v>Обложка</v>
      </c>
      <c r="V1115" s="24" t="str">
        <f>HYPERLINK("https://znanium.ru/catalog/product/2170974", "Ознакомиться")</f>
        <v>Ознакомиться</v>
      </c>
      <c r="W1115" s="8" t="s">
        <v>7099</v>
      </c>
      <c r="X1115" s="6"/>
      <c r="Y1115" s="6"/>
      <c r="Z1115" s="6"/>
      <c r="AA1115" s="6" t="s">
        <v>219</v>
      </c>
      <c r="AB1115" s="8" t="s">
        <v>2344</v>
      </c>
    </row>
    <row r="1116" spans="1:28" s="4" customFormat="1" ht="51.95" customHeight="1">
      <c r="A1116" s="5">
        <v>0</v>
      </c>
      <c r="B1116" s="6" t="s">
        <v>7100</v>
      </c>
      <c r="C1116" s="13">
        <v>1164</v>
      </c>
      <c r="D1116" s="8" t="s">
        <v>7101</v>
      </c>
      <c r="E1116" s="8" t="s">
        <v>7102</v>
      </c>
      <c r="F1116" s="8" t="s">
        <v>7103</v>
      </c>
      <c r="G1116" s="6" t="s">
        <v>38</v>
      </c>
      <c r="H1116" s="6" t="s">
        <v>39</v>
      </c>
      <c r="I1116" s="8" t="s">
        <v>116</v>
      </c>
      <c r="J1116" s="9">
        <v>1</v>
      </c>
      <c r="K1116" s="9">
        <v>224</v>
      </c>
      <c r="L1116" s="9">
        <v>2025</v>
      </c>
      <c r="M1116" s="8" t="s">
        <v>7104</v>
      </c>
      <c r="N1116" s="8" t="s">
        <v>997</v>
      </c>
      <c r="O1116" s="8" t="s">
        <v>998</v>
      </c>
      <c r="P1116" s="6" t="s">
        <v>175</v>
      </c>
      <c r="Q1116" s="8" t="s">
        <v>44</v>
      </c>
      <c r="R1116" s="10" t="s">
        <v>7105</v>
      </c>
      <c r="S1116" s="11"/>
      <c r="T1116" s="6"/>
      <c r="U1116" s="24" t="str">
        <f>HYPERLINK("https://media.infra-m.ru/2194/2194451/cover/2194451.jpg", "Обложка")</f>
        <v>Обложка</v>
      </c>
      <c r="V1116" s="24" t="str">
        <f>HYPERLINK("https://znanium.ru/catalog/product/1838393", "Ознакомиться")</f>
        <v>Ознакомиться</v>
      </c>
      <c r="W1116" s="8" t="s">
        <v>2514</v>
      </c>
      <c r="X1116" s="6"/>
      <c r="Y1116" s="6"/>
      <c r="Z1116" s="6"/>
      <c r="AA1116" s="6" t="s">
        <v>111</v>
      </c>
      <c r="AB1116" s="8"/>
    </row>
    <row r="1117" spans="1:28" s="4" customFormat="1" ht="51.95" customHeight="1">
      <c r="A1117" s="5">
        <v>0</v>
      </c>
      <c r="B1117" s="6" t="s">
        <v>7106</v>
      </c>
      <c r="C1117" s="13">
        <v>1130</v>
      </c>
      <c r="D1117" s="8" t="s">
        <v>7107</v>
      </c>
      <c r="E1117" s="8" t="s">
        <v>7102</v>
      </c>
      <c r="F1117" s="8" t="s">
        <v>7103</v>
      </c>
      <c r="G1117" s="6" t="s">
        <v>89</v>
      </c>
      <c r="H1117" s="6" t="s">
        <v>39</v>
      </c>
      <c r="I1117" s="8" t="s">
        <v>100</v>
      </c>
      <c r="J1117" s="9">
        <v>1</v>
      </c>
      <c r="K1117" s="9">
        <v>224</v>
      </c>
      <c r="L1117" s="9">
        <v>2025</v>
      </c>
      <c r="M1117" s="8" t="s">
        <v>7108</v>
      </c>
      <c r="N1117" s="8" t="s">
        <v>997</v>
      </c>
      <c r="O1117" s="8" t="s">
        <v>998</v>
      </c>
      <c r="P1117" s="6" t="s">
        <v>175</v>
      </c>
      <c r="Q1117" s="8" t="s">
        <v>102</v>
      </c>
      <c r="R1117" s="10" t="s">
        <v>7109</v>
      </c>
      <c r="S1117" s="11" t="s">
        <v>7110</v>
      </c>
      <c r="T1117" s="6"/>
      <c r="U1117" s="24" t="str">
        <f>HYPERLINK("https://media.infra-m.ru/2186/2186262/cover/2186262.jpg", "Обложка")</f>
        <v>Обложка</v>
      </c>
      <c r="V1117" s="24" t="str">
        <f>HYPERLINK("https://znanium.ru/catalog/product/1865715", "Ознакомиться")</f>
        <v>Ознакомиться</v>
      </c>
      <c r="W1117" s="8" t="s">
        <v>2514</v>
      </c>
      <c r="X1117" s="6"/>
      <c r="Y1117" s="6"/>
      <c r="Z1117" s="6" t="s">
        <v>104</v>
      </c>
      <c r="AA1117" s="6" t="s">
        <v>258</v>
      </c>
      <c r="AB1117" s="8"/>
    </row>
    <row r="1118" spans="1:28" s="4" customFormat="1" ht="51.95" customHeight="1">
      <c r="A1118" s="5">
        <v>0</v>
      </c>
      <c r="B1118" s="6" t="s">
        <v>7111</v>
      </c>
      <c r="C1118" s="13">
        <v>1474.4</v>
      </c>
      <c r="D1118" s="8" t="s">
        <v>7112</v>
      </c>
      <c r="E1118" s="8" t="s">
        <v>7113</v>
      </c>
      <c r="F1118" s="8" t="s">
        <v>7114</v>
      </c>
      <c r="G1118" s="6" t="s">
        <v>89</v>
      </c>
      <c r="H1118" s="6" t="s">
        <v>184</v>
      </c>
      <c r="I1118" s="8"/>
      <c r="J1118" s="9">
        <v>1</v>
      </c>
      <c r="K1118" s="9">
        <v>387</v>
      </c>
      <c r="L1118" s="9">
        <v>2021</v>
      </c>
      <c r="M1118" s="8" t="s">
        <v>7115</v>
      </c>
      <c r="N1118" s="8" t="s">
        <v>41</v>
      </c>
      <c r="O1118" s="8" t="s">
        <v>676</v>
      </c>
      <c r="P1118" s="6" t="s">
        <v>167</v>
      </c>
      <c r="Q1118" s="8" t="s">
        <v>44</v>
      </c>
      <c r="R1118" s="10" t="s">
        <v>7116</v>
      </c>
      <c r="S1118" s="11"/>
      <c r="T1118" s="6"/>
      <c r="U1118" s="24" t="str">
        <f>HYPERLINK("https://media.infra-m.ru/1855/1855856/cover/1855856.jpg", "Обложка")</f>
        <v>Обложка</v>
      </c>
      <c r="V1118" s="24" t="str">
        <f>HYPERLINK("https://znanium.ru/catalog/product/1932337", "Ознакомиться")</f>
        <v>Ознакомиться</v>
      </c>
      <c r="W1118" s="8" t="s">
        <v>4830</v>
      </c>
      <c r="X1118" s="6"/>
      <c r="Y1118" s="6"/>
      <c r="Z1118" s="6"/>
      <c r="AA1118" s="6" t="s">
        <v>707</v>
      </c>
      <c r="AB1118" s="8"/>
    </row>
    <row r="1119" spans="1:28" s="4" customFormat="1" ht="51.95" customHeight="1">
      <c r="A1119" s="5">
        <v>0</v>
      </c>
      <c r="B1119" s="6" t="s">
        <v>7117</v>
      </c>
      <c r="C1119" s="13">
        <v>1750</v>
      </c>
      <c r="D1119" s="8" t="s">
        <v>7118</v>
      </c>
      <c r="E1119" s="8" t="s">
        <v>7119</v>
      </c>
      <c r="F1119" s="8" t="s">
        <v>7114</v>
      </c>
      <c r="G1119" s="6" t="s">
        <v>89</v>
      </c>
      <c r="H1119" s="6" t="s">
        <v>184</v>
      </c>
      <c r="I1119" s="8"/>
      <c r="J1119" s="9">
        <v>1</v>
      </c>
      <c r="K1119" s="9">
        <v>388</v>
      </c>
      <c r="L1119" s="9">
        <v>2023</v>
      </c>
      <c r="M1119" s="8" t="s">
        <v>7120</v>
      </c>
      <c r="N1119" s="8" t="s">
        <v>41</v>
      </c>
      <c r="O1119" s="8" t="s">
        <v>676</v>
      </c>
      <c r="P1119" s="6" t="s">
        <v>167</v>
      </c>
      <c r="Q1119" s="8" t="s">
        <v>44</v>
      </c>
      <c r="R1119" s="10" t="s">
        <v>7116</v>
      </c>
      <c r="S1119" s="11"/>
      <c r="T1119" s="6"/>
      <c r="U1119" s="24" t="str">
        <f>HYPERLINK("https://media.infra-m.ru/1932/1932337/cover/1932337.jpg", "Обложка")</f>
        <v>Обложка</v>
      </c>
      <c r="V1119" s="24" t="str">
        <f>HYPERLINK("https://znanium.ru/catalog/product/1932337", "Ознакомиться")</f>
        <v>Ознакомиться</v>
      </c>
      <c r="W1119" s="8" t="s">
        <v>4830</v>
      </c>
      <c r="X1119" s="6"/>
      <c r="Y1119" s="6"/>
      <c r="Z1119" s="6"/>
      <c r="AA1119" s="6" t="s">
        <v>2501</v>
      </c>
      <c r="AB1119" s="8"/>
    </row>
    <row r="1120" spans="1:28" s="4" customFormat="1" ht="51.95" customHeight="1">
      <c r="A1120" s="5">
        <v>0</v>
      </c>
      <c r="B1120" s="6" t="s">
        <v>7121</v>
      </c>
      <c r="C1120" s="13">
        <v>1980</v>
      </c>
      <c r="D1120" s="8" t="s">
        <v>7122</v>
      </c>
      <c r="E1120" s="8" t="s">
        <v>7123</v>
      </c>
      <c r="F1120" s="8" t="s">
        <v>7114</v>
      </c>
      <c r="G1120" s="6" t="s">
        <v>89</v>
      </c>
      <c r="H1120" s="6" t="s">
        <v>184</v>
      </c>
      <c r="I1120" s="8" t="s">
        <v>116</v>
      </c>
      <c r="J1120" s="9">
        <v>1</v>
      </c>
      <c r="K1120" s="9">
        <v>395</v>
      </c>
      <c r="L1120" s="9">
        <v>2024</v>
      </c>
      <c r="M1120" s="8" t="s">
        <v>7124</v>
      </c>
      <c r="N1120" s="8" t="s">
        <v>41</v>
      </c>
      <c r="O1120" s="8" t="s">
        <v>676</v>
      </c>
      <c r="P1120" s="6" t="s">
        <v>167</v>
      </c>
      <c r="Q1120" s="8" t="s">
        <v>44</v>
      </c>
      <c r="R1120" s="10" t="s">
        <v>7116</v>
      </c>
      <c r="S1120" s="11"/>
      <c r="T1120" s="6"/>
      <c r="U1120" s="24" t="str">
        <f>HYPERLINK("https://media.infra-m.ru/2083/2083154/cover/2083154.jpg", "Обложка")</f>
        <v>Обложка</v>
      </c>
      <c r="V1120" s="24" t="str">
        <f>HYPERLINK("https://znanium.ru/catalog/product/1932337", "Ознакомиться")</f>
        <v>Ознакомиться</v>
      </c>
      <c r="W1120" s="8" t="s">
        <v>4830</v>
      </c>
      <c r="X1120" s="6"/>
      <c r="Y1120" s="6"/>
      <c r="Z1120" s="6"/>
      <c r="AA1120" s="6" t="s">
        <v>7125</v>
      </c>
      <c r="AB1120" s="8"/>
    </row>
    <row r="1121" spans="1:28" s="4" customFormat="1" ht="51.95" customHeight="1">
      <c r="A1121" s="5">
        <v>0</v>
      </c>
      <c r="B1121" s="6" t="s">
        <v>7126</v>
      </c>
      <c r="C1121" s="7">
        <v>674.9</v>
      </c>
      <c r="D1121" s="8" t="s">
        <v>7127</v>
      </c>
      <c r="E1121" s="8" t="s">
        <v>7128</v>
      </c>
      <c r="F1121" s="8" t="s">
        <v>7129</v>
      </c>
      <c r="G1121" s="6" t="s">
        <v>4902</v>
      </c>
      <c r="H1121" s="6" t="s">
        <v>184</v>
      </c>
      <c r="I1121" s="8" t="s">
        <v>90</v>
      </c>
      <c r="J1121" s="9">
        <v>10</v>
      </c>
      <c r="K1121" s="9">
        <v>443</v>
      </c>
      <c r="L1121" s="9">
        <v>2015</v>
      </c>
      <c r="M1121" s="8" t="s">
        <v>7130</v>
      </c>
      <c r="N1121" s="8" t="s">
        <v>41</v>
      </c>
      <c r="O1121" s="8" t="s">
        <v>676</v>
      </c>
      <c r="P1121" s="6" t="s">
        <v>167</v>
      </c>
      <c r="Q1121" s="8" t="s">
        <v>44</v>
      </c>
      <c r="R1121" s="10" t="s">
        <v>7116</v>
      </c>
      <c r="S1121" s="11" t="s">
        <v>7131</v>
      </c>
      <c r="T1121" s="6"/>
      <c r="U1121" s="24" t="str">
        <f>HYPERLINK("https://media.infra-m.ru/0502/0502204/cover/502204.jpg", "Обложка")</f>
        <v>Обложка</v>
      </c>
      <c r="V1121" s="24" t="str">
        <f>HYPERLINK("https://znanium.ru/catalog/product/1932337", "Ознакомиться")</f>
        <v>Ознакомиться</v>
      </c>
      <c r="W1121" s="8" t="s">
        <v>4830</v>
      </c>
      <c r="X1121" s="6"/>
      <c r="Y1121" s="6"/>
      <c r="Z1121" s="6"/>
      <c r="AA1121" s="6" t="s">
        <v>377</v>
      </c>
      <c r="AB1121" s="8"/>
    </row>
    <row r="1122" spans="1:28" s="4" customFormat="1" ht="51.95" customHeight="1">
      <c r="A1122" s="5">
        <v>0</v>
      </c>
      <c r="B1122" s="6" t="s">
        <v>7132</v>
      </c>
      <c r="C1122" s="13">
        <v>2700</v>
      </c>
      <c r="D1122" s="8" t="s">
        <v>7133</v>
      </c>
      <c r="E1122" s="8" t="s">
        <v>7123</v>
      </c>
      <c r="F1122" s="8" t="s">
        <v>7134</v>
      </c>
      <c r="G1122" s="6" t="s">
        <v>52</v>
      </c>
      <c r="H1122" s="6" t="s">
        <v>674</v>
      </c>
      <c r="I1122" s="8" t="s">
        <v>7135</v>
      </c>
      <c r="J1122" s="9">
        <v>1</v>
      </c>
      <c r="K1122" s="9">
        <v>560</v>
      </c>
      <c r="L1122" s="9">
        <v>2025</v>
      </c>
      <c r="M1122" s="8" t="s">
        <v>7136</v>
      </c>
      <c r="N1122" s="8" t="s">
        <v>41</v>
      </c>
      <c r="O1122" s="8" t="s">
        <v>676</v>
      </c>
      <c r="P1122" s="6" t="s">
        <v>167</v>
      </c>
      <c r="Q1122" s="8" t="s">
        <v>44</v>
      </c>
      <c r="R1122" s="10" t="s">
        <v>7137</v>
      </c>
      <c r="S1122" s="11" t="s">
        <v>7138</v>
      </c>
      <c r="T1122" s="6"/>
      <c r="U1122" s="24" t="str">
        <f>HYPERLINK("https://media.infra-m.ru/2175/2175023/cover/2175023.jpg", "Обложка")</f>
        <v>Обложка</v>
      </c>
      <c r="V1122" s="24" t="str">
        <f>HYPERLINK("https://znanium.ru/catalog/product/2129517", "Ознакомиться")</f>
        <v>Ознакомиться</v>
      </c>
      <c r="W1122" s="8" t="s">
        <v>7139</v>
      </c>
      <c r="X1122" s="6"/>
      <c r="Y1122" s="6"/>
      <c r="Z1122" s="6"/>
      <c r="AA1122" s="6" t="s">
        <v>3501</v>
      </c>
      <c r="AB1122" s="8"/>
    </row>
    <row r="1123" spans="1:28" s="4" customFormat="1" ht="51.95" customHeight="1">
      <c r="A1123" s="5">
        <v>0</v>
      </c>
      <c r="B1123" s="6" t="s">
        <v>7140</v>
      </c>
      <c r="C1123" s="13">
        <v>2330</v>
      </c>
      <c r="D1123" s="8" t="s">
        <v>7141</v>
      </c>
      <c r="E1123" s="8" t="s">
        <v>7142</v>
      </c>
      <c r="F1123" s="8" t="s">
        <v>7143</v>
      </c>
      <c r="G1123" s="6" t="s">
        <v>52</v>
      </c>
      <c r="H1123" s="6" t="s">
        <v>53</v>
      </c>
      <c r="I1123" s="8" t="s">
        <v>7144</v>
      </c>
      <c r="J1123" s="9">
        <v>1</v>
      </c>
      <c r="K1123" s="9">
        <v>448</v>
      </c>
      <c r="L1123" s="9">
        <v>2025</v>
      </c>
      <c r="M1123" s="8" t="s">
        <v>7145</v>
      </c>
      <c r="N1123" s="8" t="s">
        <v>41</v>
      </c>
      <c r="O1123" s="8" t="s">
        <v>676</v>
      </c>
      <c r="P1123" s="6" t="s">
        <v>167</v>
      </c>
      <c r="Q1123" s="8" t="s">
        <v>58</v>
      </c>
      <c r="R1123" s="10" t="s">
        <v>7146</v>
      </c>
      <c r="S1123" s="11"/>
      <c r="T1123" s="6"/>
      <c r="U1123" s="24" t="str">
        <f>HYPERLINK("https://media.infra-m.ru/2198/2198681/cover/2198681.jpg", "Обложка")</f>
        <v>Обложка</v>
      </c>
      <c r="V1123" s="24" t="str">
        <f>HYPERLINK("https://znanium.ru/catalog/product/2134596", "Ознакомиться")</f>
        <v>Ознакомиться</v>
      </c>
      <c r="W1123" s="8" t="s">
        <v>2114</v>
      </c>
      <c r="X1123" s="6"/>
      <c r="Y1123" s="6"/>
      <c r="Z1123" s="6"/>
      <c r="AA1123" s="6" t="s">
        <v>61</v>
      </c>
      <c r="AB1123" s="8"/>
    </row>
    <row r="1124" spans="1:28" s="4" customFormat="1" ht="51.95" customHeight="1">
      <c r="A1124" s="5">
        <v>0</v>
      </c>
      <c r="B1124" s="6" t="s">
        <v>7147</v>
      </c>
      <c r="C1124" s="13">
        <v>1020</v>
      </c>
      <c r="D1124" s="8" t="s">
        <v>7148</v>
      </c>
      <c r="E1124" s="8" t="s">
        <v>7149</v>
      </c>
      <c r="F1124" s="8" t="s">
        <v>7150</v>
      </c>
      <c r="G1124" s="6" t="s">
        <v>89</v>
      </c>
      <c r="H1124" s="6" t="s">
        <v>53</v>
      </c>
      <c r="I1124" s="8" t="s">
        <v>100</v>
      </c>
      <c r="J1124" s="9">
        <v>1</v>
      </c>
      <c r="K1124" s="9">
        <v>194</v>
      </c>
      <c r="L1124" s="9">
        <v>2025</v>
      </c>
      <c r="M1124" s="8" t="s">
        <v>7151</v>
      </c>
      <c r="N1124" s="8" t="s">
        <v>41</v>
      </c>
      <c r="O1124" s="8" t="s">
        <v>676</v>
      </c>
      <c r="P1124" s="6" t="s">
        <v>43</v>
      </c>
      <c r="Q1124" s="8" t="s">
        <v>102</v>
      </c>
      <c r="R1124" s="10" t="s">
        <v>5775</v>
      </c>
      <c r="S1124" s="11" t="s">
        <v>7152</v>
      </c>
      <c r="T1124" s="6"/>
      <c r="U1124" s="24" t="str">
        <f>HYPERLINK("https://media.infra-m.ru/2192/2192592/cover/2192592.jpg", "Обложка")</f>
        <v>Обложка</v>
      </c>
      <c r="V1124" s="24" t="str">
        <f>HYPERLINK("https://znanium.ru/catalog/product/2192592", "Ознакомиться")</f>
        <v>Ознакомиться</v>
      </c>
      <c r="W1124" s="8" t="s">
        <v>1689</v>
      </c>
      <c r="X1124" s="6"/>
      <c r="Y1124" s="6"/>
      <c r="Z1124" s="6"/>
      <c r="AA1124" s="6" t="s">
        <v>235</v>
      </c>
      <c r="AB1124" s="8"/>
    </row>
    <row r="1125" spans="1:28" s="4" customFormat="1" ht="51.95" customHeight="1">
      <c r="A1125" s="5">
        <v>0</v>
      </c>
      <c r="B1125" s="6" t="s">
        <v>7153</v>
      </c>
      <c r="C1125" s="13">
        <v>1960</v>
      </c>
      <c r="D1125" s="8" t="s">
        <v>7154</v>
      </c>
      <c r="E1125" s="8" t="s">
        <v>7155</v>
      </c>
      <c r="F1125" s="8" t="s">
        <v>7156</v>
      </c>
      <c r="G1125" s="6" t="s">
        <v>52</v>
      </c>
      <c r="H1125" s="6" t="s">
        <v>53</v>
      </c>
      <c r="I1125" s="8" t="s">
        <v>100</v>
      </c>
      <c r="J1125" s="9">
        <v>1</v>
      </c>
      <c r="K1125" s="9">
        <v>424</v>
      </c>
      <c r="L1125" s="9">
        <v>2024</v>
      </c>
      <c r="M1125" s="8" t="s">
        <v>7157</v>
      </c>
      <c r="N1125" s="8" t="s">
        <v>79</v>
      </c>
      <c r="O1125" s="8" t="s">
        <v>684</v>
      </c>
      <c r="P1125" s="6" t="s">
        <v>43</v>
      </c>
      <c r="Q1125" s="8" t="s">
        <v>102</v>
      </c>
      <c r="R1125" s="10" t="s">
        <v>7158</v>
      </c>
      <c r="S1125" s="11" t="s">
        <v>7159</v>
      </c>
      <c r="T1125" s="6"/>
      <c r="U1125" s="24" t="str">
        <f>HYPERLINK("https://media.infra-m.ru/2106/2106267/cover/2106267.jpg", "Обложка")</f>
        <v>Обложка</v>
      </c>
      <c r="V1125" s="24" t="str">
        <f>HYPERLINK("https://znanium.ru/catalog/product/2106267", "Ознакомиться")</f>
        <v>Ознакомиться</v>
      </c>
      <c r="W1125" s="8" t="s">
        <v>637</v>
      </c>
      <c r="X1125" s="6"/>
      <c r="Y1125" s="6"/>
      <c r="Z1125" s="6" t="s">
        <v>104</v>
      </c>
      <c r="AA1125" s="6" t="s">
        <v>151</v>
      </c>
      <c r="AB1125" s="8" t="s">
        <v>906</v>
      </c>
    </row>
    <row r="1126" spans="1:28" s="4" customFormat="1" ht="51.95" customHeight="1">
      <c r="A1126" s="5">
        <v>0</v>
      </c>
      <c r="B1126" s="6" t="s">
        <v>7160</v>
      </c>
      <c r="C1126" s="13">
        <v>1954</v>
      </c>
      <c r="D1126" s="8" t="s">
        <v>7161</v>
      </c>
      <c r="E1126" s="8" t="s">
        <v>7162</v>
      </c>
      <c r="F1126" s="8" t="s">
        <v>7163</v>
      </c>
      <c r="G1126" s="6" t="s">
        <v>52</v>
      </c>
      <c r="H1126" s="6" t="s">
        <v>53</v>
      </c>
      <c r="I1126" s="8" t="s">
        <v>90</v>
      </c>
      <c r="J1126" s="9">
        <v>1</v>
      </c>
      <c r="K1126" s="9">
        <v>424</v>
      </c>
      <c r="L1126" s="9">
        <v>2024</v>
      </c>
      <c r="M1126" s="8" t="s">
        <v>7164</v>
      </c>
      <c r="N1126" s="8" t="s">
        <v>79</v>
      </c>
      <c r="O1126" s="8" t="s">
        <v>684</v>
      </c>
      <c r="P1126" s="6" t="s">
        <v>43</v>
      </c>
      <c r="Q1126" s="8" t="s">
        <v>44</v>
      </c>
      <c r="R1126" s="10" t="s">
        <v>7165</v>
      </c>
      <c r="S1126" s="11" t="s">
        <v>7166</v>
      </c>
      <c r="T1126" s="6"/>
      <c r="U1126" s="24" t="str">
        <f>HYPERLINK("https://media.infra-m.ru/2102/2102173/cover/2102173.jpg", "Обложка")</f>
        <v>Обложка</v>
      </c>
      <c r="V1126" s="24" t="str">
        <f>HYPERLINK("https://znanium.ru/catalog/product/956683", "Ознакомиться")</f>
        <v>Ознакомиться</v>
      </c>
      <c r="W1126" s="8" t="s">
        <v>637</v>
      </c>
      <c r="X1126" s="6"/>
      <c r="Y1126" s="6"/>
      <c r="Z1126" s="6"/>
      <c r="AA1126" s="6" t="s">
        <v>47</v>
      </c>
      <c r="AB1126" s="8"/>
    </row>
    <row r="1127" spans="1:28" s="4" customFormat="1" ht="51.95" customHeight="1">
      <c r="A1127" s="5">
        <v>0</v>
      </c>
      <c r="B1127" s="6" t="s">
        <v>7167</v>
      </c>
      <c r="C1127" s="13">
        <v>2990</v>
      </c>
      <c r="D1127" s="8" t="s">
        <v>7168</v>
      </c>
      <c r="E1127" s="8" t="s">
        <v>7169</v>
      </c>
      <c r="F1127" s="8" t="s">
        <v>7170</v>
      </c>
      <c r="G1127" s="6" t="s">
        <v>52</v>
      </c>
      <c r="H1127" s="6" t="s">
        <v>53</v>
      </c>
      <c r="I1127" s="8" t="s">
        <v>116</v>
      </c>
      <c r="J1127" s="9">
        <v>1</v>
      </c>
      <c r="K1127" s="9">
        <v>608</v>
      </c>
      <c r="L1127" s="9">
        <v>2025</v>
      </c>
      <c r="M1127" s="8" t="s">
        <v>7171</v>
      </c>
      <c r="N1127" s="8" t="s">
        <v>79</v>
      </c>
      <c r="O1127" s="8" t="s">
        <v>684</v>
      </c>
      <c r="P1127" s="6" t="s">
        <v>167</v>
      </c>
      <c r="Q1127" s="8" t="s">
        <v>44</v>
      </c>
      <c r="R1127" s="10" t="s">
        <v>7172</v>
      </c>
      <c r="S1127" s="11" t="s">
        <v>7173</v>
      </c>
      <c r="T1127" s="6"/>
      <c r="U1127" s="24" t="str">
        <f>HYPERLINK("https://media.infra-m.ru/2167/2167252/cover/2167252.jpg", "Обложка")</f>
        <v>Обложка</v>
      </c>
      <c r="V1127" s="24" t="str">
        <f>HYPERLINK("https://znanium.ru/catalog/product/2167252", "Ознакомиться")</f>
        <v>Ознакомиться</v>
      </c>
      <c r="W1127" s="8" t="s">
        <v>637</v>
      </c>
      <c r="X1127" s="6"/>
      <c r="Y1127" s="6"/>
      <c r="Z1127" s="6"/>
      <c r="AA1127" s="6" t="s">
        <v>47</v>
      </c>
      <c r="AB1127" s="8"/>
    </row>
    <row r="1128" spans="1:28" s="4" customFormat="1" ht="51.95" customHeight="1">
      <c r="A1128" s="5">
        <v>0</v>
      </c>
      <c r="B1128" s="6" t="s">
        <v>7174</v>
      </c>
      <c r="C1128" s="13">
        <v>1234</v>
      </c>
      <c r="D1128" s="8" t="s">
        <v>7175</v>
      </c>
      <c r="E1128" s="8" t="s">
        <v>7169</v>
      </c>
      <c r="F1128" s="8" t="s">
        <v>7067</v>
      </c>
      <c r="G1128" s="6" t="s">
        <v>89</v>
      </c>
      <c r="H1128" s="6" t="s">
        <v>53</v>
      </c>
      <c r="I1128" s="8" t="s">
        <v>100</v>
      </c>
      <c r="J1128" s="9">
        <v>1</v>
      </c>
      <c r="K1128" s="9">
        <v>237</v>
      </c>
      <c r="L1128" s="9">
        <v>2025</v>
      </c>
      <c r="M1128" s="8" t="s">
        <v>7176</v>
      </c>
      <c r="N1128" s="8" t="s">
        <v>79</v>
      </c>
      <c r="O1128" s="8" t="s">
        <v>684</v>
      </c>
      <c r="P1128" s="6" t="s">
        <v>43</v>
      </c>
      <c r="Q1128" s="8" t="s">
        <v>102</v>
      </c>
      <c r="R1128" s="10" t="s">
        <v>727</v>
      </c>
      <c r="S1128" s="11" t="s">
        <v>728</v>
      </c>
      <c r="T1128" s="6" t="s">
        <v>299</v>
      </c>
      <c r="U1128" s="24" t="str">
        <f>HYPERLINK("https://media.infra-m.ru/2163/2163192/cover/2163192.jpg", "Обложка")</f>
        <v>Обложка</v>
      </c>
      <c r="V1128" s="24" t="str">
        <f>HYPERLINK("https://znanium.ru/catalog/product/2103174", "Ознакомиться")</f>
        <v>Ознакомиться</v>
      </c>
      <c r="W1128" s="8" t="s">
        <v>637</v>
      </c>
      <c r="X1128" s="6"/>
      <c r="Y1128" s="6"/>
      <c r="Z1128" s="6" t="s">
        <v>502</v>
      </c>
      <c r="AA1128" s="6" t="s">
        <v>258</v>
      </c>
      <c r="AB1128" s="8" t="s">
        <v>271</v>
      </c>
    </row>
    <row r="1129" spans="1:28" s="4" customFormat="1" ht="51.95" customHeight="1">
      <c r="A1129" s="5">
        <v>0</v>
      </c>
      <c r="B1129" s="6" t="s">
        <v>7177</v>
      </c>
      <c r="C1129" s="13">
        <v>1090</v>
      </c>
      <c r="D1129" s="8" t="s">
        <v>7178</v>
      </c>
      <c r="E1129" s="8" t="s">
        <v>7169</v>
      </c>
      <c r="F1129" s="8" t="s">
        <v>7067</v>
      </c>
      <c r="G1129" s="6" t="s">
        <v>89</v>
      </c>
      <c r="H1129" s="6" t="s">
        <v>53</v>
      </c>
      <c r="I1129" s="8" t="s">
        <v>116</v>
      </c>
      <c r="J1129" s="9">
        <v>1</v>
      </c>
      <c r="K1129" s="9">
        <v>237</v>
      </c>
      <c r="L1129" s="9">
        <v>2024</v>
      </c>
      <c r="M1129" s="8" t="s">
        <v>7179</v>
      </c>
      <c r="N1129" s="8" t="s">
        <v>79</v>
      </c>
      <c r="O1129" s="8" t="s">
        <v>684</v>
      </c>
      <c r="P1129" s="6" t="s">
        <v>43</v>
      </c>
      <c r="Q1129" s="8" t="s">
        <v>58</v>
      </c>
      <c r="R1129" s="10" t="s">
        <v>4062</v>
      </c>
      <c r="S1129" s="11" t="s">
        <v>7180</v>
      </c>
      <c r="T1129" s="6" t="s">
        <v>299</v>
      </c>
      <c r="U1129" s="24" t="str">
        <f>HYPERLINK("https://media.infra-m.ru/2019/2019768/cover/2019768.jpg", "Обложка")</f>
        <v>Обложка</v>
      </c>
      <c r="V1129" s="24" t="str">
        <f>HYPERLINK("https://znanium.ru/catalog/product/2019768", "Ознакомиться")</f>
        <v>Ознакомиться</v>
      </c>
      <c r="W1129" s="8" t="s">
        <v>637</v>
      </c>
      <c r="X1129" s="6"/>
      <c r="Y1129" s="6"/>
      <c r="Z1129" s="6"/>
      <c r="AA1129" s="6" t="s">
        <v>418</v>
      </c>
      <c r="AB1129" s="8"/>
    </row>
    <row r="1130" spans="1:28" s="4" customFormat="1" ht="51.95" customHeight="1">
      <c r="A1130" s="5">
        <v>0</v>
      </c>
      <c r="B1130" s="6" t="s">
        <v>7181</v>
      </c>
      <c r="C1130" s="13">
        <v>1714</v>
      </c>
      <c r="D1130" s="8" t="s">
        <v>7182</v>
      </c>
      <c r="E1130" s="8" t="s">
        <v>7183</v>
      </c>
      <c r="F1130" s="8" t="s">
        <v>7184</v>
      </c>
      <c r="G1130" s="6" t="s">
        <v>89</v>
      </c>
      <c r="H1130" s="6" t="s">
        <v>53</v>
      </c>
      <c r="I1130" s="8" t="s">
        <v>90</v>
      </c>
      <c r="J1130" s="9">
        <v>1</v>
      </c>
      <c r="K1130" s="9">
        <v>343</v>
      </c>
      <c r="L1130" s="9">
        <v>2025</v>
      </c>
      <c r="M1130" s="8" t="s">
        <v>7185</v>
      </c>
      <c r="N1130" s="8" t="s">
        <v>79</v>
      </c>
      <c r="O1130" s="8" t="s">
        <v>424</v>
      </c>
      <c r="P1130" s="6" t="s">
        <v>43</v>
      </c>
      <c r="Q1130" s="8" t="s">
        <v>44</v>
      </c>
      <c r="R1130" s="10" t="s">
        <v>7186</v>
      </c>
      <c r="S1130" s="11" t="s">
        <v>7187</v>
      </c>
      <c r="T1130" s="6"/>
      <c r="U1130" s="24" t="str">
        <f>HYPERLINK("https://media.infra-m.ru/2170/2170085/cover/2170085.jpg", "Обложка")</f>
        <v>Обложка</v>
      </c>
      <c r="V1130" s="24" t="str">
        <f>HYPERLINK("https://znanium.ru/catalog/product/1008121", "Ознакомиться")</f>
        <v>Ознакомиться</v>
      </c>
      <c r="W1130" s="8" t="s">
        <v>478</v>
      </c>
      <c r="X1130" s="6"/>
      <c r="Y1130" s="6"/>
      <c r="Z1130" s="6"/>
      <c r="AA1130" s="6" t="s">
        <v>442</v>
      </c>
      <c r="AB1130" s="8"/>
    </row>
    <row r="1131" spans="1:28" s="4" customFormat="1" ht="42" customHeight="1">
      <c r="A1131" s="5">
        <v>0</v>
      </c>
      <c r="B1131" s="6" t="s">
        <v>7188</v>
      </c>
      <c r="C1131" s="13">
        <v>1449</v>
      </c>
      <c r="D1131" s="8" t="s">
        <v>7189</v>
      </c>
      <c r="E1131" s="8" t="s">
        <v>7190</v>
      </c>
      <c r="F1131" s="8" t="s">
        <v>7191</v>
      </c>
      <c r="G1131" s="6" t="s">
        <v>52</v>
      </c>
      <c r="H1131" s="6" t="s">
        <v>53</v>
      </c>
      <c r="I1131" s="8" t="s">
        <v>2511</v>
      </c>
      <c r="J1131" s="9">
        <v>1</v>
      </c>
      <c r="K1131" s="9">
        <v>222</v>
      </c>
      <c r="L1131" s="9">
        <v>2025</v>
      </c>
      <c r="M1131" s="8" t="s">
        <v>7192</v>
      </c>
      <c r="N1131" s="8" t="s">
        <v>41</v>
      </c>
      <c r="O1131" s="8" t="s">
        <v>676</v>
      </c>
      <c r="P1131" s="6" t="s">
        <v>1046</v>
      </c>
      <c r="Q1131" s="8" t="s">
        <v>58</v>
      </c>
      <c r="R1131" s="10" t="s">
        <v>7193</v>
      </c>
      <c r="S1131" s="11"/>
      <c r="T1131" s="6"/>
      <c r="U1131" s="24" t="str">
        <f>HYPERLINK("https://media.infra-m.ru/2202/2202759/cover/2202759.jpg", "Обложка")</f>
        <v>Обложка</v>
      </c>
      <c r="V1131" s="24" t="str">
        <f>HYPERLINK("https://znanium.ru/catalog/product/2187001", "Ознакомиться")</f>
        <v>Ознакомиться</v>
      </c>
      <c r="W1131" s="8" t="s">
        <v>1689</v>
      </c>
      <c r="X1131" s="6"/>
      <c r="Y1131" s="6"/>
      <c r="Z1131" s="6"/>
      <c r="AA1131" s="6" t="s">
        <v>61</v>
      </c>
      <c r="AB1131" s="8"/>
    </row>
    <row r="1132" spans="1:28" s="4" customFormat="1" ht="51.95" customHeight="1">
      <c r="A1132" s="5">
        <v>0</v>
      </c>
      <c r="B1132" s="6" t="s">
        <v>7194</v>
      </c>
      <c r="C1132" s="7">
        <v>580</v>
      </c>
      <c r="D1132" s="8" t="s">
        <v>7195</v>
      </c>
      <c r="E1132" s="8" t="s">
        <v>7196</v>
      </c>
      <c r="F1132" s="8" t="s">
        <v>5773</v>
      </c>
      <c r="G1132" s="6" t="s">
        <v>52</v>
      </c>
      <c r="H1132" s="6" t="s">
        <v>53</v>
      </c>
      <c r="I1132" s="8" t="s">
        <v>90</v>
      </c>
      <c r="J1132" s="9">
        <v>1</v>
      </c>
      <c r="K1132" s="9">
        <v>203</v>
      </c>
      <c r="L1132" s="9">
        <v>2018</v>
      </c>
      <c r="M1132" s="8" t="s">
        <v>7197</v>
      </c>
      <c r="N1132" s="8" t="s">
        <v>41</v>
      </c>
      <c r="O1132" s="8" t="s">
        <v>118</v>
      </c>
      <c r="P1132" s="6" t="s">
        <v>43</v>
      </c>
      <c r="Q1132" s="8" t="s">
        <v>44</v>
      </c>
      <c r="R1132" s="10" t="s">
        <v>7198</v>
      </c>
      <c r="S1132" s="11" t="s">
        <v>7199</v>
      </c>
      <c r="T1132" s="6"/>
      <c r="U1132" s="24" t="str">
        <f>HYPERLINK("https://media.infra-m.ru/0966/0966558/cover/966558.jpg", "Обложка")</f>
        <v>Обложка</v>
      </c>
      <c r="V1132" s="24" t="str">
        <f>HYPERLINK("https://znanium.ru/catalog/product/2102180", "Ознакомиться")</f>
        <v>Ознакомиться</v>
      </c>
      <c r="W1132" s="8" t="s">
        <v>2422</v>
      </c>
      <c r="X1132" s="6"/>
      <c r="Y1132" s="6"/>
      <c r="Z1132" s="6"/>
      <c r="AA1132" s="6" t="s">
        <v>47</v>
      </c>
      <c r="AB1132" s="8"/>
    </row>
    <row r="1133" spans="1:28" s="4" customFormat="1" ht="42" customHeight="1">
      <c r="A1133" s="5">
        <v>0</v>
      </c>
      <c r="B1133" s="6" t="s">
        <v>7200</v>
      </c>
      <c r="C1133" s="13">
        <v>1150</v>
      </c>
      <c r="D1133" s="8" t="s">
        <v>7201</v>
      </c>
      <c r="E1133" s="8" t="s">
        <v>7202</v>
      </c>
      <c r="F1133" s="8" t="s">
        <v>5773</v>
      </c>
      <c r="G1133" s="6" t="s">
        <v>89</v>
      </c>
      <c r="H1133" s="6" t="s">
        <v>53</v>
      </c>
      <c r="I1133" s="8" t="s">
        <v>100</v>
      </c>
      <c r="J1133" s="9">
        <v>1</v>
      </c>
      <c r="K1133" s="9">
        <v>221</v>
      </c>
      <c r="L1133" s="9">
        <v>2025</v>
      </c>
      <c r="M1133" s="8" t="s">
        <v>7203</v>
      </c>
      <c r="N1133" s="8" t="s">
        <v>41</v>
      </c>
      <c r="O1133" s="8" t="s">
        <v>118</v>
      </c>
      <c r="P1133" s="6" t="s">
        <v>43</v>
      </c>
      <c r="Q1133" s="8" t="s">
        <v>102</v>
      </c>
      <c r="R1133" s="10" t="s">
        <v>5775</v>
      </c>
      <c r="S1133" s="11"/>
      <c r="T1133" s="6"/>
      <c r="U1133" s="24" t="str">
        <f>HYPERLINK("https://media.infra-m.ru/2195/2195014/cover/2195014.jpg", "Обложка")</f>
        <v>Обложка</v>
      </c>
      <c r="V1133" s="24" t="str">
        <f>HYPERLINK("https://znanium.ru/catalog/product/2195014", "Ознакомиться")</f>
        <v>Ознакомиться</v>
      </c>
      <c r="W1133" s="8" t="s">
        <v>2422</v>
      </c>
      <c r="X1133" s="6"/>
      <c r="Y1133" s="6"/>
      <c r="Z1133" s="6" t="s">
        <v>104</v>
      </c>
      <c r="AA1133" s="6" t="s">
        <v>105</v>
      </c>
      <c r="AB1133" s="8"/>
    </row>
    <row r="1134" spans="1:28" s="4" customFormat="1" ht="51.95" customHeight="1">
      <c r="A1134" s="5">
        <v>0</v>
      </c>
      <c r="B1134" s="6" t="s">
        <v>7204</v>
      </c>
      <c r="C1134" s="13">
        <v>1020</v>
      </c>
      <c r="D1134" s="8" t="s">
        <v>7205</v>
      </c>
      <c r="E1134" s="8" t="s">
        <v>7202</v>
      </c>
      <c r="F1134" s="8" t="s">
        <v>5773</v>
      </c>
      <c r="G1134" s="6" t="s">
        <v>89</v>
      </c>
      <c r="H1134" s="6" t="s">
        <v>53</v>
      </c>
      <c r="I1134" s="8" t="s">
        <v>90</v>
      </c>
      <c r="J1134" s="9">
        <v>1</v>
      </c>
      <c r="K1134" s="9">
        <v>221</v>
      </c>
      <c r="L1134" s="9">
        <v>2024</v>
      </c>
      <c r="M1134" s="8" t="s">
        <v>7206</v>
      </c>
      <c r="N1134" s="8" t="s">
        <v>41</v>
      </c>
      <c r="O1134" s="8" t="s">
        <v>118</v>
      </c>
      <c r="P1134" s="6" t="s">
        <v>43</v>
      </c>
      <c r="Q1134" s="8" t="s">
        <v>44</v>
      </c>
      <c r="R1134" s="10" t="s">
        <v>7198</v>
      </c>
      <c r="S1134" s="11" t="s">
        <v>7199</v>
      </c>
      <c r="T1134" s="6"/>
      <c r="U1134" s="24" t="str">
        <f>HYPERLINK("https://media.infra-m.ru/2102/2102180/cover/2102180.jpg", "Обложка")</f>
        <v>Обложка</v>
      </c>
      <c r="V1134" s="24" t="str">
        <f>HYPERLINK("https://znanium.ru/catalog/product/2102180", "Ознакомиться")</f>
        <v>Ознакомиться</v>
      </c>
      <c r="W1134" s="8" t="s">
        <v>2422</v>
      </c>
      <c r="X1134" s="6"/>
      <c r="Y1134" s="6"/>
      <c r="Z1134" s="6"/>
      <c r="AA1134" s="6" t="s">
        <v>1374</v>
      </c>
      <c r="AB1134" s="8"/>
    </row>
    <row r="1135" spans="1:28" s="4" customFormat="1" ht="51.95" customHeight="1">
      <c r="A1135" s="5">
        <v>0</v>
      </c>
      <c r="B1135" s="6" t="s">
        <v>7207</v>
      </c>
      <c r="C1135" s="7">
        <v>930</v>
      </c>
      <c r="D1135" s="8" t="s">
        <v>7208</v>
      </c>
      <c r="E1135" s="8" t="s">
        <v>7196</v>
      </c>
      <c r="F1135" s="8" t="s">
        <v>5773</v>
      </c>
      <c r="G1135" s="6" t="s">
        <v>89</v>
      </c>
      <c r="H1135" s="6" t="s">
        <v>53</v>
      </c>
      <c r="I1135" s="8" t="s">
        <v>100</v>
      </c>
      <c r="J1135" s="9">
        <v>1</v>
      </c>
      <c r="K1135" s="9">
        <v>221</v>
      </c>
      <c r="L1135" s="9">
        <v>2022</v>
      </c>
      <c r="M1135" s="8" t="s">
        <v>7209</v>
      </c>
      <c r="N1135" s="8" t="s">
        <v>41</v>
      </c>
      <c r="O1135" s="8" t="s">
        <v>118</v>
      </c>
      <c r="P1135" s="6" t="s">
        <v>43</v>
      </c>
      <c r="Q1135" s="8" t="s">
        <v>102</v>
      </c>
      <c r="R1135" s="10" t="s">
        <v>5775</v>
      </c>
      <c r="S1135" s="11" t="s">
        <v>7210</v>
      </c>
      <c r="T1135" s="6"/>
      <c r="U1135" s="24" t="str">
        <f>HYPERLINK("https://media.infra-m.ru/1873/1873262/cover/1873262.jpg", "Обложка")</f>
        <v>Обложка</v>
      </c>
      <c r="V1135" s="24" t="str">
        <f>HYPERLINK("https://znanium.ru/catalog/product/2195014", "Ознакомиться")</f>
        <v>Ознакомиться</v>
      </c>
      <c r="W1135" s="8" t="s">
        <v>2422</v>
      </c>
      <c r="X1135" s="6"/>
      <c r="Y1135" s="6"/>
      <c r="Z1135" s="6" t="s">
        <v>104</v>
      </c>
      <c r="AA1135" s="6" t="s">
        <v>151</v>
      </c>
      <c r="AB1135" s="8"/>
    </row>
    <row r="1136" spans="1:28" s="4" customFormat="1" ht="51.95" customHeight="1">
      <c r="A1136" s="5">
        <v>0</v>
      </c>
      <c r="B1136" s="6" t="s">
        <v>7211</v>
      </c>
      <c r="C1136" s="7">
        <v>810</v>
      </c>
      <c r="D1136" s="8" t="s">
        <v>7212</v>
      </c>
      <c r="E1136" s="8" t="s">
        <v>7213</v>
      </c>
      <c r="F1136" s="8" t="s">
        <v>7214</v>
      </c>
      <c r="G1136" s="6" t="s">
        <v>38</v>
      </c>
      <c r="H1136" s="6" t="s">
        <v>674</v>
      </c>
      <c r="I1136" s="8"/>
      <c r="J1136" s="9">
        <v>1</v>
      </c>
      <c r="K1136" s="9">
        <v>176</v>
      </c>
      <c r="L1136" s="9">
        <v>2024</v>
      </c>
      <c r="M1136" s="8" t="s">
        <v>7215</v>
      </c>
      <c r="N1136" s="8" t="s">
        <v>41</v>
      </c>
      <c r="O1136" s="8" t="s">
        <v>676</v>
      </c>
      <c r="P1136" s="6" t="s">
        <v>43</v>
      </c>
      <c r="Q1136" s="8" t="s">
        <v>44</v>
      </c>
      <c r="R1136" s="10" t="s">
        <v>7216</v>
      </c>
      <c r="S1136" s="11" t="s">
        <v>7217</v>
      </c>
      <c r="T1136" s="6"/>
      <c r="U1136" s="24" t="str">
        <f>HYPERLINK("https://media.infra-m.ru/2135/2135875/cover/2135875.jpg", "Обложка")</f>
        <v>Обложка</v>
      </c>
      <c r="V1136" s="24" t="str">
        <f>HYPERLINK("https://znanium.ru/catalog/product/2135875", "Ознакомиться")</f>
        <v>Ознакомиться</v>
      </c>
      <c r="W1136" s="8" t="s">
        <v>7218</v>
      </c>
      <c r="X1136" s="6"/>
      <c r="Y1136" s="6"/>
      <c r="Z1136" s="6"/>
      <c r="AA1136" s="6" t="s">
        <v>111</v>
      </c>
      <c r="AB1136" s="8"/>
    </row>
    <row r="1137" spans="1:28" s="4" customFormat="1" ht="42" customHeight="1">
      <c r="A1137" s="5">
        <v>0</v>
      </c>
      <c r="B1137" s="6" t="s">
        <v>7219</v>
      </c>
      <c r="C1137" s="13">
        <v>1160</v>
      </c>
      <c r="D1137" s="8" t="s">
        <v>7220</v>
      </c>
      <c r="E1137" s="8" t="s">
        <v>7221</v>
      </c>
      <c r="F1137" s="8" t="s">
        <v>7222</v>
      </c>
      <c r="G1137" s="6" t="s">
        <v>89</v>
      </c>
      <c r="H1137" s="6" t="s">
        <v>438</v>
      </c>
      <c r="I1137" s="8"/>
      <c r="J1137" s="9">
        <v>1</v>
      </c>
      <c r="K1137" s="9">
        <v>248</v>
      </c>
      <c r="L1137" s="9">
        <v>2024</v>
      </c>
      <c r="M1137" s="8" t="s">
        <v>7223</v>
      </c>
      <c r="N1137" s="8" t="s">
        <v>79</v>
      </c>
      <c r="O1137" s="8" t="s">
        <v>684</v>
      </c>
      <c r="P1137" s="6" t="s">
        <v>167</v>
      </c>
      <c r="Q1137" s="8" t="s">
        <v>44</v>
      </c>
      <c r="R1137" s="10" t="s">
        <v>1617</v>
      </c>
      <c r="S1137" s="11"/>
      <c r="T1137" s="6"/>
      <c r="U1137" s="24" t="str">
        <f>HYPERLINK("https://media.infra-m.ru/2084/2084490/cover/2084490.jpg", "Обложка")</f>
        <v>Обложка</v>
      </c>
      <c r="V1137" s="24" t="str">
        <f>HYPERLINK("https://znanium.ru/catalog/product/2084490", "Ознакомиться")</f>
        <v>Ознакомиться</v>
      </c>
      <c r="W1137" s="8" t="s">
        <v>7224</v>
      </c>
      <c r="X1137" s="6"/>
      <c r="Y1137" s="6"/>
      <c r="Z1137" s="6"/>
      <c r="AA1137" s="6" t="s">
        <v>196</v>
      </c>
      <c r="AB1137" s="8"/>
    </row>
    <row r="1138" spans="1:28" s="4" customFormat="1" ht="51.95" customHeight="1">
      <c r="A1138" s="5">
        <v>0</v>
      </c>
      <c r="B1138" s="6" t="s">
        <v>7225</v>
      </c>
      <c r="C1138" s="13">
        <v>1164</v>
      </c>
      <c r="D1138" s="8" t="s">
        <v>7226</v>
      </c>
      <c r="E1138" s="8" t="s">
        <v>7227</v>
      </c>
      <c r="F1138" s="8" t="s">
        <v>7228</v>
      </c>
      <c r="G1138" s="6" t="s">
        <v>89</v>
      </c>
      <c r="H1138" s="6" t="s">
        <v>53</v>
      </c>
      <c r="I1138" s="8" t="s">
        <v>90</v>
      </c>
      <c r="J1138" s="9">
        <v>1</v>
      </c>
      <c r="K1138" s="9">
        <v>223</v>
      </c>
      <c r="L1138" s="9">
        <v>2025</v>
      </c>
      <c r="M1138" s="8" t="s">
        <v>7229</v>
      </c>
      <c r="N1138" s="8" t="s">
        <v>413</v>
      </c>
      <c r="O1138" s="8" t="s">
        <v>1584</v>
      </c>
      <c r="P1138" s="6" t="s">
        <v>43</v>
      </c>
      <c r="Q1138" s="8" t="s">
        <v>44</v>
      </c>
      <c r="R1138" s="10" t="s">
        <v>7230</v>
      </c>
      <c r="S1138" s="11"/>
      <c r="T1138" s="6" t="s">
        <v>299</v>
      </c>
      <c r="U1138" s="24" t="str">
        <f>HYPERLINK("https://media.infra-m.ru/2194/2194341/cover/2194341.jpg", "Обложка")</f>
        <v>Обложка</v>
      </c>
      <c r="V1138" s="24" t="str">
        <f>HYPERLINK("https://znanium.ru/catalog/product/1861665", "Ознакомиться")</f>
        <v>Ознакомиться</v>
      </c>
      <c r="W1138" s="8" t="s">
        <v>7231</v>
      </c>
      <c r="X1138" s="6"/>
      <c r="Y1138" s="6"/>
      <c r="Z1138" s="6"/>
      <c r="AA1138" s="6" t="s">
        <v>84</v>
      </c>
      <c r="AB1138" s="8"/>
    </row>
    <row r="1139" spans="1:28" s="4" customFormat="1" ht="51.95" customHeight="1">
      <c r="A1139" s="5">
        <v>0</v>
      </c>
      <c r="B1139" s="6" t="s">
        <v>7232</v>
      </c>
      <c r="C1139" s="13">
        <v>1030</v>
      </c>
      <c r="D1139" s="8" t="s">
        <v>7233</v>
      </c>
      <c r="E1139" s="8" t="s">
        <v>7227</v>
      </c>
      <c r="F1139" s="8" t="s">
        <v>7228</v>
      </c>
      <c r="G1139" s="6" t="s">
        <v>89</v>
      </c>
      <c r="H1139" s="6" t="s">
        <v>53</v>
      </c>
      <c r="I1139" s="8" t="s">
        <v>100</v>
      </c>
      <c r="J1139" s="9">
        <v>1</v>
      </c>
      <c r="K1139" s="9">
        <v>223</v>
      </c>
      <c r="L1139" s="9">
        <v>2024</v>
      </c>
      <c r="M1139" s="8" t="s">
        <v>7234</v>
      </c>
      <c r="N1139" s="8" t="s">
        <v>413</v>
      </c>
      <c r="O1139" s="8" t="s">
        <v>1584</v>
      </c>
      <c r="P1139" s="6" t="s">
        <v>43</v>
      </c>
      <c r="Q1139" s="8" t="s">
        <v>102</v>
      </c>
      <c r="R1139" s="10" t="s">
        <v>7235</v>
      </c>
      <c r="S1139" s="11" t="s">
        <v>7236</v>
      </c>
      <c r="T1139" s="6" t="s">
        <v>299</v>
      </c>
      <c r="U1139" s="24" t="str">
        <f>HYPERLINK("https://media.infra-m.ru/2096/2096929/cover/2096929.jpg", "Обложка")</f>
        <v>Обложка</v>
      </c>
      <c r="V1139" s="24" t="str">
        <f>HYPERLINK("https://znanium.ru/catalog/product/2096929", "Ознакомиться")</f>
        <v>Ознакомиться</v>
      </c>
      <c r="W1139" s="8" t="s">
        <v>7231</v>
      </c>
      <c r="X1139" s="6"/>
      <c r="Y1139" s="6"/>
      <c r="Z1139" s="6" t="s">
        <v>104</v>
      </c>
      <c r="AA1139" s="6" t="s">
        <v>151</v>
      </c>
      <c r="AB1139" s="8"/>
    </row>
    <row r="1140" spans="1:28" s="4" customFormat="1" ht="51.95" customHeight="1">
      <c r="A1140" s="5">
        <v>0</v>
      </c>
      <c r="B1140" s="6" t="s">
        <v>7237</v>
      </c>
      <c r="C1140" s="7">
        <v>770</v>
      </c>
      <c r="D1140" s="8" t="s">
        <v>7238</v>
      </c>
      <c r="E1140" s="8" t="s">
        <v>7239</v>
      </c>
      <c r="F1140" s="8" t="s">
        <v>7240</v>
      </c>
      <c r="G1140" s="6" t="s">
        <v>38</v>
      </c>
      <c r="H1140" s="6" t="s">
        <v>53</v>
      </c>
      <c r="I1140" s="8" t="s">
        <v>116</v>
      </c>
      <c r="J1140" s="9">
        <v>1</v>
      </c>
      <c r="K1140" s="9">
        <v>154</v>
      </c>
      <c r="L1140" s="9">
        <v>2025</v>
      </c>
      <c r="M1140" s="8" t="s">
        <v>7241</v>
      </c>
      <c r="N1140" s="8" t="s">
        <v>56</v>
      </c>
      <c r="O1140" s="8" t="s">
        <v>741</v>
      </c>
      <c r="P1140" s="6" t="s">
        <v>43</v>
      </c>
      <c r="Q1140" s="8" t="s">
        <v>44</v>
      </c>
      <c r="R1140" s="10" t="s">
        <v>4997</v>
      </c>
      <c r="S1140" s="11" t="s">
        <v>7242</v>
      </c>
      <c r="T1140" s="6"/>
      <c r="U1140" s="24" t="str">
        <f>HYPERLINK("https://media.infra-m.ru/2188/2188884/cover/2188884.jpg", "Обложка")</f>
        <v>Обложка</v>
      </c>
      <c r="V1140" s="24" t="str">
        <f>HYPERLINK("https://znanium.ru/catalog/product/2188884", "Ознакомиться")</f>
        <v>Ознакомиться</v>
      </c>
      <c r="W1140" s="8" t="s">
        <v>7243</v>
      </c>
      <c r="X1140" s="6"/>
      <c r="Y1140" s="6"/>
      <c r="Z1140" s="6"/>
      <c r="AA1140" s="6" t="s">
        <v>326</v>
      </c>
      <c r="AB1140" s="8"/>
    </row>
    <row r="1141" spans="1:28" s="4" customFormat="1" ht="51.95" customHeight="1">
      <c r="A1141" s="5">
        <v>0</v>
      </c>
      <c r="B1141" s="6" t="s">
        <v>7244</v>
      </c>
      <c r="C1141" s="7">
        <v>420</v>
      </c>
      <c r="D1141" s="8" t="s">
        <v>7245</v>
      </c>
      <c r="E1141" s="8" t="s">
        <v>7246</v>
      </c>
      <c r="F1141" s="8" t="s">
        <v>7247</v>
      </c>
      <c r="G1141" s="6" t="s">
        <v>38</v>
      </c>
      <c r="H1141" s="6" t="s">
        <v>53</v>
      </c>
      <c r="I1141" s="8" t="s">
        <v>116</v>
      </c>
      <c r="J1141" s="9">
        <v>1</v>
      </c>
      <c r="K1141" s="9">
        <v>83</v>
      </c>
      <c r="L1141" s="9">
        <v>2025</v>
      </c>
      <c r="M1141" s="8" t="s">
        <v>7248</v>
      </c>
      <c r="N1141" s="8" t="s">
        <v>997</v>
      </c>
      <c r="O1141" s="8" t="s">
        <v>998</v>
      </c>
      <c r="P1141" s="6" t="s">
        <v>43</v>
      </c>
      <c r="Q1141" s="8" t="s">
        <v>44</v>
      </c>
      <c r="R1141" s="10" t="s">
        <v>6394</v>
      </c>
      <c r="S1141" s="11" t="s">
        <v>7249</v>
      </c>
      <c r="T1141" s="6" t="s">
        <v>299</v>
      </c>
      <c r="U1141" s="24" t="str">
        <f>HYPERLINK("https://media.infra-m.ru/2161/2161287/cover/2161287.jpg", "Обложка")</f>
        <v>Обложка</v>
      </c>
      <c r="V1141" s="24" t="str">
        <f>HYPERLINK("https://znanium.ru/catalog/product/2161287", "Ознакомиться")</f>
        <v>Ознакомиться</v>
      </c>
      <c r="W1141" s="8" t="s">
        <v>2514</v>
      </c>
      <c r="X1141" s="6"/>
      <c r="Y1141" s="6"/>
      <c r="Z1141" s="6"/>
      <c r="AA1141" s="6" t="s">
        <v>258</v>
      </c>
      <c r="AB1141" s="8"/>
    </row>
    <row r="1142" spans="1:28" s="4" customFormat="1" ht="51.95" customHeight="1">
      <c r="A1142" s="5">
        <v>0</v>
      </c>
      <c r="B1142" s="6" t="s">
        <v>7250</v>
      </c>
      <c r="C1142" s="7">
        <v>450</v>
      </c>
      <c r="D1142" s="8" t="s">
        <v>7251</v>
      </c>
      <c r="E1142" s="8" t="s">
        <v>7246</v>
      </c>
      <c r="F1142" s="8" t="s">
        <v>7247</v>
      </c>
      <c r="G1142" s="6" t="s">
        <v>38</v>
      </c>
      <c r="H1142" s="6" t="s">
        <v>53</v>
      </c>
      <c r="I1142" s="8" t="s">
        <v>100</v>
      </c>
      <c r="J1142" s="9">
        <v>1</v>
      </c>
      <c r="K1142" s="9">
        <v>83</v>
      </c>
      <c r="L1142" s="9">
        <v>2025</v>
      </c>
      <c r="M1142" s="8" t="s">
        <v>7252</v>
      </c>
      <c r="N1142" s="8" t="s">
        <v>997</v>
      </c>
      <c r="O1142" s="8" t="s">
        <v>998</v>
      </c>
      <c r="P1142" s="6" t="s">
        <v>43</v>
      </c>
      <c r="Q1142" s="8" t="s">
        <v>102</v>
      </c>
      <c r="R1142" s="10" t="s">
        <v>7253</v>
      </c>
      <c r="S1142" s="11" t="s">
        <v>7254</v>
      </c>
      <c r="T1142" s="6" t="s">
        <v>299</v>
      </c>
      <c r="U1142" s="24" t="str">
        <f>HYPERLINK("https://media.infra-m.ru/2179/2179075/cover/2179075.jpg", "Обложка")</f>
        <v>Обложка</v>
      </c>
      <c r="V1142" s="24" t="str">
        <f>HYPERLINK("https://znanium.ru/catalog/product/2179075", "Ознакомиться")</f>
        <v>Ознакомиться</v>
      </c>
      <c r="W1142" s="8" t="s">
        <v>2514</v>
      </c>
      <c r="X1142" s="6"/>
      <c r="Y1142" s="6"/>
      <c r="Z1142" s="6" t="s">
        <v>104</v>
      </c>
      <c r="AA1142" s="6" t="s">
        <v>219</v>
      </c>
      <c r="AB1142" s="8"/>
    </row>
    <row r="1143" spans="1:28" s="4" customFormat="1" ht="51.95" customHeight="1">
      <c r="A1143" s="5">
        <v>0</v>
      </c>
      <c r="B1143" s="6" t="s">
        <v>7255</v>
      </c>
      <c r="C1143" s="7">
        <v>820</v>
      </c>
      <c r="D1143" s="8" t="s">
        <v>7256</v>
      </c>
      <c r="E1143" s="8" t="s">
        <v>7257</v>
      </c>
      <c r="F1143" s="8" t="s">
        <v>7258</v>
      </c>
      <c r="G1143" s="6" t="s">
        <v>89</v>
      </c>
      <c r="H1143" s="6" t="s">
        <v>53</v>
      </c>
      <c r="I1143" s="8" t="s">
        <v>1223</v>
      </c>
      <c r="J1143" s="9">
        <v>1</v>
      </c>
      <c r="K1143" s="9">
        <v>195</v>
      </c>
      <c r="L1143" s="9">
        <v>2022</v>
      </c>
      <c r="M1143" s="8" t="s">
        <v>7259</v>
      </c>
      <c r="N1143" s="8" t="s">
        <v>413</v>
      </c>
      <c r="O1143" s="8" t="s">
        <v>2771</v>
      </c>
      <c r="P1143" s="6" t="s">
        <v>43</v>
      </c>
      <c r="Q1143" s="8" t="s">
        <v>44</v>
      </c>
      <c r="R1143" s="10" t="s">
        <v>2461</v>
      </c>
      <c r="S1143" s="11" t="s">
        <v>7260</v>
      </c>
      <c r="T1143" s="6"/>
      <c r="U1143" s="24" t="str">
        <f>HYPERLINK("https://media.infra-m.ru/1862/1862660/cover/1862660.jpg", "Обложка")</f>
        <v>Обложка</v>
      </c>
      <c r="V1143" s="24" t="str">
        <f>HYPERLINK("https://znanium.ru/catalog/product/1862660", "Ознакомиться")</f>
        <v>Ознакомиться</v>
      </c>
      <c r="W1143" s="8" t="s">
        <v>83</v>
      </c>
      <c r="X1143" s="6"/>
      <c r="Y1143" s="6"/>
      <c r="Z1143" s="6"/>
      <c r="AA1143" s="6" t="s">
        <v>258</v>
      </c>
      <c r="AB1143" s="8"/>
    </row>
    <row r="1144" spans="1:28" s="4" customFormat="1" ht="51.95" customHeight="1">
      <c r="A1144" s="5">
        <v>0</v>
      </c>
      <c r="B1144" s="6" t="s">
        <v>7261</v>
      </c>
      <c r="C1144" s="7">
        <v>830</v>
      </c>
      <c r="D1144" s="8" t="s">
        <v>7262</v>
      </c>
      <c r="E1144" s="8" t="s">
        <v>7263</v>
      </c>
      <c r="F1144" s="8" t="s">
        <v>7264</v>
      </c>
      <c r="G1144" s="6" t="s">
        <v>89</v>
      </c>
      <c r="H1144" s="6" t="s">
        <v>53</v>
      </c>
      <c r="I1144" s="8" t="s">
        <v>100</v>
      </c>
      <c r="J1144" s="9">
        <v>1</v>
      </c>
      <c r="K1144" s="9">
        <v>160</v>
      </c>
      <c r="L1144" s="9">
        <v>2025</v>
      </c>
      <c r="M1144" s="8" t="s">
        <v>7265</v>
      </c>
      <c r="N1144" s="8" t="s">
        <v>997</v>
      </c>
      <c r="O1144" s="8" t="s">
        <v>998</v>
      </c>
      <c r="P1144" s="6" t="s">
        <v>175</v>
      </c>
      <c r="Q1144" s="8" t="s">
        <v>102</v>
      </c>
      <c r="R1144" s="10" t="s">
        <v>4749</v>
      </c>
      <c r="S1144" s="11" t="s">
        <v>4750</v>
      </c>
      <c r="T1144" s="6"/>
      <c r="U1144" s="24" t="str">
        <f>HYPERLINK("https://media.infra-m.ru/2161/2161719/cover/2161719.jpg", "Обложка")</f>
        <v>Обложка</v>
      </c>
      <c r="V1144" s="24" t="str">
        <f>HYPERLINK("https://znanium.ru/catalog/product/2161719", "Ознакомиться")</f>
        <v>Ознакомиться</v>
      </c>
      <c r="W1144" s="8" t="s">
        <v>2514</v>
      </c>
      <c r="X1144" s="6"/>
      <c r="Y1144" s="6"/>
      <c r="Z1144" s="6" t="s">
        <v>502</v>
      </c>
      <c r="AA1144" s="6" t="s">
        <v>707</v>
      </c>
      <c r="AB1144" s="8"/>
    </row>
    <row r="1145" spans="1:28" s="4" customFormat="1" ht="51.95" customHeight="1">
      <c r="A1145" s="5">
        <v>0</v>
      </c>
      <c r="B1145" s="6" t="s">
        <v>7266</v>
      </c>
      <c r="C1145" s="7">
        <v>830</v>
      </c>
      <c r="D1145" s="8" t="s">
        <v>7267</v>
      </c>
      <c r="E1145" s="8" t="s">
        <v>7263</v>
      </c>
      <c r="F1145" s="8" t="s">
        <v>7264</v>
      </c>
      <c r="G1145" s="6" t="s">
        <v>89</v>
      </c>
      <c r="H1145" s="6" t="s">
        <v>53</v>
      </c>
      <c r="I1145" s="8" t="s">
        <v>4767</v>
      </c>
      <c r="J1145" s="9">
        <v>1</v>
      </c>
      <c r="K1145" s="9">
        <v>160</v>
      </c>
      <c r="L1145" s="9">
        <v>2025</v>
      </c>
      <c r="M1145" s="8" t="s">
        <v>7268</v>
      </c>
      <c r="N1145" s="8" t="s">
        <v>997</v>
      </c>
      <c r="O1145" s="8" t="s">
        <v>998</v>
      </c>
      <c r="P1145" s="6" t="s">
        <v>366</v>
      </c>
      <c r="Q1145" s="8" t="s">
        <v>58</v>
      </c>
      <c r="R1145" s="10" t="s">
        <v>7269</v>
      </c>
      <c r="S1145" s="11"/>
      <c r="T1145" s="6"/>
      <c r="U1145" s="24" t="str">
        <f>HYPERLINK("https://media.infra-m.ru/2192/2192960/cover/2192960.jpg", "Обложка")</f>
        <v>Обложка</v>
      </c>
      <c r="V1145" s="24" t="str">
        <f>HYPERLINK("https://znanium.ru/catalog/product/2192960", "Ознакомиться")</f>
        <v>Ознакомиться</v>
      </c>
      <c r="W1145" s="8" t="s">
        <v>2514</v>
      </c>
      <c r="X1145" s="6"/>
      <c r="Y1145" s="6"/>
      <c r="Z1145" s="6"/>
      <c r="AA1145" s="6" t="s">
        <v>2001</v>
      </c>
      <c r="AB1145" s="8"/>
    </row>
    <row r="1146" spans="1:28" s="4" customFormat="1" ht="51.95" customHeight="1">
      <c r="A1146" s="5">
        <v>0</v>
      </c>
      <c r="B1146" s="6" t="s">
        <v>7270</v>
      </c>
      <c r="C1146" s="7">
        <v>714</v>
      </c>
      <c r="D1146" s="8" t="s">
        <v>7271</v>
      </c>
      <c r="E1146" s="8" t="s">
        <v>7272</v>
      </c>
      <c r="F1146" s="8" t="s">
        <v>7273</v>
      </c>
      <c r="G1146" s="6" t="s">
        <v>38</v>
      </c>
      <c r="H1146" s="6" t="s">
        <v>53</v>
      </c>
      <c r="I1146" s="8" t="s">
        <v>100</v>
      </c>
      <c r="J1146" s="9">
        <v>1</v>
      </c>
      <c r="K1146" s="9">
        <v>148</v>
      </c>
      <c r="L1146" s="9">
        <v>2024</v>
      </c>
      <c r="M1146" s="8" t="s">
        <v>7274</v>
      </c>
      <c r="N1146" s="8" t="s">
        <v>997</v>
      </c>
      <c r="O1146" s="8" t="s">
        <v>998</v>
      </c>
      <c r="P1146" s="6" t="s">
        <v>366</v>
      </c>
      <c r="Q1146" s="8" t="s">
        <v>102</v>
      </c>
      <c r="R1146" s="10" t="s">
        <v>7253</v>
      </c>
      <c r="S1146" s="11" t="s">
        <v>7275</v>
      </c>
      <c r="T1146" s="6"/>
      <c r="U1146" s="24" t="str">
        <f>HYPERLINK("https://media.infra-m.ru/2105/2105782/cover/2105782.jpg", "Обложка")</f>
        <v>Обложка</v>
      </c>
      <c r="V1146" s="24" t="str">
        <f>HYPERLINK("https://znanium.ru/catalog/product/2099963", "Ознакомиться")</f>
        <v>Ознакомиться</v>
      </c>
      <c r="W1146" s="8" t="s">
        <v>7276</v>
      </c>
      <c r="X1146" s="6"/>
      <c r="Y1146" s="6"/>
      <c r="Z1146" s="6" t="s">
        <v>104</v>
      </c>
      <c r="AA1146" s="6" t="s">
        <v>6283</v>
      </c>
      <c r="AB1146" s="8"/>
    </row>
    <row r="1147" spans="1:28" s="4" customFormat="1" ht="51.95" customHeight="1">
      <c r="A1147" s="5">
        <v>0</v>
      </c>
      <c r="B1147" s="6" t="s">
        <v>7277</v>
      </c>
      <c r="C1147" s="7">
        <v>380</v>
      </c>
      <c r="D1147" s="8" t="s">
        <v>7278</v>
      </c>
      <c r="E1147" s="8" t="s">
        <v>7279</v>
      </c>
      <c r="F1147" s="8" t="s">
        <v>7273</v>
      </c>
      <c r="G1147" s="6" t="s">
        <v>38</v>
      </c>
      <c r="H1147" s="6" t="s">
        <v>53</v>
      </c>
      <c r="I1147" s="8" t="s">
        <v>100</v>
      </c>
      <c r="J1147" s="9">
        <v>1</v>
      </c>
      <c r="K1147" s="9">
        <v>109</v>
      </c>
      <c r="L1147" s="9">
        <v>2020</v>
      </c>
      <c r="M1147" s="8" t="s">
        <v>7280</v>
      </c>
      <c r="N1147" s="8" t="s">
        <v>997</v>
      </c>
      <c r="O1147" s="8" t="s">
        <v>998</v>
      </c>
      <c r="P1147" s="6" t="s">
        <v>366</v>
      </c>
      <c r="Q1147" s="8" t="s">
        <v>102</v>
      </c>
      <c r="R1147" s="10" t="s">
        <v>7253</v>
      </c>
      <c r="S1147" s="11" t="s">
        <v>7281</v>
      </c>
      <c r="T1147" s="6"/>
      <c r="U1147" s="24" t="str">
        <f>HYPERLINK("https://media.infra-m.ru/1052/1052202/cover/1052202.jpg", "Обложка")</f>
        <v>Обложка</v>
      </c>
      <c r="V1147" s="24" t="str">
        <f>HYPERLINK("https://znanium.ru/catalog/product/2099963", "Ознакомиться")</f>
        <v>Ознакомиться</v>
      </c>
      <c r="W1147" s="8" t="s">
        <v>7276</v>
      </c>
      <c r="X1147" s="6"/>
      <c r="Y1147" s="6"/>
      <c r="Z1147" s="6" t="s">
        <v>104</v>
      </c>
      <c r="AA1147" s="6" t="s">
        <v>151</v>
      </c>
      <c r="AB1147" s="8"/>
    </row>
    <row r="1148" spans="1:28" s="4" customFormat="1" ht="51.95" customHeight="1">
      <c r="A1148" s="5">
        <v>0</v>
      </c>
      <c r="B1148" s="6" t="s">
        <v>7282</v>
      </c>
      <c r="C1148" s="7">
        <v>330</v>
      </c>
      <c r="D1148" s="8" t="s">
        <v>7283</v>
      </c>
      <c r="E1148" s="8" t="s">
        <v>7279</v>
      </c>
      <c r="F1148" s="8" t="s">
        <v>7273</v>
      </c>
      <c r="G1148" s="6" t="s">
        <v>38</v>
      </c>
      <c r="H1148" s="6" t="s">
        <v>53</v>
      </c>
      <c r="I1148" s="8" t="s">
        <v>4767</v>
      </c>
      <c r="J1148" s="9">
        <v>1</v>
      </c>
      <c r="K1148" s="9">
        <v>109</v>
      </c>
      <c r="L1148" s="9">
        <v>2019</v>
      </c>
      <c r="M1148" s="8" t="s">
        <v>7284</v>
      </c>
      <c r="N1148" s="8" t="s">
        <v>997</v>
      </c>
      <c r="O1148" s="8" t="s">
        <v>998</v>
      </c>
      <c r="P1148" s="6" t="s">
        <v>366</v>
      </c>
      <c r="Q1148" s="8" t="s">
        <v>44</v>
      </c>
      <c r="R1148" s="10" t="s">
        <v>7285</v>
      </c>
      <c r="S1148" s="11"/>
      <c r="T1148" s="6"/>
      <c r="U1148" s="24" t="str">
        <f>HYPERLINK("https://media.infra-m.ru/1016/1016373/cover/1016373.jpg", "Обложка")</f>
        <v>Обложка</v>
      </c>
      <c r="V1148" s="24" t="str">
        <f>HYPERLINK("https://znanium.ru/catalog/product/2166567", "Ознакомиться")</f>
        <v>Ознакомиться</v>
      </c>
      <c r="W1148" s="8" t="s">
        <v>7276</v>
      </c>
      <c r="X1148" s="6"/>
      <c r="Y1148" s="6"/>
      <c r="Z1148" s="6"/>
      <c r="AA1148" s="6" t="s">
        <v>418</v>
      </c>
      <c r="AB1148" s="8"/>
    </row>
    <row r="1149" spans="1:28" s="4" customFormat="1" ht="51.95" customHeight="1">
      <c r="A1149" s="5">
        <v>0</v>
      </c>
      <c r="B1149" s="6" t="s">
        <v>7286</v>
      </c>
      <c r="C1149" s="7">
        <v>740</v>
      </c>
      <c r="D1149" s="8" t="s">
        <v>7287</v>
      </c>
      <c r="E1149" s="8" t="s">
        <v>7272</v>
      </c>
      <c r="F1149" s="8" t="s">
        <v>7273</v>
      </c>
      <c r="G1149" s="6" t="s">
        <v>38</v>
      </c>
      <c r="H1149" s="6" t="s">
        <v>53</v>
      </c>
      <c r="I1149" s="8" t="s">
        <v>4767</v>
      </c>
      <c r="J1149" s="9">
        <v>1</v>
      </c>
      <c r="K1149" s="9">
        <v>148</v>
      </c>
      <c r="L1149" s="9">
        <v>2025</v>
      </c>
      <c r="M1149" s="8" t="s">
        <v>7288</v>
      </c>
      <c r="N1149" s="8" t="s">
        <v>997</v>
      </c>
      <c r="O1149" s="8" t="s">
        <v>998</v>
      </c>
      <c r="P1149" s="6" t="s">
        <v>366</v>
      </c>
      <c r="Q1149" s="8" t="s">
        <v>44</v>
      </c>
      <c r="R1149" s="10" t="s">
        <v>7285</v>
      </c>
      <c r="S1149" s="11"/>
      <c r="T1149" s="6"/>
      <c r="U1149" s="24" t="str">
        <f>HYPERLINK("https://media.infra-m.ru/2166/2166567/cover/2166567.jpg", "Обложка")</f>
        <v>Обложка</v>
      </c>
      <c r="V1149" s="24" t="str">
        <f>HYPERLINK("https://znanium.ru/catalog/product/2166567", "Ознакомиться")</f>
        <v>Ознакомиться</v>
      </c>
      <c r="W1149" s="8" t="s">
        <v>7276</v>
      </c>
      <c r="X1149" s="6"/>
      <c r="Y1149" s="6"/>
      <c r="Z1149" s="6"/>
      <c r="AA1149" s="6" t="s">
        <v>6283</v>
      </c>
      <c r="AB1149" s="8"/>
    </row>
    <row r="1150" spans="1:28" s="4" customFormat="1" ht="51.95" customHeight="1">
      <c r="A1150" s="5">
        <v>0</v>
      </c>
      <c r="B1150" s="6" t="s">
        <v>7289</v>
      </c>
      <c r="C1150" s="13">
        <v>2404</v>
      </c>
      <c r="D1150" s="8" t="s">
        <v>7290</v>
      </c>
      <c r="E1150" s="8" t="s">
        <v>7291</v>
      </c>
      <c r="F1150" s="8" t="s">
        <v>7292</v>
      </c>
      <c r="G1150" s="6" t="s">
        <v>89</v>
      </c>
      <c r="H1150" s="6" t="s">
        <v>53</v>
      </c>
      <c r="I1150" s="8" t="s">
        <v>90</v>
      </c>
      <c r="J1150" s="9">
        <v>1</v>
      </c>
      <c r="K1150" s="9">
        <v>461</v>
      </c>
      <c r="L1150" s="9">
        <v>2025</v>
      </c>
      <c r="M1150" s="8" t="s">
        <v>7293</v>
      </c>
      <c r="N1150" s="8" t="s">
        <v>41</v>
      </c>
      <c r="O1150" s="8" t="s">
        <v>278</v>
      </c>
      <c r="P1150" s="6" t="s">
        <v>167</v>
      </c>
      <c r="Q1150" s="8" t="s">
        <v>44</v>
      </c>
      <c r="R1150" s="10" t="s">
        <v>7294</v>
      </c>
      <c r="S1150" s="11" t="s">
        <v>7295</v>
      </c>
      <c r="T1150" s="6"/>
      <c r="U1150" s="24" t="str">
        <f>HYPERLINK("https://media.infra-m.ru/2197/2197593/cover/2197593.jpg", "Обложка")</f>
        <v>Обложка</v>
      </c>
      <c r="V1150" s="24" t="str">
        <f>HYPERLINK("https://znanium.ru/catalog/product/1834748", "Ознакомиться")</f>
        <v>Ознакомиться</v>
      </c>
      <c r="W1150" s="8" t="s">
        <v>354</v>
      </c>
      <c r="X1150" s="6"/>
      <c r="Y1150" s="6"/>
      <c r="Z1150" s="6"/>
      <c r="AA1150" s="6" t="s">
        <v>2217</v>
      </c>
      <c r="AB1150" s="8"/>
    </row>
    <row r="1151" spans="1:28" s="4" customFormat="1" ht="51.95" customHeight="1">
      <c r="A1151" s="5">
        <v>0</v>
      </c>
      <c r="B1151" s="6" t="s">
        <v>7296</v>
      </c>
      <c r="C1151" s="13">
        <v>2090</v>
      </c>
      <c r="D1151" s="8" t="s">
        <v>7297</v>
      </c>
      <c r="E1151" s="8" t="s">
        <v>7291</v>
      </c>
      <c r="F1151" s="8" t="s">
        <v>7292</v>
      </c>
      <c r="G1151" s="6" t="s">
        <v>89</v>
      </c>
      <c r="H1151" s="6" t="s">
        <v>53</v>
      </c>
      <c r="I1151" s="8" t="s">
        <v>100</v>
      </c>
      <c r="J1151" s="9">
        <v>1</v>
      </c>
      <c r="K1151" s="9">
        <v>461</v>
      </c>
      <c r="L1151" s="9">
        <v>2023</v>
      </c>
      <c r="M1151" s="8" t="s">
        <v>7298</v>
      </c>
      <c r="N1151" s="8" t="s">
        <v>41</v>
      </c>
      <c r="O1151" s="8" t="s">
        <v>278</v>
      </c>
      <c r="P1151" s="6" t="s">
        <v>167</v>
      </c>
      <c r="Q1151" s="8" t="s">
        <v>102</v>
      </c>
      <c r="R1151" s="10" t="s">
        <v>7299</v>
      </c>
      <c r="S1151" s="11" t="s">
        <v>7300</v>
      </c>
      <c r="T1151" s="6"/>
      <c r="U1151" s="24" t="str">
        <f>HYPERLINK("https://media.infra-m.ru/1907/1907039/cover/1907039.jpg", "Обложка")</f>
        <v>Обложка</v>
      </c>
      <c r="V1151" s="24" t="str">
        <f>HYPERLINK("https://znanium.ru/catalog/product/1907039", "Ознакомиться")</f>
        <v>Ознакомиться</v>
      </c>
      <c r="W1151" s="8" t="s">
        <v>354</v>
      </c>
      <c r="X1151" s="6"/>
      <c r="Y1151" s="6"/>
      <c r="Z1151" s="6" t="s">
        <v>104</v>
      </c>
      <c r="AA1151" s="6" t="s">
        <v>793</v>
      </c>
      <c r="AB1151" s="8"/>
    </row>
    <row r="1152" spans="1:28" s="4" customFormat="1" ht="51.95" customHeight="1">
      <c r="A1152" s="5">
        <v>0</v>
      </c>
      <c r="B1152" s="6" t="s">
        <v>7301</v>
      </c>
      <c r="C1152" s="7">
        <v>954</v>
      </c>
      <c r="D1152" s="8" t="s">
        <v>7302</v>
      </c>
      <c r="E1152" s="8" t="s">
        <v>7303</v>
      </c>
      <c r="F1152" s="8" t="s">
        <v>1898</v>
      </c>
      <c r="G1152" s="6" t="s">
        <v>52</v>
      </c>
      <c r="H1152" s="6" t="s">
        <v>66</v>
      </c>
      <c r="I1152" s="8" t="s">
        <v>116</v>
      </c>
      <c r="J1152" s="9">
        <v>1</v>
      </c>
      <c r="K1152" s="9">
        <v>184</v>
      </c>
      <c r="L1152" s="9">
        <v>2025</v>
      </c>
      <c r="M1152" s="8" t="s">
        <v>7304</v>
      </c>
      <c r="N1152" s="8" t="s">
        <v>56</v>
      </c>
      <c r="O1152" s="8" t="s">
        <v>57</v>
      </c>
      <c r="P1152" s="6" t="s">
        <v>43</v>
      </c>
      <c r="Q1152" s="8" t="s">
        <v>44</v>
      </c>
      <c r="R1152" s="10" t="s">
        <v>7305</v>
      </c>
      <c r="S1152" s="11" t="s">
        <v>7306</v>
      </c>
      <c r="T1152" s="6"/>
      <c r="U1152" s="24" t="str">
        <f>HYPERLINK("https://media.infra-m.ru/2198/2198916/cover/2198916.jpg", "Обложка")</f>
        <v>Обложка</v>
      </c>
      <c r="V1152" s="24" t="str">
        <f>HYPERLINK("https://znanium.ru/catalog/product/1840485", "Ознакомиться")</f>
        <v>Ознакомиться</v>
      </c>
      <c r="W1152" s="8" t="s">
        <v>1703</v>
      </c>
      <c r="X1152" s="6"/>
      <c r="Y1152" s="6"/>
      <c r="Z1152" s="6"/>
      <c r="AA1152" s="6" t="s">
        <v>72</v>
      </c>
      <c r="AB1152" s="8"/>
    </row>
    <row r="1153" spans="1:28" s="4" customFormat="1" ht="42" customHeight="1">
      <c r="A1153" s="5">
        <v>0</v>
      </c>
      <c r="B1153" s="6" t="s">
        <v>7307</v>
      </c>
      <c r="C1153" s="13">
        <v>1150</v>
      </c>
      <c r="D1153" s="8" t="s">
        <v>7308</v>
      </c>
      <c r="E1153" s="8" t="s">
        <v>7309</v>
      </c>
      <c r="F1153" s="8" t="s">
        <v>7310</v>
      </c>
      <c r="G1153" s="6" t="s">
        <v>89</v>
      </c>
      <c r="H1153" s="6" t="s">
        <v>674</v>
      </c>
      <c r="I1153" s="8"/>
      <c r="J1153" s="9">
        <v>1</v>
      </c>
      <c r="K1153" s="9">
        <v>256</v>
      </c>
      <c r="L1153" s="9">
        <v>2016</v>
      </c>
      <c r="M1153" s="8" t="s">
        <v>7311</v>
      </c>
      <c r="N1153" s="8" t="s">
        <v>41</v>
      </c>
      <c r="O1153" s="8" t="s">
        <v>676</v>
      </c>
      <c r="P1153" s="6" t="s">
        <v>822</v>
      </c>
      <c r="Q1153" s="8" t="s">
        <v>44</v>
      </c>
      <c r="R1153" s="10" t="s">
        <v>7312</v>
      </c>
      <c r="S1153" s="11"/>
      <c r="T1153" s="6"/>
      <c r="U1153" s="24" t="str">
        <f>HYPERLINK("https://media.infra-m.ru/0978/0978935/cover/978935.jpg", "Обложка")</f>
        <v>Обложка</v>
      </c>
      <c r="V1153" s="24" t="str">
        <f>HYPERLINK("https://znanium.ru/catalog/product/526413", "Ознакомиться")</f>
        <v>Ознакомиться</v>
      </c>
      <c r="W1153" s="8" t="s">
        <v>7313</v>
      </c>
      <c r="X1153" s="6"/>
      <c r="Y1153" s="6"/>
      <c r="Z1153" s="6"/>
      <c r="AA1153" s="6" t="s">
        <v>418</v>
      </c>
      <c r="AB1153" s="8"/>
    </row>
    <row r="1154" spans="1:28" s="4" customFormat="1" ht="51.95" customHeight="1">
      <c r="A1154" s="5">
        <v>0</v>
      </c>
      <c r="B1154" s="6" t="s">
        <v>7314</v>
      </c>
      <c r="C1154" s="7">
        <v>950</v>
      </c>
      <c r="D1154" s="8" t="s">
        <v>7315</v>
      </c>
      <c r="E1154" s="8" t="s">
        <v>7316</v>
      </c>
      <c r="F1154" s="8" t="s">
        <v>7317</v>
      </c>
      <c r="G1154" s="6" t="s">
        <v>52</v>
      </c>
      <c r="H1154" s="6" t="s">
        <v>53</v>
      </c>
      <c r="I1154" s="8" t="s">
        <v>1772</v>
      </c>
      <c r="J1154" s="9">
        <v>1</v>
      </c>
      <c r="K1154" s="9">
        <v>175</v>
      </c>
      <c r="L1154" s="9">
        <v>2025</v>
      </c>
      <c r="M1154" s="8" t="s">
        <v>7318</v>
      </c>
      <c r="N1154" s="8" t="s">
        <v>41</v>
      </c>
      <c r="O1154" s="8" t="s">
        <v>676</v>
      </c>
      <c r="P1154" s="6" t="s">
        <v>167</v>
      </c>
      <c r="Q1154" s="8" t="s">
        <v>58</v>
      </c>
      <c r="R1154" s="10" t="s">
        <v>7319</v>
      </c>
      <c r="S1154" s="11"/>
      <c r="T1154" s="6"/>
      <c r="U1154" s="24" t="str">
        <f>HYPERLINK("https://media.infra-m.ru/2135/2135824/cover/2135824.jpg", "Обложка")</f>
        <v>Обложка</v>
      </c>
      <c r="V1154" s="24" t="str">
        <f>HYPERLINK("https://znanium.ru/catalog/product/2135824", "Ознакомиться")</f>
        <v>Ознакомиться</v>
      </c>
      <c r="W1154" s="8" t="s">
        <v>7320</v>
      </c>
      <c r="X1154" s="6" t="s">
        <v>785</v>
      </c>
      <c r="Y1154" s="6"/>
      <c r="Z1154" s="6"/>
      <c r="AA1154" s="6" t="s">
        <v>61</v>
      </c>
      <c r="AB1154" s="8"/>
    </row>
    <row r="1155" spans="1:28" s="4" customFormat="1" ht="51.95" customHeight="1">
      <c r="A1155" s="5">
        <v>0</v>
      </c>
      <c r="B1155" s="6" t="s">
        <v>7321</v>
      </c>
      <c r="C1155" s="13">
        <v>1250</v>
      </c>
      <c r="D1155" s="8" t="s">
        <v>7322</v>
      </c>
      <c r="E1155" s="8" t="s">
        <v>7323</v>
      </c>
      <c r="F1155" s="8" t="s">
        <v>7324</v>
      </c>
      <c r="G1155" s="6" t="s">
        <v>52</v>
      </c>
      <c r="H1155" s="6" t="s">
        <v>53</v>
      </c>
      <c r="I1155" s="8" t="s">
        <v>2048</v>
      </c>
      <c r="J1155" s="9">
        <v>1</v>
      </c>
      <c r="K1155" s="9">
        <v>263</v>
      </c>
      <c r="L1155" s="9">
        <v>2023</v>
      </c>
      <c r="M1155" s="8" t="s">
        <v>7325</v>
      </c>
      <c r="N1155" s="8" t="s">
        <v>41</v>
      </c>
      <c r="O1155" s="8" t="s">
        <v>676</v>
      </c>
      <c r="P1155" s="6" t="s">
        <v>167</v>
      </c>
      <c r="Q1155" s="8" t="s">
        <v>44</v>
      </c>
      <c r="R1155" s="10" t="s">
        <v>7326</v>
      </c>
      <c r="S1155" s="11" t="s">
        <v>7327</v>
      </c>
      <c r="T1155" s="6"/>
      <c r="U1155" s="24" t="str">
        <f>HYPERLINK("https://media.infra-m.ru/1989/1989251/cover/1989251.jpg", "Обложка")</f>
        <v>Обложка</v>
      </c>
      <c r="V1155" s="24" t="str">
        <f>HYPERLINK("https://znanium.ru/catalog/product/1989251", "Ознакомиться")</f>
        <v>Ознакомиться</v>
      </c>
      <c r="W1155" s="8" t="s">
        <v>354</v>
      </c>
      <c r="X1155" s="6"/>
      <c r="Y1155" s="6"/>
      <c r="Z1155" s="6"/>
      <c r="AA1155" s="6" t="s">
        <v>2657</v>
      </c>
      <c r="AB1155" s="8"/>
    </row>
    <row r="1156" spans="1:28" s="4" customFormat="1" ht="51.95" customHeight="1">
      <c r="A1156" s="5">
        <v>0</v>
      </c>
      <c r="B1156" s="6" t="s">
        <v>7328</v>
      </c>
      <c r="C1156" s="7">
        <v>994.9</v>
      </c>
      <c r="D1156" s="8" t="s">
        <v>7329</v>
      </c>
      <c r="E1156" s="8" t="s">
        <v>7330</v>
      </c>
      <c r="F1156" s="8" t="s">
        <v>7324</v>
      </c>
      <c r="G1156" s="6" t="s">
        <v>89</v>
      </c>
      <c r="H1156" s="6" t="s">
        <v>53</v>
      </c>
      <c r="I1156" s="8" t="s">
        <v>90</v>
      </c>
      <c r="J1156" s="9">
        <v>1</v>
      </c>
      <c r="K1156" s="9">
        <v>239</v>
      </c>
      <c r="L1156" s="9">
        <v>2022</v>
      </c>
      <c r="M1156" s="8" t="s">
        <v>7331</v>
      </c>
      <c r="N1156" s="8" t="s">
        <v>41</v>
      </c>
      <c r="O1156" s="8" t="s">
        <v>676</v>
      </c>
      <c r="P1156" s="6" t="s">
        <v>43</v>
      </c>
      <c r="Q1156" s="8" t="s">
        <v>44</v>
      </c>
      <c r="R1156" s="10" t="s">
        <v>7326</v>
      </c>
      <c r="S1156" s="11" t="s">
        <v>7332</v>
      </c>
      <c r="T1156" s="6"/>
      <c r="U1156" s="24" t="str">
        <f>HYPERLINK("https://media.infra-m.ru/1869/1869569/cover/1869569.jpg", "Обложка")</f>
        <v>Обложка</v>
      </c>
      <c r="V1156" s="24" t="str">
        <f>HYPERLINK("https://znanium.ru/catalog/product/1989251", "Ознакомиться")</f>
        <v>Ознакомиться</v>
      </c>
      <c r="W1156" s="8" t="s">
        <v>354</v>
      </c>
      <c r="X1156" s="6"/>
      <c r="Y1156" s="6"/>
      <c r="Z1156" s="6"/>
      <c r="AA1156" s="6" t="s">
        <v>196</v>
      </c>
      <c r="AB1156" s="8"/>
    </row>
    <row r="1157" spans="1:28" s="4" customFormat="1" ht="51.95" customHeight="1">
      <c r="A1157" s="5">
        <v>0</v>
      </c>
      <c r="B1157" s="6" t="s">
        <v>7333</v>
      </c>
      <c r="C1157" s="13">
        <v>1250</v>
      </c>
      <c r="D1157" s="8" t="s">
        <v>7334</v>
      </c>
      <c r="E1157" s="8" t="s">
        <v>7335</v>
      </c>
      <c r="F1157" s="8" t="s">
        <v>7336</v>
      </c>
      <c r="G1157" s="6" t="s">
        <v>89</v>
      </c>
      <c r="H1157" s="6" t="s">
        <v>53</v>
      </c>
      <c r="I1157" s="8" t="s">
        <v>100</v>
      </c>
      <c r="J1157" s="9">
        <v>1</v>
      </c>
      <c r="K1157" s="9">
        <v>270</v>
      </c>
      <c r="L1157" s="9">
        <v>2024</v>
      </c>
      <c r="M1157" s="8" t="s">
        <v>7337</v>
      </c>
      <c r="N1157" s="8" t="s">
        <v>79</v>
      </c>
      <c r="O1157" s="8" t="s">
        <v>424</v>
      </c>
      <c r="P1157" s="6" t="s">
        <v>167</v>
      </c>
      <c r="Q1157" s="8" t="s">
        <v>102</v>
      </c>
      <c r="R1157" s="10" t="s">
        <v>7338</v>
      </c>
      <c r="S1157" s="11" t="s">
        <v>7339</v>
      </c>
      <c r="T1157" s="6" t="s">
        <v>299</v>
      </c>
      <c r="U1157" s="24" t="str">
        <f>HYPERLINK("https://media.infra-m.ru/2086/2086858/cover/2086858.jpg", "Обложка")</f>
        <v>Обложка</v>
      </c>
      <c r="V1157" s="24" t="str">
        <f>HYPERLINK("https://znanium.ru/catalog/product/2086858", "Ознакомиться")</f>
        <v>Ознакомиться</v>
      </c>
      <c r="W1157" s="8" t="s">
        <v>71</v>
      </c>
      <c r="X1157" s="6"/>
      <c r="Y1157" s="6"/>
      <c r="Z1157" s="6"/>
      <c r="AA1157" s="6" t="s">
        <v>84</v>
      </c>
      <c r="AB1157" s="8"/>
    </row>
    <row r="1158" spans="1:28" s="4" customFormat="1" ht="51.95" customHeight="1">
      <c r="A1158" s="5">
        <v>0</v>
      </c>
      <c r="B1158" s="6" t="s">
        <v>7340</v>
      </c>
      <c r="C1158" s="13">
        <v>2949</v>
      </c>
      <c r="D1158" s="8" t="s">
        <v>7341</v>
      </c>
      <c r="E1158" s="8" t="s">
        <v>7342</v>
      </c>
      <c r="F1158" s="8" t="s">
        <v>7343</v>
      </c>
      <c r="G1158" s="6" t="s">
        <v>89</v>
      </c>
      <c r="H1158" s="6" t="s">
        <v>53</v>
      </c>
      <c r="I1158" s="8" t="s">
        <v>212</v>
      </c>
      <c r="J1158" s="9">
        <v>1</v>
      </c>
      <c r="K1158" s="9">
        <v>296</v>
      </c>
      <c r="L1158" s="9">
        <v>2024</v>
      </c>
      <c r="M1158" s="8" t="s">
        <v>7344</v>
      </c>
      <c r="N1158" s="8" t="s">
        <v>79</v>
      </c>
      <c r="O1158" s="8" t="s">
        <v>174</v>
      </c>
      <c r="P1158" s="6" t="s">
        <v>43</v>
      </c>
      <c r="Q1158" s="8" t="s">
        <v>214</v>
      </c>
      <c r="R1158" s="10" t="s">
        <v>7345</v>
      </c>
      <c r="S1158" s="11" t="s">
        <v>7346</v>
      </c>
      <c r="T1158" s="6"/>
      <c r="U1158" s="24" t="str">
        <f>HYPERLINK("https://media.infra-m.ru/2047/2047071/cover/2047071.jpg", "Обложка")</f>
        <v>Обложка</v>
      </c>
      <c r="V1158" s="24" t="str">
        <f>HYPERLINK("https://znanium.ru/catalog/product/2047071", "Ознакомиться")</f>
        <v>Ознакомиться</v>
      </c>
      <c r="W1158" s="8" t="s">
        <v>2493</v>
      </c>
      <c r="X1158" s="6"/>
      <c r="Y1158" s="6"/>
      <c r="Z1158" s="6"/>
      <c r="AA1158" s="6" t="s">
        <v>793</v>
      </c>
      <c r="AB1158" s="8"/>
    </row>
    <row r="1159" spans="1:28" s="4" customFormat="1" ht="51.95" customHeight="1">
      <c r="A1159" s="5">
        <v>0</v>
      </c>
      <c r="B1159" s="6" t="s">
        <v>7347</v>
      </c>
      <c r="C1159" s="13">
        <v>1740</v>
      </c>
      <c r="D1159" s="8" t="s">
        <v>7348</v>
      </c>
      <c r="E1159" s="8" t="s">
        <v>7349</v>
      </c>
      <c r="F1159" s="8" t="s">
        <v>7350</v>
      </c>
      <c r="G1159" s="6" t="s">
        <v>52</v>
      </c>
      <c r="H1159" s="6" t="s">
        <v>53</v>
      </c>
      <c r="I1159" s="8" t="s">
        <v>116</v>
      </c>
      <c r="J1159" s="9">
        <v>1</v>
      </c>
      <c r="K1159" s="9">
        <v>333</v>
      </c>
      <c r="L1159" s="9">
        <v>2025</v>
      </c>
      <c r="M1159" s="8" t="s">
        <v>7351</v>
      </c>
      <c r="N1159" s="8" t="s">
        <v>79</v>
      </c>
      <c r="O1159" s="8" t="s">
        <v>396</v>
      </c>
      <c r="P1159" s="6" t="s">
        <v>187</v>
      </c>
      <c r="Q1159" s="8" t="s">
        <v>58</v>
      </c>
      <c r="R1159" s="10" t="s">
        <v>7352</v>
      </c>
      <c r="S1159" s="11"/>
      <c r="T1159" s="6"/>
      <c r="U1159" s="24" t="str">
        <f>HYPERLINK("https://media.infra-m.ru/2052/2052421/cover/2052421.jpg", "Обложка")</f>
        <v>Обложка</v>
      </c>
      <c r="V1159" s="24" t="str">
        <f>HYPERLINK("https://znanium.ru/catalog/product/2052421", "Ознакомиться")</f>
        <v>Ознакомиться</v>
      </c>
      <c r="W1159" s="8" t="s">
        <v>150</v>
      </c>
      <c r="X1159" s="6" t="s">
        <v>548</v>
      </c>
      <c r="Y1159" s="6"/>
      <c r="Z1159" s="6"/>
      <c r="AA1159" s="6" t="s">
        <v>61</v>
      </c>
      <c r="AB1159" s="8"/>
    </row>
    <row r="1160" spans="1:28" s="4" customFormat="1" ht="51.95" customHeight="1">
      <c r="A1160" s="5">
        <v>0</v>
      </c>
      <c r="B1160" s="6" t="s">
        <v>7353</v>
      </c>
      <c r="C1160" s="13">
        <v>2050</v>
      </c>
      <c r="D1160" s="8" t="s">
        <v>7354</v>
      </c>
      <c r="E1160" s="8" t="s">
        <v>7355</v>
      </c>
      <c r="F1160" s="8" t="s">
        <v>7356</v>
      </c>
      <c r="G1160" s="6" t="s">
        <v>52</v>
      </c>
      <c r="H1160" s="6" t="s">
        <v>53</v>
      </c>
      <c r="I1160" s="8" t="s">
        <v>116</v>
      </c>
      <c r="J1160" s="9">
        <v>1</v>
      </c>
      <c r="K1160" s="9">
        <v>445</v>
      </c>
      <c r="L1160" s="9">
        <v>2024</v>
      </c>
      <c r="M1160" s="8" t="s">
        <v>7357</v>
      </c>
      <c r="N1160" s="8" t="s">
        <v>79</v>
      </c>
      <c r="O1160" s="8" t="s">
        <v>570</v>
      </c>
      <c r="P1160" s="6" t="s">
        <v>43</v>
      </c>
      <c r="Q1160" s="8" t="s">
        <v>58</v>
      </c>
      <c r="R1160" s="10" t="s">
        <v>7358</v>
      </c>
      <c r="S1160" s="11" t="s">
        <v>7359</v>
      </c>
      <c r="T1160" s="6"/>
      <c r="U1160" s="24" t="str">
        <f>HYPERLINK("https://media.infra-m.ru/2082/2082336/cover/2082336.jpg", "Обложка")</f>
        <v>Обложка</v>
      </c>
      <c r="V1160" s="24" t="str">
        <f>HYPERLINK("https://znanium.ru/catalog/product/2082336", "Ознакомиться")</f>
        <v>Ознакомиться</v>
      </c>
      <c r="W1160" s="8" t="s">
        <v>5825</v>
      </c>
      <c r="X1160" s="6"/>
      <c r="Y1160" s="6"/>
      <c r="Z1160" s="6"/>
      <c r="AA1160" s="6" t="s">
        <v>418</v>
      </c>
      <c r="AB1160" s="8"/>
    </row>
    <row r="1161" spans="1:28" s="4" customFormat="1" ht="51.95" customHeight="1">
      <c r="A1161" s="5">
        <v>0</v>
      </c>
      <c r="B1161" s="6" t="s">
        <v>7360</v>
      </c>
      <c r="C1161" s="13">
        <v>1570</v>
      </c>
      <c r="D1161" s="8" t="s">
        <v>7361</v>
      </c>
      <c r="E1161" s="8" t="s">
        <v>7362</v>
      </c>
      <c r="F1161" s="8" t="s">
        <v>7356</v>
      </c>
      <c r="G1161" s="6" t="s">
        <v>89</v>
      </c>
      <c r="H1161" s="6" t="s">
        <v>53</v>
      </c>
      <c r="I1161" s="8" t="s">
        <v>116</v>
      </c>
      <c r="J1161" s="9">
        <v>1</v>
      </c>
      <c r="K1161" s="9">
        <v>340</v>
      </c>
      <c r="L1161" s="9">
        <v>2023</v>
      </c>
      <c r="M1161" s="8" t="s">
        <v>7363</v>
      </c>
      <c r="N1161" s="8" t="s">
        <v>79</v>
      </c>
      <c r="O1161" s="8" t="s">
        <v>424</v>
      </c>
      <c r="P1161" s="6" t="s">
        <v>43</v>
      </c>
      <c r="Q1161" s="8" t="s">
        <v>58</v>
      </c>
      <c r="R1161" s="10" t="s">
        <v>7358</v>
      </c>
      <c r="S1161" s="11" t="s">
        <v>7364</v>
      </c>
      <c r="T1161" s="6"/>
      <c r="U1161" s="24" t="str">
        <f>HYPERLINK("https://media.infra-m.ru/2126/2126762/cover/2126762.jpg", "Обложка")</f>
        <v>Обложка</v>
      </c>
      <c r="V1161" s="24" t="str">
        <f>HYPERLINK("https://znanium.ru/catalog/product/1012921", "Ознакомиться")</f>
        <v>Ознакомиться</v>
      </c>
      <c r="W1161" s="8" t="s">
        <v>5825</v>
      </c>
      <c r="X1161" s="6"/>
      <c r="Y1161" s="6"/>
      <c r="Z1161" s="6"/>
      <c r="AA1161" s="6" t="s">
        <v>442</v>
      </c>
      <c r="AB1161" s="8"/>
    </row>
    <row r="1162" spans="1:28" s="4" customFormat="1" ht="42" customHeight="1">
      <c r="A1162" s="5">
        <v>0</v>
      </c>
      <c r="B1162" s="6" t="s">
        <v>7365</v>
      </c>
      <c r="C1162" s="13">
        <v>1800</v>
      </c>
      <c r="D1162" s="8" t="s">
        <v>7366</v>
      </c>
      <c r="E1162" s="8" t="s">
        <v>7367</v>
      </c>
      <c r="F1162" s="8" t="s">
        <v>7368</v>
      </c>
      <c r="G1162" s="6" t="s">
        <v>52</v>
      </c>
      <c r="H1162" s="6" t="s">
        <v>53</v>
      </c>
      <c r="I1162" s="8" t="s">
        <v>5586</v>
      </c>
      <c r="J1162" s="9">
        <v>1</v>
      </c>
      <c r="K1162" s="9">
        <v>381</v>
      </c>
      <c r="L1162" s="9">
        <v>2024</v>
      </c>
      <c r="M1162" s="8" t="s">
        <v>7369</v>
      </c>
      <c r="N1162" s="8" t="s">
        <v>41</v>
      </c>
      <c r="O1162" s="8" t="s">
        <v>42</v>
      </c>
      <c r="P1162" s="6" t="s">
        <v>5588</v>
      </c>
      <c r="Q1162" s="8" t="s">
        <v>58</v>
      </c>
      <c r="R1162" s="10" t="s">
        <v>7305</v>
      </c>
      <c r="S1162" s="11"/>
      <c r="T1162" s="6"/>
      <c r="U1162" s="24" t="str">
        <f>HYPERLINK("https://media.infra-m.ru/1415/1415375/cover/1415375.jpg", "Обложка")</f>
        <v>Обложка</v>
      </c>
      <c r="V1162" s="24" t="str">
        <f>HYPERLINK("https://znanium.ru/catalog/product/1415375", "Ознакомиться")</f>
        <v>Ознакомиться</v>
      </c>
      <c r="W1162" s="8" t="s">
        <v>462</v>
      </c>
      <c r="X1162" s="6"/>
      <c r="Y1162" s="6"/>
      <c r="Z1162" s="6"/>
      <c r="AA1162" s="6" t="s">
        <v>133</v>
      </c>
      <c r="AB1162" s="8"/>
    </row>
    <row r="1163" spans="1:28" s="4" customFormat="1" ht="51.95" customHeight="1">
      <c r="A1163" s="5">
        <v>0</v>
      </c>
      <c r="B1163" s="6" t="s">
        <v>7370</v>
      </c>
      <c r="C1163" s="13">
        <v>1230</v>
      </c>
      <c r="D1163" s="8" t="s">
        <v>7371</v>
      </c>
      <c r="E1163" s="8" t="s">
        <v>7372</v>
      </c>
      <c r="F1163" s="8" t="s">
        <v>7373</v>
      </c>
      <c r="G1163" s="6" t="s">
        <v>89</v>
      </c>
      <c r="H1163" s="6" t="s">
        <v>53</v>
      </c>
      <c r="I1163" s="8" t="s">
        <v>212</v>
      </c>
      <c r="J1163" s="9">
        <v>1</v>
      </c>
      <c r="K1163" s="9">
        <v>267</v>
      </c>
      <c r="L1163" s="9">
        <v>2024</v>
      </c>
      <c r="M1163" s="8" t="s">
        <v>7374</v>
      </c>
      <c r="N1163" s="8" t="s">
        <v>79</v>
      </c>
      <c r="O1163" s="8" t="s">
        <v>174</v>
      </c>
      <c r="P1163" s="6" t="s">
        <v>43</v>
      </c>
      <c r="Q1163" s="8" t="s">
        <v>214</v>
      </c>
      <c r="R1163" s="10" t="s">
        <v>1134</v>
      </c>
      <c r="S1163" s="11" t="s">
        <v>7375</v>
      </c>
      <c r="T1163" s="6"/>
      <c r="U1163" s="24" t="str">
        <f>HYPERLINK("https://media.infra-m.ru/2085/2085112/cover/2085112.jpg", "Обложка")</f>
        <v>Обложка</v>
      </c>
      <c r="V1163" s="24" t="str">
        <f>HYPERLINK("https://znanium.ru/catalog/product/2085112", "Ознакомиться")</f>
        <v>Ознакомиться</v>
      </c>
      <c r="W1163" s="8" t="s">
        <v>5475</v>
      </c>
      <c r="X1163" s="6"/>
      <c r="Y1163" s="6"/>
      <c r="Z1163" s="6"/>
      <c r="AA1163" s="6" t="s">
        <v>258</v>
      </c>
      <c r="AB1163" s="8"/>
    </row>
    <row r="1164" spans="1:28" s="4" customFormat="1" ht="51.95" customHeight="1">
      <c r="A1164" s="5">
        <v>0</v>
      </c>
      <c r="B1164" s="6" t="s">
        <v>7376</v>
      </c>
      <c r="C1164" s="13">
        <v>2740</v>
      </c>
      <c r="D1164" s="8" t="s">
        <v>7377</v>
      </c>
      <c r="E1164" s="8" t="s">
        <v>7378</v>
      </c>
      <c r="F1164" s="8" t="s">
        <v>7379</v>
      </c>
      <c r="G1164" s="6" t="s">
        <v>52</v>
      </c>
      <c r="H1164" s="6" t="s">
        <v>53</v>
      </c>
      <c r="I1164" s="8" t="s">
        <v>90</v>
      </c>
      <c r="J1164" s="9">
        <v>1</v>
      </c>
      <c r="K1164" s="9">
        <v>592</v>
      </c>
      <c r="L1164" s="9">
        <v>2024</v>
      </c>
      <c r="M1164" s="8" t="s">
        <v>7380</v>
      </c>
      <c r="N1164" s="8" t="s">
        <v>41</v>
      </c>
      <c r="O1164" s="8" t="s">
        <v>1007</v>
      </c>
      <c r="P1164" s="6" t="s">
        <v>167</v>
      </c>
      <c r="Q1164" s="8" t="s">
        <v>44</v>
      </c>
      <c r="R1164" s="10" t="s">
        <v>7381</v>
      </c>
      <c r="S1164" s="11" t="s">
        <v>7382</v>
      </c>
      <c r="T1164" s="6"/>
      <c r="U1164" s="24" t="str">
        <f>HYPERLINK("https://media.infra-m.ru/2084/2084960/cover/2084960.jpg", "Обложка")</f>
        <v>Обложка</v>
      </c>
      <c r="V1164" s="24" t="str">
        <f>HYPERLINK("https://znanium.ru/catalog/product/2084960", "Ознакомиться")</f>
        <v>Ознакомиться</v>
      </c>
      <c r="W1164" s="8" t="s">
        <v>1144</v>
      </c>
      <c r="X1164" s="6"/>
      <c r="Y1164" s="6"/>
      <c r="Z1164" s="6"/>
      <c r="AA1164" s="6" t="s">
        <v>258</v>
      </c>
      <c r="AB1164" s="8"/>
    </row>
    <row r="1165" spans="1:28" s="4" customFormat="1" ht="42" customHeight="1">
      <c r="A1165" s="5">
        <v>0</v>
      </c>
      <c r="B1165" s="6" t="s">
        <v>7383</v>
      </c>
      <c r="C1165" s="7">
        <v>874</v>
      </c>
      <c r="D1165" s="8" t="s">
        <v>7384</v>
      </c>
      <c r="E1165" s="8" t="s">
        <v>7385</v>
      </c>
      <c r="F1165" s="8" t="s">
        <v>7386</v>
      </c>
      <c r="G1165" s="6" t="s">
        <v>52</v>
      </c>
      <c r="H1165" s="6" t="s">
        <v>53</v>
      </c>
      <c r="I1165" s="8" t="s">
        <v>116</v>
      </c>
      <c r="J1165" s="9">
        <v>1</v>
      </c>
      <c r="K1165" s="9">
        <v>175</v>
      </c>
      <c r="L1165" s="9">
        <v>2023</v>
      </c>
      <c r="M1165" s="8" t="s">
        <v>7387</v>
      </c>
      <c r="N1165" s="8" t="s">
        <v>41</v>
      </c>
      <c r="O1165" s="8" t="s">
        <v>118</v>
      </c>
      <c r="P1165" s="6" t="s">
        <v>43</v>
      </c>
      <c r="Q1165" s="8" t="s">
        <v>44</v>
      </c>
      <c r="R1165" s="10" t="s">
        <v>157</v>
      </c>
      <c r="S1165" s="11"/>
      <c r="T1165" s="6"/>
      <c r="U1165" s="24" t="str">
        <f>HYPERLINK("https://media.infra-m.ru/2086/2086827/cover/2086827.jpg", "Обложка")</f>
        <v>Обложка</v>
      </c>
      <c r="V1165" s="24" t="str">
        <f>HYPERLINK("https://znanium.ru/catalog/product/1856786", "Ознакомиться")</f>
        <v>Ознакомиться</v>
      </c>
      <c r="W1165" s="8" t="s">
        <v>450</v>
      </c>
      <c r="X1165" s="6"/>
      <c r="Y1165" s="6"/>
      <c r="Z1165" s="6"/>
      <c r="AA1165" s="6" t="s">
        <v>207</v>
      </c>
      <c r="AB1165" s="8"/>
    </row>
    <row r="1166" spans="1:28" s="4" customFormat="1" ht="51.95" customHeight="1">
      <c r="A1166" s="5">
        <v>0</v>
      </c>
      <c r="B1166" s="6" t="s">
        <v>7388</v>
      </c>
      <c r="C1166" s="13">
        <v>1170</v>
      </c>
      <c r="D1166" s="8" t="s">
        <v>7389</v>
      </c>
      <c r="E1166" s="8" t="s">
        <v>7390</v>
      </c>
      <c r="F1166" s="8" t="s">
        <v>7391</v>
      </c>
      <c r="G1166" s="6" t="s">
        <v>89</v>
      </c>
      <c r="H1166" s="6" t="s">
        <v>53</v>
      </c>
      <c r="I1166" s="8" t="s">
        <v>116</v>
      </c>
      <c r="J1166" s="9">
        <v>1</v>
      </c>
      <c r="K1166" s="9">
        <v>254</v>
      </c>
      <c r="L1166" s="9">
        <v>2024</v>
      </c>
      <c r="M1166" s="8" t="s">
        <v>7392</v>
      </c>
      <c r="N1166" s="8" t="s">
        <v>79</v>
      </c>
      <c r="O1166" s="8" t="s">
        <v>80</v>
      </c>
      <c r="P1166" s="6" t="s">
        <v>43</v>
      </c>
      <c r="Q1166" s="8" t="s">
        <v>44</v>
      </c>
      <c r="R1166" s="10" t="s">
        <v>7393</v>
      </c>
      <c r="S1166" s="11" t="s">
        <v>7394</v>
      </c>
      <c r="T1166" s="6"/>
      <c r="U1166" s="24" t="str">
        <f>HYPERLINK("https://media.infra-m.ru/2079/2079693/cover/2079693.jpg", "Обложка")</f>
        <v>Обложка</v>
      </c>
      <c r="V1166" s="24" t="str">
        <f>HYPERLINK("https://znanium.ru/catalog/product/2079693", "Ознакомиться")</f>
        <v>Ознакомиться</v>
      </c>
      <c r="W1166" s="8" t="s">
        <v>347</v>
      </c>
      <c r="X1166" s="6"/>
      <c r="Y1166" s="6"/>
      <c r="Z1166" s="6"/>
      <c r="AA1166" s="6" t="s">
        <v>122</v>
      </c>
      <c r="AB1166" s="8"/>
    </row>
    <row r="1167" spans="1:28" s="4" customFormat="1" ht="51.95" customHeight="1">
      <c r="A1167" s="5">
        <v>0</v>
      </c>
      <c r="B1167" s="6" t="s">
        <v>7395</v>
      </c>
      <c r="C1167" s="13">
        <v>1420</v>
      </c>
      <c r="D1167" s="8" t="s">
        <v>7396</v>
      </c>
      <c r="E1167" s="8" t="s">
        <v>7397</v>
      </c>
      <c r="F1167" s="8" t="s">
        <v>7398</v>
      </c>
      <c r="G1167" s="6" t="s">
        <v>89</v>
      </c>
      <c r="H1167" s="6" t="s">
        <v>77</v>
      </c>
      <c r="I1167" s="8"/>
      <c r="J1167" s="9">
        <v>1</v>
      </c>
      <c r="K1167" s="9">
        <v>283</v>
      </c>
      <c r="L1167" s="9">
        <v>2024</v>
      </c>
      <c r="M1167" s="8" t="s">
        <v>7399</v>
      </c>
      <c r="N1167" s="8" t="s">
        <v>79</v>
      </c>
      <c r="O1167" s="8" t="s">
        <v>80</v>
      </c>
      <c r="P1167" s="6" t="s">
        <v>43</v>
      </c>
      <c r="Q1167" s="8" t="s">
        <v>279</v>
      </c>
      <c r="R1167" s="10" t="s">
        <v>7400</v>
      </c>
      <c r="S1167" s="11"/>
      <c r="T1167" s="6"/>
      <c r="U1167" s="24" t="str">
        <f>HYPERLINK("https://media.infra-m.ru/2149/2149172/cover/2149172.jpg", "Обложка")</f>
        <v>Обложка</v>
      </c>
      <c r="V1167" s="24" t="str">
        <f>HYPERLINK("https://znanium.ru/catalog/product/2149172", "Ознакомиться")</f>
        <v>Ознакомиться</v>
      </c>
      <c r="W1167" s="8" t="s">
        <v>7401</v>
      </c>
      <c r="X1167" s="6"/>
      <c r="Y1167" s="6"/>
      <c r="Z1167" s="6"/>
      <c r="AA1167" s="6" t="s">
        <v>151</v>
      </c>
      <c r="AB1167" s="8"/>
    </row>
    <row r="1168" spans="1:28" s="4" customFormat="1" ht="51.95" customHeight="1">
      <c r="A1168" s="5">
        <v>0</v>
      </c>
      <c r="B1168" s="6" t="s">
        <v>7402</v>
      </c>
      <c r="C1168" s="7">
        <v>750</v>
      </c>
      <c r="D1168" s="8" t="s">
        <v>7403</v>
      </c>
      <c r="E1168" s="8" t="s">
        <v>7404</v>
      </c>
      <c r="F1168" s="8" t="s">
        <v>7405</v>
      </c>
      <c r="G1168" s="6" t="s">
        <v>89</v>
      </c>
      <c r="H1168" s="6" t="s">
        <v>53</v>
      </c>
      <c r="I1168" s="8" t="s">
        <v>1054</v>
      </c>
      <c r="J1168" s="9">
        <v>1</v>
      </c>
      <c r="K1168" s="9">
        <v>193</v>
      </c>
      <c r="L1168" s="9">
        <v>2022</v>
      </c>
      <c r="M1168" s="8" t="s">
        <v>7406</v>
      </c>
      <c r="N1168" s="8" t="s">
        <v>413</v>
      </c>
      <c r="O1168" s="8" t="s">
        <v>1141</v>
      </c>
      <c r="P1168" s="6" t="s">
        <v>43</v>
      </c>
      <c r="Q1168" s="8" t="s">
        <v>279</v>
      </c>
      <c r="R1168" s="10" t="s">
        <v>7407</v>
      </c>
      <c r="S1168" s="11" t="s">
        <v>7408</v>
      </c>
      <c r="T1168" s="6" t="s">
        <v>299</v>
      </c>
      <c r="U1168" s="24" t="str">
        <f>HYPERLINK("https://media.infra-m.ru/1864/1864087/cover/1864087.jpg", "Обложка")</f>
        <v>Обложка</v>
      </c>
      <c r="V1168" s="24" t="str">
        <f>HYPERLINK("https://znanium.ru/catalog/product/1864087", "Ознакомиться")</f>
        <v>Ознакомиться</v>
      </c>
      <c r="W1168" s="8" t="s">
        <v>83</v>
      </c>
      <c r="X1168" s="6"/>
      <c r="Y1168" s="6"/>
      <c r="Z1168" s="6"/>
      <c r="AA1168" s="6" t="s">
        <v>793</v>
      </c>
      <c r="AB1168" s="8"/>
    </row>
    <row r="1169" spans="1:28" s="4" customFormat="1" ht="51.95" customHeight="1">
      <c r="A1169" s="5">
        <v>0</v>
      </c>
      <c r="B1169" s="6" t="s">
        <v>7409</v>
      </c>
      <c r="C1169" s="13">
        <v>1970</v>
      </c>
      <c r="D1169" s="8" t="s">
        <v>7410</v>
      </c>
      <c r="E1169" s="8" t="s">
        <v>7411</v>
      </c>
      <c r="F1169" s="8" t="s">
        <v>7412</v>
      </c>
      <c r="G1169" s="6" t="s">
        <v>89</v>
      </c>
      <c r="H1169" s="6" t="s">
        <v>53</v>
      </c>
      <c r="I1169" s="8" t="s">
        <v>116</v>
      </c>
      <c r="J1169" s="9">
        <v>1</v>
      </c>
      <c r="K1169" s="9">
        <v>363</v>
      </c>
      <c r="L1169" s="9">
        <v>2025</v>
      </c>
      <c r="M1169" s="8" t="s">
        <v>7413</v>
      </c>
      <c r="N1169" s="8" t="s">
        <v>79</v>
      </c>
      <c r="O1169" s="8" t="s">
        <v>396</v>
      </c>
      <c r="P1169" s="6" t="s">
        <v>43</v>
      </c>
      <c r="Q1169" s="8" t="s">
        <v>58</v>
      </c>
      <c r="R1169" s="10" t="s">
        <v>7414</v>
      </c>
      <c r="S1169" s="11"/>
      <c r="T1169" s="6"/>
      <c r="U1169" s="24" t="str">
        <f>HYPERLINK("https://media.infra-m.ru/2183/2183372/cover/2183372.jpg", "Обложка")</f>
        <v>Обложка</v>
      </c>
      <c r="V1169" s="24" t="str">
        <f>HYPERLINK("https://znanium.ru/catalog/product/2183372", "Ознакомиться")</f>
        <v>Ознакомиться</v>
      </c>
      <c r="W1169" s="8" t="s">
        <v>7415</v>
      </c>
      <c r="X1169" s="6"/>
      <c r="Y1169" s="6"/>
      <c r="Z1169" s="6"/>
      <c r="AA1169" s="6" t="s">
        <v>133</v>
      </c>
      <c r="AB1169" s="8"/>
    </row>
    <row r="1170" spans="1:28" s="4" customFormat="1" ht="51.95" customHeight="1">
      <c r="A1170" s="5">
        <v>0</v>
      </c>
      <c r="B1170" s="6" t="s">
        <v>7416</v>
      </c>
      <c r="C1170" s="7">
        <v>474</v>
      </c>
      <c r="D1170" s="8" t="s">
        <v>7417</v>
      </c>
      <c r="E1170" s="8" t="s">
        <v>7418</v>
      </c>
      <c r="F1170" s="8" t="s">
        <v>7419</v>
      </c>
      <c r="G1170" s="6" t="s">
        <v>38</v>
      </c>
      <c r="H1170" s="6" t="s">
        <v>53</v>
      </c>
      <c r="I1170" s="8" t="s">
        <v>90</v>
      </c>
      <c r="J1170" s="9">
        <v>1</v>
      </c>
      <c r="K1170" s="9">
        <v>88</v>
      </c>
      <c r="L1170" s="9">
        <v>2025</v>
      </c>
      <c r="M1170" s="8" t="s">
        <v>7420</v>
      </c>
      <c r="N1170" s="8" t="s">
        <v>41</v>
      </c>
      <c r="O1170" s="8" t="s">
        <v>1007</v>
      </c>
      <c r="P1170" s="6" t="s">
        <v>43</v>
      </c>
      <c r="Q1170" s="8" t="s">
        <v>44</v>
      </c>
      <c r="R1170" s="10" t="s">
        <v>7421</v>
      </c>
      <c r="S1170" s="11"/>
      <c r="T1170" s="6"/>
      <c r="U1170" s="24" t="str">
        <f>HYPERLINK("https://media.infra-m.ru/2161/2161288/cover/2161288.jpg", "Обложка")</f>
        <v>Обложка</v>
      </c>
      <c r="V1170" s="24" t="str">
        <f>HYPERLINK("https://znanium.ru/catalog/product/1841432", "Ознакомиться")</f>
        <v>Ознакомиться</v>
      </c>
      <c r="W1170" s="8" t="s">
        <v>2239</v>
      </c>
      <c r="X1170" s="6"/>
      <c r="Y1170" s="6"/>
      <c r="Z1170" s="6"/>
      <c r="AA1170" s="6" t="s">
        <v>72</v>
      </c>
      <c r="AB1170" s="8"/>
    </row>
    <row r="1171" spans="1:28" s="4" customFormat="1" ht="51.95" customHeight="1">
      <c r="A1171" s="5">
        <v>0</v>
      </c>
      <c r="B1171" s="6" t="s">
        <v>7422</v>
      </c>
      <c r="C1171" s="7">
        <v>684</v>
      </c>
      <c r="D1171" s="8" t="s">
        <v>7423</v>
      </c>
      <c r="E1171" s="8" t="s">
        <v>7424</v>
      </c>
      <c r="F1171" s="8" t="s">
        <v>7425</v>
      </c>
      <c r="G1171" s="6" t="s">
        <v>38</v>
      </c>
      <c r="H1171" s="6" t="s">
        <v>39</v>
      </c>
      <c r="I1171" s="8" t="s">
        <v>116</v>
      </c>
      <c r="J1171" s="9">
        <v>1</v>
      </c>
      <c r="K1171" s="9">
        <v>144</v>
      </c>
      <c r="L1171" s="9">
        <v>2024</v>
      </c>
      <c r="M1171" s="8" t="s">
        <v>7426</v>
      </c>
      <c r="N1171" s="8" t="s">
        <v>41</v>
      </c>
      <c r="O1171" s="8" t="s">
        <v>1007</v>
      </c>
      <c r="P1171" s="6" t="s">
        <v>43</v>
      </c>
      <c r="Q1171" s="8" t="s">
        <v>44</v>
      </c>
      <c r="R1171" s="10" t="s">
        <v>2461</v>
      </c>
      <c r="S1171" s="11" t="s">
        <v>7427</v>
      </c>
      <c r="T1171" s="6"/>
      <c r="U1171" s="24" t="str">
        <f>HYPERLINK("https://media.infra-m.ru/2056/2056620/cover/2056620.jpg", "Обложка")</f>
        <v>Обложка</v>
      </c>
      <c r="V1171" s="12"/>
      <c r="W1171" s="8" t="s">
        <v>83</v>
      </c>
      <c r="X1171" s="6"/>
      <c r="Y1171" s="6"/>
      <c r="Z1171" s="6"/>
      <c r="AA1171" s="6" t="s">
        <v>4504</v>
      </c>
      <c r="AB1171" s="8"/>
    </row>
    <row r="1172" spans="1:28" s="4" customFormat="1" ht="51.95" customHeight="1">
      <c r="A1172" s="5">
        <v>0</v>
      </c>
      <c r="B1172" s="6" t="s">
        <v>7428</v>
      </c>
      <c r="C1172" s="13">
        <v>2484</v>
      </c>
      <c r="D1172" s="8" t="s">
        <v>7429</v>
      </c>
      <c r="E1172" s="8" t="s">
        <v>7430</v>
      </c>
      <c r="F1172" s="8" t="s">
        <v>7431</v>
      </c>
      <c r="G1172" s="6" t="s">
        <v>52</v>
      </c>
      <c r="H1172" s="6" t="s">
        <v>77</v>
      </c>
      <c r="I1172" s="8"/>
      <c r="J1172" s="9">
        <v>1</v>
      </c>
      <c r="K1172" s="9">
        <v>413</v>
      </c>
      <c r="L1172" s="9">
        <v>2024</v>
      </c>
      <c r="M1172" s="8" t="s">
        <v>7432</v>
      </c>
      <c r="N1172" s="8" t="s">
        <v>41</v>
      </c>
      <c r="O1172" s="8" t="s">
        <v>1007</v>
      </c>
      <c r="P1172" s="6" t="s">
        <v>167</v>
      </c>
      <c r="Q1172" s="8" t="s">
        <v>44</v>
      </c>
      <c r="R1172" s="10" t="s">
        <v>1291</v>
      </c>
      <c r="S1172" s="11" t="s">
        <v>7433</v>
      </c>
      <c r="T1172" s="6"/>
      <c r="U1172" s="24" t="str">
        <f>HYPERLINK("https://media.infra-m.ru/2096/2096325/cover/2096325.jpg", "Обложка")</f>
        <v>Обложка</v>
      </c>
      <c r="V1172" s="24" t="str">
        <f>HYPERLINK("https://znanium.ru/catalog/product/2057642", "Ознакомиться")</f>
        <v>Ознакомиться</v>
      </c>
      <c r="W1172" s="8" t="s">
        <v>83</v>
      </c>
      <c r="X1172" s="6"/>
      <c r="Y1172" s="6"/>
      <c r="Z1172" s="6"/>
      <c r="AA1172" s="6" t="s">
        <v>72</v>
      </c>
      <c r="AB1172" s="8"/>
    </row>
    <row r="1173" spans="1:28" s="4" customFormat="1" ht="51.95" customHeight="1">
      <c r="A1173" s="5">
        <v>0</v>
      </c>
      <c r="B1173" s="6" t="s">
        <v>7434</v>
      </c>
      <c r="C1173" s="13">
        <v>1794.9</v>
      </c>
      <c r="D1173" s="8" t="s">
        <v>7435</v>
      </c>
      <c r="E1173" s="8" t="s">
        <v>7436</v>
      </c>
      <c r="F1173" s="8" t="s">
        <v>7437</v>
      </c>
      <c r="G1173" s="6" t="s">
        <v>52</v>
      </c>
      <c r="H1173" s="6" t="s">
        <v>952</v>
      </c>
      <c r="I1173" s="8"/>
      <c r="J1173" s="9">
        <v>1</v>
      </c>
      <c r="K1173" s="9">
        <v>752</v>
      </c>
      <c r="L1173" s="9">
        <v>2021</v>
      </c>
      <c r="M1173" s="8" t="s">
        <v>7438</v>
      </c>
      <c r="N1173" s="8" t="s">
        <v>41</v>
      </c>
      <c r="O1173" s="8" t="s">
        <v>1007</v>
      </c>
      <c r="P1173" s="6" t="s">
        <v>167</v>
      </c>
      <c r="Q1173" s="8" t="s">
        <v>44</v>
      </c>
      <c r="R1173" s="10" t="s">
        <v>7439</v>
      </c>
      <c r="S1173" s="11" t="s">
        <v>3487</v>
      </c>
      <c r="T1173" s="6"/>
      <c r="U1173" s="24" t="str">
        <f>HYPERLINK("https://media.infra-m.ru/1489/1489211/cover/1489211.jpg", "Обложка")</f>
        <v>Обложка</v>
      </c>
      <c r="V1173" s="24" t="str">
        <f>HYPERLINK("https://znanium.ru/catalog/product/1489211", "Ознакомиться")</f>
        <v>Ознакомиться</v>
      </c>
      <c r="W1173" s="8" t="s">
        <v>7440</v>
      </c>
      <c r="X1173" s="6"/>
      <c r="Y1173" s="6"/>
      <c r="Z1173" s="6"/>
      <c r="AA1173" s="6" t="s">
        <v>4504</v>
      </c>
      <c r="AB1173" s="8"/>
    </row>
    <row r="1174" spans="1:28" s="4" customFormat="1" ht="51.95" customHeight="1">
      <c r="A1174" s="5">
        <v>0</v>
      </c>
      <c r="B1174" s="6" t="s">
        <v>7441</v>
      </c>
      <c r="C1174" s="13">
        <v>1324</v>
      </c>
      <c r="D1174" s="8" t="s">
        <v>7442</v>
      </c>
      <c r="E1174" s="8" t="s">
        <v>7430</v>
      </c>
      <c r="F1174" s="8" t="s">
        <v>7443</v>
      </c>
      <c r="G1174" s="6" t="s">
        <v>89</v>
      </c>
      <c r="H1174" s="6" t="s">
        <v>53</v>
      </c>
      <c r="I1174" s="8" t="s">
        <v>90</v>
      </c>
      <c r="J1174" s="9">
        <v>1</v>
      </c>
      <c r="K1174" s="9">
        <v>287</v>
      </c>
      <c r="L1174" s="9">
        <v>2024</v>
      </c>
      <c r="M1174" s="8" t="s">
        <v>7444</v>
      </c>
      <c r="N1174" s="8" t="s">
        <v>41</v>
      </c>
      <c r="O1174" s="8" t="s">
        <v>1007</v>
      </c>
      <c r="P1174" s="6" t="s">
        <v>167</v>
      </c>
      <c r="Q1174" s="8" t="s">
        <v>44</v>
      </c>
      <c r="R1174" s="10" t="s">
        <v>4242</v>
      </c>
      <c r="S1174" s="11" t="s">
        <v>7445</v>
      </c>
      <c r="T1174" s="6"/>
      <c r="U1174" s="24" t="str">
        <f>HYPERLINK("https://media.infra-m.ru/2125/2125275/cover/2125275.jpg", "Обложка")</f>
        <v>Обложка</v>
      </c>
      <c r="V1174" s="24" t="str">
        <f>HYPERLINK("https://znanium.ru/catalog/product/2125275", "Ознакомиться")</f>
        <v>Ознакомиться</v>
      </c>
      <c r="W1174" s="8" t="s">
        <v>189</v>
      </c>
      <c r="X1174" s="6"/>
      <c r="Y1174" s="6"/>
      <c r="Z1174" s="6"/>
      <c r="AA1174" s="6" t="s">
        <v>219</v>
      </c>
      <c r="AB1174" s="8"/>
    </row>
    <row r="1175" spans="1:28" s="4" customFormat="1" ht="51.95" customHeight="1">
      <c r="A1175" s="5">
        <v>0</v>
      </c>
      <c r="B1175" s="6" t="s">
        <v>7446</v>
      </c>
      <c r="C1175" s="13">
        <v>3099.9</v>
      </c>
      <c r="D1175" s="8" t="s">
        <v>7447</v>
      </c>
      <c r="E1175" s="8" t="s">
        <v>7430</v>
      </c>
      <c r="F1175" s="8" t="s">
        <v>7448</v>
      </c>
      <c r="G1175" s="6" t="s">
        <v>52</v>
      </c>
      <c r="H1175" s="6" t="s">
        <v>53</v>
      </c>
      <c r="I1175" s="8" t="s">
        <v>7449</v>
      </c>
      <c r="J1175" s="9">
        <v>1</v>
      </c>
      <c r="K1175" s="9">
        <v>1040</v>
      </c>
      <c r="L1175" s="9">
        <v>2022</v>
      </c>
      <c r="M1175" s="8" t="s">
        <v>7450</v>
      </c>
      <c r="N1175" s="8" t="s">
        <v>41</v>
      </c>
      <c r="O1175" s="8" t="s">
        <v>1007</v>
      </c>
      <c r="P1175" s="6" t="s">
        <v>167</v>
      </c>
      <c r="Q1175" s="8" t="s">
        <v>44</v>
      </c>
      <c r="R1175" s="10" t="s">
        <v>1231</v>
      </c>
      <c r="S1175" s="11" t="s">
        <v>7451</v>
      </c>
      <c r="T1175" s="6"/>
      <c r="U1175" s="24" t="str">
        <f>HYPERLINK("https://media.infra-m.ru/1817/1817592/cover/1817592.jpg", "Обложка")</f>
        <v>Обложка</v>
      </c>
      <c r="V1175" s="12"/>
      <c r="W1175" s="8" t="s">
        <v>71</v>
      </c>
      <c r="X1175" s="6"/>
      <c r="Y1175" s="6"/>
      <c r="Z1175" s="6"/>
      <c r="AA1175" s="6" t="s">
        <v>7452</v>
      </c>
      <c r="AB1175" s="8"/>
    </row>
    <row r="1176" spans="1:28" s="4" customFormat="1" ht="42" customHeight="1">
      <c r="A1176" s="5">
        <v>0</v>
      </c>
      <c r="B1176" s="6" t="s">
        <v>7453</v>
      </c>
      <c r="C1176" s="7">
        <v>850</v>
      </c>
      <c r="D1176" s="8" t="s">
        <v>7454</v>
      </c>
      <c r="E1176" s="8" t="s">
        <v>7430</v>
      </c>
      <c r="F1176" s="8" t="s">
        <v>7455</v>
      </c>
      <c r="G1176" s="6" t="s">
        <v>52</v>
      </c>
      <c r="H1176" s="6" t="s">
        <v>53</v>
      </c>
      <c r="I1176" s="8" t="s">
        <v>2048</v>
      </c>
      <c r="J1176" s="9">
        <v>1</v>
      </c>
      <c r="K1176" s="9">
        <v>157</v>
      </c>
      <c r="L1176" s="9">
        <v>2024</v>
      </c>
      <c r="M1176" s="8" t="s">
        <v>7456</v>
      </c>
      <c r="N1176" s="8" t="s">
        <v>41</v>
      </c>
      <c r="O1176" s="8" t="s">
        <v>1007</v>
      </c>
      <c r="P1176" s="6" t="s">
        <v>43</v>
      </c>
      <c r="Q1176" s="8" t="s">
        <v>44</v>
      </c>
      <c r="R1176" s="10" t="s">
        <v>7457</v>
      </c>
      <c r="S1176" s="11"/>
      <c r="T1176" s="6" t="s">
        <v>299</v>
      </c>
      <c r="U1176" s="24" t="str">
        <f>HYPERLINK("https://media.infra-m.ru/1852/1852466/cover/1852466.jpg", "Обложка")</f>
        <v>Обложка</v>
      </c>
      <c r="V1176" s="24" t="str">
        <f>HYPERLINK("https://znanium.ru/catalog/product/1852466", "Ознакомиться")</f>
        <v>Ознакомиться</v>
      </c>
      <c r="W1176" s="8" t="s">
        <v>189</v>
      </c>
      <c r="X1176" s="6"/>
      <c r="Y1176" s="6"/>
      <c r="Z1176" s="6"/>
      <c r="AA1176" s="6" t="s">
        <v>133</v>
      </c>
      <c r="AB1176" s="8"/>
    </row>
    <row r="1177" spans="1:28" s="4" customFormat="1" ht="51.95" customHeight="1">
      <c r="A1177" s="5">
        <v>0</v>
      </c>
      <c r="B1177" s="6" t="s">
        <v>7458</v>
      </c>
      <c r="C1177" s="7">
        <v>730</v>
      </c>
      <c r="D1177" s="8" t="s">
        <v>7459</v>
      </c>
      <c r="E1177" s="8" t="s">
        <v>7460</v>
      </c>
      <c r="F1177" s="8" t="s">
        <v>7461</v>
      </c>
      <c r="G1177" s="6" t="s">
        <v>38</v>
      </c>
      <c r="H1177" s="6" t="s">
        <v>53</v>
      </c>
      <c r="I1177" s="8" t="s">
        <v>276</v>
      </c>
      <c r="J1177" s="9">
        <v>1</v>
      </c>
      <c r="K1177" s="9">
        <v>162</v>
      </c>
      <c r="L1177" s="9">
        <v>2023</v>
      </c>
      <c r="M1177" s="8" t="s">
        <v>7462</v>
      </c>
      <c r="N1177" s="8" t="s">
        <v>41</v>
      </c>
      <c r="O1177" s="8" t="s">
        <v>1007</v>
      </c>
      <c r="P1177" s="6" t="s">
        <v>43</v>
      </c>
      <c r="Q1177" s="8" t="s">
        <v>279</v>
      </c>
      <c r="R1177" s="10" t="s">
        <v>3481</v>
      </c>
      <c r="S1177" s="11" t="s">
        <v>7463</v>
      </c>
      <c r="T1177" s="6"/>
      <c r="U1177" s="24" t="str">
        <f>HYPERLINK("https://media.infra-m.ru/1903/1903414/cover/1903414.jpg", "Обложка")</f>
        <v>Обложка</v>
      </c>
      <c r="V1177" s="24" t="str">
        <f>HYPERLINK("https://znanium.ru/catalog/product/1903414", "Ознакомиться")</f>
        <v>Ознакомиться</v>
      </c>
      <c r="W1177" s="8" t="s">
        <v>7464</v>
      </c>
      <c r="X1177" s="6"/>
      <c r="Y1177" s="6"/>
      <c r="Z1177" s="6"/>
      <c r="AA1177" s="6" t="s">
        <v>151</v>
      </c>
      <c r="AB1177" s="8"/>
    </row>
    <row r="1178" spans="1:28" s="4" customFormat="1" ht="44.1" customHeight="1">
      <c r="A1178" s="5">
        <v>0</v>
      </c>
      <c r="B1178" s="6" t="s">
        <v>7465</v>
      </c>
      <c r="C1178" s="13">
        <v>1240</v>
      </c>
      <c r="D1178" s="8" t="s">
        <v>7466</v>
      </c>
      <c r="E1178" s="8" t="s">
        <v>7467</v>
      </c>
      <c r="F1178" s="8" t="s">
        <v>7468</v>
      </c>
      <c r="G1178" s="6" t="s">
        <v>52</v>
      </c>
      <c r="H1178" s="6" t="s">
        <v>53</v>
      </c>
      <c r="I1178" s="8" t="s">
        <v>116</v>
      </c>
      <c r="J1178" s="9">
        <v>1</v>
      </c>
      <c r="K1178" s="9">
        <v>256</v>
      </c>
      <c r="L1178" s="9">
        <v>2024</v>
      </c>
      <c r="M1178" s="8" t="s">
        <v>7469</v>
      </c>
      <c r="N1178" s="8" t="s">
        <v>41</v>
      </c>
      <c r="O1178" s="8" t="s">
        <v>1007</v>
      </c>
      <c r="P1178" s="6" t="s">
        <v>43</v>
      </c>
      <c r="Q1178" s="8" t="s">
        <v>58</v>
      </c>
      <c r="R1178" s="10" t="s">
        <v>7470</v>
      </c>
      <c r="S1178" s="11"/>
      <c r="T1178" s="6"/>
      <c r="U1178" s="24" t="str">
        <f>HYPERLINK("https://media.infra-m.ru/1044/1044720/cover/1044720.jpg", "Обложка")</f>
        <v>Обложка</v>
      </c>
      <c r="V1178" s="24" t="str">
        <f>HYPERLINK("https://znanium.ru/catalog/product/1044720", "Ознакомиться")</f>
        <v>Ознакомиться</v>
      </c>
      <c r="W1178" s="8" t="s">
        <v>913</v>
      </c>
      <c r="X1178" s="6"/>
      <c r="Y1178" s="6"/>
      <c r="Z1178" s="6"/>
      <c r="AA1178" s="6" t="s">
        <v>133</v>
      </c>
      <c r="AB1178" s="8"/>
    </row>
    <row r="1179" spans="1:28" s="4" customFormat="1" ht="51.95" customHeight="1">
      <c r="A1179" s="5">
        <v>0</v>
      </c>
      <c r="B1179" s="6" t="s">
        <v>7471</v>
      </c>
      <c r="C1179" s="7">
        <v>914</v>
      </c>
      <c r="D1179" s="8" t="s">
        <v>7472</v>
      </c>
      <c r="E1179" s="8" t="s">
        <v>7473</v>
      </c>
      <c r="F1179" s="8" t="s">
        <v>7474</v>
      </c>
      <c r="G1179" s="6" t="s">
        <v>52</v>
      </c>
      <c r="H1179" s="6" t="s">
        <v>1738</v>
      </c>
      <c r="I1179" s="8" t="s">
        <v>1171</v>
      </c>
      <c r="J1179" s="9">
        <v>1</v>
      </c>
      <c r="K1179" s="9">
        <v>176</v>
      </c>
      <c r="L1179" s="9">
        <v>2025</v>
      </c>
      <c r="M1179" s="8" t="s">
        <v>7475</v>
      </c>
      <c r="N1179" s="8" t="s">
        <v>41</v>
      </c>
      <c r="O1179" s="8" t="s">
        <v>278</v>
      </c>
      <c r="P1179" s="6" t="s">
        <v>43</v>
      </c>
      <c r="Q1179" s="8" t="s">
        <v>44</v>
      </c>
      <c r="R1179" s="10" t="s">
        <v>7476</v>
      </c>
      <c r="S1179" s="11" t="s">
        <v>7477</v>
      </c>
      <c r="T1179" s="6" t="s">
        <v>299</v>
      </c>
      <c r="U1179" s="24" t="str">
        <f>HYPERLINK("https://media.infra-m.ru/2202/2202316/cover/2202316.jpg", "Обложка")</f>
        <v>Обложка</v>
      </c>
      <c r="V1179" s="24" t="str">
        <f>HYPERLINK("https://znanium.ru/catalog/product/1840937", "Ознакомиться")</f>
        <v>Ознакомиться</v>
      </c>
      <c r="W1179" s="8" t="s">
        <v>913</v>
      </c>
      <c r="X1179" s="6"/>
      <c r="Y1179" s="6"/>
      <c r="Z1179" s="6"/>
      <c r="AA1179" s="6" t="s">
        <v>84</v>
      </c>
      <c r="AB1179" s="8"/>
    </row>
    <row r="1180" spans="1:28" s="4" customFormat="1" ht="51.95" customHeight="1">
      <c r="A1180" s="5">
        <v>0</v>
      </c>
      <c r="B1180" s="6" t="s">
        <v>7478</v>
      </c>
      <c r="C1180" s="13">
        <v>1204</v>
      </c>
      <c r="D1180" s="8" t="s">
        <v>7479</v>
      </c>
      <c r="E1180" s="8" t="s">
        <v>7480</v>
      </c>
      <c r="F1180" s="8" t="s">
        <v>7481</v>
      </c>
      <c r="G1180" s="6" t="s">
        <v>52</v>
      </c>
      <c r="H1180" s="6" t="s">
        <v>53</v>
      </c>
      <c r="I1180" s="8" t="s">
        <v>90</v>
      </c>
      <c r="J1180" s="9">
        <v>1</v>
      </c>
      <c r="K1180" s="9">
        <v>254</v>
      </c>
      <c r="L1180" s="9">
        <v>2024</v>
      </c>
      <c r="M1180" s="8" t="s">
        <v>7482</v>
      </c>
      <c r="N1180" s="8" t="s">
        <v>41</v>
      </c>
      <c r="O1180" s="8" t="s">
        <v>1007</v>
      </c>
      <c r="P1180" s="6" t="s">
        <v>43</v>
      </c>
      <c r="Q1180" s="8" t="s">
        <v>44</v>
      </c>
      <c r="R1180" s="10" t="s">
        <v>6765</v>
      </c>
      <c r="S1180" s="11" t="s">
        <v>7483</v>
      </c>
      <c r="T1180" s="6" t="s">
        <v>299</v>
      </c>
      <c r="U1180" s="24" t="str">
        <f>HYPERLINK("https://media.infra-m.ru/2152/2152113/cover/2152113.jpg", "Обложка")</f>
        <v>Обложка</v>
      </c>
      <c r="V1180" s="24" t="str">
        <f>HYPERLINK("https://znanium.ru/catalog/product/2105254", "Ознакомиться")</f>
        <v>Ознакомиться</v>
      </c>
      <c r="W1180" s="8" t="s">
        <v>189</v>
      </c>
      <c r="X1180" s="6"/>
      <c r="Y1180" s="6"/>
      <c r="Z1180" s="6"/>
      <c r="AA1180" s="6" t="s">
        <v>47</v>
      </c>
      <c r="AB1180" s="8"/>
    </row>
    <row r="1181" spans="1:28" s="4" customFormat="1" ht="51.95" customHeight="1">
      <c r="A1181" s="5">
        <v>0</v>
      </c>
      <c r="B1181" s="6" t="s">
        <v>7484</v>
      </c>
      <c r="C1181" s="7">
        <v>574.9</v>
      </c>
      <c r="D1181" s="8" t="s">
        <v>7485</v>
      </c>
      <c r="E1181" s="8" t="s">
        <v>7486</v>
      </c>
      <c r="F1181" s="8" t="s">
        <v>7487</v>
      </c>
      <c r="G1181" s="6" t="s">
        <v>38</v>
      </c>
      <c r="H1181" s="6" t="s">
        <v>77</v>
      </c>
      <c r="I1181" s="8"/>
      <c r="J1181" s="9">
        <v>1</v>
      </c>
      <c r="K1181" s="9">
        <v>128</v>
      </c>
      <c r="L1181" s="9">
        <v>2023</v>
      </c>
      <c r="M1181" s="8" t="s">
        <v>7488</v>
      </c>
      <c r="N1181" s="8" t="s">
        <v>41</v>
      </c>
      <c r="O1181" s="8" t="s">
        <v>278</v>
      </c>
      <c r="P1181" s="6" t="s">
        <v>43</v>
      </c>
      <c r="Q1181" s="8" t="s">
        <v>44</v>
      </c>
      <c r="R1181" s="10" t="s">
        <v>7489</v>
      </c>
      <c r="S1181" s="11" t="s">
        <v>7490</v>
      </c>
      <c r="T1181" s="6"/>
      <c r="U1181" s="24" t="str">
        <f>HYPERLINK("https://media.infra-m.ru/1981/1981659/cover/1981659.jpg", "Обложка")</f>
        <v>Обложка</v>
      </c>
      <c r="V1181" s="24" t="str">
        <f>HYPERLINK("https://znanium.ru/catalog/product/960053", "Ознакомиться")</f>
        <v>Ознакомиться</v>
      </c>
      <c r="W1181" s="8" t="s">
        <v>189</v>
      </c>
      <c r="X1181" s="6"/>
      <c r="Y1181" s="6"/>
      <c r="Z1181" s="6"/>
      <c r="AA1181" s="6" t="s">
        <v>84</v>
      </c>
      <c r="AB1181" s="8"/>
    </row>
    <row r="1182" spans="1:28" s="4" customFormat="1" ht="51.95" customHeight="1">
      <c r="A1182" s="5">
        <v>0</v>
      </c>
      <c r="B1182" s="6" t="s">
        <v>7491</v>
      </c>
      <c r="C1182" s="13">
        <v>1164</v>
      </c>
      <c r="D1182" s="8" t="s">
        <v>7492</v>
      </c>
      <c r="E1182" s="8" t="s">
        <v>7493</v>
      </c>
      <c r="F1182" s="8" t="s">
        <v>7494</v>
      </c>
      <c r="G1182" s="6" t="s">
        <v>89</v>
      </c>
      <c r="H1182" s="6" t="s">
        <v>53</v>
      </c>
      <c r="I1182" s="8" t="s">
        <v>90</v>
      </c>
      <c r="J1182" s="9">
        <v>1</v>
      </c>
      <c r="K1182" s="9">
        <v>248</v>
      </c>
      <c r="L1182" s="9">
        <v>2024</v>
      </c>
      <c r="M1182" s="8" t="s">
        <v>7495</v>
      </c>
      <c r="N1182" s="8" t="s">
        <v>41</v>
      </c>
      <c r="O1182" s="8" t="s">
        <v>1007</v>
      </c>
      <c r="P1182" s="6" t="s">
        <v>167</v>
      </c>
      <c r="Q1182" s="8" t="s">
        <v>44</v>
      </c>
      <c r="R1182" s="10" t="s">
        <v>157</v>
      </c>
      <c r="S1182" s="11" t="s">
        <v>1285</v>
      </c>
      <c r="T1182" s="6"/>
      <c r="U1182" s="24" t="str">
        <f>HYPERLINK("https://media.infra-m.ru/2129/2129152/cover/2129152.jpg", "Обложка")</f>
        <v>Обложка</v>
      </c>
      <c r="V1182" s="24" t="str">
        <f>HYPERLINK("https://znanium.ru/catalog/product/2129152", "Ознакомиться")</f>
        <v>Ознакомиться</v>
      </c>
      <c r="W1182" s="8" t="s">
        <v>1345</v>
      </c>
      <c r="X1182" s="6"/>
      <c r="Y1182" s="6"/>
      <c r="Z1182" s="6"/>
      <c r="AA1182" s="6" t="s">
        <v>151</v>
      </c>
      <c r="AB1182" s="8" t="s">
        <v>840</v>
      </c>
    </row>
    <row r="1183" spans="1:28" s="4" customFormat="1" ht="51.95" customHeight="1">
      <c r="A1183" s="5">
        <v>0</v>
      </c>
      <c r="B1183" s="6" t="s">
        <v>7496</v>
      </c>
      <c r="C1183" s="7">
        <v>914</v>
      </c>
      <c r="D1183" s="8" t="s">
        <v>7497</v>
      </c>
      <c r="E1183" s="8" t="s">
        <v>7498</v>
      </c>
      <c r="F1183" s="8" t="s">
        <v>7499</v>
      </c>
      <c r="G1183" s="6" t="s">
        <v>38</v>
      </c>
      <c r="H1183" s="6" t="s">
        <v>53</v>
      </c>
      <c r="I1183" s="8" t="s">
        <v>90</v>
      </c>
      <c r="J1183" s="9">
        <v>1</v>
      </c>
      <c r="K1183" s="9">
        <v>176</v>
      </c>
      <c r="L1183" s="9">
        <v>2025</v>
      </c>
      <c r="M1183" s="8" t="s">
        <v>7500</v>
      </c>
      <c r="N1183" s="8" t="s">
        <v>41</v>
      </c>
      <c r="O1183" s="8" t="s">
        <v>1007</v>
      </c>
      <c r="P1183" s="6" t="s">
        <v>43</v>
      </c>
      <c r="Q1183" s="8" t="s">
        <v>44</v>
      </c>
      <c r="R1183" s="10" t="s">
        <v>1291</v>
      </c>
      <c r="S1183" s="11" t="s">
        <v>7501</v>
      </c>
      <c r="T1183" s="6"/>
      <c r="U1183" s="24" t="str">
        <f>HYPERLINK("https://media.infra-m.ru/2194/2194365/cover/2194365.jpg", "Обложка")</f>
        <v>Обложка</v>
      </c>
      <c r="V1183" s="24" t="str">
        <f>HYPERLINK("https://znanium.ru/catalog/product/1851529", "Ознакомиться")</f>
        <v>Ознакомиться</v>
      </c>
      <c r="W1183" s="8" t="s">
        <v>1345</v>
      </c>
      <c r="X1183" s="6"/>
      <c r="Y1183" s="6"/>
      <c r="Z1183" s="6"/>
      <c r="AA1183" s="6" t="s">
        <v>644</v>
      </c>
      <c r="AB1183" s="8"/>
    </row>
    <row r="1184" spans="1:28" s="4" customFormat="1" ht="51.95" customHeight="1">
      <c r="A1184" s="5">
        <v>0</v>
      </c>
      <c r="B1184" s="6" t="s">
        <v>7502</v>
      </c>
      <c r="C1184" s="7">
        <v>954</v>
      </c>
      <c r="D1184" s="8" t="s">
        <v>7503</v>
      </c>
      <c r="E1184" s="8" t="s">
        <v>7504</v>
      </c>
      <c r="F1184" s="8" t="s">
        <v>7505</v>
      </c>
      <c r="G1184" s="6" t="s">
        <v>89</v>
      </c>
      <c r="H1184" s="6" t="s">
        <v>53</v>
      </c>
      <c r="I1184" s="8" t="s">
        <v>116</v>
      </c>
      <c r="J1184" s="9">
        <v>1</v>
      </c>
      <c r="K1184" s="9">
        <v>208</v>
      </c>
      <c r="L1184" s="9">
        <v>2023</v>
      </c>
      <c r="M1184" s="8" t="s">
        <v>7506</v>
      </c>
      <c r="N1184" s="8" t="s">
        <v>41</v>
      </c>
      <c r="O1184" s="8" t="s">
        <v>1007</v>
      </c>
      <c r="P1184" s="6" t="s">
        <v>43</v>
      </c>
      <c r="Q1184" s="8" t="s">
        <v>58</v>
      </c>
      <c r="R1184" s="10" t="s">
        <v>7507</v>
      </c>
      <c r="S1184" s="11" t="s">
        <v>3838</v>
      </c>
      <c r="T1184" s="6"/>
      <c r="U1184" s="24" t="str">
        <f>HYPERLINK("https://media.infra-m.ru/2048/2048859/cover/2048859.jpg", "Обложка")</f>
        <v>Обложка</v>
      </c>
      <c r="V1184" s="24" t="str">
        <f>HYPERLINK("https://znanium.ru/catalog/product/2039151", "Ознакомиться")</f>
        <v>Ознакомиться</v>
      </c>
      <c r="W1184" s="8" t="s">
        <v>3201</v>
      </c>
      <c r="X1184" s="6"/>
      <c r="Y1184" s="6"/>
      <c r="Z1184" s="6"/>
      <c r="AA1184" s="6" t="s">
        <v>494</v>
      </c>
      <c r="AB1184" s="8"/>
    </row>
    <row r="1185" spans="1:28" s="4" customFormat="1" ht="51.95" customHeight="1">
      <c r="A1185" s="5">
        <v>0</v>
      </c>
      <c r="B1185" s="6" t="s">
        <v>7508</v>
      </c>
      <c r="C1185" s="13">
        <v>1664</v>
      </c>
      <c r="D1185" s="8" t="s">
        <v>7509</v>
      </c>
      <c r="E1185" s="8" t="s">
        <v>7510</v>
      </c>
      <c r="F1185" s="8" t="s">
        <v>7511</v>
      </c>
      <c r="G1185" s="6" t="s">
        <v>89</v>
      </c>
      <c r="H1185" s="6" t="s">
        <v>53</v>
      </c>
      <c r="I1185" s="8" t="s">
        <v>90</v>
      </c>
      <c r="J1185" s="9">
        <v>1</v>
      </c>
      <c r="K1185" s="9">
        <v>333</v>
      </c>
      <c r="L1185" s="9">
        <v>2024</v>
      </c>
      <c r="M1185" s="8" t="s">
        <v>7512</v>
      </c>
      <c r="N1185" s="8" t="s">
        <v>41</v>
      </c>
      <c r="O1185" s="8" t="s">
        <v>118</v>
      </c>
      <c r="P1185" s="6" t="s">
        <v>167</v>
      </c>
      <c r="Q1185" s="8" t="s">
        <v>44</v>
      </c>
      <c r="R1185" s="10" t="s">
        <v>7513</v>
      </c>
      <c r="S1185" s="11" t="s">
        <v>7514</v>
      </c>
      <c r="T1185" s="6"/>
      <c r="U1185" s="24" t="str">
        <f>HYPERLINK("https://media.infra-m.ru/2170/2170925/cover/2170925.jpg", "Обложка")</f>
        <v>Обложка</v>
      </c>
      <c r="V1185" s="24" t="str">
        <f>HYPERLINK("https://znanium.ru/catalog/product/1991048", "Ознакомиться")</f>
        <v>Ознакомиться</v>
      </c>
      <c r="W1185" s="8" t="s">
        <v>83</v>
      </c>
      <c r="X1185" s="6"/>
      <c r="Y1185" s="6"/>
      <c r="Z1185" s="6"/>
      <c r="AA1185" s="6" t="s">
        <v>84</v>
      </c>
      <c r="AB1185" s="8"/>
    </row>
    <row r="1186" spans="1:28" s="4" customFormat="1" ht="51.95" customHeight="1">
      <c r="A1186" s="5">
        <v>0</v>
      </c>
      <c r="B1186" s="6" t="s">
        <v>7515</v>
      </c>
      <c r="C1186" s="13">
        <v>1324</v>
      </c>
      <c r="D1186" s="8" t="s">
        <v>7516</v>
      </c>
      <c r="E1186" s="8" t="s">
        <v>7510</v>
      </c>
      <c r="F1186" s="8" t="s">
        <v>7517</v>
      </c>
      <c r="G1186" s="6" t="s">
        <v>38</v>
      </c>
      <c r="H1186" s="6" t="s">
        <v>39</v>
      </c>
      <c r="I1186" s="8" t="s">
        <v>90</v>
      </c>
      <c r="J1186" s="9">
        <v>1</v>
      </c>
      <c r="K1186" s="9">
        <v>288</v>
      </c>
      <c r="L1186" s="9">
        <v>2024</v>
      </c>
      <c r="M1186" s="8" t="s">
        <v>7518</v>
      </c>
      <c r="N1186" s="8" t="s">
        <v>41</v>
      </c>
      <c r="O1186" s="8" t="s">
        <v>118</v>
      </c>
      <c r="P1186" s="6" t="s">
        <v>167</v>
      </c>
      <c r="Q1186" s="8" t="s">
        <v>44</v>
      </c>
      <c r="R1186" s="10" t="s">
        <v>7519</v>
      </c>
      <c r="S1186" s="11" t="s">
        <v>7520</v>
      </c>
      <c r="T1186" s="6"/>
      <c r="U1186" s="24" t="str">
        <f>HYPERLINK("https://media.infra-m.ru/2091/2091895/cover/2091895.jpg", "Обложка")</f>
        <v>Обложка</v>
      </c>
      <c r="V1186" s="24" t="str">
        <f>HYPERLINK("https://znanium.ru/catalog/product/1843742", "Ознакомиться")</f>
        <v>Ознакомиться</v>
      </c>
      <c r="W1186" s="8" t="s">
        <v>4109</v>
      </c>
      <c r="X1186" s="6"/>
      <c r="Y1186" s="6"/>
      <c r="Z1186" s="6"/>
      <c r="AA1186" s="6" t="s">
        <v>111</v>
      </c>
      <c r="AB1186" s="8"/>
    </row>
    <row r="1187" spans="1:28" s="4" customFormat="1" ht="51.95" customHeight="1">
      <c r="A1187" s="5">
        <v>0</v>
      </c>
      <c r="B1187" s="6" t="s">
        <v>7521</v>
      </c>
      <c r="C1187" s="13">
        <v>1040</v>
      </c>
      <c r="D1187" s="8" t="s">
        <v>7522</v>
      </c>
      <c r="E1187" s="8" t="s">
        <v>7510</v>
      </c>
      <c r="F1187" s="8" t="s">
        <v>7523</v>
      </c>
      <c r="G1187" s="6" t="s">
        <v>89</v>
      </c>
      <c r="H1187" s="6" t="s">
        <v>184</v>
      </c>
      <c r="I1187" s="8" t="s">
        <v>90</v>
      </c>
      <c r="J1187" s="9">
        <v>1</v>
      </c>
      <c r="K1187" s="9">
        <v>229</v>
      </c>
      <c r="L1187" s="9">
        <v>2022</v>
      </c>
      <c r="M1187" s="8" t="s">
        <v>7524</v>
      </c>
      <c r="N1187" s="8" t="s">
        <v>41</v>
      </c>
      <c r="O1187" s="8" t="s">
        <v>118</v>
      </c>
      <c r="P1187" s="6" t="s">
        <v>43</v>
      </c>
      <c r="Q1187" s="8" t="s">
        <v>44</v>
      </c>
      <c r="R1187" s="10" t="s">
        <v>157</v>
      </c>
      <c r="S1187" s="11" t="s">
        <v>7525</v>
      </c>
      <c r="T1187" s="6"/>
      <c r="U1187" s="24" t="str">
        <f>HYPERLINK("https://media.infra-m.ru/1948/1948225/cover/1948225.jpg", "Обложка")</f>
        <v>Обложка</v>
      </c>
      <c r="V1187" s="24" t="str">
        <f>HYPERLINK("https://znanium.ru/catalog/product/926479", "Ознакомиться")</f>
        <v>Ознакомиться</v>
      </c>
      <c r="W1187" s="8" t="s">
        <v>1514</v>
      </c>
      <c r="X1187" s="6"/>
      <c r="Y1187" s="6"/>
      <c r="Z1187" s="6"/>
      <c r="AA1187" s="6" t="s">
        <v>84</v>
      </c>
      <c r="AB1187" s="8"/>
    </row>
    <row r="1188" spans="1:28" s="4" customFormat="1" ht="42" customHeight="1">
      <c r="A1188" s="5">
        <v>0</v>
      </c>
      <c r="B1188" s="6" t="s">
        <v>7526</v>
      </c>
      <c r="C1188" s="7">
        <v>740</v>
      </c>
      <c r="D1188" s="8" t="s">
        <v>7527</v>
      </c>
      <c r="E1188" s="8" t="s">
        <v>7528</v>
      </c>
      <c r="F1188" s="8" t="s">
        <v>7529</v>
      </c>
      <c r="G1188" s="6" t="s">
        <v>38</v>
      </c>
      <c r="H1188" s="6" t="s">
        <v>184</v>
      </c>
      <c r="I1188" s="8" t="s">
        <v>116</v>
      </c>
      <c r="J1188" s="9">
        <v>1</v>
      </c>
      <c r="K1188" s="9">
        <v>148</v>
      </c>
      <c r="L1188" s="9">
        <v>2025</v>
      </c>
      <c r="M1188" s="8" t="s">
        <v>7530</v>
      </c>
      <c r="N1188" s="8" t="s">
        <v>56</v>
      </c>
      <c r="O1188" s="8" t="s">
        <v>741</v>
      </c>
      <c r="P1188" s="6" t="s">
        <v>43</v>
      </c>
      <c r="Q1188" s="8" t="s">
        <v>58</v>
      </c>
      <c r="R1188" s="10" t="s">
        <v>7531</v>
      </c>
      <c r="S1188" s="11"/>
      <c r="T1188" s="6"/>
      <c r="U1188" s="24" t="str">
        <f>HYPERLINK("https://media.infra-m.ru/2172/2172591/cover/2172591.jpg", "Обложка")</f>
        <v>Обложка</v>
      </c>
      <c r="V1188" s="24" t="str">
        <f>HYPERLINK("https://znanium.ru/catalog/product/2172591", "Ознакомиться")</f>
        <v>Ознакомиться</v>
      </c>
      <c r="W1188" s="8" t="s">
        <v>1293</v>
      </c>
      <c r="X1188" s="6"/>
      <c r="Y1188" s="6"/>
      <c r="Z1188" s="6"/>
      <c r="AA1188" s="6" t="s">
        <v>418</v>
      </c>
      <c r="AB1188" s="8"/>
    </row>
    <row r="1189" spans="1:28" s="4" customFormat="1" ht="51.95" customHeight="1">
      <c r="A1189" s="5">
        <v>0</v>
      </c>
      <c r="B1189" s="6" t="s">
        <v>7532</v>
      </c>
      <c r="C1189" s="7">
        <v>724.9</v>
      </c>
      <c r="D1189" s="8" t="s">
        <v>7533</v>
      </c>
      <c r="E1189" s="8" t="s">
        <v>7534</v>
      </c>
      <c r="F1189" s="8" t="s">
        <v>7535</v>
      </c>
      <c r="G1189" s="6" t="s">
        <v>38</v>
      </c>
      <c r="H1189" s="6" t="s">
        <v>39</v>
      </c>
      <c r="I1189" s="8" t="s">
        <v>116</v>
      </c>
      <c r="J1189" s="9">
        <v>1</v>
      </c>
      <c r="K1189" s="9">
        <v>192</v>
      </c>
      <c r="L1189" s="9">
        <v>2022</v>
      </c>
      <c r="M1189" s="8" t="s">
        <v>7536</v>
      </c>
      <c r="N1189" s="8" t="s">
        <v>79</v>
      </c>
      <c r="O1189" s="8" t="s">
        <v>396</v>
      </c>
      <c r="P1189" s="6" t="s">
        <v>43</v>
      </c>
      <c r="Q1189" s="8" t="s">
        <v>44</v>
      </c>
      <c r="R1189" s="10" t="s">
        <v>6409</v>
      </c>
      <c r="S1189" s="11" t="s">
        <v>7537</v>
      </c>
      <c r="T1189" s="6"/>
      <c r="U1189" s="24" t="str">
        <f>HYPERLINK("https://media.infra-m.ru/1850/1850709/cover/1850709.jpg", "Обложка")</f>
        <v>Обложка</v>
      </c>
      <c r="V1189" s="12"/>
      <c r="W1189" s="8" t="s">
        <v>487</v>
      </c>
      <c r="X1189" s="6"/>
      <c r="Y1189" s="6"/>
      <c r="Z1189" s="6"/>
      <c r="AA1189" s="6" t="s">
        <v>111</v>
      </c>
      <c r="AB1189" s="8"/>
    </row>
    <row r="1190" spans="1:28" s="4" customFormat="1" ht="51.95" customHeight="1">
      <c r="A1190" s="5">
        <v>0</v>
      </c>
      <c r="B1190" s="6" t="s">
        <v>7538</v>
      </c>
      <c r="C1190" s="7">
        <v>644</v>
      </c>
      <c r="D1190" s="8" t="s">
        <v>7539</v>
      </c>
      <c r="E1190" s="8" t="s">
        <v>7540</v>
      </c>
      <c r="F1190" s="8" t="s">
        <v>7541</v>
      </c>
      <c r="G1190" s="6" t="s">
        <v>38</v>
      </c>
      <c r="H1190" s="6" t="s">
        <v>53</v>
      </c>
      <c r="I1190" s="8" t="s">
        <v>90</v>
      </c>
      <c r="J1190" s="9">
        <v>1</v>
      </c>
      <c r="K1190" s="9">
        <v>113</v>
      </c>
      <c r="L1190" s="9">
        <v>2024</v>
      </c>
      <c r="M1190" s="8" t="s">
        <v>7542</v>
      </c>
      <c r="N1190" s="8" t="s">
        <v>41</v>
      </c>
      <c r="O1190" s="8" t="s">
        <v>278</v>
      </c>
      <c r="P1190" s="6" t="s">
        <v>175</v>
      </c>
      <c r="Q1190" s="8" t="s">
        <v>44</v>
      </c>
      <c r="R1190" s="10" t="s">
        <v>7543</v>
      </c>
      <c r="S1190" s="11" t="s">
        <v>7544</v>
      </c>
      <c r="T1190" s="6"/>
      <c r="U1190" s="24" t="str">
        <f>HYPERLINK("https://media.infra-m.ru/2091/2091904/cover/2091904.jpg", "Обложка")</f>
        <v>Обложка</v>
      </c>
      <c r="V1190" s="24" t="str">
        <f>HYPERLINK("https://znanium.ru/catalog/product/2091904", "Ознакомиться")</f>
        <v>Ознакомиться</v>
      </c>
      <c r="W1190" s="8" t="s">
        <v>243</v>
      </c>
      <c r="X1190" s="6"/>
      <c r="Y1190" s="6"/>
      <c r="Z1190" s="6"/>
      <c r="AA1190" s="6" t="s">
        <v>513</v>
      </c>
      <c r="AB1190" s="8"/>
    </row>
    <row r="1191" spans="1:28" s="4" customFormat="1" ht="42" customHeight="1">
      <c r="A1191" s="5">
        <v>0</v>
      </c>
      <c r="B1191" s="6" t="s">
        <v>7545</v>
      </c>
      <c r="C1191" s="7">
        <v>590</v>
      </c>
      <c r="D1191" s="8" t="s">
        <v>7546</v>
      </c>
      <c r="E1191" s="8" t="s">
        <v>7547</v>
      </c>
      <c r="F1191" s="8" t="s">
        <v>7541</v>
      </c>
      <c r="G1191" s="6" t="s">
        <v>38</v>
      </c>
      <c r="H1191" s="6" t="s">
        <v>53</v>
      </c>
      <c r="I1191" s="8" t="s">
        <v>100</v>
      </c>
      <c r="J1191" s="9">
        <v>1</v>
      </c>
      <c r="K1191" s="9">
        <v>113</v>
      </c>
      <c r="L1191" s="9">
        <v>2024</v>
      </c>
      <c r="M1191" s="8" t="s">
        <v>7548</v>
      </c>
      <c r="N1191" s="8" t="s">
        <v>41</v>
      </c>
      <c r="O1191" s="8" t="s">
        <v>1007</v>
      </c>
      <c r="P1191" s="6" t="s">
        <v>175</v>
      </c>
      <c r="Q1191" s="8" t="s">
        <v>102</v>
      </c>
      <c r="R1191" s="10" t="s">
        <v>1801</v>
      </c>
      <c r="S1191" s="11"/>
      <c r="T1191" s="6"/>
      <c r="U1191" s="24" t="str">
        <f>HYPERLINK("https://media.infra-m.ru/2098/2098048/cover/2098048.jpg", "Обложка")</f>
        <v>Обложка</v>
      </c>
      <c r="V1191" s="24" t="str">
        <f>HYPERLINK("https://znanium.ru/catalog/product/2098048", "Ознакомиться")</f>
        <v>Ознакомиться</v>
      </c>
      <c r="W1191" s="8" t="s">
        <v>243</v>
      </c>
      <c r="X1191" s="6"/>
      <c r="Y1191" s="6"/>
      <c r="Z1191" s="6" t="s">
        <v>104</v>
      </c>
      <c r="AA1191" s="6" t="s">
        <v>105</v>
      </c>
      <c r="AB1191" s="8"/>
    </row>
    <row r="1192" spans="1:28" s="4" customFormat="1" ht="51.95" customHeight="1">
      <c r="A1192" s="5">
        <v>0</v>
      </c>
      <c r="B1192" s="6" t="s">
        <v>7549</v>
      </c>
      <c r="C1192" s="7">
        <v>410</v>
      </c>
      <c r="D1192" s="8" t="s">
        <v>7550</v>
      </c>
      <c r="E1192" s="8" t="s">
        <v>7551</v>
      </c>
      <c r="F1192" s="8" t="s">
        <v>7541</v>
      </c>
      <c r="G1192" s="6" t="s">
        <v>38</v>
      </c>
      <c r="H1192" s="6" t="s">
        <v>39</v>
      </c>
      <c r="I1192" s="8" t="s">
        <v>90</v>
      </c>
      <c r="J1192" s="9">
        <v>1</v>
      </c>
      <c r="K1192" s="9">
        <v>120</v>
      </c>
      <c r="L1192" s="9">
        <v>2020</v>
      </c>
      <c r="M1192" s="8" t="s">
        <v>7552</v>
      </c>
      <c r="N1192" s="8" t="s">
        <v>41</v>
      </c>
      <c r="O1192" s="8" t="s">
        <v>1007</v>
      </c>
      <c r="P1192" s="6" t="s">
        <v>43</v>
      </c>
      <c r="Q1192" s="8" t="s">
        <v>44</v>
      </c>
      <c r="R1192" s="10" t="s">
        <v>7543</v>
      </c>
      <c r="S1192" s="11" t="s">
        <v>7553</v>
      </c>
      <c r="T1192" s="6"/>
      <c r="U1192" s="24" t="str">
        <f>HYPERLINK("https://media.infra-m.ru/1079/1079340/cover/1079340.jpg", "Обложка")</f>
        <v>Обложка</v>
      </c>
      <c r="V1192" s="24" t="str">
        <f>HYPERLINK("https://znanium.ru/catalog/product/2091904", "Ознакомиться")</f>
        <v>Ознакомиться</v>
      </c>
      <c r="W1192" s="8" t="s">
        <v>243</v>
      </c>
      <c r="X1192" s="6"/>
      <c r="Y1192" s="6"/>
      <c r="Z1192" s="6"/>
      <c r="AA1192" s="6" t="s">
        <v>442</v>
      </c>
      <c r="AB1192" s="8"/>
    </row>
    <row r="1193" spans="1:28" s="4" customFormat="1" ht="51.95" customHeight="1">
      <c r="A1193" s="5">
        <v>0</v>
      </c>
      <c r="B1193" s="6" t="s">
        <v>7554</v>
      </c>
      <c r="C1193" s="13">
        <v>1884</v>
      </c>
      <c r="D1193" s="8" t="s">
        <v>7555</v>
      </c>
      <c r="E1193" s="8" t="s">
        <v>7556</v>
      </c>
      <c r="F1193" s="8" t="s">
        <v>7557</v>
      </c>
      <c r="G1193" s="6" t="s">
        <v>52</v>
      </c>
      <c r="H1193" s="6" t="s">
        <v>649</v>
      </c>
      <c r="I1193" s="8" t="s">
        <v>100</v>
      </c>
      <c r="J1193" s="9">
        <v>1</v>
      </c>
      <c r="K1193" s="9">
        <v>400</v>
      </c>
      <c r="L1193" s="9">
        <v>2024</v>
      </c>
      <c r="M1193" s="8" t="s">
        <v>7558</v>
      </c>
      <c r="N1193" s="8" t="s">
        <v>41</v>
      </c>
      <c r="O1193" s="8" t="s">
        <v>118</v>
      </c>
      <c r="P1193" s="6" t="s">
        <v>43</v>
      </c>
      <c r="Q1193" s="8" t="s">
        <v>102</v>
      </c>
      <c r="R1193" s="10" t="s">
        <v>2779</v>
      </c>
      <c r="S1193" s="11" t="s">
        <v>7559</v>
      </c>
      <c r="T1193" s="6"/>
      <c r="U1193" s="24" t="str">
        <f>HYPERLINK("https://media.infra-m.ru/2155/2155748/cover/2155748.jpg", "Обложка")</f>
        <v>Обложка</v>
      </c>
      <c r="V1193" s="24" t="str">
        <f>HYPERLINK("https://znanium.ru/catalog/product/1872110", "Ознакомиться")</f>
        <v>Ознакомиться</v>
      </c>
      <c r="W1193" s="8" t="s">
        <v>1345</v>
      </c>
      <c r="X1193" s="6"/>
      <c r="Y1193" s="6"/>
      <c r="Z1193" s="6" t="s">
        <v>104</v>
      </c>
      <c r="AA1193" s="6" t="s">
        <v>258</v>
      </c>
      <c r="AB1193" s="8"/>
    </row>
    <row r="1194" spans="1:28" s="4" customFormat="1" ht="51.95" customHeight="1">
      <c r="A1194" s="5">
        <v>0</v>
      </c>
      <c r="B1194" s="6" t="s">
        <v>7560</v>
      </c>
      <c r="C1194" s="13">
        <v>1994</v>
      </c>
      <c r="D1194" s="8" t="s">
        <v>7561</v>
      </c>
      <c r="E1194" s="8" t="s">
        <v>7556</v>
      </c>
      <c r="F1194" s="8" t="s">
        <v>7562</v>
      </c>
      <c r="G1194" s="6" t="s">
        <v>89</v>
      </c>
      <c r="H1194" s="6" t="s">
        <v>649</v>
      </c>
      <c r="I1194" s="8" t="s">
        <v>116</v>
      </c>
      <c r="J1194" s="9">
        <v>1</v>
      </c>
      <c r="K1194" s="9">
        <v>400</v>
      </c>
      <c r="L1194" s="9">
        <v>2025</v>
      </c>
      <c r="M1194" s="8" t="s">
        <v>7563</v>
      </c>
      <c r="N1194" s="8" t="s">
        <v>41</v>
      </c>
      <c r="O1194" s="8" t="s">
        <v>118</v>
      </c>
      <c r="P1194" s="6" t="s">
        <v>43</v>
      </c>
      <c r="Q1194" s="8" t="s">
        <v>44</v>
      </c>
      <c r="R1194" s="10" t="s">
        <v>7564</v>
      </c>
      <c r="S1194" s="11" t="s">
        <v>7565</v>
      </c>
      <c r="T1194" s="6"/>
      <c r="U1194" s="24" t="str">
        <f>HYPERLINK("https://media.infra-m.ru/2188/2188737/cover/2188737.jpg", "Обложка")</f>
        <v>Обложка</v>
      </c>
      <c r="V1194" s="24" t="str">
        <f>HYPERLINK("https://znanium.ru/catalog/product/2019771", "Ознакомиться")</f>
        <v>Ознакомиться</v>
      </c>
      <c r="W1194" s="8" t="s">
        <v>1345</v>
      </c>
      <c r="X1194" s="6"/>
      <c r="Y1194" s="6"/>
      <c r="Z1194" s="6"/>
      <c r="AA1194" s="6" t="s">
        <v>72</v>
      </c>
      <c r="AB1194" s="8"/>
    </row>
    <row r="1195" spans="1:28" s="4" customFormat="1" ht="51.95" customHeight="1">
      <c r="A1195" s="5">
        <v>0</v>
      </c>
      <c r="B1195" s="6" t="s">
        <v>7566</v>
      </c>
      <c r="C1195" s="7">
        <v>574.9</v>
      </c>
      <c r="D1195" s="8" t="s">
        <v>7567</v>
      </c>
      <c r="E1195" s="8" t="s">
        <v>7568</v>
      </c>
      <c r="F1195" s="8" t="s">
        <v>7541</v>
      </c>
      <c r="G1195" s="6" t="s">
        <v>38</v>
      </c>
      <c r="H1195" s="6" t="s">
        <v>39</v>
      </c>
      <c r="I1195" s="8" t="s">
        <v>100</v>
      </c>
      <c r="J1195" s="9">
        <v>1</v>
      </c>
      <c r="K1195" s="9">
        <v>120</v>
      </c>
      <c r="L1195" s="9">
        <v>2023</v>
      </c>
      <c r="M1195" s="8" t="s">
        <v>7569</v>
      </c>
      <c r="N1195" s="8" t="s">
        <v>41</v>
      </c>
      <c r="O1195" s="8" t="s">
        <v>1007</v>
      </c>
      <c r="P1195" s="6" t="s">
        <v>43</v>
      </c>
      <c r="Q1195" s="8" t="s">
        <v>102</v>
      </c>
      <c r="R1195" s="10" t="s">
        <v>1801</v>
      </c>
      <c r="S1195" s="11" t="s">
        <v>7570</v>
      </c>
      <c r="T1195" s="6"/>
      <c r="U1195" s="24" t="str">
        <f>HYPERLINK("https://media.infra-m.ru/1920/1920310/cover/1920310.jpg", "Обложка")</f>
        <v>Обложка</v>
      </c>
      <c r="V1195" s="24" t="str">
        <f>HYPERLINK("https://znanium.ru/catalog/product/2098048", "Ознакомиться")</f>
        <v>Ознакомиться</v>
      </c>
      <c r="W1195" s="8" t="s">
        <v>243</v>
      </c>
      <c r="X1195" s="6"/>
      <c r="Y1195" s="6"/>
      <c r="Z1195" s="6" t="s">
        <v>104</v>
      </c>
      <c r="AA1195" s="6" t="s">
        <v>258</v>
      </c>
      <c r="AB1195" s="8"/>
    </row>
    <row r="1196" spans="1:28" s="4" customFormat="1" ht="51.95" customHeight="1">
      <c r="A1196" s="5">
        <v>0</v>
      </c>
      <c r="B1196" s="6" t="s">
        <v>7571</v>
      </c>
      <c r="C1196" s="13">
        <v>1430</v>
      </c>
      <c r="D1196" s="8" t="s">
        <v>7572</v>
      </c>
      <c r="E1196" s="8" t="s">
        <v>7573</v>
      </c>
      <c r="F1196" s="8" t="s">
        <v>7574</v>
      </c>
      <c r="G1196" s="6" t="s">
        <v>89</v>
      </c>
      <c r="H1196" s="6" t="s">
        <v>53</v>
      </c>
      <c r="I1196" s="8" t="s">
        <v>100</v>
      </c>
      <c r="J1196" s="9">
        <v>1</v>
      </c>
      <c r="K1196" s="9">
        <v>304</v>
      </c>
      <c r="L1196" s="9">
        <v>2024</v>
      </c>
      <c r="M1196" s="8" t="s">
        <v>7575</v>
      </c>
      <c r="N1196" s="8" t="s">
        <v>79</v>
      </c>
      <c r="O1196" s="8" t="s">
        <v>396</v>
      </c>
      <c r="P1196" s="6" t="s">
        <v>43</v>
      </c>
      <c r="Q1196" s="8" t="s">
        <v>102</v>
      </c>
      <c r="R1196" s="10" t="s">
        <v>7576</v>
      </c>
      <c r="S1196" s="11" t="s">
        <v>7577</v>
      </c>
      <c r="T1196" s="6"/>
      <c r="U1196" s="24" t="str">
        <f>HYPERLINK("https://media.infra-m.ru/2138/2138720/cover/2138720.jpg", "Обложка")</f>
        <v>Обложка</v>
      </c>
      <c r="V1196" s="24" t="str">
        <f>HYPERLINK("https://znanium.ru/catalog/product/2138720", "Ознакомиться")</f>
        <v>Ознакомиться</v>
      </c>
      <c r="W1196" s="8" t="s">
        <v>947</v>
      </c>
      <c r="X1196" s="6"/>
      <c r="Y1196" s="6"/>
      <c r="Z1196" s="6" t="s">
        <v>104</v>
      </c>
      <c r="AA1196" s="6" t="s">
        <v>219</v>
      </c>
      <c r="AB1196" s="8"/>
    </row>
    <row r="1197" spans="1:28" s="4" customFormat="1" ht="51.95" customHeight="1">
      <c r="A1197" s="5">
        <v>0</v>
      </c>
      <c r="B1197" s="6" t="s">
        <v>7578</v>
      </c>
      <c r="C1197" s="13">
        <v>1514</v>
      </c>
      <c r="D1197" s="8" t="s">
        <v>7579</v>
      </c>
      <c r="E1197" s="8" t="s">
        <v>7573</v>
      </c>
      <c r="F1197" s="8" t="s">
        <v>7574</v>
      </c>
      <c r="G1197" s="6" t="s">
        <v>89</v>
      </c>
      <c r="H1197" s="6" t="s">
        <v>53</v>
      </c>
      <c r="I1197" s="8" t="s">
        <v>90</v>
      </c>
      <c r="J1197" s="9">
        <v>1</v>
      </c>
      <c r="K1197" s="9">
        <v>304</v>
      </c>
      <c r="L1197" s="9">
        <v>2025</v>
      </c>
      <c r="M1197" s="8" t="s">
        <v>7580</v>
      </c>
      <c r="N1197" s="8" t="s">
        <v>79</v>
      </c>
      <c r="O1197" s="8" t="s">
        <v>396</v>
      </c>
      <c r="P1197" s="6" t="s">
        <v>43</v>
      </c>
      <c r="Q1197" s="8" t="s">
        <v>44</v>
      </c>
      <c r="R1197" s="10" t="s">
        <v>7581</v>
      </c>
      <c r="S1197" s="11" t="s">
        <v>7582</v>
      </c>
      <c r="T1197" s="6"/>
      <c r="U1197" s="24" t="str">
        <f>HYPERLINK("https://media.infra-m.ru/2170/2170084/cover/2170084.jpg", "Обложка")</f>
        <v>Обложка</v>
      </c>
      <c r="V1197" s="24" t="str">
        <f>HYPERLINK("https://znanium.ru/catalog/product/2126761", "Ознакомиться")</f>
        <v>Ознакомиться</v>
      </c>
      <c r="W1197" s="8" t="s">
        <v>947</v>
      </c>
      <c r="X1197" s="6"/>
      <c r="Y1197" s="6"/>
      <c r="Z1197" s="6"/>
      <c r="AA1197" s="6" t="s">
        <v>418</v>
      </c>
      <c r="AB1197" s="8"/>
    </row>
    <row r="1198" spans="1:28" s="4" customFormat="1" ht="51.95" customHeight="1">
      <c r="A1198" s="5">
        <v>0</v>
      </c>
      <c r="B1198" s="6" t="s">
        <v>7583</v>
      </c>
      <c r="C1198" s="13">
        <v>2120</v>
      </c>
      <c r="D1198" s="8" t="s">
        <v>7584</v>
      </c>
      <c r="E1198" s="8" t="s">
        <v>7585</v>
      </c>
      <c r="F1198" s="8" t="s">
        <v>7574</v>
      </c>
      <c r="G1198" s="6" t="s">
        <v>52</v>
      </c>
      <c r="H1198" s="6" t="s">
        <v>53</v>
      </c>
      <c r="I1198" s="8" t="s">
        <v>116</v>
      </c>
      <c r="J1198" s="9">
        <v>1</v>
      </c>
      <c r="K1198" s="9">
        <v>451</v>
      </c>
      <c r="L1198" s="9">
        <v>2024</v>
      </c>
      <c r="M1198" s="8" t="s">
        <v>7586</v>
      </c>
      <c r="N1198" s="8" t="s">
        <v>79</v>
      </c>
      <c r="O1198" s="8" t="s">
        <v>396</v>
      </c>
      <c r="P1198" s="6" t="s">
        <v>43</v>
      </c>
      <c r="Q1198" s="8" t="s">
        <v>44</v>
      </c>
      <c r="R1198" s="10" t="s">
        <v>7581</v>
      </c>
      <c r="S1198" s="11" t="s">
        <v>7582</v>
      </c>
      <c r="T1198" s="6"/>
      <c r="U1198" s="24" t="str">
        <f>HYPERLINK("https://media.infra-m.ru/2138/2138287/cover/2138287.jpg", "Обложка")</f>
        <v>Обложка</v>
      </c>
      <c r="V1198" s="24" t="str">
        <f>HYPERLINK("https://znanium.ru/catalog/product/2138287", "Ознакомиться")</f>
        <v>Ознакомиться</v>
      </c>
      <c r="W1198" s="8" t="s">
        <v>947</v>
      </c>
      <c r="X1198" s="6"/>
      <c r="Y1198" s="6"/>
      <c r="Z1198" s="6"/>
      <c r="AA1198" s="6" t="s">
        <v>418</v>
      </c>
      <c r="AB1198" s="8"/>
    </row>
    <row r="1199" spans="1:28" s="4" customFormat="1" ht="51.95" customHeight="1">
      <c r="A1199" s="5">
        <v>0</v>
      </c>
      <c r="B1199" s="6" t="s">
        <v>7587</v>
      </c>
      <c r="C1199" s="13">
        <v>2400</v>
      </c>
      <c r="D1199" s="8" t="s">
        <v>7588</v>
      </c>
      <c r="E1199" s="8" t="s">
        <v>7589</v>
      </c>
      <c r="F1199" s="8" t="s">
        <v>7590</v>
      </c>
      <c r="G1199" s="6" t="s">
        <v>52</v>
      </c>
      <c r="H1199" s="6" t="s">
        <v>53</v>
      </c>
      <c r="I1199" s="8" t="s">
        <v>116</v>
      </c>
      <c r="J1199" s="9">
        <v>1</v>
      </c>
      <c r="K1199" s="9">
        <v>479</v>
      </c>
      <c r="L1199" s="9">
        <v>2025</v>
      </c>
      <c r="M1199" s="8" t="s">
        <v>7591</v>
      </c>
      <c r="N1199" s="8" t="s">
        <v>79</v>
      </c>
      <c r="O1199" s="8" t="s">
        <v>424</v>
      </c>
      <c r="P1199" s="6" t="s">
        <v>167</v>
      </c>
      <c r="Q1199" s="8" t="s">
        <v>214</v>
      </c>
      <c r="R1199" s="10" t="s">
        <v>4598</v>
      </c>
      <c r="S1199" s="11" t="s">
        <v>7592</v>
      </c>
      <c r="T1199" s="6"/>
      <c r="U1199" s="24" t="str">
        <f>HYPERLINK("https://media.infra-m.ru/2172/2172243/cover/2172243.jpg", "Обложка")</f>
        <v>Обложка</v>
      </c>
      <c r="V1199" s="24" t="str">
        <f>HYPERLINK("https://znanium.ru/catalog/product/2172243", "Ознакомиться")</f>
        <v>Ознакомиться</v>
      </c>
      <c r="W1199" s="8" t="s">
        <v>2938</v>
      </c>
      <c r="X1199" s="6"/>
      <c r="Y1199" s="6"/>
      <c r="Z1199" s="6"/>
      <c r="AA1199" s="6" t="s">
        <v>7593</v>
      </c>
      <c r="AB1199" s="8"/>
    </row>
    <row r="1200" spans="1:28" s="4" customFormat="1" ht="51.95" customHeight="1">
      <c r="A1200" s="5">
        <v>0</v>
      </c>
      <c r="B1200" s="6" t="s">
        <v>7594</v>
      </c>
      <c r="C1200" s="13">
        <v>2400</v>
      </c>
      <c r="D1200" s="8" t="s">
        <v>7595</v>
      </c>
      <c r="E1200" s="8" t="s">
        <v>7589</v>
      </c>
      <c r="F1200" s="8" t="s">
        <v>7590</v>
      </c>
      <c r="G1200" s="6" t="s">
        <v>52</v>
      </c>
      <c r="H1200" s="6" t="s">
        <v>53</v>
      </c>
      <c r="I1200" s="8" t="s">
        <v>100</v>
      </c>
      <c r="J1200" s="9">
        <v>1</v>
      </c>
      <c r="K1200" s="9">
        <v>479</v>
      </c>
      <c r="L1200" s="9">
        <v>2025</v>
      </c>
      <c r="M1200" s="8" t="s">
        <v>7596</v>
      </c>
      <c r="N1200" s="8" t="s">
        <v>413</v>
      </c>
      <c r="O1200" s="8" t="s">
        <v>414</v>
      </c>
      <c r="P1200" s="6" t="s">
        <v>167</v>
      </c>
      <c r="Q1200" s="8" t="s">
        <v>102</v>
      </c>
      <c r="R1200" s="10" t="s">
        <v>5113</v>
      </c>
      <c r="S1200" s="11" t="s">
        <v>7597</v>
      </c>
      <c r="T1200" s="6"/>
      <c r="U1200" s="24" t="str">
        <f>HYPERLINK("https://media.infra-m.ru/2163/2163285/cover/2163285.jpg", "Обложка")</f>
        <v>Обложка</v>
      </c>
      <c r="V1200" s="24" t="str">
        <f>HYPERLINK("https://znanium.ru/catalog/product/2163285", "Ознакомиться")</f>
        <v>Ознакомиться</v>
      </c>
      <c r="W1200" s="8" t="s">
        <v>2938</v>
      </c>
      <c r="X1200" s="6"/>
      <c r="Y1200" s="6"/>
      <c r="Z1200" s="6" t="s">
        <v>2565</v>
      </c>
      <c r="AA1200" s="6" t="s">
        <v>2313</v>
      </c>
      <c r="AB1200" s="8"/>
    </row>
    <row r="1201" spans="1:28" s="4" customFormat="1" ht="51.95" customHeight="1">
      <c r="A1201" s="5">
        <v>0</v>
      </c>
      <c r="B1201" s="6" t="s">
        <v>7598</v>
      </c>
      <c r="C1201" s="13">
        <v>1050</v>
      </c>
      <c r="D1201" s="8" t="s">
        <v>7599</v>
      </c>
      <c r="E1201" s="8" t="s">
        <v>7600</v>
      </c>
      <c r="F1201" s="8" t="s">
        <v>7601</v>
      </c>
      <c r="G1201" s="6" t="s">
        <v>89</v>
      </c>
      <c r="H1201" s="6" t="s">
        <v>53</v>
      </c>
      <c r="I1201" s="8" t="s">
        <v>782</v>
      </c>
      <c r="J1201" s="9">
        <v>1</v>
      </c>
      <c r="K1201" s="9">
        <v>199</v>
      </c>
      <c r="L1201" s="9">
        <v>2025</v>
      </c>
      <c r="M1201" s="8" t="s">
        <v>7602</v>
      </c>
      <c r="N1201" s="8" t="s">
        <v>79</v>
      </c>
      <c r="O1201" s="8" t="s">
        <v>148</v>
      </c>
      <c r="P1201" s="6" t="s">
        <v>43</v>
      </c>
      <c r="Q1201" s="8" t="s">
        <v>44</v>
      </c>
      <c r="R1201" s="10" t="s">
        <v>7603</v>
      </c>
      <c r="S1201" s="11" t="s">
        <v>7604</v>
      </c>
      <c r="T1201" s="6"/>
      <c r="U1201" s="24" t="str">
        <f>HYPERLINK("https://media.infra-m.ru/2178/2178818/cover/2178818.jpg", "Обложка")</f>
        <v>Обложка</v>
      </c>
      <c r="V1201" s="12"/>
      <c r="W1201" s="8" t="s">
        <v>784</v>
      </c>
      <c r="X1201" s="6"/>
      <c r="Y1201" s="6"/>
      <c r="Z1201" s="6"/>
      <c r="AA1201" s="6" t="s">
        <v>7605</v>
      </c>
      <c r="AB1201" s="8"/>
    </row>
    <row r="1202" spans="1:28" s="4" customFormat="1" ht="51.95" customHeight="1">
      <c r="A1202" s="5">
        <v>0</v>
      </c>
      <c r="B1202" s="6" t="s">
        <v>7606</v>
      </c>
      <c r="C1202" s="13">
        <v>1990</v>
      </c>
      <c r="D1202" s="8" t="s">
        <v>7607</v>
      </c>
      <c r="E1202" s="8" t="s">
        <v>7608</v>
      </c>
      <c r="F1202" s="8" t="s">
        <v>7609</v>
      </c>
      <c r="G1202" s="6" t="s">
        <v>89</v>
      </c>
      <c r="H1202" s="6" t="s">
        <v>53</v>
      </c>
      <c r="I1202" s="8" t="s">
        <v>100</v>
      </c>
      <c r="J1202" s="9">
        <v>1</v>
      </c>
      <c r="K1202" s="9">
        <v>396</v>
      </c>
      <c r="L1202" s="9">
        <v>2025</v>
      </c>
      <c r="M1202" s="8" t="s">
        <v>7610</v>
      </c>
      <c r="N1202" s="8" t="s">
        <v>79</v>
      </c>
      <c r="O1202" s="8" t="s">
        <v>148</v>
      </c>
      <c r="P1202" s="6" t="s">
        <v>167</v>
      </c>
      <c r="Q1202" s="8" t="s">
        <v>102</v>
      </c>
      <c r="R1202" s="10" t="s">
        <v>7611</v>
      </c>
      <c r="S1202" s="11" t="s">
        <v>7612</v>
      </c>
      <c r="T1202" s="6"/>
      <c r="U1202" s="24" t="str">
        <f>HYPERLINK("https://media.infra-m.ru/2185/2185380/cover/2185380.jpg", "Обложка")</f>
        <v>Обложка</v>
      </c>
      <c r="V1202" s="24" t="str">
        <f>HYPERLINK("https://znanium.ru/catalog/product/2185380", "Ознакомиться")</f>
        <v>Ознакомиться</v>
      </c>
      <c r="W1202" s="8" t="s">
        <v>347</v>
      </c>
      <c r="X1202" s="6"/>
      <c r="Y1202" s="6"/>
      <c r="Z1202" s="6" t="s">
        <v>104</v>
      </c>
      <c r="AA1202" s="6" t="s">
        <v>793</v>
      </c>
      <c r="AB1202" s="8"/>
    </row>
    <row r="1203" spans="1:28" s="4" customFormat="1" ht="51.95" customHeight="1">
      <c r="A1203" s="5">
        <v>0</v>
      </c>
      <c r="B1203" s="6" t="s">
        <v>7613</v>
      </c>
      <c r="C1203" s="13">
        <v>1830</v>
      </c>
      <c r="D1203" s="8" t="s">
        <v>7614</v>
      </c>
      <c r="E1203" s="8" t="s">
        <v>7608</v>
      </c>
      <c r="F1203" s="8" t="s">
        <v>7609</v>
      </c>
      <c r="G1203" s="6" t="s">
        <v>89</v>
      </c>
      <c r="H1203" s="6" t="s">
        <v>53</v>
      </c>
      <c r="I1203" s="8" t="s">
        <v>90</v>
      </c>
      <c r="J1203" s="9">
        <v>1</v>
      </c>
      <c r="K1203" s="9">
        <v>396</v>
      </c>
      <c r="L1203" s="9">
        <v>2023</v>
      </c>
      <c r="M1203" s="8" t="s">
        <v>7615</v>
      </c>
      <c r="N1203" s="8" t="s">
        <v>79</v>
      </c>
      <c r="O1203" s="8" t="s">
        <v>148</v>
      </c>
      <c r="P1203" s="6" t="s">
        <v>167</v>
      </c>
      <c r="Q1203" s="8" t="s">
        <v>44</v>
      </c>
      <c r="R1203" s="10" t="s">
        <v>7603</v>
      </c>
      <c r="S1203" s="11" t="s">
        <v>7616</v>
      </c>
      <c r="T1203" s="6"/>
      <c r="U1203" s="24" t="str">
        <f>HYPERLINK("https://media.infra-m.ru/2125/2125353/cover/2125353.jpg", "Обложка")</f>
        <v>Обложка</v>
      </c>
      <c r="V1203" s="24" t="str">
        <f>HYPERLINK("https://znanium.ru/catalog/product/2125353", "Ознакомиться")</f>
        <v>Ознакомиться</v>
      </c>
      <c r="W1203" s="8" t="s">
        <v>347</v>
      </c>
      <c r="X1203" s="6"/>
      <c r="Y1203" s="6"/>
      <c r="Z1203" s="6"/>
      <c r="AA1203" s="6" t="s">
        <v>2217</v>
      </c>
      <c r="AB1203" s="8"/>
    </row>
    <row r="1204" spans="1:28" s="4" customFormat="1" ht="51.95" customHeight="1">
      <c r="A1204" s="5">
        <v>0</v>
      </c>
      <c r="B1204" s="6" t="s">
        <v>7617</v>
      </c>
      <c r="C1204" s="7">
        <v>777</v>
      </c>
      <c r="D1204" s="8" t="s">
        <v>7618</v>
      </c>
      <c r="E1204" s="8" t="s">
        <v>7619</v>
      </c>
      <c r="F1204" s="8" t="s">
        <v>7620</v>
      </c>
      <c r="G1204" s="6" t="s">
        <v>38</v>
      </c>
      <c r="H1204" s="6" t="s">
        <v>53</v>
      </c>
      <c r="I1204" s="8" t="s">
        <v>90</v>
      </c>
      <c r="J1204" s="9">
        <v>1</v>
      </c>
      <c r="K1204" s="9">
        <v>128</v>
      </c>
      <c r="L1204" s="9">
        <v>2024</v>
      </c>
      <c r="M1204" s="8" t="s">
        <v>7621</v>
      </c>
      <c r="N1204" s="8" t="s">
        <v>79</v>
      </c>
      <c r="O1204" s="8" t="s">
        <v>148</v>
      </c>
      <c r="P1204" s="6" t="s">
        <v>187</v>
      </c>
      <c r="Q1204" s="8" t="s">
        <v>44</v>
      </c>
      <c r="R1204" s="10" t="s">
        <v>7622</v>
      </c>
      <c r="S1204" s="11" t="s">
        <v>7623</v>
      </c>
      <c r="T1204" s="6"/>
      <c r="U1204" s="24" t="str">
        <f>HYPERLINK("https://media.infra-m.ru/2107/2107390/cover/2107390.jpg", "Обложка")</f>
        <v>Обложка</v>
      </c>
      <c r="V1204" s="24" t="str">
        <f>HYPERLINK("https://znanium.ru/catalog/product/1896808", "Ознакомиться")</f>
        <v>Ознакомиться</v>
      </c>
      <c r="W1204" s="8" t="s">
        <v>5825</v>
      </c>
      <c r="X1204" s="6"/>
      <c r="Y1204" s="6"/>
      <c r="Z1204" s="6"/>
      <c r="AA1204" s="6" t="s">
        <v>47</v>
      </c>
      <c r="AB1204" s="8"/>
    </row>
    <row r="1205" spans="1:28" s="4" customFormat="1" ht="51.95" customHeight="1">
      <c r="A1205" s="5">
        <v>0</v>
      </c>
      <c r="B1205" s="6" t="s">
        <v>7624</v>
      </c>
      <c r="C1205" s="7">
        <v>990</v>
      </c>
      <c r="D1205" s="8" t="s">
        <v>7625</v>
      </c>
      <c r="E1205" s="8" t="s">
        <v>7626</v>
      </c>
      <c r="F1205" s="8" t="s">
        <v>7627</v>
      </c>
      <c r="G1205" s="6" t="s">
        <v>38</v>
      </c>
      <c r="H1205" s="6" t="s">
        <v>39</v>
      </c>
      <c r="I1205" s="8" t="s">
        <v>100</v>
      </c>
      <c r="J1205" s="9">
        <v>1</v>
      </c>
      <c r="K1205" s="9">
        <v>83</v>
      </c>
      <c r="L1205" s="9">
        <v>2025</v>
      </c>
      <c r="M1205" s="8" t="s">
        <v>7628</v>
      </c>
      <c r="N1205" s="8" t="s">
        <v>79</v>
      </c>
      <c r="O1205" s="8" t="s">
        <v>148</v>
      </c>
      <c r="P1205" s="6" t="s">
        <v>7629</v>
      </c>
      <c r="Q1205" s="8" t="s">
        <v>102</v>
      </c>
      <c r="R1205" s="10" t="s">
        <v>7630</v>
      </c>
      <c r="S1205" s="11" t="s">
        <v>7631</v>
      </c>
      <c r="T1205" s="6"/>
      <c r="U1205" s="24" t="str">
        <f>HYPERLINK("https://media.infra-m.ru/2179/2179099/cover/2179099.jpg", "Обложка")</f>
        <v>Обложка</v>
      </c>
      <c r="V1205" s="24" t="str">
        <f>HYPERLINK("https://znanium.ru/catalog/product/2179099", "Ознакомиться")</f>
        <v>Ознакомиться</v>
      </c>
      <c r="W1205" s="8" t="s">
        <v>792</v>
      </c>
      <c r="X1205" s="6"/>
      <c r="Y1205" s="6"/>
      <c r="Z1205" s="6"/>
      <c r="AA1205" s="6" t="s">
        <v>701</v>
      </c>
      <c r="AB1205" s="8"/>
    </row>
    <row r="1206" spans="1:28" s="4" customFormat="1" ht="51.95" customHeight="1">
      <c r="A1206" s="5">
        <v>0</v>
      </c>
      <c r="B1206" s="6" t="s">
        <v>7632</v>
      </c>
      <c r="C1206" s="7">
        <v>780</v>
      </c>
      <c r="D1206" s="8" t="s">
        <v>7633</v>
      </c>
      <c r="E1206" s="8" t="s">
        <v>7634</v>
      </c>
      <c r="F1206" s="8" t="s">
        <v>7601</v>
      </c>
      <c r="G1206" s="6" t="s">
        <v>89</v>
      </c>
      <c r="H1206" s="6" t="s">
        <v>53</v>
      </c>
      <c r="I1206" s="8" t="s">
        <v>782</v>
      </c>
      <c r="J1206" s="9">
        <v>1</v>
      </c>
      <c r="K1206" s="9">
        <v>156</v>
      </c>
      <c r="L1206" s="9">
        <v>2024</v>
      </c>
      <c r="M1206" s="8" t="s">
        <v>7635</v>
      </c>
      <c r="N1206" s="8" t="s">
        <v>79</v>
      </c>
      <c r="O1206" s="8" t="s">
        <v>148</v>
      </c>
      <c r="P1206" s="6" t="s">
        <v>43</v>
      </c>
      <c r="Q1206" s="8" t="s">
        <v>58</v>
      </c>
      <c r="R1206" s="10" t="s">
        <v>7636</v>
      </c>
      <c r="S1206" s="11" t="s">
        <v>7637</v>
      </c>
      <c r="T1206" s="6"/>
      <c r="U1206" s="24" t="str">
        <f>HYPERLINK("https://media.infra-m.ru/2149/2149566/cover/2149566.jpg", "Обложка")</f>
        <v>Обложка</v>
      </c>
      <c r="V1206" s="12"/>
      <c r="W1206" s="8" t="s">
        <v>784</v>
      </c>
      <c r="X1206" s="6"/>
      <c r="Y1206" s="6"/>
      <c r="Z1206" s="6"/>
      <c r="AA1206" s="6" t="s">
        <v>638</v>
      </c>
      <c r="AB1206" s="8"/>
    </row>
    <row r="1207" spans="1:28" s="4" customFormat="1" ht="51.95" customHeight="1">
      <c r="A1207" s="5">
        <v>0</v>
      </c>
      <c r="B1207" s="6" t="s">
        <v>7638</v>
      </c>
      <c r="C1207" s="7">
        <v>654</v>
      </c>
      <c r="D1207" s="8" t="s">
        <v>7639</v>
      </c>
      <c r="E1207" s="8" t="s">
        <v>7640</v>
      </c>
      <c r="F1207" s="8" t="s">
        <v>7641</v>
      </c>
      <c r="G1207" s="6" t="s">
        <v>38</v>
      </c>
      <c r="H1207" s="6" t="s">
        <v>53</v>
      </c>
      <c r="I1207" s="8" t="s">
        <v>90</v>
      </c>
      <c r="J1207" s="9">
        <v>1</v>
      </c>
      <c r="K1207" s="9">
        <v>125</v>
      </c>
      <c r="L1207" s="9">
        <v>2025</v>
      </c>
      <c r="M1207" s="8" t="s">
        <v>7642</v>
      </c>
      <c r="N1207" s="8" t="s">
        <v>79</v>
      </c>
      <c r="O1207" s="8" t="s">
        <v>148</v>
      </c>
      <c r="P1207" s="6" t="s">
        <v>43</v>
      </c>
      <c r="Q1207" s="8" t="s">
        <v>44</v>
      </c>
      <c r="R1207" s="10" t="s">
        <v>7643</v>
      </c>
      <c r="S1207" s="11" t="s">
        <v>7644</v>
      </c>
      <c r="T1207" s="6"/>
      <c r="U1207" s="24" t="str">
        <f>HYPERLINK("https://media.infra-m.ru/2160/2160670/cover/2160670.jpg", "Обложка")</f>
        <v>Обложка</v>
      </c>
      <c r="V1207" s="24" t="str">
        <f>HYPERLINK("https://znanium.ru/catalog/product/2149569", "Ознакомиться")</f>
        <v>Ознакомиться</v>
      </c>
      <c r="W1207" s="8" t="s">
        <v>399</v>
      </c>
      <c r="X1207" s="6"/>
      <c r="Y1207" s="6"/>
      <c r="Z1207" s="6"/>
      <c r="AA1207" s="6" t="s">
        <v>219</v>
      </c>
      <c r="AB1207" s="8"/>
    </row>
    <row r="1208" spans="1:28" s="4" customFormat="1" ht="51.95" customHeight="1">
      <c r="A1208" s="5">
        <v>0</v>
      </c>
      <c r="B1208" s="6" t="s">
        <v>7645</v>
      </c>
      <c r="C1208" s="7">
        <v>470</v>
      </c>
      <c r="D1208" s="8" t="s">
        <v>7646</v>
      </c>
      <c r="E1208" s="8" t="s">
        <v>7647</v>
      </c>
      <c r="F1208" s="8" t="s">
        <v>7609</v>
      </c>
      <c r="G1208" s="6" t="s">
        <v>38</v>
      </c>
      <c r="H1208" s="6" t="s">
        <v>53</v>
      </c>
      <c r="I1208" s="8" t="s">
        <v>116</v>
      </c>
      <c r="J1208" s="9">
        <v>1</v>
      </c>
      <c r="K1208" s="9">
        <v>78</v>
      </c>
      <c r="L1208" s="9">
        <v>2023</v>
      </c>
      <c r="M1208" s="8" t="s">
        <v>7648</v>
      </c>
      <c r="N1208" s="8" t="s">
        <v>79</v>
      </c>
      <c r="O1208" s="8" t="s">
        <v>148</v>
      </c>
      <c r="P1208" s="6" t="s">
        <v>43</v>
      </c>
      <c r="Q1208" s="8" t="s">
        <v>58</v>
      </c>
      <c r="R1208" s="10" t="s">
        <v>7649</v>
      </c>
      <c r="S1208" s="11" t="s">
        <v>7650</v>
      </c>
      <c r="T1208" s="6"/>
      <c r="U1208" s="24" t="str">
        <f>HYPERLINK("https://media.infra-m.ru/2029/2029802/cover/2029802.jpg", "Обложка")</f>
        <v>Обложка</v>
      </c>
      <c r="V1208" s="24" t="str">
        <f>HYPERLINK("https://znanium.ru/catalog/product/2029802", "Ознакомиться")</f>
        <v>Ознакомиться</v>
      </c>
      <c r="W1208" s="8" t="s">
        <v>347</v>
      </c>
      <c r="X1208" s="6"/>
      <c r="Y1208" s="6"/>
      <c r="Z1208" s="6"/>
      <c r="AA1208" s="6" t="s">
        <v>326</v>
      </c>
      <c r="AB1208" s="8"/>
    </row>
    <row r="1209" spans="1:28" s="4" customFormat="1" ht="51.95" customHeight="1">
      <c r="A1209" s="5">
        <v>0</v>
      </c>
      <c r="B1209" s="6" t="s">
        <v>7651</v>
      </c>
      <c r="C1209" s="7">
        <v>924</v>
      </c>
      <c r="D1209" s="8" t="s">
        <v>7652</v>
      </c>
      <c r="E1209" s="8" t="s">
        <v>7653</v>
      </c>
      <c r="F1209" s="8" t="s">
        <v>7654</v>
      </c>
      <c r="G1209" s="6" t="s">
        <v>38</v>
      </c>
      <c r="H1209" s="6" t="s">
        <v>438</v>
      </c>
      <c r="I1209" s="8"/>
      <c r="J1209" s="9">
        <v>1</v>
      </c>
      <c r="K1209" s="9">
        <v>184</v>
      </c>
      <c r="L1209" s="9">
        <v>2024</v>
      </c>
      <c r="M1209" s="8" t="s">
        <v>7655</v>
      </c>
      <c r="N1209" s="8" t="s">
        <v>79</v>
      </c>
      <c r="O1209" s="8" t="s">
        <v>148</v>
      </c>
      <c r="P1209" s="6" t="s">
        <v>43</v>
      </c>
      <c r="Q1209" s="8" t="s">
        <v>58</v>
      </c>
      <c r="R1209" s="10" t="s">
        <v>7656</v>
      </c>
      <c r="S1209" s="11" t="s">
        <v>7657</v>
      </c>
      <c r="T1209" s="6"/>
      <c r="U1209" s="24" t="str">
        <f>HYPERLINK("https://media.infra-m.ru/2149/2149571/cover/2149571.jpg", "Обложка")</f>
        <v>Обложка</v>
      </c>
      <c r="V1209" s="24" t="str">
        <f>HYPERLINK("https://znanium.ru/catalog/product/1024062", "Ознакомиться")</f>
        <v>Ознакомиться</v>
      </c>
      <c r="W1209" s="8" t="s">
        <v>758</v>
      </c>
      <c r="X1209" s="6"/>
      <c r="Y1209" s="6" t="s">
        <v>30</v>
      </c>
      <c r="Z1209" s="6"/>
      <c r="AA1209" s="6" t="s">
        <v>701</v>
      </c>
      <c r="AB1209" s="8"/>
    </row>
    <row r="1210" spans="1:28" s="4" customFormat="1" ht="51.95" customHeight="1">
      <c r="A1210" s="5">
        <v>0</v>
      </c>
      <c r="B1210" s="6" t="s">
        <v>7658</v>
      </c>
      <c r="C1210" s="7">
        <v>682</v>
      </c>
      <c r="D1210" s="8" t="s">
        <v>7659</v>
      </c>
      <c r="E1210" s="8" t="s">
        <v>7660</v>
      </c>
      <c r="F1210" s="8" t="s">
        <v>7627</v>
      </c>
      <c r="G1210" s="6" t="s">
        <v>38</v>
      </c>
      <c r="H1210" s="6" t="s">
        <v>39</v>
      </c>
      <c r="I1210" s="8" t="s">
        <v>100</v>
      </c>
      <c r="J1210" s="9">
        <v>1</v>
      </c>
      <c r="K1210" s="9">
        <v>56</v>
      </c>
      <c r="L1210" s="9">
        <v>2025</v>
      </c>
      <c r="M1210" s="8" t="s">
        <v>7661</v>
      </c>
      <c r="N1210" s="8" t="s">
        <v>79</v>
      </c>
      <c r="O1210" s="8" t="s">
        <v>148</v>
      </c>
      <c r="P1210" s="6" t="s">
        <v>7629</v>
      </c>
      <c r="Q1210" s="8" t="s">
        <v>102</v>
      </c>
      <c r="R1210" s="10" t="s">
        <v>7662</v>
      </c>
      <c r="S1210" s="11" t="s">
        <v>6590</v>
      </c>
      <c r="T1210" s="6"/>
      <c r="U1210" s="24" t="str">
        <f>HYPERLINK("https://media.infra-m.ru/2185/2185122/cover/2185122.jpg", "Обложка")</f>
        <v>Обложка</v>
      </c>
      <c r="V1210" s="24" t="str">
        <f>HYPERLINK("https://znanium.ru/catalog/product/2185122", "Ознакомиться")</f>
        <v>Ознакомиться</v>
      </c>
      <c r="W1210" s="8" t="s">
        <v>71</v>
      </c>
      <c r="X1210" s="6"/>
      <c r="Y1210" s="6"/>
      <c r="Z1210" s="6"/>
      <c r="AA1210" s="6" t="s">
        <v>7663</v>
      </c>
      <c r="AB1210" s="8"/>
    </row>
    <row r="1211" spans="1:28" s="4" customFormat="1" ht="51.95" customHeight="1">
      <c r="A1211" s="5">
        <v>0</v>
      </c>
      <c r="B1211" s="6" t="s">
        <v>7664</v>
      </c>
      <c r="C1211" s="13">
        <v>1714.9</v>
      </c>
      <c r="D1211" s="8" t="s">
        <v>7665</v>
      </c>
      <c r="E1211" s="8" t="s">
        <v>7666</v>
      </c>
      <c r="F1211" s="8" t="s">
        <v>7667</v>
      </c>
      <c r="G1211" s="6" t="s">
        <v>89</v>
      </c>
      <c r="H1211" s="6" t="s">
        <v>53</v>
      </c>
      <c r="I1211" s="8" t="s">
        <v>100</v>
      </c>
      <c r="J1211" s="9">
        <v>1</v>
      </c>
      <c r="K1211" s="9">
        <v>381</v>
      </c>
      <c r="L1211" s="9">
        <v>2023</v>
      </c>
      <c r="M1211" s="8" t="s">
        <v>7668</v>
      </c>
      <c r="N1211" s="8" t="s">
        <v>79</v>
      </c>
      <c r="O1211" s="8" t="s">
        <v>148</v>
      </c>
      <c r="P1211" s="6" t="s">
        <v>167</v>
      </c>
      <c r="Q1211" s="8" t="s">
        <v>102</v>
      </c>
      <c r="R1211" s="10" t="s">
        <v>7669</v>
      </c>
      <c r="S1211" s="11" t="s">
        <v>7670</v>
      </c>
      <c r="T1211" s="6"/>
      <c r="U1211" s="24" t="str">
        <f>HYPERLINK("https://media.infra-m.ru/1965/1965747/cover/1965747.jpg", "Обложка")</f>
        <v>Обложка</v>
      </c>
      <c r="V1211" s="24" t="str">
        <f>HYPERLINK("https://znanium.ru/catalog/product/1896569", "Ознакомиться")</f>
        <v>Ознакомиться</v>
      </c>
      <c r="W1211" s="8" t="s">
        <v>758</v>
      </c>
      <c r="X1211" s="6"/>
      <c r="Y1211" s="6"/>
      <c r="Z1211" s="6"/>
      <c r="AA1211" s="6" t="s">
        <v>258</v>
      </c>
      <c r="AB1211" s="8"/>
    </row>
    <row r="1212" spans="1:28" s="4" customFormat="1" ht="51.95" customHeight="1">
      <c r="A1212" s="5">
        <v>0</v>
      </c>
      <c r="B1212" s="6" t="s">
        <v>7671</v>
      </c>
      <c r="C1212" s="13">
        <v>2587</v>
      </c>
      <c r="D1212" s="8" t="s">
        <v>7672</v>
      </c>
      <c r="E1212" s="8" t="s">
        <v>7666</v>
      </c>
      <c r="F1212" s="8" t="s">
        <v>7673</v>
      </c>
      <c r="G1212" s="6" t="s">
        <v>89</v>
      </c>
      <c r="H1212" s="6" t="s">
        <v>53</v>
      </c>
      <c r="I1212" s="8" t="s">
        <v>100</v>
      </c>
      <c r="J1212" s="9">
        <v>1</v>
      </c>
      <c r="K1212" s="9">
        <v>383</v>
      </c>
      <c r="L1212" s="9">
        <v>2025</v>
      </c>
      <c r="M1212" s="8" t="s">
        <v>7674</v>
      </c>
      <c r="N1212" s="8" t="s">
        <v>79</v>
      </c>
      <c r="O1212" s="8" t="s">
        <v>148</v>
      </c>
      <c r="P1212" s="6" t="s">
        <v>167</v>
      </c>
      <c r="Q1212" s="8" t="s">
        <v>102</v>
      </c>
      <c r="R1212" s="10" t="s">
        <v>7675</v>
      </c>
      <c r="S1212" s="11" t="s">
        <v>7676</v>
      </c>
      <c r="T1212" s="6"/>
      <c r="U1212" s="24" t="str">
        <f>HYPERLINK("https://media.infra-m.ru/2200/2200766/cover/2200766.jpg", "Обложка")</f>
        <v>Обложка</v>
      </c>
      <c r="V1212" s="24" t="str">
        <f>HYPERLINK("https://znanium.ru/catalog/product/2169732", "Ознакомиться")</f>
        <v>Ознакомиться</v>
      </c>
      <c r="W1212" s="8" t="s">
        <v>1313</v>
      </c>
      <c r="X1212" s="6"/>
      <c r="Y1212" s="6"/>
      <c r="Z1212" s="6"/>
      <c r="AA1212" s="6" t="s">
        <v>793</v>
      </c>
      <c r="AB1212" s="8"/>
    </row>
    <row r="1213" spans="1:28" s="4" customFormat="1" ht="51.95" customHeight="1">
      <c r="A1213" s="5">
        <v>0</v>
      </c>
      <c r="B1213" s="6" t="s">
        <v>7677</v>
      </c>
      <c r="C1213" s="13">
        <v>1410</v>
      </c>
      <c r="D1213" s="8" t="s">
        <v>7678</v>
      </c>
      <c r="E1213" s="8" t="s">
        <v>7679</v>
      </c>
      <c r="F1213" s="8" t="s">
        <v>7680</v>
      </c>
      <c r="G1213" s="6" t="s">
        <v>89</v>
      </c>
      <c r="H1213" s="6" t="s">
        <v>53</v>
      </c>
      <c r="I1213" s="8" t="s">
        <v>100</v>
      </c>
      <c r="J1213" s="9">
        <v>1</v>
      </c>
      <c r="K1213" s="9">
        <v>305</v>
      </c>
      <c r="L1213" s="9">
        <v>2024</v>
      </c>
      <c r="M1213" s="8" t="s">
        <v>7681</v>
      </c>
      <c r="N1213" s="8" t="s">
        <v>79</v>
      </c>
      <c r="O1213" s="8" t="s">
        <v>148</v>
      </c>
      <c r="P1213" s="6" t="s">
        <v>167</v>
      </c>
      <c r="Q1213" s="8" t="s">
        <v>102</v>
      </c>
      <c r="R1213" s="10" t="s">
        <v>5775</v>
      </c>
      <c r="S1213" s="11" t="s">
        <v>7682</v>
      </c>
      <c r="T1213" s="6"/>
      <c r="U1213" s="24" t="str">
        <f>HYPERLINK("https://media.infra-m.ru/2130/2130726/cover/2130726.jpg", "Обложка")</f>
        <v>Обложка</v>
      </c>
      <c r="V1213" s="24" t="str">
        <f>HYPERLINK("https://znanium.ru/catalog/product/2130726", "Ознакомиться")</f>
        <v>Ознакомиться</v>
      </c>
      <c r="W1213" s="8" t="s">
        <v>1689</v>
      </c>
      <c r="X1213" s="6"/>
      <c r="Y1213" s="6"/>
      <c r="Z1213" s="6"/>
      <c r="AA1213" s="6" t="s">
        <v>1259</v>
      </c>
      <c r="AB1213" s="8"/>
    </row>
    <row r="1214" spans="1:28" s="4" customFormat="1" ht="51.95" customHeight="1">
      <c r="A1214" s="5">
        <v>0</v>
      </c>
      <c r="B1214" s="6" t="s">
        <v>7683</v>
      </c>
      <c r="C1214" s="7">
        <v>894.9</v>
      </c>
      <c r="D1214" s="8" t="s">
        <v>7684</v>
      </c>
      <c r="E1214" s="8" t="s">
        <v>7666</v>
      </c>
      <c r="F1214" s="8" t="s">
        <v>7685</v>
      </c>
      <c r="G1214" s="6" t="s">
        <v>89</v>
      </c>
      <c r="H1214" s="6" t="s">
        <v>53</v>
      </c>
      <c r="I1214" s="8" t="s">
        <v>4855</v>
      </c>
      <c r="J1214" s="9">
        <v>1</v>
      </c>
      <c r="K1214" s="9">
        <v>199</v>
      </c>
      <c r="L1214" s="9">
        <v>2023</v>
      </c>
      <c r="M1214" s="8" t="s">
        <v>7686</v>
      </c>
      <c r="N1214" s="8" t="s">
        <v>79</v>
      </c>
      <c r="O1214" s="8" t="s">
        <v>148</v>
      </c>
      <c r="P1214" s="6" t="s">
        <v>43</v>
      </c>
      <c r="Q1214" s="8" t="s">
        <v>44</v>
      </c>
      <c r="R1214" s="10" t="s">
        <v>7687</v>
      </c>
      <c r="S1214" s="11" t="s">
        <v>7688</v>
      </c>
      <c r="T1214" s="6"/>
      <c r="U1214" s="24" t="str">
        <f>HYPERLINK("https://media.infra-m.ru/1869/1869220/cover/1869220.jpg", "Обложка")</f>
        <v>Обложка</v>
      </c>
      <c r="V1214" s="12"/>
      <c r="W1214" s="8" t="s">
        <v>784</v>
      </c>
      <c r="X1214" s="6"/>
      <c r="Y1214" s="6"/>
      <c r="Z1214" s="6"/>
      <c r="AA1214" s="6" t="s">
        <v>151</v>
      </c>
      <c r="AB1214" s="8"/>
    </row>
    <row r="1215" spans="1:28" s="4" customFormat="1" ht="51.95" customHeight="1">
      <c r="A1215" s="5">
        <v>0</v>
      </c>
      <c r="B1215" s="6" t="s">
        <v>7689</v>
      </c>
      <c r="C1215" s="7">
        <v>884.9</v>
      </c>
      <c r="D1215" s="8" t="s">
        <v>7690</v>
      </c>
      <c r="E1215" s="8" t="s">
        <v>7691</v>
      </c>
      <c r="F1215" s="8" t="s">
        <v>7692</v>
      </c>
      <c r="G1215" s="6" t="s">
        <v>38</v>
      </c>
      <c r="H1215" s="6" t="s">
        <v>53</v>
      </c>
      <c r="I1215" s="8" t="s">
        <v>7693</v>
      </c>
      <c r="J1215" s="9">
        <v>1</v>
      </c>
      <c r="K1215" s="9">
        <v>197</v>
      </c>
      <c r="L1215" s="9">
        <v>2023</v>
      </c>
      <c r="M1215" s="8" t="s">
        <v>7694</v>
      </c>
      <c r="N1215" s="8" t="s">
        <v>997</v>
      </c>
      <c r="O1215" s="8" t="s">
        <v>998</v>
      </c>
      <c r="P1215" s="6" t="s">
        <v>43</v>
      </c>
      <c r="Q1215" s="8" t="s">
        <v>1674</v>
      </c>
      <c r="R1215" s="10" t="s">
        <v>7695</v>
      </c>
      <c r="S1215" s="11" t="s">
        <v>7696</v>
      </c>
      <c r="T1215" s="6"/>
      <c r="U1215" s="24" t="str">
        <f>HYPERLINK("https://media.infra-m.ru/1911/1911923/cover/1911923.jpg", "Обложка")</f>
        <v>Обложка</v>
      </c>
      <c r="V1215" s="24" t="str">
        <f>HYPERLINK("https://znanium.ru/catalog/product/1081141", "Ознакомиться")</f>
        <v>Ознакомиться</v>
      </c>
      <c r="W1215" s="8" t="s">
        <v>334</v>
      </c>
      <c r="X1215" s="6"/>
      <c r="Y1215" s="6"/>
      <c r="Z1215" s="6"/>
      <c r="AA1215" s="6" t="s">
        <v>84</v>
      </c>
      <c r="AB1215" s="8"/>
    </row>
    <row r="1216" spans="1:28" s="4" customFormat="1" ht="51.95" customHeight="1">
      <c r="A1216" s="5">
        <v>0</v>
      </c>
      <c r="B1216" s="6" t="s">
        <v>7697</v>
      </c>
      <c r="C1216" s="7">
        <v>414</v>
      </c>
      <c r="D1216" s="8" t="s">
        <v>7698</v>
      </c>
      <c r="E1216" s="8" t="s">
        <v>7699</v>
      </c>
      <c r="F1216" s="8" t="s">
        <v>7700</v>
      </c>
      <c r="G1216" s="6" t="s">
        <v>38</v>
      </c>
      <c r="H1216" s="6" t="s">
        <v>53</v>
      </c>
      <c r="I1216" s="8" t="s">
        <v>116</v>
      </c>
      <c r="J1216" s="9">
        <v>1</v>
      </c>
      <c r="K1216" s="9">
        <v>88</v>
      </c>
      <c r="L1216" s="9">
        <v>2024</v>
      </c>
      <c r="M1216" s="8" t="s">
        <v>7701</v>
      </c>
      <c r="N1216" s="8" t="s">
        <v>997</v>
      </c>
      <c r="O1216" s="8" t="s">
        <v>998</v>
      </c>
      <c r="P1216" s="6" t="s">
        <v>6714</v>
      </c>
      <c r="Q1216" s="8" t="s">
        <v>44</v>
      </c>
      <c r="R1216" s="10" t="s">
        <v>7702</v>
      </c>
      <c r="S1216" s="11" t="s">
        <v>7703</v>
      </c>
      <c r="T1216" s="6"/>
      <c r="U1216" s="24" t="str">
        <f>HYPERLINK("https://media.infra-m.ru/2107/2107393/cover/2107393.jpg", "Обложка")</f>
        <v>Обложка</v>
      </c>
      <c r="V1216" s="24" t="str">
        <f>HYPERLINK("https://znanium.ru/catalog/product/1361801", "Ознакомиться")</f>
        <v>Ознакомиться</v>
      </c>
      <c r="W1216" s="8" t="s">
        <v>4815</v>
      </c>
      <c r="X1216" s="6"/>
      <c r="Y1216" s="6"/>
      <c r="Z1216" s="6"/>
      <c r="AA1216" s="6" t="s">
        <v>47</v>
      </c>
      <c r="AB1216" s="8"/>
    </row>
    <row r="1217" spans="1:28" s="4" customFormat="1" ht="51.95" customHeight="1">
      <c r="A1217" s="5">
        <v>0</v>
      </c>
      <c r="B1217" s="6" t="s">
        <v>7704</v>
      </c>
      <c r="C1217" s="13">
        <v>2994</v>
      </c>
      <c r="D1217" s="8" t="s">
        <v>7705</v>
      </c>
      <c r="E1217" s="8" t="s">
        <v>7706</v>
      </c>
      <c r="F1217" s="8" t="s">
        <v>7574</v>
      </c>
      <c r="G1217" s="6" t="s">
        <v>89</v>
      </c>
      <c r="H1217" s="6" t="s">
        <v>53</v>
      </c>
      <c r="I1217" s="8" t="s">
        <v>100</v>
      </c>
      <c r="J1217" s="9">
        <v>1</v>
      </c>
      <c r="K1217" s="9">
        <v>605</v>
      </c>
      <c r="L1217" s="9">
        <v>2025</v>
      </c>
      <c r="M1217" s="8" t="s">
        <v>7707</v>
      </c>
      <c r="N1217" s="8" t="s">
        <v>413</v>
      </c>
      <c r="O1217" s="8" t="s">
        <v>414</v>
      </c>
      <c r="P1217" s="6" t="s">
        <v>43</v>
      </c>
      <c r="Q1217" s="8" t="s">
        <v>102</v>
      </c>
      <c r="R1217" s="10" t="s">
        <v>7708</v>
      </c>
      <c r="S1217" s="11" t="s">
        <v>7709</v>
      </c>
      <c r="T1217" s="6"/>
      <c r="U1217" s="24" t="str">
        <f>HYPERLINK("https://media.infra-m.ru/2184/2184261/cover/2184261.jpg", "Обложка")</f>
        <v>Обложка</v>
      </c>
      <c r="V1217" s="24" t="str">
        <f>HYPERLINK("https://znanium.ru/catalog/product/2144446", "Ознакомиться")</f>
        <v>Ознакомиться</v>
      </c>
      <c r="W1217" s="8" t="s">
        <v>947</v>
      </c>
      <c r="X1217" s="6"/>
      <c r="Y1217" s="6"/>
      <c r="Z1217" s="6" t="s">
        <v>104</v>
      </c>
      <c r="AA1217" s="6" t="s">
        <v>219</v>
      </c>
      <c r="AB1217" s="8"/>
    </row>
    <row r="1218" spans="1:28" s="4" customFormat="1" ht="51.95" customHeight="1">
      <c r="A1218" s="5">
        <v>0</v>
      </c>
      <c r="B1218" s="6" t="s">
        <v>7710</v>
      </c>
      <c r="C1218" s="13">
        <v>2500</v>
      </c>
      <c r="D1218" s="8" t="s">
        <v>7711</v>
      </c>
      <c r="E1218" s="8" t="s">
        <v>7712</v>
      </c>
      <c r="F1218" s="8" t="s">
        <v>7574</v>
      </c>
      <c r="G1218" s="6" t="s">
        <v>52</v>
      </c>
      <c r="H1218" s="6" t="s">
        <v>53</v>
      </c>
      <c r="I1218" s="8" t="s">
        <v>90</v>
      </c>
      <c r="J1218" s="9">
        <v>1</v>
      </c>
      <c r="K1218" s="9">
        <v>556</v>
      </c>
      <c r="L1218" s="9">
        <v>2023</v>
      </c>
      <c r="M1218" s="8" t="s">
        <v>7713</v>
      </c>
      <c r="N1218" s="8" t="s">
        <v>413</v>
      </c>
      <c r="O1218" s="8" t="s">
        <v>414</v>
      </c>
      <c r="P1218" s="6" t="s">
        <v>43</v>
      </c>
      <c r="Q1218" s="8" t="s">
        <v>44</v>
      </c>
      <c r="R1218" s="10" t="s">
        <v>7714</v>
      </c>
      <c r="S1218" s="11" t="s">
        <v>7715</v>
      </c>
      <c r="T1218" s="6"/>
      <c r="U1218" s="24" t="str">
        <f>HYPERLINK("https://media.infra-m.ru/1971/1971859/cover/1971859.jpg", "Обложка")</f>
        <v>Обложка</v>
      </c>
      <c r="V1218" s="24" t="str">
        <f>HYPERLINK("https://znanium.ru/catalog/product/1971859", "Ознакомиться")</f>
        <v>Ознакомиться</v>
      </c>
      <c r="W1218" s="8" t="s">
        <v>947</v>
      </c>
      <c r="X1218" s="6"/>
      <c r="Y1218" s="6"/>
      <c r="Z1218" s="6"/>
      <c r="AA1218" s="6" t="s">
        <v>151</v>
      </c>
      <c r="AB1218" s="8" t="s">
        <v>7716</v>
      </c>
    </row>
    <row r="1219" spans="1:28" s="4" customFormat="1" ht="51.95" customHeight="1">
      <c r="A1219" s="5">
        <v>0</v>
      </c>
      <c r="B1219" s="6" t="s">
        <v>7717</v>
      </c>
      <c r="C1219" s="13">
        <v>2400</v>
      </c>
      <c r="D1219" s="8" t="s">
        <v>7718</v>
      </c>
      <c r="E1219" s="8" t="s">
        <v>7719</v>
      </c>
      <c r="F1219" s="8" t="s">
        <v>7574</v>
      </c>
      <c r="G1219" s="6" t="s">
        <v>52</v>
      </c>
      <c r="H1219" s="6" t="s">
        <v>53</v>
      </c>
      <c r="I1219" s="8" t="s">
        <v>116</v>
      </c>
      <c r="J1219" s="9">
        <v>1</v>
      </c>
      <c r="K1219" s="9">
        <v>523</v>
      </c>
      <c r="L1219" s="9">
        <v>2024</v>
      </c>
      <c r="M1219" s="8" t="s">
        <v>7720</v>
      </c>
      <c r="N1219" s="8" t="s">
        <v>413</v>
      </c>
      <c r="O1219" s="8" t="s">
        <v>414</v>
      </c>
      <c r="P1219" s="6" t="s">
        <v>43</v>
      </c>
      <c r="Q1219" s="8" t="s">
        <v>44</v>
      </c>
      <c r="R1219" s="10" t="s">
        <v>7721</v>
      </c>
      <c r="S1219" s="11" t="s">
        <v>7722</v>
      </c>
      <c r="T1219" s="6"/>
      <c r="U1219" s="24" t="str">
        <f>HYPERLINK("https://media.infra-m.ru/2131/2131762/cover/2131762.jpg", "Обложка")</f>
        <v>Обложка</v>
      </c>
      <c r="V1219" s="24" t="str">
        <f>HYPERLINK("https://znanium.ru/catalog/product/2131762", "Ознакомиться")</f>
        <v>Ознакомиться</v>
      </c>
      <c r="W1219" s="8" t="s">
        <v>947</v>
      </c>
      <c r="X1219" s="6"/>
      <c r="Y1219" s="6"/>
      <c r="Z1219" s="6"/>
      <c r="AA1219" s="6" t="s">
        <v>442</v>
      </c>
      <c r="AB1219" s="8"/>
    </row>
    <row r="1220" spans="1:28" s="4" customFormat="1" ht="51.95" customHeight="1">
      <c r="A1220" s="5">
        <v>0</v>
      </c>
      <c r="B1220" s="6" t="s">
        <v>7723</v>
      </c>
      <c r="C1220" s="13">
        <v>2990</v>
      </c>
      <c r="D1220" s="8" t="s">
        <v>7724</v>
      </c>
      <c r="E1220" s="8" t="s">
        <v>7706</v>
      </c>
      <c r="F1220" s="8" t="s">
        <v>7574</v>
      </c>
      <c r="G1220" s="6" t="s">
        <v>52</v>
      </c>
      <c r="H1220" s="6" t="s">
        <v>53</v>
      </c>
      <c r="I1220" s="8" t="s">
        <v>116</v>
      </c>
      <c r="J1220" s="9">
        <v>1</v>
      </c>
      <c r="K1220" s="9">
        <v>605</v>
      </c>
      <c r="L1220" s="9">
        <v>2025</v>
      </c>
      <c r="M1220" s="8" t="s">
        <v>7725</v>
      </c>
      <c r="N1220" s="8" t="s">
        <v>413</v>
      </c>
      <c r="O1220" s="8" t="s">
        <v>414</v>
      </c>
      <c r="P1220" s="6" t="s">
        <v>43</v>
      </c>
      <c r="Q1220" s="8" t="s">
        <v>44</v>
      </c>
      <c r="R1220" s="10" t="s">
        <v>7726</v>
      </c>
      <c r="S1220" s="11" t="s">
        <v>7727</v>
      </c>
      <c r="T1220" s="6" t="s">
        <v>299</v>
      </c>
      <c r="U1220" s="24" t="str">
        <f>HYPERLINK("https://media.infra-m.ru/2156/2156994/cover/2156994.jpg", "Обложка")</f>
        <v>Обложка</v>
      </c>
      <c r="V1220" s="24" t="str">
        <f>HYPERLINK("https://znanium.ru/catalog/product/2156994", "Ознакомиться")</f>
        <v>Ознакомиться</v>
      </c>
      <c r="W1220" s="8" t="s">
        <v>947</v>
      </c>
      <c r="X1220" s="6"/>
      <c r="Y1220" s="6"/>
      <c r="Z1220" s="6"/>
      <c r="AA1220" s="6" t="s">
        <v>442</v>
      </c>
      <c r="AB1220" s="8"/>
    </row>
    <row r="1221" spans="1:28" s="4" customFormat="1" ht="51.95" customHeight="1">
      <c r="A1221" s="5">
        <v>0</v>
      </c>
      <c r="B1221" s="6" t="s">
        <v>7728</v>
      </c>
      <c r="C1221" s="13">
        <v>1540</v>
      </c>
      <c r="D1221" s="8" t="s">
        <v>7729</v>
      </c>
      <c r="E1221" s="8" t="s">
        <v>7730</v>
      </c>
      <c r="F1221" s="8" t="s">
        <v>7731</v>
      </c>
      <c r="G1221" s="6" t="s">
        <v>89</v>
      </c>
      <c r="H1221" s="6" t="s">
        <v>53</v>
      </c>
      <c r="I1221" s="8" t="s">
        <v>5586</v>
      </c>
      <c r="J1221" s="9">
        <v>1</v>
      </c>
      <c r="K1221" s="9">
        <v>336</v>
      </c>
      <c r="L1221" s="9">
        <v>2023</v>
      </c>
      <c r="M1221" s="8" t="s">
        <v>7732</v>
      </c>
      <c r="N1221" s="8" t="s">
        <v>413</v>
      </c>
      <c r="O1221" s="8" t="s">
        <v>414</v>
      </c>
      <c r="P1221" s="6" t="s">
        <v>7733</v>
      </c>
      <c r="Q1221" s="8" t="s">
        <v>44</v>
      </c>
      <c r="R1221" s="10" t="s">
        <v>7734</v>
      </c>
      <c r="S1221" s="11"/>
      <c r="T1221" s="6" t="s">
        <v>299</v>
      </c>
      <c r="U1221" s="24" t="str">
        <f>HYPERLINK("https://media.infra-m.ru/1976/1976191/cover/1976191.jpg", "Обложка")</f>
        <v>Обложка</v>
      </c>
      <c r="V1221" s="24" t="str">
        <f>HYPERLINK("https://znanium.ru/catalog/product/1976191", "Ознакомиться")</f>
        <v>Ознакомиться</v>
      </c>
      <c r="W1221" s="8" t="s">
        <v>478</v>
      </c>
      <c r="X1221" s="6"/>
      <c r="Y1221" s="6"/>
      <c r="Z1221" s="6"/>
      <c r="AA1221" s="6" t="s">
        <v>418</v>
      </c>
      <c r="AB1221" s="8"/>
    </row>
    <row r="1222" spans="1:28" s="4" customFormat="1" ht="51.95" customHeight="1">
      <c r="A1222" s="5">
        <v>0</v>
      </c>
      <c r="B1222" s="6" t="s">
        <v>7735</v>
      </c>
      <c r="C1222" s="13">
        <v>1760</v>
      </c>
      <c r="D1222" s="8" t="s">
        <v>7736</v>
      </c>
      <c r="E1222" s="8" t="s">
        <v>7737</v>
      </c>
      <c r="F1222" s="8" t="s">
        <v>7738</v>
      </c>
      <c r="G1222" s="6" t="s">
        <v>89</v>
      </c>
      <c r="H1222" s="6" t="s">
        <v>53</v>
      </c>
      <c r="I1222" s="8" t="s">
        <v>116</v>
      </c>
      <c r="J1222" s="9">
        <v>1</v>
      </c>
      <c r="K1222" s="9">
        <v>386</v>
      </c>
      <c r="L1222" s="9">
        <v>2023</v>
      </c>
      <c r="M1222" s="8" t="s">
        <v>7739</v>
      </c>
      <c r="N1222" s="8" t="s">
        <v>79</v>
      </c>
      <c r="O1222" s="8" t="s">
        <v>424</v>
      </c>
      <c r="P1222" s="6" t="s">
        <v>167</v>
      </c>
      <c r="Q1222" s="8" t="s">
        <v>58</v>
      </c>
      <c r="R1222" s="10" t="s">
        <v>7740</v>
      </c>
      <c r="S1222" s="11" t="s">
        <v>7741</v>
      </c>
      <c r="T1222" s="6"/>
      <c r="U1222" s="24" t="str">
        <f>HYPERLINK("https://media.infra-m.ru/2019/2019563/cover/2019563.jpg", "Обложка")</f>
        <v>Обложка</v>
      </c>
      <c r="V1222" s="24" t="str">
        <f>HYPERLINK("https://znanium.ru/catalog/product/2019563", "Ознакомиться")</f>
        <v>Ознакомиться</v>
      </c>
      <c r="W1222" s="8" t="s">
        <v>637</v>
      </c>
      <c r="X1222" s="6"/>
      <c r="Y1222" s="6"/>
      <c r="Z1222" s="6"/>
      <c r="AA1222" s="6" t="s">
        <v>258</v>
      </c>
      <c r="AB1222" s="8"/>
    </row>
    <row r="1223" spans="1:28" s="4" customFormat="1" ht="51.95" customHeight="1">
      <c r="A1223" s="5">
        <v>0</v>
      </c>
      <c r="B1223" s="6" t="s">
        <v>7742</v>
      </c>
      <c r="C1223" s="13">
        <v>1210</v>
      </c>
      <c r="D1223" s="8" t="s">
        <v>7743</v>
      </c>
      <c r="E1223" s="8" t="s">
        <v>7744</v>
      </c>
      <c r="F1223" s="8" t="s">
        <v>7745</v>
      </c>
      <c r="G1223" s="6" t="s">
        <v>89</v>
      </c>
      <c r="H1223" s="6" t="s">
        <v>53</v>
      </c>
      <c r="I1223" s="8" t="s">
        <v>116</v>
      </c>
      <c r="J1223" s="9">
        <v>1</v>
      </c>
      <c r="K1223" s="9">
        <v>262</v>
      </c>
      <c r="L1223" s="9">
        <v>2024</v>
      </c>
      <c r="M1223" s="8" t="s">
        <v>7746</v>
      </c>
      <c r="N1223" s="8" t="s">
        <v>79</v>
      </c>
      <c r="O1223" s="8" t="s">
        <v>424</v>
      </c>
      <c r="P1223" s="6" t="s">
        <v>167</v>
      </c>
      <c r="Q1223" s="8" t="s">
        <v>44</v>
      </c>
      <c r="R1223" s="10" t="s">
        <v>7747</v>
      </c>
      <c r="S1223" s="11" t="s">
        <v>7748</v>
      </c>
      <c r="T1223" s="6"/>
      <c r="U1223" s="24" t="str">
        <f>HYPERLINK("https://media.infra-m.ru/2098/2098103/cover/2098103.jpg", "Обложка")</f>
        <v>Обложка</v>
      </c>
      <c r="V1223" s="24" t="str">
        <f>HYPERLINK("https://znanium.ru/catalog/product/2098103", "Ознакомиться")</f>
        <v>Ознакомиться</v>
      </c>
      <c r="W1223" s="8" t="s">
        <v>637</v>
      </c>
      <c r="X1223" s="6"/>
      <c r="Y1223" s="6"/>
      <c r="Z1223" s="6"/>
      <c r="AA1223" s="6" t="s">
        <v>2423</v>
      </c>
      <c r="AB1223" s="8"/>
    </row>
    <row r="1224" spans="1:28" s="4" customFormat="1" ht="51.95" customHeight="1">
      <c r="A1224" s="5">
        <v>0</v>
      </c>
      <c r="B1224" s="6" t="s">
        <v>7749</v>
      </c>
      <c r="C1224" s="13">
        <v>1064.9000000000001</v>
      </c>
      <c r="D1224" s="8" t="s">
        <v>7750</v>
      </c>
      <c r="E1224" s="8" t="s">
        <v>7751</v>
      </c>
      <c r="F1224" s="8" t="s">
        <v>7752</v>
      </c>
      <c r="G1224" s="6" t="s">
        <v>52</v>
      </c>
      <c r="H1224" s="6" t="s">
        <v>77</v>
      </c>
      <c r="I1224" s="8" t="s">
        <v>90</v>
      </c>
      <c r="J1224" s="9">
        <v>1</v>
      </c>
      <c r="K1224" s="9">
        <v>236</v>
      </c>
      <c r="L1224" s="9">
        <v>2023</v>
      </c>
      <c r="M1224" s="8" t="s">
        <v>7753</v>
      </c>
      <c r="N1224" s="8" t="s">
        <v>41</v>
      </c>
      <c r="O1224" s="8" t="s">
        <v>118</v>
      </c>
      <c r="P1224" s="6" t="s">
        <v>43</v>
      </c>
      <c r="Q1224" s="8" t="s">
        <v>44</v>
      </c>
      <c r="R1224" s="10" t="s">
        <v>7754</v>
      </c>
      <c r="S1224" s="11"/>
      <c r="T1224" s="6"/>
      <c r="U1224" s="24" t="str">
        <f>HYPERLINK("https://media.infra-m.ru/2002/2002666/cover/2002666.jpg", "Обложка")</f>
        <v>Обложка</v>
      </c>
      <c r="V1224" s="24" t="str">
        <f>HYPERLINK("https://znanium.ru/catalog/product/1015853", "Ознакомиться")</f>
        <v>Ознакомиться</v>
      </c>
      <c r="W1224" s="8"/>
      <c r="X1224" s="6"/>
      <c r="Y1224" s="6"/>
      <c r="Z1224" s="6"/>
      <c r="AA1224" s="6" t="s">
        <v>442</v>
      </c>
      <c r="AB1224" s="8"/>
    </row>
    <row r="1225" spans="1:28" s="4" customFormat="1" ht="51.95" customHeight="1">
      <c r="A1225" s="5">
        <v>0</v>
      </c>
      <c r="B1225" s="6" t="s">
        <v>7755</v>
      </c>
      <c r="C1225" s="7">
        <v>894</v>
      </c>
      <c r="D1225" s="8" t="s">
        <v>7756</v>
      </c>
      <c r="E1225" s="8" t="s">
        <v>7757</v>
      </c>
      <c r="F1225" s="8" t="s">
        <v>7758</v>
      </c>
      <c r="G1225" s="6" t="s">
        <v>89</v>
      </c>
      <c r="H1225" s="6" t="s">
        <v>53</v>
      </c>
      <c r="I1225" s="8" t="s">
        <v>116</v>
      </c>
      <c r="J1225" s="9">
        <v>1</v>
      </c>
      <c r="K1225" s="9">
        <v>192</v>
      </c>
      <c r="L1225" s="9">
        <v>2024</v>
      </c>
      <c r="M1225" s="8" t="s">
        <v>7759</v>
      </c>
      <c r="N1225" s="8" t="s">
        <v>997</v>
      </c>
      <c r="O1225" s="8" t="s">
        <v>998</v>
      </c>
      <c r="P1225" s="6" t="s">
        <v>175</v>
      </c>
      <c r="Q1225" s="8" t="s">
        <v>58</v>
      </c>
      <c r="R1225" s="10" t="s">
        <v>7760</v>
      </c>
      <c r="S1225" s="11" t="s">
        <v>7761</v>
      </c>
      <c r="T1225" s="6"/>
      <c r="U1225" s="24" t="str">
        <f>HYPERLINK("https://media.infra-m.ru/2132/2132058/cover/2132058.jpg", "Обложка")</f>
        <v>Обложка</v>
      </c>
      <c r="V1225" s="24" t="str">
        <f>HYPERLINK("https://znanium.ru/catalog/product/2082825", "Ознакомиться")</f>
        <v>Ознакомиться</v>
      </c>
      <c r="W1225" s="8" t="s">
        <v>46</v>
      </c>
      <c r="X1225" s="6"/>
      <c r="Y1225" s="6"/>
      <c r="Z1225" s="6"/>
      <c r="AA1225" s="6" t="s">
        <v>219</v>
      </c>
      <c r="AB1225" s="8"/>
    </row>
    <row r="1226" spans="1:28" s="4" customFormat="1" ht="51.95" customHeight="1">
      <c r="A1226" s="5">
        <v>0</v>
      </c>
      <c r="B1226" s="6" t="s">
        <v>7762</v>
      </c>
      <c r="C1226" s="7">
        <v>990</v>
      </c>
      <c r="D1226" s="8" t="s">
        <v>7763</v>
      </c>
      <c r="E1226" s="8" t="s">
        <v>7757</v>
      </c>
      <c r="F1226" s="8" t="s">
        <v>7758</v>
      </c>
      <c r="G1226" s="6" t="s">
        <v>89</v>
      </c>
      <c r="H1226" s="6" t="s">
        <v>53</v>
      </c>
      <c r="I1226" s="8" t="s">
        <v>100</v>
      </c>
      <c r="J1226" s="9">
        <v>1</v>
      </c>
      <c r="K1226" s="9">
        <v>192</v>
      </c>
      <c r="L1226" s="9">
        <v>2025</v>
      </c>
      <c r="M1226" s="8" t="s">
        <v>7764</v>
      </c>
      <c r="N1226" s="8" t="s">
        <v>997</v>
      </c>
      <c r="O1226" s="8" t="s">
        <v>998</v>
      </c>
      <c r="P1226" s="6" t="s">
        <v>175</v>
      </c>
      <c r="Q1226" s="8" t="s">
        <v>102</v>
      </c>
      <c r="R1226" s="10" t="s">
        <v>7765</v>
      </c>
      <c r="S1226" s="11" t="s">
        <v>7766</v>
      </c>
      <c r="T1226" s="6"/>
      <c r="U1226" s="24" t="str">
        <f>HYPERLINK("https://media.infra-m.ru/2166/2166203/cover/2166203.jpg", "Обложка")</f>
        <v>Обложка</v>
      </c>
      <c r="V1226" s="24" t="str">
        <f>HYPERLINK("https://znanium.ru/catalog/product/2166203", "Ознакомиться")</f>
        <v>Ознакомиться</v>
      </c>
      <c r="W1226" s="8" t="s">
        <v>46</v>
      </c>
      <c r="X1226" s="6"/>
      <c r="Y1226" s="6"/>
      <c r="Z1226" s="6" t="s">
        <v>502</v>
      </c>
      <c r="AA1226" s="6" t="s">
        <v>235</v>
      </c>
      <c r="AB1226" s="8"/>
    </row>
    <row r="1227" spans="1:28" s="4" customFormat="1" ht="51.95" customHeight="1">
      <c r="A1227" s="5">
        <v>0</v>
      </c>
      <c r="B1227" s="6" t="s">
        <v>7767</v>
      </c>
      <c r="C1227" s="13">
        <v>1760</v>
      </c>
      <c r="D1227" s="8" t="s">
        <v>7768</v>
      </c>
      <c r="E1227" s="8" t="s">
        <v>7769</v>
      </c>
      <c r="F1227" s="8" t="s">
        <v>7770</v>
      </c>
      <c r="G1227" s="6" t="s">
        <v>89</v>
      </c>
      <c r="H1227" s="6" t="s">
        <v>53</v>
      </c>
      <c r="I1227" s="8" t="s">
        <v>165</v>
      </c>
      <c r="J1227" s="9">
        <v>1</v>
      </c>
      <c r="K1227" s="9">
        <v>334</v>
      </c>
      <c r="L1227" s="9">
        <v>2024</v>
      </c>
      <c r="M1227" s="8" t="s">
        <v>7771</v>
      </c>
      <c r="N1227" s="8" t="s">
        <v>41</v>
      </c>
      <c r="O1227" s="8" t="s">
        <v>118</v>
      </c>
      <c r="P1227" s="6" t="s">
        <v>167</v>
      </c>
      <c r="Q1227" s="8" t="s">
        <v>44</v>
      </c>
      <c r="R1227" s="10" t="s">
        <v>7772</v>
      </c>
      <c r="S1227" s="11" t="s">
        <v>7773</v>
      </c>
      <c r="T1227" s="6"/>
      <c r="U1227" s="24" t="str">
        <f>HYPERLINK("https://media.infra-m.ru/2079/2079311/cover/2079311.jpg", "Обложка")</f>
        <v>Обложка</v>
      </c>
      <c r="V1227" s="24" t="str">
        <f>HYPERLINK("https://znanium.ru/catalog/product/2079311", "Ознакомиться")</f>
        <v>Ознакомиться</v>
      </c>
      <c r="W1227" s="8" t="s">
        <v>83</v>
      </c>
      <c r="X1227" s="6"/>
      <c r="Y1227" s="6"/>
      <c r="Z1227" s="6"/>
      <c r="AA1227" s="6" t="s">
        <v>235</v>
      </c>
      <c r="AB1227" s="8"/>
    </row>
    <row r="1228" spans="1:28" s="4" customFormat="1" ht="51.95" customHeight="1">
      <c r="A1228" s="5">
        <v>0</v>
      </c>
      <c r="B1228" s="6" t="s">
        <v>7774</v>
      </c>
      <c r="C1228" s="13">
        <v>1894</v>
      </c>
      <c r="D1228" s="8" t="s">
        <v>7775</v>
      </c>
      <c r="E1228" s="8" t="s">
        <v>7776</v>
      </c>
      <c r="F1228" s="8" t="s">
        <v>7777</v>
      </c>
      <c r="G1228" s="6" t="s">
        <v>52</v>
      </c>
      <c r="H1228" s="6" t="s">
        <v>53</v>
      </c>
      <c r="I1228" s="8" t="s">
        <v>90</v>
      </c>
      <c r="J1228" s="9">
        <v>1</v>
      </c>
      <c r="K1228" s="9">
        <v>404</v>
      </c>
      <c r="L1228" s="9">
        <v>2024</v>
      </c>
      <c r="M1228" s="8" t="s">
        <v>7778</v>
      </c>
      <c r="N1228" s="8" t="s">
        <v>41</v>
      </c>
      <c r="O1228" s="8" t="s">
        <v>118</v>
      </c>
      <c r="P1228" s="6" t="s">
        <v>43</v>
      </c>
      <c r="Q1228" s="8" t="s">
        <v>44</v>
      </c>
      <c r="R1228" s="10" t="s">
        <v>7779</v>
      </c>
      <c r="S1228" s="11" t="s">
        <v>7780</v>
      </c>
      <c r="T1228" s="6"/>
      <c r="U1228" s="24" t="str">
        <f>HYPERLINK("https://media.infra-m.ru/2140/2140288/cover/2140288.jpg", "Обложка")</f>
        <v>Обложка</v>
      </c>
      <c r="V1228" s="24" t="str">
        <f>HYPERLINK("https://znanium.ru/catalog/product/2140288", "Ознакомиться")</f>
        <v>Ознакомиться</v>
      </c>
      <c r="W1228" s="8" t="s">
        <v>7781</v>
      </c>
      <c r="X1228" s="6"/>
      <c r="Y1228" s="6"/>
      <c r="Z1228" s="6"/>
      <c r="AA1228" s="6" t="s">
        <v>1259</v>
      </c>
      <c r="AB1228" s="8"/>
    </row>
    <row r="1229" spans="1:28" s="4" customFormat="1" ht="42" customHeight="1">
      <c r="A1229" s="5">
        <v>0</v>
      </c>
      <c r="B1229" s="6" t="s">
        <v>7782</v>
      </c>
      <c r="C1229" s="13">
        <v>1334</v>
      </c>
      <c r="D1229" s="8" t="s">
        <v>7783</v>
      </c>
      <c r="E1229" s="8" t="s">
        <v>7784</v>
      </c>
      <c r="F1229" s="8" t="s">
        <v>7785</v>
      </c>
      <c r="G1229" s="6" t="s">
        <v>52</v>
      </c>
      <c r="H1229" s="6" t="s">
        <v>53</v>
      </c>
      <c r="I1229" s="8" t="s">
        <v>90</v>
      </c>
      <c r="J1229" s="9">
        <v>1</v>
      </c>
      <c r="K1229" s="9">
        <v>256</v>
      </c>
      <c r="L1229" s="9">
        <v>2025</v>
      </c>
      <c r="M1229" s="8" t="s">
        <v>7786</v>
      </c>
      <c r="N1229" s="8" t="s">
        <v>41</v>
      </c>
      <c r="O1229" s="8" t="s">
        <v>118</v>
      </c>
      <c r="P1229" s="6" t="s">
        <v>167</v>
      </c>
      <c r="Q1229" s="8" t="s">
        <v>44</v>
      </c>
      <c r="R1229" s="10" t="s">
        <v>1291</v>
      </c>
      <c r="S1229" s="11"/>
      <c r="T1229" s="6"/>
      <c r="U1229" s="24" t="str">
        <f>HYPERLINK("https://media.infra-m.ru/2194/2194366/cover/2194366.jpg", "Обложка")</f>
        <v>Обложка</v>
      </c>
      <c r="V1229" s="24" t="str">
        <f>HYPERLINK("https://znanium.ru/catalog/product/1911187", "Ознакомиться")</f>
        <v>Ознакомиться</v>
      </c>
      <c r="W1229" s="8" t="s">
        <v>2666</v>
      </c>
      <c r="X1229" s="6"/>
      <c r="Y1229" s="6"/>
      <c r="Z1229" s="6"/>
      <c r="AA1229" s="6" t="s">
        <v>111</v>
      </c>
      <c r="AB1229" s="8"/>
    </row>
    <row r="1230" spans="1:28" s="4" customFormat="1" ht="51.95" customHeight="1">
      <c r="A1230" s="5">
        <v>0</v>
      </c>
      <c r="B1230" s="6" t="s">
        <v>7787</v>
      </c>
      <c r="C1230" s="7">
        <v>874</v>
      </c>
      <c r="D1230" s="8" t="s">
        <v>7788</v>
      </c>
      <c r="E1230" s="8" t="s">
        <v>7789</v>
      </c>
      <c r="F1230" s="8" t="s">
        <v>7790</v>
      </c>
      <c r="G1230" s="6" t="s">
        <v>89</v>
      </c>
      <c r="H1230" s="6" t="s">
        <v>53</v>
      </c>
      <c r="I1230" s="8" t="s">
        <v>276</v>
      </c>
      <c r="J1230" s="9">
        <v>1</v>
      </c>
      <c r="K1230" s="9">
        <v>167</v>
      </c>
      <c r="L1230" s="9">
        <v>2025</v>
      </c>
      <c r="M1230" s="8" t="s">
        <v>7791</v>
      </c>
      <c r="N1230" s="8" t="s">
        <v>997</v>
      </c>
      <c r="O1230" s="8" t="s">
        <v>998</v>
      </c>
      <c r="P1230" s="6" t="s">
        <v>43</v>
      </c>
      <c r="Q1230" s="8" t="s">
        <v>279</v>
      </c>
      <c r="R1230" s="10" t="s">
        <v>7792</v>
      </c>
      <c r="S1230" s="11" t="s">
        <v>7793</v>
      </c>
      <c r="T1230" s="6"/>
      <c r="U1230" s="24" t="str">
        <f>HYPERLINK("https://media.infra-m.ru/2198/2198527/cover/2198527.jpg", "Обложка")</f>
        <v>Обложка</v>
      </c>
      <c r="V1230" s="24" t="str">
        <f>HYPERLINK("https://znanium.ru/catalog/product/2081767", "Ознакомиться")</f>
        <v>Ознакомиться</v>
      </c>
      <c r="W1230" s="8" t="s">
        <v>7794</v>
      </c>
      <c r="X1230" s="6"/>
      <c r="Y1230" s="6"/>
      <c r="Z1230" s="6"/>
      <c r="AA1230" s="6" t="s">
        <v>442</v>
      </c>
      <c r="AB1230" s="8"/>
    </row>
    <row r="1231" spans="1:28" s="4" customFormat="1" ht="51.95" customHeight="1">
      <c r="A1231" s="5">
        <v>0</v>
      </c>
      <c r="B1231" s="6" t="s">
        <v>7795</v>
      </c>
      <c r="C1231" s="13">
        <v>1774</v>
      </c>
      <c r="D1231" s="8" t="s">
        <v>7796</v>
      </c>
      <c r="E1231" s="8" t="s">
        <v>7797</v>
      </c>
      <c r="F1231" s="8" t="s">
        <v>6101</v>
      </c>
      <c r="G1231" s="6" t="s">
        <v>52</v>
      </c>
      <c r="H1231" s="6" t="s">
        <v>77</v>
      </c>
      <c r="I1231" s="8"/>
      <c r="J1231" s="9">
        <v>1</v>
      </c>
      <c r="K1231" s="9">
        <v>342</v>
      </c>
      <c r="L1231" s="9">
        <v>2025</v>
      </c>
      <c r="M1231" s="8" t="s">
        <v>7798</v>
      </c>
      <c r="N1231" s="8" t="s">
        <v>41</v>
      </c>
      <c r="O1231" s="8" t="s">
        <v>1007</v>
      </c>
      <c r="P1231" s="6" t="s">
        <v>43</v>
      </c>
      <c r="Q1231" s="8" t="s">
        <v>44</v>
      </c>
      <c r="R1231" s="10" t="s">
        <v>7799</v>
      </c>
      <c r="S1231" s="11" t="s">
        <v>7800</v>
      </c>
      <c r="T1231" s="6"/>
      <c r="U1231" s="24" t="str">
        <f>HYPERLINK("https://media.infra-m.ru/2196/2196885/cover/2196885.jpg", "Обложка")</f>
        <v>Обложка</v>
      </c>
      <c r="V1231" s="24" t="str">
        <f>HYPERLINK("https://znanium.ru/catalog/product/1055188", "Ознакомиться")</f>
        <v>Ознакомиться</v>
      </c>
      <c r="W1231" s="8" t="s">
        <v>354</v>
      </c>
      <c r="X1231" s="6"/>
      <c r="Y1231" s="6"/>
      <c r="Z1231" s="6"/>
      <c r="AA1231" s="6" t="s">
        <v>72</v>
      </c>
      <c r="AB1231" s="8"/>
    </row>
    <row r="1232" spans="1:28" s="4" customFormat="1" ht="51.95" customHeight="1">
      <c r="A1232" s="5">
        <v>0</v>
      </c>
      <c r="B1232" s="6" t="s">
        <v>7801</v>
      </c>
      <c r="C1232" s="13">
        <v>1374.9</v>
      </c>
      <c r="D1232" s="8" t="s">
        <v>7802</v>
      </c>
      <c r="E1232" s="8" t="s">
        <v>7803</v>
      </c>
      <c r="F1232" s="8" t="s">
        <v>7804</v>
      </c>
      <c r="G1232" s="6" t="s">
        <v>52</v>
      </c>
      <c r="H1232" s="6" t="s">
        <v>649</v>
      </c>
      <c r="I1232" s="8"/>
      <c r="J1232" s="9">
        <v>1</v>
      </c>
      <c r="K1232" s="9">
        <v>304</v>
      </c>
      <c r="L1232" s="9">
        <v>2023</v>
      </c>
      <c r="M1232" s="8" t="s">
        <v>7805</v>
      </c>
      <c r="N1232" s="8" t="s">
        <v>41</v>
      </c>
      <c r="O1232" s="8" t="s">
        <v>1007</v>
      </c>
      <c r="P1232" s="6" t="s">
        <v>43</v>
      </c>
      <c r="Q1232" s="8" t="s">
        <v>44</v>
      </c>
      <c r="R1232" s="10" t="s">
        <v>7806</v>
      </c>
      <c r="S1232" s="11" t="s">
        <v>7807</v>
      </c>
      <c r="T1232" s="6"/>
      <c r="U1232" s="24" t="str">
        <f>HYPERLINK("https://media.infra-m.ru/2051/2051472/cover/2051472.jpg", "Обложка")</f>
        <v>Обложка</v>
      </c>
      <c r="V1232" s="24" t="str">
        <f>HYPERLINK("https://znanium.ru/catalog/product/1210237", "Ознакомиться")</f>
        <v>Ознакомиться</v>
      </c>
      <c r="W1232" s="8" t="s">
        <v>5635</v>
      </c>
      <c r="X1232" s="6"/>
      <c r="Y1232" s="6"/>
      <c r="Z1232" s="6"/>
      <c r="AA1232" s="6" t="s">
        <v>84</v>
      </c>
      <c r="AB1232" s="8"/>
    </row>
    <row r="1233" spans="1:28" s="4" customFormat="1" ht="51.95" customHeight="1">
      <c r="A1233" s="5">
        <v>0</v>
      </c>
      <c r="B1233" s="6" t="s">
        <v>7808</v>
      </c>
      <c r="C1233" s="7">
        <v>964</v>
      </c>
      <c r="D1233" s="8" t="s">
        <v>7809</v>
      </c>
      <c r="E1233" s="8" t="s">
        <v>7810</v>
      </c>
      <c r="F1233" s="8" t="s">
        <v>7811</v>
      </c>
      <c r="G1233" s="6" t="s">
        <v>89</v>
      </c>
      <c r="H1233" s="6" t="s">
        <v>1738</v>
      </c>
      <c r="I1233" s="8" t="s">
        <v>2699</v>
      </c>
      <c r="J1233" s="9">
        <v>1</v>
      </c>
      <c r="K1233" s="9">
        <v>208</v>
      </c>
      <c r="L1233" s="9">
        <v>2023</v>
      </c>
      <c r="M1233" s="8" t="s">
        <v>7812</v>
      </c>
      <c r="N1233" s="8" t="s">
        <v>41</v>
      </c>
      <c r="O1233" s="8" t="s">
        <v>1007</v>
      </c>
      <c r="P1233" s="6" t="s">
        <v>43</v>
      </c>
      <c r="Q1233" s="8" t="s">
        <v>44</v>
      </c>
      <c r="R1233" s="10" t="s">
        <v>6765</v>
      </c>
      <c r="S1233" s="11" t="s">
        <v>7813</v>
      </c>
      <c r="T1233" s="6"/>
      <c r="U1233" s="24" t="str">
        <f>HYPERLINK("https://media.infra-m.ru/1911/1911207/cover/1911207.jpg", "Обложка")</f>
        <v>Обложка</v>
      </c>
      <c r="V1233" s="24" t="str">
        <f>HYPERLINK("https://znanium.ru/catalog/product/1008664", "Ознакомиться")</f>
        <v>Ознакомиться</v>
      </c>
      <c r="W1233" s="8" t="s">
        <v>83</v>
      </c>
      <c r="X1233" s="6"/>
      <c r="Y1233" s="6"/>
      <c r="Z1233" s="6"/>
      <c r="AA1233" s="6" t="s">
        <v>111</v>
      </c>
      <c r="AB1233" s="8"/>
    </row>
    <row r="1234" spans="1:28" s="4" customFormat="1" ht="51.95" customHeight="1">
      <c r="A1234" s="5">
        <v>0</v>
      </c>
      <c r="B1234" s="6" t="s">
        <v>7814</v>
      </c>
      <c r="C1234" s="13">
        <v>1090</v>
      </c>
      <c r="D1234" s="8" t="s">
        <v>7815</v>
      </c>
      <c r="E1234" s="8" t="s">
        <v>7803</v>
      </c>
      <c r="F1234" s="8" t="s">
        <v>7816</v>
      </c>
      <c r="G1234" s="6" t="s">
        <v>89</v>
      </c>
      <c r="H1234" s="6" t="s">
        <v>53</v>
      </c>
      <c r="I1234" s="8" t="s">
        <v>1054</v>
      </c>
      <c r="J1234" s="9">
        <v>1</v>
      </c>
      <c r="K1234" s="9">
        <v>217</v>
      </c>
      <c r="L1234" s="9">
        <v>2025</v>
      </c>
      <c r="M1234" s="8" t="s">
        <v>7817</v>
      </c>
      <c r="N1234" s="8" t="s">
        <v>41</v>
      </c>
      <c r="O1234" s="8" t="s">
        <v>118</v>
      </c>
      <c r="P1234" s="6" t="s">
        <v>167</v>
      </c>
      <c r="Q1234" s="8" t="s">
        <v>279</v>
      </c>
      <c r="R1234" s="10" t="s">
        <v>2701</v>
      </c>
      <c r="S1234" s="11" t="s">
        <v>7818</v>
      </c>
      <c r="T1234" s="6"/>
      <c r="U1234" s="24" t="str">
        <f>HYPERLINK("https://media.infra-m.ru/2161/2161672/cover/2161672.jpg", "Обложка")</f>
        <v>Обложка</v>
      </c>
      <c r="V1234" s="24" t="str">
        <f>HYPERLINK("https://znanium.ru/catalog/product/2161672", "Ознакомиться")</f>
        <v>Ознакомиться</v>
      </c>
      <c r="W1234" s="8" t="s">
        <v>83</v>
      </c>
      <c r="X1234" s="6"/>
      <c r="Y1234" s="6"/>
      <c r="Z1234" s="6"/>
      <c r="AA1234" s="6" t="s">
        <v>258</v>
      </c>
      <c r="AB1234" s="8"/>
    </row>
    <row r="1235" spans="1:28" s="4" customFormat="1" ht="42" customHeight="1">
      <c r="A1235" s="5">
        <v>0</v>
      </c>
      <c r="B1235" s="6" t="s">
        <v>7819</v>
      </c>
      <c r="C1235" s="13">
        <v>2560</v>
      </c>
      <c r="D1235" s="8" t="s">
        <v>7820</v>
      </c>
      <c r="E1235" s="8" t="s">
        <v>7821</v>
      </c>
      <c r="F1235" s="8" t="s">
        <v>7822</v>
      </c>
      <c r="G1235" s="6" t="s">
        <v>52</v>
      </c>
      <c r="H1235" s="6" t="s">
        <v>952</v>
      </c>
      <c r="I1235" s="8"/>
      <c r="J1235" s="9">
        <v>1</v>
      </c>
      <c r="K1235" s="9">
        <v>568</v>
      </c>
      <c r="L1235" s="9">
        <v>2023</v>
      </c>
      <c r="M1235" s="8" t="s">
        <v>7823</v>
      </c>
      <c r="N1235" s="8" t="s">
        <v>41</v>
      </c>
      <c r="O1235" s="8" t="s">
        <v>118</v>
      </c>
      <c r="P1235" s="6" t="s">
        <v>167</v>
      </c>
      <c r="Q1235" s="8" t="s">
        <v>58</v>
      </c>
      <c r="R1235" s="10" t="s">
        <v>7824</v>
      </c>
      <c r="S1235" s="11"/>
      <c r="T1235" s="6"/>
      <c r="U1235" s="24" t="str">
        <f>HYPERLINK("https://media.infra-m.ru/1905/1905069/cover/1905069.jpg", "Обложка")</f>
        <v>Обложка</v>
      </c>
      <c r="V1235" s="12"/>
      <c r="W1235" s="8" t="s">
        <v>3282</v>
      </c>
      <c r="X1235" s="6"/>
      <c r="Y1235" s="6"/>
      <c r="Z1235" s="6"/>
      <c r="AA1235" s="6" t="s">
        <v>258</v>
      </c>
      <c r="AB1235" s="8"/>
    </row>
    <row r="1236" spans="1:28" s="4" customFormat="1" ht="51.95" customHeight="1">
      <c r="A1236" s="5">
        <v>0</v>
      </c>
      <c r="B1236" s="6" t="s">
        <v>7825</v>
      </c>
      <c r="C1236" s="7">
        <v>734.9</v>
      </c>
      <c r="D1236" s="8" t="s">
        <v>7826</v>
      </c>
      <c r="E1236" s="8" t="s">
        <v>7827</v>
      </c>
      <c r="F1236" s="8" t="s">
        <v>7828</v>
      </c>
      <c r="G1236" s="6" t="s">
        <v>52</v>
      </c>
      <c r="H1236" s="6" t="s">
        <v>53</v>
      </c>
      <c r="I1236" s="8" t="s">
        <v>90</v>
      </c>
      <c r="J1236" s="9">
        <v>1</v>
      </c>
      <c r="K1236" s="9">
        <v>192</v>
      </c>
      <c r="L1236" s="9">
        <v>2022</v>
      </c>
      <c r="M1236" s="8" t="s">
        <v>7829</v>
      </c>
      <c r="N1236" s="8" t="s">
        <v>41</v>
      </c>
      <c r="O1236" s="8" t="s">
        <v>118</v>
      </c>
      <c r="P1236" s="6" t="s">
        <v>43</v>
      </c>
      <c r="Q1236" s="8" t="s">
        <v>44</v>
      </c>
      <c r="R1236" s="10" t="s">
        <v>7830</v>
      </c>
      <c r="S1236" s="11" t="s">
        <v>7831</v>
      </c>
      <c r="T1236" s="6"/>
      <c r="U1236" s="24" t="str">
        <f>HYPERLINK("https://media.infra-m.ru/1817/1817962/cover/1817962.jpg", "Обложка")</f>
        <v>Обложка</v>
      </c>
      <c r="V1236" s="24" t="str">
        <f>HYPERLINK("https://znanium.ru/catalog/product/1817962", "Ознакомиться")</f>
        <v>Ознакомиться</v>
      </c>
      <c r="W1236" s="8" t="s">
        <v>637</v>
      </c>
      <c r="X1236" s="6"/>
      <c r="Y1236" s="6"/>
      <c r="Z1236" s="6"/>
      <c r="AA1236" s="6" t="s">
        <v>111</v>
      </c>
      <c r="AB1236" s="8"/>
    </row>
    <row r="1237" spans="1:28" s="4" customFormat="1" ht="51.95" customHeight="1">
      <c r="A1237" s="5">
        <v>0</v>
      </c>
      <c r="B1237" s="6" t="s">
        <v>7832</v>
      </c>
      <c r="C1237" s="13">
        <v>1100</v>
      </c>
      <c r="D1237" s="8" t="s">
        <v>7833</v>
      </c>
      <c r="E1237" s="8" t="s">
        <v>7834</v>
      </c>
      <c r="F1237" s="8" t="s">
        <v>7835</v>
      </c>
      <c r="G1237" s="6" t="s">
        <v>89</v>
      </c>
      <c r="H1237" s="6" t="s">
        <v>53</v>
      </c>
      <c r="I1237" s="8" t="s">
        <v>116</v>
      </c>
      <c r="J1237" s="9">
        <v>1</v>
      </c>
      <c r="K1237" s="9">
        <v>237</v>
      </c>
      <c r="L1237" s="9">
        <v>2024</v>
      </c>
      <c r="M1237" s="8" t="s">
        <v>7836</v>
      </c>
      <c r="N1237" s="8" t="s">
        <v>41</v>
      </c>
      <c r="O1237" s="8" t="s">
        <v>278</v>
      </c>
      <c r="P1237" s="6" t="s">
        <v>167</v>
      </c>
      <c r="Q1237" s="8" t="s">
        <v>44</v>
      </c>
      <c r="R1237" s="10" t="s">
        <v>7837</v>
      </c>
      <c r="S1237" s="11" t="s">
        <v>7838</v>
      </c>
      <c r="T1237" s="6"/>
      <c r="U1237" s="24" t="str">
        <f>HYPERLINK("https://media.infra-m.ru/1904/1904861/cover/1904861.jpg", "Обложка")</f>
        <v>Обложка</v>
      </c>
      <c r="V1237" s="24" t="str">
        <f>HYPERLINK("https://znanium.ru/catalog/product/1904861", "Ознакомиться")</f>
        <v>Ознакомиться</v>
      </c>
      <c r="W1237" s="8" t="s">
        <v>2988</v>
      </c>
      <c r="X1237" s="6"/>
      <c r="Y1237" s="6"/>
      <c r="Z1237" s="6"/>
      <c r="AA1237" s="6" t="s">
        <v>122</v>
      </c>
      <c r="AB1237" s="8"/>
    </row>
    <row r="1238" spans="1:28" s="4" customFormat="1" ht="51.95" customHeight="1">
      <c r="A1238" s="5">
        <v>0</v>
      </c>
      <c r="B1238" s="6" t="s">
        <v>7839</v>
      </c>
      <c r="C1238" s="13">
        <v>1674</v>
      </c>
      <c r="D1238" s="8" t="s">
        <v>7840</v>
      </c>
      <c r="E1238" s="8" t="s">
        <v>7841</v>
      </c>
      <c r="F1238" s="8" t="s">
        <v>7842</v>
      </c>
      <c r="G1238" s="6" t="s">
        <v>52</v>
      </c>
      <c r="H1238" s="6" t="s">
        <v>438</v>
      </c>
      <c r="I1238" s="8"/>
      <c r="J1238" s="9">
        <v>1</v>
      </c>
      <c r="K1238" s="9">
        <v>364</v>
      </c>
      <c r="L1238" s="9">
        <v>2024</v>
      </c>
      <c r="M1238" s="8" t="s">
        <v>7843</v>
      </c>
      <c r="N1238" s="8" t="s">
        <v>41</v>
      </c>
      <c r="O1238" s="8" t="s">
        <v>118</v>
      </c>
      <c r="P1238" s="6" t="s">
        <v>167</v>
      </c>
      <c r="Q1238" s="8" t="s">
        <v>44</v>
      </c>
      <c r="R1238" s="10" t="s">
        <v>7844</v>
      </c>
      <c r="S1238" s="11" t="s">
        <v>7845</v>
      </c>
      <c r="T1238" s="6"/>
      <c r="U1238" s="24" t="str">
        <f>HYPERLINK("https://media.infra-m.ru/2102/2102727/cover/2102727.jpg", "Обложка")</f>
        <v>Обложка</v>
      </c>
      <c r="V1238" s="24" t="str">
        <f>HYPERLINK("https://znanium.ru/catalog/product/2102727", "Ознакомиться")</f>
        <v>Ознакомиться</v>
      </c>
      <c r="W1238" s="8" t="s">
        <v>637</v>
      </c>
      <c r="X1238" s="6"/>
      <c r="Y1238" s="6"/>
      <c r="Z1238" s="6"/>
      <c r="AA1238" s="6" t="s">
        <v>111</v>
      </c>
      <c r="AB1238" s="8"/>
    </row>
    <row r="1239" spans="1:28" s="4" customFormat="1" ht="44.1" customHeight="1">
      <c r="A1239" s="5">
        <v>0</v>
      </c>
      <c r="B1239" s="6" t="s">
        <v>7846</v>
      </c>
      <c r="C1239" s="13">
        <v>1270</v>
      </c>
      <c r="D1239" s="8" t="s">
        <v>7847</v>
      </c>
      <c r="E1239" s="8" t="s">
        <v>7848</v>
      </c>
      <c r="F1239" s="8" t="s">
        <v>7849</v>
      </c>
      <c r="G1239" s="6" t="s">
        <v>52</v>
      </c>
      <c r="H1239" s="6" t="s">
        <v>53</v>
      </c>
      <c r="I1239" s="8" t="s">
        <v>276</v>
      </c>
      <c r="J1239" s="9">
        <v>1</v>
      </c>
      <c r="K1239" s="9">
        <v>263</v>
      </c>
      <c r="L1239" s="9">
        <v>2024</v>
      </c>
      <c r="M1239" s="8" t="s">
        <v>7850</v>
      </c>
      <c r="N1239" s="8" t="s">
        <v>41</v>
      </c>
      <c r="O1239" s="8" t="s">
        <v>118</v>
      </c>
      <c r="P1239" s="6" t="s">
        <v>167</v>
      </c>
      <c r="Q1239" s="8" t="s">
        <v>279</v>
      </c>
      <c r="R1239" s="10" t="s">
        <v>7851</v>
      </c>
      <c r="S1239" s="11"/>
      <c r="T1239" s="6"/>
      <c r="U1239" s="24" t="str">
        <f>HYPERLINK("https://media.infra-m.ru/1859/1859853/cover/1859853.jpg", "Обложка")</f>
        <v>Обложка</v>
      </c>
      <c r="V1239" s="24" t="str">
        <f>HYPERLINK("https://znanium.ru/catalog/product/1859853", "Ознакомиться")</f>
        <v>Ознакомиться</v>
      </c>
      <c r="W1239" s="8" t="s">
        <v>2514</v>
      </c>
      <c r="X1239" s="6"/>
      <c r="Y1239" s="6"/>
      <c r="Z1239" s="6"/>
      <c r="AA1239" s="6" t="s">
        <v>133</v>
      </c>
      <c r="AB1239" s="8"/>
    </row>
    <row r="1240" spans="1:28" s="4" customFormat="1" ht="42" customHeight="1">
      <c r="A1240" s="5">
        <v>0</v>
      </c>
      <c r="B1240" s="6" t="s">
        <v>7852</v>
      </c>
      <c r="C1240" s="13">
        <v>1109.9000000000001</v>
      </c>
      <c r="D1240" s="8" t="s">
        <v>7853</v>
      </c>
      <c r="E1240" s="8" t="s">
        <v>7854</v>
      </c>
      <c r="F1240" s="8" t="s">
        <v>7855</v>
      </c>
      <c r="G1240" s="6" t="s">
        <v>52</v>
      </c>
      <c r="H1240" s="6" t="s">
        <v>184</v>
      </c>
      <c r="I1240" s="8" t="s">
        <v>185</v>
      </c>
      <c r="J1240" s="9">
        <v>10</v>
      </c>
      <c r="K1240" s="9">
        <v>380</v>
      </c>
      <c r="L1240" s="9">
        <v>2017</v>
      </c>
      <c r="M1240" s="8" t="s">
        <v>7856</v>
      </c>
      <c r="N1240" s="8" t="s">
        <v>41</v>
      </c>
      <c r="O1240" s="8" t="s">
        <v>118</v>
      </c>
      <c r="P1240" s="6" t="s">
        <v>167</v>
      </c>
      <c r="Q1240" s="8" t="s">
        <v>44</v>
      </c>
      <c r="R1240" s="10" t="s">
        <v>157</v>
      </c>
      <c r="S1240" s="11"/>
      <c r="T1240" s="6"/>
      <c r="U1240" s="24" t="str">
        <f>HYPERLINK("https://media.infra-m.ru/0560/0560966/cover/560966.jpg", "Обложка")</f>
        <v>Обложка</v>
      </c>
      <c r="V1240" s="24" t="str">
        <f>HYPERLINK("https://znanium.ru/catalog/product/556473", "Ознакомиться")</f>
        <v>Ознакомиться</v>
      </c>
      <c r="W1240" s="8" t="s">
        <v>234</v>
      </c>
      <c r="X1240" s="6"/>
      <c r="Y1240" s="6"/>
      <c r="Z1240" s="6"/>
      <c r="AA1240" s="6" t="s">
        <v>160</v>
      </c>
      <c r="AB1240" s="8"/>
    </row>
    <row r="1241" spans="1:28" s="4" customFormat="1" ht="51.95" customHeight="1">
      <c r="A1241" s="5">
        <v>0</v>
      </c>
      <c r="B1241" s="6" t="s">
        <v>7857</v>
      </c>
      <c r="C1241" s="13">
        <v>1744</v>
      </c>
      <c r="D1241" s="8" t="s">
        <v>7858</v>
      </c>
      <c r="E1241" s="8" t="s">
        <v>7859</v>
      </c>
      <c r="F1241" s="8" t="s">
        <v>7860</v>
      </c>
      <c r="G1241" s="6" t="s">
        <v>89</v>
      </c>
      <c r="H1241" s="6" t="s">
        <v>53</v>
      </c>
      <c r="I1241" s="8" t="s">
        <v>165</v>
      </c>
      <c r="J1241" s="9">
        <v>1</v>
      </c>
      <c r="K1241" s="9">
        <v>343</v>
      </c>
      <c r="L1241" s="9">
        <v>2025</v>
      </c>
      <c r="M1241" s="8" t="s">
        <v>7861</v>
      </c>
      <c r="N1241" s="8" t="s">
        <v>41</v>
      </c>
      <c r="O1241" s="8" t="s">
        <v>118</v>
      </c>
      <c r="P1241" s="6" t="s">
        <v>167</v>
      </c>
      <c r="Q1241" s="8" t="s">
        <v>44</v>
      </c>
      <c r="R1241" s="10" t="s">
        <v>1251</v>
      </c>
      <c r="S1241" s="11" t="s">
        <v>7862</v>
      </c>
      <c r="T1241" s="6"/>
      <c r="U1241" s="24" t="str">
        <f>HYPERLINK("https://media.infra-m.ru/2169/2169151/cover/2169151.jpg", "Обложка")</f>
        <v>Обложка</v>
      </c>
      <c r="V1241" s="24" t="str">
        <f>HYPERLINK("https://znanium.ru/catalog/product/2049698", "Ознакомиться")</f>
        <v>Ознакомиться</v>
      </c>
      <c r="W1241" s="8" t="s">
        <v>83</v>
      </c>
      <c r="X1241" s="6"/>
      <c r="Y1241" s="6"/>
      <c r="Z1241" s="6"/>
      <c r="AA1241" s="6" t="s">
        <v>258</v>
      </c>
      <c r="AB1241" s="8"/>
    </row>
    <row r="1242" spans="1:28" s="4" customFormat="1" ht="51.95" customHeight="1">
      <c r="A1242" s="5">
        <v>0</v>
      </c>
      <c r="B1242" s="6" t="s">
        <v>7863</v>
      </c>
      <c r="C1242" s="7">
        <v>884</v>
      </c>
      <c r="D1242" s="8" t="s">
        <v>7864</v>
      </c>
      <c r="E1242" s="8" t="s">
        <v>7865</v>
      </c>
      <c r="F1242" s="8" t="s">
        <v>7866</v>
      </c>
      <c r="G1242" s="6" t="s">
        <v>38</v>
      </c>
      <c r="H1242" s="6" t="s">
        <v>53</v>
      </c>
      <c r="I1242" s="8" t="s">
        <v>90</v>
      </c>
      <c r="J1242" s="9">
        <v>1</v>
      </c>
      <c r="K1242" s="9">
        <v>191</v>
      </c>
      <c r="L1242" s="9">
        <v>2024</v>
      </c>
      <c r="M1242" s="8" t="s">
        <v>7867</v>
      </c>
      <c r="N1242" s="8" t="s">
        <v>41</v>
      </c>
      <c r="O1242" s="8" t="s">
        <v>118</v>
      </c>
      <c r="P1242" s="6" t="s">
        <v>43</v>
      </c>
      <c r="Q1242" s="8" t="s">
        <v>44</v>
      </c>
      <c r="R1242" s="10" t="s">
        <v>7868</v>
      </c>
      <c r="S1242" s="11" t="s">
        <v>7869</v>
      </c>
      <c r="T1242" s="6"/>
      <c r="U1242" s="24" t="str">
        <f>HYPERLINK("https://media.infra-m.ru/2053/2053972/cover/2053972.jpg", "Обложка")</f>
        <v>Обложка</v>
      </c>
      <c r="V1242" s="24" t="str">
        <f>HYPERLINK("https://znanium.ru/catalog/product/1744673", "Ознакомиться")</f>
        <v>Ознакомиться</v>
      </c>
      <c r="W1242" s="8"/>
      <c r="X1242" s="6"/>
      <c r="Y1242" s="6"/>
      <c r="Z1242" s="6"/>
      <c r="AA1242" s="6" t="s">
        <v>644</v>
      </c>
      <c r="AB1242" s="8"/>
    </row>
    <row r="1243" spans="1:28" s="4" customFormat="1" ht="51.95" customHeight="1">
      <c r="A1243" s="5">
        <v>0</v>
      </c>
      <c r="B1243" s="6" t="s">
        <v>7870</v>
      </c>
      <c r="C1243" s="13">
        <v>1554</v>
      </c>
      <c r="D1243" s="8" t="s">
        <v>7871</v>
      </c>
      <c r="E1243" s="8" t="s">
        <v>7859</v>
      </c>
      <c r="F1243" s="8" t="s">
        <v>7872</v>
      </c>
      <c r="G1243" s="6" t="s">
        <v>52</v>
      </c>
      <c r="H1243" s="6" t="s">
        <v>53</v>
      </c>
      <c r="I1243" s="8" t="s">
        <v>90</v>
      </c>
      <c r="J1243" s="9">
        <v>1</v>
      </c>
      <c r="K1243" s="9">
        <v>311</v>
      </c>
      <c r="L1243" s="9">
        <v>2025</v>
      </c>
      <c r="M1243" s="8" t="s">
        <v>7873</v>
      </c>
      <c r="N1243" s="8" t="s">
        <v>41</v>
      </c>
      <c r="O1243" s="8" t="s">
        <v>118</v>
      </c>
      <c r="P1243" s="6" t="s">
        <v>43</v>
      </c>
      <c r="Q1243" s="8" t="s">
        <v>44</v>
      </c>
      <c r="R1243" s="10" t="s">
        <v>7874</v>
      </c>
      <c r="S1243" s="11" t="s">
        <v>7875</v>
      </c>
      <c r="T1243" s="6"/>
      <c r="U1243" s="24" t="str">
        <f>HYPERLINK("https://media.infra-m.ru/2188/2188760/cover/2188760.jpg", "Обложка")</f>
        <v>Обложка</v>
      </c>
      <c r="V1243" s="24" t="str">
        <f>HYPERLINK("https://znanium.ru/catalog/product/1842532", "Ознакомиться")</f>
        <v>Ознакомиться</v>
      </c>
      <c r="W1243" s="8" t="s">
        <v>7876</v>
      </c>
      <c r="X1243" s="6"/>
      <c r="Y1243" s="6"/>
      <c r="Z1243" s="6"/>
      <c r="AA1243" s="6" t="s">
        <v>122</v>
      </c>
      <c r="AB1243" s="8"/>
    </row>
    <row r="1244" spans="1:28" s="4" customFormat="1" ht="51.95" customHeight="1">
      <c r="A1244" s="5">
        <v>0</v>
      </c>
      <c r="B1244" s="6" t="s">
        <v>7877</v>
      </c>
      <c r="C1244" s="7">
        <v>844</v>
      </c>
      <c r="D1244" s="8" t="s">
        <v>7878</v>
      </c>
      <c r="E1244" s="8" t="s">
        <v>7859</v>
      </c>
      <c r="F1244" s="8" t="s">
        <v>7879</v>
      </c>
      <c r="G1244" s="6" t="s">
        <v>52</v>
      </c>
      <c r="H1244" s="6" t="s">
        <v>53</v>
      </c>
      <c r="I1244" s="8" t="s">
        <v>90</v>
      </c>
      <c r="J1244" s="9">
        <v>1</v>
      </c>
      <c r="K1244" s="9">
        <v>184</v>
      </c>
      <c r="L1244" s="9">
        <v>2024</v>
      </c>
      <c r="M1244" s="8" t="s">
        <v>7880</v>
      </c>
      <c r="N1244" s="8" t="s">
        <v>41</v>
      </c>
      <c r="O1244" s="8" t="s">
        <v>118</v>
      </c>
      <c r="P1244" s="6" t="s">
        <v>43</v>
      </c>
      <c r="Q1244" s="8" t="s">
        <v>44</v>
      </c>
      <c r="R1244" s="10" t="s">
        <v>7881</v>
      </c>
      <c r="S1244" s="11" t="s">
        <v>7882</v>
      </c>
      <c r="T1244" s="6"/>
      <c r="U1244" s="24" t="str">
        <f>HYPERLINK("https://media.infra-m.ru/2083/2083419/cover/2083419.jpg", "Обложка")</f>
        <v>Обложка</v>
      </c>
      <c r="V1244" s="24" t="str">
        <f>HYPERLINK("https://znanium.ru/catalog/product/2083419", "Ознакомиться")</f>
        <v>Ознакомиться</v>
      </c>
      <c r="W1244" s="8" t="s">
        <v>354</v>
      </c>
      <c r="X1244" s="6"/>
      <c r="Y1244" s="6"/>
      <c r="Z1244" s="6"/>
      <c r="AA1244" s="6" t="s">
        <v>47</v>
      </c>
      <c r="AB1244" s="8"/>
    </row>
    <row r="1245" spans="1:28" s="4" customFormat="1" ht="44.1" customHeight="1">
      <c r="A1245" s="5">
        <v>0</v>
      </c>
      <c r="B1245" s="6" t="s">
        <v>7883</v>
      </c>
      <c r="C1245" s="7">
        <v>584</v>
      </c>
      <c r="D1245" s="8" t="s">
        <v>7884</v>
      </c>
      <c r="E1245" s="8" t="s">
        <v>7885</v>
      </c>
      <c r="F1245" s="8" t="s">
        <v>7886</v>
      </c>
      <c r="G1245" s="6" t="s">
        <v>38</v>
      </c>
      <c r="H1245" s="6" t="s">
        <v>53</v>
      </c>
      <c r="I1245" s="8" t="s">
        <v>90</v>
      </c>
      <c r="J1245" s="9">
        <v>1</v>
      </c>
      <c r="K1245" s="9">
        <v>122</v>
      </c>
      <c r="L1245" s="9">
        <v>2023</v>
      </c>
      <c r="M1245" s="8" t="s">
        <v>7887</v>
      </c>
      <c r="N1245" s="8" t="s">
        <v>41</v>
      </c>
      <c r="O1245" s="8" t="s">
        <v>118</v>
      </c>
      <c r="P1245" s="6" t="s">
        <v>43</v>
      </c>
      <c r="Q1245" s="8" t="s">
        <v>44</v>
      </c>
      <c r="R1245" s="10" t="s">
        <v>1251</v>
      </c>
      <c r="S1245" s="11"/>
      <c r="T1245" s="6"/>
      <c r="U1245" s="24" t="str">
        <f>HYPERLINK("https://media.infra-m.ru/2020/2020592/cover/2020592.jpg", "Обложка")</f>
        <v>Обложка</v>
      </c>
      <c r="V1245" s="24" t="str">
        <f>HYPERLINK("https://znanium.ru/catalog/product/1840474", "Ознакомиться")</f>
        <v>Ознакомиться</v>
      </c>
      <c r="W1245" s="8"/>
      <c r="X1245" s="6"/>
      <c r="Y1245" s="6"/>
      <c r="Z1245" s="6"/>
      <c r="AA1245" s="6" t="s">
        <v>622</v>
      </c>
      <c r="AB1245" s="8"/>
    </row>
    <row r="1246" spans="1:28" s="4" customFormat="1" ht="51.95" customHeight="1">
      <c r="A1246" s="5">
        <v>0</v>
      </c>
      <c r="B1246" s="6" t="s">
        <v>7888</v>
      </c>
      <c r="C1246" s="13">
        <v>1550</v>
      </c>
      <c r="D1246" s="8" t="s">
        <v>7889</v>
      </c>
      <c r="E1246" s="8" t="s">
        <v>7890</v>
      </c>
      <c r="F1246" s="8" t="s">
        <v>7891</v>
      </c>
      <c r="G1246" s="6" t="s">
        <v>89</v>
      </c>
      <c r="H1246" s="6" t="s">
        <v>53</v>
      </c>
      <c r="I1246" s="8" t="s">
        <v>116</v>
      </c>
      <c r="J1246" s="9">
        <v>1</v>
      </c>
      <c r="K1246" s="9">
        <v>336</v>
      </c>
      <c r="L1246" s="9">
        <v>2024</v>
      </c>
      <c r="M1246" s="8" t="s">
        <v>7892</v>
      </c>
      <c r="N1246" s="8" t="s">
        <v>997</v>
      </c>
      <c r="O1246" s="8" t="s">
        <v>998</v>
      </c>
      <c r="P1246" s="6" t="s">
        <v>43</v>
      </c>
      <c r="Q1246" s="8" t="s">
        <v>44</v>
      </c>
      <c r="R1246" s="10" t="s">
        <v>7893</v>
      </c>
      <c r="S1246" s="11" t="s">
        <v>7894</v>
      </c>
      <c r="T1246" s="6"/>
      <c r="U1246" s="24" t="str">
        <f>HYPERLINK("https://media.infra-m.ru/2102/2102169/cover/2102169.jpg", "Обложка")</f>
        <v>Обложка</v>
      </c>
      <c r="V1246" s="24" t="str">
        <f>HYPERLINK("https://znanium.ru/catalog/product/2102169", "Ознакомиться")</f>
        <v>Ознакомиться</v>
      </c>
      <c r="W1246" s="8" t="s">
        <v>71</v>
      </c>
      <c r="X1246" s="6"/>
      <c r="Y1246" s="6"/>
      <c r="Z1246" s="6"/>
      <c r="AA1246" s="6" t="s">
        <v>47</v>
      </c>
      <c r="AB1246" s="8"/>
    </row>
    <row r="1247" spans="1:28" s="4" customFormat="1" ht="42" customHeight="1">
      <c r="A1247" s="5">
        <v>0</v>
      </c>
      <c r="B1247" s="6" t="s">
        <v>7895</v>
      </c>
      <c r="C1247" s="13">
        <v>1394</v>
      </c>
      <c r="D1247" s="8" t="s">
        <v>7896</v>
      </c>
      <c r="E1247" s="8" t="s">
        <v>7897</v>
      </c>
      <c r="F1247" s="8" t="s">
        <v>7898</v>
      </c>
      <c r="G1247" s="6" t="s">
        <v>52</v>
      </c>
      <c r="H1247" s="6" t="s">
        <v>53</v>
      </c>
      <c r="I1247" s="8" t="s">
        <v>276</v>
      </c>
      <c r="J1247" s="9">
        <v>1</v>
      </c>
      <c r="K1247" s="9">
        <v>279</v>
      </c>
      <c r="L1247" s="9">
        <v>2025</v>
      </c>
      <c r="M1247" s="8" t="s">
        <v>7899</v>
      </c>
      <c r="N1247" s="8" t="s">
        <v>41</v>
      </c>
      <c r="O1247" s="8" t="s">
        <v>1007</v>
      </c>
      <c r="P1247" s="6" t="s">
        <v>43</v>
      </c>
      <c r="Q1247" s="8" t="s">
        <v>279</v>
      </c>
      <c r="R1247" s="10" t="s">
        <v>7900</v>
      </c>
      <c r="S1247" s="11"/>
      <c r="T1247" s="6"/>
      <c r="U1247" s="24" t="str">
        <f>HYPERLINK("https://media.infra-m.ru/2192/2192249/cover/2192249.jpg", "Обложка")</f>
        <v>Обложка</v>
      </c>
      <c r="V1247" s="24" t="str">
        <f>HYPERLINK("https://znanium.ru/catalog/product/1844292", "Ознакомиться")</f>
        <v>Ознакомиться</v>
      </c>
      <c r="W1247" s="8" t="s">
        <v>5689</v>
      </c>
      <c r="X1247" s="6"/>
      <c r="Y1247" s="6"/>
      <c r="Z1247" s="6"/>
      <c r="AA1247" s="6" t="s">
        <v>84</v>
      </c>
      <c r="AB1247" s="8"/>
    </row>
    <row r="1248" spans="1:28" s="4" customFormat="1" ht="51.95" customHeight="1">
      <c r="A1248" s="5">
        <v>0</v>
      </c>
      <c r="B1248" s="6" t="s">
        <v>7901</v>
      </c>
      <c r="C1248" s="13">
        <v>1030</v>
      </c>
      <c r="D1248" s="8" t="s">
        <v>7902</v>
      </c>
      <c r="E1248" s="8" t="s">
        <v>7903</v>
      </c>
      <c r="F1248" s="8" t="s">
        <v>7904</v>
      </c>
      <c r="G1248" s="6" t="s">
        <v>89</v>
      </c>
      <c r="H1248" s="6" t="s">
        <v>53</v>
      </c>
      <c r="I1248" s="8" t="s">
        <v>90</v>
      </c>
      <c r="J1248" s="9">
        <v>1</v>
      </c>
      <c r="K1248" s="9">
        <v>268</v>
      </c>
      <c r="L1248" s="9">
        <v>2022</v>
      </c>
      <c r="M1248" s="8" t="s">
        <v>7905</v>
      </c>
      <c r="N1248" s="8" t="s">
        <v>41</v>
      </c>
      <c r="O1248" s="8" t="s">
        <v>1007</v>
      </c>
      <c r="P1248" s="6" t="s">
        <v>167</v>
      </c>
      <c r="Q1248" s="8" t="s">
        <v>44</v>
      </c>
      <c r="R1248" s="10" t="s">
        <v>7906</v>
      </c>
      <c r="S1248" s="11" t="s">
        <v>7907</v>
      </c>
      <c r="T1248" s="6"/>
      <c r="U1248" s="24" t="str">
        <f>HYPERLINK("https://media.infra-m.ru/1860/1860803/cover/1860803.jpg", "Обложка")</f>
        <v>Обложка</v>
      </c>
      <c r="V1248" s="24" t="str">
        <f>HYPERLINK("https://znanium.ru/catalog/product/1860803", "Ознакомиться")</f>
        <v>Ознакомиться</v>
      </c>
      <c r="W1248" s="8" t="s">
        <v>621</v>
      </c>
      <c r="X1248" s="6"/>
      <c r="Y1248" s="6"/>
      <c r="Z1248" s="6"/>
      <c r="AA1248" s="6" t="s">
        <v>258</v>
      </c>
      <c r="AB1248" s="8" t="s">
        <v>7908</v>
      </c>
    </row>
    <row r="1249" spans="1:28" s="4" customFormat="1" ht="51.95" customHeight="1">
      <c r="A1249" s="5">
        <v>0</v>
      </c>
      <c r="B1249" s="6" t="s">
        <v>7909</v>
      </c>
      <c r="C1249" s="13">
        <v>1424</v>
      </c>
      <c r="D1249" s="8" t="s">
        <v>7910</v>
      </c>
      <c r="E1249" s="8" t="s">
        <v>7903</v>
      </c>
      <c r="F1249" s="8" t="s">
        <v>7911</v>
      </c>
      <c r="G1249" s="6" t="s">
        <v>52</v>
      </c>
      <c r="H1249" s="6" t="s">
        <v>952</v>
      </c>
      <c r="I1249" s="8"/>
      <c r="J1249" s="9">
        <v>1</v>
      </c>
      <c r="K1249" s="9">
        <v>272</v>
      </c>
      <c r="L1249" s="9">
        <v>2025</v>
      </c>
      <c r="M1249" s="8" t="s">
        <v>7912</v>
      </c>
      <c r="N1249" s="8" t="s">
        <v>41</v>
      </c>
      <c r="O1249" s="8" t="s">
        <v>1007</v>
      </c>
      <c r="P1249" s="6" t="s">
        <v>43</v>
      </c>
      <c r="Q1249" s="8" t="s">
        <v>44</v>
      </c>
      <c r="R1249" s="10" t="s">
        <v>7913</v>
      </c>
      <c r="S1249" s="11"/>
      <c r="T1249" s="6"/>
      <c r="U1249" s="24" t="str">
        <f>HYPERLINK("https://media.infra-m.ru/2192/2192732/cover/2192732.jpg", "Обложка")</f>
        <v>Обложка</v>
      </c>
      <c r="V1249" s="24" t="str">
        <f>HYPERLINK("https://znanium.ru/catalog/product/991964", "Ознакомиться")</f>
        <v>Ознакомиться</v>
      </c>
      <c r="W1249" s="8"/>
      <c r="X1249" s="6"/>
      <c r="Y1249" s="6"/>
      <c r="Z1249" s="6"/>
      <c r="AA1249" s="6" t="s">
        <v>2217</v>
      </c>
      <c r="AB1249" s="8"/>
    </row>
    <row r="1250" spans="1:28" s="4" customFormat="1" ht="51.95" customHeight="1">
      <c r="A1250" s="5">
        <v>0</v>
      </c>
      <c r="B1250" s="6" t="s">
        <v>7914</v>
      </c>
      <c r="C1250" s="13">
        <v>1104</v>
      </c>
      <c r="D1250" s="8" t="s">
        <v>7915</v>
      </c>
      <c r="E1250" s="8" t="s">
        <v>7903</v>
      </c>
      <c r="F1250" s="8" t="s">
        <v>7916</v>
      </c>
      <c r="G1250" s="6" t="s">
        <v>52</v>
      </c>
      <c r="H1250" s="6" t="s">
        <v>53</v>
      </c>
      <c r="I1250" s="8" t="s">
        <v>90</v>
      </c>
      <c r="J1250" s="9">
        <v>1</v>
      </c>
      <c r="K1250" s="9">
        <v>240</v>
      </c>
      <c r="L1250" s="9">
        <v>2024</v>
      </c>
      <c r="M1250" s="8" t="s">
        <v>7917</v>
      </c>
      <c r="N1250" s="8" t="s">
        <v>41</v>
      </c>
      <c r="O1250" s="8" t="s">
        <v>1007</v>
      </c>
      <c r="P1250" s="6" t="s">
        <v>43</v>
      </c>
      <c r="Q1250" s="8" t="s">
        <v>44</v>
      </c>
      <c r="R1250" s="10" t="s">
        <v>7918</v>
      </c>
      <c r="S1250" s="11" t="s">
        <v>7919</v>
      </c>
      <c r="T1250" s="6"/>
      <c r="U1250" s="24" t="str">
        <f>HYPERLINK("https://media.infra-m.ru/2084/2084388/cover/2084388.jpg", "Обложка")</f>
        <v>Обложка</v>
      </c>
      <c r="V1250" s="24" t="str">
        <f>HYPERLINK("https://znanium.ru/catalog/product/1240760", "Ознакомиться")</f>
        <v>Ознакомиться</v>
      </c>
      <c r="W1250" s="8" t="s">
        <v>189</v>
      </c>
      <c r="X1250" s="6"/>
      <c r="Y1250" s="6"/>
      <c r="Z1250" s="6"/>
      <c r="AA1250" s="6" t="s">
        <v>47</v>
      </c>
      <c r="AB1250" s="8"/>
    </row>
    <row r="1251" spans="1:28" s="4" customFormat="1" ht="51.95" customHeight="1">
      <c r="A1251" s="5">
        <v>0</v>
      </c>
      <c r="B1251" s="6" t="s">
        <v>7920</v>
      </c>
      <c r="C1251" s="13">
        <v>2164</v>
      </c>
      <c r="D1251" s="8" t="s">
        <v>7921</v>
      </c>
      <c r="E1251" s="8" t="s">
        <v>7903</v>
      </c>
      <c r="F1251" s="8" t="s">
        <v>7922</v>
      </c>
      <c r="G1251" s="6" t="s">
        <v>52</v>
      </c>
      <c r="H1251" s="6" t="s">
        <v>53</v>
      </c>
      <c r="I1251" s="8" t="s">
        <v>90</v>
      </c>
      <c r="J1251" s="9">
        <v>1</v>
      </c>
      <c r="K1251" s="9">
        <v>416</v>
      </c>
      <c r="L1251" s="9">
        <v>2025</v>
      </c>
      <c r="M1251" s="8" t="s">
        <v>7923</v>
      </c>
      <c r="N1251" s="8" t="s">
        <v>41</v>
      </c>
      <c r="O1251" s="8" t="s">
        <v>1007</v>
      </c>
      <c r="P1251" s="6" t="s">
        <v>43</v>
      </c>
      <c r="Q1251" s="8" t="s">
        <v>44</v>
      </c>
      <c r="R1251" s="10" t="s">
        <v>7924</v>
      </c>
      <c r="S1251" s="11" t="s">
        <v>7925</v>
      </c>
      <c r="T1251" s="6"/>
      <c r="U1251" s="24" t="str">
        <f>HYPERLINK("https://media.infra-m.ru/2196/2196872/cover/2196872.jpg", "Обложка")</f>
        <v>Обложка</v>
      </c>
      <c r="V1251" s="12"/>
      <c r="W1251" s="8" t="s">
        <v>7926</v>
      </c>
      <c r="X1251" s="6"/>
      <c r="Y1251" s="6"/>
      <c r="Z1251" s="6"/>
      <c r="AA1251" s="6" t="s">
        <v>7927</v>
      </c>
      <c r="AB1251" s="8"/>
    </row>
    <row r="1252" spans="1:28" s="4" customFormat="1" ht="51.95" customHeight="1">
      <c r="A1252" s="5">
        <v>0</v>
      </c>
      <c r="B1252" s="6" t="s">
        <v>7928</v>
      </c>
      <c r="C1252" s="7">
        <v>980</v>
      </c>
      <c r="D1252" s="8" t="s">
        <v>7929</v>
      </c>
      <c r="E1252" s="8" t="s">
        <v>7930</v>
      </c>
      <c r="F1252" s="8" t="s">
        <v>7931</v>
      </c>
      <c r="G1252" s="6" t="s">
        <v>89</v>
      </c>
      <c r="H1252" s="6" t="s">
        <v>53</v>
      </c>
      <c r="I1252" s="8" t="s">
        <v>116</v>
      </c>
      <c r="J1252" s="9">
        <v>1</v>
      </c>
      <c r="K1252" s="9">
        <v>204</v>
      </c>
      <c r="L1252" s="9">
        <v>2023</v>
      </c>
      <c r="M1252" s="8" t="s">
        <v>7932</v>
      </c>
      <c r="N1252" s="8" t="s">
        <v>41</v>
      </c>
      <c r="O1252" s="8" t="s">
        <v>1007</v>
      </c>
      <c r="P1252" s="6" t="s">
        <v>43</v>
      </c>
      <c r="Q1252" s="8" t="s">
        <v>58</v>
      </c>
      <c r="R1252" s="10" t="s">
        <v>2461</v>
      </c>
      <c r="S1252" s="11" t="s">
        <v>7933</v>
      </c>
      <c r="T1252" s="6"/>
      <c r="U1252" s="24" t="str">
        <f>HYPERLINK("https://media.infra-m.ru/2002/2002577/cover/2002577.jpg", "Обложка")</f>
        <v>Обложка</v>
      </c>
      <c r="V1252" s="24" t="str">
        <f>HYPERLINK("https://znanium.ru/catalog/product/2002577", "Ознакомиться")</f>
        <v>Ознакомиться</v>
      </c>
      <c r="W1252" s="8" t="s">
        <v>2915</v>
      </c>
      <c r="X1252" s="6"/>
      <c r="Y1252" s="6"/>
      <c r="Z1252" s="6"/>
      <c r="AA1252" s="6" t="s">
        <v>95</v>
      </c>
      <c r="AB1252" s="8"/>
    </row>
    <row r="1253" spans="1:28" s="4" customFormat="1" ht="51.95" customHeight="1">
      <c r="A1253" s="5">
        <v>0</v>
      </c>
      <c r="B1253" s="6" t="s">
        <v>7934</v>
      </c>
      <c r="C1253" s="7">
        <v>574.9</v>
      </c>
      <c r="D1253" s="8" t="s">
        <v>7935</v>
      </c>
      <c r="E1253" s="8" t="s">
        <v>7903</v>
      </c>
      <c r="F1253" s="8" t="s">
        <v>7931</v>
      </c>
      <c r="G1253" s="6" t="s">
        <v>38</v>
      </c>
      <c r="H1253" s="6" t="s">
        <v>53</v>
      </c>
      <c r="I1253" s="8" t="s">
        <v>90</v>
      </c>
      <c r="J1253" s="9">
        <v>1</v>
      </c>
      <c r="K1253" s="9">
        <v>160</v>
      </c>
      <c r="L1253" s="9">
        <v>2021</v>
      </c>
      <c r="M1253" s="8" t="s">
        <v>7936</v>
      </c>
      <c r="N1253" s="8" t="s">
        <v>41</v>
      </c>
      <c r="O1253" s="8" t="s">
        <v>1007</v>
      </c>
      <c r="P1253" s="6" t="s">
        <v>43</v>
      </c>
      <c r="Q1253" s="8" t="s">
        <v>44</v>
      </c>
      <c r="R1253" s="10" t="s">
        <v>2461</v>
      </c>
      <c r="S1253" s="11" t="s">
        <v>7937</v>
      </c>
      <c r="T1253" s="6"/>
      <c r="U1253" s="24" t="str">
        <f>HYPERLINK("https://media.infra-m.ru/1212/1212868/cover/1212868.jpg", "Обложка")</f>
        <v>Обложка</v>
      </c>
      <c r="V1253" s="24" t="str">
        <f>HYPERLINK("https://znanium.ru/catalog/product/2002577", "Ознакомиться")</f>
        <v>Ознакомиться</v>
      </c>
      <c r="W1253" s="8" t="s">
        <v>2915</v>
      </c>
      <c r="X1253" s="6"/>
      <c r="Y1253" s="6"/>
      <c r="Z1253" s="6"/>
      <c r="AA1253" s="6" t="s">
        <v>418</v>
      </c>
      <c r="AB1253" s="8"/>
    </row>
    <row r="1254" spans="1:28" s="4" customFormat="1" ht="51.95" customHeight="1">
      <c r="A1254" s="5">
        <v>0</v>
      </c>
      <c r="B1254" s="6" t="s">
        <v>7938</v>
      </c>
      <c r="C1254" s="13">
        <v>1224.9000000000001</v>
      </c>
      <c r="D1254" s="8" t="s">
        <v>7939</v>
      </c>
      <c r="E1254" s="8" t="s">
        <v>7903</v>
      </c>
      <c r="F1254" s="8" t="s">
        <v>7940</v>
      </c>
      <c r="G1254" s="6" t="s">
        <v>52</v>
      </c>
      <c r="H1254" s="6" t="s">
        <v>53</v>
      </c>
      <c r="I1254" s="8" t="s">
        <v>90</v>
      </c>
      <c r="J1254" s="9">
        <v>1</v>
      </c>
      <c r="K1254" s="9">
        <v>272</v>
      </c>
      <c r="L1254" s="9">
        <v>2023</v>
      </c>
      <c r="M1254" s="8" t="s">
        <v>7941</v>
      </c>
      <c r="N1254" s="8" t="s">
        <v>41</v>
      </c>
      <c r="O1254" s="8" t="s">
        <v>1007</v>
      </c>
      <c r="P1254" s="6" t="s">
        <v>43</v>
      </c>
      <c r="Q1254" s="8" t="s">
        <v>44</v>
      </c>
      <c r="R1254" s="10" t="s">
        <v>7942</v>
      </c>
      <c r="S1254" s="11" t="s">
        <v>7943</v>
      </c>
      <c r="T1254" s="6" t="s">
        <v>299</v>
      </c>
      <c r="U1254" s="24" t="str">
        <f>HYPERLINK("https://media.infra-m.ru/1906/1906703/cover/1906703.jpg", "Обложка")</f>
        <v>Обложка</v>
      </c>
      <c r="V1254" s="24" t="str">
        <f>HYPERLINK("https://znanium.ru/catalog/product/1013463", "Ознакомиться")</f>
        <v>Ознакомиться</v>
      </c>
      <c r="W1254" s="8" t="s">
        <v>7944</v>
      </c>
      <c r="X1254" s="6"/>
      <c r="Y1254" s="6"/>
      <c r="Z1254" s="6"/>
      <c r="AA1254" s="6" t="s">
        <v>84</v>
      </c>
      <c r="AB1254" s="8"/>
    </row>
    <row r="1255" spans="1:28" s="4" customFormat="1" ht="51.95" customHeight="1">
      <c r="A1255" s="5">
        <v>0</v>
      </c>
      <c r="B1255" s="6" t="s">
        <v>7945</v>
      </c>
      <c r="C1255" s="13">
        <v>2174</v>
      </c>
      <c r="D1255" s="8" t="s">
        <v>7946</v>
      </c>
      <c r="E1255" s="8" t="s">
        <v>7903</v>
      </c>
      <c r="F1255" s="8" t="s">
        <v>7947</v>
      </c>
      <c r="G1255" s="6" t="s">
        <v>52</v>
      </c>
      <c r="H1255" s="6" t="s">
        <v>674</v>
      </c>
      <c r="I1255" s="8"/>
      <c r="J1255" s="9">
        <v>1</v>
      </c>
      <c r="K1255" s="9">
        <v>472</v>
      </c>
      <c r="L1255" s="9">
        <v>2023</v>
      </c>
      <c r="M1255" s="8" t="s">
        <v>7948</v>
      </c>
      <c r="N1255" s="8" t="s">
        <v>41</v>
      </c>
      <c r="O1255" s="8" t="s">
        <v>1007</v>
      </c>
      <c r="P1255" s="6" t="s">
        <v>43</v>
      </c>
      <c r="Q1255" s="8" t="s">
        <v>44</v>
      </c>
      <c r="R1255" s="10" t="s">
        <v>7906</v>
      </c>
      <c r="S1255" s="11"/>
      <c r="T1255" s="6"/>
      <c r="U1255" s="24" t="str">
        <f>HYPERLINK("https://media.infra-m.ru/1915/1915516/cover/1915516.jpg", "Обложка")</f>
        <v>Обложка</v>
      </c>
      <c r="V1255" s="24" t="str">
        <f>HYPERLINK("https://znanium.ru/catalog/product/1836592", "Ознакомиться")</f>
        <v>Ознакомиться</v>
      </c>
      <c r="W1255" s="8" t="s">
        <v>947</v>
      </c>
      <c r="X1255" s="6"/>
      <c r="Y1255" s="6"/>
      <c r="Z1255" s="6"/>
      <c r="AA1255" s="6" t="s">
        <v>258</v>
      </c>
      <c r="AB1255" s="8"/>
    </row>
    <row r="1256" spans="1:28" s="4" customFormat="1" ht="51.95" customHeight="1">
      <c r="A1256" s="5">
        <v>0</v>
      </c>
      <c r="B1256" s="6" t="s">
        <v>7949</v>
      </c>
      <c r="C1256" s="7">
        <v>724.9</v>
      </c>
      <c r="D1256" s="8" t="s">
        <v>7950</v>
      </c>
      <c r="E1256" s="8" t="s">
        <v>7951</v>
      </c>
      <c r="F1256" s="8" t="s">
        <v>7952</v>
      </c>
      <c r="G1256" s="6" t="s">
        <v>52</v>
      </c>
      <c r="H1256" s="6" t="s">
        <v>77</v>
      </c>
      <c r="I1256" s="8" t="s">
        <v>7953</v>
      </c>
      <c r="J1256" s="9">
        <v>1</v>
      </c>
      <c r="K1256" s="9">
        <v>206</v>
      </c>
      <c r="L1256" s="9">
        <v>2020</v>
      </c>
      <c r="M1256" s="8" t="s">
        <v>7954</v>
      </c>
      <c r="N1256" s="8" t="s">
        <v>41</v>
      </c>
      <c r="O1256" s="8" t="s">
        <v>118</v>
      </c>
      <c r="P1256" s="6" t="s">
        <v>1046</v>
      </c>
      <c r="Q1256" s="8" t="s">
        <v>279</v>
      </c>
      <c r="R1256" s="10" t="s">
        <v>7955</v>
      </c>
      <c r="S1256" s="11"/>
      <c r="T1256" s="6"/>
      <c r="U1256" s="24" t="str">
        <f>HYPERLINK("https://media.infra-m.ru/1047/1047111/cover/1047111.jpg", "Обложка")</f>
        <v>Обложка</v>
      </c>
      <c r="V1256" s="24" t="str">
        <f>HYPERLINK("https://znanium.ru/catalog/product/937518", "Ознакомиться")</f>
        <v>Ознакомиться</v>
      </c>
      <c r="W1256" s="8" t="s">
        <v>4293</v>
      </c>
      <c r="X1256" s="6"/>
      <c r="Y1256" s="6"/>
      <c r="Z1256" s="6"/>
      <c r="AA1256" s="6" t="s">
        <v>418</v>
      </c>
      <c r="AB1256" s="8"/>
    </row>
    <row r="1257" spans="1:28" s="4" customFormat="1" ht="51.95" customHeight="1">
      <c r="A1257" s="5">
        <v>0</v>
      </c>
      <c r="B1257" s="6" t="s">
        <v>7956</v>
      </c>
      <c r="C1257" s="13">
        <v>1214.9000000000001</v>
      </c>
      <c r="D1257" s="8" t="s">
        <v>7957</v>
      </c>
      <c r="E1257" s="8" t="s">
        <v>7958</v>
      </c>
      <c r="F1257" s="8" t="s">
        <v>7959</v>
      </c>
      <c r="G1257" s="6" t="s">
        <v>52</v>
      </c>
      <c r="H1257" s="6" t="s">
        <v>39</v>
      </c>
      <c r="I1257" s="8" t="s">
        <v>116</v>
      </c>
      <c r="J1257" s="9">
        <v>10</v>
      </c>
      <c r="K1257" s="9">
        <v>320</v>
      </c>
      <c r="L1257" s="9">
        <v>2022</v>
      </c>
      <c r="M1257" s="8" t="s">
        <v>7960</v>
      </c>
      <c r="N1257" s="8" t="s">
        <v>79</v>
      </c>
      <c r="O1257" s="8" t="s">
        <v>396</v>
      </c>
      <c r="P1257" s="6" t="s">
        <v>167</v>
      </c>
      <c r="Q1257" s="8" t="s">
        <v>44</v>
      </c>
      <c r="R1257" s="10" t="s">
        <v>149</v>
      </c>
      <c r="S1257" s="11"/>
      <c r="T1257" s="6"/>
      <c r="U1257" s="24" t="str">
        <f>HYPERLINK("https://media.infra-m.ru/1836/1836111/cover/1836111.jpg", "Обложка")</f>
        <v>Обложка</v>
      </c>
      <c r="V1257" s="24" t="str">
        <f>HYPERLINK("https://znanium.ru/catalog/product/1870562", "Ознакомиться")</f>
        <v>Ознакомиться</v>
      </c>
      <c r="W1257" s="8" t="s">
        <v>758</v>
      </c>
      <c r="X1257" s="6"/>
      <c r="Y1257" s="6"/>
      <c r="Z1257" s="6"/>
      <c r="AA1257" s="6" t="s">
        <v>111</v>
      </c>
      <c r="AB1257" s="8"/>
    </row>
    <row r="1258" spans="1:28" s="4" customFormat="1" ht="51.95" customHeight="1">
      <c r="A1258" s="5">
        <v>0</v>
      </c>
      <c r="B1258" s="6" t="s">
        <v>7961</v>
      </c>
      <c r="C1258" s="13">
        <v>1900</v>
      </c>
      <c r="D1258" s="8" t="s">
        <v>7962</v>
      </c>
      <c r="E1258" s="8" t="s">
        <v>7963</v>
      </c>
      <c r="F1258" s="8" t="s">
        <v>7959</v>
      </c>
      <c r="G1258" s="6" t="s">
        <v>52</v>
      </c>
      <c r="H1258" s="6" t="s">
        <v>53</v>
      </c>
      <c r="I1258" s="8" t="s">
        <v>116</v>
      </c>
      <c r="J1258" s="9">
        <v>1</v>
      </c>
      <c r="K1258" s="9">
        <v>391</v>
      </c>
      <c r="L1258" s="9">
        <v>2024</v>
      </c>
      <c r="M1258" s="8" t="s">
        <v>7964</v>
      </c>
      <c r="N1258" s="8" t="s">
        <v>79</v>
      </c>
      <c r="O1258" s="8" t="s">
        <v>396</v>
      </c>
      <c r="P1258" s="6" t="s">
        <v>167</v>
      </c>
      <c r="Q1258" s="8" t="s">
        <v>44</v>
      </c>
      <c r="R1258" s="10" t="s">
        <v>149</v>
      </c>
      <c r="S1258" s="11"/>
      <c r="T1258" s="6"/>
      <c r="U1258" s="24" t="str">
        <f>HYPERLINK("https://media.infra-m.ru/1870/1870562/cover/1870562.jpg", "Обложка")</f>
        <v>Обложка</v>
      </c>
      <c r="V1258" s="24" t="str">
        <f>HYPERLINK("https://znanium.ru/catalog/product/1870562", "Ознакомиться")</f>
        <v>Ознакомиться</v>
      </c>
      <c r="W1258" s="8" t="s">
        <v>758</v>
      </c>
      <c r="X1258" s="6"/>
      <c r="Y1258" s="6"/>
      <c r="Z1258" s="6"/>
      <c r="AA1258" s="6" t="s">
        <v>105</v>
      </c>
      <c r="AB1258" s="8"/>
    </row>
    <row r="1259" spans="1:28" s="4" customFormat="1" ht="44.1" customHeight="1">
      <c r="A1259" s="5">
        <v>0</v>
      </c>
      <c r="B1259" s="6" t="s">
        <v>7965</v>
      </c>
      <c r="C1259" s="13">
        <v>2870</v>
      </c>
      <c r="D1259" s="8" t="s">
        <v>7966</v>
      </c>
      <c r="E1259" s="8" t="s">
        <v>7967</v>
      </c>
      <c r="F1259" s="8" t="s">
        <v>7968</v>
      </c>
      <c r="G1259" s="6" t="s">
        <v>52</v>
      </c>
      <c r="H1259" s="6" t="s">
        <v>952</v>
      </c>
      <c r="I1259" s="8"/>
      <c r="J1259" s="9">
        <v>1</v>
      </c>
      <c r="K1259" s="9">
        <v>624</v>
      </c>
      <c r="L1259" s="9">
        <v>2024</v>
      </c>
      <c r="M1259" s="8" t="s">
        <v>7969</v>
      </c>
      <c r="N1259" s="8" t="s">
        <v>41</v>
      </c>
      <c r="O1259" s="8" t="s">
        <v>118</v>
      </c>
      <c r="P1259" s="6" t="s">
        <v>167</v>
      </c>
      <c r="Q1259" s="8" t="s">
        <v>279</v>
      </c>
      <c r="R1259" s="10" t="s">
        <v>1251</v>
      </c>
      <c r="S1259" s="11"/>
      <c r="T1259" s="6"/>
      <c r="U1259" s="24" t="str">
        <f>HYPERLINK("https://media.infra-m.ru/2094/2094354/cover/2094354.jpg", "Обложка")</f>
        <v>Обложка</v>
      </c>
      <c r="V1259" s="24" t="str">
        <f>HYPERLINK("https://znanium.ru/catalog/product/2094354", "Ознакомиться")</f>
        <v>Ознакомиться</v>
      </c>
      <c r="W1259" s="8" t="s">
        <v>83</v>
      </c>
      <c r="X1259" s="6"/>
      <c r="Y1259" s="6"/>
      <c r="Z1259" s="6"/>
      <c r="AA1259" s="6" t="s">
        <v>219</v>
      </c>
      <c r="AB1259" s="8"/>
    </row>
    <row r="1260" spans="1:28" s="4" customFormat="1" ht="51.95" customHeight="1">
      <c r="A1260" s="5">
        <v>0</v>
      </c>
      <c r="B1260" s="6" t="s">
        <v>7970</v>
      </c>
      <c r="C1260" s="7">
        <v>374.9</v>
      </c>
      <c r="D1260" s="8" t="s">
        <v>7971</v>
      </c>
      <c r="E1260" s="8" t="s">
        <v>7972</v>
      </c>
      <c r="F1260" s="8" t="s">
        <v>7973</v>
      </c>
      <c r="G1260" s="6" t="s">
        <v>38</v>
      </c>
      <c r="H1260" s="6" t="s">
        <v>674</v>
      </c>
      <c r="I1260" s="8"/>
      <c r="J1260" s="9">
        <v>1</v>
      </c>
      <c r="K1260" s="9">
        <v>112</v>
      </c>
      <c r="L1260" s="9">
        <v>2020</v>
      </c>
      <c r="M1260" s="8" t="s">
        <v>7974</v>
      </c>
      <c r="N1260" s="8" t="s">
        <v>41</v>
      </c>
      <c r="O1260" s="8" t="s">
        <v>676</v>
      </c>
      <c r="P1260" s="6" t="s">
        <v>43</v>
      </c>
      <c r="Q1260" s="8" t="s">
        <v>44</v>
      </c>
      <c r="R1260" s="10" t="s">
        <v>2736</v>
      </c>
      <c r="S1260" s="11"/>
      <c r="T1260" s="6"/>
      <c r="U1260" s="24" t="str">
        <f>HYPERLINK("https://media.infra-m.ru/1091/1091372/cover/1091372.jpg", "Обложка")</f>
        <v>Обложка</v>
      </c>
      <c r="V1260" s="24" t="str">
        <f>HYPERLINK("https://znanium.ru/catalog/product/1047694", "Ознакомиться")</f>
        <v>Ознакомиться</v>
      </c>
      <c r="W1260" s="8" t="s">
        <v>792</v>
      </c>
      <c r="X1260" s="6"/>
      <c r="Y1260" s="6"/>
      <c r="Z1260" s="6"/>
      <c r="AA1260" s="6" t="s">
        <v>84</v>
      </c>
      <c r="AB1260" s="8"/>
    </row>
    <row r="1261" spans="1:28" s="4" customFormat="1" ht="51.95" customHeight="1">
      <c r="A1261" s="5">
        <v>0</v>
      </c>
      <c r="B1261" s="6" t="s">
        <v>7975</v>
      </c>
      <c r="C1261" s="13">
        <v>1514</v>
      </c>
      <c r="D1261" s="8" t="s">
        <v>7976</v>
      </c>
      <c r="E1261" s="8" t="s">
        <v>7977</v>
      </c>
      <c r="F1261" s="8" t="s">
        <v>7978</v>
      </c>
      <c r="G1261" s="6" t="s">
        <v>89</v>
      </c>
      <c r="H1261" s="6" t="s">
        <v>53</v>
      </c>
      <c r="I1261" s="8" t="s">
        <v>276</v>
      </c>
      <c r="J1261" s="9">
        <v>1</v>
      </c>
      <c r="K1261" s="9">
        <v>302</v>
      </c>
      <c r="L1261" s="9">
        <v>2025</v>
      </c>
      <c r="M1261" s="8" t="s">
        <v>7979</v>
      </c>
      <c r="N1261" s="8" t="s">
        <v>79</v>
      </c>
      <c r="O1261" s="8" t="s">
        <v>684</v>
      </c>
      <c r="P1261" s="6" t="s">
        <v>43</v>
      </c>
      <c r="Q1261" s="8" t="s">
        <v>279</v>
      </c>
      <c r="R1261" s="10" t="s">
        <v>7980</v>
      </c>
      <c r="S1261" s="11" t="s">
        <v>7981</v>
      </c>
      <c r="T1261" s="6"/>
      <c r="U1261" s="24" t="str">
        <f>HYPERLINK("https://media.infra-m.ru/2180/2180235/cover/2180235.jpg", "Обложка")</f>
        <v>Обложка</v>
      </c>
      <c r="V1261" s="24" t="str">
        <f>HYPERLINK("https://znanium.ru/catalog/product/1906704", "Ознакомиться")</f>
        <v>Ознакомиться</v>
      </c>
      <c r="W1261" s="8" t="s">
        <v>637</v>
      </c>
      <c r="X1261" s="6"/>
      <c r="Y1261" s="6"/>
      <c r="Z1261" s="6"/>
      <c r="AA1261" s="6" t="s">
        <v>84</v>
      </c>
      <c r="AB1261" s="8"/>
    </row>
    <row r="1262" spans="1:28" s="4" customFormat="1" ht="51.95" customHeight="1">
      <c r="A1262" s="5">
        <v>0</v>
      </c>
      <c r="B1262" s="6" t="s">
        <v>7982</v>
      </c>
      <c r="C1262" s="13">
        <v>1370</v>
      </c>
      <c r="D1262" s="8" t="s">
        <v>7983</v>
      </c>
      <c r="E1262" s="8" t="s">
        <v>7984</v>
      </c>
      <c r="F1262" s="8" t="s">
        <v>7985</v>
      </c>
      <c r="G1262" s="6" t="s">
        <v>89</v>
      </c>
      <c r="H1262" s="6" t="s">
        <v>53</v>
      </c>
      <c r="I1262" s="8" t="s">
        <v>165</v>
      </c>
      <c r="J1262" s="9">
        <v>1</v>
      </c>
      <c r="K1262" s="9">
        <v>273</v>
      </c>
      <c r="L1262" s="9">
        <v>2024</v>
      </c>
      <c r="M1262" s="8" t="s">
        <v>7986</v>
      </c>
      <c r="N1262" s="8" t="s">
        <v>79</v>
      </c>
      <c r="O1262" s="8" t="s">
        <v>80</v>
      </c>
      <c r="P1262" s="6" t="s">
        <v>43</v>
      </c>
      <c r="Q1262" s="8" t="s">
        <v>44</v>
      </c>
      <c r="R1262" s="10" t="s">
        <v>7987</v>
      </c>
      <c r="S1262" s="11"/>
      <c r="T1262" s="6"/>
      <c r="U1262" s="24" t="str">
        <f>HYPERLINK("https://media.infra-m.ru/2150/2150445/cover/2150445.jpg", "Обложка")</f>
        <v>Обложка</v>
      </c>
      <c r="V1262" s="24" t="str">
        <f>HYPERLINK("https://znanium.ru/catalog/product/2150445", "Ознакомиться")</f>
        <v>Ознакомиться</v>
      </c>
      <c r="W1262" s="8" t="s">
        <v>83</v>
      </c>
      <c r="X1262" s="6"/>
      <c r="Y1262" s="6"/>
      <c r="Z1262" s="6"/>
      <c r="AA1262" s="6" t="s">
        <v>133</v>
      </c>
      <c r="AB1262" s="8" t="s">
        <v>7988</v>
      </c>
    </row>
    <row r="1263" spans="1:28" s="4" customFormat="1" ht="51.95" customHeight="1">
      <c r="A1263" s="5">
        <v>0</v>
      </c>
      <c r="B1263" s="6" t="s">
        <v>7989</v>
      </c>
      <c r="C1263" s="7">
        <v>654.9</v>
      </c>
      <c r="D1263" s="8" t="s">
        <v>7990</v>
      </c>
      <c r="E1263" s="8" t="s">
        <v>7991</v>
      </c>
      <c r="F1263" s="8" t="s">
        <v>7992</v>
      </c>
      <c r="G1263" s="6" t="s">
        <v>52</v>
      </c>
      <c r="H1263" s="6" t="s">
        <v>184</v>
      </c>
      <c r="I1263" s="8" t="s">
        <v>90</v>
      </c>
      <c r="J1263" s="9">
        <v>1</v>
      </c>
      <c r="K1263" s="9">
        <v>171</v>
      </c>
      <c r="L1263" s="9">
        <v>2022</v>
      </c>
      <c r="M1263" s="8" t="s">
        <v>7993</v>
      </c>
      <c r="N1263" s="8" t="s">
        <v>41</v>
      </c>
      <c r="O1263" s="8" t="s">
        <v>278</v>
      </c>
      <c r="P1263" s="6" t="s">
        <v>43</v>
      </c>
      <c r="Q1263" s="8" t="s">
        <v>44</v>
      </c>
      <c r="R1263" s="10" t="s">
        <v>7994</v>
      </c>
      <c r="S1263" s="11" t="s">
        <v>7995</v>
      </c>
      <c r="T1263" s="6"/>
      <c r="U1263" s="24" t="str">
        <f>HYPERLINK("https://media.infra-m.ru/1856/1856787/cover/1856787.jpg", "Обложка")</f>
        <v>Обложка</v>
      </c>
      <c r="V1263" s="24" t="str">
        <f>HYPERLINK("https://znanium.ru/catalog/product/1856787", "Ознакомиться")</f>
        <v>Ознакомиться</v>
      </c>
      <c r="W1263" s="8" t="s">
        <v>3426</v>
      </c>
      <c r="X1263" s="6"/>
      <c r="Y1263" s="6"/>
      <c r="Z1263" s="6"/>
      <c r="AA1263" s="6" t="s">
        <v>418</v>
      </c>
      <c r="AB1263" s="8"/>
    </row>
    <row r="1264" spans="1:28" s="4" customFormat="1" ht="51.95" customHeight="1">
      <c r="A1264" s="5">
        <v>0</v>
      </c>
      <c r="B1264" s="6" t="s">
        <v>7996</v>
      </c>
      <c r="C1264" s="7">
        <v>900</v>
      </c>
      <c r="D1264" s="8" t="s">
        <v>7997</v>
      </c>
      <c r="E1264" s="8" t="s">
        <v>7998</v>
      </c>
      <c r="F1264" s="8" t="s">
        <v>7999</v>
      </c>
      <c r="G1264" s="6" t="s">
        <v>89</v>
      </c>
      <c r="H1264" s="6" t="s">
        <v>184</v>
      </c>
      <c r="I1264" s="8"/>
      <c r="J1264" s="9">
        <v>1</v>
      </c>
      <c r="K1264" s="9">
        <v>187</v>
      </c>
      <c r="L1264" s="9">
        <v>2023</v>
      </c>
      <c r="M1264" s="8" t="s">
        <v>8000</v>
      </c>
      <c r="N1264" s="8" t="s">
        <v>41</v>
      </c>
      <c r="O1264" s="8" t="s">
        <v>278</v>
      </c>
      <c r="P1264" s="6" t="s">
        <v>43</v>
      </c>
      <c r="Q1264" s="8" t="s">
        <v>58</v>
      </c>
      <c r="R1264" s="10" t="s">
        <v>8001</v>
      </c>
      <c r="S1264" s="11"/>
      <c r="T1264" s="6"/>
      <c r="U1264" s="24" t="str">
        <f>HYPERLINK("https://media.infra-m.ru/2125/2125000/cover/2125000.jpg", "Обложка")</f>
        <v>Обложка</v>
      </c>
      <c r="V1264" s="24" t="str">
        <f>HYPERLINK("https://znanium.ru/catalog/product/2125000", "Ознакомиться")</f>
        <v>Ознакомиться</v>
      </c>
      <c r="W1264" s="8"/>
      <c r="X1264" s="6"/>
      <c r="Y1264" s="6"/>
      <c r="Z1264" s="6"/>
      <c r="AA1264" s="6" t="s">
        <v>151</v>
      </c>
      <c r="AB1264" s="8"/>
    </row>
    <row r="1265" spans="1:28" s="4" customFormat="1" ht="51.95" customHeight="1">
      <c r="A1265" s="5">
        <v>0</v>
      </c>
      <c r="B1265" s="6" t="s">
        <v>8002</v>
      </c>
      <c r="C1265" s="7">
        <v>824.9</v>
      </c>
      <c r="D1265" s="8" t="s">
        <v>8003</v>
      </c>
      <c r="E1265" s="8" t="s">
        <v>7991</v>
      </c>
      <c r="F1265" s="8" t="s">
        <v>3342</v>
      </c>
      <c r="G1265" s="6" t="s">
        <v>52</v>
      </c>
      <c r="H1265" s="6" t="s">
        <v>184</v>
      </c>
      <c r="I1265" s="8" t="s">
        <v>8004</v>
      </c>
      <c r="J1265" s="9">
        <v>1</v>
      </c>
      <c r="K1265" s="9">
        <v>216</v>
      </c>
      <c r="L1265" s="9">
        <v>2022</v>
      </c>
      <c r="M1265" s="8" t="s">
        <v>8005</v>
      </c>
      <c r="N1265" s="8" t="s">
        <v>41</v>
      </c>
      <c r="O1265" s="8" t="s">
        <v>278</v>
      </c>
      <c r="P1265" s="6" t="s">
        <v>43</v>
      </c>
      <c r="Q1265" s="8" t="s">
        <v>44</v>
      </c>
      <c r="R1265" s="10" t="s">
        <v>8006</v>
      </c>
      <c r="S1265" s="11" t="s">
        <v>8007</v>
      </c>
      <c r="T1265" s="6"/>
      <c r="U1265" s="24" t="str">
        <f>HYPERLINK("https://media.infra-m.ru/1843/1843640/cover/1843640.jpg", "Обложка")</f>
        <v>Обложка</v>
      </c>
      <c r="V1265" s="24" t="str">
        <f>HYPERLINK("https://znanium.ru/catalog/product/1843640", "Ознакомиться")</f>
        <v>Ознакомиться</v>
      </c>
      <c r="W1265" s="8" t="s">
        <v>354</v>
      </c>
      <c r="X1265" s="6"/>
      <c r="Y1265" s="6"/>
      <c r="Z1265" s="6"/>
      <c r="AA1265" s="6" t="s">
        <v>47</v>
      </c>
      <c r="AB1265" s="8"/>
    </row>
    <row r="1266" spans="1:28" s="4" customFormat="1" ht="51.95" customHeight="1">
      <c r="A1266" s="5">
        <v>0</v>
      </c>
      <c r="B1266" s="6" t="s">
        <v>8008</v>
      </c>
      <c r="C1266" s="13">
        <v>1024</v>
      </c>
      <c r="D1266" s="8" t="s">
        <v>8009</v>
      </c>
      <c r="E1266" s="8" t="s">
        <v>8010</v>
      </c>
      <c r="F1266" s="8" t="s">
        <v>8011</v>
      </c>
      <c r="G1266" s="6" t="s">
        <v>52</v>
      </c>
      <c r="H1266" s="6" t="s">
        <v>53</v>
      </c>
      <c r="I1266" s="8" t="s">
        <v>90</v>
      </c>
      <c r="J1266" s="9">
        <v>1</v>
      </c>
      <c r="K1266" s="9">
        <v>222</v>
      </c>
      <c r="L1266" s="9">
        <v>2023</v>
      </c>
      <c r="M1266" s="8" t="s">
        <v>8012</v>
      </c>
      <c r="N1266" s="8" t="s">
        <v>79</v>
      </c>
      <c r="O1266" s="8" t="s">
        <v>80</v>
      </c>
      <c r="P1266" s="6" t="s">
        <v>43</v>
      </c>
      <c r="Q1266" s="8" t="s">
        <v>44</v>
      </c>
      <c r="R1266" s="10" t="s">
        <v>8013</v>
      </c>
      <c r="S1266" s="11" t="s">
        <v>8014</v>
      </c>
      <c r="T1266" s="6"/>
      <c r="U1266" s="24" t="str">
        <f>HYPERLINK("https://media.infra-m.ru/2051/2051473/cover/2051473.jpg", "Обложка")</f>
        <v>Обложка</v>
      </c>
      <c r="V1266" s="24" t="str">
        <f>HYPERLINK("https://znanium.ru/catalog/product/1171989", "Ознакомиться")</f>
        <v>Ознакомиться</v>
      </c>
      <c r="W1266" s="8" t="s">
        <v>83</v>
      </c>
      <c r="X1266" s="6"/>
      <c r="Y1266" s="6"/>
      <c r="Z1266" s="6"/>
      <c r="AA1266" s="6" t="s">
        <v>219</v>
      </c>
      <c r="AB1266" s="8"/>
    </row>
    <row r="1267" spans="1:28" s="4" customFormat="1" ht="51.95" customHeight="1">
      <c r="A1267" s="5">
        <v>0</v>
      </c>
      <c r="B1267" s="6" t="s">
        <v>8015</v>
      </c>
      <c r="C1267" s="13">
        <v>2760</v>
      </c>
      <c r="D1267" s="8" t="s">
        <v>8016</v>
      </c>
      <c r="E1267" s="8" t="s">
        <v>8017</v>
      </c>
      <c r="F1267" s="8" t="s">
        <v>8018</v>
      </c>
      <c r="G1267" s="6" t="s">
        <v>52</v>
      </c>
      <c r="H1267" s="6" t="s">
        <v>53</v>
      </c>
      <c r="I1267" s="8" t="s">
        <v>116</v>
      </c>
      <c r="J1267" s="9">
        <v>1</v>
      </c>
      <c r="K1267" s="9">
        <v>530</v>
      </c>
      <c r="L1267" s="9">
        <v>2025</v>
      </c>
      <c r="M1267" s="8" t="s">
        <v>8019</v>
      </c>
      <c r="N1267" s="8" t="s">
        <v>79</v>
      </c>
      <c r="O1267" s="8" t="s">
        <v>80</v>
      </c>
      <c r="P1267" s="6" t="s">
        <v>167</v>
      </c>
      <c r="Q1267" s="8" t="s">
        <v>279</v>
      </c>
      <c r="R1267" s="10" t="s">
        <v>8020</v>
      </c>
      <c r="S1267" s="11" t="s">
        <v>8021</v>
      </c>
      <c r="T1267" s="6" t="s">
        <v>299</v>
      </c>
      <c r="U1267" s="24" t="str">
        <f>HYPERLINK("https://media.infra-m.ru/2194/2194412/cover/2194412.jpg", "Обложка")</f>
        <v>Обложка</v>
      </c>
      <c r="V1267" s="24" t="str">
        <f>HYPERLINK("https://znanium.ru/catalog/product/2194412", "Ознакомиться")</f>
        <v>Ознакомиться</v>
      </c>
      <c r="W1267" s="8" t="s">
        <v>8022</v>
      </c>
      <c r="X1267" s="6"/>
      <c r="Y1267" s="6"/>
      <c r="Z1267" s="6"/>
      <c r="AA1267" s="6" t="s">
        <v>219</v>
      </c>
      <c r="AB1267" s="8"/>
    </row>
    <row r="1268" spans="1:28" s="4" customFormat="1" ht="51.95" customHeight="1">
      <c r="A1268" s="5">
        <v>0</v>
      </c>
      <c r="B1268" s="6" t="s">
        <v>8023</v>
      </c>
      <c r="C1268" s="13">
        <v>1320</v>
      </c>
      <c r="D1268" s="8" t="s">
        <v>8024</v>
      </c>
      <c r="E1268" s="8" t="s">
        <v>8025</v>
      </c>
      <c r="F1268" s="8" t="s">
        <v>8026</v>
      </c>
      <c r="G1268" s="6" t="s">
        <v>89</v>
      </c>
      <c r="H1268" s="6" t="s">
        <v>438</v>
      </c>
      <c r="I1268" s="8" t="s">
        <v>1171</v>
      </c>
      <c r="J1268" s="9">
        <v>1</v>
      </c>
      <c r="K1268" s="9">
        <v>280</v>
      </c>
      <c r="L1268" s="9">
        <v>2023</v>
      </c>
      <c r="M1268" s="8" t="s">
        <v>8027</v>
      </c>
      <c r="N1268" s="8" t="s">
        <v>79</v>
      </c>
      <c r="O1268" s="8" t="s">
        <v>148</v>
      </c>
      <c r="P1268" s="6" t="s">
        <v>167</v>
      </c>
      <c r="Q1268" s="8" t="s">
        <v>44</v>
      </c>
      <c r="R1268" s="10" t="s">
        <v>8028</v>
      </c>
      <c r="S1268" s="11" t="s">
        <v>8029</v>
      </c>
      <c r="T1268" s="6"/>
      <c r="U1268" s="24" t="str">
        <f>HYPERLINK("https://media.infra-m.ru/2126/2126506/cover/2126506.jpg", "Обложка")</f>
        <v>Обложка</v>
      </c>
      <c r="V1268" s="24" t="str">
        <f>HYPERLINK("https://znanium.ru/catalog/product/2126506", "Ознакомиться")</f>
        <v>Ознакомиться</v>
      </c>
      <c r="W1268" s="8" t="s">
        <v>450</v>
      </c>
      <c r="X1268" s="6"/>
      <c r="Y1268" s="6"/>
      <c r="Z1268" s="6"/>
      <c r="AA1268" s="6" t="s">
        <v>418</v>
      </c>
      <c r="AB1268" s="8"/>
    </row>
    <row r="1269" spans="1:28" s="4" customFormat="1" ht="51.95" customHeight="1">
      <c r="A1269" s="5">
        <v>0</v>
      </c>
      <c r="B1269" s="6" t="s">
        <v>8030</v>
      </c>
      <c r="C1269" s="13">
        <v>1044</v>
      </c>
      <c r="D1269" s="8" t="s">
        <v>8031</v>
      </c>
      <c r="E1269" s="8" t="s">
        <v>8032</v>
      </c>
      <c r="F1269" s="8" t="s">
        <v>4232</v>
      </c>
      <c r="G1269" s="6" t="s">
        <v>52</v>
      </c>
      <c r="H1269" s="6" t="s">
        <v>53</v>
      </c>
      <c r="I1269" s="8" t="s">
        <v>100</v>
      </c>
      <c r="J1269" s="9">
        <v>1</v>
      </c>
      <c r="K1269" s="9">
        <v>197</v>
      </c>
      <c r="L1269" s="9">
        <v>2025</v>
      </c>
      <c r="M1269" s="8" t="s">
        <v>8033</v>
      </c>
      <c r="N1269" s="8" t="s">
        <v>79</v>
      </c>
      <c r="O1269" s="8" t="s">
        <v>570</v>
      </c>
      <c r="P1269" s="6" t="s">
        <v>167</v>
      </c>
      <c r="Q1269" s="8" t="s">
        <v>102</v>
      </c>
      <c r="R1269" s="10" t="s">
        <v>8034</v>
      </c>
      <c r="S1269" s="11" t="s">
        <v>8035</v>
      </c>
      <c r="T1269" s="6"/>
      <c r="U1269" s="24" t="str">
        <f>HYPERLINK("https://media.infra-m.ru/2181/2181311/cover/2181311.jpg", "Обложка")</f>
        <v>Обложка</v>
      </c>
      <c r="V1269" s="24" t="str">
        <f>HYPERLINK("https://znanium.ru/catalog/product/2109036", "Ознакомиться")</f>
        <v>Ознакомиться</v>
      </c>
      <c r="W1269" s="8"/>
      <c r="X1269" s="6"/>
      <c r="Y1269" s="6"/>
      <c r="Z1269" s="6" t="s">
        <v>104</v>
      </c>
      <c r="AA1269" s="6" t="s">
        <v>813</v>
      </c>
      <c r="AB1269" s="8"/>
    </row>
    <row r="1270" spans="1:28" s="4" customFormat="1" ht="51.95" customHeight="1">
      <c r="A1270" s="5">
        <v>0</v>
      </c>
      <c r="B1270" s="6" t="s">
        <v>8036</v>
      </c>
      <c r="C1270" s="7">
        <v>770</v>
      </c>
      <c r="D1270" s="8" t="s">
        <v>8037</v>
      </c>
      <c r="E1270" s="8" t="s">
        <v>8038</v>
      </c>
      <c r="F1270" s="8" t="s">
        <v>4232</v>
      </c>
      <c r="G1270" s="6" t="s">
        <v>89</v>
      </c>
      <c r="H1270" s="6" t="s">
        <v>53</v>
      </c>
      <c r="I1270" s="8" t="s">
        <v>90</v>
      </c>
      <c r="J1270" s="9">
        <v>1</v>
      </c>
      <c r="K1270" s="9">
        <v>176</v>
      </c>
      <c r="L1270" s="9">
        <v>2022</v>
      </c>
      <c r="M1270" s="8" t="s">
        <v>8039</v>
      </c>
      <c r="N1270" s="8" t="s">
        <v>79</v>
      </c>
      <c r="O1270" s="8" t="s">
        <v>570</v>
      </c>
      <c r="P1270" s="6" t="s">
        <v>167</v>
      </c>
      <c r="Q1270" s="8" t="s">
        <v>44</v>
      </c>
      <c r="R1270" s="10" t="s">
        <v>8040</v>
      </c>
      <c r="S1270" s="11" t="s">
        <v>8041</v>
      </c>
      <c r="T1270" s="6"/>
      <c r="U1270" s="24" t="str">
        <f>HYPERLINK("https://media.infra-m.ru/1860/1860214/cover/1860214.jpg", "Обложка")</f>
        <v>Обложка</v>
      </c>
      <c r="V1270" s="24" t="str">
        <f>HYPERLINK("https://znanium.ru/catalog/product/2169775", "Ознакомиться")</f>
        <v>Ознакомиться</v>
      </c>
      <c r="W1270" s="8"/>
      <c r="X1270" s="6"/>
      <c r="Y1270" s="6"/>
      <c r="Z1270" s="6"/>
      <c r="AA1270" s="6" t="s">
        <v>219</v>
      </c>
      <c r="AB1270" s="8"/>
    </row>
    <row r="1271" spans="1:28" s="4" customFormat="1" ht="51.95" customHeight="1">
      <c r="A1271" s="5">
        <v>0</v>
      </c>
      <c r="B1271" s="6" t="s">
        <v>8042</v>
      </c>
      <c r="C1271" s="13">
        <v>1070</v>
      </c>
      <c r="D1271" s="8" t="s">
        <v>8043</v>
      </c>
      <c r="E1271" s="8" t="s">
        <v>8032</v>
      </c>
      <c r="F1271" s="8" t="s">
        <v>4232</v>
      </c>
      <c r="G1271" s="6" t="s">
        <v>89</v>
      </c>
      <c r="H1271" s="6" t="s">
        <v>53</v>
      </c>
      <c r="I1271" s="8" t="s">
        <v>116</v>
      </c>
      <c r="J1271" s="9">
        <v>1</v>
      </c>
      <c r="K1271" s="9">
        <v>197</v>
      </c>
      <c r="L1271" s="9">
        <v>2025</v>
      </c>
      <c r="M1271" s="8" t="s">
        <v>8044</v>
      </c>
      <c r="N1271" s="8" t="s">
        <v>79</v>
      </c>
      <c r="O1271" s="8" t="s">
        <v>570</v>
      </c>
      <c r="P1271" s="6" t="s">
        <v>167</v>
      </c>
      <c r="Q1271" s="8" t="s">
        <v>44</v>
      </c>
      <c r="R1271" s="10" t="s">
        <v>8040</v>
      </c>
      <c r="S1271" s="11" t="s">
        <v>8041</v>
      </c>
      <c r="T1271" s="6"/>
      <c r="U1271" s="24" t="str">
        <f>HYPERLINK("https://media.infra-m.ru/2169/2169775/cover/2169775.jpg", "Обложка")</f>
        <v>Обложка</v>
      </c>
      <c r="V1271" s="24" t="str">
        <f>HYPERLINK("https://znanium.ru/catalog/product/2169775", "Ознакомиться")</f>
        <v>Ознакомиться</v>
      </c>
      <c r="W1271" s="8"/>
      <c r="X1271" s="6"/>
      <c r="Y1271" s="6"/>
      <c r="Z1271" s="6"/>
      <c r="AA1271" s="6" t="s">
        <v>813</v>
      </c>
      <c r="AB1271" s="8"/>
    </row>
    <row r="1272" spans="1:28" s="4" customFormat="1" ht="51.95" customHeight="1">
      <c r="A1272" s="5">
        <v>0</v>
      </c>
      <c r="B1272" s="6" t="s">
        <v>8045</v>
      </c>
      <c r="C1272" s="13">
        <v>2100</v>
      </c>
      <c r="D1272" s="8" t="s">
        <v>8046</v>
      </c>
      <c r="E1272" s="8" t="s">
        <v>8047</v>
      </c>
      <c r="F1272" s="8" t="s">
        <v>8018</v>
      </c>
      <c r="G1272" s="6" t="s">
        <v>89</v>
      </c>
      <c r="H1272" s="6" t="s">
        <v>53</v>
      </c>
      <c r="I1272" s="8" t="s">
        <v>276</v>
      </c>
      <c r="J1272" s="9">
        <v>1</v>
      </c>
      <c r="K1272" s="9">
        <v>511</v>
      </c>
      <c r="L1272" s="9">
        <v>2023</v>
      </c>
      <c r="M1272" s="8" t="s">
        <v>8048</v>
      </c>
      <c r="N1272" s="8" t="s">
        <v>79</v>
      </c>
      <c r="O1272" s="8" t="s">
        <v>80</v>
      </c>
      <c r="P1272" s="6" t="s">
        <v>167</v>
      </c>
      <c r="Q1272" s="8" t="s">
        <v>279</v>
      </c>
      <c r="R1272" s="10" t="s">
        <v>8049</v>
      </c>
      <c r="S1272" s="11" t="s">
        <v>8050</v>
      </c>
      <c r="T1272" s="6" t="s">
        <v>299</v>
      </c>
      <c r="U1272" s="24" t="str">
        <f>HYPERLINK("https://media.infra-m.ru/1964/1964976/cover/1964976.jpg", "Обложка")</f>
        <v>Обложка</v>
      </c>
      <c r="V1272" s="24" t="str">
        <f>HYPERLINK("https://znanium.ru/catalog/product/1964976", "Ознакомиться")</f>
        <v>Ознакомиться</v>
      </c>
      <c r="W1272" s="8" t="s">
        <v>8022</v>
      </c>
      <c r="X1272" s="6"/>
      <c r="Y1272" s="6"/>
      <c r="Z1272" s="6"/>
      <c r="AA1272" s="6" t="s">
        <v>258</v>
      </c>
      <c r="AB1272" s="8" t="s">
        <v>840</v>
      </c>
    </row>
    <row r="1273" spans="1:28" s="4" customFormat="1" ht="51.95" customHeight="1">
      <c r="A1273" s="5">
        <v>0</v>
      </c>
      <c r="B1273" s="6" t="s">
        <v>8051</v>
      </c>
      <c r="C1273" s="7">
        <v>754</v>
      </c>
      <c r="D1273" s="8" t="s">
        <v>8052</v>
      </c>
      <c r="E1273" s="8" t="s">
        <v>8053</v>
      </c>
      <c r="F1273" s="8" t="s">
        <v>8054</v>
      </c>
      <c r="G1273" s="6" t="s">
        <v>52</v>
      </c>
      <c r="H1273" s="6" t="s">
        <v>53</v>
      </c>
      <c r="I1273" s="8" t="s">
        <v>276</v>
      </c>
      <c r="J1273" s="9">
        <v>1</v>
      </c>
      <c r="K1273" s="9">
        <v>160</v>
      </c>
      <c r="L1273" s="9">
        <v>2024</v>
      </c>
      <c r="M1273" s="8" t="s">
        <v>8055</v>
      </c>
      <c r="N1273" s="8" t="s">
        <v>79</v>
      </c>
      <c r="O1273" s="8" t="s">
        <v>396</v>
      </c>
      <c r="P1273" s="6" t="s">
        <v>43</v>
      </c>
      <c r="Q1273" s="8" t="s">
        <v>279</v>
      </c>
      <c r="R1273" s="10" t="s">
        <v>8056</v>
      </c>
      <c r="S1273" s="11" t="s">
        <v>8057</v>
      </c>
      <c r="T1273" s="6"/>
      <c r="U1273" s="24" t="str">
        <f>HYPERLINK("https://media.infra-m.ru/2140/2140840/cover/2140840.jpg", "Обложка")</f>
        <v>Обложка</v>
      </c>
      <c r="V1273" s="24" t="str">
        <f>HYPERLINK("https://znanium.ru/catalog/product/2139000", "Ознакомиться")</f>
        <v>Ознакомиться</v>
      </c>
      <c r="W1273" s="8"/>
      <c r="X1273" s="6"/>
      <c r="Y1273" s="6"/>
      <c r="Z1273" s="6"/>
      <c r="AA1273" s="6" t="s">
        <v>219</v>
      </c>
      <c r="AB1273" s="8"/>
    </row>
    <row r="1274" spans="1:28" s="4" customFormat="1" ht="51.95" customHeight="1">
      <c r="A1274" s="5">
        <v>0</v>
      </c>
      <c r="B1274" s="6" t="s">
        <v>8058</v>
      </c>
      <c r="C1274" s="7">
        <v>794</v>
      </c>
      <c r="D1274" s="8" t="s">
        <v>8059</v>
      </c>
      <c r="E1274" s="8" t="s">
        <v>8060</v>
      </c>
      <c r="F1274" s="8" t="s">
        <v>8061</v>
      </c>
      <c r="G1274" s="6" t="s">
        <v>52</v>
      </c>
      <c r="H1274" s="6" t="s">
        <v>649</v>
      </c>
      <c r="I1274" s="8" t="s">
        <v>116</v>
      </c>
      <c r="J1274" s="9">
        <v>1</v>
      </c>
      <c r="K1274" s="9">
        <v>160</v>
      </c>
      <c r="L1274" s="9">
        <v>2025</v>
      </c>
      <c r="M1274" s="8" t="s">
        <v>8062</v>
      </c>
      <c r="N1274" s="8" t="s">
        <v>79</v>
      </c>
      <c r="O1274" s="8" t="s">
        <v>80</v>
      </c>
      <c r="P1274" s="6" t="s">
        <v>43</v>
      </c>
      <c r="Q1274" s="8" t="s">
        <v>44</v>
      </c>
      <c r="R1274" s="10" t="s">
        <v>8063</v>
      </c>
      <c r="S1274" s="11" t="s">
        <v>8064</v>
      </c>
      <c r="T1274" s="6"/>
      <c r="U1274" s="24" t="str">
        <f>HYPERLINK("https://media.infra-m.ru/2186/2186210/cover/2186210.jpg", "Обложка")</f>
        <v>Обложка</v>
      </c>
      <c r="V1274" s="24" t="str">
        <f>HYPERLINK("https://znanium.ru/catalog/product/1842559", "Ознакомиться")</f>
        <v>Ознакомиться</v>
      </c>
      <c r="W1274" s="8" t="s">
        <v>8065</v>
      </c>
      <c r="X1274" s="6"/>
      <c r="Y1274" s="6"/>
      <c r="Z1274" s="6"/>
      <c r="AA1274" s="6" t="s">
        <v>122</v>
      </c>
      <c r="AB1274" s="8"/>
    </row>
    <row r="1275" spans="1:28" s="4" customFormat="1" ht="51.95" customHeight="1">
      <c r="A1275" s="5">
        <v>0</v>
      </c>
      <c r="B1275" s="6" t="s">
        <v>8066</v>
      </c>
      <c r="C1275" s="13">
        <v>1084.9000000000001</v>
      </c>
      <c r="D1275" s="8" t="s">
        <v>8067</v>
      </c>
      <c r="E1275" s="8" t="s">
        <v>8068</v>
      </c>
      <c r="F1275" s="8" t="s">
        <v>8069</v>
      </c>
      <c r="G1275" s="6" t="s">
        <v>52</v>
      </c>
      <c r="H1275" s="6" t="s">
        <v>438</v>
      </c>
      <c r="I1275" s="8" t="s">
        <v>90</v>
      </c>
      <c r="J1275" s="9">
        <v>1</v>
      </c>
      <c r="K1275" s="9">
        <v>240</v>
      </c>
      <c r="L1275" s="9">
        <v>2023</v>
      </c>
      <c r="M1275" s="8" t="s">
        <v>8070</v>
      </c>
      <c r="N1275" s="8" t="s">
        <v>79</v>
      </c>
      <c r="O1275" s="8" t="s">
        <v>684</v>
      </c>
      <c r="P1275" s="6" t="s">
        <v>43</v>
      </c>
      <c r="Q1275" s="8" t="s">
        <v>44</v>
      </c>
      <c r="R1275" s="10" t="s">
        <v>1617</v>
      </c>
      <c r="S1275" s="11" t="s">
        <v>8071</v>
      </c>
      <c r="T1275" s="6"/>
      <c r="U1275" s="24" t="str">
        <f>HYPERLINK("https://media.infra-m.ru/1913/1913689/cover/1913689.jpg", "Обложка")</f>
        <v>Обложка</v>
      </c>
      <c r="V1275" s="24" t="str">
        <f>HYPERLINK("https://znanium.ru/catalog/product/899685", "Ознакомиться")</f>
        <v>Ознакомиться</v>
      </c>
      <c r="W1275" s="8" t="s">
        <v>637</v>
      </c>
      <c r="X1275" s="6"/>
      <c r="Y1275" s="6"/>
      <c r="Z1275" s="6"/>
      <c r="AA1275" s="6" t="s">
        <v>418</v>
      </c>
      <c r="AB1275" s="8"/>
    </row>
    <row r="1276" spans="1:28" s="4" customFormat="1" ht="51.95" customHeight="1">
      <c r="A1276" s="5">
        <v>0</v>
      </c>
      <c r="B1276" s="6" t="s">
        <v>8072</v>
      </c>
      <c r="C1276" s="13">
        <v>1994</v>
      </c>
      <c r="D1276" s="8" t="s">
        <v>8073</v>
      </c>
      <c r="E1276" s="8" t="s">
        <v>8074</v>
      </c>
      <c r="F1276" s="8" t="s">
        <v>8075</v>
      </c>
      <c r="G1276" s="6" t="s">
        <v>52</v>
      </c>
      <c r="H1276" s="6" t="s">
        <v>39</v>
      </c>
      <c r="I1276" s="8"/>
      <c r="J1276" s="9">
        <v>1</v>
      </c>
      <c r="K1276" s="9">
        <v>400</v>
      </c>
      <c r="L1276" s="9">
        <v>2025</v>
      </c>
      <c r="M1276" s="8" t="s">
        <v>8076</v>
      </c>
      <c r="N1276" s="8" t="s">
        <v>997</v>
      </c>
      <c r="O1276" s="8" t="s">
        <v>998</v>
      </c>
      <c r="P1276" s="6" t="s">
        <v>167</v>
      </c>
      <c r="Q1276" s="8" t="s">
        <v>58</v>
      </c>
      <c r="R1276" s="10" t="s">
        <v>7695</v>
      </c>
      <c r="S1276" s="11"/>
      <c r="T1276" s="6"/>
      <c r="U1276" s="24" t="str">
        <f>HYPERLINK("https://media.infra-m.ru/2188/2188742/cover/2188742.jpg", "Обложка")</f>
        <v>Обложка</v>
      </c>
      <c r="V1276" s="12"/>
      <c r="W1276" s="8" t="s">
        <v>46</v>
      </c>
      <c r="X1276" s="6"/>
      <c r="Y1276" s="6"/>
      <c r="Z1276" s="6"/>
      <c r="AA1276" s="6" t="s">
        <v>72</v>
      </c>
      <c r="AB1276" s="8"/>
    </row>
    <row r="1277" spans="1:28" s="4" customFormat="1" ht="51.95" customHeight="1">
      <c r="A1277" s="5">
        <v>0</v>
      </c>
      <c r="B1277" s="6" t="s">
        <v>8077</v>
      </c>
      <c r="C1277" s="13">
        <v>1794</v>
      </c>
      <c r="D1277" s="8" t="s">
        <v>8078</v>
      </c>
      <c r="E1277" s="8" t="s">
        <v>8074</v>
      </c>
      <c r="F1277" s="8" t="s">
        <v>8079</v>
      </c>
      <c r="G1277" s="6" t="s">
        <v>52</v>
      </c>
      <c r="H1277" s="6" t="s">
        <v>39</v>
      </c>
      <c r="I1277" s="8" t="s">
        <v>100</v>
      </c>
      <c r="J1277" s="9">
        <v>1</v>
      </c>
      <c r="K1277" s="9">
        <v>400</v>
      </c>
      <c r="L1277" s="9">
        <v>2023</v>
      </c>
      <c r="M1277" s="8" t="s">
        <v>8080</v>
      </c>
      <c r="N1277" s="8" t="s">
        <v>997</v>
      </c>
      <c r="O1277" s="8" t="s">
        <v>998</v>
      </c>
      <c r="P1277" s="6" t="s">
        <v>167</v>
      </c>
      <c r="Q1277" s="8" t="s">
        <v>102</v>
      </c>
      <c r="R1277" s="10" t="s">
        <v>8081</v>
      </c>
      <c r="S1277" s="11" t="s">
        <v>8082</v>
      </c>
      <c r="T1277" s="6"/>
      <c r="U1277" s="24" t="str">
        <f>HYPERLINK("https://media.infra-m.ru/2021/2021417/cover/2021417.jpg", "Обложка")</f>
        <v>Обложка</v>
      </c>
      <c r="V1277" s="24" t="str">
        <f>HYPERLINK("https://znanium.ru/catalog/product/960137", "Ознакомиться")</f>
        <v>Ознакомиться</v>
      </c>
      <c r="W1277" s="8" t="s">
        <v>46</v>
      </c>
      <c r="X1277" s="6"/>
      <c r="Y1277" s="6"/>
      <c r="Z1277" s="6" t="s">
        <v>502</v>
      </c>
      <c r="AA1277" s="6" t="s">
        <v>258</v>
      </c>
      <c r="AB1277" s="8"/>
    </row>
    <row r="1278" spans="1:28" s="4" customFormat="1" ht="51.95" customHeight="1">
      <c r="A1278" s="5">
        <v>0</v>
      </c>
      <c r="B1278" s="6" t="s">
        <v>8083</v>
      </c>
      <c r="C1278" s="13">
        <v>1090</v>
      </c>
      <c r="D1278" s="8" t="s">
        <v>8084</v>
      </c>
      <c r="E1278" s="8" t="s">
        <v>8085</v>
      </c>
      <c r="F1278" s="8" t="s">
        <v>8086</v>
      </c>
      <c r="G1278" s="6" t="s">
        <v>89</v>
      </c>
      <c r="H1278" s="6" t="s">
        <v>53</v>
      </c>
      <c r="I1278" s="8" t="s">
        <v>116</v>
      </c>
      <c r="J1278" s="9">
        <v>1</v>
      </c>
      <c r="K1278" s="9">
        <v>223</v>
      </c>
      <c r="L1278" s="9">
        <v>2024</v>
      </c>
      <c r="M1278" s="8" t="s">
        <v>8087</v>
      </c>
      <c r="N1278" s="8" t="s">
        <v>41</v>
      </c>
      <c r="O1278" s="8" t="s">
        <v>1007</v>
      </c>
      <c r="P1278" s="6" t="s">
        <v>43</v>
      </c>
      <c r="Q1278" s="8" t="s">
        <v>44</v>
      </c>
      <c r="R1278" s="10" t="s">
        <v>8088</v>
      </c>
      <c r="S1278" s="11" t="s">
        <v>8089</v>
      </c>
      <c r="T1278" s="6" t="s">
        <v>299</v>
      </c>
      <c r="U1278" s="24" t="str">
        <f>HYPERLINK("https://media.infra-m.ru/2131/2131402/cover/2131402.jpg", "Обложка")</f>
        <v>Обложка</v>
      </c>
      <c r="V1278" s="24" t="str">
        <f>HYPERLINK("https://znanium.ru/catalog/product/2131402", "Ознакомиться")</f>
        <v>Ознакомиться</v>
      </c>
      <c r="W1278" s="8" t="s">
        <v>8090</v>
      </c>
      <c r="X1278" s="6"/>
      <c r="Y1278" s="6"/>
      <c r="Z1278" s="6"/>
      <c r="AA1278" s="6" t="s">
        <v>513</v>
      </c>
      <c r="AB1278" s="8"/>
    </row>
    <row r="1279" spans="1:28" s="4" customFormat="1" ht="51.95" customHeight="1">
      <c r="A1279" s="5">
        <v>0</v>
      </c>
      <c r="B1279" s="6" t="s">
        <v>8091</v>
      </c>
      <c r="C1279" s="7">
        <v>900</v>
      </c>
      <c r="D1279" s="8" t="s">
        <v>8092</v>
      </c>
      <c r="E1279" s="8" t="s">
        <v>8093</v>
      </c>
      <c r="F1279" s="8" t="s">
        <v>8094</v>
      </c>
      <c r="G1279" s="6" t="s">
        <v>89</v>
      </c>
      <c r="H1279" s="6" t="s">
        <v>53</v>
      </c>
      <c r="I1279" s="8" t="s">
        <v>276</v>
      </c>
      <c r="J1279" s="9">
        <v>1</v>
      </c>
      <c r="K1279" s="9">
        <v>194</v>
      </c>
      <c r="L1279" s="9">
        <v>2023</v>
      </c>
      <c r="M1279" s="8" t="s">
        <v>8095</v>
      </c>
      <c r="N1279" s="8" t="s">
        <v>56</v>
      </c>
      <c r="O1279" s="8" t="s">
        <v>57</v>
      </c>
      <c r="P1279" s="6" t="s">
        <v>43</v>
      </c>
      <c r="Q1279" s="8" t="s">
        <v>279</v>
      </c>
      <c r="R1279" s="10" t="s">
        <v>8096</v>
      </c>
      <c r="S1279" s="11" t="s">
        <v>8097</v>
      </c>
      <c r="T1279" s="6"/>
      <c r="U1279" s="24" t="str">
        <f>HYPERLINK("https://media.infra-m.ru/2004/2004403/cover/2004403.jpg", "Обложка")</f>
        <v>Обложка</v>
      </c>
      <c r="V1279" s="24" t="str">
        <f>HYPERLINK("https://znanium.ru/catalog/product/2004403", "Ознакомиться")</f>
        <v>Ознакомиться</v>
      </c>
      <c r="W1279" s="8" t="s">
        <v>913</v>
      </c>
      <c r="X1279" s="6"/>
      <c r="Y1279" s="6"/>
      <c r="Z1279" s="6"/>
      <c r="AA1279" s="6" t="s">
        <v>219</v>
      </c>
      <c r="AB1279" s="8"/>
    </row>
    <row r="1280" spans="1:28" s="4" customFormat="1" ht="42" customHeight="1">
      <c r="A1280" s="5">
        <v>0</v>
      </c>
      <c r="B1280" s="6" t="s">
        <v>8098</v>
      </c>
      <c r="C1280" s="7">
        <v>880</v>
      </c>
      <c r="D1280" s="8" t="s">
        <v>8099</v>
      </c>
      <c r="E1280" s="8" t="s">
        <v>8100</v>
      </c>
      <c r="F1280" s="8" t="s">
        <v>8101</v>
      </c>
      <c r="G1280" s="6" t="s">
        <v>52</v>
      </c>
      <c r="H1280" s="6" t="s">
        <v>53</v>
      </c>
      <c r="I1280" s="8" t="s">
        <v>782</v>
      </c>
      <c r="J1280" s="9">
        <v>1</v>
      </c>
      <c r="K1280" s="9">
        <v>184</v>
      </c>
      <c r="L1280" s="9">
        <v>2024</v>
      </c>
      <c r="M1280" s="8" t="s">
        <v>8102</v>
      </c>
      <c r="N1280" s="8" t="s">
        <v>56</v>
      </c>
      <c r="O1280" s="8" t="s">
        <v>57</v>
      </c>
      <c r="P1280" s="6" t="s">
        <v>43</v>
      </c>
      <c r="Q1280" s="8" t="s">
        <v>58</v>
      </c>
      <c r="R1280" s="10" t="s">
        <v>8103</v>
      </c>
      <c r="S1280" s="11"/>
      <c r="T1280" s="6"/>
      <c r="U1280" s="24" t="str">
        <f>HYPERLINK("https://media.infra-m.ru/2130/2130509/cover/2130509.jpg", "Обложка")</f>
        <v>Обложка</v>
      </c>
      <c r="V1280" s="12"/>
      <c r="W1280" s="8" t="s">
        <v>784</v>
      </c>
      <c r="X1280" s="6"/>
      <c r="Y1280" s="6"/>
      <c r="Z1280" s="6"/>
      <c r="AA1280" s="6" t="s">
        <v>133</v>
      </c>
      <c r="AB1280" s="8"/>
    </row>
    <row r="1281" spans="1:28" s="4" customFormat="1" ht="51.95" customHeight="1">
      <c r="A1281" s="5">
        <v>0</v>
      </c>
      <c r="B1281" s="6" t="s">
        <v>8104</v>
      </c>
      <c r="C1281" s="13">
        <v>1137</v>
      </c>
      <c r="D1281" s="8" t="s">
        <v>8105</v>
      </c>
      <c r="E1281" s="8" t="s">
        <v>8106</v>
      </c>
      <c r="F1281" s="8" t="s">
        <v>1155</v>
      </c>
      <c r="G1281" s="6" t="s">
        <v>52</v>
      </c>
      <c r="H1281" s="6" t="s">
        <v>53</v>
      </c>
      <c r="I1281" s="8" t="s">
        <v>100</v>
      </c>
      <c r="J1281" s="9">
        <v>1</v>
      </c>
      <c r="K1281" s="9">
        <v>174</v>
      </c>
      <c r="L1281" s="9">
        <v>2023</v>
      </c>
      <c r="M1281" s="8" t="s">
        <v>8107</v>
      </c>
      <c r="N1281" s="8" t="s">
        <v>79</v>
      </c>
      <c r="O1281" s="8" t="s">
        <v>80</v>
      </c>
      <c r="P1281" s="6" t="s">
        <v>43</v>
      </c>
      <c r="Q1281" s="8" t="s">
        <v>102</v>
      </c>
      <c r="R1281" s="10" t="s">
        <v>195</v>
      </c>
      <c r="S1281" s="11" t="s">
        <v>8108</v>
      </c>
      <c r="T1281" s="6"/>
      <c r="U1281" s="24" t="str">
        <f>HYPERLINK("https://media.infra-m.ru/2186/2186213/cover/2186213.jpg", "Обложка")</f>
        <v>Обложка</v>
      </c>
      <c r="V1281" s="12"/>
      <c r="W1281" s="8" t="s">
        <v>1158</v>
      </c>
      <c r="X1281" s="6"/>
      <c r="Y1281" s="6"/>
      <c r="Z1281" s="6" t="s">
        <v>104</v>
      </c>
      <c r="AA1281" s="6" t="s">
        <v>513</v>
      </c>
      <c r="AB1281" s="8"/>
    </row>
    <row r="1282" spans="1:28" s="4" customFormat="1" ht="51.95" customHeight="1">
      <c r="A1282" s="5">
        <v>0</v>
      </c>
      <c r="B1282" s="6" t="s">
        <v>8109</v>
      </c>
      <c r="C1282" s="13">
        <v>1070</v>
      </c>
      <c r="D1282" s="8" t="s">
        <v>8110</v>
      </c>
      <c r="E1282" s="8" t="s">
        <v>8106</v>
      </c>
      <c r="F1282" s="8" t="s">
        <v>1155</v>
      </c>
      <c r="G1282" s="6" t="s">
        <v>89</v>
      </c>
      <c r="H1282" s="6" t="s">
        <v>53</v>
      </c>
      <c r="I1282" s="8" t="s">
        <v>116</v>
      </c>
      <c r="J1282" s="9">
        <v>1</v>
      </c>
      <c r="K1282" s="9">
        <v>174</v>
      </c>
      <c r="L1282" s="9">
        <v>2024</v>
      </c>
      <c r="M1282" s="8" t="s">
        <v>8111</v>
      </c>
      <c r="N1282" s="8" t="s">
        <v>79</v>
      </c>
      <c r="O1282" s="8" t="s">
        <v>80</v>
      </c>
      <c r="P1282" s="6" t="s">
        <v>43</v>
      </c>
      <c r="Q1282" s="8" t="s">
        <v>44</v>
      </c>
      <c r="R1282" s="10" t="s">
        <v>8112</v>
      </c>
      <c r="S1282" s="11" t="s">
        <v>8113</v>
      </c>
      <c r="T1282" s="6"/>
      <c r="U1282" s="24" t="str">
        <f>HYPERLINK("https://media.infra-m.ru/2137/2137802/cover/2137802.jpg", "Обложка")</f>
        <v>Обложка</v>
      </c>
      <c r="V1282" s="24" t="str">
        <f>HYPERLINK("https://znanium.ru/catalog/product/2137802", "Ознакомиться")</f>
        <v>Ознакомиться</v>
      </c>
      <c r="W1282" s="8" t="s">
        <v>1158</v>
      </c>
      <c r="X1282" s="6"/>
      <c r="Y1282" s="6"/>
      <c r="Z1282" s="6"/>
      <c r="AA1282" s="6" t="s">
        <v>513</v>
      </c>
      <c r="AB1282" s="8"/>
    </row>
    <row r="1283" spans="1:28" s="4" customFormat="1" ht="51.95" customHeight="1">
      <c r="A1283" s="5">
        <v>0</v>
      </c>
      <c r="B1283" s="6" t="s">
        <v>8114</v>
      </c>
      <c r="C1283" s="7">
        <v>770</v>
      </c>
      <c r="D1283" s="8" t="s">
        <v>8115</v>
      </c>
      <c r="E1283" s="8" t="s">
        <v>8116</v>
      </c>
      <c r="F1283" s="8" t="s">
        <v>1155</v>
      </c>
      <c r="G1283" s="6" t="s">
        <v>89</v>
      </c>
      <c r="H1283" s="6" t="s">
        <v>39</v>
      </c>
      <c r="I1283" s="8" t="s">
        <v>90</v>
      </c>
      <c r="J1283" s="9">
        <v>1</v>
      </c>
      <c r="K1283" s="9">
        <v>184</v>
      </c>
      <c r="L1283" s="9">
        <v>2019</v>
      </c>
      <c r="M1283" s="8" t="s">
        <v>8117</v>
      </c>
      <c r="N1283" s="8" t="s">
        <v>79</v>
      </c>
      <c r="O1283" s="8" t="s">
        <v>80</v>
      </c>
      <c r="P1283" s="6" t="s">
        <v>43</v>
      </c>
      <c r="Q1283" s="8" t="s">
        <v>44</v>
      </c>
      <c r="R1283" s="10" t="s">
        <v>8112</v>
      </c>
      <c r="S1283" s="11" t="s">
        <v>8118</v>
      </c>
      <c r="T1283" s="6"/>
      <c r="U1283" s="24" t="str">
        <f>HYPERLINK("https://media.infra-m.ru/0995/0995496/cover/995496.jpg", "Обложка")</f>
        <v>Обложка</v>
      </c>
      <c r="V1283" s="24" t="str">
        <f>HYPERLINK("https://znanium.ru/catalog/product/2137802", "Ознакомиться")</f>
        <v>Ознакомиться</v>
      </c>
      <c r="W1283" s="8" t="s">
        <v>1158</v>
      </c>
      <c r="X1283" s="6"/>
      <c r="Y1283" s="6"/>
      <c r="Z1283" s="6"/>
      <c r="AA1283" s="6" t="s">
        <v>111</v>
      </c>
      <c r="AB1283" s="8"/>
    </row>
    <row r="1284" spans="1:28" s="4" customFormat="1" ht="51.95" customHeight="1">
      <c r="A1284" s="5">
        <v>0</v>
      </c>
      <c r="B1284" s="6" t="s">
        <v>8119</v>
      </c>
      <c r="C1284" s="7">
        <v>804</v>
      </c>
      <c r="D1284" s="8" t="s">
        <v>8120</v>
      </c>
      <c r="E1284" s="8" t="s">
        <v>8121</v>
      </c>
      <c r="F1284" s="8" t="s">
        <v>8122</v>
      </c>
      <c r="G1284" s="6" t="s">
        <v>38</v>
      </c>
      <c r="H1284" s="6" t="s">
        <v>77</v>
      </c>
      <c r="I1284" s="8"/>
      <c r="J1284" s="9">
        <v>1</v>
      </c>
      <c r="K1284" s="9">
        <v>175</v>
      </c>
      <c r="L1284" s="9">
        <v>2024</v>
      </c>
      <c r="M1284" s="8" t="s">
        <v>8123</v>
      </c>
      <c r="N1284" s="8" t="s">
        <v>56</v>
      </c>
      <c r="O1284" s="8" t="s">
        <v>57</v>
      </c>
      <c r="P1284" s="6" t="s">
        <v>167</v>
      </c>
      <c r="Q1284" s="8" t="s">
        <v>44</v>
      </c>
      <c r="R1284" s="10" t="s">
        <v>8124</v>
      </c>
      <c r="S1284" s="11" t="s">
        <v>8125</v>
      </c>
      <c r="T1284" s="6"/>
      <c r="U1284" s="24" t="str">
        <f>HYPERLINK("https://media.infra-m.ru/2104/2104115/cover/2104115.jpg", "Обложка")</f>
        <v>Обложка</v>
      </c>
      <c r="V1284" s="24" t="str">
        <f>HYPERLINK("https://znanium.ru/catalog/product/1012457", "Ознакомиться")</f>
        <v>Ознакомиться</v>
      </c>
      <c r="W1284" s="8" t="s">
        <v>4228</v>
      </c>
      <c r="X1284" s="6"/>
      <c r="Y1284" s="6"/>
      <c r="Z1284" s="6"/>
      <c r="AA1284" s="6" t="s">
        <v>84</v>
      </c>
      <c r="AB1284" s="8"/>
    </row>
    <row r="1285" spans="1:28" s="4" customFormat="1" ht="51.95" customHeight="1">
      <c r="A1285" s="5">
        <v>0</v>
      </c>
      <c r="B1285" s="6" t="s">
        <v>8126</v>
      </c>
      <c r="C1285" s="13">
        <v>1654</v>
      </c>
      <c r="D1285" s="8" t="s">
        <v>8127</v>
      </c>
      <c r="E1285" s="8" t="s">
        <v>8128</v>
      </c>
      <c r="F1285" s="8" t="s">
        <v>8129</v>
      </c>
      <c r="G1285" s="6" t="s">
        <v>52</v>
      </c>
      <c r="H1285" s="6" t="s">
        <v>53</v>
      </c>
      <c r="I1285" s="8" t="s">
        <v>100</v>
      </c>
      <c r="J1285" s="9">
        <v>1</v>
      </c>
      <c r="K1285" s="9">
        <v>352</v>
      </c>
      <c r="L1285" s="9">
        <v>2024</v>
      </c>
      <c r="M1285" s="8" t="s">
        <v>8130</v>
      </c>
      <c r="N1285" s="8" t="s">
        <v>79</v>
      </c>
      <c r="O1285" s="8" t="s">
        <v>174</v>
      </c>
      <c r="P1285" s="6" t="s">
        <v>43</v>
      </c>
      <c r="Q1285" s="8" t="s">
        <v>102</v>
      </c>
      <c r="R1285" s="10" t="s">
        <v>8131</v>
      </c>
      <c r="S1285" s="11" t="s">
        <v>8132</v>
      </c>
      <c r="T1285" s="6"/>
      <c r="U1285" s="24" t="str">
        <f>HYPERLINK("https://media.infra-m.ru/2157/2157276/cover/2157276.jpg", "Обложка")</f>
        <v>Обложка</v>
      </c>
      <c r="V1285" s="24" t="str">
        <f>HYPERLINK("https://znanium.ru/catalog/product/1863043", "Ознакомиться")</f>
        <v>Ознакомиться</v>
      </c>
      <c r="W1285" s="8" t="s">
        <v>6684</v>
      </c>
      <c r="X1285" s="6"/>
      <c r="Y1285" s="6"/>
      <c r="Z1285" s="6" t="s">
        <v>2565</v>
      </c>
      <c r="AA1285" s="6" t="s">
        <v>151</v>
      </c>
      <c r="AB1285" s="8"/>
    </row>
    <row r="1286" spans="1:28" s="4" customFormat="1" ht="51.95" customHeight="1">
      <c r="A1286" s="5">
        <v>0</v>
      </c>
      <c r="B1286" s="6" t="s">
        <v>8133</v>
      </c>
      <c r="C1286" s="13">
        <v>1754</v>
      </c>
      <c r="D1286" s="8" t="s">
        <v>8134</v>
      </c>
      <c r="E1286" s="8" t="s">
        <v>8135</v>
      </c>
      <c r="F1286" s="8" t="s">
        <v>8136</v>
      </c>
      <c r="G1286" s="6" t="s">
        <v>52</v>
      </c>
      <c r="H1286" s="6" t="s">
        <v>53</v>
      </c>
      <c r="I1286" s="8" t="s">
        <v>8137</v>
      </c>
      <c r="J1286" s="9">
        <v>1</v>
      </c>
      <c r="K1286" s="9">
        <v>352</v>
      </c>
      <c r="L1286" s="9">
        <v>2025</v>
      </c>
      <c r="M1286" s="8" t="s">
        <v>8138</v>
      </c>
      <c r="N1286" s="8" t="s">
        <v>79</v>
      </c>
      <c r="O1286" s="8" t="s">
        <v>174</v>
      </c>
      <c r="P1286" s="6" t="s">
        <v>43</v>
      </c>
      <c r="Q1286" s="8" t="s">
        <v>214</v>
      </c>
      <c r="R1286" s="10" t="s">
        <v>8139</v>
      </c>
      <c r="S1286" s="11"/>
      <c r="T1286" s="6"/>
      <c r="U1286" s="24" t="str">
        <f>HYPERLINK("https://media.infra-m.ru/2170/2170647/cover/2170647.jpg", "Обложка")</f>
        <v>Обложка</v>
      </c>
      <c r="V1286" s="24" t="str">
        <f>HYPERLINK("https://znanium.ru/catalog/product/1009063", "Ознакомиться")</f>
        <v>Ознакомиться</v>
      </c>
      <c r="W1286" s="8" t="s">
        <v>6684</v>
      </c>
      <c r="X1286" s="6"/>
      <c r="Y1286" s="6"/>
      <c r="Z1286" s="6"/>
      <c r="AA1286" s="6" t="s">
        <v>84</v>
      </c>
      <c r="AB1286" s="8"/>
    </row>
    <row r="1287" spans="1:28" s="4" customFormat="1" ht="51.95" customHeight="1">
      <c r="A1287" s="5">
        <v>0</v>
      </c>
      <c r="B1287" s="6" t="s">
        <v>8140</v>
      </c>
      <c r="C1287" s="13">
        <v>2590</v>
      </c>
      <c r="D1287" s="8" t="s">
        <v>8141</v>
      </c>
      <c r="E1287" s="8" t="s">
        <v>8142</v>
      </c>
      <c r="F1287" s="8" t="s">
        <v>8143</v>
      </c>
      <c r="G1287" s="6" t="s">
        <v>52</v>
      </c>
      <c r="H1287" s="6" t="s">
        <v>53</v>
      </c>
      <c r="I1287" s="8" t="s">
        <v>212</v>
      </c>
      <c r="J1287" s="9">
        <v>1</v>
      </c>
      <c r="K1287" s="9">
        <v>954</v>
      </c>
      <c r="L1287" s="9">
        <v>2024</v>
      </c>
      <c r="M1287" s="8" t="s">
        <v>8144</v>
      </c>
      <c r="N1287" s="8" t="s">
        <v>79</v>
      </c>
      <c r="O1287" s="8" t="s">
        <v>684</v>
      </c>
      <c r="P1287" s="6" t="s">
        <v>167</v>
      </c>
      <c r="Q1287" s="8" t="s">
        <v>214</v>
      </c>
      <c r="R1287" s="10" t="s">
        <v>1617</v>
      </c>
      <c r="S1287" s="11" t="s">
        <v>8145</v>
      </c>
      <c r="T1287" s="6" t="s">
        <v>299</v>
      </c>
      <c r="U1287" s="24" t="str">
        <f>HYPERLINK("https://media.infra-m.ru/2081/2081758/cover/2081758.jpg", "Обложка")</f>
        <v>Обложка</v>
      </c>
      <c r="V1287" s="24" t="str">
        <f>HYPERLINK("https://znanium.ru/catalog/product/2081758", "Ознакомиться")</f>
        <v>Ознакомиться</v>
      </c>
      <c r="W1287" s="8" t="s">
        <v>1635</v>
      </c>
      <c r="X1287" s="6"/>
      <c r="Y1287" s="6"/>
      <c r="Z1287" s="6"/>
      <c r="AA1287" s="6" t="s">
        <v>160</v>
      </c>
      <c r="AB1287" s="8"/>
    </row>
    <row r="1288" spans="1:28" s="4" customFormat="1" ht="51.95" customHeight="1">
      <c r="A1288" s="5">
        <v>0</v>
      </c>
      <c r="B1288" s="6" t="s">
        <v>8146</v>
      </c>
      <c r="C1288" s="13">
        <v>1440</v>
      </c>
      <c r="D1288" s="8" t="s">
        <v>8147</v>
      </c>
      <c r="E1288" s="8" t="s">
        <v>8148</v>
      </c>
      <c r="F1288" s="8" t="s">
        <v>8149</v>
      </c>
      <c r="G1288" s="6" t="s">
        <v>89</v>
      </c>
      <c r="H1288" s="6" t="s">
        <v>53</v>
      </c>
      <c r="I1288" s="8" t="s">
        <v>116</v>
      </c>
      <c r="J1288" s="9">
        <v>1</v>
      </c>
      <c r="K1288" s="9">
        <v>310</v>
      </c>
      <c r="L1288" s="9">
        <v>2024</v>
      </c>
      <c r="M1288" s="8" t="s">
        <v>8150</v>
      </c>
      <c r="N1288" s="8" t="s">
        <v>41</v>
      </c>
      <c r="O1288" s="8" t="s">
        <v>1007</v>
      </c>
      <c r="P1288" s="6" t="s">
        <v>43</v>
      </c>
      <c r="Q1288" s="8" t="s">
        <v>44</v>
      </c>
      <c r="R1288" s="10" t="s">
        <v>8151</v>
      </c>
      <c r="S1288" s="11" t="s">
        <v>8152</v>
      </c>
      <c r="T1288" s="6"/>
      <c r="U1288" s="24" t="str">
        <f>HYPERLINK("https://media.infra-m.ru/2125/2125844/cover/2125844.jpg", "Обложка")</f>
        <v>Обложка</v>
      </c>
      <c r="V1288" s="24" t="str">
        <f>HYPERLINK("https://znanium.ru/catalog/product/2125844", "Ознакомиться")</f>
        <v>Ознакомиться</v>
      </c>
      <c r="W1288" s="8" t="s">
        <v>3426</v>
      </c>
      <c r="X1288" s="6"/>
      <c r="Y1288" s="6"/>
      <c r="Z1288" s="6"/>
      <c r="AA1288" s="6" t="s">
        <v>122</v>
      </c>
      <c r="AB1288" s="8"/>
    </row>
    <row r="1289" spans="1:28" s="4" customFormat="1" ht="51.95" customHeight="1">
      <c r="A1289" s="5">
        <v>0</v>
      </c>
      <c r="B1289" s="6" t="s">
        <v>8153</v>
      </c>
      <c r="C1289" s="13">
        <v>2114</v>
      </c>
      <c r="D1289" s="8" t="s">
        <v>8154</v>
      </c>
      <c r="E1289" s="8" t="s">
        <v>8155</v>
      </c>
      <c r="F1289" s="8" t="s">
        <v>8156</v>
      </c>
      <c r="G1289" s="6" t="s">
        <v>89</v>
      </c>
      <c r="H1289" s="6" t="s">
        <v>53</v>
      </c>
      <c r="I1289" s="8" t="s">
        <v>90</v>
      </c>
      <c r="J1289" s="9">
        <v>1</v>
      </c>
      <c r="K1289" s="9">
        <v>460</v>
      </c>
      <c r="L1289" s="9">
        <v>2023</v>
      </c>
      <c r="M1289" s="8" t="s">
        <v>8157</v>
      </c>
      <c r="N1289" s="8" t="s">
        <v>79</v>
      </c>
      <c r="O1289" s="8" t="s">
        <v>80</v>
      </c>
      <c r="P1289" s="6" t="s">
        <v>167</v>
      </c>
      <c r="Q1289" s="8" t="s">
        <v>44</v>
      </c>
      <c r="R1289" s="10" t="s">
        <v>8158</v>
      </c>
      <c r="S1289" s="11" t="s">
        <v>8159</v>
      </c>
      <c r="T1289" s="6"/>
      <c r="U1289" s="24" t="str">
        <f>HYPERLINK("https://media.infra-m.ru/2051/2051474/cover/2051474.jpg", "Обложка")</f>
        <v>Обложка</v>
      </c>
      <c r="V1289" s="24" t="str">
        <f>HYPERLINK("https://znanium.ru/catalog/product/1818633", "Ознакомиться")</f>
        <v>Ознакомиться</v>
      </c>
      <c r="W1289" s="8" t="s">
        <v>947</v>
      </c>
      <c r="X1289" s="6"/>
      <c r="Y1289" s="6"/>
      <c r="Z1289" s="6"/>
      <c r="AA1289" s="6" t="s">
        <v>494</v>
      </c>
      <c r="AB1289" s="8"/>
    </row>
    <row r="1290" spans="1:28" s="4" customFormat="1" ht="51.95" customHeight="1">
      <c r="A1290" s="5">
        <v>0</v>
      </c>
      <c r="B1290" s="6" t="s">
        <v>8160</v>
      </c>
      <c r="C1290" s="13">
        <v>2204</v>
      </c>
      <c r="D1290" s="8" t="s">
        <v>8161</v>
      </c>
      <c r="E1290" s="8" t="s">
        <v>8162</v>
      </c>
      <c r="F1290" s="8" t="s">
        <v>8163</v>
      </c>
      <c r="G1290" s="6" t="s">
        <v>52</v>
      </c>
      <c r="H1290" s="6" t="s">
        <v>649</v>
      </c>
      <c r="I1290" s="8" t="s">
        <v>116</v>
      </c>
      <c r="J1290" s="9">
        <v>1</v>
      </c>
      <c r="K1290" s="9">
        <v>448</v>
      </c>
      <c r="L1290" s="9">
        <v>2025</v>
      </c>
      <c r="M1290" s="8" t="s">
        <v>8164</v>
      </c>
      <c r="N1290" s="8" t="s">
        <v>79</v>
      </c>
      <c r="O1290" s="8" t="s">
        <v>80</v>
      </c>
      <c r="P1290" s="6" t="s">
        <v>167</v>
      </c>
      <c r="Q1290" s="8" t="s">
        <v>44</v>
      </c>
      <c r="R1290" s="10" t="s">
        <v>8165</v>
      </c>
      <c r="S1290" s="11" t="s">
        <v>8166</v>
      </c>
      <c r="T1290" s="6"/>
      <c r="U1290" s="24" t="str">
        <f>HYPERLINK("https://media.infra-m.ru/2178/2178787/cover/2178787.jpg", "Обложка")</f>
        <v>Обложка</v>
      </c>
      <c r="V1290" s="24" t="str">
        <f>HYPERLINK("https://znanium.ru/catalog/product/1832127", "Ознакомиться")</f>
        <v>Ознакомиться</v>
      </c>
      <c r="W1290" s="8" t="s">
        <v>399</v>
      </c>
      <c r="X1290" s="6"/>
      <c r="Y1290" s="6"/>
      <c r="Z1290" s="6"/>
      <c r="AA1290" s="6" t="s">
        <v>555</v>
      </c>
      <c r="AB1290" s="8"/>
    </row>
    <row r="1291" spans="1:28" s="4" customFormat="1" ht="51.95" customHeight="1">
      <c r="A1291" s="5">
        <v>0</v>
      </c>
      <c r="B1291" s="6" t="s">
        <v>8167</v>
      </c>
      <c r="C1291" s="7">
        <v>604</v>
      </c>
      <c r="D1291" s="8" t="s">
        <v>8168</v>
      </c>
      <c r="E1291" s="8" t="s">
        <v>8169</v>
      </c>
      <c r="F1291" s="8" t="s">
        <v>8170</v>
      </c>
      <c r="G1291" s="6" t="s">
        <v>89</v>
      </c>
      <c r="H1291" s="6" t="s">
        <v>184</v>
      </c>
      <c r="I1291" s="8" t="s">
        <v>185</v>
      </c>
      <c r="J1291" s="9">
        <v>1</v>
      </c>
      <c r="K1291" s="9">
        <v>124</v>
      </c>
      <c r="L1291" s="9">
        <v>2024</v>
      </c>
      <c r="M1291" s="8" t="s">
        <v>8171</v>
      </c>
      <c r="N1291" s="8" t="s">
        <v>79</v>
      </c>
      <c r="O1291" s="8" t="s">
        <v>80</v>
      </c>
      <c r="P1291" s="6" t="s">
        <v>43</v>
      </c>
      <c r="Q1291" s="8" t="s">
        <v>102</v>
      </c>
      <c r="R1291" s="10" t="s">
        <v>8172</v>
      </c>
      <c r="S1291" s="11" t="s">
        <v>8173</v>
      </c>
      <c r="T1291" s="6"/>
      <c r="U1291" s="24" t="str">
        <f>HYPERLINK("https://media.infra-m.ru/2107/2107303/cover/2107303.jpg", "Обложка")</f>
        <v>Обложка</v>
      </c>
      <c r="V1291" s="24" t="str">
        <f>HYPERLINK("https://znanium.ru/catalog/product/1229451", "Ознакомиться")</f>
        <v>Ознакомиться</v>
      </c>
      <c r="W1291" s="8" t="s">
        <v>8174</v>
      </c>
      <c r="X1291" s="6"/>
      <c r="Y1291" s="6"/>
      <c r="Z1291" s="6"/>
      <c r="AA1291" s="6" t="s">
        <v>84</v>
      </c>
      <c r="AB1291" s="8"/>
    </row>
    <row r="1292" spans="1:28" s="4" customFormat="1" ht="51.95" customHeight="1">
      <c r="A1292" s="5">
        <v>0</v>
      </c>
      <c r="B1292" s="6" t="s">
        <v>8175</v>
      </c>
      <c r="C1292" s="13">
        <v>1244</v>
      </c>
      <c r="D1292" s="8" t="s">
        <v>8176</v>
      </c>
      <c r="E1292" s="8" t="s">
        <v>8177</v>
      </c>
      <c r="F1292" s="8" t="s">
        <v>8178</v>
      </c>
      <c r="G1292" s="6" t="s">
        <v>89</v>
      </c>
      <c r="H1292" s="6" t="s">
        <v>53</v>
      </c>
      <c r="I1292" s="8" t="s">
        <v>100</v>
      </c>
      <c r="J1292" s="9">
        <v>1</v>
      </c>
      <c r="K1292" s="9">
        <v>247</v>
      </c>
      <c r="L1292" s="9">
        <v>2025</v>
      </c>
      <c r="M1292" s="8" t="s">
        <v>8179</v>
      </c>
      <c r="N1292" s="8" t="s">
        <v>79</v>
      </c>
      <c r="O1292" s="8" t="s">
        <v>80</v>
      </c>
      <c r="P1292" s="6" t="s">
        <v>43</v>
      </c>
      <c r="Q1292" s="8" t="s">
        <v>102</v>
      </c>
      <c r="R1292" s="10" t="s">
        <v>8180</v>
      </c>
      <c r="S1292" s="11" t="s">
        <v>8181</v>
      </c>
      <c r="T1292" s="6"/>
      <c r="U1292" s="24" t="str">
        <f>HYPERLINK("https://media.infra-m.ru/2167/2167710/cover/2167710.jpg", "Обложка")</f>
        <v>Обложка</v>
      </c>
      <c r="V1292" s="24" t="str">
        <f>HYPERLINK("https://znanium.ru/catalog/product/995608", "Ознакомиться")</f>
        <v>Ознакомиться</v>
      </c>
      <c r="W1292" s="8" t="s">
        <v>8182</v>
      </c>
      <c r="X1292" s="6"/>
      <c r="Y1292" s="6"/>
      <c r="Z1292" s="6"/>
      <c r="AA1292" s="6" t="s">
        <v>235</v>
      </c>
      <c r="AB1292" s="8"/>
    </row>
    <row r="1293" spans="1:28" s="4" customFormat="1" ht="51.95" customHeight="1">
      <c r="A1293" s="5">
        <v>0</v>
      </c>
      <c r="B1293" s="6" t="s">
        <v>8183</v>
      </c>
      <c r="C1293" s="13">
        <v>1014</v>
      </c>
      <c r="D1293" s="8" t="s">
        <v>8184</v>
      </c>
      <c r="E1293" s="8" t="s">
        <v>8185</v>
      </c>
      <c r="F1293" s="8" t="s">
        <v>8186</v>
      </c>
      <c r="G1293" s="6" t="s">
        <v>89</v>
      </c>
      <c r="H1293" s="6" t="s">
        <v>53</v>
      </c>
      <c r="I1293" s="8" t="s">
        <v>90</v>
      </c>
      <c r="J1293" s="9">
        <v>1</v>
      </c>
      <c r="K1293" s="9">
        <v>196</v>
      </c>
      <c r="L1293" s="9">
        <v>2025</v>
      </c>
      <c r="M1293" s="8" t="s">
        <v>8187</v>
      </c>
      <c r="N1293" s="8" t="s">
        <v>79</v>
      </c>
      <c r="O1293" s="8" t="s">
        <v>80</v>
      </c>
      <c r="P1293" s="6" t="s">
        <v>43</v>
      </c>
      <c r="Q1293" s="8" t="s">
        <v>44</v>
      </c>
      <c r="R1293" s="10" t="s">
        <v>8188</v>
      </c>
      <c r="S1293" s="11" t="s">
        <v>8189</v>
      </c>
      <c r="T1293" s="6" t="s">
        <v>299</v>
      </c>
      <c r="U1293" s="24" t="str">
        <f>HYPERLINK("https://media.infra-m.ru/2202/2202358/cover/2202358.jpg", "Обложка")</f>
        <v>Обложка</v>
      </c>
      <c r="V1293" s="24" t="str">
        <f>HYPERLINK("https://znanium.ru/catalog/product/1939086", "Ознакомиться")</f>
        <v>Ознакомиться</v>
      </c>
      <c r="W1293" s="8" t="s">
        <v>399</v>
      </c>
      <c r="X1293" s="6"/>
      <c r="Y1293" s="6"/>
      <c r="Z1293" s="6"/>
      <c r="AA1293" s="6" t="s">
        <v>111</v>
      </c>
      <c r="AB1293" s="8"/>
    </row>
    <row r="1294" spans="1:28" s="4" customFormat="1" ht="51.95" customHeight="1">
      <c r="A1294" s="5">
        <v>0</v>
      </c>
      <c r="B1294" s="6" t="s">
        <v>8190</v>
      </c>
      <c r="C1294" s="13">
        <v>2704</v>
      </c>
      <c r="D1294" s="8" t="s">
        <v>8191</v>
      </c>
      <c r="E1294" s="8" t="s">
        <v>8192</v>
      </c>
      <c r="F1294" s="8" t="s">
        <v>4232</v>
      </c>
      <c r="G1294" s="6" t="s">
        <v>89</v>
      </c>
      <c r="H1294" s="6" t="s">
        <v>649</v>
      </c>
      <c r="I1294" s="8" t="s">
        <v>90</v>
      </c>
      <c r="J1294" s="9">
        <v>1</v>
      </c>
      <c r="K1294" s="9">
        <v>542</v>
      </c>
      <c r="L1294" s="9">
        <v>2025</v>
      </c>
      <c r="M1294" s="8" t="s">
        <v>8193</v>
      </c>
      <c r="N1294" s="8" t="s">
        <v>79</v>
      </c>
      <c r="O1294" s="8" t="s">
        <v>80</v>
      </c>
      <c r="P1294" s="6" t="s">
        <v>167</v>
      </c>
      <c r="Q1294" s="8" t="s">
        <v>44</v>
      </c>
      <c r="R1294" s="10" t="s">
        <v>8194</v>
      </c>
      <c r="S1294" s="11"/>
      <c r="T1294" s="6"/>
      <c r="U1294" s="24" t="str">
        <f>HYPERLINK("https://media.infra-m.ru/2166/2166197/cover/2166197.jpg", "Обложка")</f>
        <v>Обложка</v>
      </c>
      <c r="V1294" s="24" t="str">
        <f>HYPERLINK("https://znanium.ru/catalog/product/1944419", "Ознакомиться")</f>
        <v>Ознакомиться</v>
      </c>
      <c r="W1294" s="8"/>
      <c r="X1294" s="6"/>
      <c r="Y1294" s="6"/>
      <c r="Z1294" s="6" t="s">
        <v>335</v>
      </c>
      <c r="AA1294" s="6" t="s">
        <v>442</v>
      </c>
      <c r="AB1294" s="8"/>
    </row>
    <row r="1295" spans="1:28" s="4" customFormat="1" ht="51.95" customHeight="1">
      <c r="A1295" s="5">
        <v>0</v>
      </c>
      <c r="B1295" s="6" t="s">
        <v>8195</v>
      </c>
      <c r="C1295" s="13">
        <v>2710</v>
      </c>
      <c r="D1295" s="8" t="s">
        <v>8196</v>
      </c>
      <c r="E1295" s="8" t="s">
        <v>8192</v>
      </c>
      <c r="F1295" s="8" t="s">
        <v>4232</v>
      </c>
      <c r="G1295" s="6" t="s">
        <v>52</v>
      </c>
      <c r="H1295" s="6" t="s">
        <v>649</v>
      </c>
      <c r="I1295" s="8" t="s">
        <v>100</v>
      </c>
      <c r="J1295" s="9">
        <v>1</v>
      </c>
      <c r="K1295" s="9">
        <v>542</v>
      </c>
      <c r="L1295" s="9">
        <v>2025</v>
      </c>
      <c r="M1295" s="8" t="s">
        <v>8197</v>
      </c>
      <c r="N1295" s="8" t="s">
        <v>79</v>
      </c>
      <c r="O1295" s="8" t="s">
        <v>80</v>
      </c>
      <c r="P1295" s="6" t="s">
        <v>167</v>
      </c>
      <c r="Q1295" s="8" t="s">
        <v>102</v>
      </c>
      <c r="R1295" s="10" t="s">
        <v>8198</v>
      </c>
      <c r="S1295" s="11" t="s">
        <v>8199</v>
      </c>
      <c r="T1295" s="6"/>
      <c r="U1295" s="24" t="str">
        <f>HYPERLINK("https://media.infra-m.ru/2169/2169724/cover/2169724.jpg", "Обложка")</f>
        <v>Обложка</v>
      </c>
      <c r="V1295" s="24" t="str">
        <f>HYPERLINK("https://znanium.ru/catalog/product/2169724", "Ознакомиться")</f>
        <v>Ознакомиться</v>
      </c>
      <c r="W1295" s="8"/>
      <c r="X1295" s="6"/>
      <c r="Y1295" s="6"/>
      <c r="Z1295" s="6"/>
      <c r="AA1295" s="6" t="s">
        <v>72</v>
      </c>
      <c r="AB1295" s="8"/>
    </row>
    <row r="1296" spans="1:28" s="4" customFormat="1" ht="42" customHeight="1">
      <c r="A1296" s="5">
        <v>0</v>
      </c>
      <c r="B1296" s="6" t="s">
        <v>8200</v>
      </c>
      <c r="C1296" s="13">
        <v>1404.9</v>
      </c>
      <c r="D1296" s="8" t="s">
        <v>8201</v>
      </c>
      <c r="E1296" s="8" t="s">
        <v>8202</v>
      </c>
      <c r="F1296" s="8" t="s">
        <v>8203</v>
      </c>
      <c r="G1296" s="6" t="s">
        <v>52</v>
      </c>
      <c r="H1296" s="6" t="s">
        <v>649</v>
      </c>
      <c r="I1296" s="8" t="s">
        <v>116</v>
      </c>
      <c r="J1296" s="9">
        <v>1</v>
      </c>
      <c r="K1296" s="9">
        <v>480</v>
      </c>
      <c r="L1296" s="9">
        <v>2018</v>
      </c>
      <c r="M1296" s="8" t="s">
        <v>8204</v>
      </c>
      <c r="N1296" s="8" t="s">
        <v>79</v>
      </c>
      <c r="O1296" s="8" t="s">
        <v>80</v>
      </c>
      <c r="P1296" s="6" t="s">
        <v>43</v>
      </c>
      <c r="Q1296" s="8" t="s">
        <v>44</v>
      </c>
      <c r="R1296" s="10" t="s">
        <v>4342</v>
      </c>
      <c r="S1296" s="11"/>
      <c r="T1296" s="6"/>
      <c r="U1296" s="24" t="str">
        <f>HYPERLINK("https://media.infra-m.ru/0914/0914260/cover/914260.jpg", "Обложка")</f>
        <v>Обложка</v>
      </c>
      <c r="V1296" s="24" t="str">
        <f>HYPERLINK("https://znanium.ru/catalog/product/2151384", "Ознакомиться")</f>
        <v>Ознакомиться</v>
      </c>
      <c r="W1296" s="8" t="s">
        <v>2216</v>
      </c>
      <c r="X1296" s="6"/>
      <c r="Y1296" s="6"/>
      <c r="Z1296" s="6"/>
      <c r="AA1296" s="6" t="s">
        <v>72</v>
      </c>
      <c r="AB1296" s="8"/>
    </row>
    <row r="1297" spans="1:28" s="4" customFormat="1" ht="42" customHeight="1">
      <c r="A1297" s="5">
        <v>0</v>
      </c>
      <c r="B1297" s="6" t="s">
        <v>8205</v>
      </c>
      <c r="C1297" s="13">
        <v>1700</v>
      </c>
      <c r="D1297" s="8" t="s">
        <v>8206</v>
      </c>
      <c r="E1297" s="8" t="s">
        <v>8207</v>
      </c>
      <c r="F1297" s="8" t="s">
        <v>8208</v>
      </c>
      <c r="G1297" s="6" t="s">
        <v>52</v>
      </c>
      <c r="H1297" s="6" t="s">
        <v>53</v>
      </c>
      <c r="I1297" s="8" t="s">
        <v>100</v>
      </c>
      <c r="J1297" s="9">
        <v>1</v>
      </c>
      <c r="K1297" s="9">
        <v>363</v>
      </c>
      <c r="L1297" s="9">
        <v>2023</v>
      </c>
      <c r="M1297" s="8" t="s">
        <v>8209</v>
      </c>
      <c r="N1297" s="8" t="s">
        <v>79</v>
      </c>
      <c r="O1297" s="8" t="s">
        <v>80</v>
      </c>
      <c r="P1297" s="6" t="s">
        <v>43</v>
      </c>
      <c r="Q1297" s="8" t="s">
        <v>102</v>
      </c>
      <c r="R1297" s="10" t="s">
        <v>8210</v>
      </c>
      <c r="S1297" s="11"/>
      <c r="T1297" s="6"/>
      <c r="U1297" s="24" t="str">
        <f>HYPERLINK("https://media.infra-m.ru/1867/1867576/cover/1867576.jpg", "Обложка")</f>
        <v>Обложка</v>
      </c>
      <c r="V1297" s="24" t="str">
        <f>HYPERLINK("https://znanium.ru/catalog/product/1867576", "Ознакомиться")</f>
        <v>Ознакомиться</v>
      </c>
      <c r="W1297" s="8" t="s">
        <v>8211</v>
      </c>
      <c r="X1297" s="6"/>
      <c r="Y1297" s="6"/>
      <c r="Z1297" s="6"/>
      <c r="AA1297" s="6" t="s">
        <v>207</v>
      </c>
      <c r="AB1297" s="8"/>
    </row>
    <row r="1298" spans="1:28" s="4" customFormat="1" ht="51.95" customHeight="1">
      <c r="A1298" s="5">
        <v>0</v>
      </c>
      <c r="B1298" s="6" t="s">
        <v>8212</v>
      </c>
      <c r="C1298" s="13">
        <v>2400</v>
      </c>
      <c r="D1298" s="8" t="s">
        <v>8213</v>
      </c>
      <c r="E1298" s="8" t="s">
        <v>8202</v>
      </c>
      <c r="F1298" s="8" t="s">
        <v>8214</v>
      </c>
      <c r="G1298" s="6" t="s">
        <v>52</v>
      </c>
      <c r="H1298" s="6" t="s">
        <v>53</v>
      </c>
      <c r="I1298" s="8" t="s">
        <v>90</v>
      </c>
      <c r="J1298" s="9">
        <v>1</v>
      </c>
      <c r="K1298" s="9">
        <v>522</v>
      </c>
      <c r="L1298" s="9">
        <v>2024</v>
      </c>
      <c r="M1298" s="8" t="s">
        <v>8215</v>
      </c>
      <c r="N1298" s="8" t="s">
        <v>79</v>
      </c>
      <c r="O1298" s="8" t="s">
        <v>80</v>
      </c>
      <c r="P1298" s="6" t="s">
        <v>167</v>
      </c>
      <c r="Q1298" s="8" t="s">
        <v>44</v>
      </c>
      <c r="R1298" s="10" t="s">
        <v>4342</v>
      </c>
      <c r="S1298" s="11" t="s">
        <v>8216</v>
      </c>
      <c r="T1298" s="6"/>
      <c r="U1298" s="24" t="str">
        <f>HYPERLINK("https://media.infra-m.ru/2127/2127028/cover/2127028.jpg", "Обложка")</f>
        <v>Обложка</v>
      </c>
      <c r="V1298" s="24" t="str">
        <f>HYPERLINK("https://znanium.ru/catalog/product/2127028", "Ознакомиться")</f>
        <v>Ознакомиться</v>
      </c>
      <c r="W1298" s="8" t="s">
        <v>1563</v>
      </c>
      <c r="X1298" s="6"/>
      <c r="Y1298" s="6"/>
      <c r="Z1298" s="6"/>
      <c r="AA1298" s="6" t="s">
        <v>219</v>
      </c>
      <c r="AB1298" s="8"/>
    </row>
    <row r="1299" spans="1:28" s="4" customFormat="1" ht="51.95" customHeight="1">
      <c r="A1299" s="5">
        <v>0</v>
      </c>
      <c r="B1299" s="6" t="s">
        <v>8217</v>
      </c>
      <c r="C1299" s="13">
        <v>2604</v>
      </c>
      <c r="D1299" s="8" t="s">
        <v>8218</v>
      </c>
      <c r="E1299" s="8" t="s">
        <v>8219</v>
      </c>
      <c r="F1299" s="8" t="s">
        <v>1155</v>
      </c>
      <c r="G1299" s="6" t="s">
        <v>52</v>
      </c>
      <c r="H1299" s="6" t="s">
        <v>53</v>
      </c>
      <c r="I1299" s="8" t="s">
        <v>100</v>
      </c>
      <c r="J1299" s="9">
        <v>1</v>
      </c>
      <c r="K1299" s="9">
        <v>566</v>
      </c>
      <c r="L1299" s="9">
        <v>2024</v>
      </c>
      <c r="M1299" s="8" t="s">
        <v>8220</v>
      </c>
      <c r="N1299" s="8" t="s">
        <v>79</v>
      </c>
      <c r="O1299" s="8" t="s">
        <v>80</v>
      </c>
      <c r="P1299" s="6" t="s">
        <v>167</v>
      </c>
      <c r="Q1299" s="8" t="s">
        <v>102</v>
      </c>
      <c r="R1299" s="10" t="s">
        <v>8172</v>
      </c>
      <c r="S1299" s="11" t="s">
        <v>8221</v>
      </c>
      <c r="T1299" s="6"/>
      <c r="U1299" s="24" t="str">
        <f>HYPERLINK("https://media.infra-m.ru/2113/2113868/cover/2113868.jpg", "Обложка")</f>
        <v>Обложка</v>
      </c>
      <c r="V1299" s="24" t="str">
        <f>HYPERLINK("https://znanium.ru/catalog/product/1915623", "Ознакомиться")</f>
        <v>Ознакомиться</v>
      </c>
      <c r="W1299" s="8" t="s">
        <v>1158</v>
      </c>
      <c r="X1299" s="6"/>
      <c r="Y1299" s="6"/>
      <c r="Z1299" s="6" t="s">
        <v>502</v>
      </c>
      <c r="AA1299" s="6" t="s">
        <v>95</v>
      </c>
      <c r="AB1299" s="8"/>
    </row>
    <row r="1300" spans="1:28" s="4" customFormat="1" ht="51.95" customHeight="1">
      <c r="A1300" s="5">
        <v>0</v>
      </c>
      <c r="B1300" s="6" t="s">
        <v>8222</v>
      </c>
      <c r="C1300" s="13">
        <v>2824</v>
      </c>
      <c r="D1300" s="8" t="s">
        <v>8223</v>
      </c>
      <c r="E1300" s="8" t="s">
        <v>8219</v>
      </c>
      <c r="F1300" s="8" t="s">
        <v>1155</v>
      </c>
      <c r="G1300" s="6" t="s">
        <v>52</v>
      </c>
      <c r="H1300" s="6" t="s">
        <v>53</v>
      </c>
      <c r="I1300" s="8" t="s">
        <v>116</v>
      </c>
      <c r="J1300" s="9">
        <v>1</v>
      </c>
      <c r="K1300" s="9">
        <v>566</v>
      </c>
      <c r="L1300" s="9">
        <v>2025</v>
      </c>
      <c r="M1300" s="8" t="s">
        <v>8224</v>
      </c>
      <c r="N1300" s="8" t="s">
        <v>79</v>
      </c>
      <c r="O1300" s="8" t="s">
        <v>80</v>
      </c>
      <c r="P1300" s="6" t="s">
        <v>167</v>
      </c>
      <c r="Q1300" s="8" t="s">
        <v>58</v>
      </c>
      <c r="R1300" s="10" t="s">
        <v>4342</v>
      </c>
      <c r="S1300" s="11" t="s">
        <v>8225</v>
      </c>
      <c r="T1300" s="6"/>
      <c r="U1300" s="24" t="str">
        <f>HYPERLINK("https://media.infra-m.ru/2187/2187515/cover/2187515.jpg", "Обложка")</f>
        <v>Обложка</v>
      </c>
      <c r="V1300" s="24" t="str">
        <f>HYPERLINK("https://znanium.ru/catalog/product/1916405", "Ознакомиться")</f>
        <v>Ознакомиться</v>
      </c>
      <c r="W1300" s="8" t="s">
        <v>1158</v>
      </c>
      <c r="X1300" s="6"/>
      <c r="Y1300" s="6"/>
      <c r="Z1300" s="6"/>
      <c r="AA1300" s="6" t="s">
        <v>95</v>
      </c>
      <c r="AB1300" s="8"/>
    </row>
    <row r="1301" spans="1:28" s="4" customFormat="1" ht="51.95" customHeight="1">
      <c r="A1301" s="5">
        <v>0</v>
      </c>
      <c r="B1301" s="6" t="s">
        <v>8226</v>
      </c>
      <c r="C1301" s="13">
        <v>1484.9</v>
      </c>
      <c r="D1301" s="8" t="s">
        <v>8227</v>
      </c>
      <c r="E1301" s="8" t="s">
        <v>8202</v>
      </c>
      <c r="F1301" s="8" t="s">
        <v>1155</v>
      </c>
      <c r="G1301" s="6" t="s">
        <v>89</v>
      </c>
      <c r="H1301" s="6" t="s">
        <v>39</v>
      </c>
      <c r="I1301" s="8" t="s">
        <v>90</v>
      </c>
      <c r="J1301" s="9">
        <v>1</v>
      </c>
      <c r="K1301" s="9">
        <v>463</v>
      </c>
      <c r="L1301" s="9">
        <v>2018</v>
      </c>
      <c r="M1301" s="8" t="s">
        <v>8228</v>
      </c>
      <c r="N1301" s="8" t="s">
        <v>79</v>
      </c>
      <c r="O1301" s="8" t="s">
        <v>80</v>
      </c>
      <c r="P1301" s="6" t="s">
        <v>167</v>
      </c>
      <c r="Q1301" s="8" t="s">
        <v>44</v>
      </c>
      <c r="R1301" s="10" t="s">
        <v>4342</v>
      </c>
      <c r="S1301" s="11" t="s">
        <v>8229</v>
      </c>
      <c r="T1301" s="6"/>
      <c r="U1301" s="24" t="str">
        <f>HYPERLINK("https://media.infra-m.ru/1010/1010143/cover/1010143.jpg", "Обложка")</f>
        <v>Обложка</v>
      </c>
      <c r="V1301" s="24" t="str">
        <f>HYPERLINK("https://znanium.ru/catalog/product/1916405", "Ознакомиться")</f>
        <v>Ознакомиться</v>
      </c>
      <c r="W1301" s="8" t="s">
        <v>1158</v>
      </c>
      <c r="X1301" s="6"/>
      <c r="Y1301" s="6"/>
      <c r="Z1301" s="6"/>
      <c r="AA1301" s="6" t="s">
        <v>84</v>
      </c>
      <c r="AB1301" s="8"/>
    </row>
    <row r="1302" spans="1:28" s="4" customFormat="1" ht="51.95" customHeight="1">
      <c r="A1302" s="5">
        <v>0</v>
      </c>
      <c r="B1302" s="6" t="s">
        <v>8230</v>
      </c>
      <c r="C1302" s="13">
        <v>2130</v>
      </c>
      <c r="D1302" s="8" t="s">
        <v>8231</v>
      </c>
      <c r="E1302" s="8" t="s">
        <v>8219</v>
      </c>
      <c r="F1302" s="8" t="s">
        <v>8232</v>
      </c>
      <c r="G1302" s="6" t="s">
        <v>52</v>
      </c>
      <c r="H1302" s="6" t="s">
        <v>53</v>
      </c>
      <c r="I1302" s="8" t="s">
        <v>116</v>
      </c>
      <c r="J1302" s="9">
        <v>1</v>
      </c>
      <c r="K1302" s="9">
        <v>453</v>
      </c>
      <c r="L1302" s="9">
        <v>2024</v>
      </c>
      <c r="M1302" s="8" t="s">
        <v>8233</v>
      </c>
      <c r="N1302" s="8" t="s">
        <v>79</v>
      </c>
      <c r="O1302" s="8" t="s">
        <v>80</v>
      </c>
      <c r="P1302" s="6" t="s">
        <v>43</v>
      </c>
      <c r="Q1302" s="8" t="s">
        <v>44</v>
      </c>
      <c r="R1302" s="10" t="s">
        <v>4342</v>
      </c>
      <c r="S1302" s="11" t="s">
        <v>8234</v>
      </c>
      <c r="T1302" s="6"/>
      <c r="U1302" s="24" t="str">
        <f>HYPERLINK("https://media.infra-m.ru/2151/2151384/cover/2151384.jpg", "Обложка")</f>
        <v>Обложка</v>
      </c>
      <c r="V1302" s="24" t="str">
        <f>HYPERLINK("https://znanium.ru/catalog/product/2151384", "Ознакомиться")</f>
        <v>Ознакомиться</v>
      </c>
      <c r="W1302" s="8" t="s">
        <v>2216</v>
      </c>
      <c r="X1302" s="6"/>
      <c r="Y1302" s="6"/>
      <c r="Z1302" s="6"/>
      <c r="AA1302" s="6" t="s">
        <v>513</v>
      </c>
      <c r="AB1302" s="8"/>
    </row>
    <row r="1303" spans="1:28" s="4" customFormat="1" ht="51.95" customHeight="1">
      <c r="A1303" s="5">
        <v>0</v>
      </c>
      <c r="B1303" s="6" t="s">
        <v>8235</v>
      </c>
      <c r="C1303" s="13">
        <v>1584</v>
      </c>
      <c r="D1303" s="8" t="s">
        <v>8236</v>
      </c>
      <c r="E1303" s="8" t="s">
        <v>8237</v>
      </c>
      <c r="F1303" s="8" t="s">
        <v>8238</v>
      </c>
      <c r="G1303" s="6" t="s">
        <v>89</v>
      </c>
      <c r="H1303" s="6" t="s">
        <v>184</v>
      </c>
      <c r="I1303" s="8" t="s">
        <v>116</v>
      </c>
      <c r="J1303" s="9">
        <v>1</v>
      </c>
      <c r="K1303" s="9">
        <v>336</v>
      </c>
      <c r="L1303" s="9">
        <v>2024</v>
      </c>
      <c r="M1303" s="8" t="s">
        <v>8239</v>
      </c>
      <c r="N1303" s="8" t="s">
        <v>79</v>
      </c>
      <c r="O1303" s="8" t="s">
        <v>80</v>
      </c>
      <c r="P1303" s="6" t="s">
        <v>43</v>
      </c>
      <c r="Q1303" s="8" t="s">
        <v>44</v>
      </c>
      <c r="R1303" s="10" t="s">
        <v>8240</v>
      </c>
      <c r="S1303" s="11" t="s">
        <v>8241</v>
      </c>
      <c r="T1303" s="6"/>
      <c r="U1303" s="24" t="str">
        <f>HYPERLINK("https://media.infra-m.ru/2082/2082744/cover/2082744.jpg", "Обложка")</f>
        <v>Обложка</v>
      </c>
      <c r="V1303" s="24" t="str">
        <f>HYPERLINK("https://znanium.ru/catalog/product/2082642", "Ознакомиться")</f>
        <v>Ознакомиться</v>
      </c>
      <c r="W1303" s="8" t="s">
        <v>347</v>
      </c>
      <c r="X1303" s="6"/>
      <c r="Y1303" s="6"/>
      <c r="Z1303" s="6"/>
      <c r="AA1303" s="6" t="s">
        <v>2423</v>
      </c>
      <c r="AB1303" s="8"/>
    </row>
    <row r="1304" spans="1:28" s="4" customFormat="1" ht="51.95" customHeight="1">
      <c r="A1304" s="5">
        <v>0</v>
      </c>
      <c r="B1304" s="6" t="s">
        <v>8242</v>
      </c>
      <c r="C1304" s="13">
        <v>1960</v>
      </c>
      <c r="D1304" s="8" t="s">
        <v>8243</v>
      </c>
      <c r="E1304" s="8" t="s">
        <v>8244</v>
      </c>
      <c r="F1304" s="8" t="s">
        <v>8245</v>
      </c>
      <c r="G1304" s="6" t="s">
        <v>52</v>
      </c>
      <c r="H1304" s="6" t="s">
        <v>649</v>
      </c>
      <c r="I1304" s="8" t="s">
        <v>100</v>
      </c>
      <c r="J1304" s="9">
        <v>1</v>
      </c>
      <c r="K1304" s="9">
        <v>416</v>
      </c>
      <c r="L1304" s="9">
        <v>2024</v>
      </c>
      <c r="M1304" s="8" t="s">
        <v>8246</v>
      </c>
      <c r="N1304" s="8" t="s">
        <v>79</v>
      </c>
      <c r="O1304" s="8" t="s">
        <v>80</v>
      </c>
      <c r="P1304" s="6" t="s">
        <v>43</v>
      </c>
      <c r="Q1304" s="8" t="s">
        <v>102</v>
      </c>
      <c r="R1304" s="10" t="s">
        <v>8247</v>
      </c>
      <c r="S1304" s="11" t="s">
        <v>8248</v>
      </c>
      <c r="T1304" s="6"/>
      <c r="U1304" s="24" t="str">
        <f>HYPERLINK("https://media.infra-m.ru/2130/2130242/cover/2130242.jpg", "Обложка")</f>
        <v>Обложка</v>
      </c>
      <c r="V1304" s="24" t="str">
        <f>HYPERLINK("https://znanium.ru/catalog/product/2130242", "Ознакомиться")</f>
        <v>Ознакомиться</v>
      </c>
      <c r="W1304" s="8" t="s">
        <v>2216</v>
      </c>
      <c r="X1304" s="6"/>
      <c r="Y1304" s="6"/>
      <c r="Z1304" s="6"/>
      <c r="AA1304" s="6" t="s">
        <v>654</v>
      </c>
      <c r="AB1304" s="8"/>
    </row>
    <row r="1305" spans="1:28" s="4" customFormat="1" ht="51.95" customHeight="1">
      <c r="A1305" s="5">
        <v>0</v>
      </c>
      <c r="B1305" s="6" t="s">
        <v>8249</v>
      </c>
      <c r="C1305" s="7">
        <v>430</v>
      </c>
      <c r="D1305" s="8" t="s">
        <v>8250</v>
      </c>
      <c r="E1305" s="8" t="s">
        <v>8251</v>
      </c>
      <c r="F1305" s="8" t="s">
        <v>8252</v>
      </c>
      <c r="G1305" s="6" t="s">
        <v>38</v>
      </c>
      <c r="H1305" s="6" t="s">
        <v>53</v>
      </c>
      <c r="I1305" s="8" t="s">
        <v>212</v>
      </c>
      <c r="J1305" s="9">
        <v>1</v>
      </c>
      <c r="K1305" s="9">
        <v>118</v>
      </c>
      <c r="L1305" s="9">
        <v>2021</v>
      </c>
      <c r="M1305" s="8" t="s">
        <v>8253</v>
      </c>
      <c r="N1305" s="8" t="s">
        <v>79</v>
      </c>
      <c r="O1305" s="8" t="s">
        <v>80</v>
      </c>
      <c r="P1305" s="6" t="s">
        <v>43</v>
      </c>
      <c r="Q1305" s="8" t="s">
        <v>214</v>
      </c>
      <c r="R1305" s="10" t="s">
        <v>2557</v>
      </c>
      <c r="S1305" s="11" t="s">
        <v>8254</v>
      </c>
      <c r="T1305" s="6" t="s">
        <v>299</v>
      </c>
      <c r="U1305" s="24" t="str">
        <f>HYPERLINK("https://media.infra-m.ru/1178/1178153/cover/1178153.jpg", "Обложка")</f>
        <v>Обложка</v>
      </c>
      <c r="V1305" s="24" t="str">
        <f>HYPERLINK("https://znanium.ru/catalog/product/1178153", "Ознакомиться")</f>
        <v>Ознакомиться</v>
      </c>
      <c r="W1305" s="8" t="s">
        <v>399</v>
      </c>
      <c r="X1305" s="6"/>
      <c r="Y1305" s="6"/>
      <c r="Z1305" s="6" t="s">
        <v>218</v>
      </c>
      <c r="AA1305" s="6" t="s">
        <v>219</v>
      </c>
      <c r="AB1305" s="8"/>
    </row>
    <row r="1306" spans="1:28" s="4" customFormat="1" ht="51.95" customHeight="1">
      <c r="A1306" s="5">
        <v>0</v>
      </c>
      <c r="B1306" s="6" t="s">
        <v>8255</v>
      </c>
      <c r="C1306" s="7">
        <v>679.9</v>
      </c>
      <c r="D1306" s="8" t="s">
        <v>8256</v>
      </c>
      <c r="E1306" s="8" t="s">
        <v>8257</v>
      </c>
      <c r="F1306" s="8" t="s">
        <v>8238</v>
      </c>
      <c r="G1306" s="6" t="s">
        <v>52</v>
      </c>
      <c r="H1306" s="6" t="s">
        <v>184</v>
      </c>
      <c r="I1306" s="8" t="s">
        <v>116</v>
      </c>
      <c r="J1306" s="9">
        <v>20</v>
      </c>
      <c r="K1306" s="9">
        <v>322</v>
      </c>
      <c r="L1306" s="9">
        <v>2017</v>
      </c>
      <c r="M1306" s="8" t="s">
        <v>8258</v>
      </c>
      <c r="N1306" s="8" t="s">
        <v>79</v>
      </c>
      <c r="O1306" s="8" t="s">
        <v>80</v>
      </c>
      <c r="P1306" s="6" t="s">
        <v>43</v>
      </c>
      <c r="Q1306" s="8" t="s">
        <v>44</v>
      </c>
      <c r="R1306" s="10" t="s">
        <v>8240</v>
      </c>
      <c r="S1306" s="11" t="s">
        <v>8241</v>
      </c>
      <c r="T1306" s="6"/>
      <c r="U1306" s="24" t="str">
        <f>HYPERLINK("https://media.infra-m.ru/0763/0763644/cover/763644.jpg", "Обложка")</f>
        <v>Обложка</v>
      </c>
      <c r="V1306" s="24" t="str">
        <f>HYPERLINK("https://znanium.ru/catalog/product/2082642", "Ознакомиться")</f>
        <v>Ознакомиться</v>
      </c>
      <c r="W1306" s="8" t="s">
        <v>347</v>
      </c>
      <c r="X1306" s="6"/>
      <c r="Y1306" s="6"/>
      <c r="Z1306" s="6"/>
      <c r="AA1306" s="6" t="s">
        <v>2001</v>
      </c>
      <c r="AB1306" s="8"/>
    </row>
    <row r="1307" spans="1:28" s="4" customFormat="1" ht="51.95" customHeight="1">
      <c r="A1307" s="5">
        <v>0</v>
      </c>
      <c r="B1307" s="6" t="s">
        <v>8259</v>
      </c>
      <c r="C1307" s="7">
        <v>614</v>
      </c>
      <c r="D1307" s="8" t="s">
        <v>8260</v>
      </c>
      <c r="E1307" s="8" t="s">
        <v>8251</v>
      </c>
      <c r="F1307" s="8" t="s">
        <v>8261</v>
      </c>
      <c r="G1307" s="6" t="s">
        <v>38</v>
      </c>
      <c r="H1307" s="6" t="s">
        <v>53</v>
      </c>
      <c r="I1307" s="8" t="s">
        <v>90</v>
      </c>
      <c r="J1307" s="9">
        <v>1</v>
      </c>
      <c r="K1307" s="9">
        <v>118</v>
      </c>
      <c r="L1307" s="9">
        <v>2025</v>
      </c>
      <c r="M1307" s="8" t="s">
        <v>8262</v>
      </c>
      <c r="N1307" s="8" t="s">
        <v>79</v>
      </c>
      <c r="O1307" s="8" t="s">
        <v>80</v>
      </c>
      <c r="P1307" s="6" t="s">
        <v>43</v>
      </c>
      <c r="Q1307" s="8" t="s">
        <v>44</v>
      </c>
      <c r="R1307" s="10" t="s">
        <v>8263</v>
      </c>
      <c r="S1307" s="11" t="s">
        <v>8264</v>
      </c>
      <c r="T1307" s="6" t="s">
        <v>299</v>
      </c>
      <c r="U1307" s="24" t="str">
        <f>HYPERLINK("https://media.infra-m.ru/2195/2195016/cover/2195016.jpg", "Обложка")</f>
        <v>Обложка</v>
      </c>
      <c r="V1307" s="24" t="str">
        <f>HYPERLINK("https://znanium.ru/catalog/product/1178152", "Ознакомиться")</f>
        <v>Ознакомиться</v>
      </c>
      <c r="W1307" s="8" t="s">
        <v>399</v>
      </c>
      <c r="X1307" s="6"/>
      <c r="Y1307" s="6"/>
      <c r="Z1307" s="6"/>
      <c r="AA1307" s="6" t="s">
        <v>418</v>
      </c>
      <c r="AB1307" s="8"/>
    </row>
    <row r="1308" spans="1:28" s="4" customFormat="1" ht="51.95" customHeight="1">
      <c r="A1308" s="5">
        <v>0</v>
      </c>
      <c r="B1308" s="6" t="s">
        <v>8265</v>
      </c>
      <c r="C1308" s="7">
        <v>650</v>
      </c>
      <c r="D1308" s="8" t="s">
        <v>8266</v>
      </c>
      <c r="E1308" s="8" t="s">
        <v>8267</v>
      </c>
      <c r="F1308" s="8" t="s">
        <v>8268</v>
      </c>
      <c r="G1308" s="6" t="s">
        <v>38</v>
      </c>
      <c r="H1308" s="6" t="s">
        <v>39</v>
      </c>
      <c r="I1308" s="8" t="s">
        <v>90</v>
      </c>
      <c r="J1308" s="9">
        <v>1</v>
      </c>
      <c r="K1308" s="9">
        <v>239</v>
      </c>
      <c r="L1308" s="9">
        <v>2017</v>
      </c>
      <c r="M1308" s="8" t="s">
        <v>8269</v>
      </c>
      <c r="N1308" s="8" t="s">
        <v>79</v>
      </c>
      <c r="O1308" s="8" t="s">
        <v>80</v>
      </c>
      <c r="P1308" s="6" t="s">
        <v>43</v>
      </c>
      <c r="Q1308" s="8" t="s">
        <v>44</v>
      </c>
      <c r="R1308" s="10" t="s">
        <v>8270</v>
      </c>
      <c r="S1308" s="11" t="s">
        <v>8271</v>
      </c>
      <c r="T1308" s="6"/>
      <c r="U1308" s="24" t="str">
        <f>HYPERLINK("https://media.infra-m.ru/0612/0612572/cover/612572.jpg", "Обложка")</f>
        <v>Обложка</v>
      </c>
      <c r="V1308" s="24" t="str">
        <f>HYPERLINK("https://znanium.ru/catalog/product/1784437", "Ознакомиться")</f>
        <v>Ознакомиться</v>
      </c>
      <c r="W1308" s="8" t="s">
        <v>243</v>
      </c>
      <c r="X1308" s="6"/>
      <c r="Y1308" s="6"/>
      <c r="Z1308" s="6"/>
      <c r="AA1308" s="6" t="s">
        <v>494</v>
      </c>
      <c r="AB1308" s="8"/>
    </row>
    <row r="1309" spans="1:28" s="4" customFormat="1" ht="51.95" customHeight="1">
      <c r="A1309" s="5">
        <v>0</v>
      </c>
      <c r="B1309" s="6" t="s">
        <v>8272</v>
      </c>
      <c r="C1309" s="13">
        <v>1100</v>
      </c>
      <c r="D1309" s="8" t="s">
        <v>8273</v>
      </c>
      <c r="E1309" s="8" t="s">
        <v>8274</v>
      </c>
      <c r="F1309" s="8" t="s">
        <v>8275</v>
      </c>
      <c r="G1309" s="6" t="s">
        <v>89</v>
      </c>
      <c r="H1309" s="6" t="s">
        <v>184</v>
      </c>
      <c r="I1309" s="8" t="s">
        <v>116</v>
      </c>
      <c r="J1309" s="9">
        <v>1</v>
      </c>
      <c r="K1309" s="9">
        <v>236</v>
      </c>
      <c r="L1309" s="9">
        <v>2024</v>
      </c>
      <c r="M1309" s="8" t="s">
        <v>8276</v>
      </c>
      <c r="N1309" s="8" t="s">
        <v>79</v>
      </c>
      <c r="O1309" s="8" t="s">
        <v>80</v>
      </c>
      <c r="P1309" s="6" t="s">
        <v>43</v>
      </c>
      <c r="Q1309" s="8" t="s">
        <v>58</v>
      </c>
      <c r="R1309" s="10" t="s">
        <v>8277</v>
      </c>
      <c r="S1309" s="11"/>
      <c r="T1309" s="6"/>
      <c r="U1309" s="24" t="str">
        <f>HYPERLINK("https://media.infra-m.ru/2140/2140687/cover/2140687.jpg", "Обложка")</f>
        <v>Обложка</v>
      </c>
      <c r="V1309" s="24" t="str">
        <f>HYPERLINK("https://znanium.ru/catalog/product/2140687", "Ознакомиться")</f>
        <v>Ознакомиться</v>
      </c>
      <c r="W1309" s="8" t="s">
        <v>347</v>
      </c>
      <c r="X1309" s="6"/>
      <c r="Y1309" s="6"/>
      <c r="Z1309" s="6"/>
      <c r="AA1309" s="6" t="s">
        <v>258</v>
      </c>
      <c r="AB1309" s="8"/>
    </row>
    <row r="1310" spans="1:28" s="4" customFormat="1" ht="51.95" customHeight="1">
      <c r="A1310" s="5">
        <v>0</v>
      </c>
      <c r="B1310" s="6" t="s">
        <v>8278</v>
      </c>
      <c r="C1310" s="13">
        <v>2154</v>
      </c>
      <c r="D1310" s="8" t="s">
        <v>8279</v>
      </c>
      <c r="E1310" s="8" t="s">
        <v>8280</v>
      </c>
      <c r="F1310" s="8" t="s">
        <v>8281</v>
      </c>
      <c r="G1310" s="6" t="s">
        <v>89</v>
      </c>
      <c r="H1310" s="6" t="s">
        <v>39</v>
      </c>
      <c r="I1310" s="8" t="s">
        <v>100</v>
      </c>
      <c r="J1310" s="9">
        <v>1</v>
      </c>
      <c r="K1310" s="9">
        <v>432</v>
      </c>
      <c r="L1310" s="9">
        <v>2025</v>
      </c>
      <c r="M1310" s="8" t="s">
        <v>8282</v>
      </c>
      <c r="N1310" s="8" t="s">
        <v>79</v>
      </c>
      <c r="O1310" s="8" t="s">
        <v>80</v>
      </c>
      <c r="P1310" s="6" t="s">
        <v>43</v>
      </c>
      <c r="Q1310" s="8" t="s">
        <v>102</v>
      </c>
      <c r="R1310" s="10" t="s">
        <v>8283</v>
      </c>
      <c r="S1310" s="11" t="s">
        <v>8284</v>
      </c>
      <c r="T1310" s="6"/>
      <c r="U1310" s="24" t="str">
        <f>HYPERLINK("https://media.infra-m.ru/2184/2184954/cover/2184954.jpg", "Обложка")</f>
        <v>Обложка</v>
      </c>
      <c r="V1310" s="24" t="str">
        <f>HYPERLINK("https://znanium.ru/catalog/product/1189328", "Ознакомиться")</f>
        <v>Ознакомиться</v>
      </c>
      <c r="W1310" s="8" t="s">
        <v>243</v>
      </c>
      <c r="X1310" s="6"/>
      <c r="Y1310" s="6"/>
      <c r="Z1310" s="6"/>
      <c r="AA1310" s="6" t="s">
        <v>8285</v>
      </c>
      <c r="AB1310" s="8"/>
    </row>
    <row r="1311" spans="1:28" s="4" customFormat="1" ht="51.95" customHeight="1">
      <c r="A1311" s="5">
        <v>0</v>
      </c>
      <c r="B1311" s="6" t="s">
        <v>8286</v>
      </c>
      <c r="C1311" s="13">
        <v>1394</v>
      </c>
      <c r="D1311" s="8" t="s">
        <v>8287</v>
      </c>
      <c r="E1311" s="8" t="s">
        <v>8288</v>
      </c>
      <c r="F1311" s="8" t="s">
        <v>8289</v>
      </c>
      <c r="G1311" s="6" t="s">
        <v>52</v>
      </c>
      <c r="H1311" s="6" t="s">
        <v>77</v>
      </c>
      <c r="I1311" s="8"/>
      <c r="J1311" s="9">
        <v>1</v>
      </c>
      <c r="K1311" s="9">
        <v>304</v>
      </c>
      <c r="L1311" s="9">
        <v>2024</v>
      </c>
      <c r="M1311" s="8" t="s">
        <v>8290</v>
      </c>
      <c r="N1311" s="8" t="s">
        <v>79</v>
      </c>
      <c r="O1311" s="8" t="s">
        <v>80</v>
      </c>
      <c r="P1311" s="6" t="s">
        <v>43</v>
      </c>
      <c r="Q1311" s="8" t="s">
        <v>44</v>
      </c>
      <c r="R1311" s="10" t="s">
        <v>8291</v>
      </c>
      <c r="S1311" s="11" t="s">
        <v>8292</v>
      </c>
      <c r="T1311" s="6" t="s">
        <v>299</v>
      </c>
      <c r="U1311" s="24" t="str">
        <f>HYPERLINK("https://media.infra-m.ru/2061/2061196/cover/2061196.jpg", "Обложка")</f>
        <v>Обложка</v>
      </c>
      <c r="V1311" s="24" t="str">
        <f>HYPERLINK("https://znanium.ru/catalog/product/2061196", "Ознакомиться")</f>
        <v>Ознакомиться</v>
      </c>
      <c r="W1311" s="8" t="s">
        <v>71</v>
      </c>
      <c r="X1311" s="6"/>
      <c r="Y1311" s="6"/>
      <c r="Z1311" s="6"/>
      <c r="AA1311" s="6" t="s">
        <v>479</v>
      </c>
      <c r="AB1311" s="8"/>
    </row>
    <row r="1312" spans="1:28" s="4" customFormat="1" ht="51.95" customHeight="1">
      <c r="A1312" s="5">
        <v>0</v>
      </c>
      <c r="B1312" s="6" t="s">
        <v>8293</v>
      </c>
      <c r="C1312" s="7">
        <v>704.9</v>
      </c>
      <c r="D1312" s="8" t="s">
        <v>8294</v>
      </c>
      <c r="E1312" s="8" t="s">
        <v>8295</v>
      </c>
      <c r="F1312" s="8" t="s">
        <v>8296</v>
      </c>
      <c r="G1312" s="6" t="s">
        <v>52</v>
      </c>
      <c r="H1312" s="6" t="s">
        <v>53</v>
      </c>
      <c r="I1312" s="8" t="s">
        <v>4855</v>
      </c>
      <c r="J1312" s="9">
        <v>1</v>
      </c>
      <c r="K1312" s="9">
        <v>186</v>
      </c>
      <c r="L1312" s="9">
        <v>2022</v>
      </c>
      <c r="M1312" s="8" t="s">
        <v>8297</v>
      </c>
      <c r="N1312" s="8" t="s">
        <v>41</v>
      </c>
      <c r="O1312" s="8" t="s">
        <v>118</v>
      </c>
      <c r="P1312" s="6" t="s">
        <v>43</v>
      </c>
      <c r="Q1312" s="8" t="s">
        <v>44</v>
      </c>
      <c r="R1312" s="10" t="s">
        <v>8298</v>
      </c>
      <c r="S1312" s="11" t="s">
        <v>8299</v>
      </c>
      <c r="T1312" s="6"/>
      <c r="U1312" s="24" t="str">
        <f>HYPERLINK("https://media.infra-m.ru/1862/1862610/cover/1862610.jpg", "Обложка")</f>
        <v>Обложка</v>
      </c>
      <c r="V1312" s="12"/>
      <c r="W1312" s="8" t="s">
        <v>784</v>
      </c>
      <c r="X1312" s="6"/>
      <c r="Y1312" s="6"/>
      <c r="Z1312" s="6"/>
      <c r="AA1312" s="6" t="s">
        <v>151</v>
      </c>
      <c r="AB1312" s="8"/>
    </row>
    <row r="1313" spans="1:28" s="4" customFormat="1" ht="51.95" customHeight="1">
      <c r="A1313" s="5">
        <v>0</v>
      </c>
      <c r="B1313" s="6" t="s">
        <v>8300</v>
      </c>
      <c r="C1313" s="7">
        <v>724</v>
      </c>
      <c r="D1313" s="8" t="s">
        <v>8301</v>
      </c>
      <c r="E1313" s="8" t="s">
        <v>8302</v>
      </c>
      <c r="F1313" s="8" t="s">
        <v>8303</v>
      </c>
      <c r="G1313" s="6" t="s">
        <v>38</v>
      </c>
      <c r="H1313" s="6" t="s">
        <v>53</v>
      </c>
      <c r="I1313" s="8" t="s">
        <v>90</v>
      </c>
      <c r="J1313" s="9">
        <v>1</v>
      </c>
      <c r="K1313" s="9">
        <v>145</v>
      </c>
      <c r="L1313" s="9">
        <v>2024</v>
      </c>
      <c r="M1313" s="8" t="s">
        <v>8304</v>
      </c>
      <c r="N1313" s="8" t="s">
        <v>41</v>
      </c>
      <c r="O1313" s="8" t="s">
        <v>118</v>
      </c>
      <c r="P1313" s="6" t="s">
        <v>43</v>
      </c>
      <c r="Q1313" s="8" t="s">
        <v>44</v>
      </c>
      <c r="R1313" s="10" t="s">
        <v>8305</v>
      </c>
      <c r="S1313" s="11" t="s">
        <v>8306</v>
      </c>
      <c r="T1313" s="6"/>
      <c r="U1313" s="24" t="str">
        <f>HYPERLINK("https://media.infra-m.ru/2138/2138944/cover/2138944.jpg", "Обложка")</f>
        <v>Обложка</v>
      </c>
      <c r="V1313" s="24" t="str">
        <f>HYPERLINK("https://znanium.ru/catalog/product/1904564", "Ознакомиться")</f>
        <v>Ознакомиться</v>
      </c>
      <c r="W1313" s="8" t="s">
        <v>2672</v>
      </c>
      <c r="X1313" s="6"/>
      <c r="Y1313" s="6"/>
      <c r="Z1313" s="6"/>
      <c r="AA1313" s="6" t="s">
        <v>1382</v>
      </c>
      <c r="AB1313" s="8"/>
    </row>
    <row r="1314" spans="1:28" s="4" customFormat="1" ht="51.95" customHeight="1">
      <c r="A1314" s="5">
        <v>0</v>
      </c>
      <c r="B1314" s="6" t="s">
        <v>8307</v>
      </c>
      <c r="C1314" s="7">
        <v>520</v>
      </c>
      <c r="D1314" s="8" t="s">
        <v>8308</v>
      </c>
      <c r="E1314" s="8" t="s">
        <v>8309</v>
      </c>
      <c r="F1314" s="8" t="s">
        <v>8310</v>
      </c>
      <c r="G1314" s="6" t="s">
        <v>38</v>
      </c>
      <c r="H1314" s="6" t="s">
        <v>77</v>
      </c>
      <c r="I1314" s="8"/>
      <c r="J1314" s="9">
        <v>1</v>
      </c>
      <c r="K1314" s="9">
        <v>137</v>
      </c>
      <c r="L1314" s="9">
        <v>2020</v>
      </c>
      <c r="M1314" s="8" t="s">
        <v>8311</v>
      </c>
      <c r="N1314" s="8" t="s">
        <v>41</v>
      </c>
      <c r="O1314" s="8" t="s">
        <v>118</v>
      </c>
      <c r="P1314" s="6" t="s">
        <v>43</v>
      </c>
      <c r="Q1314" s="8" t="s">
        <v>44</v>
      </c>
      <c r="R1314" s="10" t="s">
        <v>8305</v>
      </c>
      <c r="S1314" s="11" t="s">
        <v>8312</v>
      </c>
      <c r="T1314" s="6"/>
      <c r="U1314" s="24" t="str">
        <f>HYPERLINK("https://media.infra-m.ru/1245/1245075/cover/1245075.jpg", "Обложка")</f>
        <v>Обложка</v>
      </c>
      <c r="V1314" s="24" t="str">
        <f>HYPERLINK("https://znanium.ru/catalog/product/1904564", "Ознакомиться")</f>
        <v>Ознакомиться</v>
      </c>
      <c r="W1314" s="8" t="s">
        <v>2672</v>
      </c>
      <c r="X1314" s="6"/>
      <c r="Y1314" s="6"/>
      <c r="Z1314" s="6"/>
      <c r="AA1314" s="6" t="s">
        <v>494</v>
      </c>
      <c r="AB1314" s="8"/>
    </row>
    <row r="1315" spans="1:28" s="4" customFormat="1" ht="51.95" customHeight="1">
      <c r="A1315" s="5">
        <v>0</v>
      </c>
      <c r="B1315" s="6" t="s">
        <v>8313</v>
      </c>
      <c r="C1315" s="13">
        <v>1522</v>
      </c>
      <c r="D1315" s="8" t="s">
        <v>8314</v>
      </c>
      <c r="E1315" s="8" t="s">
        <v>8315</v>
      </c>
      <c r="F1315" s="8" t="s">
        <v>8316</v>
      </c>
      <c r="G1315" s="6" t="s">
        <v>52</v>
      </c>
      <c r="H1315" s="6" t="s">
        <v>53</v>
      </c>
      <c r="I1315" s="8" t="s">
        <v>782</v>
      </c>
      <c r="J1315" s="9">
        <v>1</v>
      </c>
      <c r="K1315" s="9">
        <v>249</v>
      </c>
      <c r="L1315" s="9">
        <v>2024</v>
      </c>
      <c r="M1315" s="8" t="s">
        <v>8317</v>
      </c>
      <c r="N1315" s="8" t="s">
        <v>41</v>
      </c>
      <c r="O1315" s="8" t="s">
        <v>1007</v>
      </c>
      <c r="P1315" s="6" t="s">
        <v>167</v>
      </c>
      <c r="Q1315" s="8" t="s">
        <v>58</v>
      </c>
      <c r="R1315" s="10" t="s">
        <v>8318</v>
      </c>
      <c r="S1315" s="11" t="s">
        <v>8319</v>
      </c>
      <c r="T1315" s="6"/>
      <c r="U1315" s="24" t="str">
        <f>HYPERLINK("https://media.infra-m.ru/2125/2125188/cover/2125188.jpg", "Обложка")</f>
        <v>Обложка</v>
      </c>
      <c r="V1315" s="12"/>
      <c r="W1315" s="8" t="s">
        <v>784</v>
      </c>
      <c r="X1315" s="6"/>
      <c r="Y1315" s="6"/>
      <c r="Z1315" s="6"/>
      <c r="AA1315" s="6" t="s">
        <v>133</v>
      </c>
      <c r="AB1315" s="8"/>
    </row>
    <row r="1316" spans="1:28" s="4" customFormat="1" ht="51.95" customHeight="1">
      <c r="A1316" s="5">
        <v>0</v>
      </c>
      <c r="B1316" s="6" t="s">
        <v>8320</v>
      </c>
      <c r="C1316" s="13">
        <v>1880</v>
      </c>
      <c r="D1316" s="8" t="s">
        <v>8321</v>
      </c>
      <c r="E1316" s="8" t="s">
        <v>8322</v>
      </c>
      <c r="F1316" s="8" t="s">
        <v>8323</v>
      </c>
      <c r="G1316" s="6" t="s">
        <v>89</v>
      </c>
      <c r="H1316" s="6" t="s">
        <v>53</v>
      </c>
      <c r="I1316" s="8" t="s">
        <v>116</v>
      </c>
      <c r="J1316" s="9">
        <v>1</v>
      </c>
      <c r="K1316" s="9">
        <v>369</v>
      </c>
      <c r="L1316" s="9">
        <v>2025</v>
      </c>
      <c r="M1316" s="8" t="s">
        <v>8324</v>
      </c>
      <c r="N1316" s="8" t="s">
        <v>41</v>
      </c>
      <c r="O1316" s="8" t="s">
        <v>1204</v>
      </c>
      <c r="P1316" s="6" t="s">
        <v>43</v>
      </c>
      <c r="Q1316" s="8" t="s">
        <v>279</v>
      </c>
      <c r="R1316" s="10" t="s">
        <v>8325</v>
      </c>
      <c r="S1316" s="11" t="s">
        <v>8326</v>
      </c>
      <c r="T1316" s="6"/>
      <c r="U1316" s="24" t="str">
        <f>HYPERLINK("https://media.infra-m.ru/2191/2191267/cover/2191267.jpg", "Обложка")</f>
        <v>Обложка</v>
      </c>
      <c r="V1316" s="24" t="str">
        <f>HYPERLINK("https://znanium.ru/catalog/product/2191267", "Ознакомиться")</f>
        <v>Ознакомиться</v>
      </c>
      <c r="W1316" s="8" t="s">
        <v>8327</v>
      </c>
      <c r="X1316" s="6"/>
      <c r="Y1316" s="6"/>
      <c r="Z1316" s="6"/>
      <c r="AA1316" s="6" t="s">
        <v>1374</v>
      </c>
      <c r="AB1316" s="8"/>
    </row>
    <row r="1317" spans="1:28" s="4" customFormat="1" ht="51.95" customHeight="1">
      <c r="A1317" s="5">
        <v>0</v>
      </c>
      <c r="B1317" s="6" t="s">
        <v>8328</v>
      </c>
      <c r="C1317" s="13">
        <v>1770</v>
      </c>
      <c r="D1317" s="8" t="s">
        <v>8329</v>
      </c>
      <c r="E1317" s="8" t="s">
        <v>8330</v>
      </c>
      <c r="F1317" s="8" t="s">
        <v>8331</v>
      </c>
      <c r="G1317" s="6" t="s">
        <v>89</v>
      </c>
      <c r="H1317" s="6" t="s">
        <v>53</v>
      </c>
      <c r="I1317" s="8" t="s">
        <v>116</v>
      </c>
      <c r="J1317" s="9">
        <v>1</v>
      </c>
      <c r="K1317" s="9">
        <v>384</v>
      </c>
      <c r="L1317" s="9">
        <v>2024</v>
      </c>
      <c r="M1317" s="8" t="s">
        <v>8332</v>
      </c>
      <c r="N1317" s="8" t="s">
        <v>41</v>
      </c>
      <c r="O1317" s="8" t="s">
        <v>4035</v>
      </c>
      <c r="P1317" s="6" t="s">
        <v>43</v>
      </c>
      <c r="Q1317" s="8" t="s">
        <v>44</v>
      </c>
      <c r="R1317" s="10" t="s">
        <v>8333</v>
      </c>
      <c r="S1317" s="11" t="s">
        <v>8334</v>
      </c>
      <c r="T1317" s="6"/>
      <c r="U1317" s="24" t="str">
        <f>HYPERLINK("https://media.infra-m.ru/2110/2110950/cover/2110950.jpg", "Обложка")</f>
        <v>Обложка</v>
      </c>
      <c r="V1317" s="24" t="str">
        <f>HYPERLINK("https://znanium.ru/catalog/product/2110950", "Ознакомиться")</f>
        <v>Ознакомиться</v>
      </c>
      <c r="W1317" s="8" t="s">
        <v>8335</v>
      </c>
      <c r="X1317" s="6"/>
      <c r="Y1317" s="6"/>
      <c r="Z1317" s="6"/>
      <c r="AA1317" s="6" t="s">
        <v>793</v>
      </c>
      <c r="AB1317" s="8"/>
    </row>
    <row r="1318" spans="1:28" s="4" customFormat="1" ht="51.95" customHeight="1">
      <c r="A1318" s="5">
        <v>0</v>
      </c>
      <c r="B1318" s="6" t="s">
        <v>8336</v>
      </c>
      <c r="C1318" s="7">
        <v>640</v>
      </c>
      <c r="D1318" s="8" t="s">
        <v>8337</v>
      </c>
      <c r="E1318" s="8" t="s">
        <v>8338</v>
      </c>
      <c r="F1318" s="8" t="s">
        <v>8323</v>
      </c>
      <c r="G1318" s="6" t="s">
        <v>89</v>
      </c>
      <c r="H1318" s="6" t="s">
        <v>77</v>
      </c>
      <c r="I1318" s="8" t="s">
        <v>77</v>
      </c>
      <c r="J1318" s="9">
        <v>1</v>
      </c>
      <c r="K1318" s="9">
        <v>200</v>
      </c>
      <c r="L1318" s="9">
        <v>2018</v>
      </c>
      <c r="M1318" s="8" t="s">
        <v>8339</v>
      </c>
      <c r="N1318" s="8" t="s">
        <v>41</v>
      </c>
      <c r="O1318" s="8" t="s">
        <v>1204</v>
      </c>
      <c r="P1318" s="6" t="s">
        <v>43</v>
      </c>
      <c r="Q1318" s="8" t="s">
        <v>44</v>
      </c>
      <c r="R1318" s="10" t="s">
        <v>8325</v>
      </c>
      <c r="S1318" s="11" t="s">
        <v>8340</v>
      </c>
      <c r="T1318" s="6"/>
      <c r="U1318" s="24" t="str">
        <f>HYPERLINK("https://media.infra-m.ru/0980/0980401/cover/980401.jpg", "Обложка")</f>
        <v>Обложка</v>
      </c>
      <c r="V1318" s="24" t="str">
        <f>HYPERLINK("https://znanium.ru/catalog/product/2191267", "Ознакомиться")</f>
        <v>Ознакомиться</v>
      </c>
      <c r="W1318" s="8" t="s">
        <v>8327</v>
      </c>
      <c r="X1318" s="6"/>
      <c r="Y1318" s="6"/>
      <c r="Z1318" s="6"/>
      <c r="AA1318" s="6" t="s">
        <v>122</v>
      </c>
      <c r="AB1318" s="8"/>
    </row>
    <row r="1319" spans="1:28" s="4" customFormat="1" ht="51.95" customHeight="1">
      <c r="A1319" s="5">
        <v>0</v>
      </c>
      <c r="B1319" s="6" t="s">
        <v>8341</v>
      </c>
      <c r="C1319" s="13">
        <v>1990</v>
      </c>
      <c r="D1319" s="8" t="s">
        <v>8342</v>
      </c>
      <c r="E1319" s="8" t="s">
        <v>8343</v>
      </c>
      <c r="F1319" s="8" t="s">
        <v>8344</v>
      </c>
      <c r="G1319" s="6" t="s">
        <v>89</v>
      </c>
      <c r="H1319" s="6" t="s">
        <v>674</v>
      </c>
      <c r="I1319" s="8"/>
      <c r="J1319" s="9">
        <v>1</v>
      </c>
      <c r="K1319" s="9">
        <v>448</v>
      </c>
      <c r="L1319" s="9">
        <v>2024</v>
      </c>
      <c r="M1319" s="8" t="s">
        <v>8345</v>
      </c>
      <c r="N1319" s="8" t="s">
        <v>41</v>
      </c>
      <c r="O1319" s="8" t="s">
        <v>676</v>
      </c>
      <c r="P1319" s="6" t="s">
        <v>167</v>
      </c>
      <c r="Q1319" s="8" t="s">
        <v>58</v>
      </c>
      <c r="R1319" s="10" t="s">
        <v>806</v>
      </c>
      <c r="S1319" s="11"/>
      <c r="T1319" s="6"/>
      <c r="U1319" s="24" t="str">
        <f>HYPERLINK("https://media.infra-m.ru/2136/2136696/cover/2136696.jpg", "Обложка")</f>
        <v>Обложка</v>
      </c>
      <c r="V1319" s="24" t="str">
        <f>HYPERLINK("https://znanium.ru/catalog/product/2136696", "Ознакомиться")</f>
        <v>Ознакомиться</v>
      </c>
      <c r="W1319" s="8" t="s">
        <v>852</v>
      </c>
      <c r="X1319" s="6" t="s">
        <v>3761</v>
      </c>
      <c r="Y1319" s="6"/>
      <c r="Z1319" s="6"/>
      <c r="AA1319" s="6" t="s">
        <v>133</v>
      </c>
      <c r="AB1319" s="8"/>
    </row>
    <row r="1320" spans="1:28" s="4" customFormat="1" ht="42" customHeight="1">
      <c r="A1320" s="5">
        <v>0</v>
      </c>
      <c r="B1320" s="6" t="s">
        <v>8346</v>
      </c>
      <c r="C1320" s="13">
        <v>1612</v>
      </c>
      <c r="D1320" s="8" t="s">
        <v>8347</v>
      </c>
      <c r="E1320" s="8" t="s">
        <v>8348</v>
      </c>
      <c r="F1320" s="8" t="s">
        <v>8349</v>
      </c>
      <c r="G1320" s="6" t="s">
        <v>52</v>
      </c>
      <c r="H1320" s="6" t="s">
        <v>53</v>
      </c>
      <c r="I1320" s="8" t="s">
        <v>165</v>
      </c>
      <c r="J1320" s="9">
        <v>1</v>
      </c>
      <c r="K1320" s="9">
        <v>267</v>
      </c>
      <c r="L1320" s="9">
        <v>2024</v>
      </c>
      <c r="M1320" s="8" t="s">
        <v>8350</v>
      </c>
      <c r="N1320" s="8" t="s">
        <v>79</v>
      </c>
      <c r="O1320" s="8" t="s">
        <v>80</v>
      </c>
      <c r="P1320" s="6" t="s">
        <v>43</v>
      </c>
      <c r="Q1320" s="8" t="s">
        <v>58</v>
      </c>
      <c r="R1320" s="10" t="s">
        <v>8351</v>
      </c>
      <c r="S1320" s="11"/>
      <c r="T1320" s="6"/>
      <c r="U1320" s="24" t="str">
        <f>HYPERLINK("https://media.infra-m.ru/2084/2084342/cover/2084342.jpg", "Обложка")</f>
        <v>Обложка</v>
      </c>
      <c r="V1320" s="24" t="str">
        <f>HYPERLINK("https://znanium.ru/catalog/product/2084342", "Ознакомиться")</f>
        <v>Ознакомиться</v>
      </c>
      <c r="W1320" s="8" t="s">
        <v>399</v>
      </c>
      <c r="X1320" s="6"/>
      <c r="Y1320" s="6"/>
      <c r="Z1320" s="6"/>
      <c r="AA1320" s="6" t="s">
        <v>133</v>
      </c>
      <c r="AB1320" s="8"/>
    </row>
    <row r="1321" spans="1:28" s="4" customFormat="1" ht="51.95" customHeight="1">
      <c r="A1321" s="5">
        <v>0</v>
      </c>
      <c r="B1321" s="6" t="s">
        <v>8352</v>
      </c>
      <c r="C1321" s="13">
        <v>1070</v>
      </c>
      <c r="D1321" s="8" t="s">
        <v>8353</v>
      </c>
      <c r="E1321" s="8" t="s">
        <v>8354</v>
      </c>
      <c r="F1321" s="8" t="s">
        <v>8355</v>
      </c>
      <c r="G1321" s="6" t="s">
        <v>89</v>
      </c>
      <c r="H1321" s="6" t="s">
        <v>53</v>
      </c>
      <c r="I1321" s="8" t="s">
        <v>116</v>
      </c>
      <c r="J1321" s="9">
        <v>1</v>
      </c>
      <c r="K1321" s="9">
        <v>232</v>
      </c>
      <c r="L1321" s="9">
        <v>2024</v>
      </c>
      <c r="M1321" s="8" t="s">
        <v>8356</v>
      </c>
      <c r="N1321" s="8" t="s">
        <v>997</v>
      </c>
      <c r="O1321" s="8" t="s">
        <v>998</v>
      </c>
      <c r="P1321" s="6" t="s">
        <v>167</v>
      </c>
      <c r="Q1321" s="8" t="s">
        <v>44</v>
      </c>
      <c r="R1321" s="10" t="s">
        <v>8357</v>
      </c>
      <c r="S1321" s="11" t="s">
        <v>8358</v>
      </c>
      <c r="T1321" s="6"/>
      <c r="U1321" s="24" t="str">
        <f>HYPERLINK("https://media.infra-m.ru/2102/2102681/cover/2102681.jpg", "Обложка")</f>
        <v>Обложка</v>
      </c>
      <c r="V1321" s="24" t="str">
        <f>HYPERLINK("https://znanium.ru/catalog/product/2102681", "Ознакомиться")</f>
        <v>Ознакомиться</v>
      </c>
      <c r="W1321" s="8" t="s">
        <v>4838</v>
      </c>
      <c r="X1321" s="6"/>
      <c r="Y1321" s="6"/>
      <c r="Z1321" s="6"/>
      <c r="AA1321" s="6" t="s">
        <v>1259</v>
      </c>
      <c r="AB1321" s="8"/>
    </row>
    <row r="1322" spans="1:28" s="4" customFormat="1" ht="51.95" customHeight="1">
      <c r="A1322" s="5">
        <v>0</v>
      </c>
      <c r="B1322" s="6" t="s">
        <v>8359</v>
      </c>
      <c r="C1322" s="13">
        <v>1160</v>
      </c>
      <c r="D1322" s="8" t="s">
        <v>8360</v>
      </c>
      <c r="E1322" s="8" t="s">
        <v>8354</v>
      </c>
      <c r="F1322" s="8" t="s">
        <v>8355</v>
      </c>
      <c r="G1322" s="6" t="s">
        <v>89</v>
      </c>
      <c r="H1322" s="6" t="s">
        <v>53</v>
      </c>
      <c r="I1322" s="8" t="s">
        <v>100</v>
      </c>
      <c r="J1322" s="9">
        <v>1</v>
      </c>
      <c r="K1322" s="9">
        <v>232</v>
      </c>
      <c r="L1322" s="9">
        <v>2025</v>
      </c>
      <c r="M1322" s="8" t="s">
        <v>8361</v>
      </c>
      <c r="N1322" s="8" t="s">
        <v>997</v>
      </c>
      <c r="O1322" s="8" t="s">
        <v>998</v>
      </c>
      <c r="P1322" s="6" t="s">
        <v>167</v>
      </c>
      <c r="Q1322" s="8" t="s">
        <v>102</v>
      </c>
      <c r="R1322" s="10" t="s">
        <v>8362</v>
      </c>
      <c r="S1322" s="11" t="s">
        <v>8363</v>
      </c>
      <c r="T1322" s="6"/>
      <c r="U1322" s="24" t="str">
        <f>HYPERLINK("https://media.infra-m.ru/2170/2170394/cover/2170394.jpg", "Обложка")</f>
        <v>Обложка</v>
      </c>
      <c r="V1322" s="24" t="str">
        <f>HYPERLINK("https://znanium.ru/catalog/product/2170394", "Ознакомиться")</f>
        <v>Ознакомиться</v>
      </c>
      <c r="W1322" s="8" t="s">
        <v>4838</v>
      </c>
      <c r="X1322" s="6"/>
      <c r="Y1322" s="6"/>
      <c r="Z1322" s="6" t="s">
        <v>104</v>
      </c>
      <c r="AA1322" s="6" t="s">
        <v>95</v>
      </c>
      <c r="AB1322" s="8"/>
    </row>
    <row r="1323" spans="1:28" s="4" customFormat="1" ht="51.95" customHeight="1">
      <c r="A1323" s="5">
        <v>0</v>
      </c>
      <c r="B1323" s="6" t="s">
        <v>8364</v>
      </c>
      <c r="C1323" s="13">
        <v>2530</v>
      </c>
      <c r="D1323" s="8" t="s">
        <v>8365</v>
      </c>
      <c r="E1323" s="8" t="s">
        <v>8366</v>
      </c>
      <c r="F1323" s="8" t="s">
        <v>8367</v>
      </c>
      <c r="G1323" s="6" t="s">
        <v>52</v>
      </c>
      <c r="H1323" s="6" t="s">
        <v>53</v>
      </c>
      <c r="I1323" s="8" t="s">
        <v>116</v>
      </c>
      <c r="J1323" s="9">
        <v>1</v>
      </c>
      <c r="K1323" s="9">
        <v>549</v>
      </c>
      <c r="L1323" s="9">
        <v>2024</v>
      </c>
      <c r="M1323" s="8" t="s">
        <v>8368</v>
      </c>
      <c r="N1323" s="8" t="s">
        <v>79</v>
      </c>
      <c r="O1323" s="8" t="s">
        <v>80</v>
      </c>
      <c r="P1323" s="6" t="s">
        <v>167</v>
      </c>
      <c r="Q1323" s="8" t="s">
        <v>44</v>
      </c>
      <c r="R1323" s="10" t="s">
        <v>4159</v>
      </c>
      <c r="S1323" s="11" t="s">
        <v>1599</v>
      </c>
      <c r="T1323" s="6"/>
      <c r="U1323" s="24" t="str">
        <f>HYPERLINK("https://media.infra-m.ru/2141/2141019/cover/2141019.jpg", "Обложка")</f>
        <v>Обложка</v>
      </c>
      <c r="V1323" s="24" t="str">
        <f>HYPERLINK("https://znanium.ru/catalog/product/2141019", "Ознакомиться")</f>
        <v>Ознакомиться</v>
      </c>
      <c r="W1323" s="8" t="s">
        <v>8369</v>
      </c>
      <c r="X1323" s="6"/>
      <c r="Y1323" s="6"/>
      <c r="Z1323" s="6"/>
      <c r="AA1323" s="6" t="s">
        <v>151</v>
      </c>
      <c r="AB1323" s="8"/>
    </row>
    <row r="1324" spans="1:28" s="4" customFormat="1" ht="42" customHeight="1">
      <c r="A1324" s="5">
        <v>0</v>
      </c>
      <c r="B1324" s="6" t="s">
        <v>8370</v>
      </c>
      <c r="C1324" s="7">
        <v>570</v>
      </c>
      <c r="D1324" s="8" t="s">
        <v>8371</v>
      </c>
      <c r="E1324" s="8" t="s">
        <v>8372</v>
      </c>
      <c r="F1324" s="8" t="s">
        <v>8373</v>
      </c>
      <c r="G1324" s="6" t="s">
        <v>38</v>
      </c>
      <c r="H1324" s="6" t="s">
        <v>53</v>
      </c>
      <c r="I1324" s="8" t="s">
        <v>116</v>
      </c>
      <c r="J1324" s="9">
        <v>1</v>
      </c>
      <c r="K1324" s="9">
        <v>124</v>
      </c>
      <c r="L1324" s="9">
        <v>2024</v>
      </c>
      <c r="M1324" s="8" t="s">
        <v>8374</v>
      </c>
      <c r="N1324" s="8" t="s">
        <v>997</v>
      </c>
      <c r="O1324" s="8" t="s">
        <v>998</v>
      </c>
      <c r="P1324" s="6" t="s">
        <v>175</v>
      </c>
      <c r="Q1324" s="8" t="s">
        <v>44</v>
      </c>
      <c r="R1324" s="10" t="s">
        <v>8375</v>
      </c>
      <c r="S1324" s="11"/>
      <c r="T1324" s="6" t="s">
        <v>299</v>
      </c>
      <c r="U1324" s="24" t="str">
        <f>HYPERLINK("https://media.infra-m.ru/2103/2103731/cover/2103731.jpg", "Обложка")</f>
        <v>Обложка</v>
      </c>
      <c r="V1324" s="24" t="str">
        <f>HYPERLINK("https://znanium.ru/catalog/product/2103731", "Ознакомиться")</f>
        <v>Ознакомиться</v>
      </c>
      <c r="W1324" s="8" t="s">
        <v>1076</v>
      </c>
      <c r="X1324" s="6"/>
      <c r="Y1324" s="6"/>
      <c r="Z1324" s="6"/>
      <c r="AA1324" s="6" t="s">
        <v>84</v>
      </c>
      <c r="AB1324" s="8"/>
    </row>
    <row r="1325" spans="1:28" s="4" customFormat="1" ht="51.95" customHeight="1">
      <c r="A1325" s="5">
        <v>0</v>
      </c>
      <c r="B1325" s="6" t="s">
        <v>8376</v>
      </c>
      <c r="C1325" s="13">
        <v>1990</v>
      </c>
      <c r="D1325" s="8" t="s">
        <v>8377</v>
      </c>
      <c r="E1325" s="8" t="s">
        <v>8378</v>
      </c>
      <c r="F1325" s="8" t="s">
        <v>8379</v>
      </c>
      <c r="G1325" s="6" t="s">
        <v>89</v>
      </c>
      <c r="H1325" s="6" t="s">
        <v>53</v>
      </c>
      <c r="I1325" s="8" t="s">
        <v>100</v>
      </c>
      <c r="J1325" s="9">
        <v>1</v>
      </c>
      <c r="K1325" s="9">
        <v>383</v>
      </c>
      <c r="L1325" s="9">
        <v>2025</v>
      </c>
      <c r="M1325" s="8" t="s">
        <v>8380</v>
      </c>
      <c r="N1325" s="8" t="s">
        <v>41</v>
      </c>
      <c r="O1325" s="8" t="s">
        <v>278</v>
      </c>
      <c r="P1325" s="6" t="s">
        <v>167</v>
      </c>
      <c r="Q1325" s="8" t="s">
        <v>102</v>
      </c>
      <c r="R1325" s="10" t="s">
        <v>2779</v>
      </c>
      <c r="S1325" s="11" t="s">
        <v>8381</v>
      </c>
      <c r="T1325" s="6"/>
      <c r="U1325" s="24" t="str">
        <f>HYPERLINK("https://media.infra-m.ru/2157/2157600/cover/2157600.jpg", "Обложка")</f>
        <v>Обложка</v>
      </c>
      <c r="V1325" s="24" t="str">
        <f>HYPERLINK("https://znanium.ru/catalog/product/2157600", "Ознакомиться")</f>
        <v>Ознакомиться</v>
      </c>
      <c r="W1325" s="8" t="s">
        <v>744</v>
      </c>
      <c r="X1325" s="6"/>
      <c r="Y1325" s="6"/>
      <c r="Z1325" s="6" t="s">
        <v>104</v>
      </c>
      <c r="AA1325" s="6" t="s">
        <v>151</v>
      </c>
      <c r="AB1325" s="8"/>
    </row>
    <row r="1326" spans="1:28" s="4" customFormat="1" ht="51.95" customHeight="1">
      <c r="A1326" s="5">
        <v>0</v>
      </c>
      <c r="B1326" s="6" t="s">
        <v>8382</v>
      </c>
      <c r="C1326" s="13">
        <v>1780</v>
      </c>
      <c r="D1326" s="8" t="s">
        <v>8383</v>
      </c>
      <c r="E1326" s="8" t="s">
        <v>8378</v>
      </c>
      <c r="F1326" s="8" t="s">
        <v>8384</v>
      </c>
      <c r="G1326" s="6" t="s">
        <v>89</v>
      </c>
      <c r="H1326" s="6" t="s">
        <v>53</v>
      </c>
      <c r="I1326" s="8" t="s">
        <v>116</v>
      </c>
      <c r="J1326" s="9">
        <v>1</v>
      </c>
      <c r="K1326" s="9">
        <v>383</v>
      </c>
      <c r="L1326" s="9">
        <v>2024</v>
      </c>
      <c r="M1326" s="8" t="s">
        <v>8385</v>
      </c>
      <c r="N1326" s="8" t="s">
        <v>41</v>
      </c>
      <c r="O1326" s="8" t="s">
        <v>278</v>
      </c>
      <c r="P1326" s="6" t="s">
        <v>167</v>
      </c>
      <c r="Q1326" s="8" t="s">
        <v>44</v>
      </c>
      <c r="R1326" s="10" t="s">
        <v>8386</v>
      </c>
      <c r="S1326" s="11" t="s">
        <v>8387</v>
      </c>
      <c r="T1326" s="6"/>
      <c r="U1326" s="24" t="str">
        <f>HYPERLINK("https://media.infra-m.ru/2086/2086804/cover/2086804.jpg", "Обложка")</f>
        <v>Обложка</v>
      </c>
      <c r="V1326" s="24" t="str">
        <f>HYPERLINK("https://znanium.ru/catalog/product/2086804", "Ознакомиться")</f>
        <v>Ознакомиться</v>
      </c>
      <c r="W1326" s="8" t="s">
        <v>744</v>
      </c>
      <c r="X1326" s="6"/>
      <c r="Y1326" s="6"/>
      <c r="Z1326" s="6"/>
      <c r="AA1326" s="6" t="s">
        <v>122</v>
      </c>
      <c r="AB1326" s="8"/>
    </row>
    <row r="1327" spans="1:28" s="4" customFormat="1" ht="44.1" customHeight="1">
      <c r="A1327" s="5">
        <v>0</v>
      </c>
      <c r="B1327" s="6" t="s">
        <v>8388</v>
      </c>
      <c r="C1327" s="13">
        <v>1020</v>
      </c>
      <c r="D1327" s="8" t="s">
        <v>8389</v>
      </c>
      <c r="E1327" s="8" t="s">
        <v>8390</v>
      </c>
      <c r="F1327" s="8" t="s">
        <v>8391</v>
      </c>
      <c r="G1327" s="6" t="s">
        <v>89</v>
      </c>
      <c r="H1327" s="6" t="s">
        <v>53</v>
      </c>
      <c r="I1327" s="8" t="s">
        <v>116</v>
      </c>
      <c r="J1327" s="9">
        <v>1</v>
      </c>
      <c r="K1327" s="9">
        <v>191</v>
      </c>
      <c r="L1327" s="9">
        <v>2025</v>
      </c>
      <c r="M1327" s="8" t="s">
        <v>8392</v>
      </c>
      <c r="N1327" s="8" t="s">
        <v>79</v>
      </c>
      <c r="O1327" s="8" t="s">
        <v>80</v>
      </c>
      <c r="P1327" s="6" t="s">
        <v>167</v>
      </c>
      <c r="Q1327" s="8" t="s">
        <v>58</v>
      </c>
      <c r="R1327" s="10" t="s">
        <v>8393</v>
      </c>
      <c r="S1327" s="11"/>
      <c r="T1327" s="6"/>
      <c r="U1327" s="24" t="str">
        <f>HYPERLINK("https://media.infra-m.ru/2178/2178286/cover/2178286.jpg", "Обложка")</f>
        <v>Обложка</v>
      </c>
      <c r="V1327" s="24" t="str">
        <f>HYPERLINK("https://znanium.ru/catalog/product/2178286", "Ознакомиться")</f>
        <v>Ознакомиться</v>
      </c>
      <c r="W1327" s="8" t="s">
        <v>3002</v>
      </c>
      <c r="X1327" s="6"/>
      <c r="Y1327" s="6"/>
      <c r="Z1327" s="6"/>
      <c r="AA1327" s="6" t="s">
        <v>133</v>
      </c>
      <c r="AB1327" s="8"/>
    </row>
    <row r="1328" spans="1:28" s="4" customFormat="1" ht="42" customHeight="1">
      <c r="A1328" s="5">
        <v>0</v>
      </c>
      <c r="B1328" s="6" t="s">
        <v>8394</v>
      </c>
      <c r="C1328" s="13">
        <v>2567</v>
      </c>
      <c r="D1328" s="8" t="s">
        <v>8395</v>
      </c>
      <c r="E1328" s="8" t="s">
        <v>8396</v>
      </c>
      <c r="F1328" s="8" t="s">
        <v>8397</v>
      </c>
      <c r="G1328" s="6" t="s">
        <v>52</v>
      </c>
      <c r="H1328" s="6" t="s">
        <v>77</v>
      </c>
      <c r="I1328" s="8"/>
      <c r="J1328" s="9">
        <v>1</v>
      </c>
      <c r="K1328" s="9">
        <v>462</v>
      </c>
      <c r="L1328" s="9">
        <v>2024</v>
      </c>
      <c r="M1328" s="8" t="s">
        <v>8398</v>
      </c>
      <c r="N1328" s="8" t="s">
        <v>79</v>
      </c>
      <c r="O1328" s="8" t="s">
        <v>80</v>
      </c>
      <c r="P1328" s="6" t="s">
        <v>43</v>
      </c>
      <c r="Q1328" s="8" t="s">
        <v>44</v>
      </c>
      <c r="R1328" s="10" t="s">
        <v>157</v>
      </c>
      <c r="S1328" s="11"/>
      <c r="T1328" s="6"/>
      <c r="U1328" s="24" t="str">
        <f>HYPERLINK("https://media.infra-m.ru/2102/2102176/cover/2102176.jpg", "Обложка")</f>
        <v>Обложка</v>
      </c>
      <c r="V1328" s="24" t="str">
        <f>HYPERLINK("https://znanium.ru/catalog/product/2102176", "Ознакомиться")</f>
        <v>Ознакомиться</v>
      </c>
      <c r="W1328" s="8" t="s">
        <v>83</v>
      </c>
      <c r="X1328" s="6"/>
      <c r="Y1328" s="6"/>
      <c r="Z1328" s="6"/>
      <c r="AA1328" s="6" t="s">
        <v>122</v>
      </c>
      <c r="AB1328" s="8"/>
    </row>
    <row r="1329" spans="1:28" s="4" customFormat="1" ht="51.95" customHeight="1">
      <c r="A1329" s="5">
        <v>0</v>
      </c>
      <c r="B1329" s="6" t="s">
        <v>8399</v>
      </c>
      <c r="C1329" s="13">
        <v>1094</v>
      </c>
      <c r="D1329" s="8" t="s">
        <v>8400</v>
      </c>
      <c r="E1329" s="8" t="s">
        <v>8401</v>
      </c>
      <c r="F1329" s="8" t="s">
        <v>8402</v>
      </c>
      <c r="G1329" s="6" t="s">
        <v>52</v>
      </c>
      <c r="H1329" s="6" t="s">
        <v>53</v>
      </c>
      <c r="I1329" s="8" t="s">
        <v>90</v>
      </c>
      <c r="J1329" s="9">
        <v>1</v>
      </c>
      <c r="K1329" s="9">
        <v>234</v>
      </c>
      <c r="L1329" s="9">
        <v>2024</v>
      </c>
      <c r="M1329" s="8" t="s">
        <v>8403</v>
      </c>
      <c r="N1329" s="8" t="s">
        <v>79</v>
      </c>
      <c r="O1329" s="8" t="s">
        <v>80</v>
      </c>
      <c r="P1329" s="6" t="s">
        <v>43</v>
      </c>
      <c r="Q1329" s="8" t="s">
        <v>44</v>
      </c>
      <c r="R1329" s="10" t="s">
        <v>8404</v>
      </c>
      <c r="S1329" s="11" t="s">
        <v>4943</v>
      </c>
      <c r="T1329" s="6"/>
      <c r="U1329" s="24" t="str">
        <f>HYPERLINK("https://media.infra-m.ru/2144/2144049/cover/2144049.jpg", "Обложка")</f>
        <v>Обложка</v>
      </c>
      <c r="V1329" s="24" t="str">
        <f>HYPERLINK("https://znanium.ru/catalog/product/1669591", "Ознакомиться")</f>
        <v>Ознакомиться</v>
      </c>
      <c r="W1329" s="8" t="s">
        <v>83</v>
      </c>
      <c r="X1329" s="6"/>
      <c r="Y1329" s="6"/>
      <c r="Z1329" s="6"/>
      <c r="AA1329" s="6" t="s">
        <v>2217</v>
      </c>
      <c r="AB1329" s="8"/>
    </row>
    <row r="1330" spans="1:28" s="4" customFormat="1" ht="51.95" customHeight="1">
      <c r="A1330" s="5">
        <v>0</v>
      </c>
      <c r="B1330" s="6" t="s">
        <v>8405</v>
      </c>
      <c r="C1330" s="13">
        <v>1844</v>
      </c>
      <c r="D1330" s="8" t="s">
        <v>8406</v>
      </c>
      <c r="E1330" s="8" t="s">
        <v>8407</v>
      </c>
      <c r="F1330" s="8" t="s">
        <v>2635</v>
      </c>
      <c r="G1330" s="6" t="s">
        <v>89</v>
      </c>
      <c r="H1330" s="6" t="s">
        <v>39</v>
      </c>
      <c r="I1330" s="8" t="s">
        <v>100</v>
      </c>
      <c r="J1330" s="9">
        <v>1</v>
      </c>
      <c r="K1330" s="9">
        <v>400</v>
      </c>
      <c r="L1330" s="9">
        <v>2024</v>
      </c>
      <c r="M1330" s="8" t="s">
        <v>8408</v>
      </c>
      <c r="N1330" s="8" t="s">
        <v>79</v>
      </c>
      <c r="O1330" s="8" t="s">
        <v>80</v>
      </c>
      <c r="P1330" s="6" t="s">
        <v>43</v>
      </c>
      <c r="Q1330" s="8" t="s">
        <v>102</v>
      </c>
      <c r="R1330" s="10" t="s">
        <v>8409</v>
      </c>
      <c r="S1330" s="11" t="s">
        <v>2542</v>
      </c>
      <c r="T1330" s="6"/>
      <c r="U1330" s="24" t="str">
        <f>HYPERLINK("https://media.infra-m.ru/2104/2104819/cover/2104819.jpg", "Обложка")</f>
        <v>Обложка</v>
      </c>
      <c r="V1330" s="24" t="str">
        <f>HYPERLINK("https://znanium.ru/catalog/product/2013719", "Ознакомиться")</f>
        <v>Ознакомиться</v>
      </c>
      <c r="W1330" s="8" t="s">
        <v>2201</v>
      </c>
      <c r="X1330" s="6"/>
      <c r="Y1330" s="6"/>
      <c r="Z1330" s="6" t="s">
        <v>502</v>
      </c>
      <c r="AA1330" s="6" t="s">
        <v>258</v>
      </c>
      <c r="AB1330" s="8"/>
    </row>
    <row r="1331" spans="1:28" s="4" customFormat="1" ht="51.95" customHeight="1">
      <c r="A1331" s="5">
        <v>0</v>
      </c>
      <c r="B1331" s="6" t="s">
        <v>8410</v>
      </c>
      <c r="C1331" s="13">
        <v>1284</v>
      </c>
      <c r="D1331" s="8" t="s">
        <v>8411</v>
      </c>
      <c r="E1331" s="8" t="s">
        <v>8412</v>
      </c>
      <c r="F1331" s="8" t="s">
        <v>8413</v>
      </c>
      <c r="G1331" s="6" t="s">
        <v>89</v>
      </c>
      <c r="H1331" s="6" t="s">
        <v>53</v>
      </c>
      <c r="I1331" s="8" t="s">
        <v>100</v>
      </c>
      <c r="J1331" s="9">
        <v>1</v>
      </c>
      <c r="K1331" s="9">
        <v>284</v>
      </c>
      <c r="L1331" s="9">
        <v>2023</v>
      </c>
      <c r="M1331" s="8" t="s">
        <v>8414</v>
      </c>
      <c r="N1331" s="8" t="s">
        <v>79</v>
      </c>
      <c r="O1331" s="8" t="s">
        <v>537</v>
      </c>
      <c r="P1331" s="6" t="s">
        <v>43</v>
      </c>
      <c r="Q1331" s="8" t="s">
        <v>102</v>
      </c>
      <c r="R1331" s="10" t="s">
        <v>8415</v>
      </c>
      <c r="S1331" s="11" t="s">
        <v>8416</v>
      </c>
      <c r="T1331" s="6"/>
      <c r="U1331" s="24" t="str">
        <f>HYPERLINK("https://media.infra-m.ru/2045/2045996/cover/2045996.jpg", "Обложка")</f>
        <v>Обложка</v>
      </c>
      <c r="V1331" s="24" t="str">
        <f>HYPERLINK("https://znanium.ru/catalog/product/1045095", "Ознакомиться")</f>
        <v>Ознакомиться</v>
      </c>
      <c r="W1331" s="8" t="s">
        <v>399</v>
      </c>
      <c r="X1331" s="6"/>
      <c r="Y1331" s="6"/>
      <c r="Z1331" s="6" t="s">
        <v>104</v>
      </c>
      <c r="AA1331" s="6" t="s">
        <v>793</v>
      </c>
      <c r="AB1331" s="8"/>
    </row>
    <row r="1332" spans="1:28" s="4" customFormat="1" ht="51.95" customHeight="1">
      <c r="A1332" s="5">
        <v>0</v>
      </c>
      <c r="B1332" s="6" t="s">
        <v>8417</v>
      </c>
      <c r="C1332" s="13">
        <v>1310</v>
      </c>
      <c r="D1332" s="8" t="s">
        <v>8418</v>
      </c>
      <c r="E1332" s="8" t="s">
        <v>8412</v>
      </c>
      <c r="F1332" s="8" t="s">
        <v>8413</v>
      </c>
      <c r="G1332" s="6" t="s">
        <v>89</v>
      </c>
      <c r="H1332" s="6" t="s">
        <v>53</v>
      </c>
      <c r="I1332" s="8" t="s">
        <v>90</v>
      </c>
      <c r="J1332" s="9">
        <v>1</v>
      </c>
      <c r="K1332" s="9">
        <v>284</v>
      </c>
      <c r="L1332" s="9">
        <v>2023</v>
      </c>
      <c r="M1332" s="8" t="s">
        <v>8419</v>
      </c>
      <c r="N1332" s="8" t="s">
        <v>79</v>
      </c>
      <c r="O1332" s="8" t="s">
        <v>537</v>
      </c>
      <c r="P1332" s="6" t="s">
        <v>43</v>
      </c>
      <c r="Q1332" s="8" t="s">
        <v>44</v>
      </c>
      <c r="R1332" s="10" t="s">
        <v>8420</v>
      </c>
      <c r="S1332" s="11" t="s">
        <v>8421</v>
      </c>
      <c r="T1332" s="6"/>
      <c r="U1332" s="24" t="str">
        <f>HYPERLINK("https://media.infra-m.ru/2127/2127023/cover/2127023.jpg", "Обложка")</f>
        <v>Обложка</v>
      </c>
      <c r="V1332" s="24" t="str">
        <f>HYPERLINK("https://znanium.ru/catalog/product/2127023", "Ознакомиться")</f>
        <v>Ознакомиться</v>
      </c>
      <c r="W1332" s="8" t="s">
        <v>399</v>
      </c>
      <c r="X1332" s="6"/>
      <c r="Y1332" s="6"/>
      <c r="Z1332" s="6"/>
      <c r="AA1332" s="6" t="s">
        <v>151</v>
      </c>
      <c r="AB1332" s="8"/>
    </row>
    <row r="1333" spans="1:28" s="4" customFormat="1" ht="51.95" customHeight="1">
      <c r="A1333" s="5">
        <v>0</v>
      </c>
      <c r="B1333" s="6" t="s">
        <v>8422</v>
      </c>
      <c r="C1333" s="13">
        <v>1010</v>
      </c>
      <c r="D1333" s="8" t="s">
        <v>8423</v>
      </c>
      <c r="E1333" s="8" t="s">
        <v>8401</v>
      </c>
      <c r="F1333" s="8" t="s">
        <v>8424</v>
      </c>
      <c r="G1333" s="6" t="s">
        <v>89</v>
      </c>
      <c r="H1333" s="6" t="s">
        <v>53</v>
      </c>
      <c r="I1333" s="8" t="s">
        <v>116</v>
      </c>
      <c r="J1333" s="9">
        <v>1</v>
      </c>
      <c r="K1333" s="9">
        <v>218</v>
      </c>
      <c r="L1333" s="9">
        <v>2024</v>
      </c>
      <c r="M1333" s="8" t="s">
        <v>8425</v>
      </c>
      <c r="N1333" s="8" t="s">
        <v>79</v>
      </c>
      <c r="O1333" s="8" t="s">
        <v>80</v>
      </c>
      <c r="P1333" s="6" t="s">
        <v>43</v>
      </c>
      <c r="Q1333" s="8" t="s">
        <v>44</v>
      </c>
      <c r="R1333" s="10" t="s">
        <v>8426</v>
      </c>
      <c r="S1333" s="11" t="s">
        <v>8427</v>
      </c>
      <c r="T1333" s="6"/>
      <c r="U1333" s="24" t="str">
        <f>HYPERLINK("https://media.infra-m.ru/2108/2108502/cover/2108502.jpg", "Обложка")</f>
        <v>Обложка</v>
      </c>
      <c r="V1333" s="24" t="str">
        <f>HYPERLINK("https://znanium.ru/catalog/product/2108502", "Ознакомиться")</f>
        <v>Ознакомиться</v>
      </c>
      <c r="W1333" s="8" t="s">
        <v>8428</v>
      </c>
      <c r="X1333" s="6"/>
      <c r="Y1333" s="6"/>
      <c r="Z1333" s="6"/>
      <c r="AA1333" s="6" t="s">
        <v>122</v>
      </c>
      <c r="AB1333" s="8"/>
    </row>
    <row r="1334" spans="1:28" s="4" customFormat="1" ht="51.95" customHeight="1">
      <c r="A1334" s="5">
        <v>0</v>
      </c>
      <c r="B1334" s="6" t="s">
        <v>8429</v>
      </c>
      <c r="C1334" s="13">
        <v>2700</v>
      </c>
      <c r="D1334" s="8" t="s">
        <v>8430</v>
      </c>
      <c r="E1334" s="8" t="s">
        <v>8431</v>
      </c>
      <c r="F1334" s="8" t="s">
        <v>8432</v>
      </c>
      <c r="G1334" s="6" t="s">
        <v>52</v>
      </c>
      <c r="H1334" s="6" t="s">
        <v>53</v>
      </c>
      <c r="I1334" s="8" t="s">
        <v>100</v>
      </c>
      <c r="J1334" s="9">
        <v>1</v>
      </c>
      <c r="K1334" s="9">
        <v>576</v>
      </c>
      <c r="L1334" s="9">
        <v>2024</v>
      </c>
      <c r="M1334" s="8" t="s">
        <v>8433</v>
      </c>
      <c r="N1334" s="8" t="s">
        <v>79</v>
      </c>
      <c r="O1334" s="8" t="s">
        <v>80</v>
      </c>
      <c r="P1334" s="6" t="s">
        <v>167</v>
      </c>
      <c r="Q1334" s="8" t="s">
        <v>102</v>
      </c>
      <c r="R1334" s="10" t="s">
        <v>8434</v>
      </c>
      <c r="S1334" s="11" t="s">
        <v>8435</v>
      </c>
      <c r="T1334" s="6"/>
      <c r="U1334" s="24" t="str">
        <f>HYPERLINK("https://media.infra-m.ru/2136/2136719/cover/2136719.jpg", "Обложка")</f>
        <v>Обложка</v>
      </c>
      <c r="V1334" s="24" t="str">
        <f>HYPERLINK("https://znanium.ru/catalog/product/2136719", "Ознакомиться")</f>
        <v>Ознакомиться</v>
      </c>
      <c r="W1334" s="8" t="s">
        <v>450</v>
      </c>
      <c r="X1334" s="6"/>
      <c r="Y1334" s="6"/>
      <c r="Z1334" s="6"/>
      <c r="AA1334" s="6" t="s">
        <v>793</v>
      </c>
      <c r="AB1334" s="8"/>
    </row>
    <row r="1335" spans="1:28" s="4" customFormat="1" ht="51.95" customHeight="1">
      <c r="A1335" s="5">
        <v>0</v>
      </c>
      <c r="B1335" s="6" t="s">
        <v>8436</v>
      </c>
      <c r="C1335" s="13">
        <v>2060</v>
      </c>
      <c r="D1335" s="8" t="s">
        <v>8437</v>
      </c>
      <c r="E1335" s="8" t="s">
        <v>8438</v>
      </c>
      <c r="F1335" s="8" t="s">
        <v>8432</v>
      </c>
      <c r="G1335" s="6" t="s">
        <v>52</v>
      </c>
      <c r="H1335" s="6" t="s">
        <v>53</v>
      </c>
      <c r="I1335" s="8" t="s">
        <v>100</v>
      </c>
      <c r="J1335" s="9">
        <v>1</v>
      </c>
      <c r="K1335" s="9">
        <v>439</v>
      </c>
      <c r="L1335" s="9">
        <v>2024</v>
      </c>
      <c r="M1335" s="8" t="s">
        <v>8439</v>
      </c>
      <c r="N1335" s="8" t="s">
        <v>79</v>
      </c>
      <c r="O1335" s="8" t="s">
        <v>80</v>
      </c>
      <c r="P1335" s="6" t="s">
        <v>167</v>
      </c>
      <c r="Q1335" s="8" t="s">
        <v>102</v>
      </c>
      <c r="R1335" s="10" t="s">
        <v>8440</v>
      </c>
      <c r="S1335" s="11" t="s">
        <v>8441</v>
      </c>
      <c r="T1335" s="6"/>
      <c r="U1335" s="24" t="str">
        <f>HYPERLINK("https://media.infra-m.ru/2136/2136721/cover/2136721.jpg", "Обложка")</f>
        <v>Обложка</v>
      </c>
      <c r="V1335" s="24" t="str">
        <f>HYPERLINK("https://znanium.ru/catalog/product/2136721", "Ознакомиться")</f>
        <v>Ознакомиться</v>
      </c>
      <c r="W1335" s="8" t="s">
        <v>450</v>
      </c>
      <c r="X1335" s="6"/>
      <c r="Y1335" s="6"/>
      <c r="Z1335" s="6"/>
      <c r="AA1335" s="6" t="s">
        <v>793</v>
      </c>
      <c r="AB1335" s="8"/>
    </row>
    <row r="1336" spans="1:28" s="4" customFormat="1" ht="51.95" customHeight="1">
      <c r="A1336" s="5">
        <v>0</v>
      </c>
      <c r="B1336" s="6" t="s">
        <v>8442</v>
      </c>
      <c r="C1336" s="13">
        <v>2584</v>
      </c>
      <c r="D1336" s="8" t="s">
        <v>8443</v>
      </c>
      <c r="E1336" s="8" t="s">
        <v>8444</v>
      </c>
      <c r="F1336" s="8" t="s">
        <v>8445</v>
      </c>
      <c r="G1336" s="6" t="s">
        <v>89</v>
      </c>
      <c r="H1336" s="6" t="s">
        <v>53</v>
      </c>
      <c r="I1336" s="8" t="s">
        <v>100</v>
      </c>
      <c r="J1336" s="9">
        <v>1</v>
      </c>
      <c r="K1336" s="9">
        <v>551</v>
      </c>
      <c r="L1336" s="9">
        <v>2024</v>
      </c>
      <c r="M1336" s="8" t="s">
        <v>8446</v>
      </c>
      <c r="N1336" s="8" t="s">
        <v>79</v>
      </c>
      <c r="O1336" s="8" t="s">
        <v>80</v>
      </c>
      <c r="P1336" s="6" t="s">
        <v>167</v>
      </c>
      <c r="Q1336" s="8" t="s">
        <v>102</v>
      </c>
      <c r="R1336" s="10" t="s">
        <v>8409</v>
      </c>
      <c r="S1336" s="11" t="s">
        <v>8435</v>
      </c>
      <c r="T1336" s="6"/>
      <c r="U1336" s="24" t="str">
        <f>HYPERLINK("https://media.infra-m.ru/2152/2152132/cover/2152132.jpg", "Обложка")</f>
        <v>Обложка</v>
      </c>
      <c r="V1336" s="24" t="str">
        <f>HYPERLINK("https://znanium.ru/catalog/product/1196563", "Ознакомиться")</f>
        <v>Ознакомиться</v>
      </c>
      <c r="W1336" s="8" t="s">
        <v>450</v>
      </c>
      <c r="X1336" s="6"/>
      <c r="Y1336" s="6"/>
      <c r="Z1336" s="6"/>
      <c r="AA1336" s="6" t="s">
        <v>793</v>
      </c>
      <c r="AB1336" s="8" t="s">
        <v>2336</v>
      </c>
    </row>
    <row r="1337" spans="1:28" s="4" customFormat="1" ht="51.95" customHeight="1">
      <c r="A1337" s="5">
        <v>0</v>
      </c>
      <c r="B1337" s="6" t="s">
        <v>8447</v>
      </c>
      <c r="C1337" s="13">
        <v>1884</v>
      </c>
      <c r="D1337" s="8" t="s">
        <v>8448</v>
      </c>
      <c r="E1337" s="8" t="s">
        <v>8407</v>
      </c>
      <c r="F1337" s="8" t="s">
        <v>8449</v>
      </c>
      <c r="G1337" s="6" t="s">
        <v>89</v>
      </c>
      <c r="H1337" s="6" t="s">
        <v>39</v>
      </c>
      <c r="I1337" s="8" t="s">
        <v>116</v>
      </c>
      <c r="J1337" s="9">
        <v>1</v>
      </c>
      <c r="K1337" s="9">
        <v>400</v>
      </c>
      <c r="L1337" s="9">
        <v>2024</v>
      </c>
      <c r="M1337" s="8" t="s">
        <v>8450</v>
      </c>
      <c r="N1337" s="8" t="s">
        <v>79</v>
      </c>
      <c r="O1337" s="8" t="s">
        <v>80</v>
      </c>
      <c r="P1337" s="6" t="s">
        <v>43</v>
      </c>
      <c r="Q1337" s="8" t="s">
        <v>58</v>
      </c>
      <c r="R1337" s="10" t="s">
        <v>2546</v>
      </c>
      <c r="S1337" s="11" t="s">
        <v>8451</v>
      </c>
      <c r="T1337" s="6"/>
      <c r="U1337" s="24" t="str">
        <f>HYPERLINK("https://media.infra-m.ru/2145/2145136/cover/2145136.jpg", "Обложка")</f>
        <v>Обложка</v>
      </c>
      <c r="V1337" s="24" t="str">
        <f>HYPERLINK("https://znanium.ru/catalog/product/1937939", "Ознакомиться")</f>
        <v>Ознакомиться</v>
      </c>
      <c r="W1337" s="8" t="s">
        <v>2201</v>
      </c>
      <c r="X1337" s="6"/>
      <c r="Y1337" s="6"/>
      <c r="Z1337" s="6"/>
      <c r="AA1337" s="6" t="s">
        <v>84</v>
      </c>
      <c r="AB1337" s="8"/>
    </row>
    <row r="1338" spans="1:28" s="4" customFormat="1" ht="51.95" customHeight="1">
      <c r="A1338" s="5">
        <v>0</v>
      </c>
      <c r="B1338" s="6" t="s">
        <v>8452</v>
      </c>
      <c r="C1338" s="13">
        <v>1490</v>
      </c>
      <c r="D1338" s="8" t="s">
        <v>8453</v>
      </c>
      <c r="E1338" s="8" t="s">
        <v>8454</v>
      </c>
      <c r="F1338" s="8" t="s">
        <v>8455</v>
      </c>
      <c r="G1338" s="6" t="s">
        <v>89</v>
      </c>
      <c r="H1338" s="6" t="s">
        <v>53</v>
      </c>
      <c r="I1338" s="8" t="s">
        <v>100</v>
      </c>
      <c r="J1338" s="9">
        <v>1</v>
      </c>
      <c r="K1338" s="9">
        <v>330</v>
      </c>
      <c r="L1338" s="9">
        <v>2023</v>
      </c>
      <c r="M1338" s="8" t="s">
        <v>8456</v>
      </c>
      <c r="N1338" s="8" t="s">
        <v>79</v>
      </c>
      <c r="O1338" s="8" t="s">
        <v>80</v>
      </c>
      <c r="P1338" s="6" t="s">
        <v>43</v>
      </c>
      <c r="Q1338" s="8" t="s">
        <v>102</v>
      </c>
      <c r="R1338" s="10" t="s">
        <v>8457</v>
      </c>
      <c r="S1338" s="11" t="s">
        <v>8458</v>
      </c>
      <c r="T1338" s="6"/>
      <c r="U1338" s="24" t="str">
        <f>HYPERLINK("https://media.infra-m.ru/1964/1964965/cover/1964965.jpg", "Обложка")</f>
        <v>Обложка</v>
      </c>
      <c r="V1338" s="24" t="str">
        <f>HYPERLINK("https://znanium.ru/catalog/product/1964965", "Ознакомиться")</f>
        <v>Ознакомиться</v>
      </c>
      <c r="W1338" s="8" t="s">
        <v>189</v>
      </c>
      <c r="X1338" s="6"/>
      <c r="Y1338" s="6"/>
      <c r="Z1338" s="6" t="s">
        <v>104</v>
      </c>
      <c r="AA1338" s="6" t="s">
        <v>1374</v>
      </c>
      <c r="AB1338" s="8"/>
    </row>
    <row r="1339" spans="1:28" s="4" customFormat="1" ht="51.95" customHeight="1">
      <c r="A1339" s="5">
        <v>0</v>
      </c>
      <c r="B1339" s="6" t="s">
        <v>8459</v>
      </c>
      <c r="C1339" s="13">
        <v>1514</v>
      </c>
      <c r="D1339" s="8" t="s">
        <v>8460</v>
      </c>
      <c r="E1339" s="8" t="s">
        <v>8454</v>
      </c>
      <c r="F1339" s="8" t="s">
        <v>8455</v>
      </c>
      <c r="G1339" s="6" t="s">
        <v>89</v>
      </c>
      <c r="H1339" s="6" t="s">
        <v>53</v>
      </c>
      <c r="I1339" s="8" t="s">
        <v>90</v>
      </c>
      <c r="J1339" s="9">
        <v>1</v>
      </c>
      <c r="K1339" s="9">
        <v>330</v>
      </c>
      <c r="L1339" s="9">
        <v>2024</v>
      </c>
      <c r="M1339" s="8" t="s">
        <v>8461</v>
      </c>
      <c r="N1339" s="8" t="s">
        <v>79</v>
      </c>
      <c r="O1339" s="8" t="s">
        <v>80</v>
      </c>
      <c r="P1339" s="6" t="s">
        <v>43</v>
      </c>
      <c r="Q1339" s="8" t="s">
        <v>44</v>
      </c>
      <c r="R1339" s="10" t="s">
        <v>8462</v>
      </c>
      <c r="S1339" s="11" t="s">
        <v>8463</v>
      </c>
      <c r="T1339" s="6"/>
      <c r="U1339" s="24" t="str">
        <f>HYPERLINK("https://media.infra-m.ru/2084/2084528/cover/2084528.jpg", "Обложка")</f>
        <v>Обложка</v>
      </c>
      <c r="V1339" s="24" t="str">
        <f>HYPERLINK("https://znanium.ru/catalog/product/2084528", "Ознакомиться")</f>
        <v>Ознакомиться</v>
      </c>
      <c r="W1339" s="8" t="s">
        <v>189</v>
      </c>
      <c r="X1339" s="6"/>
      <c r="Y1339" s="6"/>
      <c r="Z1339" s="6"/>
      <c r="AA1339" s="6" t="s">
        <v>326</v>
      </c>
      <c r="AB1339" s="8"/>
    </row>
    <row r="1340" spans="1:28" s="4" customFormat="1" ht="51.95" customHeight="1">
      <c r="A1340" s="5">
        <v>0</v>
      </c>
      <c r="B1340" s="6" t="s">
        <v>8464</v>
      </c>
      <c r="C1340" s="13">
        <v>2024</v>
      </c>
      <c r="D1340" s="8" t="s">
        <v>8465</v>
      </c>
      <c r="E1340" s="8" t="s">
        <v>8466</v>
      </c>
      <c r="F1340" s="8" t="s">
        <v>8449</v>
      </c>
      <c r="G1340" s="6" t="s">
        <v>52</v>
      </c>
      <c r="H1340" s="6" t="s">
        <v>39</v>
      </c>
      <c r="I1340" s="8" t="s">
        <v>116</v>
      </c>
      <c r="J1340" s="9">
        <v>1</v>
      </c>
      <c r="K1340" s="9">
        <v>448</v>
      </c>
      <c r="L1340" s="9">
        <v>2024</v>
      </c>
      <c r="M1340" s="8" t="s">
        <v>8467</v>
      </c>
      <c r="N1340" s="8" t="s">
        <v>79</v>
      </c>
      <c r="O1340" s="8" t="s">
        <v>80</v>
      </c>
      <c r="P1340" s="6" t="s">
        <v>43</v>
      </c>
      <c r="Q1340" s="8" t="s">
        <v>44</v>
      </c>
      <c r="R1340" s="10" t="s">
        <v>8468</v>
      </c>
      <c r="S1340" s="11" t="s">
        <v>8469</v>
      </c>
      <c r="T1340" s="6"/>
      <c r="U1340" s="24" t="str">
        <f>HYPERLINK("https://media.infra-m.ru/2056/2056640/cover/2056640.jpg", "Обложка")</f>
        <v>Обложка</v>
      </c>
      <c r="V1340" s="24" t="str">
        <f>HYPERLINK("https://znanium.ru/catalog/product/1832410", "Ознакомиться")</f>
        <v>Ознакомиться</v>
      </c>
      <c r="W1340" s="8" t="s">
        <v>2201</v>
      </c>
      <c r="X1340" s="6"/>
      <c r="Y1340" s="6"/>
      <c r="Z1340" s="6"/>
      <c r="AA1340" s="6" t="s">
        <v>479</v>
      </c>
      <c r="AB1340" s="8"/>
    </row>
    <row r="1341" spans="1:28" s="4" customFormat="1" ht="42" customHeight="1">
      <c r="A1341" s="5">
        <v>0</v>
      </c>
      <c r="B1341" s="6" t="s">
        <v>8470</v>
      </c>
      <c r="C1341" s="13">
        <v>2230</v>
      </c>
      <c r="D1341" s="8" t="s">
        <v>8471</v>
      </c>
      <c r="E1341" s="8" t="s">
        <v>8466</v>
      </c>
      <c r="F1341" s="8" t="s">
        <v>2635</v>
      </c>
      <c r="G1341" s="6" t="s">
        <v>52</v>
      </c>
      <c r="H1341" s="6" t="s">
        <v>39</v>
      </c>
      <c r="I1341" s="8" t="s">
        <v>100</v>
      </c>
      <c r="J1341" s="9">
        <v>1</v>
      </c>
      <c r="K1341" s="9">
        <v>445</v>
      </c>
      <c r="L1341" s="9">
        <v>2025</v>
      </c>
      <c r="M1341" s="8" t="s">
        <v>8472</v>
      </c>
      <c r="N1341" s="8" t="s">
        <v>79</v>
      </c>
      <c r="O1341" s="8" t="s">
        <v>80</v>
      </c>
      <c r="P1341" s="6" t="s">
        <v>43</v>
      </c>
      <c r="Q1341" s="8" t="s">
        <v>102</v>
      </c>
      <c r="R1341" s="10" t="s">
        <v>8473</v>
      </c>
      <c r="S1341" s="11"/>
      <c r="T1341" s="6"/>
      <c r="U1341" s="24" t="str">
        <f>HYPERLINK("https://media.infra-m.ru/0967/0967464/cover/967464.jpg", "Обложка")</f>
        <v>Обложка</v>
      </c>
      <c r="V1341" s="24" t="str">
        <f>HYPERLINK("https://znanium.ru/catalog/product/967464", "Ознакомиться")</f>
        <v>Ознакомиться</v>
      </c>
      <c r="W1341" s="8" t="s">
        <v>2201</v>
      </c>
      <c r="X1341" s="6" t="s">
        <v>1049</v>
      </c>
      <c r="Y1341" s="6"/>
      <c r="Z1341" s="6" t="s">
        <v>104</v>
      </c>
      <c r="AA1341" s="6" t="s">
        <v>549</v>
      </c>
      <c r="AB1341" s="8"/>
    </row>
    <row r="1342" spans="1:28" s="4" customFormat="1" ht="44.1" customHeight="1">
      <c r="A1342" s="5">
        <v>0</v>
      </c>
      <c r="B1342" s="6" t="s">
        <v>8474</v>
      </c>
      <c r="C1342" s="7">
        <v>454.9</v>
      </c>
      <c r="D1342" s="8" t="s">
        <v>8475</v>
      </c>
      <c r="E1342" s="8" t="s">
        <v>8476</v>
      </c>
      <c r="F1342" s="8" t="s">
        <v>8477</v>
      </c>
      <c r="G1342" s="6" t="s">
        <v>38</v>
      </c>
      <c r="H1342" s="6" t="s">
        <v>53</v>
      </c>
      <c r="I1342" s="8" t="s">
        <v>90</v>
      </c>
      <c r="J1342" s="9">
        <v>1</v>
      </c>
      <c r="K1342" s="9">
        <v>100</v>
      </c>
      <c r="L1342" s="9">
        <v>2023</v>
      </c>
      <c r="M1342" s="8" t="s">
        <v>8478</v>
      </c>
      <c r="N1342" s="8" t="s">
        <v>41</v>
      </c>
      <c r="O1342" s="8" t="s">
        <v>1007</v>
      </c>
      <c r="P1342" s="6" t="s">
        <v>43</v>
      </c>
      <c r="Q1342" s="8" t="s">
        <v>44</v>
      </c>
      <c r="R1342" s="10" t="s">
        <v>8479</v>
      </c>
      <c r="S1342" s="11"/>
      <c r="T1342" s="6"/>
      <c r="U1342" s="24" t="str">
        <f>HYPERLINK("https://media.infra-m.ru/1981/1981700/cover/1981700.jpg", "Обложка")</f>
        <v>Обложка</v>
      </c>
      <c r="V1342" s="24" t="str">
        <f>HYPERLINK("https://znanium.ru/catalog/product/1817906", "Ознакомиться")</f>
        <v>Ознакомиться</v>
      </c>
      <c r="W1342" s="8" t="s">
        <v>189</v>
      </c>
      <c r="X1342" s="6"/>
      <c r="Y1342" s="6"/>
      <c r="Z1342" s="6"/>
      <c r="AA1342" s="6" t="s">
        <v>47</v>
      </c>
      <c r="AB1342" s="8"/>
    </row>
    <row r="1343" spans="1:28" s="4" customFormat="1" ht="51.95" customHeight="1">
      <c r="A1343" s="5">
        <v>0</v>
      </c>
      <c r="B1343" s="6" t="s">
        <v>8480</v>
      </c>
      <c r="C1343" s="13">
        <v>1580</v>
      </c>
      <c r="D1343" s="8" t="s">
        <v>8481</v>
      </c>
      <c r="E1343" s="8" t="s">
        <v>8482</v>
      </c>
      <c r="F1343" s="8" t="s">
        <v>8203</v>
      </c>
      <c r="G1343" s="6" t="s">
        <v>89</v>
      </c>
      <c r="H1343" s="6" t="s">
        <v>649</v>
      </c>
      <c r="I1343" s="8" t="s">
        <v>116</v>
      </c>
      <c r="J1343" s="9">
        <v>1</v>
      </c>
      <c r="K1343" s="9">
        <v>335</v>
      </c>
      <c r="L1343" s="9">
        <v>2024</v>
      </c>
      <c r="M1343" s="8" t="s">
        <v>8483</v>
      </c>
      <c r="N1343" s="8" t="s">
        <v>79</v>
      </c>
      <c r="O1343" s="8" t="s">
        <v>80</v>
      </c>
      <c r="P1343" s="6" t="s">
        <v>43</v>
      </c>
      <c r="Q1343" s="8" t="s">
        <v>44</v>
      </c>
      <c r="R1343" s="10" t="s">
        <v>8484</v>
      </c>
      <c r="S1343" s="11" t="s">
        <v>8485</v>
      </c>
      <c r="T1343" s="6"/>
      <c r="U1343" s="24" t="str">
        <f>HYPERLINK("https://media.infra-m.ru/2116/2116864/cover/2116864.jpg", "Обложка")</f>
        <v>Обложка</v>
      </c>
      <c r="V1343" s="24" t="str">
        <f>HYPERLINK("https://znanium.ru/catalog/product/2116864", "Ознакомиться")</f>
        <v>Ознакомиться</v>
      </c>
      <c r="W1343" s="8" t="s">
        <v>2216</v>
      </c>
      <c r="X1343" s="6"/>
      <c r="Y1343" s="6"/>
      <c r="Z1343" s="6"/>
      <c r="AA1343" s="6" t="s">
        <v>622</v>
      </c>
      <c r="AB1343" s="8"/>
    </row>
    <row r="1344" spans="1:28" s="4" customFormat="1" ht="51.95" customHeight="1">
      <c r="A1344" s="5">
        <v>0</v>
      </c>
      <c r="B1344" s="6" t="s">
        <v>8486</v>
      </c>
      <c r="C1344" s="13">
        <v>1700</v>
      </c>
      <c r="D1344" s="8" t="s">
        <v>8487</v>
      </c>
      <c r="E1344" s="8" t="s">
        <v>8488</v>
      </c>
      <c r="F1344" s="8" t="s">
        <v>7412</v>
      </c>
      <c r="G1344" s="6" t="s">
        <v>89</v>
      </c>
      <c r="H1344" s="6" t="s">
        <v>53</v>
      </c>
      <c r="I1344" s="8" t="s">
        <v>90</v>
      </c>
      <c r="J1344" s="9">
        <v>1</v>
      </c>
      <c r="K1344" s="9">
        <v>369</v>
      </c>
      <c r="L1344" s="9">
        <v>2024</v>
      </c>
      <c r="M1344" s="8" t="s">
        <v>8489</v>
      </c>
      <c r="N1344" s="8" t="s">
        <v>79</v>
      </c>
      <c r="O1344" s="8" t="s">
        <v>80</v>
      </c>
      <c r="P1344" s="6" t="s">
        <v>43</v>
      </c>
      <c r="Q1344" s="8" t="s">
        <v>44</v>
      </c>
      <c r="R1344" s="10" t="s">
        <v>8490</v>
      </c>
      <c r="S1344" s="11" t="s">
        <v>8491</v>
      </c>
      <c r="T1344" s="6" t="s">
        <v>299</v>
      </c>
      <c r="U1344" s="24" t="str">
        <f>HYPERLINK("https://media.infra-m.ru/2127/2127008/cover/2127008.jpg", "Обложка")</f>
        <v>Обложка</v>
      </c>
      <c r="V1344" s="24" t="str">
        <f>HYPERLINK("https://znanium.ru/catalog/product/2127008", "Ознакомиться")</f>
        <v>Ознакомиться</v>
      </c>
      <c r="W1344" s="8" t="s">
        <v>7415</v>
      </c>
      <c r="X1344" s="6"/>
      <c r="Y1344" s="6"/>
      <c r="Z1344" s="6"/>
      <c r="AA1344" s="6" t="s">
        <v>95</v>
      </c>
      <c r="AB1344" s="8"/>
    </row>
    <row r="1345" spans="1:28" s="4" customFormat="1" ht="51.95" customHeight="1">
      <c r="A1345" s="5">
        <v>0</v>
      </c>
      <c r="B1345" s="6" t="s">
        <v>8492</v>
      </c>
      <c r="C1345" s="7">
        <v>814.9</v>
      </c>
      <c r="D1345" s="8" t="s">
        <v>8493</v>
      </c>
      <c r="E1345" s="8" t="s">
        <v>8494</v>
      </c>
      <c r="F1345" s="8" t="s">
        <v>8495</v>
      </c>
      <c r="G1345" s="6" t="s">
        <v>52</v>
      </c>
      <c r="H1345" s="6" t="s">
        <v>53</v>
      </c>
      <c r="I1345" s="8" t="s">
        <v>90</v>
      </c>
      <c r="J1345" s="9">
        <v>12</v>
      </c>
      <c r="K1345" s="9">
        <v>238</v>
      </c>
      <c r="L1345" s="9">
        <v>2020</v>
      </c>
      <c r="M1345" s="8" t="s">
        <v>8496</v>
      </c>
      <c r="N1345" s="8" t="s">
        <v>79</v>
      </c>
      <c r="O1345" s="8" t="s">
        <v>80</v>
      </c>
      <c r="P1345" s="6" t="s">
        <v>43</v>
      </c>
      <c r="Q1345" s="8" t="s">
        <v>44</v>
      </c>
      <c r="R1345" s="10" t="s">
        <v>8490</v>
      </c>
      <c r="S1345" s="11" t="s">
        <v>8497</v>
      </c>
      <c r="T1345" s="6" t="s">
        <v>299</v>
      </c>
      <c r="U1345" s="24" t="str">
        <f>HYPERLINK("https://media.infra-m.ru/1064/1064628/cover/1064628.jpg", "Обложка")</f>
        <v>Обложка</v>
      </c>
      <c r="V1345" s="24" t="str">
        <f>HYPERLINK("https://znanium.ru/catalog/product/2127008", "Ознакомиться")</f>
        <v>Ознакомиться</v>
      </c>
      <c r="W1345" s="8" t="s">
        <v>7415</v>
      </c>
      <c r="X1345" s="6"/>
      <c r="Y1345" s="6"/>
      <c r="Z1345" s="6"/>
      <c r="AA1345" s="6" t="s">
        <v>622</v>
      </c>
      <c r="AB1345" s="8"/>
    </row>
    <row r="1346" spans="1:28" s="4" customFormat="1" ht="51.95" customHeight="1">
      <c r="A1346" s="5">
        <v>0</v>
      </c>
      <c r="B1346" s="6" t="s">
        <v>8498</v>
      </c>
      <c r="C1346" s="13">
        <v>1384</v>
      </c>
      <c r="D1346" s="8" t="s">
        <v>8499</v>
      </c>
      <c r="E1346" s="8" t="s">
        <v>8500</v>
      </c>
      <c r="F1346" s="8" t="s">
        <v>8501</v>
      </c>
      <c r="G1346" s="6" t="s">
        <v>52</v>
      </c>
      <c r="H1346" s="6" t="s">
        <v>77</v>
      </c>
      <c r="I1346" s="8"/>
      <c r="J1346" s="9">
        <v>1</v>
      </c>
      <c r="K1346" s="9">
        <v>301</v>
      </c>
      <c r="L1346" s="9">
        <v>2023</v>
      </c>
      <c r="M1346" s="8" t="s">
        <v>8502</v>
      </c>
      <c r="N1346" s="8" t="s">
        <v>79</v>
      </c>
      <c r="O1346" s="8" t="s">
        <v>80</v>
      </c>
      <c r="P1346" s="6" t="s">
        <v>43</v>
      </c>
      <c r="Q1346" s="8" t="s">
        <v>44</v>
      </c>
      <c r="R1346" s="10" t="s">
        <v>7881</v>
      </c>
      <c r="S1346" s="11" t="s">
        <v>8503</v>
      </c>
      <c r="T1346" s="6"/>
      <c r="U1346" s="24" t="str">
        <f>HYPERLINK("https://media.infra-m.ru/1981/1981670/cover/1981670.jpg", "Обложка")</f>
        <v>Обложка</v>
      </c>
      <c r="V1346" s="24" t="str">
        <f>HYPERLINK("https://znanium.ru/catalog/product/1981670", "Ознакомиться")</f>
        <v>Ознакомиться</v>
      </c>
      <c r="W1346" s="8" t="s">
        <v>637</v>
      </c>
      <c r="X1346" s="6"/>
      <c r="Y1346" s="6"/>
      <c r="Z1346" s="6"/>
      <c r="AA1346" s="6" t="s">
        <v>377</v>
      </c>
      <c r="AB1346" s="8"/>
    </row>
    <row r="1347" spans="1:28" s="4" customFormat="1" ht="51.95" customHeight="1">
      <c r="A1347" s="5">
        <v>0</v>
      </c>
      <c r="B1347" s="6" t="s">
        <v>8504</v>
      </c>
      <c r="C1347" s="13">
        <v>1584</v>
      </c>
      <c r="D1347" s="8" t="s">
        <v>8505</v>
      </c>
      <c r="E1347" s="8" t="s">
        <v>8506</v>
      </c>
      <c r="F1347" s="8" t="s">
        <v>8507</v>
      </c>
      <c r="G1347" s="6" t="s">
        <v>89</v>
      </c>
      <c r="H1347" s="6" t="s">
        <v>53</v>
      </c>
      <c r="I1347" s="8" t="s">
        <v>1223</v>
      </c>
      <c r="J1347" s="9">
        <v>1</v>
      </c>
      <c r="K1347" s="9">
        <v>344</v>
      </c>
      <c r="L1347" s="9">
        <v>2023</v>
      </c>
      <c r="M1347" s="8" t="s">
        <v>8508</v>
      </c>
      <c r="N1347" s="8" t="s">
        <v>41</v>
      </c>
      <c r="O1347" s="8" t="s">
        <v>1204</v>
      </c>
      <c r="P1347" s="6" t="s">
        <v>167</v>
      </c>
      <c r="Q1347" s="8" t="s">
        <v>44</v>
      </c>
      <c r="R1347" s="10" t="s">
        <v>2816</v>
      </c>
      <c r="S1347" s="11" t="s">
        <v>8509</v>
      </c>
      <c r="T1347" s="6"/>
      <c r="U1347" s="24" t="str">
        <f>HYPERLINK("https://media.infra-m.ru/2057/2057736/cover/2057736.jpg", "Обложка")</f>
        <v>Обложка</v>
      </c>
      <c r="V1347" s="24" t="str">
        <f>HYPERLINK("https://znanium.ru/catalog/product/2057736", "Ознакомиться")</f>
        <v>Ознакомиться</v>
      </c>
      <c r="W1347" s="8" t="s">
        <v>83</v>
      </c>
      <c r="X1347" s="6"/>
      <c r="Y1347" s="6"/>
      <c r="Z1347" s="6"/>
      <c r="AA1347" s="6" t="s">
        <v>219</v>
      </c>
      <c r="AB1347" s="8"/>
    </row>
    <row r="1348" spans="1:28" s="4" customFormat="1" ht="44.1" customHeight="1">
      <c r="A1348" s="5">
        <v>0</v>
      </c>
      <c r="B1348" s="6" t="s">
        <v>8510</v>
      </c>
      <c r="C1348" s="13">
        <v>1650</v>
      </c>
      <c r="D1348" s="8" t="s">
        <v>8511</v>
      </c>
      <c r="E1348" s="8" t="s">
        <v>8512</v>
      </c>
      <c r="F1348" s="8" t="s">
        <v>8513</v>
      </c>
      <c r="G1348" s="6" t="s">
        <v>52</v>
      </c>
      <c r="H1348" s="6" t="s">
        <v>53</v>
      </c>
      <c r="I1348" s="8" t="s">
        <v>100</v>
      </c>
      <c r="J1348" s="9">
        <v>1</v>
      </c>
      <c r="K1348" s="9">
        <v>326</v>
      </c>
      <c r="L1348" s="9">
        <v>2025</v>
      </c>
      <c r="M1348" s="8" t="s">
        <v>8514</v>
      </c>
      <c r="N1348" s="8" t="s">
        <v>79</v>
      </c>
      <c r="O1348" s="8" t="s">
        <v>80</v>
      </c>
      <c r="P1348" s="6" t="s">
        <v>43</v>
      </c>
      <c r="Q1348" s="8" t="s">
        <v>102</v>
      </c>
      <c r="R1348" s="10" t="s">
        <v>8515</v>
      </c>
      <c r="S1348" s="11"/>
      <c r="T1348" s="6" t="s">
        <v>299</v>
      </c>
      <c r="U1348" s="24" t="str">
        <f>HYPERLINK("https://media.infra-m.ru/2110/2110964/cover/2110964.jpg", "Обложка")</f>
        <v>Обложка</v>
      </c>
      <c r="V1348" s="24" t="str">
        <f>HYPERLINK("https://znanium.ru/catalog/product/2110964", "Ознакомиться")</f>
        <v>Ознакомиться</v>
      </c>
      <c r="W1348" s="8" t="s">
        <v>2915</v>
      </c>
      <c r="X1348" s="6" t="s">
        <v>389</v>
      </c>
      <c r="Y1348" s="6"/>
      <c r="Z1348" s="6"/>
      <c r="AA1348" s="6" t="s">
        <v>61</v>
      </c>
      <c r="AB1348" s="8" t="s">
        <v>1879</v>
      </c>
    </row>
    <row r="1349" spans="1:28" s="4" customFormat="1" ht="51.95" customHeight="1">
      <c r="A1349" s="5">
        <v>0</v>
      </c>
      <c r="B1349" s="6" t="s">
        <v>8516</v>
      </c>
      <c r="C1349" s="13">
        <v>1130</v>
      </c>
      <c r="D1349" s="8" t="s">
        <v>8517</v>
      </c>
      <c r="E1349" s="8" t="s">
        <v>8518</v>
      </c>
      <c r="F1349" s="8" t="s">
        <v>8519</v>
      </c>
      <c r="G1349" s="6" t="s">
        <v>89</v>
      </c>
      <c r="H1349" s="6" t="s">
        <v>53</v>
      </c>
      <c r="I1349" s="8" t="s">
        <v>212</v>
      </c>
      <c r="J1349" s="9">
        <v>1</v>
      </c>
      <c r="K1349" s="9">
        <v>250</v>
      </c>
      <c r="L1349" s="9">
        <v>2023</v>
      </c>
      <c r="M1349" s="8" t="s">
        <v>8520</v>
      </c>
      <c r="N1349" s="8" t="s">
        <v>79</v>
      </c>
      <c r="O1349" s="8" t="s">
        <v>80</v>
      </c>
      <c r="P1349" s="6" t="s">
        <v>167</v>
      </c>
      <c r="Q1349" s="8" t="s">
        <v>214</v>
      </c>
      <c r="R1349" s="10" t="s">
        <v>215</v>
      </c>
      <c r="S1349" s="11" t="s">
        <v>8521</v>
      </c>
      <c r="T1349" s="6"/>
      <c r="U1349" s="24" t="str">
        <f>HYPERLINK("https://media.infra-m.ru/1903/1903327/cover/1903327.jpg", "Обложка")</f>
        <v>Обложка</v>
      </c>
      <c r="V1349" s="24" t="str">
        <f>HYPERLINK("https://znanium.ru/catalog/product/1903327", "Ознакомиться")</f>
        <v>Ознакомиться</v>
      </c>
      <c r="W1349" s="8" t="s">
        <v>83</v>
      </c>
      <c r="X1349" s="6"/>
      <c r="Y1349" s="6"/>
      <c r="Z1349" s="6" t="s">
        <v>218</v>
      </c>
      <c r="AA1349" s="6" t="s">
        <v>235</v>
      </c>
      <c r="AB1349" s="8"/>
    </row>
    <row r="1350" spans="1:28" s="4" customFormat="1" ht="51.95" customHeight="1">
      <c r="A1350" s="5">
        <v>0</v>
      </c>
      <c r="B1350" s="6" t="s">
        <v>8522</v>
      </c>
      <c r="C1350" s="13">
        <v>1254</v>
      </c>
      <c r="D1350" s="8" t="s">
        <v>8523</v>
      </c>
      <c r="E1350" s="8" t="s">
        <v>8518</v>
      </c>
      <c r="F1350" s="8" t="s">
        <v>8519</v>
      </c>
      <c r="G1350" s="6" t="s">
        <v>52</v>
      </c>
      <c r="H1350" s="6" t="s">
        <v>53</v>
      </c>
      <c r="I1350" s="8" t="s">
        <v>1223</v>
      </c>
      <c r="J1350" s="9">
        <v>1</v>
      </c>
      <c r="K1350" s="9">
        <v>250</v>
      </c>
      <c r="L1350" s="9">
        <v>2024</v>
      </c>
      <c r="M1350" s="8" t="s">
        <v>8524</v>
      </c>
      <c r="N1350" s="8" t="s">
        <v>79</v>
      </c>
      <c r="O1350" s="8" t="s">
        <v>80</v>
      </c>
      <c r="P1350" s="6" t="s">
        <v>167</v>
      </c>
      <c r="Q1350" s="8" t="s">
        <v>44</v>
      </c>
      <c r="R1350" s="10" t="s">
        <v>1958</v>
      </c>
      <c r="S1350" s="11" t="s">
        <v>8525</v>
      </c>
      <c r="T1350" s="6"/>
      <c r="U1350" s="24" t="str">
        <f>HYPERLINK("https://media.infra-m.ru/2085/2085049/cover/2085049.jpg", "Обложка")</f>
        <v>Обложка</v>
      </c>
      <c r="V1350" s="24" t="str">
        <f>HYPERLINK("https://znanium.ru/catalog/product/2085049", "Ознакомиться")</f>
        <v>Ознакомиться</v>
      </c>
      <c r="W1350" s="8" t="s">
        <v>83</v>
      </c>
      <c r="X1350" s="6"/>
      <c r="Y1350" s="6"/>
      <c r="Z1350" s="6"/>
      <c r="AA1350" s="6" t="s">
        <v>793</v>
      </c>
      <c r="AB1350" s="8"/>
    </row>
    <row r="1351" spans="1:28" s="4" customFormat="1" ht="51.95" customHeight="1">
      <c r="A1351" s="5">
        <v>0</v>
      </c>
      <c r="B1351" s="6" t="s">
        <v>8526</v>
      </c>
      <c r="C1351" s="13">
        <v>1840</v>
      </c>
      <c r="D1351" s="8" t="s">
        <v>8527</v>
      </c>
      <c r="E1351" s="8" t="s">
        <v>8518</v>
      </c>
      <c r="F1351" s="8" t="s">
        <v>8232</v>
      </c>
      <c r="G1351" s="6" t="s">
        <v>89</v>
      </c>
      <c r="H1351" s="6" t="s">
        <v>649</v>
      </c>
      <c r="I1351" s="8" t="s">
        <v>100</v>
      </c>
      <c r="J1351" s="9">
        <v>1</v>
      </c>
      <c r="K1351" s="9">
        <v>367</v>
      </c>
      <c r="L1351" s="9">
        <v>2025</v>
      </c>
      <c r="M1351" s="8" t="s">
        <v>8528</v>
      </c>
      <c r="N1351" s="8" t="s">
        <v>79</v>
      </c>
      <c r="O1351" s="8" t="s">
        <v>80</v>
      </c>
      <c r="P1351" s="6" t="s">
        <v>43</v>
      </c>
      <c r="Q1351" s="8" t="s">
        <v>102</v>
      </c>
      <c r="R1351" s="10" t="s">
        <v>8529</v>
      </c>
      <c r="S1351" s="11" t="s">
        <v>1166</v>
      </c>
      <c r="T1351" s="6"/>
      <c r="U1351" s="24" t="str">
        <f>HYPERLINK("https://media.infra-m.ru/2166/2166193/cover/2166193.jpg", "Обложка")</f>
        <v>Обложка</v>
      </c>
      <c r="V1351" s="24" t="str">
        <f>HYPERLINK("https://znanium.ru/catalog/product/2166193", "Ознакомиться")</f>
        <v>Ознакомиться</v>
      </c>
      <c r="W1351" s="8" t="s">
        <v>2216</v>
      </c>
      <c r="X1351" s="6"/>
      <c r="Y1351" s="6"/>
      <c r="Z1351" s="6"/>
      <c r="AA1351" s="6" t="s">
        <v>654</v>
      </c>
      <c r="AB1351" s="8"/>
    </row>
    <row r="1352" spans="1:28" s="4" customFormat="1" ht="42" customHeight="1">
      <c r="A1352" s="5">
        <v>0</v>
      </c>
      <c r="B1352" s="6" t="s">
        <v>8530</v>
      </c>
      <c r="C1352" s="13">
        <v>1020</v>
      </c>
      <c r="D1352" s="8" t="s">
        <v>8531</v>
      </c>
      <c r="E1352" s="8" t="s">
        <v>8518</v>
      </c>
      <c r="F1352" s="8" t="s">
        <v>2624</v>
      </c>
      <c r="G1352" s="6" t="s">
        <v>52</v>
      </c>
      <c r="H1352" s="6" t="s">
        <v>53</v>
      </c>
      <c r="I1352" s="8" t="s">
        <v>100</v>
      </c>
      <c r="J1352" s="9">
        <v>1</v>
      </c>
      <c r="K1352" s="9">
        <v>186</v>
      </c>
      <c r="L1352" s="9">
        <v>2025</v>
      </c>
      <c r="M1352" s="8" t="s">
        <v>8532</v>
      </c>
      <c r="N1352" s="8" t="s">
        <v>79</v>
      </c>
      <c r="O1352" s="8" t="s">
        <v>80</v>
      </c>
      <c r="P1352" s="6" t="s">
        <v>43</v>
      </c>
      <c r="Q1352" s="8" t="s">
        <v>102</v>
      </c>
      <c r="R1352" s="10" t="s">
        <v>3410</v>
      </c>
      <c r="S1352" s="11"/>
      <c r="T1352" s="6"/>
      <c r="U1352" s="24" t="str">
        <f>HYPERLINK("https://media.infra-m.ru/1171/1171935/cover/1171935.jpg", "Обложка")</f>
        <v>Обложка</v>
      </c>
      <c r="V1352" s="24" t="str">
        <f>HYPERLINK("https://znanium.ru/catalog/product/1171935", "Ознакомиться")</f>
        <v>Ознакомиться</v>
      </c>
      <c r="W1352" s="8" t="s">
        <v>46</v>
      </c>
      <c r="X1352" s="6" t="s">
        <v>60</v>
      </c>
      <c r="Y1352" s="6"/>
      <c r="Z1352" s="6"/>
      <c r="AA1352" s="6" t="s">
        <v>61</v>
      </c>
      <c r="AB1352" s="8"/>
    </row>
    <row r="1353" spans="1:28" s="4" customFormat="1" ht="51.95" customHeight="1">
      <c r="A1353" s="5">
        <v>0</v>
      </c>
      <c r="B1353" s="6" t="s">
        <v>8533</v>
      </c>
      <c r="C1353" s="13">
        <v>1444</v>
      </c>
      <c r="D1353" s="8" t="s">
        <v>8534</v>
      </c>
      <c r="E1353" s="8" t="s">
        <v>8518</v>
      </c>
      <c r="F1353" s="8" t="s">
        <v>8535</v>
      </c>
      <c r="G1353" s="6" t="s">
        <v>89</v>
      </c>
      <c r="H1353" s="6" t="s">
        <v>53</v>
      </c>
      <c r="I1353" s="8" t="s">
        <v>100</v>
      </c>
      <c r="J1353" s="9">
        <v>1</v>
      </c>
      <c r="K1353" s="9">
        <v>277</v>
      </c>
      <c r="L1353" s="9">
        <v>2025</v>
      </c>
      <c r="M1353" s="8" t="s">
        <v>8536</v>
      </c>
      <c r="N1353" s="8" t="s">
        <v>79</v>
      </c>
      <c r="O1353" s="8" t="s">
        <v>80</v>
      </c>
      <c r="P1353" s="6" t="s">
        <v>43</v>
      </c>
      <c r="Q1353" s="8" t="s">
        <v>102</v>
      </c>
      <c r="R1353" s="10" t="s">
        <v>8537</v>
      </c>
      <c r="S1353" s="11" t="s">
        <v>8538</v>
      </c>
      <c r="T1353" s="6"/>
      <c r="U1353" s="24" t="str">
        <f>HYPERLINK("https://media.infra-m.ru/2200/2200945/cover/2200945.jpg", "Обложка")</f>
        <v>Обложка</v>
      </c>
      <c r="V1353" s="24" t="str">
        <f>HYPERLINK("https://znanium.ru/catalog/product/2168881", "Ознакомиться")</f>
        <v>Ознакомиться</v>
      </c>
      <c r="W1353" s="8" t="s">
        <v>8539</v>
      </c>
      <c r="X1353" s="6"/>
      <c r="Y1353" s="6"/>
      <c r="Z1353" s="6"/>
      <c r="AA1353" s="6" t="s">
        <v>235</v>
      </c>
      <c r="AB1353" s="8"/>
    </row>
    <row r="1354" spans="1:28" s="4" customFormat="1" ht="44.1" customHeight="1">
      <c r="A1354" s="5">
        <v>0</v>
      </c>
      <c r="B1354" s="6" t="s">
        <v>8540</v>
      </c>
      <c r="C1354" s="13">
        <v>2330</v>
      </c>
      <c r="D1354" s="8" t="s">
        <v>8541</v>
      </c>
      <c r="E1354" s="8" t="s">
        <v>8542</v>
      </c>
      <c r="F1354" s="8" t="s">
        <v>8344</v>
      </c>
      <c r="G1354" s="6" t="s">
        <v>52</v>
      </c>
      <c r="H1354" s="6" t="s">
        <v>674</v>
      </c>
      <c r="I1354" s="8"/>
      <c r="J1354" s="9">
        <v>1</v>
      </c>
      <c r="K1354" s="9">
        <v>436</v>
      </c>
      <c r="L1354" s="9">
        <v>2025</v>
      </c>
      <c r="M1354" s="8" t="s">
        <v>8543</v>
      </c>
      <c r="N1354" s="8"/>
      <c r="O1354" s="8"/>
      <c r="P1354" s="6" t="s">
        <v>167</v>
      </c>
      <c r="Q1354" s="8" t="s">
        <v>58</v>
      </c>
      <c r="R1354" s="10" t="s">
        <v>8544</v>
      </c>
      <c r="S1354" s="11"/>
      <c r="T1354" s="6"/>
      <c r="U1354" s="24" t="str">
        <f>HYPERLINK("https://media.infra-m.ru/2195/2195291/cover/2195291.jpg", "Обложка")</f>
        <v>Обложка</v>
      </c>
      <c r="V1354" s="12"/>
      <c r="W1354" s="8"/>
      <c r="X1354" s="6" t="s">
        <v>60</v>
      </c>
      <c r="Y1354" s="6"/>
      <c r="Z1354" s="6"/>
      <c r="AA1354" s="6" t="s">
        <v>61</v>
      </c>
      <c r="AB1354" s="8"/>
    </row>
    <row r="1355" spans="1:28" s="4" customFormat="1" ht="42" customHeight="1">
      <c r="A1355" s="5">
        <v>0</v>
      </c>
      <c r="B1355" s="6" t="s">
        <v>8545</v>
      </c>
      <c r="C1355" s="13">
        <v>2800</v>
      </c>
      <c r="D1355" s="8" t="s">
        <v>8546</v>
      </c>
      <c r="E1355" s="8" t="s">
        <v>8542</v>
      </c>
      <c r="F1355" s="8" t="s">
        <v>8547</v>
      </c>
      <c r="G1355" s="6" t="s">
        <v>52</v>
      </c>
      <c r="H1355" s="6" t="s">
        <v>674</v>
      </c>
      <c r="I1355" s="8" t="s">
        <v>100</v>
      </c>
      <c r="J1355" s="9">
        <v>1</v>
      </c>
      <c r="K1355" s="9">
        <v>436</v>
      </c>
      <c r="L1355" s="9">
        <v>2025</v>
      </c>
      <c r="M1355" s="8" t="s">
        <v>8548</v>
      </c>
      <c r="N1355" s="8"/>
      <c r="O1355" s="8"/>
      <c r="P1355" s="6" t="s">
        <v>167</v>
      </c>
      <c r="Q1355" s="8" t="s">
        <v>102</v>
      </c>
      <c r="R1355" s="10" t="s">
        <v>256</v>
      </c>
      <c r="S1355" s="11"/>
      <c r="T1355" s="6"/>
      <c r="U1355" s="24" t="str">
        <f>HYPERLINK("https://media.infra-m.ru/2187/2187056/cover/2187056.jpg", "Обложка")</f>
        <v>Обложка</v>
      </c>
      <c r="V1355" s="12"/>
      <c r="W1355" s="8" t="s">
        <v>852</v>
      </c>
      <c r="X1355" s="6" t="s">
        <v>60</v>
      </c>
      <c r="Y1355" s="6"/>
      <c r="Z1355" s="6"/>
      <c r="AA1355" s="6" t="s">
        <v>61</v>
      </c>
      <c r="AB1355" s="8"/>
    </row>
    <row r="1356" spans="1:28" s="4" customFormat="1" ht="51.95" customHeight="1">
      <c r="A1356" s="5">
        <v>0</v>
      </c>
      <c r="B1356" s="6" t="s">
        <v>8549</v>
      </c>
      <c r="C1356" s="13">
        <v>1584.9</v>
      </c>
      <c r="D1356" s="8" t="s">
        <v>8550</v>
      </c>
      <c r="E1356" s="8" t="s">
        <v>8551</v>
      </c>
      <c r="F1356" s="8" t="s">
        <v>8552</v>
      </c>
      <c r="G1356" s="6" t="s">
        <v>89</v>
      </c>
      <c r="H1356" s="6" t="s">
        <v>649</v>
      </c>
      <c r="I1356" s="8" t="s">
        <v>100</v>
      </c>
      <c r="J1356" s="9">
        <v>1</v>
      </c>
      <c r="K1356" s="9">
        <v>352</v>
      </c>
      <c r="L1356" s="9">
        <v>2023</v>
      </c>
      <c r="M1356" s="8" t="s">
        <v>8553</v>
      </c>
      <c r="N1356" s="8" t="s">
        <v>79</v>
      </c>
      <c r="O1356" s="8" t="s">
        <v>80</v>
      </c>
      <c r="P1356" s="6" t="s">
        <v>43</v>
      </c>
      <c r="Q1356" s="8" t="s">
        <v>102</v>
      </c>
      <c r="R1356" s="10" t="s">
        <v>8554</v>
      </c>
      <c r="S1356" s="11" t="s">
        <v>8555</v>
      </c>
      <c r="T1356" s="6"/>
      <c r="U1356" s="24" t="str">
        <f>HYPERLINK("https://media.infra-m.ru/1998/1998745/cover/1998745.jpg", "Обложка")</f>
        <v>Обложка</v>
      </c>
      <c r="V1356" s="24" t="str">
        <f>HYPERLINK("https://znanium.ru/catalog/product/1541012", "Ознакомиться")</f>
        <v>Ознакомиться</v>
      </c>
      <c r="W1356" s="8" t="s">
        <v>2216</v>
      </c>
      <c r="X1356" s="6"/>
      <c r="Y1356" s="6"/>
      <c r="Z1356" s="6" t="s">
        <v>104</v>
      </c>
      <c r="AA1356" s="6" t="s">
        <v>793</v>
      </c>
      <c r="AB1356" s="8"/>
    </row>
    <row r="1357" spans="1:28" s="4" customFormat="1" ht="42" customHeight="1">
      <c r="A1357" s="5">
        <v>0</v>
      </c>
      <c r="B1357" s="6" t="s">
        <v>8556</v>
      </c>
      <c r="C1357" s="13">
        <v>1270</v>
      </c>
      <c r="D1357" s="8" t="s">
        <v>8557</v>
      </c>
      <c r="E1357" s="8" t="s">
        <v>8551</v>
      </c>
      <c r="F1357" s="8" t="s">
        <v>2624</v>
      </c>
      <c r="G1357" s="6" t="s">
        <v>52</v>
      </c>
      <c r="H1357" s="6" t="s">
        <v>53</v>
      </c>
      <c r="I1357" s="8" t="s">
        <v>100</v>
      </c>
      <c r="J1357" s="9">
        <v>1</v>
      </c>
      <c r="K1357" s="9">
        <v>234</v>
      </c>
      <c r="L1357" s="9">
        <v>2025</v>
      </c>
      <c r="M1357" s="8" t="s">
        <v>8558</v>
      </c>
      <c r="N1357" s="8" t="s">
        <v>79</v>
      </c>
      <c r="O1357" s="8" t="s">
        <v>80</v>
      </c>
      <c r="P1357" s="6" t="s">
        <v>167</v>
      </c>
      <c r="Q1357" s="8" t="s">
        <v>102</v>
      </c>
      <c r="R1357" s="10" t="s">
        <v>8559</v>
      </c>
      <c r="S1357" s="11"/>
      <c r="T1357" s="6"/>
      <c r="U1357" s="24" t="str">
        <f>HYPERLINK("https://media.infra-m.ru/1171/1171960/cover/1171960.jpg", "Обложка")</f>
        <v>Обложка</v>
      </c>
      <c r="V1357" s="24" t="str">
        <f>HYPERLINK("https://znanium.ru/catalog/product/1171960", "Ознакомиться")</f>
        <v>Ознакомиться</v>
      </c>
      <c r="W1357" s="8" t="s">
        <v>46</v>
      </c>
      <c r="X1357" s="6" t="s">
        <v>2790</v>
      </c>
      <c r="Y1357" s="6"/>
      <c r="Z1357" s="6"/>
      <c r="AA1357" s="6" t="s">
        <v>61</v>
      </c>
      <c r="AB1357" s="8"/>
    </row>
    <row r="1358" spans="1:28" s="4" customFormat="1" ht="51.95" customHeight="1">
      <c r="A1358" s="5">
        <v>0</v>
      </c>
      <c r="B1358" s="6" t="s">
        <v>8560</v>
      </c>
      <c r="C1358" s="13">
        <v>1764</v>
      </c>
      <c r="D1358" s="8" t="s">
        <v>8561</v>
      </c>
      <c r="E1358" s="8" t="s">
        <v>8551</v>
      </c>
      <c r="F1358" s="8" t="s">
        <v>8232</v>
      </c>
      <c r="G1358" s="6" t="s">
        <v>89</v>
      </c>
      <c r="H1358" s="6" t="s">
        <v>649</v>
      </c>
      <c r="I1358" s="8" t="s">
        <v>90</v>
      </c>
      <c r="J1358" s="9">
        <v>1</v>
      </c>
      <c r="K1358" s="9">
        <v>352</v>
      </c>
      <c r="L1358" s="9">
        <v>2025</v>
      </c>
      <c r="M1358" s="8" t="s">
        <v>8562</v>
      </c>
      <c r="N1358" s="8" t="s">
        <v>79</v>
      </c>
      <c r="O1358" s="8" t="s">
        <v>80</v>
      </c>
      <c r="P1358" s="6" t="s">
        <v>43</v>
      </c>
      <c r="Q1358" s="8" t="s">
        <v>44</v>
      </c>
      <c r="R1358" s="10" t="s">
        <v>2527</v>
      </c>
      <c r="S1358" s="11" t="s">
        <v>8563</v>
      </c>
      <c r="T1358" s="6"/>
      <c r="U1358" s="24" t="str">
        <f>HYPERLINK("https://media.infra-m.ru/2188/2188214/cover/2188214.jpg", "Обложка")</f>
        <v>Обложка</v>
      </c>
      <c r="V1358" s="24" t="str">
        <f>HYPERLINK("https://znanium.ru/catalog/product/1913829", "Ознакомиться")</f>
        <v>Ознакомиться</v>
      </c>
      <c r="W1358" s="8" t="s">
        <v>2216</v>
      </c>
      <c r="X1358" s="6"/>
      <c r="Y1358" s="6"/>
      <c r="Z1358" s="6"/>
      <c r="AA1358" s="6" t="s">
        <v>2217</v>
      </c>
      <c r="AB1358" s="8"/>
    </row>
    <row r="1359" spans="1:28" s="4" customFormat="1" ht="51.95" customHeight="1">
      <c r="A1359" s="5">
        <v>0</v>
      </c>
      <c r="B1359" s="6" t="s">
        <v>8564</v>
      </c>
      <c r="C1359" s="13">
        <v>1694</v>
      </c>
      <c r="D1359" s="8" t="s">
        <v>8565</v>
      </c>
      <c r="E1359" s="8" t="s">
        <v>8566</v>
      </c>
      <c r="F1359" s="8" t="s">
        <v>8567</v>
      </c>
      <c r="G1359" s="6" t="s">
        <v>89</v>
      </c>
      <c r="H1359" s="6" t="s">
        <v>649</v>
      </c>
      <c r="I1359" s="8" t="s">
        <v>90</v>
      </c>
      <c r="J1359" s="9">
        <v>1</v>
      </c>
      <c r="K1359" s="9">
        <v>368</v>
      </c>
      <c r="L1359" s="9">
        <v>2024</v>
      </c>
      <c r="M1359" s="8" t="s">
        <v>8568</v>
      </c>
      <c r="N1359" s="8" t="s">
        <v>79</v>
      </c>
      <c r="O1359" s="8" t="s">
        <v>80</v>
      </c>
      <c r="P1359" s="6" t="s">
        <v>167</v>
      </c>
      <c r="Q1359" s="8" t="s">
        <v>44</v>
      </c>
      <c r="R1359" s="10" t="s">
        <v>8569</v>
      </c>
      <c r="S1359" s="11" t="s">
        <v>8570</v>
      </c>
      <c r="T1359" s="6"/>
      <c r="U1359" s="24" t="str">
        <f>HYPERLINK("https://media.infra-m.ru/2056/2056661/cover/2056661.jpg", "Обложка")</f>
        <v>Обложка</v>
      </c>
      <c r="V1359" s="24" t="str">
        <f>HYPERLINK("https://znanium.ru/catalog/product/2127027", "Ознакомиться")</f>
        <v>Ознакомиться</v>
      </c>
      <c r="W1359" s="8" t="s">
        <v>189</v>
      </c>
      <c r="X1359" s="6"/>
      <c r="Y1359" s="6"/>
      <c r="Z1359" s="6"/>
      <c r="AA1359" s="6" t="s">
        <v>377</v>
      </c>
      <c r="AB1359" s="8"/>
    </row>
    <row r="1360" spans="1:28" s="4" customFormat="1" ht="51.95" customHeight="1">
      <c r="A1360" s="5">
        <v>0</v>
      </c>
      <c r="B1360" s="6" t="s">
        <v>8571</v>
      </c>
      <c r="C1360" s="13">
        <v>1550</v>
      </c>
      <c r="D1360" s="8" t="s">
        <v>8572</v>
      </c>
      <c r="E1360" s="8" t="s">
        <v>8573</v>
      </c>
      <c r="F1360" s="8" t="s">
        <v>8574</v>
      </c>
      <c r="G1360" s="6" t="s">
        <v>38</v>
      </c>
      <c r="H1360" s="6" t="s">
        <v>184</v>
      </c>
      <c r="I1360" s="8" t="s">
        <v>90</v>
      </c>
      <c r="J1360" s="9">
        <v>1</v>
      </c>
      <c r="K1360" s="9">
        <v>344</v>
      </c>
      <c r="L1360" s="9">
        <v>2020</v>
      </c>
      <c r="M1360" s="8" t="s">
        <v>8575</v>
      </c>
      <c r="N1360" s="8" t="s">
        <v>79</v>
      </c>
      <c r="O1360" s="8" t="s">
        <v>80</v>
      </c>
      <c r="P1360" s="6" t="s">
        <v>43</v>
      </c>
      <c r="Q1360" s="8" t="s">
        <v>44</v>
      </c>
      <c r="R1360" s="10" t="s">
        <v>2546</v>
      </c>
      <c r="S1360" s="11" t="s">
        <v>8576</v>
      </c>
      <c r="T1360" s="6"/>
      <c r="U1360" s="24" t="str">
        <f>HYPERLINK("https://media.infra-m.ru/1960/1960155/cover/1960155.jpg", "Обложка")</f>
        <v>Обложка</v>
      </c>
      <c r="V1360" s="24" t="str">
        <f>HYPERLINK("https://znanium.ru/catalog/product/1931479", "Ознакомиться")</f>
        <v>Ознакомиться</v>
      </c>
      <c r="W1360" s="8" t="s">
        <v>8577</v>
      </c>
      <c r="X1360" s="6"/>
      <c r="Y1360" s="6"/>
      <c r="Z1360" s="6"/>
      <c r="AA1360" s="6" t="s">
        <v>84</v>
      </c>
      <c r="AB1360" s="8"/>
    </row>
    <row r="1361" spans="1:28" s="4" customFormat="1" ht="51.95" customHeight="1">
      <c r="A1361" s="5">
        <v>0</v>
      </c>
      <c r="B1361" s="6" t="s">
        <v>8578</v>
      </c>
      <c r="C1361" s="13">
        <v>1170</v>
      </c>
      <c r="D1361" s="8" t="s">
        <v>8579</v>
      </c>
      <c r="E1361" s="8" t="s">
        <v>8573</v>
      </c>
      <c r="F1361" s="8" t="s">
        <v>8574</v>
      </c>
      <c r="G1361" s="6" t="s">
        <v>52</v>
      </c>
      <c r="H1361" s="6" t="s">
        <v>184</v>
      </c>
      <c r="I1361" s="8" t="s">
        <v>185</v>
      </c>
      <c r="J1361" s="9">
        <v>1</v>
      </c>
      <c r="K1361" s="9">
        <v>344</v>
      </c>
      <c r="L1361" s="9">
        <v>2020</v>
      </c>
      <c r="M1361" s="8" t="s">
        <v>8580</v>
      </c>
      <c r="N1361" s="8" t="s">
        <v>79</v>
      </c>
      <c r="O1361" s="8" t="s">
        <v>80</v>
      </c>
      <c r="P1361" s="6" t="s">
        <v>43</v>
      </c>
      <c r="Q1361" s="8" t="s">
        <v>102</v>
      </c>
      <c r="R1361" s="10" t="s">
        <v>8581</v>
      </c>
      <c r="S1361" s="11"/>
      <c r="T1361" s="6" t="s">
        <v>299</v>
      </c>
      <c r="U1361" s="24" t="str">
        <f>HYPERLINK("https://media.infra-m.ru/1043/1043097/cover/1043097.jpg", "Обложка")</f>
        <v>Обложка</v>
      </c>
      <c r="V1361" s="24" t="str">
        <f>HYPERLINK("https://znanium.ru/catalog/product/1902847", "Ознакомиться")</f>
        <v>Ознакомиться</v>
      </c>
      <c r="W1361" s="8" t="s">
        <v>8577</v>
      </c>
      <c r="X1361" s="6"/>
      <c r="Y1361" s="6"/>
      <c r="Z1361" s="6" t="s">
        <v>104</v>
      </c>
      <c r="AA1361" s="6" t="s">
        <v>793</v>
      </c>
      <c r="AB1361" s="8"/>
    </row>
    <row r="1362" spans="1:28" s="4" customFormat="1" ht="51.95" customHeight="1">
      <c r="A1362" s="5">
        <v>0</v>
      </c>
      <c r="B1362" s="6" t="s">
        <v>8582</v>
      </c>
      <c r="C1362" s="7">
        <v>264.89999999999998</v>
      </c>
      <c r="D1362" s="8" t="s">
        <v>8583</v>
      </c>
      <c r="E1362" s="8" t="s">
        <v>8584</v>
      </c>
      <c r="F1362" s="8" t="s">
        <v>8585</v>
      </c>
      <c r="G1362" s="6" t="s">
        <v>38</v>
      </c>
      <c r="H1362" s="6" t="s">
        <v>39</v>
      </c>
      <c r="I1362" s="8" t="s">
        <v>90</v>
      </c>
      <c r="J1362" s="9">
        <v>1</v>
      </c>
      <c r="K1362" s="9">
        <v>88</v>
      </c>
      <c r="L1362" s="9">
        <v>2019</v>
      </c>
      <c r="M1362" s="8" t="s">
        <v>8586</v>
      </c>
      <c r="N1362" s="8" t="s">
        <v>413</v>
      </c>
      <c r="O1362" s="8" t="s">
        <v>414</v>
      </c>
      <c r="P1362" s="6" t="s">
        <v>43</v>
      </c>
      <c r="Q1362" s="8" t="s">
        <v>44</v>
      </c>
      <c r="R1362" s="10" t="s">
        <v>8587</v>
      </c>
      <c r="S1362" s="11"/>
      <c r="T1362" s="6"/>
      <c r="U1362" s="24" t="str">
        <f>HYPERLINK("https://media.infra-m.ru/1002/1002753/cover/1002753.jpg", "Обложка")</f>
        <v>Обложка</v>
      </c>
      <c r="V1362" s="24" t="str">
        <f>HYPERLINK("https://znanium.ru/catalog/product/2123404", "Ознакомиться")</f>
        <v>Ознакомиться</v>
      </c>
      <c r="W1362" s="8" t="s">
        <v>8588</v>
      </c>
      <c r="X1362" s="6"/>
      <c r="Y1362" s="6"/>
      <c r="Z1362" s="6"/>
      <c r="AA1362" s="6" t="s">
        <v>47</v>
      </c>
      <c r="AB1362" s="8"/>
    </row>
    <row r="1363" spans="1:28" s="4" customFormat="1" ht="51.95" customHeight="1">
      <c r="A1363" s="5">
        <v>0</v>
      </c>
      <c r="B1363" s="6" t="s">
        <v>8589</v>
      </c>
      <c r="C1363" s="7">
        <v>664</v>
      </c>
      <c r="D1363" s="8" t="s">
        <v>8590</v>
      </c>
      <c r="E1363" s="8" t="s">
        <v>8591</v>
      </c>
      <c r="F1363" s="8" t="s">
        <v>8592</v>
      </c>
      <c r="G1363" s="6" t="s">
        <v>38</v>
      </c>
      <c r="H1363" s="6" t="s">
        <v>39</v>
      </c>
      <c r="I1363" s="8" t="s">
        <v>90</v>
      </c>
      <c r="J1363" s="9">
        <v>1</v>
      </c>
      <c r="K1363" s="9">
        <v>127</v>
      </c>
      <c r="L1363" s="9">
        <v>2025</v>
      </c>
      <c r="M1363" s="8" t="s">
        <v>8593</v>
      </c>
      <c r="N1363" s="8" t="s">
        <v>413</v>
      </c>
      <c r="O1363" s="8" t="s">
        <v>414</v>
      </c>
      <c r="P1363" s="6" t="s">
        <v>43</v>
      </c>
      <c r="Q1363" s="8" t="s">
        <v>44</v>
      </c>
      <c r="R1363" s="10" t="s">
        <v>8587</v>
      </c>
      <c r="S1363" s="11" t="s">
        <v>8594</v>
      </c>
      <c r="T1363" s="6"/>
      <c r="U1363" s="24" t="str">
        <f>HYPERLINK("https://media.infra-m.ru/2196/2196911/cover/2196911.jpg", "Обложка")</f>
        <v>Обложка</v>
      </c>
      <c r="V1363" s="24" t="str">
        <f>HYPERLINK("https://znanium.ru/catalog/product/2123404", "Ознакомиться")</f>
        <v>Ознакомиться</v>
      </c>
      <c r="W1363" s="8" t="s">
        <v>8588</v>
      </c>
      <c r="X1363" s="6"/>
      <c r="Y1363" s="6"/>
      <c r="Z1363" s="6"/>
      <c r="AA1363" s="6" t="s">
        <v>95</v>
      </c>
      <c r="AB1363" s="8"/>
    </row>
    <row r="1364" spans="1:28" s="4" customFormat="1" ht="51.95" customHeight="1">
      <c r="A1364" s="5">
        <v>0</v>
      </c>
      <c r="B1364" s="6" t="s">
        <v>8595</v>
      </c>
      <c r="C1364" s="7">
        <v>854.9</v>
      </c>
      <c r="D1364" s="8" t="s">
        <v>8596</v>
      </c>
      <c r="E1364" s="8" t="s">
        <v>8597</v>
      </c>
      <c r="F1364" s="8" t="s">
        <v>8598</v>
      </c>
      <c r="G1364" s="6" t="s">
        <v>52</v>
      </c>
      <c r="H1364" s="6" t="s">
        <v>53</v>
      </c>
      <c r="I1364" s="8" t="s">
        <v>90</v>
      </c>
      <c r="J1364" s="9">
        <v>1</v>
      </c>
      <c r="K1364" s="9">
        <v>189</v>
      </c>
      <c r="L1364" s="9">
        <v>2023</v>
      </c>
      <c r="M1364" s="8" t="s">
        <v>8599</v>
      </c>
      <c r="N1364" s="8" t="s">
        <v>41</v>
      </c>
      <c r="O1364" s="8" t="s">
        <v>1007</v>
      </c>
      <c r="P1364" s="6" t="s">
        <v>43</v>
      </c>
      <c r="Q1364" s="8" t="s">
        <v>44</v>
      </c>
      <c r="R1364" s="10" t="s">
        <v>8600</v>
      </c>
      <c r="S1364" s="11" t="s">
        <v>8601</v>
      </c>
      <c r="T1364" s="6"/>
      <c r="U1364" s="24" t="str">
        <f>HYPERLINK("https://media.infra-m.ru/1981/1981671/cover/1981671.jpg", "Обложка")</f>
        <v>Обложка</v>
      </c>
      <c r="V1364" s="24" t="str">
        <f>HYPERLINK("https://znanium.ru/catalog/product/1855493", "Ознакомиться")</f>
        <v>Ознакомиться</v>
      </c>
      <c r="W1364" s="8" t="s">
        <v>2080</v>
      </c>
      <c r="X1364" s="6"/>
      <c r="Y1364" s="6"/>
      <c r="Z1364" s="6"/>
      <c r="AA1364" s="6" t="s">
        <v>84</v>
      </c>
      <c r="AB1364" s="8"/>
    </row>
    <row r="1365" spans="1:28" s="4" customFormat="1" ht="51.95" customHeight="1">
      <c r="A1365" s="5">
        <v>0</v>
      </c>
      <c r="B1365" s="6" t="s">
        <v>8602</v>
      </c>
      <c r="C1365" s="7">
        <v>794.9</v>
      </c>
      <c r="D1365" s="8" t="s">
        <v>8603</v>
      </c>
      <c r="E1365" s="8" t="s">
        <v>8604</v>
      </c>
      <c r="F1365" s="8" t="s">
        <v>8605</v>
      </c>
      <c r="G1365" s="6" t="s">
        <v>52</v>
      </c>
      <c r="H1365" s="6" t="s">
        <v>53</v>
      </c>
      <c r="I1365" s="8" t="s">
        <v>90</v>
      </c>
      <c r="J1365" s="9">
        <v>1</v>
      </c>
      <c r="K1365" s="9">
        <v>176</v>
      </c>
      <c r="L1365" s="9">
        <v>2023</v>
      </c>
      <c r="M1365" s="8" t="s">
        <v>8606</v>
      </c>
      <c r="N1365" s="8" t="s">
        <v>41</v>
      </c>
      <c r="O1365" s="8" t="s">
        <v>1007</v>
      </c>
      <c r="P1365" s="6" t="s">
        <v>43</v>
      </c>
      <c r="Q1365" s="8" t="s">
        <v>44</v>
      </c>
      <c r="R1365" s="10" t="s">
        <v>8607</v>
      </c>
      <c r="S1365" s="11" t="s">
        <v>8608</v>
      </c>
      <c r="T1365" s="6" t="s">
        <v>299</v>
      </c>
      <c r="U1365" s="24" t="str">
        <f>HYPERLINK("https://media.infra-m.ru/1891/1891922/cover/1891922.jpg", "Обложка")</f>
        <v>Обложка</v>
      </c>
      <c r="V1365" s="24" t="str">
        <f>HYPERLINK("https://znanium.ru/catalog/product/1010084", "Ознакомиться")</f>
        <v>Ознакомиться</v>
      </c>
      <c r="W1365" s="8" t="s">
        <v>2080</v>
      </c>
      <c r="X1365" s="6"/>
      <c r="Y1365" s="6"/>
      <c r="Z1365" s="6"/>
      <c r="AA1365" s="6" t="s">
        <v>47</v>
      </c>
      <c r="AB1365" s="8"/>
    </row>
    <row r="1366" spans="1:28" s="4" customFormat="1" ht="42" customHeight="1">
      <c r="A1366" s="5">
        <v>0</v>
      </c>
      <c r="B1366" s="6" t="s">
        <v>8609</v>
      </c>
      <c r="C1366" s="13">
        <v>2484</v>
      </c>
      <c r="D1366" s="8" t="s">
        <v>8610</v>
      </c>
      <c r="E1366" s="8" t="s">
        <v>8611</v>
      </c>
      <c r="F1366" s="8" t="s">
        <v>8612</v>
      </c>
      <c r="G1366" s="6" t="s">
        <v>52</v>
      </c>
      <c r="H1366" s="6" t="s">
        <v>674</v>
      </c>
      <c r="I1366" s="8"/>
      <c r="J1366" s="9">
        <v>1</v>
      </c>
      <c r="K1366" s="9">
        <v>496</v>
      </c>
      <c r="L1366" s="9">
        <v>2025</v>
      </c>
      <c r="M1366" s="8" t="s">
        <v>8613</v>
      </c>
      <c r="N1366" s="8" t="s">
        <v>41</v>
      </c>
      <c r="O1366" s="8" t="s">
        <v>676</v>
      </c>
      <c r="P1366" s="6" t="s">
        <v>43</v>
      </c>
      <c r="Q1366" s="8" t="s">
        <v>44</v>
      </c>
      <c r="R1366" s="10" t="s">
        <v>791</v>
      </c>
      <c r="S1366" s="11"/>
      <c r="T1366" s="6"/>
      <c r="U1366" s="24" t="str">
        <f>HYPERLINK("https://media.infra-m.ru/2167/2167409/cover/2167409.jpg", "Обложка")</f>
        <v>Обложка</v>
      </c>
      <c r="V1366" s="24" t="str">
        <f>HYPERLINK("https://znanium.ru/catalog/product/2160527", "Ознакомиться")</f>
        <v>Ознакомиться</v>
      </c>
      <c r="W1366" s="8" t="s">
        <v>792</v>
      </c>
      <c r="X1366" s="6"/>
      <c r="Y1366" s="6"/>
      <c r="Z1366" s="6"/>
      <c r="AA1366" s="6" t="s">
        <v>219</v>
      </c>
      <c r="AB1366" s="8"/>
    </row>
    <row r="1367" spans="1:28" s="4" customFormat="1" ht="42" customHeight="1">
      <c r="A1367" s="5">
        <v>0</v>
      </c>
      <c r="B1367" s="6" t="s">
        <v>8614</v>
      </c>
      <c r="C1367" s="7">
        <v>560</v>
      </c>
      <c r="D1367" s="8" t="s">
        <v>8615</v>
      </c>
      <c r="E1367" s="8" t="s">
        <v>8616</v>
      </c>
      <c r="F1367" s="8" t="s">
        <v>8617</v>
      </c>
      <c r="G1367" s="6" t="s">
        <v>38</v>
      </c>
      <c r="H1367" s="6" t="s">
        <v>184</v>
      </c>
      <c r="I1367" s="8" t="s">
        <v>8618</v>
      </c>
      <c r="J1367" s="9">
        <v>1</v>
      </c>
      <c r="K1367" s="9">
        <v>99</v>
      </c>
      <c r="L1367" s="9">
        <v>2025</v>
      </c>
      <c r="M1367" s="8" t="s">
        <v>8619</v>
      </c>
      <c r="N1367" s="8" t="s">
        <v>79</v>
      </c>
      <c r="O1367" s="8" t="s">
        <v>80</v>
      </c>
      <c r="P1367" s="6" t="s">
        <v>937</v>
      </c>
      <c r="Q1367" s="8" t="s">
        <v>58</v>
      </c>
      <c r="R1367" s="10" t="s">
        <v>8620</v>
      </c>
      <c r="S1367" s="11"/>
      <c r="T1367" s="6"/>
      <c r="U1367" s="24" t="str">
        <f>HYPERLINK("https://media.infra-m.ru/2173/2173231/cover/2173231.jpg", "Обложка")</f>
        <v>Обложка</v>
      </c>
      <c r="V1367" s="24" t="str">
        <f>HYPERLINK("https://znanium.ru/catalog/product/2173231", "Ознакомиться")</f>
        <v>Ознакомиться</v>
      </c>
      <c r="W1367" s="8" t="s">
        <v>8621</v>
      </c>
      <c r="X1367" s="6" t="s">
        <v>785</v>
      </c>
      <c r="Y1367" s="6"/>
      <c r="Z1367" s="6"/>
      <c r="AA1367" s="6" t="s">
        <v>61</v>
      </c>
      <c r="AB1367" s="8"/>
    </row>
    <row r="1368" spans="1:28" s="4" customFormat="1" ht="51.95" customHeight="1">
      <c r="A1368" s="5">
        <v>0</v>
      </c>
      <c r="B1368" s="6" t="s">
        <v>8622</v>
      </c>
      <c r="C1368" s="13">
        <v>1100</v>
      </c>
      <c r="D1368" s="8" t="s">
        <v>8623</v>
      </c>
      <c r="E1368" s="8" t="s">
        <v>8624</v>
      </c>
      <c r="F1368" s="8" t="s">
        <v>8178</v>
      </c>
      <c r="G1368" s="6" t="s">
        <v>89</v>
      </c>
      <c r="H1368" s="6" t="s">
        <v>53</v>
      </c>
      <c r="I1368" s="8" t="s">
        <v>100</v>
      </c>
      <c r="J1368" s="9">
        <v>1</v>
      </c>
      <c r="K1368" s="9">
        <v>227</v>
      </c>
      <c r="L1368" s="9">
        <v>2023</v>
      </c>
      <c r="M1368" s="8" t="s">
        <v>8625</v>
      </c>
      <c r="N1368" s="8" t="s">
        <v>41</v>
      </c>
      <c r="O1368" s="8" t="s">
        <v>278</v>
      </c>
      <c r="P1368" s="6" t="s">
        <v>43</v>
      </c>
      <c r="Q1368" s="8" t="s">
        <v>102</v>
      </c>
      <c r="R1368" s="10" t="s">
        <v>8626</v>
      </c>
      <c r="S1368" s="11" t="s">
        <v>8627</v>
      </c>
      <c r="T1368" s="6"/>
      <c r="U1368" s="24" t="str">
        <f>HYPERLINK("https://media.infra-m.ru/1964/1964982/cover/1964982.jpg", "Обложка")</f>
        <v>Обложка</v>
      </c>
      <c r="V1368" s="24" t="str">
        <f>HYPERLINK("https://znanium.ru/catalog/product/1964982", "Ознакомиться")</f>
        <v>Ознакомиться</v>
      </c>
      <c r="W1368" s="8" t="s">
        <v>8182</v>
      </c>
      <c r="X1368" s="6"/>
      <c r="Y1368" s="6"/>
      <c r="Z1368" s="6"/>
      <c r="AA1368" s="6" t="s">
        <v>235</v>
      </c>
      <c r="AB1368" s="8"/>
    </row>
    <row r="1369" spans="1:28" s="4" customFormat="1" ht="51.95" customHeight="1">
      <c r="A1369" s="5">
        <v>0</v>
      </c>
      <c r="B1369" s="6" t="s">
        <v>8628</v>
      </c>
      <c r="C1369" s="13">
        <v>2190</v>
      </c>
      <c r="D1369" s="8" t="s">
        <v>8629</v>
      </c>
      <c r="E1369" s="8" t="s">
        <v>8630</v>
      </c>
      <c r="F1369" s="8" t="s">
        <v>5829</v>
      </c>
      <c r="G1369" s="6" t="s">
        <v>52</v>
      </c>
      <c r="H1369" s="6" t="s">
        <v>53</v>
      </c>
      <c r="I1369" s="8" t="s">
        <v>116</v>
      </c>
      <c r="J1369" s="9">
        <v>1</v>
      </c>
      <c r="K1369" s="9">
        <v>463</v>
      </c>
      <c r="L1369" s="9">
        <v>2025</v>
      </c>
      <c r="M1369" s="8" t="s">
        <v>8631</v>
      </c>
      <c r="N1369" s="8" t="s">
        <v>56</v>
      </c>
      <c r="O1369" s="8" t="s">
        <v>2183</v>
      </c>
      <c r="P1369" s="6" t="s">
        <v>43</v>
      </c>
      <c r="Q1369" s="8" t="s">
        <v>44</v>
      </c>
      <c r="R1369" s="10" t="s">
        <v>8632</v>
      </c>
      <c r="S1369" s="11" t="s">
        <v>8633</v>
      </c>
      <c r="T1369" s="6"/>
      <c r="U1369" s="24" t="str">
        <f>HYPERLINK("https://media.infra-m.ru/2084/2084183/cover/2084183.jpg", "Обложка")</f>
        <v>Обложка</v>
      </c>
      <c r="V1369" s="24" t="str">
        <f>HYPERLINK("https://znanium.ru/catalog/product/2084183", "Ознакомиться")</f>
        <v>Ознакомиться</v>
      </c>
      <c r="W1369" s="8" t="s">
        <v>5825</v>
      </c>
      <c r="X1369" s="6"/>
      <c r="Y1369" s="6"/>
      <c r="Z1369" s="6"/>
      <c r="AA1369" s="6" t="s">
        <v>235</v>
      </c>
      <c r="AB1369" s="8"/>
    </row>
    <row r="1370" spans="1:28" s="4" customFormat="1" ht="42" customHeight="1">
      <c r="A1370" s="5">
        <v>0</v>
      </c>
      <c r="B1370" s="6" t="s">
        <v>8634</v>
      </c>
      <c r="C1370" s="13">
        <v>1000</v>
      </c>
      <c r="D1370" s="8" t="s">
        <v>8635</v>
      </c>
      <c r="E1370" s="8" t="s">
        <v>8636</v>
      </c>
      <c r="F1370" s="8" t="s">
        <v>8637</v>
      </c>
      <c r="G1370" s="6" t="s">
        <v>89</v>
      </c>
      <c r="H1370" s="6" t="s">
        <v>184</v>
      </c>
      <c r="I1370" s="8" t="s">
        <v>116</v>
      </c>
      <c r="J1370" s="9">
        <v>1</v>
      </c>
      <c r="K1370" s="9">
        <v>218</v>
      </c>
      <c r="L1370" s="9">
        <v>2024</v>
      </c>
      <c r="M1370" s="8" t="s">
        <v>8638</v>
      </c>
      <c r="N1370" s="8" t="s">
        <v>56</v>
      </c>
      <c r="O1370" s="8" t="s">
        <v>57</v>
      </c>
      <c r="P1370" s="6" t="s">
        <v>43</v>
      </c>
      <c r="Q1370" s="8" t="s">
        <v>44</v>
      </c>
      <c r="R1370" s="10" t="s">
        <v>7305</v>
      </c>
      <c r="S1370" s="11"/>
      <c r="T1370" s="6"/>
      <c r="U1370" s="24" t="str">
        <f>HYPERLINK("https://media.infra-m.ru/2102/2102658/cover/2102658.jpg", "Обложка")</f>
        <v>Обложка</v>
      </c>
      <c r="V1370" s="12"/>
      <c r="W1370" s="8" t="s">
        <v>8639</v>
      </c>
      <c r="X1370" s="6"/>
      <c r="Y1370" s="6"/>
      <c r="Z1370" s="6"/>
      <c r="AA1370" s="6" t="s">
        <v>151</v>
      </c>
      <c r="AB1370" s="8"/>
    </row>
    <row r="1371" spans="1:28" s="4" customFormat="1" ht="51.95" customHeight="1">
      <c r="A1371" s="5">
        <v>0</v>
      </c>
      <c r="B1371" s="6" t="s">
        <v>8640</v>
      </c>
      <c r="C1371" s="13">
        <v>1200</v>
      </c>
      <c r="D1371" s="8" t="s">
        <v>8641</v>
      </c>
      <c r="E1371" s="8" t="s">
        <v>8642</v>
      </c>
      <c r="F1371" s="8" t="s">
        <v>8643</v>
      </c>
      <c r="G1371" s="6" t="s">
        <v>89</v>
      </c>
      <c r="H1371" s="6" t="s">
        <v>184</v>
      </c>
      <c r="I1371" s="8" t="s">
        <v>185</v>
      </c>
      <c r="J1371" s="9">
        <v>1</v>
      </c>
      <c r="K1371" s="9">
        <v>242</v>
      </c>
      <c r="L1371" s="9">
        <v>2025</v>
      </c>
      <c r="M1371" s="8" t="s">
        <v>8644</v>
      </c>
      <c r="N1371" s="8" t="s">
        <v>56</v>
      </c>
      <c r="O1371" s="8" t="s">
        <v>57</v>
      </c>
      <c r="P1371" s="6" t="s">
        <v>43</v>
      </c>
      <c r="Q1371" s="8" t="s">
        <v>44</v>
      </c>
      <c r="R1371" s="10" t="s">
        <v>8645</v>
      </c>
      <c r="S1371" s="11"/>
      <c r="T1371" s="6"/>
      <c r="U1371" s="24" t="str">
        <f>HYPERLINK("https://media.infra-m.ru/2183/2183660/cover/2183660.jpg", "Обложка")</f>
        <v>Обложка</v>
      </c>
      <c r="V1371" s="24" t="str">
        <f>HYPERLINK("https://znanium.ru/catalog/product/2183660", "Ознакомиться")</f>
        <v>Ознакомиться</v>
      </c>
      <c r="W1371" s="8" t="s">
        <v>913</v>
      </c>
      <c r="X1371" s="6"/>
      <c r="Y1371" s="6"/>
      <c r="Z1371" s="6"/>
      <c r="AA1371" s="6" t="s">
        <v>442</v>
      </c>
      <c r="AB1371" s="8"/>
    </row>
    <row r="1372" spans="1:28" s="4" customFormat="1" ht="42" customHeight="1">
      <c r="A1372" s="5">
        <v>0</v>
      </c>
      <c r="B1372" s="6" t="s">
        <v>8646</v>
      </c>
      <c r="C1372" s="7">
        <v>624</v>
      </c>
      <c r="D1372" s="8" t="s">
        <v>8647</v>
      </c>
      <c r="E1372" s="8" t="s">
        <v>8648</v>
      </c>
      <c r="F1372" s="8" t="s">
        <v>8649</v>
      </c>
      <c r="G1372" s="6" t="s">
        <v>52</v>
      </c>
      <c r="H1372" s="6" t="s">
        <v>438</v>
      </c>
      <c r="I1372" s="8"/>
      <c r="J1372" s="9">
        <v>1</v>
      </c>
      <c r="K1372" s="9">
        <v>120</v>
      </c>
      <c r="L1372" s="9">
        <v>2025</v>
      </c>
      <c r="M1372" s="8" t="s">
        <v>8650</v>
      </c>
      <c r="N1372" s="8" t="s">
        <v>79</v>
      </c>
      <c r="O1372" s="8" t="s">
        <v>396</v>
      </c>
      <c r="P1372" s="6" t="s">
        <v>43</v>
      </c>
      <c r="Q1372" s="8" t="s">
        <v>58</v>
      </c>
      <c r="R1372" s="10" t="s">
        <v>5362</v>
      </c>
      <c r="S1372" s="11"/>
      <c r="T1372" s="6"/>
      <c r="U1372" s="24" t="str">
        <f>HYPERLINK("https://media.infra-m.ru/2197/2197587/cover/2197587.jpg", "Обложка")</f>
        <v>Обложка</v>
      </c>
      <c r="V1372" s="24" t="str">
        <f>HYPERLINK("https://znanium.ru/catalog/product/1916408", "Ознакомиться")</f>
        <v>Ознакомиться</v>
      </c>
      <c r="W1372" s="8"/>
      <c r="X1372" s="6"/>
      <c r="Y1372" s="6"/>
      <c r="Z1372" s="6"/>
      <c r="AA1372" s="6" t="s">
        <v>151</v>
      </c>
      <c r="AB1372" s="8"/>
    </row>
    <row r="1373" spans="1:28" s="4" customFormat="1" ht="51.95" customHeight="1">
      <c r="A1373" s="5">
        <v>0</v>
      </c>
      <c r="B1373" s="6" t="s">
        <v>8651</v>
      </c>
      <c r="C1373" s="13">
        <v>1010</v>
      </c>
      <c r="D1373" s="8" t="s">
        <v>8652</v>
      </c>
      <c r="E1373" s="8" t="s">
        <v>8653</v>
      </c>
      <c r="F1373" s="8" t="s">
        <v>5988</v>
      </c>
      <c r="G1373" s="6" t="s">
        <v>89</v>
      </c>
      <c r="H1373" s="6" t="s">
        <v>53</v>
      </c>
      <c r="I1373" s="8" t="s">
        <v>100</v>
      </c>
      <c r="J1373" s="9">
        <v>1</v>
      </c>
      <c r="K1373" s="9">
        <v>296</v>
      </c>
      <c r="L1373" s="9">
        <v>2020</v>
      </c>
      <c r="M1373" s="8" t="s">
        <v>8654</v>
      </c>
      <c r="N1373" s="8" t="s">
        <v>79</v>
      </c>
      <c r="O1373" s="8" t="s">
        <v>570</v>
      </c>
      <c r="P1373" s="6" t="s">
        <v>167</v>
      </c>
      <c r="Q1373" s="8" t="s">
        <v>102</v>
      </c>
      <c r="R1373" s="10" t="s">
        <v>8655</v>
      </c>
      <c r="S1373" s="11" t="s">
        <v>577</v>
      </c>
      <c r="T1373" s="6"/>
      <c r="U1373" s="24" t="str">
        <f>HYPERLINK("https://media.infra-m.ru/1099/1099207/cover/1099207.jpg", "Обложка")</f>
        <v>Обложка</v>
      </c>
      <c r="V1373" s="24" t="str">
        <f>HYPERLINK("https://znanium.ru/catalog/product/1099207", "Ознакомиться")</f>
        <v>Ознакомиться</v>
      </c>
      <c r="W1373" s="8" t="s">
        <v>450</v>
      </c>
      <c r="X1373" s="6"/>
      <c r="Y1373" s="6"/>
      <c r="Z1373" s="6" t="s">
        <v>104</v>
      </c>
      <c r="AA1373" s="6" t="s">
        <v>151</v>
      </c>
      <c r="AB1373" s="8"/>
    </row>
    <row r="1374" spans="1:28" s="4" customFormat="1" ht="51.95" customHeight="1">
      <c r="A1374" s="5">
        <v>0</v>
      </c>
      <c r="B1374" s="6" t="s">
        <v>8656</v>
      </c>
      <c r="C1374" s="13">
        <v>1484</v>
      </c>
      <c r="D1374" s="8" t="s">
        <v>8657</v>
      </c>
      <c r="E1374" s="8" t="s">
        <v>8653</v>
      </c>
      <c r="F1374" s="8" t="s">
        <v>5988</v>
      </c>
      <c r="G1374" s="6" t="s">
        <v>89</v>
      </c>
      <c r="H1374" s="6" t="s">
        <v>53</v>
      </c>
      <c r="I1374" s="8" t="s">
        <v>116</v>
      </c>
      <c r="J1374" s="9">
        <v>1</v>
      </c>
      <c r="K1374" s="9">
        <v>296</v>
      </c>
      <c r="L1374" s="9">
        <v>2024</v>
      </c>
      <c r="M1374" s="8" t="s">
        <v>8658</v>
      </c>
      <c r="N1374" s="8" t="s">
        <v>79</v>
      </c>
      <c r="O1374" s="8" t="s">
        <v>570</v>
      </c>
      <c r="P1374" s="6" t="s">
        <v>167</v>
      </c>
      <c r="Q1374" s="8" t="s">
        <v>44</v>
      </c>
      <c r="R1374" s="10" t="s">
        <v>8659</v>
      </c>
      <c r="S1374" s="11" t="s">
        <v>8660</v>
      </c>
      <c r="T1374" s="6"/>
      <c r="U1374" s="24" t="str">
        <f>HYPERLINK("https://media.infra-m.ru/2143/2143376/cover/2143376.jpg", "Обложка")</f>
        <v>Обложка</v>
      </c>
      <c r="V1374" s="24" t="str">
        <f>HYPERLINK("https://znanium.ru/catalog/product/1861936", "Ознакомиться")</f>
        <v>Ознакомиться</v>
      </c>
      <c r="W1374" s="8" t="s">
        <v>450</v>
      </c>
      <c r="X1374" s="6"/>
      <c r="Y1374" s="6"/>
      <c r="Z1374" s="6"/>
      <c r="AA1374" s="6" t="s">
        <v>442</v>
      </c>
      <c r="AB1374" s="8"/>
    </row>
    <row r="1375" spans="1:28" s="4" customFormat="1" ht="51.95" customHeight="1">
      <c r="A1375" s="5">
        <v>0</v>
      </c>
      <c r="B1375" s="6" t="s">
        <v>8661</v>
      </c>
      <c r="C1375" s="13">
        <v>1170</v>
      </c>
      <c r="D1375" s="8" t="s">
        <v>8662</v>
      </c>
      <c r="E1375" s="8" t="s">
        <v>8663</v>
      </c>
      <c r="F1375" s="8" t="s">
        <v>5988</v>
      </c>
      <c r="G1375" s="6" t="s">
        <v>89</v>
      </c>
      <c r="H1375" s="6" t="s">
        <v>39</v>
      </c>
      <c r="I1375" s="8" t="s">
        <v>100</v>
      </c>
      <c r="J1375" s="9">
        <v>1</v>
      </c>
      <c r="K1375" s="9">
        <v>224</v>
      </c>
      <c r="L1375" s="9">
        <v>2025</v>
      </c>
      <c r="M1375" s="8" t="s">
        <v>8664</v>
      </c>
      <c r="N1375" s="8" t="s">
        <v>79</v>
      </c>
      <c r="O1375" s="8" t="s">
        <v>570</v>
      </c>
      <c r="P1375" s="6" t="s">
        <v>43</v>
      </c>
      <c r="Q1375" s="8" t="s">
        <v>102</v>
      </c>
      <c r="R1375" s="10" t="s">
        <v>8665</v>
      </c>
      <c r="S1375" s="11" t="s">
        <v>6437</v>
      </c>
      <c r="T1375" s="6"/>
      <c r="U1375" s="24" t="str">
        <f>HYPERLINK("https://media.infra-m.ru/2125/2125850/cover/2125850.jpg", "Обложка")</f>
        <v>Обложка</v>
      </c>
      <c r="V1375" s="24" t="str">
        <f>HYPERLINK("https://znanium.ru/catalog/product/2125850", "Ознакомиться")</f>
        <v>Ознакомиться</v>
      </c>
      <c r="W1375" s="8" t="s">
        <v>450</v>
      </c>
      <c r="X1375" s="6"/>
      <c r="Y1375" s="6"/>
      <c r="Z1375" s="6" t="s">
        <v>104</v>
      </c>
      <c r="AA1375" s="6" t="s">
        <v>196</v>
      </c>
      <c r="AB1375" s="8"/>
    </row>
    <row r="1376" spans="1:28" s="4" customFormat="1" ht="51.95" customHeight="1">
      <c r="A1376" s="5">
        <v>0</v>
      </c>
      <c r="B1376" s="6" t="s">
        <v>8666</v>
      </c>
      <c r="C1376" s="13">
        <v>1124</v>
      </c>
      <c r="D1376" s="8" t="s">
        <v>8667</v>
      </c>
      <c r="E1376" s="8" t="s">
        <v>8668</v>
      </c>
      <c r="F1376" s="8" t="s">
        <v>8669</v>
      </c>
      <c r="G1376" s="6" t="s">
        <v>52</v>
      </c>
      <c r="H1376" s="6" t="s">
        <v>39</v>
      </c>
      <c r="I1376" s="8" t="s">
        <v>116</v>
      </c>
      <c r="J1376" s="9">
        <v>1</v>
      </c>
      <c r="K1376" s="9">
        <v>224</v>
      </c>
      <c r="L1376" s="9">
        <v>2025</v>
      </c>
      <c r="M1376" s="8" t="s">
        <v>8670</v>
      </c>
      <c r="N1376" s="8" t="s">
        <v>79</v>
      </c>
      <c r="O1376" s="8" t="s">
        <v>570</v>
      </c>
      <c r="P1376" s="6" t="s">
        <v>43</v>
      </c>
      <c r="Q1376" s="8" t="s">
        <v>44</v>
      </c>
      <c r="R1376" s="10" t="s">
        <v>8671</v>
      </c>
      <c r="S1376" s="11" t="s">
        <v>8672</v>
      </c>
      <c r="T1376" s="6"/>
      <c r="U1376" s="24" t="str">
        <f>HYPERLINK("https://media.infra-m.ru/2187/2187295/cover/2187295.jpg", "Обложка")</f>
        <v>Обложка</v>
      </c>
      <c r="V1376" s="24" t="str">
        <f>HYPERLINK("https://znanium.ru/catalog/product/1850364", "Ознакомиться")</f>
        <v>Ознакомиться</v>
      </c>
      <c r="W1376" s="8" t="s">
        <v>450</v>
      </c>
      <c r="X1376" s="6"/>
      <c r="Y1376" s="6"/>
      <c r="Z1376" s="6"/>
      <c r="AA1376" s="6" t="s">
        <v>442</v>
      </c>
      <c r="AB1376" s="8"/>
    </row>
    <row r="1377" spans="1:28" s="4" customFormat="1" ht="51.95" customHeight="1">
      <c r="A1377" s="5">
        <v>0</v>
      </c>
      <c r="B1377" s="6" t="s">
        <v>8673</v>
      </c>
      <c r="C1377" s="13">
        <v>1094</v>
      </c>
      <c r="D1377" s="8" t="s">
        <v>8674</v>
      </c>
      <c r="E1377" s="8" t="s">
        <v>8675</v>
      </c>
      <c r="F1377" s="8" t="s">
        <v>8676</v>
      </c>
      <c r="G1377" s="6" t="s">
        <v>52</v>
      </c>
      <c r="H1377" s="6" t="s">
        <v>184</v>
      </c>
      <c r="I1377" s="8" t="s">
        <v>90</v>
      </c>
      <c r="J1377" s="9">
        <v>1</v>
      </c>
      <c r="K1377" s="9">
        <v>238</v>
      </c>
      <c r="L1377" s="9">
        <v>2024</v>
      </c>
      <c r="M1377" s="8" t="s">
        <v>8677</v>
      </c>
      <c r="N1377" s="8" t="s">
        <v>41</v>
      </c>
      <c r="O1377" s="8" t="s">
        <v>118</v>
      </c>
      <c r="P1377" s="6" t="s">
        <v>43</v>
      </c>
      <c r="Q1377" s="8" t="s">
        <v>44</v>
      </c>
      <c r="R1377" s="10" t="s">
        <v>8678</v>
      </c>
      <c r="S1377" s="11" t="s">
        <v>8679</v>
      </c>
      <c r="T1377" s="6"/>
      <c r="U1377" s="24" t="str">
        <f>HYPERLINK("https://media.infra-m.ru/1851/1851534/cover/1851534.jpg", "Обложка")</f>
        <v>Обложка</v>
      </c>
      <c r="V1377" s="24" t="str">
        <f>HYPERLINK("https://znanium.ru/catalog/product/1102075", "Ознакомиться")</f>
        <v>Ознакомиться</v>
      </c>
      <c r="W1377" s="8" t="s">
        <v>1514</v>
      </c>
      <c r="X1377" s="6"/>
      <c r="Y1377" s="6"/>
      <c r="Z1377" s="6"/>
      <c r="AA1377" s="6" t="s">
        <v>479</v>
      </c>
      <c r="AB1377" s="8"/>
    </row>
    <row r="1378" spans="1:28" s="4" customFormat="1" ht="51.95" customHeight="1">
      <c r="A1378" s="5">
        <v>0</v>
      </c>
      <c r="B1378" s="6" t="s">
        <v>8680</v>
      </c>
      <c r="C1378" s="13">
        <v>1714</v>
      </c>
      <c r="D1378" s="8" t="s">
        <v>8681</v>
      </c>
      <c r="E1378" s="8" t="s">
        <v>8682</v>
      </c>
      <c r="F1378" s="8" t="s">
        <v>8683</v>
      </c>
      <c r="G1378" s="6" t="s">
        <v>89</v>
      </c>
      <c r="H1378" s="6" t="s">
        <v>53</v>
      </c>
      <c r="I1378" s="8" t="s">
        <v>90</v>
      </c>
      <c r="J1378" s="9">
        <v>1</v>
      </c>
      <c r="K1378" s="9">
        <v>342</v>
      </c>
      <c r="L1378" s="9">
        <v>2025</v>
      </c>
      <c r="M1378" s="8" t="s">
        <v>8684</v>
      </c>
      <c r="N1378" s="8" t="s">
        <v>41</v>
      </c>
      <c r="O1378" s="8" t="s">
        <v>1007</v>
      </c>
      <c r="P1378" s="6" t="s">
        <v>43</v>
      </c>
      <c r="Q1378" s="8" t="s">
        <v>44</v>
      </c>
      <c r="R1378" s="10" t="s">
        <v>5657</v>
      </c>
      <c r="S1378" s="11" t="s">
        <v>8685</v>
      </c>
      <c r="T1378" s="6"/>
      <c r="U1378" s="24" t="str">
        <f>HYPERLINK("https://media.infra-m.ru/2188/2188202/cover/2188202.jpg", "Обложка")</f>
        <v>Обложка</v>
      </c>
      <c r="V1378" s="24" t="str">
        <f>HYPERLINK("https://znanium.ru/catalog/product/1155005", "Ознакомиться")</f>
        <v>Ознакомиться</v>
      </c>
      <c r="W1378" s="8" t="s">
        <v>354</v>
      </c>
      <c r="X1378" s="6"/>
      <c r="Y1378" s="6"/>
      <c r="Z1378" s="6"/>
      <c r="AA1378" s="6" t="s">
        <v>2086</v>
      </c>
      <c r="AB1378" s="8"/>
    </row>
    <row r="1379" spans="1:28" s="4" customFormat="1" ht="51.95" customHeight="1">
      <c r="A1379" s="5">
        <v>0</v>
      </c>
      <c r="B1379" s="6" t="s">
        <v>8686</v>
      </c>
      <c r="C1379" s="7">
        <v>694.9</v>
      </c>
      <c r="D1379" s="8" t="s">
        <v>8687</v>
      </c>
      <c r="E1379" s="8" t="s">
        <v>8688</v>
      </c>
      <c r="F1379" s="8" t="s">
        <v>8683</v>
      </c>
      <c r="G1379" s="6" t="s">
        <v>52</v>
      </c>
      <c r="H1379" s="6" t="s">
        <v>53</v>
      </c>
      <c r="I1379" s="8" t="s">
        <v>90</v>
      </c>
      <c r="J1379" s="9">
        <v>20</v>
      </c>
      <c r="K1379" s="9">
        <v>216</v>
      </c>
      <c r="L1379" s="9">
        <v>2019</v>
      </c>
      <c r="M1379" s="8" t="s">
        <v>8689</v>
      </c>
      <c r="N1379" s="8" t="s">
        <v>41</v>
      </c>
      <c r="O1379" s="8" t="s">
        <v>1007</v>
      </c>
      <c r="P1379" s="6" t="s">
        <v>43</v>
      </c>
      <c r="Q1379" s="8" t="s">
        <v>44</v>
      </c>
      <c r="R1379" s="10" t="s">
        <v>5657</v>
      </c>
      <c r="S1379" s="11" t="s">
        <v>8690</v>
      </c>
      <c r="T1379" s="6"/>
      <c r="U1379" s="24" t="str">
        <f>HYPERLINK("https://media.infra-m.ru/0991/0991851/cover/991851.jpg", "Обложка")</f>
        <v>Обложка</v>
      </c>
      <c r="V1379" s="24" t="str">
        <f>HYPERLINK("https://znanium.ru/catalog/product/1155005", "Ознакомиться")</f>
        <v>Ознакомиться</v>
      </c>
      <c r="W1379" s="8" t="s">
        <v>354</v>
      </c>
      <c r="X1379" s="6"/>
      <c r="Y1379" s="6"/>
      <c r="Z1379" s="6"/>
      <c r="AA1379" s="6" t="s">
        <v>2193</v>
      </c>
      <c r="AB1379" s="8"/>
    </row>
    <row r="1380" spans="1:28" s="4" customFormat="1" ht="42" customHeight="1">
      <c r="A1380" s="5">
        <v>0</v>
      </c>
      <c r="B1380" s="6" t="s">
        <v>8691</v>
      </c>
      <c r="C1380" s="13">
        <v>1680</v>
      </c>
      <c r="D1380" s="8" t="s">
        <v>8692</v>
      </c>
      <c r="E1380" s="8" t="s">
        <v>8693</v>
      </c>
      <c r="F1380" s="8" t="s">
        <v>8694</v>
      </c>
      <c r="G1380" s="6" t="s">
        <v>52</v>
      </c>
      <c r="H1380" s="6" t="s">
        <v>53</v>
      </c>
      <c r="I1380" s="8" t="s">
        <v>165</v>
      </c>
      <c r="J1380" s="9">
        <v>1</v>
      </c>
      <c r="K1380" s="9">
        <v>344</v>
      </c>
      <c r="L1380" s="9">
        <v>2023</v>
      </c>
      <c r="M1380" s="8" t="s">
        <v>8695</v>
      </c>
      <c r="N1380" s="8" t="s">
        <v>413</v>
      </c>
      <c r="O1380" s="8" t="s">
        <v>1141</v>
      </c>
      <c r="P1380" s="6" t="s">
        <v>43</v>
      </c>
      <c r="Q1380" s="8" t="s">
        <v>44</v>
      </c>
      <c r="R1380" s="10" t="s">
        <v>1008</v>
      </c>
      <c r="S1380" s="11"/>
      <c r="T1380" s="6"/>
      <c r="U1380" s="24" t="str">
        <f>HYPERLINK("https://media.infra-m.ru/1882/1882574/cover/1882574.jpg", "Обложка")</f>
        <v>Обложка</v>
      </c>
      <c r="V1380" s="24" t="str">
        <f>HYPERLINK("https://znanium.ru/catalog/product/1882574", "Ознакомиться")</f>
        <v>Ознакомиться</v>
      </c>
      <c r="W1380" s="8" t="s">
        <v>83</v>
      </c>
      <c r="X1380" s="6"/>
      <c r="Y1380" s="6"/>
      <c r="Z1380" s="6"/>
      <c r="AA1380" s="6" t="s">
        <v>207</v>
      </c>
      <c r="AB1380" s="8"/>
    </row>
    <row r="1381" spans="1:28" s="4" customFormat="1" ht="51.95" customHeight="1">
      <c r="A1381" s="5">
        <v>0</v>
      </c>
      <c r="B1381" s="6" t="s">
        <v>8696</v>
      </c>
      <c r="C1381" s="13">
        <v>1274</v>
      </c>
      <c r="D1381" s="8" t="s">
        <v>8697</v>
      </c>
      <c r="E1381" s="8" t="s">
        <v>8698</v>
      </c>
      <c r="F1381" s="8" t="s">
        <v>8699</v>
      </c>
      <c r="G1381" s="6" t="s">
        <v>52</v>
      </c>
      <c r="H1381" s="6" t="s">
        <v>438</v>
      </c>
      <c r="I1381" s="8"/>
      <c r="J1381" s="9">
        <v>1</v>
      </c>
      <c r="K1381" s="9">
        <v>256</v>
      </c>
      <c r="L1381" s="9">
        <v>2025</v>
      </c>
      <c r="M1381" s="8" t="s">
        <v>8700</v>
      </c>
      <c r="N1381" s="8" t="s">
        <v>41</v>
      </c>
      <c r="O1381" s="8" t="s">
        <v>118</v>
      </c>
      <c r="P1381" s="6" t="s">
        <v>43</v>
      </c>
      <c r="Q1381" s="8" t="s">
        <v>279</v>
      </c>
      <c r="R1381" s="10" t="s">
        <v>8701</v>
      </c>
      <c r="S1381" s="11" t="s">
        <v>8702</v>
      </c>
      <c r="T1381" s="6"/>
      <c r="U1381" s="24" t="str">
        <f>HYPERLINK("https://media.infra-m.ru/2094/2094355/cover/2094355.jpg", "Обложка")</f>
        <v>Обложка</v>
      </c>
      <c r="V1381" s="24" t="str">
        <f>HYPERLINK("https://znanium.ru/catalog/product/2094355", "Ознакомиться")</f>
        <v>Ознакомиться</v>
      </c>
      <c r="W1381" s="8" t="s">
        <v>2216</v>
      </c>
      <c r="X1381" s="6"/>
      <c r="Y1381" s="6"/>
      <c r="Z1381" s="6"/>
      <c r="AA1381" s="6" t="s">
        <v>47</v>
      </c>
      <c r="AB1381" s="8"/>
    </row>
    <row r="1382" spans="1:28" s="4" customFormat="1" ht="51.95" customHeight="1">
      <c r="A1382" s="5">
        <v>0</v>
      </c>
      <c r="B1382" s="6" t="s">
        <v>8703</v>
      </c>
      <c r="C1382" s="13">
        <v>1420</v>
      </c>
      <c r="D1382" s="8" t="s">
        <v>8704</v>
      </c>
      <c r="E1382" s="8" t="s">
        <v>8705</v>
      </c>
      <c r="F1382" s="8" t="s">
        <v>8706</v>
      </c>
      <c r="G1382" s="6" t="s">
        <v>52</v>
      </c>
      <c r="H1382" s="6" t="s">
        <v>53</v>
      </c>
      <c r="I1382" s="8" t="s">
        <v>116</v>
      </c>
      <c r="J1382" s="9">
        <v>1</v>
      </c>
      <c r="K1382" s="9">
        <v>282</v>
      </c>
      <c r="L1382" s="9">
        <v>2024</v>
      </c>
      <c r="M1382" s="8" t="s">
        <v>8707</v>
      </c>
      <c r="N1382" s="8" t="s">
        <v>41</v>
      </c>
      <c r="O1382" s="8" t="s">
        <v>1007</v>
      </c>
      <c r="P1382" s="6" t="s">
        <v>167</v>
      </c>
      <c r="Q1382" s="8" t="s">
        <v>44</v>
      </c>
      <c r="R1382" s="10" t="s">
        <v>8708</v>
      </c>
      <c r="S1382" s="11"/>
      <c r="T1382" s="6"/>
      <c r="U1382" s="24" t="str">
        <f>HYPERLINK("https://media.infra-m.ru/1959/1959274/cover/1959274.jpg", "Обложка")</f>
        <v>Обложка</v>
      </c>
      <c r="V1382" s="24" t="str">
        <f>HYPERLINK("https://znanium.ru/catalog/product/1959274", "Ознакомиться")</f>
        <v>Ознакомиться</v>
      </c>
      <c r="W1382" s="8" t="s">
        <v>8709</v>
      </c>
      <c r="X1382" s="6" t="s">
        <v>389</v>
      </c>
      <c r="Y1382" s="6"/>
      <c r="Z1382" s="6"/>
      <c r="AA1382" s="6" t="s">
        <v>133</v>
      </c>
      <c r="AB1382" s="8"/>
    </row>
    <row r="1383" spans="1:28" s="4" customFormat="1" ht="51.95" customHeight="1">
      <c r="A1383" s="5">
        <v>0</v>
      </c>
      <c r="B1383" s="6" t="s">
        <v>8710</v>
      </c>
      <c r="C1383" s="13">
        <v>1034.9000000000001</v>
      </c>
      <c r="D1383" s="8" t="s">
        <v>8711</v>
      </c>
      <c r="E1383" s="8" t="s">
        <v>8712</v>
      </c>
      <c r="F1383" s="8" t="s">
        <v>8713</v>
      </c>
      <c r="G1383" s="6" t="s">
        <v>4902</v>
      </c>
      <c r="H1383" s="6" t="s">
        <v>952</v>
      </c>
      <c r="I1383" s="8"/>
      <c r="J1383" s="9">
        <v>10</v>
      </c>
      <c r="K1383" s="9">
        <v>399</v>
      </c>
      <c r="L1383" s="9">
        <v>2016</v>
      </c>
      <c r="M1383" s="8" t="s">
        <v>8714</v>
      </c>
      <c r="N1383" s="8" t="s">
        <v>997</v>
      </c>
      <c r="O1383" s="8" t="s">
        <v>998</v>
      </c>
      <c r="P1383" s="6" t="s">
        <v>1046</v>
      </c>
      <c r="Q1383" s="8" t="s">
        <v>44</v>
      </c>
      <c r="R1383" s="10" t="s">
        <v>8715</v>
      </c>
      <c r="S1383" s="11"/>
      <c r="T1383" s="6"/>
      <c r="U1383" s="12"/>
      <c r="V1383" s="24" t="str">
        <f>HYPERLINK("https://znanium.ru/catalog/product/1048491", "Ознакомиться")</f>
        <v>Ознакомиться</v>
      </c>
      <c r="W1383" s="8" t="s">
        <v>8716</v>
      </c>
      <c r="X1383" s="6"/>
      <c r="Y1383" s="6"/>
      <c r="Z1383" s="6"/>
      <c r="AA1383" s="6" t="s">
        <v>2217</v>
      </c>
      <c r="AB1383" s="8"/>
    </row>
    <row r="1384" spans="1:28" s="4" customFormat="1" ht="42" customHeight="1">
      <c r="A1384" s="5">
        <v>0</v>
      </c>
      <c r="B1384" s="6" t="s">
        <v>8717</v>
      </c>
      <c r="C1384" s="7">
        <v>720</v>
      </c>
      <c r="D1384" s="8" t="s">
        <v>8718</v>
      </c>
      <c r="E1384" s="8" t="s">
        <v>8719</v>
      </c>
      <c r="F1384" s="8" t="s">
        <v>8720</v>
      </c>
      <c r="G1384" s="6" t="s">
        <v>38</v>
      </c>
      <c r="H1384" s="6" t="s">
        <v>53</v>
      </c>
      <c r="I1384" s="8" t="s">
        <v>116</v>
      </c>
      <c r="J1384" s="9">
        <v>1</v>
      </c>
      <c r="K1384" s="9">
        <v>144</v>
      </c>
      <c r="L1384" s="9">
        <v>2025</v>
      </c>
      <c r="M1384" s="8" t="s">
        <v>8721</v>
      </c>
      <c r="N1384" s="8" t="s">
        <v>56</v>
      </c>
      <c r="O1384" s="8" t="s">
        <v>4042</v>
      </c>
      <c r="P1384" s="6" t="s">
        <v>822</v>
      </c>
      <c r="Q1384" s="8" t="s">
        <v>44</v>
      </c>
      <c r="R1384" s="10" t="s">
        <v>8722</v>
      </c>
      <c r="S1384" s="11"/>
      <c r="T1384" s="6"/>
      <c r="U1384" s="24" t="str">
        <f>HYPERLINK("https://media.infra-m.ru/2168/2168380/cover/2168380.jpg", "Обложка")</f>
        <v>Обложка</v>
      </c>
      <c r="V1384" s="24" t="str">
        <f>HYPERLINK("https://znanium.ru/catalog/product/2168380", "Ознакомиться")</f>
        <v>Ознакомиться</v>
      </c>
      <c r="W1384" s="8" t="s">
        <v>8022</v>
      </c>
      <c r="X1384" s="6"/>
      <c r="Y1384" s="6"/>
      <c r="Z1384" s="6"/>
      <c r="AA1384" s="6" t="s">
        <v>235</v>
      </c>
      <c r="AB1384" s="8"/>
    </row>
    <row r="1385" spans="1:28" s="4" customFormat="1" ht="42" customHeight="1">
      <c r="A1385" s="5">
        <v>0</v>
      </c>
      <c r="B1385" s="6" t="s">
        <v>8723</v>
      </c>
      <c r="C1385" s="13">
        <v>1210</v>
      </c>
      <c r="D1385" s="8" t="s">
        <v>8724</v>
      </c>
      <c r="E1385" s="8" t="s">
        <v>8725</v>
      </c>
      <c r="F1385" s="8" t="s">
        <v>8726</v>
      </c>
      <c r="G1385" s="6" t="s">
        <v>52</v>
      </c>
      <c r="H1385" s="6" t="s">
        <v>53</v>
      </c>
      <c r="I1385" s="8" t="s">
        <v>116</v>
      </c>
      <c r="J1385" s="9">
        <v>1</v>
      </c>
      <c r="K1385" s="9">
        <v>238</v>
      </c>
      <c r="L1385" s="9">
        <v>2024</v>
      </c>
      <c r="M1385" s="8" t="s">
        <v>8727</v>
      </c>
      <c r="N1385" s="8" t="s">
        <v>41</v>
      </c>
      <c r="O1385" s="8" t="s">
        <v>4035</v>
      </c>
      <c r="P1385" s="6" t="s">
        <v>43</v>
      </c>
      <c r="Q1385" s="8" t="s">
        <v>44</v>
      </c>
      <c r="R1385" s="10" t="s">
        <v>8728</v>
      </c>
      <c r="S1385" s="11"/>
      <c r="T1385" s="6"/>
      <c r="U1385" s="24" t="str">
        <f>HYPERLINK("https://media.infra-m.ru/1876/1876528/cover/1876528.jpg", "Обложка")</f>
        <v>Обложка</v>
      </c>
      <c r="V1385" s="24" t="str">
        <f>HYPERLINK("https://znanium.ru/catalog/product/1876528", "Ознакомиться")</f>
        <v>Ознакомиться</v>
      </c>
      <c r="W1385" s="8" t="s">
        <v>4331</v>
      </c>
      <c r="X1385" s="6" t="s">
        <v>772</v>
      </c>
      <c r="Y1385" s="6"/>
      <c r="Z1385" s="6"/>
      <c r="AA1385" s="6" t="s">
        <v>133</v>
      </c>
      <c r="AB1385" s="8"/>
    </row>
    <row r="1386" spans="1:28" s="4" customFormat="1" ht="42" customHeight="1">
      <c r="A1386" s="5">
        <v>0</v>
      </c>
      <c r="B1386" s="6" t="s">
        <v>8729</v>
      </c>
      <c r="C1386" s="13">
        <v>1124</v>
      </c>
      <c r="D1386" s="8" t="s">
        <v>8730</v>
      </c>
      <c r="E1386" s="8" t="s">
        <v>8731</v>
      </c>
      <c r="F1386" s="8" t="s">
        <v>8732</v>
      </c>
      <c r="G1386" s="6" t="s">
        <v>89</v>
      </c>
      <c r="H1386" s="6" t="s">
        <v>184</v>
      </c>
      <c r="I1386" s="8" t="s">
        <v>116</v>
      </c>
      <c r="J1386" s="9">
        <v>1</v>
      </c>
      <c r="K1386" s="9">
        <v>216</v>
      </c>
      <c r="L1386" s="9">
        <v>2025</v>
      </c>
      <c r="M1386" s="8" t="s">
        <v>8733</v>
      </c>
      <c r="N1386" s="8" t="s">
        <v>56</v>
      </c>
      <c r="O1386" s="8" t="s">
        <v>57</v>
      </c>
      <c r="P1386" s="6" t="s">
        <v>43</v>
      </c>
      <c r="Q1386" s="8" t="s">
        <v>44</v>
      </c>
      <c r="R1386" s="10" t="s">
        <v>8734</v>
      </c>
      <c r="S1386" s="11"/>
      <c r="T1386" s="6"/>
      <c r="U1386" s="24" t="str">
        <f>HYPERLINK("https://media.infra-m.ru/2200/2200938/cover/2200938.jpg", "Обложка")</f>
        <v>Обложка</v>
      </c>
      <c r="V1386" s="24" t="str">
        <f>HYPERLINK("https://znanium.ru/catalog/product/1915900", "Ознакомиться")</f>
        <v>Ознакомиться</v>
      </c>
      <c r="W1386" s="8" t="s">
        <v>913</v>
      </c>
      <c r="X1386" s="6"/>
      <c r="Y1386" s="6"/>
      <c r="Z1386" s="6"/>
      <c r="AA1386" s="6" t="s">
        <v>1374</v>
      </c>
      <c r="AB1386" s="8"/>
    </row>
    <row r="1387" spans="1:28" s="4" customFormat="1" ht="42" customHeight="1">
      <c r="A1387" s="5">
        <v>0</v>
      </c>
      <c r="B1387" s="6" t="s">
        <v>8735</v>
      </c>
      <c r="C1387" s="7">
        <v>639.9</v>
      </c>
      <c r="D1387" s="8" t="s">
        <v>8736</v>
      </c>
      <c r="E1387" s="8" t="s">
        <v>8737</v>
      </c>
      <c r="F1387" s="8" t="s">
        <v>8738</v>
      </c>
      <c r="G1387" s="6" t="s">
        <v>52</v>
      </c>
      <c r="H1387" s="6" t="s">
        <v>184</v>
      </c>
      <c r="I1387" s="8" t="s">
        <v>185</v>
      </c>
      <c r="J1387" s="9">
        <v>1</v>
      </c>
      <c r="K1387" s="9">
        <v>216</v>
      </c>
      <c r="L1387" s="9">
        <v>2017</v>
      </c>
      <c r="M1387" s="8" t="s">
        <v>8739</v>
      </c>
      <c r="N1387" s="8" t="s">
        <v>56</v>
      </c>
      <c r="O1387" s="8" t="s">
        <v>57</v>
      </c>
      <c r="P1387" s="6" t="s">
        <v>43</v>
      </c>
      <c r="Q1387" s="8" t="s">
        <v>44</v>
      </c>
      <c r="R1387" s="10" t="s">
        <v>8734</v>
      </c>
      <c r="S1387" s="11"/>
      <c r="T1387" s="6"/>
      <c r="U1387" s="24" t="str">
        <f>HYPERLINK("https://media.infra-m.ru/0892/0892482/cover/892482.jpg", "Обложка")</f>
        <v>Обложка</v>
      </c>
      <c r="V1387" s="24" t="str">
        <f>HYPERLINK("https://znanium.ru/catalog/product/1915900", "Ознакомиться")</f>
        <v>Ознакомиться</v>
      </c>
      <c r="W1387" s="8" t="s">
        <v>913</v>
      </c>
      <c r="X1387" s="6"/>
      <c r="Y1387" s="6"/>
      <c r="Z1387" s="6"/>
      <c r="AA1387" s="6" t="s">
        <v>442</v>
      </c>
      <c r="AB1387" s="8"/>
    </row>
    <row r="1388" spans="1:28" s="4" customFormat="1" ht="51.95" customHeight="1">
      <c r="A1388" s="5">
        <v>0</v>
      </c>
      <c r="B1388" s="6" t="s">
        <v>8740</v>
      </c>
      <c r="C1388" s="13">
        <v>1580</v>
      </c>
      <c r="D1388" s="8" t="s">
        <v>8741</v>
      </c>
      <c r="E1388" s="8" t="s">
        <v>8742</v>
      </c>
      <c r="F1388" s="8" t="s">
        <v>8743</v>
      </c>
      <c r="G1388" s="6" t="s">
        <v>89</v>
      </c>
      <c r="H1388" s="6" t="s">
        <v>53</v>
      </c>
      <c r="I1388" s="8" t="s">
        <v>276</v>
      </c>
      <c r="J1388" s="9">
        <v>1</v>
      </c>
      <c r="K1388" s="9">
        <v>336</v>
      </c>
      <c r="L1388" s="9">
        <v>2024</v>
      </c>
      <c r="M1388" s="8" t="s">
        <v>8744</v>
      </c>
      <c r="N1388" s="8" t="s">
        <v>41</v>
      </c>
      <c r="O1388" s="8" t="s">
        <v>1204</v>
      </c>
      <c r="P1388" s="6" t="s">
        <v>167</v>
      </c>
      <c r="Q1388" s="8" t="s">
        <v>279</v>
      </c>
      <c r="R1388" s="10" t="s">
        <v>8745</v>
      </c>
      <c r="S1388" s="11" t="s">
        <v>8746</v>
      </c>
      <c r="T1388" s="6"/>
      <c r="U1388" s="24" t="str">
        <f>HYPERLINK("https://media.infra-m.ru/2115/2115322/cover/2115322.jpg", "Обложка")</f>
        <v>Обложка</v>
      </c>
      <c r="V1388" s="24" t="str">
        <f>HYPERLINK("https://znanium.ru/catalog/product/2115322", "Ознакомиться")</f>
        <v>Ознакомиться</v>
      </c>
      <c r="W1388" s="8" t="s">
        <v>2122</v>
      </c>
      <c r="X1388" s="6"/>
      <c r="Y1388" s="6"/>
      <c r="Z1388" s="6"/>
      <c r="AA1388" s="6" t="s">
        <v>207</v>
      </c>
      <c r="AB1388" s="8"/>
    </row>
    <row r="1389" spans="1:28" s="4" customFormat="1" ht="51.95" customHeight="1">
      <c r="A1389" s="5">
        <v>0</v>
      </c>
      <c r="B1389" s="6" t="s">
        <v>8747</v>
      </c>
      <c r="C1389" s="7">
        <v>944</v>
      </c>
      <c r="D1389" s="8" t="s">
        <v>8748</v>
      </c>
      <c r="E1389" s="8" t="s">
        <v>8749</v>
      </c>
      <c r="F1389" s="8" t="s">
        <v>6978</v>
      </c>
      <c r="G1389" s="6" t="s">
        <v>38</v>
      </c>
      <c r="H1389" s="6" t="s">
        <v>53</v>
      </c>
      <c r="I1389" s="8" t="s">
        <v>90</v>
      </c>
      <c r="J1389" s="9">
        <v>1</v>
      </c>
      <c r="K1389" s="9">
        <v>181</v>
      </c>
      <c r="L1389" s="9">
        <v>2025</v>
      </c>
      <c r="M1389" s="8" t="s">
        <v>8750</v>
      </c>
      <c r="N1389" s="8" t="s">
        <v>41</v>
      </c>
      <c r="O1389" s="8" t="s">
        <v>1204</v>
      </c>
      <c r="P1389" s="6" t="s">
        <v>43</v>
      </c>
      <c r="Q1389" s="8" t="s">
        <v>44</v>
      </c>
      <c r="R1389" s="10" t="s">
        <v>8751</v>
      </c>
      <c r="S1389" s="11" t="s">
        <v>8752</v>
      </c>
      <c r="T1389" s="6"/>
      <c r="U1389" s="24" t="str">
        <f>HYPERLINK("https://media.infra-m.ru/2196/2196896/cover/2196896.jpg", "Обложка")</f>
        <v>Обложка</v>
      </c>
      <c r="V1389" s="24" t="str">
        <f>HYPERLINK("https://znanium.ru/catalog/product/1010017", "Ознакомиться")</f>
        <v>Ознакомиться</v>
      </c>
      <c r="W1389" s="8" t="s">
        <v>4293</v>
      </c>
      <c r="X1389" s="6"/>
      <c r="Y1389" s="6"/>
      <c r="Z1389" s="6"/>
      <c r="AA1389" s="6" t="s">
        <v>418</v>
      </c>
      <c r="AB1389" s="8"/>
    </row>
    <row r="1390" spans="1:28" s="4" customFormat="1" ht="42" customHeight="1">
      <c r="A1390" s="5">
        <v>0</v>
      </c>
      <c r="B1390" s="6" t="s">
        <v>8753</v>
      </c>
      <c r="C1390" s="7">
        <v>810</v>
      </c>
      <c r="D1390" s="8" t="s">
        <v>8754</v>
      </c>
      <c r="E1390" s="8" t="s">
        <v>8755</v>
      </c>
      <c r="F1390" s="8" t="s">
        <v>8756</v>
      </c>
      <c r="G1390" s="6" t="s">
        <v>89</v>
      </c>
      <c r="H1390" s="6" t="s">
        <v>53</v>
      </c>
      <c r="I1390" s="8" t="s">
        <v>116</v>
      </c>
      <c r="J1390" s="9">
        <v>1</v>
      </c>
      <c r="K1390" s="9">
        <v>155</v>
      </c>
      <c r="L1390" s="9">
        <v>2025</v>
      </c>
      <c r="M1390" s="8" t="s">
        <v>8757</v>
      </c>
      <c r="N1390" s="8" t="s">
        <v>41</v>
      </c>
      <c r="O1390" s="8" t="s">
        <v>42</v>
      </c>
      <c r="P1390" s="6" t="s">
        <v>43</v>
      </c>
      <c r="Q1390" s="8" t="s">
        <v>44</v>
      </c>
      <c r="R1390" s="10" t="s">
        <v>2171</v>
      </c>
      <c r="S1390" s="11"/>
      <c r="T1390" s="6"/>
      <c r="U1390" s="24" t="str">
        <f>HYPERLINK("https://media.infra-m.ru/2178/2178743/cover/2178743.jpg", "Обложка")</f>
        <v>Обложка</v>
      </c>
      <c r="V1390" s="24" t="str">
        <f>HYPERLINK("https://znanium.ru/catalog/product/2178743", "Ознакомиться")</f>
        <v>Ознакомиться</v>
      </c>
      <c r="W1390" s="8" t="s">
        <v>8758</v>
      </c>
      <c r="X1390" s="6"/>
      <c r="Y1390" s="6"/>
      <c r="Z1390" s="6"/>
      <c r="AA1390" s="6" t="s">
        <v>133</v>
      </c>
      <c r="AB1390" s="8"/>
    </row>
    <row r="1391" spans="1:28" s="4" customFormat="1" ht="42" customHeight="1">
      <c r="A1391" s="5">
        <v>0</v>
      </c>
      <c r="B1391" s="6" t="s">
        <v>8759</v>
      </c>
      <c r="C1391" s="13">
        <v>1790</v>
      </c>
      <c r="D1391" s="8" t="s">
        <v>8760</v>
      </c>
      <c r="E1391" s="8" t="s">
        <v>8761</v>
      </c>
      <c r="F1391" s="8" t="s">
        <v>5002</v>
      </c>
      <c r="G1391" s="6" t="s">
        <v>52</v>
      </c>
      <c r="H1391" s="6" t="s">
        <v>53</v>
      </c>
      <c r="I1391" s="8" t="s">
        <v>116</v>
      </c>
      <c r="J1391" s="9">
        <v>1</v>
      </c>
      <c r="K1391" s="9">
        <v>342</v>
      </c>
      <c r="L1391" s="9">
        <v>2025</v>
      </c>
      <c r="M1391" s="8" t="s">
        <v>8762</v>
      </c>
      <c r="N1391" s="8" t="s">
        <v>41</v>
      </c>
      <c r="O1391" s="8" t="s">
        <v>42</v>
      </c>
      <c r="P1391" s="6" t="s">
        <v>167</v>
      </c>
      <c r="Q1391" s="8" t="s">
        <v>58</v>
      </c>
      <c r="R1391" s="10" t="s">
        <v>8763</v>
      </c>
      <c r="S1391" s="11"/>
      <c r="T1391" s="6"/>
      <c r="U1391" s="24" t="str">
        <f>HYPERLINK("https://media.infra-m.ru/2084/2084006/cover/2084006.jpg", "Обложка")</f>
        <v>Обложка</v>
      </c>
      <c r="V1391" s="24" t="str">
        <f>HYPERLINK("https://znanium.ru/catalog/product/2084006", "Ознакомиться")</f>
        <v>Ознакомиться</v>
      </c>
      <c r="W1391" s="8" t="s">
        <v>2938</v>
      </c>
      <c r="X1391" s="6" t="s">
        <v>132</v>
      </c>
      <c r="Y1391" s="6"/>
      <c r="Z1391" s="6"/>
      <c r="AA1391" s="6" t="s">
        <v>61</v>
      </c>
      <c r="AB1391" s="8"/>
    </row>
    <row r="1392" spans="1:28" s="4" customFormat="1" ht="42" customHeight="1">
      <c r="A1392" s="5">
        <v>0</v>
      </c>
      <c r="B1392" s="6" t="s">
        <v>8764</v>
      </c>
      <c r="C1392" s="13">
        <v>1664</v>
      </c>
      <c r="D1392" s="8" t="s">
        <v>8765</v>
      </c>
      <c r="E1392" s="8" t="s">
        <v>8766</v>
      </c>
      <c r="F1392" s="8" t="s">
        <v>8767</v>
      </c>
      <c r="G1392" s="6" t="s">
        <v>89</v>
      </c>
      <c r="H1392" s="6" t="s">
        <v>39</v>
      </c>
      <c r="I1392" s="8"/>
      <c r="J1392" s="9">
        <v>1</v>
      </c>
      <c r="K1392" s="9">
        <v>319</v>
      </c>
      <c r="L1392" s="9">
        <v>2025</v>
      </c>
      <c r="M1392" s="8" t="s">
        <v>8768</v>
      </c>
      <c r="N1392" s="8" t="s">
        <v>41</v>
      </c>
      <c r="O1392" s="8" t="s">
        <v>4035</v>
      </c>
      <c r="P1392" s="6" t="s">
        <v>43</v>
      </c>
      <c r="Q1392" s="8" t="s">
        <v>44</v>
      </c>
      <c r="R1392" s="10" t="s">
        <v>8769</v>
      </c>
      <c r="S1392" s="11"/>
      <c r="T1392" s="6"/>
      <c r="U1392" s="24" t="str">
        <f>HYPERLINK("https://media.infra-m.ru/2194/2194369/cover/2194369.jpg", "Обложка")</f>
        <v>Обложка</v>
      </c>
      <c r="V1392" s="12"/>
      <c r="W1392" s="8" t="s">
        <v>8770</v>
      </c>
      <c r="X1392" s="6"/>
      <c r="Y1392" s="6"/>
      <c r="Z1392" s="6"/>
      <c r="AA1392" s="6" t="s">
        <v>326</v>
      </c>
      <c r="AB1392" s="8"/>
    </row>
    <row r="1393" spans="1:28" s="4" customFormat="1" ht="51.95" customHeight="1">
      <c r="A1393" s="5">
        <v>0</v>
      </c>
      <c r="B1393" s="6" t="s">
        <v>8771</v>
      </c>
      <c r="C1393" s="13">
        <v>2694</v>
      </c>
      <c r="D1393" s="8" t="s">
        <v>8772</v>
      </c>
      <c r="E1393" s="8" t="s">
        <v>8773</v>
      </c>
      <c r="F1393" s="8" t="s">
        <v>8774</v>
      </c>
      <c r="G1393" s="6" t="s">
        <v>89</v>
      </c>
      <c r="H1393" s="6" t="s">
        <v>53</v>
      </c>
      <c r="I1393" s="8" t="s">
        <v>212</v>
      </c>
      <c r="J1393" s="9">
        <v>1</v>
      </c>
      <c r="K1393" s="9">
        <v>539</v>
      </c>
      <c r="L1393" s="9">
        <v>2025</v>
      </c>
      <c r="M1393" s="8" t="s">
        <v>8775</v>
      </c>
      <c r="N1393" s="8" t="s">
        <v>56</v>
      </c>
      <c r="O1393" s="8" t="s">
        <v>741</v>
      </c>
      <c r="P1393" s="6" t="s">
        <v>167</v>
      </c>
      <c r="Q1393" s="8" t="s">
        <v>214</v>
      </c>
      <c r="R1393" s="10" t="s">
        <v>8776</v>
      </c>
      <c r="S1393" s="11" t="s">
        <v>8777</v>
      </c>
      <c r="T1393" s="6"/>
      <c r="U1393" s="24" t="str">
        <f>HYPERLINK("https://media.infra-m.ru/2173/2173435/cover/2173435.jpg", "Обложка")</f>
        <v>Обложка</v>
      </c>
      <c r="V1393" s="24" t="str">
        <f>HYPERLINK("https://znanium.ru/catalog/product/2002637", "Ознакомиться")</f>
        <v>Ознакомиться</v>
      </c>
      <c r="W1393" s="8" t="s">
        <v>71</v>
      </c>
      <c r="X1393" s="6"/>
      <c r="Y1393" s="6"/>
      <c r="Z1393" s="6"/>
      <c r="AA1393" s="6" t="s">
        <v>151</v>
      </c>
      <c r="AB1393" s="8"/>
    </row>
    <row r="1394" spans="1:28" s="4" customFormat="1" ht="42" customHeight="1">
      <c r="A1394" s="5">
        <v>0</v>
      </c>
      <c r="B1394" s="6" t="s">
        <v>8778</v>
      </c>
      <c r="C1394" s="13">
        <v>1290</v>
      </c>
      <c r="D1394" s="8" t="s">
        <v>8779</v>
      </c>
      <c r="E1394" s="8" t="s">
        <v>8780</v>
      </c>
      <c r="F1394" s="8" t="s">
        <v>8781</v>
      </c>
      <c r="G1394" s="6" t="s">
        <v>89</v>
      </c>
      <c r="H1394" s="6" t="s">
        <v>184</v>
      </c>
      <c r="I1394" s="8" t="s">
        <v>90</v>
      </c>
      <c r="J1394" s="9">
        <v>1</v>
      </c>
      <c r="K1394" s="9">
        <v>259</v>
      </c>
      <c r="L1394" s="9">
        <v>2024</v>
      </c>
      <c r="M1394" s="8" t="s">
        <v>8782</v>
      </c>
      <c r="N1394" s="8" t="s">
        <v>41</v>
      </c>
      <c r="O1394" s="8" t="s">
        <v>278</v>
      </c>
      <c r="P1394" s="6" t="s">
        <v>43</v>
      </c>
      <c r="Q1394" s="8" t="s">
        <v>44</v>
      </c>
      <c r="R1394" s="10" t="s">
        <v>8783</v>
      </c>
      <c r="S1394" s="11"/>
      <c r="T1394" s="6"/>
      <c r="U1394" s="24" t="str">
        <f>HYPERLINK("https://media.infra-m.ru/2138/2138948/cover/2138948.jpg", "Обложка")</f>
        <v>Обложка</v>
      </c>
      <c r="V1394" s="24" t="str">
        <f>HYPERLINK("https://znanium.ru/catalog/product/2138948", "Ознакомиться")</f>
        <v>Ознакомиться</v>
      </c>
      <c r="W1394" s="8" t="s">
        <v>8784</v>
      </c>
      <c r="X1394" s="6"/>
      <c r="Y1394" s="6"/>
      <c r="Z1394" s="6"/>
      <c r="AA1394" s="6" t="s">
        <v>418</v>
      </c>
      <c r="AB1394" s="8"/>
    </row>
    <row r="1395" spans="1:28" s="4" customFormat="1" ht="42" customHeight="1">
      <c r="A1395" s="5">
        <v>0</v>
      </c>
      <c r="B1395" s="6" t="s">
        <v>8785</v>
      </c>
      <c r="C1395" s="13">
        <v>1060</v>
      </c>
      <c r="D1395" s="8" t="s">
        <v>8786</v>
      </c>
      <c r="E1395" s="8" t="s">
        <v>8787</v>
      </c>
      <c r="F1395" s="8" t="s">
        <v>8788</v>
      </c>
      <c r="G1395" s="6" t="s">
        <v>89</v>
      </c>
      <c r="H1395" s="6" t="s">
        <v>53</v>
      </c>
      <c r="I1395" s="8" t="s">
        <v>116</v>
      </c>
      <c r="J1395" s="9">
        <v>1</v>
      </c>
      <c r="K1395" s="9">
        <v>206</v>
      </c>
      <c r="L1395" s="9">
        <v>2024</v>
      </c>
      <c r="M1395" s="8" t="s">
        <v>8789</v>
      </c>
      <c r="N1395" s="8" t="s">
        <v>56</v>
      </c>
      <c r="O1395" s="8" t="s">
        <v>2183</v>
      </c>
      <c r="P1395" s="6" t="s">
        <v>167</v>
      </c>
      <c r="Q1395" s="8" t="s">
        <v>44</v>
      </c>
      <c r="R1395" s="10" t="s">
        <v>2286</v>
      </c>
      <c r="S1395" s="11"/>
      <c r="T1395" s="6"/>
      <c r="U1395" s="24" t="str">
        <f>HYPERLINK("https://media.infra-m.ru/2147/2147918/cover/2147918.jpg", "Обложка")</f>
        <v>Обложка</v>
      </c>
      <c r="V1395" s="24" t="str">
        <f>HYPERLINK("https://znanium.ru/catalog/product/2147918", "Ознакомиться")</f>
        <v>Ознакомиться</v>
      </c>
      <c r="W1395" s="8" t="s">
        <v>1689</v>
      </c>
      <c r="X1395" s="6"/>
      <c r="Y1395" s="6"/>
      <c r="Z1395" s="6"/>
      <c r="AA1395" s="6" t="s">
        <v>133</v>
      </c>
      <c r="AB1395" s="8" t="s">
        <v>8790</v>
      </c>
    </row>
    <row r="1396" spans="1:28" s="4" customFormat="1" ht="51.95" customHeight="1">
      <c r="A1396" s="5">
        <v>0</v>
      </c>
      <c r="B1396" s="6" t="s">
        <v>8791</v>
      </c>
      <c r="C1396" s="13">
        <v>1834</v>
      </c>
      <c r="D1396" s="8" t="s">
        <v>8792</v>
      </c>
      <c r="E1396" s="8" t="s">
        <v>8793</v>
      </c>
      <c r="F1396" s="8" t="s">
        <v>8794</v>
      </c>
      <c r="G1396" s="6" t="s">
        <v>89</v>
      </c>
      <c r="H1396" s="6" t="s">
        <v>53</v>
      </c>
      <c r="I1396" s="8" t="s">
        <v>100</v>
      </c>
      <c r="J1396" s="9">
        <v>1</v>
      </c>
      <c r="K1396" s="9">
        <v>367</v>
      </c>
      <c r="L1396" s="9">
        <v>2025</v>
      </c>
      <c r="M1396" s="8" t="s">
        <v>8795</v>
      </c>
      <c r="N1396" s="8" t="s">
        <v>56</v>
      </c>
      <c r="O1396" s="8" t="s">
        <v>2183</v>
      </c>
      <c r="P1396" s="6" t="s">
        <v>43</v>
      </c>
      <c r="Q1396" s="8" t="s">
        <v>102</v>
      </c>
      <c r="R1396" s="10" t="s">
        <v>8796</v>
      </c>
      <c r="S1396" s="11" t="s">
        <v>8797</v>
      </c>
      <c r="T1396" s="6"/>
      <c r="U1396" s="24" t="str">
        <f>HYPERLINK("https://media.infra-m.ru/2171/2171484/cover/2171484.jpg", "Обложка")</f>
        <v>Обложка</v>
      </c>
      <c r="V1396" s="24" t="str">
        <f>HYPERLINK("https://znanium.ru/catalog/product/1930719", "Ознакомиться")</f>
        <v>Ознакомиться</v>
      </c>
      <c r="W1396" s="8" t="s">
        <v>8798</v>
      </c>
      <c r="X1396" s="6"/>
      <c r="Y1396" s="6"/>
      <c r="Z1396" s="6"/>
      <c r="AA1396" s="6" t="s">
        <v>3065</v>
      </c>
      <c r="AB1396" s="8"/>
    </row>
    <row r="1397" spans="1:28" s="4" customFormat="1" ht="51.95" customHeight="1">
      <c r="A1397" s="5">
        <v>0</v>
      </c>
      <c r="B1397" s="6" t="s">
        <v>8799</v>
      </c>
      <c r="C1397" s="7">
        <v>804</v>
      </c>
      <c r="D1397" s="8" t="s">
        <v>8800</v>
      </c>
      <c r="E1397" s="8" t="s">
        <v>8801</v>
      </c>
      <c r="F1397" s="8" t="s">
        <v>8802</v>
      </c>
      <c r="G1397" s="6" t="s">
        <v>89</v>
      </c>
      <c r="H1397" s="6" t="s">
        <v>53</v>
      </c>
      <c r="I1397" s="8" t="s">
        <v>90</v>
      </c>
      <c r="J1397" s="9">
        <v>1</v>
      </c>
      <c r="K1397" s="9">
        <v>161</v>
      </c>
      <c r="L1397" s="9">
        <v>2025</v>
      </c>
      <c r="M1397" s="8" t="s">
        <v>8803</v>
      </c>
      <c r="N1397" s="8" t="s">
        <v>41</v>
      </c>
      <c r="O1397" s="8" t="s">
        <v>1007</v>
      </c>
      <c r="P1397" s="6" t="s">
        <v>43</v>
      </c>
      <c r="Q1397" s="8" t="s">
        <v>44</v>
      </c>
      <c r="R1397" s="10" t="s">
        <v>2684</v>
      </c>
      <c r="S1397" s="11" t="s">
        <v>8804</v>
      </c>
      <c r="T1397" s="6" t="s">
        <v>299</v>
      </c>
      <c r="U1397" s="24" t="str">
        <f>HYPERLINK("https://media.infra-m.ru/2192/2192250/cover/2192250.jpg", "Обложка")</f>
        <v>Обложка</v>
      </c>
      <c r="V1397" s="24" t="str">
        <f>HYPERLINK("https://znanium.ru/catalog/product/1758029", "Ознакомиться")</f>
        <v>Ознакомиться</v>
      </c>
      <c r="W1397" s="8" t="s">
        <v>1313</v>
      </c>
      <c r="X1397" s="6"/>
      <c r="Y1397" s="6"/>
      <c r="Z1397" s="6"/>
      <c r="AA1397" s="6" t="s">
        <v>47</v>
      </c>
      <c r="AB1397" s="8"/>
    </row>
    <row r="1398" spans="1:28" s="4" customFormat="1" ht="51.95" customHeight="1">
      <c r="A1398" s="5">
        <v>0</v>
      </c>
      <c r="B1398" s="6" t="s">
        <v>8805</v>
      </c>
      <c r="C1398" s="7">
        <v>980</v>
      </c>
      <c r="D1398" s="8" t="s">
        <v>8806</v>
      </c>
      <c r="E1398" s="8" t="s">
        <v>8807</v>
      </c>
      <c r="F1398" s="8" t="s">
        <v>8808</v>
      </c>
      <c r="G1398" s="6" t="s">
        <v>89</v>
      </c>
      <c r="H1398" s="6" t="s">
        <v>53</v>
      </c>
      <c r="I1398" s="8" t="s">
        <v>4314</v>
      </c>
      <c r="J1398" s="9">
        <v>1</v>
      </c>
      <c r="K1398" s="9">
        <v>218</v>
      </c>
      <c r="L1398" s="9">
        <v>2023</v>
      </c>
      <c r="M1398" s="8" t="s">
        <v>8809</v>
      </c>
      <c r="N1398" s="8" t="s">
        <v>41</v>
      </c>
      <c r="O1398" s="8" t="s">
        <v>118</v>
      </c>
      <c r="P1398" s="6" t="s">
        <v>43</v>
      </c>
      <c r="Q1398" s="8" t="s">
        <v>44</v>
      </c>
      <c r="R1398" s="10" t="s">
        <v>8810</v>
      </c>
      <c r="S1398" s="11" t="s">
        <v>8811</v>
      </c>
      <c r="T1398" s="6"/>
      <c r="U1398" s="24" t="str">
        <f>HYPERLINK("https://media.infra-m.ru/1959/1959265/cover/1959265.jpg", "Обложка")</f>
        <v>Обложка</v>
      </c>
      <c r="V1398" s="24" t="str">
        <f>HYPERLINK("https://znanium.ru/catalog/product/1959265", "Ознакомиться")</f>
        <v>Ознакомиться</v>
      </c>
      <c r="W1398" s="8" t="s">
        <v>206</v>
      </c>
      <c r="X1398" s="6"/>
      <c r="Y1398" s="6"/>
      <c r="Z1398" s="6"/>
      <c r="AA1398" s="6" t="s">
        <v>793</v>
      </c>
      <c r="AB1398" s="8"/>
    </row>
    <row r="1399" spans="1:28" s="4" customFormat="1" ht="51.95" customHeight="1">
      <c r="A1399" s="5">
        <v>0</v>
      </c>
      <c r="B1399" s="6" t="s">
        <v>8812</v>
      </c>
      <c r="C1399" s="7">
        <v>830</v>
      </c>
      <c r="D1399" s="8" t="s">
        <v>8813</v>
      </c>
      <c r="E1399" s="8" t="s">
        <v>8814</v>
      </c>
      <c r="F1399" s="8" t="s">
        <v>8815</v>
      </c>
      <c r="G1399" s="6" t="s">
        <v>38</v>
      </c>
      <c r="H1399" s="6" t="s">
        <v>53</v>
      </c>
      <c r="I1399" s="8" t="s">
        <v>116</v>
      </c>
      <c r="J1399" s="9">
        <v>1</v>
      </c>
      <c r="K1399" s="9">
        <v>160</v>
      </c>
      <c r="L1399" s="9">
        <v>2025</v>
      </c>
      <c r="M1399" s="8" t="s">
        <v>8816</v>
      </c>
      <c r="N1399" s="8" t="s">
        <v>41</v>
      </c>
      <c r="O1399" s="8" t="s">
        <v>676</v>
      </c>
      <c r="P1399" s="6" t="s">
        <v>43</v>
      </c>
      <c r="Q1399" s="8" t="s">
        <v>44</v>
      </c>
      <c r="R1399" s="10" t="s">
        <v>677</v>
      </c>
      <c r="S1399" s="11" t="s">
        <v>8817</v>
      </c>
      <c r="T1399" s="6"/>
      <c r="U1399" s="24" t="str">
        <f>HYPERLINK("https://media.infra-m.ru/2157/2157877/cover/2157877.jpg", "Обложка")</f>
        <v>Обложка</v>
      </c>
      <c r="V1399" s="24" t="str">
        <f>HYPERLINK("https://znanium.ru/catalog/product/2157877", "Ознакомиться")</f>
        <v>Ознакомиться</v>
      </c>
      <c r="W1399" s="8" t="s">
        <v>2514</v>
      </c>
      <c r="X1399" s="6"/>
      <c r="Y1399" s="6"/>
      <c r="Z1399" s="6"/>
      <c r="AA1399" s="6" t="s">
        <v>326</v>
      </c>
      <c r="AB1399" s="8"/>
    </row>
    <row r="1400" spans="1:28" s="4" customFormat="1" ht="51.95" customHeight="1">
      <c r="A1400" s="5">
        <v>0</v>
      </c>
      <c r="B1400" s="6" t="s">
        <v>8818</v>
      </c>
      <c r="C1400" s="13">
        <v>2504</v>
      </c>
      <c r="D1400" s="8" t="s">
        <v>8819</v>
      </c>
      <c r="E1400" s="8" t="s">
        <v>8820</v>
      </c>
      <c r="F1400" s="8" t="s">
        <v>8821</v>
      </c>
      <c r="G1400" s="6" t="s">
        <v>52</v>
      </c>
      <c r="H1400" s="6" t="s">
        <v>184</v>
      </c>
      <c r="I1400" s="8" t="s">
        <v>90</v>
      </c>
      <c r="J1400" s="9">
        <v>1</v>
      </c>
      <c r="K1400" s="9">
        <v>502</v>
      </c>
      <c r="L1400" s="9">
        <v>2025</v>
      </c>
      <c r="M1400" s="8" t="s">
        <v>8822</v>
      </c>
      <c r="N1400" s="8" t="s">
        <v>41</v>
      </c>
      <c r="O1400" s="8" t="s">
        <v>676</v>
      </c>
      <c r="P1400" s="6" t="s">
        <v>43</v>
      </c>
      <c r="Q1400" s="8" t="s">
        <v>44</v>
      </c>
      <c r="R1400" s="10" t="s">
        <v>806</v>
      </c>
      <c r="S1400" s="11" t="s">
        <v>8823</v>
      </c>
      <c r="T1400" s="6"/>
      <c r="U1400" s="24" t="str">
        <f>HYPERLINK("https://media.infra-m.ru/2179/2179368/cover/2179368.jpg", "Обложка")</f>
        <v>Обложка</v>
      </c>
      <c r="V1400" s="24" t="str">
        <f>HYPERLINK("https://znanium.ru/catalog/product/2179300", "Ознакомиться")</f>
        <v>Ознакомиться</v>
      </c>
      <c r="W1400" s="8" t="s">
        <v>8824</v>
      </c>
      <c r="X1400" s="6"/>
      <c r="Y1400" s="6"/>
      <c r="Z1400" s="6"/>
      <c r="AA1400" s="6" t="s">
        <v>84</v>
      </c>
      <c r="AB1400" s="8"/>
    </row>
    <row r="1401" spans="1:28" s="4" customFormat="1" ht="51.95" customHeight="1">
      <c r="A1401" s="5">
        <v>0</v>
      </c>
      <c r="B1401" s="6" t="s">
        <v>8825</v>
      </c>
      <c r="C1401" s="13">
        <v>1600</v>
      </c>
      <c r="D1401" s="8" t="s">
        <v>8826</v>
      </c>
      <c r="E1401" s="8" t="s">
        <v>8827</v>
      </c>
      <c r="F1401" s="8" t="s">
        <v>8828</v>
      </c>
      <c r="G1401" s="6" t="s">
        <v>89</v>
      </c>
      <c r="H1401" s="6" t="s">
        <v>674</v>
      </c>
      <c r="I1401" s="8"/>
      <c r="J1401" s="9">
        <v>1</v>
      </c>
      <c r="K1401" s="9">
        <v>320</v>
      </c>
      <c r="L1401" s="9">
        <v>2025</v>
      </c>
      <c r="M1401" s="8" t="s">
        <v>8829</v>
      </c>
      <c r="N1401" s="8" t="s">
        <v>41</v>
      </c>
      <c r="O1401" s="8" t="s">
        <v>676</v>
      </c>
      <c r="P1401" s="6" t="s">
        <v>43</v>
      </c>
      <c r="Q1401" s="8" t="s">
        <v>44</v>
      </c>
      <c r="R1401" s="10" t="s">
        <v>677</v>
      </c>
      <c r="S1401" s="11"/>
      <c r="T1401" s="6"/>
      <c r="U1401" s="24" t="str">
        <f>HYPERLINK("https://media.infra-m.ru/2187/2187709/cover/2187709.jpg", "Обложка")</f>
        <v>Обложка</v>
      </c>
      <c r="V1401" s="24" t="str">
        <f>HYPERLINK("https://znanium.ru/catalog/product/2187709", "Ознакомиться")</f>
        <v>Ознакомиться</v>
      </c>
      <c r="W1401" s="8" t="s">
        <v>7139</v>
      </c>
      <c r="X1401" s="6"/>
      <c r="Y1401" s="6"/>
      <c r="Z1401" s="6"/>
      <c r="AA1401" s="6" t="s">
        <v>111</v>
      </c>
      <c r="AB1401" s="8"/>
    </row>
    <row r="1402" spans="1:28" s="4" customFormat="1" ht="51.95" customHeight="1">
      <c r="A1402" s="5">
        <v>0</v>
      </c>
      <c r="B1402" s="6" t="s">
        <v>8830</v>
      </c>
      <c r="C1402" s="13">
        <v>3200</v>
      </c>
      <c r="D1402" s="8" t="s">
        <v>8831</v>
      </c>
      <c r="E1402" s="8" t="s">
        <v>8832</v>
      </c>
      <c r="F1402" s="8" t="s">
        <v>8833</v>
      </c>
      <c r="G1402" s="6" t="s">
        <v>52</v>
      </c>
      <c r="H1402" s="6" t="s">
        <v>674</v>
      </c>
      <c r="I1402" s="8"/>
      <c r="J1402" s="9">
        <v>1</v>
      </c>
      <c r="K1402" s="9">
        <v>720</v>
      </c>
      <c r="L1402" s="9">
        <v>2025</v>
      </c>
      <c r="M1402" s="8" t="s">
        <v>8834</v>
      </c>
      <c r="N1402" s="8" t="s">
        <v>41</v>
      </c>
      <c r="O1402" s="8" t="s">
        <v>676</v>
      </c>
      <c r="P1402" s="6" t="s">
        <v>167</v>
      </c>
      <c r="Q1402" s="8" t="s">
        <v>44</v>
      </c>
      <c r="R1402" s="10" t="s">
        <v>806</v>
      </c>
      <c r="S1402" s="11" t="s">
        <v>4821</v>
      </c>
      <c r="T1402" s="6"/>
      <c r="U1402" s="24" t="str">
        <f>HYPERLINK("https://media.infra-m.ru/2184/2184430/cover/2184430.jpg", "Обложка")</f>
        <v>Обложка</v>
      </c>
      <c r="V1402" s="24" t="str">
        <f>HYPERLINK("https://znanium.ru/catalog/product/2184430", "Ознакомиться")</f>
        <v>Ознакомиться</v>
      </c>
      <c r="W1402" s="8" t="s">
        <v>7139</v>
      </c>
      <c r="X1402" s="6"/>
      <c r="Y1402" s="6"/>
      <c r="Z1402" s="6"/>
      <c r="AA1402" s="6" t="s">
        <v>8835</v>
      </c>
      <c r="AB1402" s="8"/>
    </row>
    <row r="1403" spans="1:28" s="4" customFormat="1" ht="51.95" customHeight="1">
      <c r="A1403" s="5">
        <v>0</v>
      </c>
      <c r="B1403" s="6" t="s">
        <v>8836</v>
      </c>
      <c r="C1403" s="13">
        <v>2750</v>
      </c>
      <c r="D1403" s="8" t="s">
        <v>8837</v>
      </c>
      <c r="E1403" s="8" t="s">
        <v>8838</v>
      </c>
      <c r="F1403" s="8" t="s">
        <v>8839</v>
      </c>
      <c r="G1403" s="6" t="s">
        <v>52</v>
      </c>
      <c r="H1403" s="6" t="s">
        <v>674</v>
      </c>
      <c r="I1403" s="8"/>
      <c r="J1403" s="9">
        <v>1</v>
      </c>
      <c r="K1403" s="9">
        <v>816</v>
      </c>
      <c r="L1403" s="9">
        <v>2025</v>
      </c>
      <c r="M1403" s="8" t="s">
        <v>8840</v>
      </c>
      <c r="N1403" s="8" t="s">
        <v>41</v>
      </c>
      <c r="O1403" s="8" t="s">
        <v>676</v>
      </c>
      <c r="P1403" s="6" t="s">
        <v>167</v>
      </c>
      <c r="Q1403" s="8" t="s">
        <v>44</v>
      </c>
      <c r="R1403" s="10" t="s">
        <v>806</v>
      </c>
      <c r="S1403" s="11"/>
      <c r="T1403" s="6"/>
      <c r="U1403" s="24" t="str">
        <f>HYPERLINK("https://media.infra-m.ru/2184/2184379/cover/2184379.jpg", "Обложка")</f>
        <v>Обложка</v>
      </c>
      <c r="V1403" s="24" t="str">
        <f>HYPERLINK("https://znanium.ru/catalog/product/2184379", "Ознакомиться")</f>
        <v>Ознакомиться</v>
      </c>
      <c r="W1403" s="8" t="s">
        <v>7139</v>
      </c>
      <c r="X1403" s="6"/>
      <c r="Y1403" s="6"/>
      <c r="Z1403" s="6"/>
      <c r="AA1403" s="6" t="s">
        <v>8841</v>
      </c>
      <c r="AB1403" s="8"/>
    </row>
    <row r="1404" spans="1:28" s="4" customFormat="1" ht="51.95" customHeight="1">
      <c r="A1404" s="5">
        <v>0</v>
      </c>
      <c r="B1404" s="6" t="s">
        <v>8842</v>
      </c>
      <c r="C1404" s="13">
        <v>1660</v>
      </c>
      <c r="D1404" s="8" t="s">
        <v>8843</v>
      </c>
      <c r="E1404" s="8" t="s">
        <v>8820</v>
      </c>
      <c r="F1404" s="8" t="s">
        <v>8844</v>
      </c>
      <c r="G1404" s="6" t="s">
        <v>38</v>
      </c>
      <c r="H1404" s="6" t="s">
        <v>1094</v>
      </c>
      <c r="I1404" s="8"/>
      <c r="J1404" s="9">
        <v>1</v>
      </c>
      <c r="K1404" s="9">
        <v>320</v>
      </c>
      <c r="L1404" s="9">
        <v>2025</v>
      </c>
      <c r="M1404" s="8" t="s">
        <v>8845</v>
      </c>
      <c r="N1404" s="8" t="s">
        <v>41</v>
      </c>
      <c r="O1404" s="8" t="s">
        <v>676</v>
      </c>
      <c r="P1404" s="6" t="s">
        <v>175</v>
      </c>
      <c r="Q1404" s="8" t="s">
        <v>44</v>
      </c>
      <c r="R1404" s="10" t="s">
        <v>806</v>
      </c>
      <c r="S1404" s="11" t="s">
        <v>8846</v>
      </c>
      <c r="T1404" s="6"/>
      <c r="U1404" s="24" t="str">
        <f>HYPERLINK("https://media.infra-m.ru/2187/2187616/cover/2187616.jpg", "Обложка")</f>
        <v>Обложка</v>
      </c>
      <c r="V1404" s="24" t="str">
        <f>HYPERLINK("https://znanium.ru/catalog/product/2187616", "Ознакомиться")</f>
        <v>Ознакомиться</v>
      </c>
      <c r="W1404" s="8" t="s">
        <v>4309</v>
      </c>
      <c r="X1404" s="6"/>
      <c r="Y1404" s="6"/>
      <c r="Z1404" s="6"/>
      <c r="AA1404" s="6" t="s">
        <v>8847</v>
      </c>
      <c r="AB1404" s="8"/>
    </row>
    <row r="1405" spans="1:28" s="4" customFormat="1" ht="51.95" customHeight="1">
      <c r="A1405" s="5">
        <v>0</v>
      </c>
      <c r="B1405" s="6" t="s">
        <v>8848</v>
      </c>
      <c r="C1405" s="13">
        <v>1744</v>
      </c>
      <c r="D1405" s="8" t="s">
        <v>8849</v>
      </c>
      <c r="E1405" s="8" t="s">
        <v>8820</v>
      </c>
      <c r="F1405" s="8" t="s">
        <v>4813</v>
      </c>
      <c r="G1405" s="6" t="s">
        <v>52</v>
      </c>
      <c r="H1405" s="6" t="s">
        <v>184</v>
      </c>
      <c r="I1405" s="8" t="s">
        <v>90</v>
      </c>
      <c r="J1405" s="9">
        <v>1</v>
      </c>
      <c r="K1405" s="9">
        <v>344</v>
      </c>
      <c r="L1405" s="9">
        <v>2025</v>
      </c>
      <c r="M1405" s="8" t="s">
        <v>8850</v>
      </c>
      <c r="N1405" s="8" t="s">
        <v>41</v>
      </c>
      <c r="O1405" s="8" t="s">
        <v>676</v>
      </c>
      <c r="P1405" s="6" t="s">
        <v>43</v>
      </c>
      <c r="Q1405" s="8" t="s">
        <v>44</v>
      </c>
      <c r="R1405" s="10" t="s">
        <v>677</v>
      </c>
      <c r="S1405" s="11" t="s">
        <v>8851</v>
      </c>
      <c r="T1405" s="6"/>
      <c r="U1405" s="24" t="str">
        <f>HYPERLINK("https://media.infra-m.ru/2167/2167255/cover/2167255.jpg", "Обложка")</f>
        <v>Обложка</v>
      </c>
      <c r="V1405" s="24" t="str">
        <f>HYPERLINK("https://znanium.ru/catalog/product/1843605", "Ознакомиться")</f>
        <v>Ознакомиться</v>
      </c>
      <c r="W1405" s="8" t="s">
        <v>4815</v>
      </c>
      <c r="X1405" s="6"/>
      <c r="Y1405" s="6"/>
      <c r="Z1405" s="6"/>
      <c r="AA1405" s="6" t="s">
        <v>122</v>
      </c>
      <c r="AB1405" s="8"/>
    </row>
    <row r="1406" spans="1:28" s="4" customFormat="1" ht="51.95" customHeight="1">
      <c r="A1406" s="5">
        <v>0</v>
      </c>
      <c r="B1406" s="6" t="s">
        <v>8852</v>
      </c>
      <c r="C1406" s="13">
        <v>1994.9</v>
      </c>
      <c r="D1406" s="8" t="s">
        <v>8853</v>
      </c>
      <c r="E1406" s="8" t="s">
        <v>8820</v>
      </c>
      <c r="F1406" s="8" t="s">
        <v>4813</v>
      </c>
      <c r="G1406" s="6" t="s">
        <v>52</v>
      </c>
      <c r="H1406" s="6" t="s">
        <v>1094</v>
      </c>
      <c r="I1406" s="8"/>
      <c r="J1406" s="9">
        <v>1</v>
      </c>
      <c r="K1406" s="9">
        <v>496</v>
      </c>
      <c r="L1406" s="9">
        <v>2024</v>
      </c>
      <c r="M1406" s="8" t="s">
        <v>8854</v>
      </c>
      <c r="N1406" s="8" t="s">
        <v>41</v>
      </c>
      <c r="O1406" s="8" t="s">
        <v>676</v>
      </c>
      <c r="P1406" s="6" t="s">
        <v>8855</v>
      </c>
      <c r="Q1406" s="8" t="s">
        <v>44</v>
      </c>
      <c r="R1406" s="10" t="s">
        <v>262</v>
      </c>
      <c r="S1406" s="11"/>
      <c r="T1406" s="6"/>
      <c r="U1406" s="24" t="str">
        <f>HYPERLINK("https://media.infra-m.ru/1876/1876360/cover/1876360.jpg", "Обложка")</f>
        <v>Обложка</v>
      </c>
      <c r="V1406" s="24" t="str">
        <f>HYPERLINK("https://znanium.ru/catalog/product/522403", "Ознакомиться")</f>
        <v>Ознакомиться</v>
      </c>
      <c r="W1406" s="8" t="s">
        <v>4815</v>
      </c>
      <c r="X1406" s="6"/>
      <c r="Y1406" s="6"/>
      <c r="Z1406" s="6"/>
      <c r="AA1406" s="6" t="s">
        <v>2217</v>
      </c>
      <c r="AB1406" s="8"/>
    </row>
    <row r="1407" spans="1:28" s="4" customFormat="1" ht="51.95" customHeight="1">
      <c r="A1407" s="5">
        <v>0</v>
      </c>
      <c r="B1407" s="6" t="s">
        <v>8856</v>
      </c>
      <c r="C1407" s="13">
        <v>2680</v>
      </c>
      <c r="D1407" s="8" t="s">
        <v>8857</v>
      </c>
      <c r="E1407" s="8" t="s">
        <v>8820</v>
      </c>
      <c r="F1407" s="8" t="s">
        <v>8858</v>
      </c>
      <c r="G1407" s="6" t="s">
        <v>52</v>
      </c>
      <c r="H1407" s="6" t="s">
        <v>53</v>
      </c>
      <c r="I1407" s="8" t="s">
        <v>116</v>
      </c>
      <c r="J1407" s="9">
        <v>1</v>
      </c>
      <c r="K1407" s="9">
        <v>536</v>
      </c>
      <c r="L1407" s="9">
        <v>2025</v>
      </c>
      <c r="M1407" s="8" t="s">
        <v>8859</v>
      </c>
      <c r="N1407" s="8" t="s">
        <v>41</v>
      </c>
      <c r="O1407" s="8" t="s">
        <v>676</v>
      </c>
      <c r="P1407" s="6" t="s">
        <v>167</v>
      </c>
      <c r="Q1407" s="8" t="s">
        <v>58</v>
      </c>
      <c r="R1407" s="10" t="s">
        <v>806</v>
      </c>
      <c r="S1407" s="11"/>
      <c r="T1407" s="6" t="s">
        <v>299</v>
      </c>
      <c r="U1407" s="24" t="str">
        <f>HYPERLINK("https://media.infra-m.ru/2111/2111838/cover/2111838.jpg", "Обложка")</f>
        <v>Обложка</v>
      </c>
      <c r="V1407" s="24" t="str">
        <f>HYPERLINK("https://znanium.ru/catalog/product/2111838", "Ознакомиться")</f>
        <v>Ознакомиться</v>
      </c>
      <c r="W1407" s="8" t="s">
        <v>8860</v>
      </c>
      <c r="X1407" s="6" t="s">
        <v>2790</v>
      </c>
      <c r="Y1407" s="6"/>
      <c r="Z1407" s="6"/>
      <c r="AA1407" s="6" t="s">
        <v>61</v>
      </c>
      <c r="AB1407" s="8"/>
    </row>
    <row r="1408" spans="1:28" s="4" customFormat="1" ht="51.95" customHeight="1">
      <c r="A1408" s="5">
        <v>0</v>
      </c>
      <c r="B1408" s="6" t="s">
        <v>8861</v>
      </c>
      <c r="C1408" s="13">
        <v>1454</v>
      </c>
      <c r="D1408" s="8" t="s">
        <v>8862</v>
      </c>
      <c r="E1408" s="8" t="s">
        <v>8863</v>
      </c>
      <c r="F1408" s="8" t="s">
        <v>8864</v>
      </c>
      <c r="G1408" s="6" t="s">
        <v>89</v>
      </c>
      <c r="H1408" s="6" t="s">
        <v>53</v>
      </c>
      <c r="I1408" s="8" t="s">
        <v>116</v>
      </c>
      <c r="J1408" s="9">
        <v>1</v>
      </c>
      <c r="K1408" s="9">
        <v>292</v>
      </c>
      <c r="L1408" s="9">
        <v>2024</v>
      </c>
      <c r="M1408" s="8" t="s">
        <v>8865</v>
      </c>
      <c r="N1408" s="8" t="s">
        <v>41</v>
      </c>
      <c r="O1408" s="8" t="s">
        <v>676</v>
      </c>
      <c r="P1408" s="6" t="s">
        <v>8866</v>
      </c>
      <c r="Q1408" s="8" t="s">
        <v>44</v>
      </c>
      <c r="R1408" s="10" t="s">
        <v>806</v>
      </c>
      <c r="S1408" s="11"/>
      <c r="T1408" s="6"/>
      <c r="U1408" s="24" t="str">
        <f>HYPERLINK("https://media.infra-m.ru/2157/2157339/cover/2157339.jpg", "Обложка")</f>
        <v>Обложка</v>
      </c>
      <c r="V1408" s="24" t="str">
        <f>HYPERLINK("https://znanium.ru/catalog/product/2114759", "Ознакомиться")</f>
        <v>Ознакомиться</v>
      </c>
      <c r="W1408" s="8" t="s">
        <v>808</v>
      </c>
      <c r="X1408" s="6"/>
      <c r="Y1408" s="6"/>
      <c r="Z1408" s="6"/>
      <c r="AA1408" s="6" t="s">
        <v>219</v>
      </c>
      <c r="AB1408" s="8"/>
    </row>
    <row r="1409" spans="1:28" s="4" customFormat="1" ht="51.95" customHeight="1">
      <c r="A1409" s="5">
        <v>0</v>
      </c>
      <c r="B1409" s="6" t="s">
        <v>8867</v>
      </c>
      <c r="C1409" s="13">
        <v>1554</v>
      </c>
      <c r="D1409" s="8" t="s">
        <v>8868</v>
      </c>
      <c r="E1409" s="8" t="s">
        <v>8869</v>
      </c>
      <c r="F1409" s="8" t="s">
        <v>8870</v>
      </c>
      <c r="G1409" s="6" t="s">
        <v>89</v>
      </c>
      <c r="H1409" s="6" t="s">
        <v>53</v>
      </c>
      <c r="I1409" s="8" t="s">
        <v>116</v>
      </c>
      <c r="J1409" s="9">
        <v>1</v>
      </c>
      <c r="K1409" s="9">
        <v>336</v>
      </c>
      <c r="L1409" s="9">
        <v>2024</v>
      </c>
      <c r="M1409" s="8" t="s">
        <v>8871</v>
      </c>
      <c r="N1409" s="8" t="s">
        <v>41</v>
      </c>
      <c r="O1409" s="8" t="s">
        <v>676</v>
      </c>
      <c r="P1409" s="6" t="s">
        <v>8866</v>
      </c>
      <c r="Q1409" s="8" t="s">
        <v>44</v>
      </c>
      <c r="R1409" s="10" t="s">
        <v>5010</v>
      </c>
      <c r="S1409" s="11"/>
      <c r="T1409" s="6"/>
      <c r="U1409" s="24" t="str">
        <f>HYPERLINK("https://media.infra-m.ru/2157/2157338/cover/2157338.jpg", "Обложка")</f>
        <v>Обложка</v>
      </c>
      <c r="V1409" s="24" t="str">
        <f>HYPERLINK("https://znanium.ru/catalog/product/2114760", "Ознакомиться")</f>
        <v>Ознакомиться</v>
      </c>
      <c r="W1409" s="8" t="s">
        <v>808</v>
      </c>
      <c r="X1409" s="6"/>
      <c r="Y1409" s="6"/>
      <c r="Z1409" s="6"/>
      <c r="AA1409" s="6" t="s">
        <v>219</v>
      </c>
      <c r="AB1409" s="8"/>
    </row>
    <row r="1410" spans="1:28" s="4" customFormat="1" ht="51.95" customHeight="1">
      <c r="A1410" s="5">
        <v>0</v>
      </c>
      <c r="B1410" s="6" t="s">
        <v>8872</v>
      </c>
      <c r="C1410" s="13">
        <v>1460</v>
      </c>
      <c r="D1410" s="8" t="s">
        <v>8873</v>
      </c>
      <c r="E1410" s="8" t="s">
        <v>8874</v>
      </c>
      <c r="F1410" s="8" t="s">
        <v>8864</v>
      </c>
      <c r="G1410" s="6" t="s">
        <v>89</v>
      </c>
      <c r="H1410" s="6" t="s">
        <v>53</v>
      </c>
      <c r="I1410" s="8" t="s">
        <v>116</v>
      </c>
      <c r="J1410" s="9">
        <v>1</v>
      </c>
      <c r="K1410" s="9">
        <v>315</v>
      </c>
      <c r="L1410" s="9">
        <v>2024</v>
      </c>
      <c r="M1410" s="8" t="s">
        <v>8875</v>
      </c>
      <c r="N1410" s="8" t="s">
        <v>41</v>
      </c>
      <c r="O1410" s="8" t="s">
        <v>676</v>
      </c>
      <c r="P1410" s="6" t="s">
        <v>8866</v>
      </c>
      <c r="Q1410" s="8" t="s">
        <v>44</v>
      </c>
      <c r="R1410" s="10" t="s">
        <v>5010</v>
      </c>
      <c r="S1410" s="11"/>
      <c r="T1410" s="6"/>
      <c r="U1410" s="24" t="str">
        <f>HYPERLINK("https://media.infra-m.ru/2116/2116868/cover/2116868.jpg", "Обложка")</f>
        <v>Обложка</v>
      </c>
      <c r="V1410" s="24" t="str">
        <f>HYPERLINK("https://znanium.ru/catalog/product/2116868", "Ознакомиться")</f>
        <v>Ознакомиться</v>
      </c>
      <c r="W1410" s="8" t="s">
        <v>808</v>
      </c>
      <c r="X1410" s="6"/>
      <c r="Y1410" s="6"/>
      <c r="Z1410" s="6"/>
      <c r="AA1410" s="6" t="s">
        <v>219</v>
      </c>
      <c r="AB1410" s="8"/>
    </row>
    <row r="1411" spans="1:28" s="4" customFormat="1" ht="42" customHeight="1">
      <c r="A1411" s="5">
        <v>0</v>
      </c>
      <c r="B1411" s="6" t="s">
        <v>8876</v>
      </c>
      <c r="C1411" s="7">
        <v>413</v>
      </c>
      <c r="D1411" s="8" t="s">
        <v>8877</v>
      </c>
      <c r="E1411" s="8" t="s">
        <v>8878</v>
      </c>
      <c r="F1411" s="8" t="s">
        <v>8879</v>
      </c>
      <c r="G1411" s="6" t="s">
        <v>38</v>
      </c>
      <c r="H1411" s="6" t="s">
        <v>184</v>
      </c>
      <c r="I1411" s="8" t="s">
        <v>3062</v>
      </c>
      <c r="J1411" s="9">
        <v>1</v>
      </c>
      <c r="K1411" s="9">
        <v>125</v>
      </c>
      <c r="L1411" s="9">
        <v>2024</v>
      </c>
      <c r="M1411" s="8" t="s">
        <v>8880</v>
      </c>
      <c r="N1411" s="8" t="s">
        <v>41</v>
      </c>
      <c r="O1411" s="8" t="s">
        <v>4035</v>
      </c>
      <c r="P1411" s="6" t="s">
        <v>43</v>
      </c>
      <c r="Q1411" s="8" t="s">
        <v>44</v>
      </c>
      <c r="R1411" s="10" t="s">
        <v>5657</v>
      </c>
      <c r="S1411" s="11"/>
      <c r="T1411" s="6"/>
      <c r="U1411" s="24" t="str">
        <f>HYPERLINK("https://media.infra-m.ru/2143/2143170/cover/2143170.jpg", "Обложка")</f>
        <v>Обложка</v>
      </c>
      <c r="V1411" s="24" t="str">
        <f>HYPERLINK("https://znanium.ru/catalog/product/2143170", "Ознакомиться")</f>
        <v>Ознакомиться</v>
      </c>
      <c r="W1411" s="8"/>
      <c r="X1411" s="6"/>
      <c r="Y1411" s="6"/>
      <c r="Z1411" s="6"/>
      <c r="AA1411" s="6" t="s">
        <v>654</v>
      </c>
      <c r="AB1411" s="8"/>
    </row>
    <row r="1412" spans="1:28" s="4" customFormat="1" ht="51.95" customHeight="1">
      <c r="A1412" s="5">
        <v>0</v>
      </c>
      <c r="B1412" s="6" t="s">
        <v>8881</v>
      </c>
      <c r="C1412" s="13">
        <v>1530</v>
      </c>
      <c r="D1412" s="8" t="s">
        <v>8882</v>
      </c>
      <c r="E1412" s="8" t="s">
        <v>8878</v>
      </c>
      <c r="F1412" s="8" t="s">
        <v>8883</v>
      </c>
      <c r="G1412" s="6" t="s">
        <v>89</v>
      </c>
      <c r="H1412" s="6" t="s">
        <v>53</v>
      </c>
      <c r="I1412" s="8" t="s">
        <v>116</v>
      </c>
      <c r="J1412" s="9">
        <v>1</v>
      </c>
      <c r="K1412" s="9">
        <v>322</v>
      </c>
      <c r="L1412" s="9">
        <v>2023</v>
      </c>
      <c r="M1412" s="8" t="s">
        <v>8884</v>
      </c>
      <c r="N1412" s="8" t="s">
        <v>41</v>
      </c>
      <c r="O1412" s="8" t="s">
        <v>118</v>
      </c>
      <c r="P1412" s="6" t="s">
        <v>167</v>
      </c>
      <c r="Q1412" s="8" t="s">
        <v>44</v>
      </c>
      <c r="R1412" s="10" t="s">
        <v>8885</v>
      </c>
      <c r="S1412" s="11"/>
      <c r="T1412" s="6"/>
      <c r="U1412" s="24" t="str">
        <f>HYPERLINK("https://media.infra-m.ru/2126/2126213/cover/2126213.jpg", "Обложка")</f>
        <v>Обложка</v>
      </c>
      <c r="V1412" s="24" t="str">
        <f>HYPERLINK("https://znanium.ru/catalog/product/2122924", "Ознакомиться")</f>
        <v>Ознакомиться</v>
      </c>
      <c r="W1412" s="8"/>
      <c r="X1412" s="6"/>
      <c r="Y1412" s="6"/>
      <c r="Z1412" s="6"/>
      <c r="AA1412" s="6" t="s">
        <v>207</v>
      </c>
      <c r="AB1412" s="8" t="s">
        <v>8886</v>
      </c>
    </row>
    <row r="1413" spans="1:28" s="4" customFormat="1" ht="51.95" customHeight="1">
      <c r="A1413" s="5">
        <v>0</v>
      </c>
      <c r="B1413" s="6" t="s">
        <v>8887</v>
      </c>
      <c r="C1413" s="13">
        <v>2994</v>
      </c>
      <c r="D1413" s="8" t="s">
        <v>8888</v>
      </c>
      <c r="E1413" s="8" t="s">
        <v>8889</v>
      </c>
      <c r="F1413" s="8" t="s">
        <v>5561</v>
      </c>
      <c r="G1413" s="6" t="s">
        <v>89</v>
      </c>
      <c r="H1413" s="6" t="s">
        <v>674</v>
      </c>
      <c r="I1413" s="8"/>
      <c r="J1413" s="9">
        <v>1</v>
      </c>
      <c r="K1413" s="9">
        <v>800</v>
      </c>
      <c r="L1413" s="9">
        <v>2025</v>
      </c>
      <c r="M1413" s="8" t="s">
        <v>8890</v>
      </c>
      <c r="N1413" s="8" t="s">
        <v>41</v>
      </c>
      <c r="O1413" s="8" t="s">
        <v>676</v>
      </c>
      <c r="P1413" s="6" t="s">
        <v>167</v>
      </c>
      <c r="Q1413" s="8" t="s">
        <v>44</v>
      </c>
      <c r="R1413" s="10" t="s">
        <v>806</v>
      </c>
      <c r="S1413" s="11" t="s">
        <v>8891</v>
      </c>
      <c r="T1413" s="6"/>
      <c r="U1413" s="24" t="str">
        <f>HYPERLINK("https://media.infra-m.ru/2168/2168549/cover/2168549.jpg", "Обложка")</f>
        <v>Обложка</v>
      </c>
      <c r="V1413" s="24" t="str">
        <f>HYPERLINK("https://znanium.ru/catalog/product/2004340", "Ознакомиться")</f>
        <v>Ознакомиться</v>
      </c>
      <c r="W1413" s="8" t="s">
        <v>792</v>
      </c>
      <c r="X1413" s="6"/>
      <c r="Y1413" s="6"/>
      <c r="Z1413" s="6"/>
      <c r="AA1413" s="6" t="s">
        <v>8892</v>
      </c>
      <c r="AB1413" s="8"/>
    </row>
    <row r="1414" spans="1:28" s="4" customFormat="1" ht="51.95" customHeight="1">
      <c r="A1414" s="5">
        <v>0</v>
      </c>
      <c r="B1414" s="6" t="s">
        <v>8893</v>
      </c>
      <c r="C1414" s="13">
        <v>1994</v>
      </c>
      <c r="D1414" s="8" t="s">
        <v>8894</v>
      </c>
      <c r="E1414" s="8" t="s">
        <v>8863</v>
      </c>
      <c r="F1414" s="8" t="s">
        <v>8895</v>
      </c>
      <c r="G1414" s="6" t="s">
        <v>52</v>
      </c>
      <c r="H1414" s="6" t="s">
        <v>674</v>
      </c>
      <c r="I1414" s="8"/>
      <c r="J1414" s="9">
        <v>1</v>
      </c>
      <c r="K1414" s="9">
        <v>448</v>
      </c>
      <c r="L1414" s="9">
        <v>2023</v>
      </c>
      <c r="M1414" s="8" t="s">
        <v>8896</v>
      </c>
      <c r="N1414" s="8" t="s">
        <v>41</v>
      </c>
      <c r="O1414" s="8" t="s">
        <v>676</v>
      </c>
      <c r="P1414" s="6" t="s">
        <v>167</v>
      </c>
      <c r="Q1414" s="8" t="s">
        <v>44</v>
      </c>
      <c r="R1414" s="10" t="s">
        <v>806</v>
      </c>
      <c r="S1414" s="11"/>
      <c r="T1414" s="6"/>
      <c r="U1414" s="24" t="str">
        <f>HYPERLINK("https://media.infra-m.ru/2009/2009683/cover/2009683.jpg", "Обложка")</f>
        <v>Обложка</v>
      </c>
      <c r="V1414" s="24" t="str">
        <f>HYPERLINK("https://znanium.ru/catalog/product/1014850", "Ознакомиться")</f>
        <v>Ознакомиться</v>
      </c>
      <c r="W1414" s="8" t="s">
        <v>8897</v>
      </c>
      <c r="X1414" s="6"/>
      <c r="Y1414" s="6"/>
      <c r="Z1414" s="6"/>
      <c r="AA1414" s="6" t="s">
        <v>47</v>
      </c>
      <c r="AB1414" s="8"/>
    </row>
    <row r="1415" spans="1:28" s="4" customFormat="1" ht="51.95" customHeight="1">
      <c r="A1415" s="5">
        <v>0</v>
      </c>
      <c r="B1415" s="6" t="s">
        <v>8898</v>
      </c>
      <c r="C1415" s="13">
        <v>1884</v>
      </c>
      <c r="D1415" s="8" t="s">
        <v>8899</v>
      </c>
      <c r="E1415" s="8" t="s">
        <v>8900</v>
      </c>
      <c r="F1415" s="8" t="s">
        <v>8901</v>
      </c>
      <c r="G1415" s="6" t="s">
        <v>52</v>
      </c>
      <c r="H1415" s="6" t="s">
        <v>674</v>
      </c>
      <c r="I1415" s="8"/>
      <c r="J1415" s="9">
        <v>1</v>
      </c>
      <c r="K1415" s="9">
        <v>400</v>
      </c>
      <c r="L1415" s="9">
        <v>2024</v>
      </c>
      <c r="M1415" s="8" t="s">
        <v>8902</v>
      </c>
      <c r="N1415" s="8" t="s">
        <v>41</v>
      </c>
      <c r="O1415" s="8" t="s">
        <v>676</v>
      </c>
      <c r="P1415" s="6" t="s">
        <v>167</v>
      </c>
      <c r="Q1415" s="8" t="s">
        <v>44</v>
      </c>
      <c r="R1415" s="10" t="s">
        <v>262</v>
      </c>
      <c r="S1415" s="11" t="s">
        <v>8903</v>
      </c>
      <c r="T1415" s="6"/>
      <c r="U1415" s="24" t="str">
        <f>HYPERLINK("https://media.infra-m.ru/2096/2096327/cover/2096327.jpg", "Обложка")</f>
        <v>Обложка</v>
      </c>
      <c r="V1415" s="24" t="str">
        <f>HYPERLINK("https://znanium.ru/catalog/product/1142401", "Ознакомиться")</f>
        <v>Ознакомиться</v>
      </c>
      <c r="W1415" s="8" t="s">
        <v>4309</v>
      </c>
      <c r="X1415" s="6"/>
      <c r="Y1415" s="6"/>
      <c r="Z1415" s="6"/>
      <c r="AA1415" s="6" t="s">
        <v>47</v>
      </c>
      <c r="AB1415" s="8"/>
    </row>
    <row r="1416" spans="1:28" s="4" customFormat="1" ht="51.95" customHeight="1">
      <c r="A1416" s="5">
        <v>0</v>
      </c>
      <c r="B1416" s="6" t="s">
        <v>8904</v>
      </c>
      <c r="C1416" s="13">
        <v>1614</v>
      </c>
      <c r="D1416" s="8" t="s">
        <v>8905</v>
      </c>
      <c r="E1416" s="8" t="s">
        <v>8900</v>
      </c>
      <c r="F1416" s="8" t="s">
        <v>8781</v>
      </c>
      <c r="G1416" s="6" t="s">
        <v>89</v>
      </c>
      <c r="H1416" s="6" t="s">
        <v>184</v>
      </c>
      <c r="I1416" s="8" t="s">
        <v>116</v>
      </c>
      <c r="J1416" s="9">
        <v>1</v>
      </c>
      <c r="K1416" s="9">
        <v>310</v>
      </c>
      <c r="L1416" s="9">
        <v>2025</v>
      </c>
      <c r="M1416" s="8" t="s">
        <v>8906</v>
      </c>
      <c r="N1416" s="8" t="s">
        <v>41</v>
      </c>
      <c r="O1416" s="8" t="s">
        <v>676</v>
      </c>
      <c r="P1416" s="6" t="s">
        <v>43</v>
      </c>
      <c r="Q1416" s="8" t="s">
        <v>58</v>
      </c>
      <c r="R1416" s="10" t="s">
        <v>677</v>
      </c>
      <c r="S1416" s="11"/>
      <c r="T1416" s="6"/>
      <c r="U1416" s="24" t="str">
        <f>HYPERLINK("https://media.infra-m.ru/2202/2202107/cover/2202107.jpg", "Обложка")</f>
        <v>Обложка</v>
      </c>
      <c r="V1416" s="24" t="str">
        <f>HYPERLINK("https://znanium.ru/catalog/product/2166398", "Ознакомиться")</f>
        <v>Ознакомиться</v>
      </c>
      <c r="W1416" s="8" t="s">
        <v>8784</v>
      </c>
      <c r="X1416" s="6"/>
      <c r="Y1416" s="6"/>
      <c r="Z1416" s="6"/>
      <c r="AA1416" s="6" t="s">
        <v>442</v>
      </c>
      <c r="AB1416" s="8"/>
    </row>
    <row r="1417" spans="1:28" s="4" customFormat="1" ht="44.1" customHeight="1">
      <c r="A1417" s="5">
        <v>0</v>
      </c>
      <c r="B1417" s="6" t="s">
        <v>8907</v>
      </c>
      <c r="C1417" s="13">
        <v>2154</v>
      </c>
      <c r="D1417" s="8" t="s">
        <v>8908</v>
      </c>
      <c r="E1417" s="8" t="s">
        <v>8863</v>
      </c>
      <c r="F1417" s="8" t="s">
        <v>7627</v>
      </c>
      <c r="G1417" s="6" t="s">
        <v>52</v>
      </c>
      <c r="H1417" s="6" t="s">
        <v>674</v>
      </c>
      <c r="I1417" s="8"/>
      <c r="J1417" s="9">
        <v>1</v>
      </c>
      <c r="K1417" s="9">
        <v>464</v>
      </c>
      <c r="L1417" s="9">
        <v>2024</v>
      </c>
      <c r="M1417" s="8" t="s">
        <v>8909</v>
      </c>
      <c r="N1417" s="8" t="s">
        <v>41</v>
      </c>
      <c r="O1417" s="8" t="s">
        <v>676</v>
      </c>
      <c r="P1417" s="6" t="s">
        <v>167</v>
      </c>
      <c r="Q1417" s="8" t="s">
        <v>58</v>
      </c>
      <c r="R1417" s="10" t="s">
        <v>8910</v>
      </c>
      <c r="S1417" s="11"/>
      <c r="T1417" s="6"/>
      <c r="U1417" s="24" t="str">
        <f>HYPERLINK("https://media.infra-m.ru/2114/2114324/cover/2114324.jpg", "Обложка")</f>
        <v>Обложка</v>
      </c>
      <c r="V1417" s="24" t="str">
        <f>HYPERLINK("https://znanium.ru/catalog/product/1220287", "Ознакомиться")</f>
        <v>Ознакомиться</v>
      </c>
      <c r="W1417" s="8" t="s">
        <v>792</v>
      </c>
      <c r="X1417" s="6"/>
      <c r="Y1417" s="6"/>
      <c r="Z1417" s="6"/>
      <c r="AA1417" s="6" t="s">
        <v>793</v>
      </c>
      <c r="AB1417" s="8"/>
    </row>
    <row r="1418" spans="1:28" s="4" customFormat="1" ht="44.1" customHeight="1">
      <c r="A1418" s="5">
        <v>0</v>
      </c>
      <c r="B1418" s="6" t="s">
        <v>8911</v>
      </c>
      <c r="C1418" s="13">
        <v>1490</v>
      </c>
      <c r="D1418" s="8" t="s">
        <v>8912</v>
      </c>
      <c r="E1418" s="8" t="s">
        <v>8913</v>
      </c>
      <c r="F1418" s="8" t="s">
        <v>8914</v>
      </c>
      <c r="G1418" s="6" t="s">
        <v>52</v>
      </c>
      <c r="H1418" s="6" t="s">
        <v>53</v>
      </c>
      <c r="I1418" s="8" t="s">
        <v>116</v>
      </c>
      <c r="J1418" s="9">
        <v>1</v>
      </c>
      <c r="K1418" s="9">
        <v>287</v>
      </c>
      <c r="L1418" s="9">
        <v>2025</v>
      </c>
      <c r="M1418" s="8" t="s">
        <v>8915</v>
      </c>
      <c r="N1418" s="8" t="s">
        <v>41</v>
      </c>
      <c r="O1418" s="8" t="s">
        <v>4035</v>
      </c>
      <c r="P1418" s="6" t="s">
        <v>8866</v>
      </c>
      <c r="Q1418" s="8" t="s">
        <v>58</v>
      </c>
      <c r="R1418" s="10" t="s">
        <v>8916</v>
      </c>
      <c r="S1418" s="11"/>
      <c r="T1418" s="6" t="s">
        <v>299</v>
      </c>
      <c r="U1418" s="24" t="str">
        <f>HYPERLINK("https://media.infra-m.ru/2141/2141401/cover/2141401.jpg", "Обложка")</f>
        <v>Обложка</v>
      </c>
      <c r="V1418" s="24" t="str">
        <f>HYPERLINK("https://znanium.ru/catalog/product/2141401", "Ознакомиться")</f>
        <v>Ознакомиться</v>
      </c>
      <c r="W1418" s="8" t="s">
        <v>8917</v>
      </c>
      <c r="X1418" s="6" t="s">
        <v>132</v>
      </c>
      <c r="Y1418" s="6"/>
      <c r="Z1418" s="6"/>
      <c r="AA1418" s="6" t="s">
        <v>61</v>
      </c>
      <c r="AB1418" s="8"/>
    </row>
    <row r="1419" spans="1:28" s="4" customFormat="1" ht="42" customHeight="1">
      <c r="A1419" s="5">
        <v>0</v>
      </c>
      <c r="B1419" s="6" t="s">
        <v>8918</v>
      </c>
      <c r="C1419" s="13">
        <v>2430</v>
      </c>
      <c r="D1419" s="8" t="s">
        <v>8919</v>
      </c>
      <c r="E1419" s="8" t="s">
        <v>8920</v>
      </c>
      <c r="F1419" s="8" t="s">
        <v>8921</v>
      </c>
      <c r="G1419" s="6" t="s">
        <v>52</v>
      </c>
      <c r="H1419" s="6" t="s">
        <v>53</v>
      </c>
      <c r="I1419" s="8" t="s">
        <v>116</v>
      </c>
      <c r="J1419" s="9">
        <v>1</v>
      </c>
      <c r="K1419" s="9">
        <v>485</v>
      </c>
      <c r="L1419" s="9">
        <v>2024</v>
      </c>
      <c r="M1419" s="8" t="s">
        <v>8922</v>
      </c>
      <c r="N1419" s="8" t="s">
        <v>41</v>
      </c>
      <c r="O1419" s="8" t="s">
        <v>4035</v>
      </c>
      <c r="P1419" s="6" t="s">
        <v>43</v>
      </c>
      <c r="Q1419" s="8" t="s">
        <v>58</v>
      </c>
      <c r="R1419" s="10" t="s">
        <v>8923</v>
      </c>
      <c r="S1419" s="11"/>
      <c r="T1419" s="6"/>
      <c r="U1419" s="24" t="str">
        <f>HYPERLINK("https://media.infra-m.ru/2137/2137708/cover/2137708.jpg", "Обложка")</f>
        <v>Обложка</v>
      </c>
      <c r="V1419" s="24" t="str">
        <f>HYPERLINK("https://znanium.ru/catalog/product/2203225", "Ознакомиться")</f>
        <v>Ознакомиться</v>
      </c>
      <c r="W1419" s="8" t="s">
        <v>8917</v>
      </c>
      <c r="X1419" s="6" t="s">
        <v>132</v>
      </c>
      <c r="Y1419" s="6"/>
      <c r="Z1419" s="6"/>
      <c r="AA1419" s="6" t="s">
        <v>133</v>
      </c>
      <c r="AB1419" s="8" t="s">
        <v>7908</v>
      </c>
    </row>
    <row r="1420" spans="1:28" s="4" customFormat="1" ht="51.95" customHeight="1">
      <c r="A1420" s="5">
        <v>0</v>
      </c>
      <c r="B1420" s="6" t="s">
        <v>8924</v>
      </c>
      <c r="C1420" s="7">
        <v>814.9</v>
      </c>
      <c r="D1420" s="8" t="s">
        <v>8925</v>
      </c>
      <c r="E1420" s="8" t="s">
        <v>8926</v>
      </c>
      <c r="F1420" s="8" t="s">
        <v>3197</v>
      </c>
      <c r="G1420" s="6" t="s">
        <v>52</v>
      </c>
      <c r="H1420" s="6" t="s">
        <v>53</v>
      </c>
      <c r="I1420" s="8" t="s">
        <v>8927</v>
      </c>
      <c r="J1420" s="9">
        <v>1</v>
      </c>
      <c r="K1420" s="9">
        <v>175</v>
      </c>
      <c r="L1420" s="9">
        <v>2023</v>
      </c>
      <c r="M1420" s="8" t="s">
        <v>8928</v>
      </c>
      <c r="N1420" s="8" t="s">
        <v>56</v>
      </c>
      <c r="O1420" s="8" t="s">
        <v>4042</v>
      </c>
      <c r="P1420" s="6" t="s">
        <v>43</v>
      </c>
      <c r="Q1420" s="8" t="s">
        <v>44</v>
      </c>
      <c r="R1420" s="10" t="s">
        <v>8929</v>
      </c>
      <c r="S1420" s="11" t="s">
        <v>8930</v>
      </c>
      <c r="T1420" s="6"/>
      <c r="U1420" s="24" t="str">
        <f>HYPERLINK("https://media.infra-m.ru/1959/1959263/cover/1959263.jpg", "Обложка")</f>
        <v>Обложка</v>
      </c>
      <c r="V1420" s="24" t="str">
        <f>HYPERLINK("https://znanium.ru/catalog/product/1844372", "Ознакомиться")</f>
        <v>Ознакомиться</v>
      </c>
      <c r="W1420" s="8" t="s">
        <v>3201</v>
      </c>
      <c r="X1420" s="6"/>
      <c r="Y1420" s="6"/>
      <c r="Z1420" s="6"/>
      <c r="AA1420" s="6" t="s">
        <v>793</v>
      </c>
      <c r="AB1420" s="8"/>
    </row>
    <row r="1421" spans="1:28" s="4" customFormat="1" ht="51.95" customHeight="1">
      <c r="A1421" s="5">
        <v>0</v>
      </c>
      <c r="B1421" s="6" t="s">
        <v>8931</v>
      </c>
      <c r="C1421" s="13">
        <v>1030</v>
      </c>
      <c r="D1421" s="8" t="s">
        <v>8932</v>
      </c>
      <c r="E1421" s="8" t="s">
        <v>8933</v>
      </c>
      <c r="F1421" s="8" t="s">
        <v>8934</v>
      </c>
      <c r="G1421" s="6" t="s">
        <v>89</v>
      </c>
      <c r="H1421" s="6" t="s">
        <v>184</v>
      </c>
      <c r="I1421" s="8" t="s">
        <v>116</v>
      </c>
      <c r="J1421" s="9">
        <v>1</v>
      </c>
      <c r="K1421" s="9">
        <v>284</v>
      </c>
      <c r="L1421" s="9">
        <v>2021</v>
      </c>
      <c r="M1421" s="8" t="s">
        <v>8935</v>
      </c>
      <c r="N1421" s="8" t="s">
        <v>79</v>
      </c>
      <c r="O1421" s="8" t="s">
        <v>80</v>
      </c>
      <c r="P1421" s="6" t="s">
        <v>43</v>
      </c>
      <c r="Q1421" s="8" t="s">
        <v>44</v>
      </c>
      <c r="R1421" s="10" t="s">
        <v>8936</v>
      </c>
      <c r="S1421" s="11"/>
      <c r="T1421" s="6"/>
      <c r="U1421" s="24" t="str">
        <f>HYPERLINK("https://media.infra-m.ru/1215/1215133/cover/1215133.jpg", "Обложка")</f>
        <v>Обложка</v>
      </c>
      <c r="V1421" s="24" t="str">
        <f>HYPERLINK("https://znanium.ru/catalog/product/1215133", "Ознакомиться")</f>
        <v>Ознакомиться</v>
      </c>
      <c r="W1421" s="8" t="s">
        <v>347</v>
      </c>
      <c r="X1421" s="6"/>
      <c r="Y1421" s="6"/>
      <c r="Z1421" s="6"/>
      <c r="AA1421" s="6" t="s">
        <v>47</v>
      </c>
      <c r="AB1421" s="8" t="s">
        <v>271</v>
      </c>
    </row>
    <row r="1422" spans="1:28" s="4" customFormat="1" ht="51.95" customHeight="1">
      <c r="A1422" s="5">
        <v>0</v>
      </c>
      <c r="B1422" s="6" t="s">
        <v>8937</v>
      </c>
      <c r="C1422" s="13">
        <v>1464</v>
      </c>
      <c r="D1422" s="8" t="s">
        <v>8938</v>
      </c>
      <c r="E1422" s="8" t="s">
        <v>8939</v>
      </c>
      <c r="F1422" s="8" t="s">
        <v>8940</v>
      </c>
      <c r="G1422" s="6" t="s">
        <v>52</v>
      </c>
      <c r="H1422" s="6" t="s">
        <v>53</v>
      </c>
      <c r="I1422" s="8" t="s">
        <v>276</v>
      </c>
      <c r="J1422" s="9">
        <v>1</v>
      </c>
      <c r="K1422" s="9">
        <v>323</v>
      </c>
      <c r="L1422" s="9">
        <v>2023</v>
      </c>
      <c r="M1422" s="8" t="s">
        <v>8941</v>
      </c>
      <c r="N1422" s="8" t="s">
        <v>41</v>
      </c>
      <c r="O1422" s="8" t="s">
        <v>118</v>
      </c>
      <c r="P1422" s="6" t="s">
        <v>167</v>
      </c>
      <c r="Q1422" s="8" t="s">
        <v>279</v>
      </c>
      <c r="R1422" s="10" t="s">
        <v>5657</v>
      </c>
      <c r="S1422" s="11" t="s">
        <v>8942</v>
      </c>
      <c r="T1422" s="6"/>
      <c r="U1422" s="24" t="str">
        <f>HYPERLINK("https://media.infra-m.ru/2023/2023203/cover/2023203.jpg", "Обложка")</f>
        <v>Обложка</v>
      </c>
      <c r="V1422" s="24" t="str">
        <f>HYPERLINK("https://znanium.ru/catalog/product/2023203", "Ознакомиться")</f>
        <v>Ознакомиться</v>
      </c>
      <c r="W1422" s="8" t="s">
        <v>354</v>
      </c>
      <c r="X1422" s="6"/>
      <c r="Y1422" s="6"/>
      <c r="Z1422" s="6"/>
      <c r="AA1422" s="6" t="s">
        <v>258</v>
      </c>
      <c r="AB1422" s="8"/>
    </row>
    <row r="1423" spans="1:28" s="4" customFormat="1" ht="51.95" customHeight="1">
      <c r="A1423" s="5">
        <v>0</v>
      </c>
      <c r="B1423" s="6" t="s">
        <v>8943</v>
      </c>
      <c r="C1423" s="7">
        <v>990</v>
      </c>
      <c r="D1423" s="8" t="s">
        <v>8944</v>
      </c>
      <c r="E1423" s="8" t="s">
        <v>8945</v>
      </c>
      <c r="F1423" s="8" t="s">
        <v>8946</v>
      </c>
      <c r="G1423" s="6" t="s">
        <v>89</v>
      </c>
      <c r="H1423" s="6" t="s">
        <v>53</v>
      </c>
      <c r="I1423" s="8" t="s">
        <v>276</v>
      </c>
      <c r="J1423" s="9">
        <v>1</v>
      </c>
      <c r="K1423" s="9">
        <v>212</v>
      </c>
      <c r="L1423" s="9">
        <v>2024</v>
      </c>
      <c r="M1423" s="8" t="s">
        <v>8947</v>
      </c>
      <c r="N1423" s="8" t="s">
        <v>41</v>
      </c>
      <c r="O1423" s="8" t="s">
        <v>1007</v>
      </c>
      <c r="P1423" s="6" t="s">
        <v>43</v>
      </c>
      <c r="Q1423" s="8" t="s">
        <v>279</v>
      </c>
      <c r="R1423" s="10" t="s">
        <v>2713</v>
      </c>
      <c r="S1423" s="11" t="s">
        <v>8948</v>
      </c>
      <c r="T1423" s="6" t="s">
        <v>299</v>
      </c>
      <c r="U1423" s="24" t="str">
        <f>HYPERLINK("https://media.infra-m.ru/2080/2080767/cover/2080767.jpg", "Обложка")</f>
        <v>Обложка</v>
      </c>
      <c r="V1423" s="24" t="str">
        <f>HYPERLINK("https://znanium.ru/catalog/product/2080767", "Ознакомиться")</f>
        <v>Ознакомиться</v>
      </c>
      <c r="W1423" s="8" t="s">
        <v>4161</v>
      </c>
      <c r="X1423" s="6"/>
      <c r="Y1423" s="6"/>
      <c r="Z1423" s="6"/>
      <c r="AA1423" s="6" t="s">
        <v>326</v>
      </c>
      <c r="AB1423" s="8"/>
    </row>
    <row r="1424" spans="1:28" s="4" customFormat="1" ht="51.95" customHeight="1">
      <c r="A1424" s="5">
        <v>0</v>
      </c>
      <c r="B1424" s="6" t="s">
        <v>8949</v>
      </c>
      <c r="C1424" s="7">
        <v>674.9</v>
      </c>
      <c r="D1424" s="8" t="s">
        <v>8950</v>
      </c>
      <c r="E1424" s="8" t="s">
        <v>8951</v>
      </c>
      <c r="F1424" s="8" t="s">
        <v>8946</v>
      </c>
      <c r="G1424" s="6" t="s">
        <v>52</v>
      </c>
      <c r="H1424" s="6" t="s">
        <v>53</v>
      </c>
      <c r="I1424" s="8" t="s">
        <v>90</v>
      </c>
      <c r="J1424" s="9">
        <v>20</v>
      </c>
      <c r="K1424" s="9">
        <v>231</v>
      </c>
      <c r="L1424" s="9">
        <v>2017</v>
      </c>
      <c r="M1424" s="8" t="s">
        <v>8952</v>
      </c>
      <c r="N1424" s="8" t="s">
        <v>41</v>
      </c>
      <c r="O1424" s="8" t="s">
        <v>1007</v>
      </c>
      <c r="P1424" s="6" t="s">
        <v>43</v>
      </c>
      <c r="Q1424" s="8" t="s">
        <v>44</v>
      </c>
      <c r="R1424" s="10" t="s">
        <v>2713</v>
      </c>
      <c r="S1424" s="11" t="s">
        <v>8953</v>
      </c>
      <c r="T1424" s="6"/>
      <c r="U1424" s="24" t="str">
        <f>HYPERLINK("https://media.infra-m.ru/0762/0762314/cover/762314.jpg", "Обложка")</f>
        <v>Обложка</v>
      </c>
      <c r="V1424" s="24" t="str">
        <f>HYPERLINK("https://znanium.ru/catalog/product/2080767", "Ознакомиться")</f>
        <v>Ознакомиться</v>
      </c>
      <c r="W1424" s="8" t="s">
        <v>4161</v>
      </c>
      <c r="X1424" s="6"/>
      <c r="Y1424" s="6"/>
      <c r="Z1424" s="6"/>
      <c r="AA1424" s="6" t="s">
        <v>72</v>
      </c>
      <c r="AB1424" s="8"/>
    </row>
    <row r="1425" spans="1:28" s="4" customFormat="1" ht="51.95" customHeight="1">
      <c r="A1425" s="5">
        <v>0</v>
      </c>
      <c r="B1425" s="6" t="s">
        <v>8954</v>
      </c>
      <c r="C1425" s="13">
        <v>2240</v>
      </c>
      <c r="D1425" s="8" t="s">
        <v>8955</v>
      </c>
      <c r="E1425" s="8" t="s">
        <v>8956</v>
      </c>
      <c r="F1425" s="8" t="s">
        <v>8957</v>
      </c>
      <c r="G1425" s="6" t="s">
        <v>89</v>
      </c>
      <c r="H1425" s="6" t="s">
        <v>674</v>
      </c>
      <c r="I1425" s="8"/>
      <c r="J1425" s="9">
        <v>1</v>
      </c>
      <c r="K1425" s="9">
        <v>496</v>
      </c>
      <c r="L1425" s="9">
        <v>2023</v>
      </c>
      <c r="M1425" s="8" t="s">
        <v>8958</v>
      </c>
      <c r="N1425" s="8" t="s">
        <v>41</v>
      </c>
      <c r="O1425" s="8" t="s">
        <v>676</v>
      </c>
      <c r="P1425" s="6" t="s">
        <v>167</v>
      </c>
      <c r="Q1425" s="8" t="s">
        <v>279</v>
      </c>
      <c r="R1425" s="10" t="s">
        <v>806</v>
      </c>
      <c r="S1425" s="11"/>
      <c r="T1425" s="6"/>
      <c r="U1425" s="24" t="str">
        <f>HYPERLINK("https://media.infra-m.ru/1913/1913790/cover/1913790.jpg", "Обложка")</f>
        <v>Обложка</v>
      </c>
      <c r="V1425" s="24" t="str">
        <f>HYPERLINK("https://znanium.ru/catalog/product/1913790", "Ознакомиться")</f>
        <v>Ознакомиться</v>
      </c>
      <c r="W1425" s="8" t="s">
        <v>2114</v>
      </c>
      <c r="X1425" s="6"/>
      <c r="Y1425" s="6"/>
      <c r="Z1425" s="6"/>
      <c r="AA1425" s="6" t="s">
        <v>418</v>
      </c>
      <c r="AB1425" s="8"/>
    </row>
    <row r="1426" spans="1:28" s="4" customFormat="1" ht="51.95" customHeight="1">
      <c r="A1426" s="5">
        <v>0</v>
      </c>
      <c r="B1426" s="6" t="s">
        <v>8959</v>
      </c>
      <c r="C1426" s="13">
        <v>1360</v>
      </c>
      <c r="D1426" s="8" t="s">
        <v>8960</v>
      </c>
      <c r="E1426" s="8" t="s">
        <v>8956</v>
      </c>
      <c r="F1426" s="8" t="s">
        <v>8961</v>
      </c>
      <c r="G1426" s="6" t="s">
        <v>52</v>
      </c>
      <c r="H1426" s="6" t="s">
        <v>674</v>
      </c>
      <c r="I1426" s="8"/>
      <c r="J1426" s="9">
        <v>1</v>
      </c>
      <c r="K1426" s="9">
        <v>464</v>
      </c>
      <c r="L1426" s="9">
        <v>2018</v>
      </c>
      <c r="M1426" s="8" t="s">
        <v>8962</v>
      </c>
      <c r="N1426" s="8" t="s">
        <v>41</v>
      </c>
      <c r="O1426" s="8" t="s">
        <v>676</v>
      </c>
      <c r="P1426" s="6" t="s">
        <v>167</v>
      </c>
      <c r="Q1426" s="8" t="s">
        <v>279</v>
      </c>
      <c r="R1426" s="10" t="s">
        <v>806</v>
      </c>
      <c r="S1426" s="11"/>
      <c r="T1426" s="6"/>
      <c r="U1426" s="24" t="str">
        <f>HYPERLINK("https://media.infra-m.ru/0945/0945566/cover/945566.jpg", "Обложка")</f>
        <v>Обложка</v>
      </c>
      <c r="V1426" s="24" t="str">
        <f>HYPERLINK("https://znanium.ru/catalog/product/2144403", "Ознакомиться")</f>
        <v>Ознакомиться</v>
      </c>
      <c r="W1426" s="8" t="s">
        <v>4309</v>
      </c>
      <c r="X1426" s="6"/>
      <c r="Y1426" s="6"/>
      <c r="Z1426" s="6"/>
      <c r="AA1426" s="6" t="s">
        <v>122</v>
      </c>
      <c r="AB1426" s="8"/>
    </row>
    <row r="1427" spans="1:28" s="4" customFormat="1" ht="42" customHeight="1">
      <c r="A1427" s="5">
        <v>0</v>
      </c>
      <c r="B1427" s="6" t="s">
        <v>8963</v>
      </c>
      <c r="C1427" s="13">
        <v>2170</v>
      </c>
      <c r="D1427" s="8" t="s">
        <v>8964</v>
      </c>
      <c r="E1427" s="8" t="s">
        <v>8956</v>
      </c>
      <c r="F1427" s="8" t="s">
        <v>8965</v>
      </c>
      <c r="G1427" s="6" t="s">
        <v>52</v>
      </c>
      <c r="H1427" s="6" t="s">
        <v>184</v>
      </c>
      <c r="I1427" s="8" t="s">
        <v>116</v>
      </c>
      <c r="J1427" s="9">
        <v>1</v>
      </c>
      <c r="K1427" s="9">
        <v>425</v>
      </c>
      <c r="L1427" s="9">
        <v>2025</v>
      </c>
      <c r="M1427" s="8" t="s">
        <v>8966</v>
      </c>
      <c r="N1427" s="8" t="s">
        <v>41</v>
      </c>
      <c r="O1427" s="8" t="s">
        <v>6721</v>
      </c>
      <c r="P1427" s="6" t="s">
        <v>167</v>
      </c>
      <c r="Q1427" s="8" t="s">
        <v>58</v>
      </c>
      <c r="R1427" s="10" t="s">
        <v>969</v>
      </c>
      <c r="S1427" s="11"/>
      <c r="T1427" s="6"/>
      <c r="U1427" s="24" t="str">
        <f>HYPERLINK("https://media.infra-m.ru/2187/2187363/cover/2187363.jpg", "Обложка")</f>
        <v>Обложка</v>
      </c>
      <c r="V1427" s="24" t="str">
        <f>HYPERLINK("https://znanium.ru/catalog/product/2187363", "Ознакомиться")</f>
        <v>Ознакомиться</v>
      </c>
      <c r="W1427" s="8" t="s">
        <v>2343</v>
      </c>
      <c r="X1427" s="6" t="s">
        <v>226</v>
      </c>
      <c r="Y1427" s="6"/>
      <c r="Z1427" s="6"/>
      <c r="AA1427" s="6" t="s">
        <v>61</v>
      </c>
      <c r="AB1427" s="8"/>
    </row>
    <row r="1428" spans="1:28" s="4" customFormat="1" ht="51.95" customHeight="1">
      <c r="A1428" s="5">
        <v>0</v>
      </c>
      <c r="B1428" s="6" t="s">
        <v>8967</v>
      </c>
      <c r="C1428" s="13">
        <v>1280</v>
      </c>
      <c r="D1428" s="8" t="s">
        <v>8968</v>
      </c>
      <c r="E1428" s="8" t="s">
        <v>8956</v>
      </c>
      <c r="F1428" s="8" t="s">
        <v>8969</v>
      </c>
      <c r="G1428" s="6" t="s">
        <v>89</v>
      </c>
      <c r="H1428" s="6" t="s">
        <v>53</v>
      </c>
      <c r="I1428" s="8" t="s">
        <v>276</v>
      </c>
      <c r="J1428" s="9">
        <v>1</v>
      </c>
      <c r="K1428" s="9">
        <v>283</v>
      </c>
      <c r="L1428" s="9">
        <v>2023</v>
      </c>
      <c r="M1428" s="8" t="s">
        <v>8970</v>
      </c>
      <c r="N1428" s="8" t="s">
        <v>41</v>
      </c>
      <c r="O1428" s="8" t="s">
        <v>676</v>
      </c>
      <c r="P1428" s="6" t="s">
        <v>167</v>
      </c>
      <c r="Q1428" s="8" t="s">
        <v>279</v>
      </c>
      <c r="R1428" s="10" t="s">
        <v>806</v>
      </c>
      <c r="S1428" s="11" t="s">
        <v>8971</v>
      </c>
      <c r="T1428" s="6"/>
      <c r="U1428" s="24" t="str">
        <f>HYPERLINK("https://media.infra-m.ru/1899/1899554/cover/1899554.jpg", "Обложка")</f>
        <v>Обложка</v>
      </c>
      <c r="V1428" s="24" t="str">
        <f>HYPERLINK("https://znanium.ru/catalog/product/1899554", "Ознакомиться")</f>
        <v>Ознакомиться</v>
      </c>
      <c r="W1428" s="8" t="s">
        <v>8972</v>
      </c>
      <c r="X1428" s="6"/>
      <c r="Y1428" s="6"/>
      <c r="Z1428" s="6"/>
      <c r="AA1428" s="6" t="s">
        <v>151</v>
      </c>
      <c r="AB1428" s="8"/>
    </row>
    <row r="1429" spans="1:28" s="4" customFormat="1" ht="42" customHeight="1">
      <c r="A1429" s="5">
        <v>0</v>
      </c>
      <c r="B1429" s="6" t="s">
        <v>8973</v>
      </c>
      <c r="C1429" s="13">
        <v>2794</v>
      </c>
      <c r="D1429" s="8" t="s">
        <v>8974</v>
      </c>
      <c r="E1429" s="8" t="s">
        <v>8956</v>
      </c>
      <c r="F1429" s="8" t="s">
        <v>8975</v>
      </c>
      <c r="G1429" s="6" t="s">
        <v>89</v>
      </c>
      <c r="H1429" s="6" t="s">
        <v>184</v>
      </c>
      <c r="I1429" s="8" t="s">
        <v>116</v>
      </c>
      <c r="J1429" s="9">
        <v>1</v>
      </c>
      <c r="K1429" s="9">
        <v>583</v>
      </c>
      <c r="L1429" s="9">
        <v>2025</v>
      </c>
      <c r="M1429" s="8" t="s">
        <v>8976</v>
      </c>
      <c r="N1429" s="8" t="s">
        <v>41</v>
      </c>
      <c r="O1429" s="8" t="s">
        <v>676</v>
      </c>
      <c r="P1429" s="6" t="s">
        <v>167</v>
      </c>
      <c r="Q1429" s="8" t="s">
        <v>279</v>
      </c>
      <c r="R1429" s="10" t="s">
        <v>969</v>
      </c>
      <c r="S1429" s="11"/>
      <c r="T1429" s="6"/>
      <c r="U1429" s="24" t="str">
        <f>HYPERLINK("https://media.infra-m.ru/2170/2170958/cover/2170958.jpg", "Обложка")</f>
        <v>Обложка</v>
      </c>
      <c r="V1429" s="12"/>
      <c r="W1429" s="8" t="s">
        <v>1313</v>
      </c>
      <c r="X1429" s="6"/>
      <c r="Y1429" s="6"/>
      <c r="Z1429" s="6"/>
      <c r="AA1429" s="6" t="s">
        <v>235</v>
      </c>
      <c r="AB1429" s="8"/>
    </row>
    <row r="1430" spans="1:28" s="4" customFormat="1" ht="51.95" customHeight="1">
      <c r="A1430" s="5">
        <v>0</v>
      </c>
      <c r="B1430" s="6" t="s">
        <v>8977</v>
      </c>
      <c r="C1430" s="13">
        <v>2400</v>
      </c>
      <c r="D1430" s="8" t="s">
        <v>8978</v>
      </c>
      <c r="E1430" s="8" t="s">
        <v>8979</v>
      </c>
      <c r="F1430" s="8" t="s">
        <v>8901</v>
      </c>
      <c r="G1430" s="6" t="s">
        <v>52</v>
      </c>
      <c r="H1430" s="6" t="s">
        <v>674</v>
      </c>
      <c r="I1430" s="8"/>
      <c r="J1430" s="9">
        <v>1</v>
      </c>
      <c r="K1430" s="9">
        <v>512</v>
      </c>
      <c r="L1430" s="9">
        <v>2024</v>
      </c>
      <c r="M1430" s="8" t="s">
        <v>8980</v>
      </c>
      <c r="N1430" s="8" t="s">
        <v>41</v>
      </c>
      <c r="O1430" s="8" t="s">
        <v>676</v>
      </c>
      <c r="P1430" s="6" t="s">
        <v>167</v>
      </c>
      <c r="Q1430" s="8" t="s">
        <v>279</v>
      </c>
      <c r="R1430" s="10" t="s">
        <v>806</v>
      </c>
      <c r="S1430" s="11"/>
      <c r="T1430" s="6"/>
      <c r="U1430" s="24" t="str">
        <f>HYPERLINK("https://media.infra-m.ru/2144/2144403/cover/2144403.jpg", "Обложка")</f>
        <v>Обложка</v>
      </c>
      <c r="V1430" s="24" t="str">
        <f>HYPERLINK("https://znanium.ru/catalog/product/2144403", "Ознакомиться")</f>
        <v>Ознакомиться</v>
      </c>
      <c r="W1430" s="8" t="s">
        <v>4309</v>
      </c>
      <c r="X1430" s="6"/>
      <c r="Y1430" s="6"/>
      <c r="Z1430" s="6"/>
      <c r="AA1430" s="6" t="s">
        <v>1374</v>
      </c>
      <c r="AB1430" s="8"/>
    </row>
    <row r="1431" spans="1:28" s="4" customFormat="1" ht="51.95" customHeight="1">
      <c r="A1431" s="5">
        <v>0</v>
      </c>
      <c r="B1431" s="6" t="s">
        <v>8981</v>
      </c>
      <c r="C1431" s="7">
        <v>610</v>
      </c>
      <c r="D1431" s="8" t="s">
        <v>8982</v>
      </c>
      <c r="E1431" s="8" t="s">
        <v>8956</v>
      </c>
      <c r="F1431" s="8" t="s">
        <v>8983</v>
      </c>
      <c r="G1431" s="6" t="s">
        <v>89</v>
      </c>
      <c r="H1431" s="6" t="s">
        <v>674</v>
      </c>
      <c r="I1431" s="8"/>
      <c r="J1431" s="9">
        <v>1</v>
      </c>
      <c r="K1431" s="9">
        <v>128</v>
      </c>
      <c r="L1431" s="9">
        <v>2024</v>
      </c>
      <c r="M1431" s="8" t="s">
        <v>8984</v>
      </c>
      <c r="N1431" s="8" t="s">
        <v>41</v>
      </c>
      <c r="O1431" s="8" t="s">
        <v>676</v>
      </c>
      <c r="P1431" s="6" t="s">
        <v>43</v>
      </c>
      <c r="Q1431" s="8" t="s">
        <v>279</v>
      </c>
      <c r="R1431" s="10" t="s">
        <v>806</v>
      </c>
      <c r="S1431" s="11"/>
      <c r="T1431" s="6"/>
      <c r="U1431" s="24" t="str">
        <f>HYPERLINK("https://media.infra-m.ru/2154/2154939/cover/2154939.jpg", "Обложка")</f>
        <v>Обложка</v>
      </c>
      <c r="V1431" s="24" t="str">
        <f>HYPERLINK("https://znanium.ru/catalog/product/2154939", "Ознакомиться")</f>
        <v>Ознакомиться</v>
      </c>
      <c r="W1431" s="8" t="s">
        <v>792</v>
      </c>
      <c r="X1431" s="6"/>
      <c r="Y1431" s="6"/>
      <c r="Z1431" s="6"/>
      <c r="AA1431" s="6" t="s">
        <v>151</v>
      </c>
      <c r="AB1431" s="8"/>
    </row>
    <row r="1432" spans="1:28" s="4" customFormat="1" ht="51.95" customHeight="1">
      <c r="A1432" s="5">
        <v>0</v>
      </c>
      <c r="B1432" s="6" t="s">
        <v>8985</v>
      </c>
      <c r="C1432" s="13">
        <v>1550</v>
      </c>
      <c r="D1432" s="8" t="s">
        <v>8986</v>
      </c>
      <c r="E1432" s="8" t="s">
        <v>8987</v>
      </c>
      <c r="F1432" s="8" t="s">
        <v>8988</v>
      </c>
      <c r="G1432" s="6" t="s">
        <v>52</v>
      </c>
      <c r="H1432" s="6" t="s">
        <v>53</v>
      </c>
      <c r="I1432" s="8" t="s">
        <v>90</v>
      </c>
      <c r="J1432" s="9">
        <v>1</v>
      </c>
      <c r="K1432" s="9">
        <v>394</v>
      </c>
      <c r="L1432" s="9">
        <v>2022</v>
      </c>
      <c r="M1432" s="8" t="s">
        <v>8989</v>
      </c>
      <c r="N1432" s="8" t="s">
        <v>41</v>
      </c>
      <c r="O1432" s="8" t="s">
        <v>1204</v>
      </c>
      <c r="P1432" s="6" t="s">
        <v>167</v>
      </c>
      <c r="Q1432" s="8" t="s">
        <v>44</v>
      </c>
      <c r="R1432" s="10" t="s">
        <v>8990</v>
      </c>
      <c r="S1432" s="11" t="s">
        <v>8991</v>
      </c>
      <c r="T1432" s="6"/>
      <c r="U1432" s="24" t="str">
        <f>HYPERLINK("https://media.infra-m.ru/1023/1023713/cover/1023713.jpg", "Обложка")</f>
        <v>Обложка</v>
      </c>
      <c r="V1432" s="24" t="str">
        <f>HYPERLINK("https://znanium.ru/catalog/product/1023713", "Ознакомиться")</f>
        <v>Ознакомиться</v>
      </c>
      <c r="W1432" s="8" t="s">
        <v>2514</v>
      </c>
      <c r="X1432" s="6"/>
      <c r="Y1432" s="6"/>
      <c r="Z1432" s="6"/>
      <c r="AA1432" s="6" t="s">
        <v>235</v>
      </c>
      <c r="AB1432" s="8"/>
    </row>
    <row r="1433" spans="1:28" s="4" customFormat="1" ht="42" customHeight="1">
      <c r="A1433" s="5">
        <v>0</v>
      </c>
      <c r="B1433" s="6" t="s">
        <v>8992</v>
      </c>
      <c r="C1433" s="13">
        <v>1480</v>
      </c>
      <c r="D1433" s="8" t="s">
        <v>8993</v>
      </c>
      <c r="E1433" s="8" t="s">
        <v>8994</v>
      </c>
      <c r="F1433" s="8" t="s">
        <v>8995</v>
      </c>
      <c r="G1433" s="6" t="s">
        <v>89</v>
      </c>
      <c r="H1433" s="6" t="s">
        <v>674</v>
      </c>
      <c r="I1433" s="8"/>
      <c r="J1433" s="9">
        <v>1</v>
      </c>
      <c r="K1433" s="9">
        <v>296</v>
      </c>
      <c r="L1433" s="9">
        <v>2024</v>
      </c>
      <c r="M1433" s="8" t="s">
        <v>8996</v>
      </c>
      <c r="N1433" s="8" t="s">
        <v>41</v>
      </c>
      <c r="O1433" s="8" t="s">
        <v>676</v>
      </c>
      <c r="P1433" s="6" t="s">
        <v>167</v>
      </c>
      <c r="Q1433" s="8" t="s">
        <v>1674</v>
      </c>
      <c r="R1433" s="10" t="s">
        <v>8997</v>
      </c>
      <c r="S1433" s="11"/>
      <c r="T1433" s="6"/>
      <c r="U1433" s="24" t="str">
        <f>HYPERLINK("https://media.infra-m.ru/2083/2083879/cover/2083879.jpg", "Обложка")</f>
        <v>Обложка</v>
      </c>
      <c r="V1433" s="24" t="str">
        <f>HYPERLINK("https://znanium.ru/catalog/product/2197968", "Ознакомиться")</f>
        <v>Ознакомиться</v>
      </c>
      <c r="W1433" s="8" t="s">
        <v>792</v>
      </c>
      <c r="X1433" s="6"/>
      <c r="Y1433" s="6"/>
      <c r="Z1433" s="6"/>
      <c r="AA1433" s="6" t="s">
        <v>793</v>
      </c>
      <c r="AB1433" s="8"/>
    </row>
    <row r="1434" spans="1:28" s="4" customFormat="1" ht="51.95" customHeight="1">
      <c r="A1434" s="5">
        <v>0</v>
      </c>
      <c r="B1434" s="6" t="s">
        <v>8998</v>
      </c>
      <c r="C1434" s="13">
        <v>1034</v>
      </c>
      <c r="D1434" s="8" t="s">
        <v>8999</v>
      </c>
      <c r="E1434" s="8" t="s">
        <v>8994</v>
      </c>
      <c r="F1434" s="8" t="s">
        <v>9000</v>
      </c>
      <c r="G1434" s="6" t="s">
        <v>38</v>
      </c>
      <c r="H1434" s="6" t="s">
        <v>184</v>
      </c>
      <c r="I1434" s="8" t="s">
        <v>185</v>
      </c>
      <c r="J1434" s="9">
        <v>1</v>
      </c>
      <c r="K1434" s="9">
        <v>206</v>
      </c>
      <c r="L1434" s="9">
        <v>2025</v>
      </c>
      <c r="M1434" s="8" t="s">
        <v>9001</v>
      </c>
      <c r="N1434" s="8" t="s">
        <v>56</v>
      </c>
      <c r="O1434" s="8" t="s">
        <v>4042</v>
      </c>
      <c r="P1434" s="6" t="s">
        <v>43</v>
      </c>
      <c r="Q1434" s="8" t="s">
        <v>279</v>
      </c>
      <c r="R1434" s="10" t="s">
        <v>9002</v>
      </c>
      <c r="S1434" s="11" t="s">
        <v>9003</v>
      </c>
      <c r="T1434" s="6"/>
      <c r="U1434" s="24" t="str">
        <f>HYPERLINK("https://media.infra-m.ru/2188/2188175/cover/2188175.jpg", "Обложка")</f>
        <v>Обложка</v>
      </c>
      <c r="V1434" s="24" t="str">
        <f>HYPERLINK("https://znanium.ru/catalog/product/1008977", "Ознакомиться")</f>
        <v>Ознакомиться</v>
      </c>
      <c r="W1434" s="8" t="s">
        <v>637</v>
      </c>
      <c r="X1434" s="6"/>
      <c r="Y1434" s="6"/>
      <c r="Z1434" s="6"/>
      <c r="AA1434" s="6" t="s">
        <v>442</v>
      </c>
      <c r="AB1434" s="8"/>
    </row>
    <row r="1435" spans="1:28" s="4" customFormat="1" ht="51.95" customHeight="1">
      <c r="A1435" s="5">
        <v>0</v>
      </c>
      <c r="B1435" s="6" t="s">
        <v>9004</v>
      </c>
      <c r="C1435" s="13">
        <v>1490</v>
      </c>
      <c r="D1435" s="8" t="s">
        <v>9005</v>
      </c>
      <c r="E1435" s="8" t="s">
        <v>8994</v>
      </c>
      <c r="F1435" s="8" t="s">
        <v>9006</v>
      </c>
      <c r="G1435" s="6" t="s">
        <v>52</v>
      </c>
      <c r="H1435" s="6" t="s">
        <v>53</v>
      </c>
      <c r="I1435" s="8" t="s">
        <v>7693</v>
      </c>
      <c r="J1435" s="9">
        <v>1</v>
      </c>
      <c r="K1435" s="9">
        <v>301</v>
      </c>
      <c r="L1435" s="9">
        <v>2024</v>
      </c>
      <c r="M1435" s="8" t="s">
        <v>9007</v>
      </c>
      <c r="N1435" s="8" t="s">
        <v>56</v>
      </c>
      <c r="O1435" s="8" t="s">
        <v>4042</v>
      </c>
      <c r="P1435" s="6" t="s">
        <v>43</v>
      </c>
      <c r="Q1435" s="8" t="s">
        <v>1674</v>
      </c>
      <c r="R1435" s="10" t="s">
        <v>9008</v>
      </c>
      <c r="S1435" s="11"/>
      <c r="T1435" s="6"/>
      <c r="U1435" s="24" t="str">
        <f>HYPERLINK("https://media.infra-m.ru/1899/1899107/cover/1899107.jpg", "Обложка")</f>
        <v>Обложка</v>
      </c>
      <c r="V1435" s="24" t="str">
        <f>HYPERLINK("https://znanium.ru/catalog/product/1899107", "Ознакомиться")</f>
        <v>Ознакомиться</v>
      </c>
      <c r="W1435" s="8" t="s">
        <v>6124</v>
      </c>
      <c r="X1435" s="6" t="s">
        <v>3761</v>
      </c>
      <c r="Y1435" s="6"/>
      <c r="Z1435" s="6"/>
      <c r="AA1435" s="6" t="s">
        <v>133</v>
      </c>
      <c r="AB1435" s="8"/>
    </row>
    <row r="1436" spans="1:28" s="4" customFormat="1" ht="42" customHeight="1">
      <c r="A1436" s="5">
        <v>0</v>
      </c>
      <c r="B1436" s="6" t="s">
        <v>9009</v>
      </c>
      <c r="C1436" s="13">
        <v>1294</v>
      </c>
      <c r="D1436" s="8" t="s">
        <v>9010</v>
      </c>
      <c r="E1436" s="8" t="s">
        <v>8994</v>
      </c>
      <c r="F1436" s="8" t="s">
        <v>9011</v>
      </c>
      <c r="G1436" s="6" t="s">
        <v>52</v>
      </c>
      <c r="H1436" s="6" t="s">
        <v>184</v>
      </c>
      <c r="I1436" s="8" t="s">
        <v>116</v>
      </c>
      <c r="J1436" s="9">
        <v>1</v>
      </c>
      <c r="K1436" s="9">
        <v>256</v>
      </c>
      <c r="L1436" s="9">
        <v>2025</v>
      </c>
      <c r="M1436" s="8" t="s">
        <v>9012</v>
      </c>
      <c r="N1436" s="8" t="s">
        <v>56</v>
      </c>
      <c r="O1436" s="8" t="s">
        <v>4042</v>
      </c>
      <c r="P1436" s="6" t="s">
        <v>43</v>
      </c>
      <c r="Q1436" s="8" t="s">
        <v>44</v>
      </c>
      <c r="R1436" s="10" t="s">
        <v>9013</v>
      </c>
      <c r="S1436" s="11"/>
      <c r="T1436" s="6"/>
      <c r="U1436" s="24" t="str">
        <f>HYPERLINK("https://media.infra-m.ru/2172/2172406/cover/2172406.jpg", "Обложка")</f>
        <v>Обложка</v>
      </c>
      <c r="V1436" s="12"/>
      <c r="W1436" s="8" t="s">
        <v>9014</v>
      </c>
      <c r="X1436" s="6"/>
      <c r="Y1436" s="6"/>
      <c r="Z1436" s="6"/>
      <c r="AA1436" s="6" t="s">
        <v>47</v>
      </c>
      <c r="AB1436" s="8"/>
    </row>
    <row r="1437" spans="1:28" s="4" customFormat="1" ht="42" customHeight="1">
      <c r="A1437" s="5">
        <v>0</v>
      </c>
      <c r="B1437" s="6" t="s">
        <v>9015</v>
      </c>
      <c r="C1437" s="7">
        <v>684</v>
      </c>
      <c r="D1437" s="8" t="s">
        <v>9016</v>
      </c>
      <c r="E1437" s="8" t="s">
        <v>8994</v>
      </c>
      <c r="F1437" s="8" t="s">
        <v>4283</v>
      </c>
      <c r="G1437" s="6" t="s">
        <v>38</v>
      </c>
      <c r="H1437" s="6" t="s">
        <v>184</v>
      </c>
      <c r="I1437" s="8" t="s">
        <v>185</v>
      </c>
      <c r="J1437" s="9">
        <v>1</v>
      </c>
      <c r="K1437" s="9">
        <v>148</v>
      </c>
      <c r="L1437" s="9">
        <v>2024</v>
      </c>
      <c r="M1437" s="8" t="s">
        <v>9017</v>
      </c>
      <c r="N1437" s="8" t="s">
        <v>56</v>
      </c>
      <c r="O1437" s="8" t="s">
        <v>4042</v>
      </c>
      <c r="P1437" s="6" t="s">
        <v>43</v>
      </c>
      <c r="Q1437" s="8" t="s">
        <v>44</v>
      </c>
      <c r="R1437" s="10" t="s">
        <v>9018</v>
      </c>
      <c r="S1437" s="11"/>
      <c r="T1437" s="6"/>
      <c r="U1437" s="24" t="str">
        <f>HYPERLINK("https://media.infra-m.ru/2087/2087262/cover/2087262.jpg", "Обложка")</f>
        <v>Обложка</v>
      </c>
      <c r="V1437" s="24" t="str">
        <f>HYPERLINK("https://znanium.ru/catalog/product/1843571", "Ознакомиться")</f>
        <v>Ознакомиться</v>
      </c>
      <c r="W1437" s="8" t="s">
        <v>1218</v>
      </c>
      <c r="X1437" s="6"/>
      <c r="Y1437" s="6"/>
      <c r="Z1437" s="6"/>
      <c r="AA1437" s="6" t="s">
        <v>418</v>
      </c>
      <c r="AB1437" s="8"/>
    </row>
    <row r="1438" spans="1:28" s="4" customFormat="1" ht="51.95" customHeight="1">
      <c r="A1438" s="5">
        <v>0</v>
      </c>
      <c r="B1438" s="6" t="s">
        <v>9019</v>
      </c>
      <c r="C1438" s="7">
        <v>714</v>
      </c>
      <c r="D1438" s="8" t="s">
        <v>9020</v>
      </c>
      <c r="E1438" s="8" t="s">
        <v>8994</v>
      </c>
      <c r="F1438" s="8" t="s">
        <v>9021</v>
      </c>
      <c r="G1438" s="6" t="s">
        <v>38</v>
      </c>
      <c r="H1438" s="6" t="s">
        <v>184</v>
      </c>
      <c r="I1438" s="8" t="s">
        <v>185</v>
      </c>
      <c r="J1438" s="9">
        <v>1</v>
      </c>
      <c r="K1438" s="9">
        <v>141</v>
      </c>
      <c r="L1438" s="9">
        <v>2024</v>
      </c>
      <c r="M1438" s="8" t="s">
        <v>9022</v>
      </c>
      <c r="N1438" s="8" t="s">
        <v>41</v>
      </c>
      <c r="O1438" s="8" t="s">
        <v>4035</v>
      </c>
      <c r="P1438" s="6" t="s">
        <v>43</v>
      </c>
      <c r="Q1438" s="8" t="s">
        <v>1674</v>
      </c>
      <c r="R1438" s="10" t="s">
        <v>9023</v>
      </c>
      <c r="S1438" s="11"/>
      <c r="T1438" s="6"/>
      <c r="U1438" s="24" t="str">
        <f>HYPERLINK("https://media.infra-m.ru/2086/2086780/cover/2086780.jpg", "Обложка")</f>
        <v>Обложка</v>
      </c>
      <c r="V1438" s="24" t="str">
        <f>HYPERLINK("https://znanium.ru/catalog/product/1834706", "Ознакомиться")</f>
        <v>Ознакомиться</v>
      </c>
      <c r="W1438" s="8" t="s">
        <v>6464</v>
      </c>
      <c r="X1438" s="6"/>
      <c r="Y1438" s="6"/>
      <c r="Z1438" s="6"/>
      <c r="AA1438" s="6" t="s">
        <v>654</v>
      </c>
      <c r="AB1438" s="8"/>
    </row>
    <row r="1439" spans="1:28" s="4" customFormat="1" ht="51.95" customHeight="1">
      <c r="A1439" s="5">
        <v>0</v>
      </c>
      <c r="B1439" s="6" t="s">
        <v>9024</v>
      </c>
      <c r="C1439" s="13">
        <v>1490</v>
      </c>
      <c r="D1439" s="8" t="s">
        <v>9025</v>
      </c>
      <c r="E1439" s="8" t="s">
        <v>9026</v>
      </c>
      <c r="F1439" s="8" t="s">
        <v>9027</v>
      </c>
      <c r="G1439" s="6" t="s">
        <v>89</v>
      </c>
      <c r="H1439" s="6" t="s">
        <v>77</v>
      </c>
      <c r="I1439" s="8" t="s">
        <v>9028</v>
      </c>
      <c r="J1439" s="9">
        <v>1</v>
      </c>
      <c r="K1439" s="9">
        <v>323</v>
      </c>
      <c r="L1439" s="9">
        <v>2024</v>
      </c>
      <c r="M1439" s="8" t="s">
        <v>9029</v>
      </c>
      <c r="N1439" s="8" t="s">
        <v>56</v>
      </c>
      <c r="O1439" s="8" t="s">
        <v>4042</v>
      </c>
      <c r="P1439" s="6" t="s">
        <v>43</v>
      </c>
      <c r="Q1439" s="8" t="s">
        <v>279</v>
      </c>
      <c r="R1439" s="10" t="s">
        <v>9030</v>
      </c>
      <c r="S1439" s="11"/>
      <c r="T1439" s="6"/>
      <c r="U1439" s="24" t="str">
        <f>HYPERLINK("https://media.infra-m.ru/2091/2091930/cover/2091930.jpg", "Обложка")</f>
        <v>Обложка</v>
      </c>
      <c r="V1439" s="24" t="str">
        <f>HYPERLINK("https://znanium.ru/catalog/product/2091930", "Ознакомиться")</f>
        <v>Ознакомиться</v>
      </c>
      <c r="W1439" s="8" t="s">
        <v>83</v>
      </c>
      <c r="X1439" s="6"/>
      <c r="Y1439" s="6"/>
      <c r="Z1439" s="6"/>
      <c r="AA1439" s="6" t="s">
        <v>326</v>
      </c>
      <c r="AB1439" s="8"/>
    </row>
    <row r="1440" spans="1:28" s="4" customFormat="1" ht="42" customHeight="1">
      <c r="A1440" s="5">
        <v>0</v>
      </c>
      <c r="B1440" s="6" t="s">
        <v>9031</v>
      </c>
      <c r="C1440" s="13">
        <v>1254</v>
      </c>
      <c r="D1440" s="8" t="s">
        <v>9032</v>
      </c>
      <c r="E1440" s="8" t="s">
        <v>9033</v>
      </c>
      <c r="F1440" s="8" t="s">
        <v>9034</v>
      </c>
      <c r="G1440" s="6" t="s">
        <v>89</v>
      </c>
      <c r="H1440" s="6" t="s">
        <v>952</v>
      </c>
      <c r="I1440" s="8"/>
      <c r="J1440" s="9">
        <v>1</v>
      </c>
      <c r="K1440" s="9">
        <v>271</v>
      </c>
      <c r="L1440" s="9">
        <v>2024</v>
      </c>
      <c r="M1440" s="8" t="s">
        <v>9035</v>
      </c>
      <c r="N1440" s="8" t="s">
        <v>41</v>
      </c>
      <c r="O1440" s="8" t="s">
        <v>1007</v>
      </c>
      <c r="P1440" s="6" t="s">
        <v>43</v>
      </c>
      <c r="Q1440" s="8" t="s">
        <v>44</v>
      </c>
      <c r="R1440" s="10" t="s">
        <v>9036</v>
      </c>
      <c r="S1440" s="11"/>
      <c r="T1440" s="6"/>
      <c r="U1440" s="24" t="str">
        <f>HYPERLINK("https://media.infra-m.ru/2056/2056805/cover/2056805.jpg", "Обложка")</f>
        <v>Обложка</v>
      </c>
      <c r="V1440" s="24" t="str">
        <f>HYPERLINK("https://znanium.ru/catalog/product/1252365", "Ознакомиться")</f>
        <v>Ознакомиться</v>
      </c>
      <c r="W1440" s="8" t="s">
        <v>2988</v>
      </c>
      <c r="X1440" s="6"/>
      <c r="Y1440" s="6"/>
      <c r="Z1440" s="6"/>
      <c r="AA1440" s="6" t="s">
        <v>654</v>
      </c>
      <c r="AB1440" s="8"/>
    </row>
    <row r="1441" spans="1:28" s="4" customFormat="1" ht="51.95" customHeight="1">
      <c r="A1441" s="5">
        <v>0</v>
      </c>
      <c r="B1441" s="6" t="s">
        <v>9037</v>
      </c>
      <c r="C1441" s="13">
        <v>1832</v>
      </c>
      <c r="D1441" s="8" t="s">
        <v>9038</v>
      </c>
      <c r="E1441" s="8" t="s">
        <v>9039</v>
      </c>
      <c r="F1441" s="8" t="s">
        <v>9040</v>
      </c>
      <c r="G1441" s="6" t="s">
        <v>89</v>
      </c>
      <c r="H1441" s="6" t="s">
        <v>53</v>
      </c>
      <c r="I1441" s="8" t="s">
        <v>116</v>
      </c>
      <c r="J1441" s="9">
        <v>1</v>
      </c>
      <c r="K1441" s="9">
        <v>231</v>
      </c>
      <c r="L1441" s="9">
        <v>2024</v>
      </c>
      <c r="M1441" s="8" t="s">
        <v>9041</v>
      </c>
      <c r="N1441" s="8" t="s">
        <v>79</v>
      </c>
      <c r="O1441" s="8" t="s">
        <v>396</v>
      </c>
      <c r="P1441" s="6" t="s">
        <v>43</v>
      </c>
      <c r="Q1441" s="8" t="s">
        <v>58</v>
      </c>
      <c r="R1441" s="10" t="s">
        <v>9042</v>
      </c>
      <c r="S1441" s="11" t="s">
        <v>9043</v>
      </c>
      <c r="T1441" s="6"/>
      <c r="U1441" s="24" t="str">
        <f>HYPERLINK("https://media.infra-m.ru/2132/2132677/cover/2132677.jpg", "Обложка")</f>
        <v>Обложка</v>
      </c>
      <c r="V1441" s="24" t="str">
        <f>HYPERLINK("https://znanium.ru/catalog/product/2132677", "Ознакомиться")</f>
        <v>Ознакомиться</v>
      </c>
      <c r="W1441" s="8" t="s">
        <v>9044</v>
      </c>
      <c r="X1441" s="6"/>
      <c r="Y1441" s="6"/>
      <c r="Z1441" s="6"/>
      <c r="AA1441" s="6" t="s">
        <v>793</v>
      </c>
      <c r="AB1441" s="8"/>
    </row>
    <row r="1442" spans="1:28" s="4" customFormat="1" ht="51.95" customHeight="1">
      <c r="A1442" s="5">
        <v>0</v>
      </c>
      <c r="B1442" s="6" t="s">
        <v>9045</v>
      </c>
      <c r="C1442" s="13">
        <v>1742</v>
      </c>
      <c r="D1442" s="8" t="s">
        <v>9046</v>
      </c>
      <c r="E1442" s="8" t="s">
        <v>9039</v>
      </c>
      <c r="F1442" s="8" t="s">
        <v>9040</v>
      </c>
      <c r="G1442" s="6" t="s">
        <v>89</v>
      </c>
      <c r="H1442" s="6" t="s">
        <v>53</v>
      </c>
      <c r="I1442" s="8" t="s">
        <v>100</v>
      </c>
      <c r="J1442" s="9">
        <v>1</v>
      </c>
      <c r="K1442" s="9">
        <v>231</v>
      </c>
      <c r="L1442" s="9">
        <v>2024</v>
      </c>
      <c r="M1442" s="8" t="s">
        <v>9047</v>
      </c>
      <c r="N1442" s="8" t="s">
        <v>79</v>
      </c>
      <c r="O1442" s="8" t="s">
        <v>396</v>
      </c>
      <c r="P1442" s="6" t="s">
        <v>43</v>
      </c>
      <c r="Q1442" s="8" t="s">
        <v>102</v>
      </c>
      <c r="R1442" s="10" t="s">
        <v>7018</v>
      </c>
      <c r="S1442" s="11" t="s">
        <v>9048</v>
      </c>
      <c r="T1442" s="6"/>
      <c r="U1442" s="24" t="str">
        <f>HYPERLINK("https://media.infra-m.ru/2083/2083368/cover/2083368.jpg", "Обложка")</f>
        <v>Обложка</v>
      </c>
      <c r="V1442" s="24" t="str">
        <f>HYPERLINK("https://znanium.ru/catalog/product/2083368", "Ознакомиться")</f>
        <v>Ознакомиться</v>
      </c>
      <c r="W1442" s="8" t="s">
        <v>9044</v>
      </c>
      <c r="X1442" s="6"/>
      <c r="Y1442" s="6"/>
      <c r="Z1442" s="6" t="s">
        <v>502</v>
      </c>
      <c r="AA1442" s="6" t="s">
        <v>219</v>
      </c>
      <c r="AB1442" s="8"/>
    </row>
    <row r="1443" spans="1:28" s="4" customFormat="1" ht="51.95" customHeight="1">
      <c r="A1443" s="5">
        <v>0</v>
      </c>
      <c r="B1443" s="6" t="s">
        <v>9049</v>
      </c>
      <c r="C1443" s="13">
        <v>1100</v>
      </c>
      <c r="D1443" s="8" t="s">
        <v>9050</v>
      </c>
      <c r="E1443" s="8" t="s">
        <v>9051</v>
      </c>
      <c r="F1443" s="8" t="s">
        <v>9052</v>
      </c>
      <c r="G1443" s="6" t="s">
        <v>52</v>
      </c>
      <c r="H1443" s="6" t="s">
        <v>53</v>
      </c>
      <c r="I1443" s="8" t="s">
        <v>100</v>
      </c>
      <c r="J1443" s="9">
        <v>1</v>
      </c>
      <c r="K1443" s="9">
        <v>217</v>
      </c>
      <c r="L1443" s="9">
        <v>2024</v>
      </c>
      <c r="M1443" s="8" t="s">
        <v>9053</v>
      </c>
      <c r="N1443" s="8" t="s">
        <v>56</v>
      </c>
      <c r="O1443" s="8" t="s">
        <v>2183</v>
      </c>
      <c r="P1443" s="6" t="s">
        <v>43</v>
      </c>
      <c r="Q1443" s="8" t="s">
        <v>102</v>
      </c>
      <c r="R1443" s="10" t="s">
        <v>9054</v>
      </c>
      <c r="S1443" s="11"/>
      <c r="T1443" s="6"/>
      <c r="U1443" s="24" t="str">
        <f>HYPERLINK("https://media.infra-m.ru/1184/1184663/cover/1184663.jpg", "Обложка")</f>
        <v>Обложка</v>
      </c>
      <c r="V1443" s="24" t="str">
        <f>HYPERLINK("https://znanium.ru/catalog/product/1184663", "Ознакомиться")</f>
        <v>Ознакомиться</v>
      </c>
      <c r="W1443" s="8" t="s">
        <v>71</v>
      </c>
      <c r="X1443" s="6"/>
      <c r="Y1443" s="6"/>
      <c r="Z1443" s="6"/>
      <c r="AA1443" s="6" t="s">
        <v>133</v>
      </c>
      <c r="AB1443" s="8"/>
    </row>
    <row r="1444" spans="1:28" s="4" customFormat="1" ht="44.1" customHeight="1">
      <c r="A1444" s="5">
        <v>0</v>
      </c>
      <c r="B1444" s="6" t="s">
        <v>9055</v>
      </c>
      <c r="C1444" s="13">
        <v>1640</v>
      </c>
      <c r="D1444" s="8" t="s">
        <v>9056</v>
      </c>
      <c r="E1444" s="8" t="s">
        <v>9057</v>
      </c>
      <c r="F1444" s="8" t="s">
        <v>8726</v>
      </c>
      <c r="G1444" s="6" t="s">
        <v>89</v>
      </c>
      <c r="H1444" s="6" t="s">
        <v>53</v>
      </c>
      <c r="I1444" s="8" t="s">
        <v>6088</v>
      </c>
      <c r="J1444" s="9">
        <v>1</v>
      </c>
      <c r="K1444" s="9">
        <v>320</v>
      </c>
      <c r="L1444" s="9">
        <v>2025</v>
      </c>
      <c r="M1444" s="8" t="s">
        <v>9058</v>
      </c>
      <c r="N1444" s="8" t="s">
        <v>41</v>
      </c>
      <c r="O1444" s="8" t="s">
        <v>42</v>
      </c>
      <c r="P1444" s="6" t="s">
        <v>6090</v>
      </c>
      <c r="Q1444" s="8" t="s">
        <v>58</v>
      </c>
      <c r="R1444" s="10" t="s">
        <v>9059</v>
      </c>
      <c r="S1444" s="11"/>
      <c r="T1444" s="6"/>
      <c r="U1444" s="24" t="str">
        <f>HYPERLINK("https://media.infra-m.ru/2183/2183783/cover/2183783.jpg", "Обложка")</f>
        <v>Обложка</v>
      </c>
      <c r="V1444" s="24" t="str">
        <f>HYPERLINK("https://znanium.ru/catalog/product/2183783", "Ознакомиться")</f>
        <v>Ознакомиться</v>
      </c>
      <c r="W1444" s="8" t="s">
        <v>4331</v>
      </c>
      <c r="X1444" s="6"/>
      <c r="Y1444" s="6"/>
      <c r="Z1444" s="6"/>
      <c r="AA1444" s="6" t="s">
        <v>61</v>
      </c>
      <c r="AB1444" s="8"/>
    </row>
    <row r="1445" spans="1:28" s="4" customFormat="1" ht="42" customHeight="1">
      <c r="A1445" s="5">
        <v>0</v>
      </c>
      <c r="B1445" s="6" t="s">
        <v>9060</v>
      </c>
      <c r="C1445" s="13">
        <v>1954</v>
      </c>
      <c r="D1445" s="8" t="s">
        <v>9061</v>
      </c>
      <c r="E1445" s="8" t="s">
        <v>9057</v>
      </c>
      <c r="F1445" s="8" t="s">
        <v>9062</v>
      </c>
      <c r="G1445" s="6" t="s">
        <v>52</v>
      </c>
      <c r="H1445" s="6" t="s">
        <v>53</v>
      </c>
      <c r="I1445" s="8" t="s">
        <v>90</v>
      </c>
      <c r="J1445" s="9">
        <v>1</v>
      </c>
      <c r="K1445" s="9">
        <v>320</v>
      </c>
      <c r="L1445" s="9">
        <v>2024</v>
      </c>
      <c r="M1445" s="8" t="s">
        <v>9063</v>
      </c>
      <c r="N1445" s="8" t="s">
        <v>41</v>
      </c>
      <c r="O1445" s="8" t="s">
        <v>42</v>
      </c>
      <c r="P1445" s="6" t="s">
        <v>43</v>
      </c>
      <c r="Q1445" s="8" t="s">
        <v>44</v>
      </c>
      <c r="R1445" s="10" t="s">
        <v>9064</v>
      </c>
      <c r="S1445" s="11"/>
      <c r="T1445" s="6"/>
      <c r="U1445" s="24" t="str">
        <f>HYPERLINK("https://media.infra-m.ru/2110/2110954/cover/2110954.jpg", "Обложка")</f>
        <v>Обложка</v>
      </c>
      <c r="V1445" s="24" t="str">
        <f>HYPERLINK("https://znanium.ru/catalog/product/1018776", "Ознакомиться")</f>
        <v>Ознакомиться</v>
      </c>
      <c r="W1445" s="8" t="s">
        <v>4331</v>
      </c>
      <c r="X1445" s="6"/>
      <c r="Y1445" s="6"/>
      <c r="Z1445" s="6"/>
      <c r="AA1445" s="6" t="s">
        <v>84</v>
      </c>
      <c r="AB1445" s="8"/>
    </row>
    <row r="1446" spans="1:28" s="4" customFormat="1" ht="51.95" customHeight="1">
      <c r="A1446" s="5">
        <v>0</v>
      </c>
      <c r="B1446" s="6" t="s">
        <v>9065</v>
      </c>
      <c r="C1446" s="13">
        <v>1474</v>
      </c>
      <c r="D1446" s="8" t="s">
        <v>9066</v>
      </c>
      <c r="E1446" s="8" t="s">
        <v>9057</v>
      </c>
      <c r="F1446" s="8" t="s">
        <v>8726</v>
      </c>
      <c r="G1446" s="6" t="s">
        <v>89</v>
      </c>
      <c r="H1446" s="6" t="s">
        <v>53</v>
      </c>
      <c r="I1446" s="8" t="s">
        <v>100</v>
      </c>
      <c r="J1446" s="9">
        <v>1</v>
      </c>
      <c r="K1446" s="9">
        <v>320</v>
      </c>
      <c r="L1446" s="9">
        <v>2024</v>
      </c>
      <c r="M1446" s="8" t="s">
        <v>9067</v>
      </c>
      <c r="N1446" s="8" t="s">
        <v>41</v>
      </c>
      <c r="O1446" s="8" t="s">
        <v>42</v>
      </c>
      <c r="P1446" s="6" t="s">
        <v>43</v>
      </c>
      <c r="Q1446" s="8" t="s">
        <v>102</v>
      </c>
      <c r="R1446" s="10" t="s">
        <v>9068</v>
      </c>
      <c r="S1446" s="11" t="s">
        <v>9069</v>
      </c>
      <c r="T1446" s="6"/>
      <c r="U1446" s="24" t="str">
        <f>HYPERLINK("https://media.infra-m.ru/2085/2085048/cover/2085048.jpg", "Обложка")</f>
        <v>Обложка</v>
      </c>
      <c r="V1446" s="24" t="str">
        <f>HYPERLINK("https://znanium.ru/catalog/product/1247040", "Ознакомиться")</f>
        <v>Ознакомиться</v>
      </c>
      <c r="W1446" s="8" t="s">
        <v>4331</v>
      </c>
      <c r="X1446" s="6"/>
      <c r="Y1446" s="6"/>
      <c r="Z1446" s="6" t="s">
        <v>104</v>
      </c>
      <c r="AA1446" s="6" t="s">
        <v>258</v>
      </c>
      <c r="AB1446" s="8"/>
    </row>
    <row r="1447" spans="1:28" s="4" customFormat="1" ht="51.95" customHeight="1">
      <c r="A1447" s="5">
        <v>0</v>
      </c>
      <c r="B1447" s="6" t="s">
        <v>9070</v>
      </c>
      <c r="C1447" s="13">
        <v>1650</v>
      </c>
      <c r="D1447" s="8" t="s">
        <v>9071</v>
      </c>
      <c r="E1447" s="8" t="s">
        <v>9072</v>
      </c>
      <c r="F1447" s="8" t="s">
        <v>9073</v>
      </c>
      <c r="G1447" s="6" t="s">
        <v>89</v>
      </c>
      <c r="H1447" s="6" t="s">
        <v>53</v>
      </c>
      <c r="I1447" s="8" t="s">
        <v>276</v>
      </c>
      <c r="J1447" s="9">
        <v>1</v>
      </c>
      <c r="K1447" s="9">
        <v>357</v>
      </c>
      <c r="L1447" s="9">
        <v>2023</v>
      </c>
      <c r="M1447" s="8" t="s">
        <v>9074</v>
      </c>
      <c r="N1447" s="8" t="s">
        <v>79</v>
      </c>
      <c r="O1447" s="8" t="s">
        <v>684</v>
      </c>
      <c r="P1447" s="6" t="s">
        <v>167</v>
      </c>
      <c r="Q1447" s="8" t="s">
        <v>279</v>
      </c>
      <c r="R1447" s="10" t="s">
        <v>9075</v>
      </c>
      <c r="S1447" s="11" t="s">
        <v>9076</v>
      </c>
      <c r="T1447" s="6"/>
      <c r="U1447" s="24" t="str">
        <f>HYPERLINK("https://media.infra-m.ru/1856/1856949/cover/1856949.jpg", "Обложка")</f>
        <v>Обложка</v>
      </c>
      <c r="V1447" s="24" t="str">
        <f>HYPERLINK("https://znanium.ru/catalog/product/1856949", "Ознакомиться")</f>
        <v>Ознакомиться</v>
      </c>
      <c r="W1447" s="8" t="s">
        <v>9077</v>
      </c>
      <c r="X1447" s="6"/>
      <c r="Y1447" s="6"/>
      <c r="Z1447" s="6"/>
      <c r="AA1447" s="6" t="s">
        <v>442</v>
      </c>
      <c r="AB1447" s="8"/>
    </row>
    <row r="1448" spans="1:28" s="4" customFormat="1" ht="42" customHeight="1">
      <c r="A1448" s="5">
        <v>0</v>
      </c>
      <c r="B1448" s="6" t="s">
        <v>9078</v>
      </c>
      <c r="C1448" s="13">
        <v>1034.9000000000001</v>
      </c>
      <c r="D1448" s="8" t="s">
        <v>9079</v>
      </c>
      <c r="E1448" s="8" t="s">
        <v>9080</v>
      </c>
      <c r="F1448" s="8" t="s">
        <v>9081</v>
      </c>
      <c r="G1448" s="6" t="s">
        <v>89</v>
      </c>
      <c r="H1448" s="6" t="s">
        <v>53</v>
      </c>
      <c r="I1448" s="8" t="s">
        <v>90</v>
      </c>
      <c r="J1448" s="9">
        <v>1</v>
      </c>
      <c r="K1448" s="9">
        <v>272</v>
      </c>
      <c r="L1448" s="9">
        <v>2022</v>
      </c>
      <c r="M1448" s="8" t="s">
        <v>9082</v>
      </c>
      <c r="N1448" s="8" t="s">
        <v>41</v>
      </c>
      <c r="O1448" s="8" t="s">
        <v>1204</v>
      </c>
      <c r="P1448" s="6" t="s">
        <v>43</v>
      </c>
      <c r="Q1448" s="8" t="s">
        <v>44</v>
      </c>
      <c r="R1448" s="10" t="s">
        <v>9083</v>
      </c>
      <c r="S1448" s="11"/>
      <c r="T1448" s="6"/>
      <c r="U1448" s="24" t="str">
        <f>HYPERLINK("https://media.infra-m.ru/1853/1853547/cover/1853547.jpg", "Обложка")</f>
        <v>Обложка</v>
      </c>
      <c r="V1448" s="24" t="str">
        <f>HYPERLINK("https://znanium.ru/catalog/product/1094313", "Ознакомиться")</f>
        <v>Ознакомиться</v>
      </c>
      <c r="W1448" s="8" t="s">
        <v>2514</v>
      </c>
      <c r="X1448" s="6"/>
      <c r="Y1448" s="6"/>
      <c r="Z1448" s="6"/>
      <c r="AA1448" s="6" t="s">
        <v>111</v>
      </c>
      <c r="AB1448" s="8"/>
    </row>
    <row r="1449" spans="1:28" s="4" customFormat="1" ht="51.95" customHeight="1">
      <c r="A1449" s="5">
        <v>0</v>
      </c>
      <c r="B1449" s="6" t="s">
        <v>9084</v>
      </c>
      <c r="C1449" s="13">
        <v>1340</v>
      </c>
      <c r="D1449" s="8" t="s">
        <v>9085</v>
      </c>
      <c r="E1449" s="8" t="s">
        <v>9086</v>
      </c>
      <c r="F1449" s="8" t="s">
        <v>9081</v>
      </c>
      <c r="G1449" s="6" t="s">
        <v>89</v>
      </c>
      <c r="H1449" s="6" t="s">
        <v>53</v>
      </c>
      <c r="I1449" s="8" t="s">
        <v>90</v>
      </c>
      <c r="J1449" s="9">
        <v>1</v>
      </c>
      <c r="K1449" s="9">
        <v>352</v>
      </c>
      <c r="L1449" s="9">
        <v>2022</v>
      </c>
      <c r="M1449" s="8" t="s">
        <v>9087</v>
      </c>
      <c r="N1449" s="8" t="s">
        <v>41</v>
      </c>
      <c r="O1449" s="8" t="s">
        <v>1204</v>
      </c>
      <c r="P1449" s="6" t="s">
        <v>43</v>
      </c>
      <c r="Q1449" s="8" t="s">
        <v>44</v>
      </c>
      <c r="R1449" s="10" t="s">
        <v>9088</v>
      </c>
      <c r="S1449" s="11" t="s">
        <v>9089</v>
      </c>
      <c r="T1449" s="6"/>
      <c r="U1449" s="24" t="str">
        <f>HYPERLINK("https://media.infra-m.ru/1840/1840954/cover/1840954.jpg", "Обложка")</f>
        <v>Обложка</v>
      </c>
      <c r="V1449" s="24" t="str">
        <f>HYPERLINK("https://znanium.ru/catalog/product/1840954", "Ознакомиться")</f>
        <v>Ознакомиться</v>
      </c>
      <c r="W1449" s="8" t="s">
        <v>2514</v>
      </c>
      <c r="X1449" s="6"/>
      <c r="Y1449" s="6"/>
      <c r="Z1449" s="6"/>
      <c r="AA1449" s="6" t="s">
        <v>111</v>
      </c>
      <c r="AB1449" s="8"/>
    </row>
    <row r="1450" spans="1:28" s="4" customFormat="1" ht="51.95" customHeight="1">
      <c r="A1450" s="5">
        <v>0</v>
      </c>
      <c r="B1450" s="6" t="s">
        <v>9090</v>
      </c>
      <c r="C1450" s="13">
        <v>1244</v>
      </c>
      <c r="D1450" s="8" t="s">
        <v>9091</v>
      </c>
      <c r="E1450" s="8" t="s">
        <v>9092</v>
      </c>
      <c r="F1450" s="8" t="s">
        <v>9093</v>
      </c>
      <c r="G1450" s="6" t="s">
        <v>52</v>
      </c>
      <c r="H1450" s="6" t="s">
        <v>53</v>
      </c>
      <c r="I1450" s="8" t="s">
        <v>90</v>
      </c>
      <c r="J1450" s="9">
        <v>1</v>
      </c>
      <c r="K1450" s="9">
        <v>240</v>
      </c>
      <c r="L1450" s="9">
        <v>2025</v>
      </c>
      <c r="M1450" s="8" t="s">
        <v>9094</v>
      </c>
      <c r="N1450" s="8" t="s">
        <v>41</v>
      </c>
      <c r="O1450" s="8" t="s">
        <v>118</v>
      </c>
      <c r="P1450" s="6" t="s">
        <v>43</v>
      </c>
      <c r="Q1450" s="8" t="s">
        <v>44</v>
      </c>
      <c r="R1450" s="10" t="s">
        <v>9095</v>
      </c>
      <c r="S1450" s="11" t="s">
        <v>9096</v>
      </c>
      <c r="T1450" s="6"/>
      <c r="U1450" s="24" t="str">
        <f>HYPERLINK("https://media.infra-m.ru/2196/2196868/cover/2196868.jpg", "Обложка")</f>
        <v>Обложка</v>
      </c>
      <c r="V1450" s="24" t="str">
        <f>HYPERLINK("https://znanium.ru/catalog/product/1939102", "Ознакомиться")</f>
        <v>Ознакомиться</v>
      </c>
      <c r="W1450" s="8" t="s">
        <v>1345</v>
      </c>
      <c r="X1450" s="6"/>
      <c r="Y1450" s="6"/>
      <c r="Z1450" s="6"/>
      <c r="AA1450" s="6" t="s">
        <v>622</v>
      </c>
      <c r="AB1450" s="8"/>
    </row>
    <row r="1451" spans="1:28" s="4" customFormat="1" ht="51.95" customHeight="1">
      <c r="A1451" s="5">
        <v>0</v>
      </c>
      <c r="B1451" s="6" t="s">
        <v>9097</v>
      </c>
      <c r="C1451" s="13">
        <v>1604</v>
      </c>
      <c r="D1451" s="8" t="s">
        <v>9098</v>
      </c>
      <c r="E1451" s="8" t="s">
        <v>9099</v>
      </c>
      <c r="F1451" s="8" t="s">
        <v>9100</v>
      </c>
      <c r="G1451" s="6" t="s">
        <v>89</v>
      </c>
      <c r="H1451" s="6" t="s">
        <v>184</v>
      </c>
      <c r="I1451" s="8" t="s">
        <v>116</v>
      </c>
      <c r="J1451" s="9">
        <v>1</v>
      </c>
      <c r="K1451" s="9">
        <v>320</v>
      </c>
      <c r="L1451" s="9">
        <v>2025</v>
      </c>
      <c r="M1451" s="8" t="s">
        <v>9101</v>
      </c>
      <c r="N1451" s="8" t="s">
        <v>41</v>
      </c>
      <c r="O1451" s="8" t="s">
        <v>42</v>
      </c>
      <c r="P1451" s="6" t="s">
        <v>43</v>
      </c>
      <c r="Q1451" s="8" t="s">
        <v>44</v>
      </c>
      <c r="R1451" s="10" t="s">
        <v>9102</v>
      </c>
      <c r="S1451" s="11" t="s">
        <v>9103</v>
      </c>
      <c r="T1451" s="6"/>
      <c r="U1451" s="24" t="str">
        <f>HYPERLINK("https://media.infra-m.ru/2181/2181432/cover/2181432.jpg", "Обложка")</f>
        <v>Обложка</v>
      </c>
      <c r="V1451" s="24" t="str">
        <f>HYPERLINK("https://znanium.ru/catalog/product/2017313", "Ознакомиться")</f>
        <v>Ознакомиться</v>
      </c>
      <c r="W1451" s="8" t="s">
        <v>913</v>
      </c>
      <c r="X1451" s="6"/>
      <c r="Y1451" s="6"/>
      <c r="Z1451" s="6"/>
      <c r="AA1451" s="6" t="s">
        <v>9104</v>
      </c>
      <c r="AB1451" s="8"/>
    </row>
    <row r="1452" spans="1:28" s="4" customFormat="1" ht="44.1" customHeight="1">
      <c r="A1452" s="5">
        <v>0</v>
      </c>
      <c r="B1452" s="6" t="s">
        <v>9105</v>
      </c>
      <c r="C1452" s="13">
        <v>1440</v>
      </c>
      <c r="D1452" s="8" t="s">
        <v>9106</v>
      </c>
      <c r="E1452" s="8" t="s">
        <v>9107</v>
      </c>
      <c r="F1452" s="8" t="s">
        <v>9100</v>
      </c>
      <c r="G1452" s="6" t="s">
        <v>89</v>
      </c>
      <c r="H1452" s="6" t="s">
        <v>184</v>
      </c>
      <c r="I1452" s="8" t="s">
        <v>185</v>
      </c>
      <c r="J1452" s="9">
        <v>1</v>
      </c>
      <c r="K1452" s="9">
        <v>320</v>
      </c>
      <c r="L1452" s="9">
        <v>2023</v>
      </c>
      <c r="M1452" s="8" t="s">
        <v>9108</v>
      </c>
      <c r="N1452" s="8" t="s">
        <v>41</v>
      </c>
      <c r="O1452" s="8" t="s">
        <v>42</v>
      </c>
      <c r="P1452" s="6" t="s">
        <v>43</v>
      </c>
      <c r="Q1452" s="8" t="s">
        <v>102</v>
      </c>
      <c r="R1452" s="10" t="s">
        <v>9109</v>
      </c>
      <c r="S1452" s="11"/>
      <c r="T1452" s="6"/>
      <c r="U1452" s="24" t="str">
        <f>HYPERLINK("https://media.infra-m.ru/1891/1891929/cover/1891929.jpg", "Обложка")</f>
        <v>Обложка</v>
      </c>
      <c r="V1452" s="12"/>
      <c r="W1452" s="8" t="s">
        <v>913</v>
      </c>
      <c r="X1452" s="6"/>
      <c r="Y1452" s="6"/>
      <c r="Z1452" s="6"/>
      <c r="AA1452" s="6" t="s">
        <v>258</v>
      </c>
      <c r="AB1452" s="8"/>
    </row>
    <row r="1453" spans="1:28" s="4" customFormat="1" ht="42" customHeight="1">
      <c r="A1453" s="5">
        <v>0</v>
      </c>
      <c r="B1453" s="6" t="s">
        <v>9110</v>
      </c>
      <c r="C1453" s="13">
        <v>1164</v>
      </c>
      <c r="D1453" s="8" t="s">
        <v>9111</v>
      </c>
      <c r="E1453" s="8" t="s">
        <v>9112</v>
      </c>
      <c r="F1453" s="8" t="s">
        <v>9113</v>
      </c>
      <c r="G1453" s="6" t="s">
        <v>38</v>
      </c>
      <c r="H1453" s="6" t="s">
        <v>952</v>
      </c>
      <c r="I1453" s="8"/>
      <c r="J1453" s="9">
        <v>1</v>
      </c>
      <c r="K1453" s="9">
        <v>248</v>
      </c>
      <c r="L1453" s="9">
        <v>2024</v>
      </c>
      <c r="M1453" s="8" t="s">
        <v>9114</v>
      </c>
      <c r="N1453" s="8" t="s">
        <v>41</v>
      </c>
      <c r="O1453" s="8" t="s">
        <v>1007</v>
      </c>
      <c r="P1453" s="6" t="s">
        <v>43</v>
      </c>
      <c r="Q1453" s="8" t="s">
        <v>44</v>
      </c>
      <c r="R1453" s="10" t="s">
        <v>2461</v>
      </c>
      <c r="S1453" s="11"/>
      <c r="T1453" s="6"/>
      <c r="U1453" s="24" t="str">
        <f>HYPERLINK("https://media.infra-m.ru/2155/2155752/cover/2155752.jpg", "Обложка")</f>
        <v>Обложка</v>
      </c>
      <c r="V1453" s="24" t="str">
        <f>HYPERLINK("https://znanium.ru/catalog/product/1010826", "Ознакомиться")</f>
        <v>Ознакомиться</v>
      </c>
      <c r="W1453" s="8" t="s">
        <v>83</v>
      </c>
      <c r="X1453" s="6"/>
      <c r="Y1453" s="6"/>
      <c r="Z1453" s="6"/>
      <c r="AA1453" s="6" t="s">
        <v>122</v>
      </c>
      <c r="AB1453" s="8"/>
    </row>
    <row r="1454" spans="1:28" s="4" customFormat="1" ht="42" customHeight="1">
      <c r="A1454" s="5">
        <v>0</v>
      </c>
      <c r="B1454" s="6" t="s">
        <v>9115</v>
      </c>
      <c r="C1454" s="13">
        <v>1300</v>
      </c>
      <c r="D1454" s="8" t="s">
        <v>9116</v>
      </c>
      <c r="E1454" s="8" t="s">
        <v>9117</v>
      </c>
      <c r="F1454" s="8" t="s">
        <v>9118</v>
      </c>
      <c r="G1454" s="6" t="s">
        <v>52</v>
      </c>
      <c r="H1454" s="6" t="s">
        <v>53</v>
      </c>
      <c r="I1454" s="8" t="s">
        <v>116</v>
      </c>
      <c r="J1454" s="9">
        <v>1</v>
      </c>
      <c r="K1454" s="9">
        <v>263</v>
      </c>
      <c r="L1454" s="9">
        <v>2024</v>
      </c>
      <c r="M1454" s="8" t="s">
        <v>9119</v>
      </c>
      <c r="N1454" s="8" t="s">
        <v>56</v>
      </c>
      <c r="O1454" s="8" t="s">
        <v>57</v>
      </c>
      <c r="P1454" s="6" t="s">
        <v>43</v>
      </c>
      <c r="Q1454" s="8" t="s">
        <v>44</v>
      </c>
      <c r="R1454" s="10" t="s">
        <v>9120</v>
      </c>
      <c r="S1454" s="11"/>
      <c r="T1454" s="6"/>
      <c r="U1454" s="24" t="str">
        <f>HYPERLINK("https://media.infra-m.ru/1898/1898403/cover/1898403.jpg", "Обложка")</f>
        <v>Обложка</v>
      </c>
      <c r="V1454" s="24" t="str">
        <f>HYPERLINK("https://znanium.ru/catalog/product/1898403", "Ознакомиться")</f>
        <v>Ознакомиться</v>
      </c>
      <c r="W1454" s="8" t="s">
        <v>918</v>
      </c>
      <c r="X1454" s="6"/>
      <c r="Y1454" s="6"/>
      <c r="Z1454" s="6"/>
      <c r="AA1454" s="6" t="s">
        <v>133</v>
      </c>
      <c r="AB1454" s="8"/>
    </row>
    <row r="1455" spans="1:28" s="4" customFormat="1" ht="51.95" customHeight="1">
      <c r="A1455" s="5">
        <v>0</v>
      </c>
      <c r="B1455" s="6" t="s">
        <v>9121</v>
      </c>
      <c r="C1455" s="13">
        <v>1170</v>
      </c>
      <c r="D1455" s="8" t="s">
        <v>9122</v>
      </c>
      <c r="E1455" s="8" t="s">
        <v>9123</v>
      </c>
      <c r="F1455" s="8" t="s">
        <v>9124</v>
      </c>
      <c r="G1455" s="6" t="s">
        <v>89</v>
      </c>
      <c r="H1455" s="6" t="s">
        <v>53</v>
      </c>
      <c r="I1455" s="8" t="s">
        <v>116</v>
      </c>
      <c r="J1455" s="9">
        <v>1</v>
      </c>
      <c r="K1455" s="9">
        <v>247</v>
      </c>
      <c r="L1455" s="9">
        <v>2024</v>
      </c>
      <c r="M1455" s="8" t="s">
        <v>9125</v>
      </c>
      <c r="N1455" s="8" t="s">
        <v>41</v>
      </c>
      <c r="O1455" s="8" t="s">
        <v>1204</v>
      </c>
      <c r="P1455" s="6" t="s">
        <v>43</v>
      </c>
      <c r="Q1455" s="8" t="s">
        <v>58</v>
      </c>
      <c r="R1455" s="10" t="s">
        <v>9126</v>
      </c>
      <c r="S1455" s="11" t="s">
        <v>9127</v>
      </c>
      <c r="T1455" s="6"/>
      <c r="U1455" s="24" t="str">
        <f>HYPERLINK("https://media.infra-m.ru/2080/2080294/cover/2080294.jpg", "Обложка")</f>
        <v>Обложка</v>
      </c>
      <c r="V1455" s="24" t="str">
        <f>HYPERLINK("https://znanium.ru/catalog/product/2080294", "Ознакомиться")</f>
        <v>Ознакомиться</v>
      </c>
      <c r="W1455" s="8" t="s">
        <v>2122</v>
      </c>
      <c r="X1455" s="6"/>
      <c r="Y1455" s="6"/>
      <c r="Z1455" s="6"/>
      <c r="AA1455" s="6" t="s">
        <v>793</v>
      </c>
      <c r="AB1455" s="8"/>
    </row>
    <row r="1456" spans="1:28" s="4" customFormat="1" ht="51.95" customHeight="1">
      <c r="A1456" s="5">
        <v>0</v>
      </c>
      <c r="B1456" s="6" t="s">
        <v>9128</v>
      </c>
      <c r="C1456" s="13">
        <v>2900</v>
      </c>
      <c r="D1456" s="8" t="s">
        <v>9129</v>
      </c>
      <c r="E1456" s="8" t="s">
        <v>9130</v>
      </c>
      <c r="F1456" s="8" t="s">
        <v>9131</v>
      </c>
      <c r="G1456" s="6" t="s">
        <v>52</v>
      </c>
      <c r="H1456" s="6" t="s">
        <v>674</v>
      </c>
      <c r="I1456" s="8"/>
      <c r="J1456" s="9">
        <v>1</v>
      </c>
      <c r="K1456" s="9">
        <v>640</v>
      </c>
      <c r="L1456" s="9">
        <v>2025</v>
      </c>
      <c r="M1456" s="8" t="s">
        <v>9132</v>
      </c>
      <c r="N1456" s="8" t="s">
        <v>41</v>
      </c>
      <c r="O1456" s="8" t="s">
        <v>676</v>
      </c>
      <c r="P1456" s="6" t="s">
        <v>43</v>
      </c>
      <c r="Q1456" s="8" t="s">
        <v>44</v>
      </c>
      <c r="R1456" s="10" t="s">
        <v>677</v>
      </c>
      <c r="S1456" s="11" t="s">
        <v>9133</v>
      </c>
      <c r="T1456" s="6"/>
      <c r="U1456" s="24" t="str">
        <f>HYPERLINK("https://media.infra-m.ru/2173/2173932/cover/2173932.jpg", "Обложка")</f>
        <v>Обложка</v>
      </c>
      <c r="V1456" s="24" t="str">
        <f>HYPERLINK("https://znanium.ru/catalog/product/2173932", "Ознакомиться")</f>
        <v>Ознакомиться</v>
      </c>
      <c r="W1456" s="8" t="s">
        <v>7139</v>
      </c>
      <c r="X1456" s="6"/>
      <c r="Y1456" s="6"/>
      <c r="Z1456" s="6"/>
      <c r="AA1456" s="6" t="s">
        <v>418</v>
      </c>
      <c r="AB1456" s="8"/>
    </row>
    <row r="1457" spans="1:28" s="4" customFormat="1" ht="51.95" customHeight="1">
      <c r="A1457" s="5">
        <v>0</v>
      </c>
      <c r="B1457" s="6" t="s">
        <v>9134</v>
      </c>
      <c r="C1457" s="13">
        <v>2900</v>
      </c>
      <c r="D1457" s="8" t="s">
        <v>9135</v>
      </c>
      <c r="E1457" s="8" t="s">
        <v>9136</v>
      </c>
      <c r="F1457" s="8" t="s">
        <v>9137</v>
      </c>
      <c r="G1457" s="6" t="s">
        <v>52</v>
      </c>
      <c r="H1457" s="6" t="s">
        <v>674</v>
      </c>
      <c r="I1457" s="8"/>
      <c r="J1457" s="9">
        <v>1</v>
      </c>
      <c r="K1457" s="9">
        <v>736</v>
      </c>
      <c r="L1457" s="9">
        <v>2025</v>
      </c>
      <c r="M1457" s="8" t="s">
        <v>9138</v>
      </c>
      <c r="N1457" s="8" t="s">
        <v>41</v>
      </c>
      <c r="O1457" s="8" t="s">
        <v>676</v>
      </c>
      <c r="P1457" s="6" t="s">
        <v>43</v>
      </c>
      <c r="Q1457" s="8" t="s">
        <v>44</v>
      </c>
      <c r="R1457" s="10" t="s">
        <v>677</v>
      </c>
      <c r="S1457" s="11"/>
      <c r="T1457" s="6"/>
      <c r="U1457" s="24" t="str">
        <f>HYPERLINK("https://media.infra-m.ru/2175/2175043/cover/2175043.jpg", "Обложка")</f>
        <v>Обложка</v>
      </c>
      <c r="V1457" s="24" t="str">
        <f>HYPERLINK("https://znanium.ru/catalog/product/2175043", "Ознакомиться")</f>
        <v>Ознакомиться</v>
      </c>
      <c r="W1457" s="8" t="s">
        <v>7139</v>
      </c>
      <c r="X1457" s="6"/>
      <c r="Y1457" s="6"/>
      <c r="Z1457" s="6"/>
      <c r="AA1457" s="6" t="s">
        <v>442</v>
      </c>
      <c r="AB1457" s="8"/>
    </row>
    <row r="1458" spans="1:28" s="4" customFormat="1" ht="51.95" customHeight="1">
      <c r="A1458" s="5">
        <v>0</v>
      </c>
      <c r="B1458" s="6" t="s">
        <v>9139</v>
      </c>
      <c r="C1458" s="7">
        <v>680</v>
      </c>
      <c r="D1458" s="8" t="s">
        <v>9140</v>
      </c>
      <c r="E1458" s="8" t="s">
        <v>9141</v>
      </c>
      <c r="F1458" s="8" t="s">
        <v>8815</v>
      </c>
      <c r="G1458" s="6" t="s">
        <v>38</v>
      </c>
      <c r="H1458" s="6" t="s">
        <v>53</v>
      </c>
      <c r="I1458" s="8" t="s">
        <v>100</v>
      </c>
      <c r="J1458" s="9">
        <v>1</v>
      </c>
      <c r="K1458" s="9">
        <v>143</v>
      </c>
      <c r="L1458" s="9">
        <v>2024</v>
      </c>
      <c r="M1458" s="8" t="s">
        <v>9142</v>
      </c>
      <c r="N1458" s="8" t="s">
        <v>41</v>
      </c>
      <c r="O1458" s="8" t="s">
        <v>676</v>
      </c>
      <c r="P1458" s="6" t="s">
        <v>43</v>
      </c>
      <c r="Q1458" s="8" t="s">
        <v>102</v>
      </c>
      <c r="R1458" s="10" t="s">
        <v>9143</v>
      </c>
      <c r="S1458" s="11" t="s">
        <v>9144</v>
      </c>
      <c r="T1458" s="6"/>
      <c r="U1458" s="24" t="str">
        <f>HYPERLINK("https://media.infra-m.ru/1913/1913110/cover/1913110.jpg", "Обложка")</f>
        <v>Обложка</v>
      </c>
      <c r="V1458" s="24" t="str">
        <f>HYPERLINK("https://znanium.ru/catalog/product/1913110", "Ознакомиться")</f>
        <v>Ознакомиться</v>
      </c>
      <c r="W1458" s="8" t="s">
        <v>2514</v>
      </c>
      <c r="X1458" s="6"/>
      <c r="Y1458" s="6"/>
      <c r="Z1458" s="6"/>
      <c r="AA1458" s="6" t="s">
        <v>442</v>
      </c>
      <c r="AB1458" s="8"/>
    </row>
    <row r="1459" spans="1:28" s="4" customFormat="1" ht="51.95" customHeight="1">
      <c r="A1459" s="5">
        <v>0</v>
      </c>
      <c r="B1459" s="6" t="s">
        <v>9145</v>
      </c>
      <c r="C1459" s="13">
        <v>1980</v>
      </c>
      <c r="D1459" s="8" t="s">
        <v>9146</v>
      </c>
      <c r="E1459" s="8" t="s">
        <v>9147</v>
      </c>
      <c r="F1459" s="8" t="s">
        <v>9148</v>
      </c>
      <c r="G1459" s="6" t="s">
        <v>52</v>
      </c>
      <c r="H1459" s="6" t="s">
        <v>53</v>
      </c>
      <c r="I1459" s="8" t="s">
        <v>116</v>
      </c>
      <c r="J1459" s="9">
        <v>1</v>
      </c>
      <c r="K1459" s="9">
        <v>429</v>
      </c>
      <c r="L1459" s="9">
        <v>2024</v>
      </c>
      <c r="M1459" s="8" t="s">
        <v>9149</v>
      </c>
      <c r="N1459" s="8" t="s">
        <v>41</v>
      </c>
      <c r="O1459" s="8" t="s">
        <v>676</v>
      </c>
      <c r="P1459" s="6" t="s">
        <v>43</v>
      </c>
      <c r="Q1459" s="8" t="s">
        <v>44</v>
      </c>
      <c r="R1459" s="10" t="s">
        <v>677</v>
      </c>
      <c r="S1459" s="11" t="s">
        <v>9150</v>
      </c>
      <c r="T1459" s="6"/>
      <c r="U1459" s="24" t="str">
        <f>HYPERLINK("https://media.infra-m.ru/2096/2096304/cover/2096304.jpg", "Обложка")</f>
        <v>Обложка</v>
      </c>
      <c r="V1459" s="24" t="str">
        <f>HYPERLINK("https://znanium.ru/catalog/product/2096304", "Ознакомиться")</f>
        <v>Ознакомиться</v>
      </c>
      <c r="W1459" s="8" t="s">
        <v>2514</v>
      </c>
      <c r="X1459" s="6"/>
      <c r="Y1459" s="6"/>
      <c r="Z1459" s="6"/>
      <c r="AA1459" s="6" t="s">
        <v>1374</v>
      </c>
      <c r="AB1459" s="8"/>
    </row>
    <row r="1460" spans="1:28" s="4" customFormat="1" ht="51.95" customHeight="1">
      <c r="A1460" s="5">
        <v>0</v>
      </c>
      <c r="B1460" s="6" t="s">
        <v>9151</v>
      </c>
      <c r="C1460" s="13">
        <v>1540</v>
      </c>
      <c r="D1460" s="8" t="s">
        <v>9152</v>
      </c>
      <c r="E1460" s="8" t="s">
        <v>9153</v>
      </c>
      <c r="F1460" s="8" t="s">
        <v>9148</v>
      </c>
      <c r="G1460" s="6" t="s">
        <v>52</v>
      </c>
      <c r="H1460" s="6" t="s">
        <v>53</v>
      </c>
      <c r="I1460" s="8" t="s">
        <v>100</v>
      </c>
      <c r="J1460" s="9">
        <v>1</v>
      </c>
      <c r="K1460" s="9">
        <v>429</v>
      </c>
      <c r="L1460" s="9">
        <v>2021</v>
      </c>
      <c r="M1460" s="8" t="s">
        <v>9154</v>
      </c>
      <c r="N1460" s="8" t="s">
        <v>41</v>
      </c>
      <c r="O1460" s="8" t="s">
        <v>676</v>
      </c>
      <c r="P1460" s="6" t="s">
        <v>43</v>
      </c>
      <c r="Q1460" s="8" t="s">
        <v>102</v>
      </c>
      <c r="R1460" s="10" t="s">
        <v>256</v>
      </c>
      <c r="S1460" s="11" t="s">
        <v>9155</v>
      </c>
      <c r="T1460" s="6"/>
      <c r="U1460" s="24" t="str">
        <f>HYPERLINK("https://media.infra-m.ru/0961/0961439/cover/961439.jpg", "Обложка")</f>
        <v>Обложка</v>
      </c>
      <c r="V1460" s="24" t="str">
        <f>HYPERLINK("https://znanium.ru/catalog/product/961439", "Ознакомиться")</f>
        <v>Ознакомиться</v>
      </c>
      <c r="W1460" s="8" t="s">
        <v>2514</v>
      </c>
      <c r="X1460" s="6"/>
      <c r="Y1460" s="6"/>
      <c r="Z1460" s="6" t="s">
        <v>104</v>
      </c>
      <c r="AA1460" s="6" t="s">
        <v>219</v>
      </c>
      <c r="AB1460" s="8"/>
    </row>
    <row r="1461" spans="1:28" s="4" customFormat="1" ht="51.95" customHeight="1">
      <c r="A1461" s="5">
        <v>0</v>
      </c>
      <c r="B1461" s="6" t="s">
        <v>9156</v>
      </c>
      <c r="C1461" s="13">
        <v>1364.9</v>
      </c>
      <c r="D1461" s="8" t="s">
        <v>9157</v>
      </c>
      <c r="E1461" s="8" t="s">
        <v>9153</v>
      </c>
      <c r="F1461" s="8" t="s">
        <v>9148</v>
      </c>
      <c r="G1461" s="6" t="s">
        <v>52</v>
      </c>
      <c r="H1461" s="6" t="s">
        <v>53</v>
      </c>
      <c r="I1461" s="8" t="s">
        <v>90</v>
      </c>
      <c r="J1461" s="9">
        <v>1</v>
      </c>
      <c r="K1461" s="9">
        <v>428</v>
      </c>
      <c r="L1461" s="9">
        <v>2019</v>
      </c>
      <c r="M1461" s="8" t="s">
        <v>9158</v>
      </c>
      <c r="N1461" s="8" t="s">
        <v>41</v>
      </c>
      <c r="O1461" s="8" t="s">
        <v>676</v>
      </c>
      <c r="P1461" s="6" t="s">
        <v>43</v>
      </c>
      <c r="Q1461" s="8" t="s">
        <v>44</v>
      </c>
      <c r="R1461" s="10" t="s">
        <v>677</v>
      </c>
      <c r="S1461" s="11" t="s">
        <v>9159</v>
      </c>
      <c r="T1461" s="6"/>
      <c r="U1461" s="24" t="str">
        <f>HYPERLINK("https://media.infra-m.ru/1014/1014718/cover/1014718.jpg", "Обложка")</f>
        <v>Обложка</v>
      </c>
      <c r="V1461" s="24" t="str">
        <f>HYPERLINK("https://znanium.ru/catalog/product/2096304", "Ознакомиться")</f>
        <v>Ознакомиться</v>
      </c>
      <c r="W1461" s="8" t="s">
        <v>2514</v>
      </c>
      <c r="X1461" s="6"/>
      <c r="Y1461" s="6"/>
      <c r="Z1461" s="6"/>
      <c r="AA1461" s="6" t="s">
        <v>418</v>
      </c>
      <c r="AB1461" s="8"/>
    </row>
    <row r="1462" spans="1:28" s="4" customFormat="1" ht="51.95" customHeight="1">
      <c r="A1462" s="5">
        <v>0</v>
      </c>
      <c r="B1462" s="6" t="s">
        <v>9160</v>
      </c>
      <c r="C1462" s="7">
        <v>914</v>
      </c>
      <c r="D1462" s="8" t="s">
        <v>9161</v>
      </c>
      <c r="E1462" s="8" t="s">
        <v>9162</v>
      </c>
      <c r="F1462" s="8" t="s">
        <v>9163</v>
      </c>
      <c r="G1462" s="6" t="s">
        <v>89</v>
      </c>
      <c r="H1462" s="6" t="s">
        <v>53</v>
      </c>
      <c r="I1462" s="8" t="s">
        <v>116</v>
      </c>
      <c r="J1462" s="9">
        <v>1</v>
      </c>
      <c r="K1462" s="9">
        <v>176</v>
      </c>
      <c r="L1462" s="9">
        <v>2025</v>
      </c>
      <c r="M1462" s="8" t="s">
        <v>9164</v>
      </c>
      <c r="N1462" s="8" t="s">
        <v>997</v>
      </c>
      <c r="O1462" s="8" t="s">
        <v>998</v>
      </c>
      <c r="P1462" s="6" t="s">
        <v>43</v>
      </c>
      <c r="Q1462" s="8" t="s">
        <v>44</v>
      </c>
      <c r="R1462" s="10" t="s">
        <v>9165</v>
      </c>
      <c r="S1462" s="11" t="s">
        <v>9166</v>
      </c>
      <c r="T1462" s="6"/>
      <c r="U1462" s="24" t="str">
        <f>HYPERLINK("https://media.infra-m.ru/2198/2198326/cover/2198326.jpg", "Обложка")</f>
        <v>Обложка</v>
      </c>
      <c r="V1462" s="24" t="str">
        <f>HYPERLINK("https://znanium.ru/catalog/product/2080237", "Ознакомиться")</f>
        <v>Ознакомиться</v>
      </c>
      <c r="W1462" s="8" t="s">
        <v>9167</v>
      </c>
      <c r="X1462" s="6"/>
      <c r="Y1462" s="6"/>
      <c r="Z1462" s="6"/>
      <c r="AA1462" s="6" t="s">
        <v>47</v>
      </c>
      <c r="AB1462" s="8"/>
    </row>
    <row r="1463" spans="1:28" s="4" customFormat="1" ht="42" customHeight="1">
      <c r="A1463" s="5">
        <v>0</v>
      </c>
      <c r="B1463" s="6" t="s">
        <v>9168</v>
      </c>
      <c r="C1463" s="7">
        <v>990</v>
      </c>
      <c r="D1463" s="8" t="s">
        <v>9169</v>
      </c>
      <c r="E1463" s="8" t="s">
        <v>9170</v>
      </c>
      <c r="F1463" s="8" t="s">
        <v>9171</v>
      </c>
      <c r="G1463" s="6" t="s">
        <v>52</v>
      </c>
      <c r="H1463" s="6" t="s">
        <v>53</v>
      </c>
      <c r="I1463" s="8" t="s">
        <v>116</v>
      </c>
      <c r="J1463" s="9">
        <v>1</v>
      </c>
      <c r="K1463" s="9">
        <v>205</v>
      </c>
      <c r="L1463" s="9">
        <v>2024</v>
      </c>
      <c r="M1463" s="8" t="s">
        <v>9172</v>
      </c>
      <c r="N1463" s="8" t="s">
        <v>997</v>
      </c>
      <c r="O1463" s="8" t="s">
        <v>998</v>
      </c>
      <c r="P1463" s="6" t="s">
        <v>43</v>
      </c>
      <c r="Q1463" s="8" t="s">
        <v>44</v>
      </c>
      <c r="R1463" s="10" t="s">
        <v>6360</v>
      </c>
      <c r="S1463" s="11"/>
      <c r="T1463" s="6"/>
      <c r="U1463" s="24" t="str">
        <f>HYPERLINK("https://media.infra-m.ru/1846/1846128/cover/1846128.jpg", "Обложка")</f>
        <v>Обложка</v>
      </c>
      <c r="V1463" s="24" t="str">
        <f>HYPERLINK("https://znanium.ru/catalog/product/1846128", "Ознакомиться")</f>
        <v>Ознакомиться</v>
      </c>
      <c r="W1463" s="8" t="s">
        <v>9173</v>
      </c>
      <c r="X1463" s="6"/>
      <c r="Y1463" s="6"/>
      <c r="Z1463" s="6"/>
      <c r="AA1463" s="6" t="s">
        <v>133</v>
      </c>
      <c r="AB1463" s="8"/>
    </row>
    <row r="1464" spans="1:28" s="4" customFormat="1" ht="51.95" customHeight="1">
      <c r="A1464" s="5">
        <v>0</v>
      </c>
      <c r="B1464" s="6" t="s">
        <v>9174</v>
      </c>
      <c r="C1464" s="13">
        <v>1984</v>
      </c>
      <c r="D1464" s="8" t="s">
        <v>9175</v>
      </c>
      <c r="E1464" s="8" t="s">
        <v>9176</v>
      </c>
      <c r="F1464" s="8" t="s">
        <v>9177</v>
      </c>
      <c r="G1464" s="6" t="s">
        <v>52</v>
      </c>
      <c r="H1464" s="6" t="s">
        <v>674</v>
      </c>
      <c r="I1464" s="8"/>
      <c r="J1464" s="9">
        <v>1</v>
      </c>
      <c r="K1464" s="9">
        <v>432</v>
      </c>
      <c r="L1464" s="9">
        <v>2024</v>
      </c>
      <c r="M1464" s="8" t="s">
        <v>9178</v>
      </c>
      <c r="N1464" s="8" t="s">
        <v>41</v>
      </c>
      <c r="O1464" s="8" t="s">
        <v>676</v>
      </c>
      <c r="P1464" s="6" t="s">
        <v>167</v>
      </c>
      <c r="Q1464" s="8" t="s">
        <v>44</v>
      </c>
      <c r="R1464" s="10" t="s">
        <v>9179</v>
      </c>
      <c r="S1464" s="11"/>
      <c r="T1464" s="6"/>
      <c r="U1464" s="24" t="str">
        <f>HYPERLINK("https://media.infra-m.ru/2131/2131124/cover/2131124.jpg", "Обложка")</f>
        <v>Обложка</v>
      </c>
      <c r="V1464" s="24" t="str">
        <f>HYPERLINK("https://znanium.ru/catalog/product/1081008", "Ознакомиться")</f>
        <v>Ознакомиться</v>
      </c>
      <c r="W1464" s="8" t="s">
        <v>792</v>
      </c>
      <c r="X1464" s="6"/>
      <c r="Y1464" s="6"/>
      <c r="Z1464" s="6"/>
      <c r="AA1464" s="6" t="s">
        <v>2414</v>
      </c>
      <c r="AB1464" s="8"/>
    </row>
    <row r="1465" spans="1:28" s="4" customFormat="1" ht="51.95" customHeight="1">
      <c r="A1465" s="5">
        <v>0</v>
      </c>
      <c r="B1465" s="6" t="s">
        <v>9180</v>
      </c>
      <c r="C1465" s="13">
        <v>1654</v>
      </c>
      <c r="D1465" s="8" t="s">
        <v>9181</v>
      </c>
      <c r="E1465" s="8" t="s">
        <v>9182</v>
      </c>
      <c r="F1465" s="8" t="s">
        <v>9183</v>
      </c>
      <c r="G1465" s="6" t="s">
        <v>26</v>
      </c>
      <c r="H1465" s="6" t="s">
        <v>1094</v>
      </c>
      <c r="I1465" s="8" t="s">
        <v>5841</v>
      </c>
      <c r="J1465" s="9">
        <v>1</v>
      </c>
      <c r="K1465" s="9">
        <v>352</v>
      </c>
      <c r="L1465" s="9">
        <v>2025</v>
      </c>
      <c r="M1465" s="8" t="s">
        <v>9184</v>
      </c>
      <c r="N1465" s="8" t="s">
        <v>41</v>
      </c>
      <c r="O1465" s="8" t="s">
        <v>676</v>
      </c>
      <c r="P1465" s="6" t="s">
        <v>2134</v>
      </c>
      <c r="Q1465" s="8" t="s">
        <v>58</v>
      </c>
      <c r="R1465" s="10" t="s">
        <v>2736</v>
      </c>
      <c r="S1465" s="11"/>
      <c r="T1465" s="6"/>
      <c r="U1465" s="24" t="str">
        <f>HYPERLINK("https://media.infra-m.ru/2169/2169299/cover/2169299.jpg", "Обложка")</f>
        <v>Обложка</v>
      </c>
      <c r="V1465" s="24" t="str">
        <f>HYPERLINK("https://znanium.ru/catalog/product/1228801", "Ознакомиться")</f>
        <v>Ознакомиться</v>
      </c>
      <c r="W1465" s="8" t="s">
        <v>678</v>
      </c>
      <c r="X1465" s="6"/>
      <c r="Y1465" s="6"/>
      <c r="Z1465" s="6"/>
      <c r="AA1465" s="6" t="s">
        <v>7927</v>
      </c>
      <c r="AB1465" s="8"/>
    </row>
    <row r="1466" spans="1:28" s="4" customFormat="1" ht="51.95" customHeight="1">
      <c r="A1466" s="5">
        <v>0</v>
      </c>
      <c r="B1466" s="6" t="s">
        <v>9185</v>
      </c>
      <c r="C1466" s="7">
        <v>584</v>
      </c>
      <c r="D1466" s="8" t="s">
        <v>9186</v>
      </c>
      <c r="E1466" s="8" t="s">
        <v>9187</v>
      </c>
      <c r="F1466" s="8" t="s">
        <v>9188</v>
      </c>
      <c r="G1466" s="6" t="s">
        <v>38</v>
      </c>
      <c r="H1466" s="6" t="s">
        <v>649</v>
      </c>
      <c r="I1466" s="8"/>
      <c r="J1466" s="9">
        <v>1</v>
      </c>
      <c r="K1466" s="9">
        <v>128</v>
      </c>
      <c r="L1466" s="9">
        <v>2024</v>
      </c>
      <c r="M1466" s="8" t="s">
        <v>9189</v>
      </c>
      <c r="N1466" s="8" t="s">
        <v>41</v>
      </c>
      <c r="O1466" s="8" t="s">
        <v>676</v>
      </c>
      <c r="P1466" s="6" t="s">
        <v>43</v>
      </c>
      <c r="Q1466" s="8" t="s">
        <v>44</v>
      </c>
      <c r="R1466" s="10" t="s">
        <v>677</v>
      </c>
      <c r="S1466" s="11" t="s">
        <v>9190</v>
      </c>
      <c r="T1466" s="6"/>
      <c r="U1466" s="24" t="str">
        <f>HYPERLINK("https://media.infra-m.ru/2087/2087306/cover/2087306.jpg", "Обложка")</f>
        <v>Обложка</v>
      </c>
      <c r="V1466" s="24" t="str">
        <f>HYPERLINK("https://znanium.ru/catalog/product/1947348", "Ознакомиться")</f>
        <v>Ознакомиться</v>
      </c>
      <c r="W1466" s="8" t="s">
        <v>9191</v>
      </c>
      <c r="X1466" s="6"/>
      <c r="Y1466" s="6"/>
      <c r="Z1466" s="6"/>
      <c r="AA1466" s="6" t="s">
        <v>111</v>
      </c>
      <c r="AB1466" s="8"/>
    </row>
    <row r="1467" spans="1:28" s="4" customFormat="1" ht="51.95" customHeight="1">
      <c r="A1467" s="5">
        <v>0</v>
      </c>
      <c r="B1467" s="6" t="s">
        <v>9192</v>
      </c>
      <c r="C1467" s="7">
        <v>994.9</v>
      </c>
      <c r="D1467" s="8" t="s">
        <v>9193</v>
      </c>
      <c r="E1467" s="8" t="s">
        <v>9194</v>
      </c>
      <c r="F1467" s="8" t="s">
        <v>9195</v>
      </c>
      <c r="G1467" s="6" t="s">
        <v>52</v>
      </c>
      <c r="H1467" s="6" t="s">
        <v>1094</v>
      </c>
      <c r="I1467" s="8"/>
      <c r="J1467" s="9">
        <v>12</v>
      </c>
      <c r="K1467" s="9">
        <v>592</v>
      </c>
      <c r="L1467" s="9">
        <v>2017</v>
      </c>
      <c r="M1467" s="8" t="s">
        <v>9196</v>
      </c>
      <c r="N1467" s="8" t="s">
        <v>41</v>
      </c>
      <c r="O1467" s="8" t="s">
        <v>676</v>
      </c>
      <c r="P1467" s="6" t="s">
        <v>43</v>
      </c>
      <c r="Q1467" s="8" t="s">
        <v>44</v>
      </c>
      <c r="R1467" s="10" t="s">
        <v>2736</v>
      </c>
      <c r="S1467" s="11"/>
      <c r="T1467" s="6"/>
      <c r="U1467" s="24" t="str">
        <f>HYPERLINK("https://media.infra-m.ru/0754/0754466/cover/754466.jpg", "Обложка")</f>
        <v>Обложка</v>
      </c>
      <c r="V1467" s="24" t="str">
        <f>HYPERLINK("https://znanium.ru/catalog/product/2161800", "Ознакомиться")</f>
        <v>Ознакомиться</v>
      </c>
      <c r="W1467" s="8" t="s">
        <v>784</v>
      </c>
      <c r="X1467" s="6"/>
      <c r="Y1467" s="6"/>
      <c r="Z1467" s="6"/>
      <c r="AA1467" s="6" t="s">
        <v>4236</v>
      </c>
      <c r="AB1467" s="8"/>
    </row>
    <row r="1468" spans="1:28" s="4" customFormat="1" ht="51.95" customHeight="1">
      <c r="A1468" s="5">
        <v>0</v>
      </c>
      <c r="B1468" s="6" t="s">
        <v>9197</v>
      </c>
      <c r="C1468" s="7">
        <v>584</v>
      </c>
      <c r="D1468" s="8" t="s">
        <v>9198</v>
      </c>
      <c r="E1468" s="8" t="s">
        <v>9187</v>
      </c>
      <c r="F1468" s="8" t="s">
        <v>9188</v>
      </c>
      <c r="G1468" s="6" t="s">
        <v>38</v>
      </c>
      <c r="H1468" s="6" t="s">
        <v>649</v>
      </c>
      <c r="I1468" s="8" t="s">
        <v>100</v>
      </c>
      <c r="J1468" s="9">
        <v>1</v>
      </c>
      <c r="K1468" s="9">
        <v>128</v>
      </c>
      <c r="L1468" s="9">
        <v>2023</v>
      </c>
      <c r="M1468" s="8" t="s">
        <v>9199</v>
      </c>
      <c r="N1468" s="8" t="s">
        <v>41</v>
      </c>
      <c r="O1468" s="8" t="s">
        <v>676</v>
      </c>
      <c r="P1468" s="6" t="s">
        <v>43</v>
      </c>
      <c r="Q1468" s="8" t="s">
        <v>102</v>
      </c>
      <c r="R1468" s="10" t="s">
        <v>256</v>
      </c>
      <c r="S1468" s="11" t="s">
        <v>9155</v>
      </c>
      <c r="T1468" s="6"/>
      <c r="U1468" s="24" t="str">
        <f>HYPERLINK("https://media.infra-m.ru/2021/2021421/cover/2021421.jpg", "Обложка")</f>
        <v>Обложка</v>
      </c>
      <c r="V1468" s="24" t="str">
        <f>HYPERLINK("https://znanium.ru/catalog/product/961440", "Ознакомиться")</f>
        <v>Ознакомиться</v>
      </c>
      <c r="W1468" s="8" t="s">
        <v>9191</v>
      </c>
      <c r="X1468" s="6"/>
      <c r="Y1468" s="6"/>
      <c r="Z1468" s="6" t="s">
        <v>104</v>
      </c>
      <c r="AA1468" s="6" t="s">
        <v>219</v>
      </c>
      <c r="AB1468" s="8"/>
    </row>
    <row r="1469" spans="1:28" s="4" customFormat="1" ht="51.95" customHeight="1">
      <c r="A1469" s="5">
        <v>0</v>
      </c>
      <c r="B1469" s="6" t="s">
        <v>9200</v>
      </c>
      <c r="C1469" s="13">
        <v>1944.9</v>
      </c>
      <c r="D1469" s="8" t="s">
        <v>9201</v>
      </c>
      <c r="E1469" s="8" t="s">
        <v>9202</v>
      </c>
      <c r="F1469" s="8" t="s">
        <v>9203</v>
      </c>
      <c r="G1469" s="6" t="s">
        <v>89</v>
      </c>
      <c r="H1469" s="6" t="s">
        <v>674</v>
      </c>
      <c r="I1469" s="8"/>
      <c r="J1469" s="9">
        <v>1</v>
      </c>
      <c r="K1469" s="9">
        <v>688</v>
      </c>
      <c r="L1469" s="9">
        <v>2022</v>
      </c>
      <c r="M1469" s="8" t="s">
        <v>9204</v>
      </c>
      <c r="N1469" s="8" t="s">
        <v>41</v>
      </c>
      <c r="O1469" s="8" t="s">
        <v>676</v>
      </c>
      <c r="P1469" s="6" t="s">
        <v>43</v>
      </c>
      <c r="Q1469" s="8" t="s">
        <v>44</v>
      </c>
      <c r="R1469" s="10" t="s">
        <v>2736</v>
      </c>
      <c r="S1469" s="11"/>
      <c r="T1469" s="6"/>
      <c r="U1469" s="24" t="str">
        <f>HYPERLINK("https://media.infra-m.ru/1818/1818643/cover/1818643.jpg", "Обложка")</f>
        <v>Обложка</v>
      </c>
      <c r="V1469" s="24" t="str">
        <f>HYPERLINK("https://znanium.ru/catalog/product/2161800", "Ознакомиться")</f>
        <v>Ознакомиться</v>
      </c>
      <c r="W1469" s="8" t="s">
        <v>784</v>
      </c>
      <c r="X1469" s="6"/>
      <c r="Y1469" s="6"/>
      <c r="Z1469" s="6"/>
      <c r="AA1469" s="6" t="s">
        <v>638</v>
      </c>
      <c r="AB1469" s="8"/>
    </row>
    <row r="1470" spans="1:28" s="4" customFormat="1" ht="51.95" customHeight="1">
      <c r="A1470" s="5">
        <v>0</v>
      </c>
      <c r="B1470" s="6" t="s">
        <v>9205</v>
      </c>
      <c r="C1470" s="13">
        <v>3300</v>
      </c>
      <c r="D1470" s="8" t="s">
        <v>9206</v>
      </c>
      <c r="E1470" s="8" t="s">
        <v>9207</v>
      </c>
      <c r="F1470" s="8" t="s">
        <v>9203</v>
      </c>
      <c r="G1470" s="6" t="s">
        <v>89</v>
      </c>
      <c r="H1470" s="6" t="s">
        <v>674</v>
      </c>
      <c r="I1470" s="8"/>
      <c r="J1470" s="9">
        <v>1</v>
      </c>
      <c r="K1470" s="9">
        <v>792</v>
      </c>
      <c r="L1470" s="9">
        <v>2024</v>
      </c>
      <c r="M1470" s="8" t="s">
        <v>9208</v>
      </c>
      <c r="N1470" s="8" t="s">
        <v>41</v>
      </c>
      <c r="O1470" s="8" t="s">
        <v>676</v>
      </c>
      <c r="P1470" s="6" t="s">
        <v>43</v>
      </c>
      <c r="Q1470" s="8" t="s">
        <v>44</v>
      </c>
      <c r="R1470" s="10" t="s">
        <v>2736</v>
      </c>
      <c r="S1470" s="11"/>
      <c r="T1470" s="6"/>
      <c r="U1470" s="24" t="str">
        <f>HYPERLINK("https://media.infra-m.ru/2163/2163867/cover/2163867.jpg", "Обложка")</f>
        <v>Обложка</v>
      </c>
      <c r="V1470" s="24" t="str">
        <f>HYPERLINK("https://znanium.ru/catalog/product/2161800", "Ознакомиться")</f>
        <v>Ознакомиться</v>
      </c>
      <c r="W1470" s="8" t="s">
        <v>784</v>
      </c>
      <c r="X1470" s="6" t="s">
        <v>389</v>
      </c>
      <c r="Y1470" s="6"/>
      <c r="Z1470" s="6"/>
      <c r="AA1470" s="6" t="s">
        <v>6038</v>
      </c>
      <c r="AB1470" s="8"/>
    </row>
    <row r="1471" spans="1:28" s="4" customFormat="1" ht="42" customHeight="1">
      <c r="A1471" s="5">
        <v>0</v>
      </c>
      <c r="B1471" s="6" t="s">
        <v>9209</v>
      </c>
      <c r="C1471" s="13">
        <v>2394</v>
      </c>
      <c r="D1471" s="8" t="s">
        <v>9210</v>
      </c>
      <c r="E1471" s="8" t="s">
        <v>9182</v>
      </c>
      <c r="F1471" s="8" t="s">
        <v>9211</v>
      </c>
      <c r="G1471" s="6" t="s">
        <v>52</v>
      </c>
      <c r="H1471" s="6" t="s">
        <v>53</v>
      </c>
      <c r="I1471" s="8" t="s">
        <v>276</v>
      </c>
      <c r="J1471" s="9">
        <v>1</v>
      </c>
      <c r="K1471" s="9">
        <v>482</v>
      </c>
      <c r="L1471" s="9">
        <v>2025</v>
      </c>
      <c r="M1471" s="8" t="s">
        <v>9212</v>
      </c>
      <c r="N1471" s="8" t="s">
        <v>41</v>
      </c>
      <c r="O1471" s="8" t="s">
        <v>676</v>
      </c>
      <c r="P1471" s="6" t="s">
        <v>167</v>
      </c>
      <c r="Q1471" s="8" t="s">
        <v>279</v>
      </c>
      <c r="R1471" s="10" t="s">
        <v>990</v>
      </c>
      <c r="S1471" s="11"/>
      <c r="T1471" s="6" t="s">
        <v>299</v>
      </c>
      <c r="U1471" s="24" t="str">
        <f>HYPERLINK("https://media.infra-m.ru/2157/2157875/cover/2157875.jpg", "Обложка")</f>
        <v>Обложка</v>
      </c>
      <c r="V1471" s="24" t="str">
        <f>HYPERLINK("https://znanium.ru/catalog/product/978296", "Ознакомиться")</f>
        <v>Ознакомиться</v>
      </c>
      <c r="W1471" s="8" t="s">
        <v>354</v>
      </c>
      <c r="X1471" s="6"/>
      <c r="Y1471" s="6"/>
      <c r="Z1471" s="6"/>
      <c r="AA1471" s="6" t="s">
        <v>207</v>
      </c>
      <c r="AB1471" s="8"/>
    </row>
    <row r="1472" spans="1:28" s="4" customFormat="1" ht="51.95" customHeight="1">
      <c r="A1472" s="5">
        <v>0</v>
      </c>
      <c r="B1472" s="6" t="s">
        <v>9213</v>
      </c>
      <c r="C1472" s="13">
        <v>2194</v>
      </c>
      <c r="D1472" s="8" t="s">
        <v>9214</v>
      </c>
      <c r="E1472" s="8" t="s">
        <v>9215</v>
      </c>
      <c r="F1472" s="8" t="s">
        <v>4819</v>
      </c>
      <c r="G1472" s="6" t="s">
        <v>89</v>
      </c>
      <c r="H1472" s="6" t="s">
        <v>674</v>
      </c>
      <c r="I1472" s="8"/>
      <c r="J1472" s="9">
        <v>1</v>
      </c>
      <c r="K1472" s="9">
        <v>736</v>
      </c>
      <c r="L1472" s="9">
        <v>2024</v>
      </c>
      <c r="M1472" s="8" t="s">
        <v>9216</v>
      </c>
      <c r="N1472" s="8" t="s">
        <v>41</v>
      </c>
      <c r="O1472" s="8" t="s">
        <v>676</v>
      </c>
      <c r="P1472" s="6" t="s">
        <v>167</v>
      </c>
      <c r="Q1472" s="8" t="s">
        <v>44</v>
      </c>
      <c r="R1472" s="10" t="s">
        <v>9217</v>
      </c>
      <c r="S1472" s="11"/>
      <c r="T1472" s="6"/>
      <c r="U1472" s="24" t="str">
        <f>HYPERLINK("https://media.infra-m.ru/2137/2137089/cover/2137089.jpg", "Обложка")</f>
        <v>Обложка</v>
      </c>
      <c r="V1472" s="24" t="str">
        <f>HYPERLINK("https://znanium.ru/catalog/product/1857235", "Ознакомиться")</f>
        <v>Ознакомиться</v>
      </c>
      <c r="W1472" s="8" t="s">
        <v>678</v>
      </c>
      <c r="X1472" s="6"/>
      <c r="Y1472" s="6"/>
      <c r="Z1472" s="6"/>
      <c r="AA1472" s="6" t="s">
        <v>9218</v>
      </c>
      <c r="AB1472" s="8"/>
    </row>
    <row r="1473" spans="1:28" s="4" customFormat="1" ht="51.95" customHeight="1">
      <c r="A1473" s="5">
        <v>0</v>
      </c>
      <c r="B1473" s="6" t="s">
        <v>9219</v>
      </c>
      <c r="C1473" s="13">
        <v>3400</v>
      </c>
      <c r="D1473" s="8" t="s">
        <v>9220</v>
      </c>
      <c r="E1473" s="8" t="s">
        <v>9182</v>
      </c>
      <c r="F1473" s="8" t="s">
        <v>9221</v>
      </c>
      <c r="G1473" s="6" t="s">
        <v>52</v>
      </c>
      <c r="H1473" s="6" t="s">
        <v>674</v>
      </c>
      <c r="I1473" s="8"/>
      <c r="J1473" s="9">
        <v>1</v>
      </c>
      <c r="K1473" s="9">
        <v>704</v>
      </c>
      <c r="L1473" s="9">
        <v>2025</v>
      </c>
      <c r="M1473" s="8" t="s">
        <v>9222</v>
      </c>
      <c r="N1473" s="8" t="s">
        <v>41</v>
      </c>
      <c r="O1473" s="8" t="s">
        <v>676</v>
      </c>
      <c r="P1473" s="6" t="s">
        <v>167</v>
      </c>
      <c r="Q1473" s="8" t="s">
        <v>44</v>
      </c>
      <c r="R1473" s="10" t="s">
        <v>2736</v>
      </c>
      <c r="S1473" s="11"/>
      <c r="T1473" s="6"/>
      <c r="U1473" s="24" t="str">
        <f>HYPERLINK("https://media.infra-m.ru/2185/2185879/cover/2185879.jpg", "Обложка")</f>
        <v>Обложка</v>
      </c>
      <c r="V1473" s="24" t="str">
        <f>HYPERLINK("https://znanium.ru/catalog/product/2185879", "Ознакомиться")</f>
        <v>Ознакомиться</v>
      </c>
      <c r="W1473" s="8" t="s">
        <v>678</v>
      </c>
      <c r="X1473" s="6"/>
      <c r="Y1473" s="6"/>
      <c r="Z1473" s="6"/>
      <c r="AA1473" s="6" t="s">
        <v>3065</v>
      </c>
      <c r="AB1473" s="8"/>
    </row>
    <row r="1474" spans="1:28" s="4" customFormat="1" ht="51.95" customHeight="1">
      <c r="A1474" s="5">
        <v>0</v>
      </c>
      <c r="B1474" s="6" t="s">
        <v>9223</v>
      </c>
      <c r="C1474" s="13">
        <v>2030</v>
      </c>
      <c r="D1474" s="8" t="s">
        <v>9224</v>
      </c>
      <c r="E1474" s="8" t="s">
        <v>9182</v>
      </c>
      <c r="F1474" s="8" t="s">
        <v>8965</v>
      </c>
      <c r="G1474" s="6" t="s">
        <v>89</v>
      </c>
      <c r="H1474" s="6" t="s">
        <v>184</v>
      </c>
      <c r="I1474" s="8" t="s">
        <v>185</v>
      </c>
      <c r="J1474" s="9">
        <v>1</v>
      </c>
      <c r="K1474" s="9">
        <v>451</v>
      </c>
      <c r="L1474" s="9">
        <v>2023</v>
      </c>
      <c r="M1474" s="8" t="s">
        <v>9225</v>
      </c>
      <c r="N1474" s="8" t="s">
        <v>41</v>
      </c>
      <c r="O1474" s="8" t="s">
        <v>676</v>
      </c>
      <c r="P1474" s="6" t="s">
        <v>167</v>
      </c>
      <c r="Q1474" s="8" t="s">
        <v>58</v>
      </c>
      <c r="R1474" s="10" t="s">
        <v>2736</v>
      </c>
      <c r="S1474" s="11"/>
      <c r="T1474" s="6"/>
      <c r="U1474" s="24" t="str">
        <f>HYPERLINK("https://media.infra-m.ru/1976/1976204/cover/1976204.jpg", "Обложка")</f>
        <v>Обложка</v>
      </c>
      <c r="V1474" s="12"/>
      <c r="W1474" s="8" t="s">
        <v>2343</v>
      </c>
      <c r="X1474" s="6"/>
      <c r="Y1474" s="6"/>
      <c r="Z1474" s="6"/>
      <c r="AA1474" s="6" t="s">
        <v>235</v>
      </c>
      <c r="AB1474" s="8"/>
    </row>
    <row r="1475" spans="1:28" s="4" customFormat="1" ht="51.95" customHeight="1">
      <c r="A1475" s="5">
        <v>0</v>
      </c>
      <c r="B1475" s="6" t="s">
        <v>9226</v>
      </c>
      <c r="C1475" s="13">
        <v>2144</v>
      </c>
      <c r="D1475" s="8" t="s">
        <v>9227</v>
      </c>
      <c r="E1475" s="8" t="s">
        <v>9215</v>
      </c>
      <c r="F1475" s="8" t="s">
        <v>9228</v>
      </c>
      <c r="G1475" s="6" t="s">
        <v>52</v>
      </c>
      <c r="H1475" s="6" t="s">
        <v>674</v>
      </c>
      <c r="I1475" s="8"/>
      <c r="J1475" s="9">
        <v>1</v>
      </c>
      <c r="K1475" s="9">
        <v>800</v>
      </c>
      <c r="L1475" s="9">
        <v>2025</v>
      </c>
      <c r="M1475" s="8" t="s">
        <v>9229</v>
      </c>
      <c r="N1475" s="8" t="s">
        <v>41</v>
      </c>
      <c r="O1475" s="8" t="s">
        <v>676</v>
      </c>
      <c r="P1475" s="6" t="s">
        <v>167</v>
      </c>
      <c r="Q1475" s="8" t="s">
        <v>44</v>
      </c>
      <c r="R1475" s="10" t="s">
        <v>9217</v>
      </c>
      <c r="S1475" s="11"/>
      <c r="T1475" s="6"/>
      <c r="U1475" s="24" t="str">
        <f>HYPERLINK("https://media.infra-m.ru/2159/2159887/cover/2159887.jpg", "Обложка")</f>
        <v>Обложка</v>
      </c>
      <c r="V1475" s="24" t="str">
        <f>HYPERLINK("https://znanium.ru/catalog/product/989952", "Ознакомиться")</f>
        <v>Ознакомиться</v>
      </c>
      <c r="W1475" s="8" t="s">
        <v>2114</v>
      </c>
      <c r="X1475" s="6"/>
      <c r="Y1475" s="6"/>
      <c r="Z1475" s="6"/>
      <c r="AA1475" s="6" t="s">
        <v>2001</v>
      </c>
      <c r="AB1475" s="8"/>
    </row>
    <row r="1476" spans="1:28" s="4" customFormat="1" ht="51.95" customHeight="1">
      <c r="A1476" s="5">
        <v>0</v>
      </c>
      <c r="B1476" s="6" t="s">
        <v>9230</v>
      </c>
      <c r="C1476" s="13">
        <v>2194</v>
      </c>
      <c r="D1476" s="8" t="s">
        <v>9231</v>
      </c>
      <c r="E1476" s="8" t="s">
        <v>9232</v>
      </c>
      <c r="F1476" s="8" t="s">
        <v>9233</v>
      </c>
      <c r="G1476" s="6" t="s">
        <v>52</v>
      </c>
      <c r="H1476" s="6" t="s">
        <v>674</v>
      </c>
      <c r="I1476" s="8"/>
      <c r="J1476" s="9">
        <v>1</v>
      </c>
      <c r="K1476" s="9">
        <v>672</v>
      </c>
      <c r="L1476" s="9">
        <v>2024</v>
      </c>
      <c r="M1476" s="8" t="s">
        <v>9234</v>
      </c>
      <c r="N1476" s="8" t="s">
        <v>41</v>
      </c>
      <c r="O1476" s="8" t="s">
        <v>676</v>
      </c>
      <c r="P1476" s="6" t="s">
        <v>167</v>
      </c>
      <c r="Q1476" s="8" t="s">
        <v>44</v>
      </c>
      <c r="R1476" s="10" t="s">
        <v>9235</v>
      </c>
      <c r="S1476" s="11" t="s">
        <v>9236</v>
      </c>
      <c r="T1476" s="6"/>
      <c r="U1476" s="24" t="str">
        <f>HYPERLINK("https://media.infra-m.ru/2054/2054992/cover/2054992.jpg", "Обложка")</f>
        <v>Обложка</v>
      </c>
      <c r="V1476" s="24" t="str">
        <f>HYPERLINK("https://znanium.ru/catalog/product/1229729", "Ознакомиться")</f>
        <v>Ознакомиться</v>
      </c>
      <c r="W1476" s="8" t="s">
        <v>947</v>
      </c>
      <c r="X1476" s="6"/>
      <c r="Y1476" s="6"/>
      <c r="Z1476" s="6"/>
      <c r="AA1476" s="6" t="s">
        <v>644</v>
      </c>
      <c r="AB1476" s="8"/>
    </row>
    <row r="1477" spans="1:28" s="4" customFormat="1" ht="42" customHeight="1">
      <c r="A1477" s="5">
        <v>0</v>
      </c>
      <c r="B1477" s="6" t="s">
        <v>9237</v>
      </c>
      <c r="C1477" s="13">
        <v>3630</v>
      </c>
      <c r="D1477" s="8" t="s">
        <v>9238</v>
      </c>
      <c r="E1477" s="8" t="s">
        <v>9239</v>
      </c>
      <c r="F1477" s="8" t="s">
        <v>9240</v>
      </c>
      <c r="G1477" s="6" t="s">
        <v>52</v>
      </c>
      <c r="H1477" s="6" t="s">
        <v>53</v>
      </c>
      <c r="I1477" s="8" t="s">
        <v>116</v>
      </c>
      <c r="J1477" s="9">
        <v>1</v>
      </c>
      <c r="K1477" s="9">
        <v>725</v>
      </c>
      <c r="L1477" s="9">
        <v>2025</v>
      </c>
      <c r="M1477" s="8" t="s">
        <v>9241</v>
      </c>
      <c r="N1477" s="8" t="s">
        <v>41</v>
      </c>
      <c r="O1477" s="8" t="s">
        <v>1204</v>
      </c>
      <c r="P1477" s="6" t="s">
        <v>167</v>
      </c>
      <c r="Q1477" s="8" t="s">
        <v>44</v>
      </c>
      <c r="R1477" s="10" t="s">
        <v>9242</v>
      </c>
      <c r="S1477" s="11"/>
      <c r="T1477" s="6"/>
      <c r="U1477" s="24" t="str">
        <f>HYPERLINK("https://media.infra-m.ru/1242/1242224/cover/1242224.jpg", "Обложка")</f>
        <v>Обложка</v>
      </c>
      <c r="V1477" s="24" t="str">
        <f>HYPERLINK("https://znanium.ru/catalog/product/1242224", "Ознакомиться")</f>
        <v>Ознакомиться</v>
      </c>
      <c r="W1477" s="8" t="s">
        <v>5142</v>
      </c>
      <c r="X1477" s="6" t="s">
        <v>2790</v>
      </c>
      <c r="Y1477" s="6"/>
      <c r="Z1477" s="6"/>
      <c r="AA1477" s="6" t="s">
        <v>61</v>
      </c>
      <c r="AB1477" s="8"/>
    </row>
    <row r="1478" spans="1:28" s="4" customFormat="1" ht="51.95" customHeight="1">
      <c r="A1478" s="5">
        <v>0</v>
      </c>
      <c r="B1478" s="6" t="s">
        <v>9243</v>
      </c>
      <c r="C1478" s="13">
        <v>2034</v>
      </c>
      <c r="D1478" s="8" t="s">
        <v>9244</v>
      </c>
      <c r="E1478" s="8" t="s">
        <v>9239</v>
      </c>
      <c r="F1478" s="8" t="s">
        <v>9245</v>
      </c>
      <c r="G1478" s="6" t="s">
        <v>52</v>
      </c>
      <c r="H1478" s="6" t="s">
        <v>674</v>
      </c>
      <c r="I1478" s="8"/>
      <c r="J1478" s="9">
        <v>1</v>
      </c>
      <c r="K1478" s="9">
        <v>432</v>
      </c>
      <c r="L1478" s="9">
        <v>2024</v>
      </c>
      <c r="M1478" s="8" t="s">
        <v>9246</v>
      </c>
      <c r="N1478" s="8" t="s">
        <v>41</v>
      </c>
      <c r="O1478" s="8" t="s">
        <v>1204</v>
      </c>
      <c r="P1478" s="6" t="s">
        <v>43</v>
      </c>
      <c r="Q1478" s="8" t="s">
        <v>44</v>
      </c>
      <c r="R1478" s="10" t="s">
        <v>9247</v>
      </c>
      <c r="S1478" s="11"/>
      <c r="T1478" s="6"/>
      <c r="U1478" s="24" t="str">
        <f>HYPERLINK("https://media.infra-m.ru/2142/2142329/cover/2142329.jpg", "Обложка")</f>
        <v>Обложка</v>
      </c>
      <c r="V1478" s="24" t="str">
        <f>HYPERLINK("https://znanium.ru/catalog/product/1407934", "Ознакомиться")</f>
        <v>Ознакомиться</v>
      </c>
      <c r="W1478" s="8" t="s">
        <v>852</v>
      </c>
      <c r="X1478" s="6"/>
      <c r="Y1478" s="6"/>
      <c r="Z1478" s="6"/>
      <c r="AA1478" s="6" t="s">
        <v>47</v>
      </c>
      <c r="AB1478" s="8"/>
    </row>
    <row r="1479" spans="1:28" s="4" customFormat="1" ht="44.1" customHeight="1">
      <c r="A1479" s="5">
        <v>0</v>
      </c>
      <c r="B1479" s="6" t="s">
        <v>9248</v>
      </c>
      <c r="C1479" s="13">
        <v>1204</v>
      </c>
      <c r="D1479" s="8" t="s">
        <v>9249</v>
      </c>
      <c r="E1479" s="8" t="s">
        <v>9250</v>
      </c>
      <c r="F1479" s="8" t="s">
        <v>9251</v>
      </c>
      <c r="G1479" s="6" t="s">
        <v>52</v>
      </c>
      <c r="H1479" s="6" t="s">
        <v>39</v>
      </c>
      <c r="I1479" s="8"/>
      <c r="J1479" s="9">
        <v>1</v>
      </c>
      <c r="K1479" s="9">
        <v>240</v>
      </c>
      <c r="L1479" s="9">
        <v>2025</v>
      </c>
      <c r="M1479" s="8" t="s">
        <v>9252</v>
      </c>
      <c r="N1479" s="8" t="s">
        <v>41</v>
      </c>
      <c r="O1479" s="8" t="s">
        <v>42</v>
      </c>
      <c r="P1479" s="6" t="s">
        <v>9253</v>
      </c>
      <c r="Q1479" s="8" t="s">
        <v>44</v>
      </c>
      <c r="R1479" s="10" t="s">
        <v>9254</v>
      </c>
      <c r="S1479" s="11"/>
      <c r="T1479" s="6"/>
      <c r="U1479" s="24" t="str">
        <f>HYPERLINK("https://media.infra-m.ru/2170/2170072/cover/2170072.jpg", "Обложка")</f>
        <v>Обложка</v>
      </c>
      <c r="V1479" s="12"/>
      <c r="W1479" s="8" t="s">
        <v>2878</v>
      </c>
      <c r="X1479" s="6"/>
      <c r="Y1479" s="6"/>
      <c r="Z1479" s="6"/>
      <c r="AA1479" s="6" t="s">
        <v>72</v>
      </c>
      <c r="AB1479" s="8"/>
    </row>
    <row r="1480" spans="1:28" s="4" customFormat="1" ht="51.95" customHeight="1">
      <c r="A1480" s="5">
        <v>0</v>
      </c>
      <c r="B1480" s="6" t="s">
        <v>9255</v>
      </c>
      <c r="C1480" s="7">
        <v>884</v>
      </c>
      <c r="D1480" s="8" t="s">
        <v>9256</v>
      </c>
      <c r="E1480" s="8" t="s">
        <v>9257</v>
      </c>
      <c r="F1480" s="8" t="s">
        <v>3416</v>
      </c>
      <c r="G1480" s="6" t="s">
        <v>89</v>
      </c>
      <c r="H1480" s="6" t="s">
        <v>53</v>
      </c>
      <c r="I1480" s="8" t="s">
        <v>276</v>
      </c>
      <c r="J1480" s="9">
        <v>1</v>
      </c>
      <c r="K1480" s="9">
        <v>170</v>
      </c>
      <c r="L1480" s="9">
        <v>2025</v>
      </c>
      <c r="M1480" s="8" t="s">
        <v>9258</v>
      </c>
      <c r="N1480" s="8" t="s">
        <v>41</v>
      </c>
      <c r="O1480" s="8" t="s">
        <v>1007</v>
      </c>
      <c r="P1480" s="6" t="s">
        <v>43</v>
      </c>
      <c r="Q1480" s="8" t="s">
        <v>279</v>
      </c>
      <c r="R1480" s="10" t="s">
        <v>1231</v>
      </c>
      <c r="S1480" s="11" t="s">
        <v>9259</v>
      </c>
      <c r="T1480" s="6"/>
      <c r="U1480" s="24" t="str">
        <f>HYPERLINK("https://media.infra-m.ru/2196/2196096/cover/2196096.jpg", "Обложка")</f>
        <v>Обложка</v>
      </c>
      <c r="V1480" s="24" t="str">
        <f>HYPERLINK("https://znanium.ru/catalog/product/1854771", "Ознакомиться")</f>
        <v>Ознакомиться</v>
      </c>
      <c r="W1480" s="8" t="s">
        <v>450</v>
      </c>
      <c r="X1480" s="6"/>
      <c r="Y1480" s="6"/>
      <c r="Z1480" s="6"/>
      <c r="AA1480" s="6" t="s">
        <v>151</v>
      </c>
      <c r="AB1480" s="8"/>
    </row>
    <row r="1481" spans="1:28" s="4" customFormat="1" ht="51.95" customHeight="1">
      <c r="A1481" s="5">
        <v>0</v>
      </c>
      <c r="B1481" s="6" t="s">
        <v>9260</v>
      </c>
      <c r="C1481" s="13">
        <v>1260</v>
      </c>
      <c r="D1481" s="8" t="s">
        <v>9261</v>
      </c>
      <c r="E1481" s="8" t="s">
        <v>9262</v>
      </c>
      <c r="F1481" s="8" t="s">
        <v>9263</v>
      </c>
      <c r="G1481" s="6" t="s">
        <v>52</v>
      </c>
      <c r="H1481" s="6" t="s">
        <v>53</v>
      </c>
      <c r="I1481" s="8" t="s">
        <v>782</v>
      </c>
      <c r="J1481" s="9">
        <v>1</v>
      </c>
      <c r="K1481" s="9">
        <v>250</v>
      </c>
      <c r="L1481" s="9">
        <v>2025</v>
      </c>
      <c r="M1481" s="8" t="s">
        <v>9264</v>
      </c>
      <c r="N1481" s="8" t="s">
        <v>79</v>
      </c>
      <c r="O1481" s="8" t="s">
        <v>570</v>
      </c>
      <c r="P1481" s="6" t="s">
        <v>43</v>
      </c>
      <c r="Q1481" s="8" t="s">
        <v>58</v>
      </c>
      <c r="R1481" s="10" t="s">
        <v>9265</v>
      </c>
      <c r="S1481" s="11"/>
      <c r="T1481" s="6"/>
      <c r="U1481" s="24" t="str">
        <f>HYPERLINK("https://media.infra-m.ru/2162/2162074/cover/2162074.jpg", "Обложка")</f>
        <v>Обложка</v>
      </c>
      <c r="V1481" s="12"/>
      <c r="W1481" s="8" t="s">
        <v>784</v>
      </c>
      <c r="X1481" s="6" t="s">
        <v>548</v>
      </c>
      <c r="Y1481" s="6"/>
      <c r="Z1481" s="6"/>
      <c r="AA1481" s="6" t="s">
        <v>61</v>
      </c>
      <c r="AB1481" s="8"/>
    </row>
    <row r="1482" spans="1:28" s="4" customFormat="1" ht="51.95" customHeight="1">
      <c r="A1482" s="5">
        <v>0</v>
      </c>
      <c r="B1482" s="6" t="s">
        <v>9266</v>
      </c>
      <c r="C1482" s="13">
        <v>1720</v>
      </c>
      <c r="D1482" s="8" t="s">
        <v>9267</v>
      </c>
      <c r="E1482" s="8" t="s">
        <v>9268</v>
      </c>
      <c r="F1482" s="8" t="s">
        <v>9269</v>
      </c>
      <c r="G1482" s="6" t="s">
        <v>89</v>
      </c>
      <c r="H1482" s="6" t="s">
        <v>184</v>
      </c>
      <c r="I1482" s="8" t="s">
        <v>116</v>
      </c>
      <c r="J1482" s="9">
        <v>1</v>
      </c>
      <c r="K1482" s="9">
        <v>375</v>
      </c>
      <c r="L1482" s="9">
        <v>2024</v>
      </c>
      <c r="M1482" s="8" t="s">
        <v>9270</v>
      </c>
      <c r="N1482" s="8" t="s">
        <v>56</v>
      </c>
      <c r="O1482" s="8" t="s">
        <v>9271</v>
      </c>
      <c r="P1482" s="6" t="s">
        <v>167</v>
      </c>
      <c r="Q1482" s="8" t="s">
        <v>44</v>
      </c>
      <c r="R1482" s="10" t="s">
        <v>9272</v>
      </c>
      <c r="S1482" s="11"/>
      <c r="T1482" s="6" t="s">
        <v>299</v>
      </c>
      <c r="U1482" s="24" t="str">
        <f>HYPERLINK("https://media.infra-m.ru/2149/2149625/cover/2149625.jpg", "Обложка")</f>
        <v>Обложка</v>
      </c>
      <c r="V1482" s="24" t="str">
        <f>HYPERLINK("https://znanium.ru/catalog/product/2149625", "Ознакомиться")</f>
        <v>Ознакомиться</v>
      </c>
      <c r="W1482" s="8" t="s">
        <v>234</v>
      </c>
      <c r="X1482" s="6"/>
      <c r="Y1482" s="6"/>
      <c r="Z1482" s="6"/>
      <c r="AA1482" s="6" t="s">
        <v>418</v>
      </c>
      <c r="AB1482" s="8"/>
    </row>
    <row r="1483" spans="1:28" s="4" customFormat="1" ht="51.95" customHeight="1">
      <c r="A1483" s="5">
        <v>0</v>
      </c>
      <c r="B1483" s="6" t="s">
        <v>9273</v>
      </c>
      <c r="C1483" s="7">
        <v>930</v>
      </c>
      <c r="D1483" s="8" t="s">
        <v>9274</v>
      </c>
      <c r="E1483" s="8" t="s">
        <v>9275</v>
      </c>
      <c r="F1483" s="8" t="s">
        <v>3197</v>
      </c>
      <c r="G1483" s="6" t="s">
        <v>89</v>
      </c>
      <c r="H1483" s="6" t="s">
        <v>53</v>
      </c>
      <c r="I1483" s="8" t="s">
        <v>6088</v>
      </c>
      <c r="J1483" s="9">
        <v>1</v>
      </c>
      <c r="K1483" s="9">
        <v>175</v>
      </c>
      <c r="L1483" s="9">
        <v>2025</v>
      </c>
      <c r="M1483" s="8" t="s">
        <v>9276</v>
      </c>
      <c r="N1483" s="8" t="s">
        <v>56</v>
      </c>
      <c r="O1483" s="8" t="s">
        <v>9271</v>
      </c>
      <c r="P1483" s="6" t="s">
        <v>6090</v>
      </c>
      <c r="Q1483" s="8" t="s">
        <v>58</v>
      </c>
      <c r="R1483" s="10" t="s">
        <v>9277</v>
      </c>
      <c r="S1483" s="11"/>
      <c r="T1483" s="6"/>
      <c r="U1483" s="24" t="str">
        <f>HYPERLINK("https://media.infra-m.ru/2183/2183790/cover/2183790.jpg", "Обложка")</f>
        <v>Обложка</v>
      </c>
      <c r="V1483" s="24" t="str">
        <f>HYPERLINK("https://znanium.ru/catalog/product/2183790", "Ознакомиться")</f>
        <v>Ознакомиться</v>
      </c>
      <c r="W1483" s="8" t="s">
        <v>3201</v>
      </c>
      <c r="X1483" s="6"/>
      <c r="Y1483" s="6"/>
      <c r="Z1483" s="6"/>
      <c r="AA1483" s="6" t="s">
        <v>61</v>
      </c>
      <c r="AB1483" s="8"/>
    </row>
    <row r="1484" spans="1:28" s="4" customFormat="1" ht="51.95" customHeight="1">
      <c r="A1484" s="5">
        <v>0</v>
      </c>
      <c r="B1484" s="6" t="s">
        <v>9278</v>
      </c>
      <c r="C1484" s="7">
        <v>990</v>
      </c>
      <c r="D1484" s="8" t="s">
        <v>9279</v>
      </c>
      <c r="E1484" s="8" t="s">
        <v>9275</v>
      </c>
      <c r="F1484" s="8" t="s">
        <v>3197</v>
      </c>
      <c r="G1484" s="6" t="s">
        <v>52</v>
      </c>
      <c r="H1484" s="6" t="s">
        <v>53</v>
      </c>
      <c r="I1484" s="8" t="s">
        <v>116</v>
      </c>
      <c r="J1484" s="9">
        <v>1</v>
      </c>
      <c r="K1484" s="9">
        <v>188</v>
      </c>
      <c r="L1484" s="9">
        <v>2025</v>
      </c>
      <c r="M1484" s="8" t="s">
        <v>9280</v>
      </c>
      <c r="N1484" s="8" t="s">
        <v>56</v>
      </c>
      <c r="O1484" s="8" t="s">
        <v>9271</v>
      </c>
      <c r="P1484" s="6" t="s">
        <v>43</v>
      </c>
      <c r="Q1484" s="8" t="s">
        <v>44</v>
      </c>
      <c r="R1484" s="10" t="s">
        <v>9281</v>
      </c>
      <c r="S1484" s="11"/>
      <c r="T1484" s="6"/>
      <c r="U1484" s="24" t="str">
        <f>HYPERLINK("https://media.infra-m.ru/2160/2160988/cover/2160988.jpg", "Обложка")</f>
        <v>Обложка</v>
      </c>
      <c r="V1484" s="24" t="str">
        <f>HYPERLINK("https://znanium.ru/catalog/product/2160988", "Ознакомиться")</f>
        <v>Ознакомиться</v>
      </c>
      <c r="W1484" s="8" t="s">
        <v>3201</v>
      </c>
      <c r="X1484" s="6" t="s">
        <v>548</v>
      </c>
      <c r="Y1484" s="6"/>
      <c r="Z1484" s="6"/>
      <c r="AA1484" s="6" t="s">
        <v>61</v>
      </c>
      <c r="AB1484" s="8"/>
    </row>
    <row r="1485" spans="1:28" s="4" customFormat="1" ht="51.95" customHeight="1">
      <c r="A1485" s="5">
        <v>0</v>
      </c>
      <c r="B1485" s="6" t="s">
        <v>9282</v>
      </c>
      <c r="C1485" s="13">
        <v>2500</v>
      </c>
      <c r="D1485" s="8" t="s">
        <v>9283</v>
      </c>
      <c r="E1485" s="8" t="s">
        <v>9284</v>
      </c>
      <c r="F1485" s="8" t="s">
        <v>9285</v>
      </c>
      <c r="G1485" s="6" t="s">
        <v>52</v>
      </c>
      <c r="H1485" s="6" t="s">
        <v>77</v>
      </c>
      <c r="I1485" s="8" t="s">
        <v>116</v>
      </c>
      <c r="J1485" s="9">
        <v>1</v>
      </c>
      <c r="K1485" s="9">
        <v>480</v>
      </c>
      <c r="L1485" s="9">
        <v>2025</v>
      </c>
      <c r="M1485" s="8" t="s">
        <v>9286</v>
      </c>
      <c r="N1485" s="8" t="s">
        <v>56</v>
      </c>
      <c r="O1485" s="8" t="s">
        <v>9271</v>
      </c>
      <c r="P1485" s="6" t="s">
        <v>167</v>
      </c>
      <c r="Q1485" s="8" t="s">
        <v>44</v>
      </c>
      <c r="R1485" s="10" t="s">
        <v>9287</v>
      </c>
      <c r="S1485" s="11" t="s">
        <v>9288</v>
      </c>
      <c r="T1485" s="6" t="s">
        <v>299</v>
      </c>
      <c r="U1485" s="24" t="str">
        <f>HYPERLINK("https://media.infra-m.ru/2198/2198134/cover/2198134.jpg", "Обложка")</f>
        <v>Обложка</v>
      </c>
      <c r="V1485" s="24" t="str">
        <f>HYPERLINK("https://znanium.ru/catalog/product/2198134", "Ознакомиться")</f>
        <v>Ознакомиться</v>
      </c>
      <c r="W1485" s="8" t="s">
        <v>478</v>
      </c>
      <c r="X1485" s="6"/>
      <c r="Y1485" s="6"/>
      <c r="Z1485" s="6"/>
      <c r="AA1485" s="6" t="s">
        <v>151</v>
      </c>
      <c r="AB1485" s="8"/>
    </row>
    <row r="1486" spans="1:28" s="4" customFormat="1" ht="51.95" customHeight="1">
      <c r="A1486" s="5">
        <v>0</v>
      </c>
      <c r="B1486" s="6" t="s">
        <v>9289</v>
      </c>
      <c r="C1486" s="7">
        <v>884</v>
      </c>
      <c r="D1486" s="8" t="s">
        <v>9290</v>
      </c>
      <c r="E1486" s="8" t="s">
        <v>9284</v>
      </c>
      <c r="F1486" s="8" t="s">
        <v>9291</v>
      </c>
      <c r="G1486" s="6" t="s">
        <v>52</v>
      </c>
      <c r="H1486" s="6" t="s">
        <v>184</v>
      </c>
      <c r="I1486" s="8" t="s">
        <v>58</v>
      </c>
      <c r="J1486" s="9">
        <v>20</v>
      </c>
      <c r="K1486" s="9">
        <v>176</v>
      </c>
      <c r="L1486" s="9">
        <v>2025</v>
      </c>
      <c r="M1486" s="8" t="s">
        <v>9292</v>
      </c>
      <c r="N1486" s="8" t="s">
        <v>56</v>
      </c>
      <c r="O1486" s="8" t="s">
        <v>9271</v>
      </c>
      <c r="P1486" s="6" t="s">
        <v>43</v>
      </c>
      <c r="Q1486" s="8" t="s">
        <v>102</v>
      </c>
      <c r="R1486" s="10" t="s">
        <v>9293</v>
      </c>
      <c r="S1486" s="11" t="s">
        <v>9294</v>
      </c>
      <c r="T1486" s="6"/>
      <c r="U1486" s="24" t="str">
        <f>HYPERLINK("https://media.infra-m.ru/2163/2163026/cover/2163026.jpg", "Обложка")</f>
        <v>Обложка</v>
      </c>
      <c r="V1486" s="24" t="str">
        <f>HYPERLINK("https://znanium.ru/catalog/product/1840499", "Ознакомиться")</f>
        <v>Ознакомиться</v>
      </c>
      <c r="W1486" s="8" t="s">
        <v>9295</v>
      </c>
      <c r="X1486" s="6"/>
      <c r="Y1486" s="6"/>
      <c r="Z1486" s="6"/>
      <c r="AA1486" s="6" t="s">
        <v>72</v>
      </c>
      <c r="AB1486" s="8"/>
    </row>
    <row r="1487" spans="1:28" s="4" customFormat="1" ht="42" customHeight="1">
      <c r="A1487" s="5">
        <v>0</v>
      </c>
      <c r="B1487" s="6" t="s">
        <v>9296</v>
      </c>
      <c r="C1487" s="13">
        <v>1684</v>
      </c>
      <c r="D1487" s="8" t="s">
        <v>9297</v>
      </c>
      <c r="E1487" s="8" t="s">
        <v>9298</v>
      </c>
      <c r="F1487" s="8" t="s">
        <v>9299</v>
      </c>
      <c r="G1487" s="6" t="s">
        <v>52</v>
      </c>
      <c r="H1487" s="6" t="s">
        <v>53</v>
      </c>
      <c r="I1487" s="8" t="s">
        <v>90</v>
      </c>
      <c r="J1487" s="9">
        <v>1</v>
      </c>
      <c r="K1487" s="9">
        <v>336</v>
      </c>
      <c r="L1487" s="9">
        <v>2025</v>
      </c>
      <c r="M1487" s="8" t="s">
        <v>9300</v>
      </c>
      <c r="N1487" s="8" t="s">
        <v>41</v>
      </c>
      <c r="O1487" s="8" t="s">
        <v>42</v>
      </c>
      <c r="P1487" s="6" t="s">
        <v>43</v>
      </c>
      <c r="Q1487" s="8" t="s">
        <v>44</v>
      </c>
      <c r="R1487" s="10" t="s">
        <v>8769</v>
      </c>
      <c r="S1487" s="11"/>
      <c r="T1487" s="6"/>
      <c r="U1487" s="24" t="str">
        <f>HYPERLINK("https://media.infra-m.ru/2166/2166400/cover/2166400.jpg", "Обложка")</f>
        <v>Обложка</v>
      </c>
      <c r="V1487" s="24" t="str">
        <f>HYPERLINK("https://znanium.ru/catalog/product/1219370", "Ознакомиться")</f>
        <v>Ознакомиться</v>
      </c>
      <c r="W1487" s="8" t="s">
        <v>9301</v>
      </c>
      <c r="X1487" s="6"/>
      <c r="Y1487" s="6"/>
      <c r="Z1487" s="6"/>
      <c r="AA1487" s="6" t="s">
        <v>111</v>
      </c>
      <c r="AB1487" s="8"/>
    </row>
    <row r="1488" spans="1:28" s="4" customFormat="1" ht="42" customHeight="1">
      <c r="A1488" s="5">
        <v>0</v>
      </c>
      <c r="B1488" s="6" t="s">
        <v>9302</v>
      </c>
      <c r="C1488" s="13">
        <v>1580</v>
      </c>
      <c r="D1488" s="8" t="s">
        <v>9303</v>
      </c>
      <c r="E1488" s="8" t="s">
        <v>9304</v>
      </c>
      <c r="F1488" s="8" t="s">
        <v>9305</v>
      </c>
      <c r="G1488" s="6" t="s">
        <v>89</v>
      </c>
      <c r="H1488" s="6" t="s">
        <v>184</v>
      </c>
      <c r="I1488" s="8" t="s">
        <v>116</v>
      </c>
      <c r="J1488" s="9">
        <v>1</v>
      </c>
      <c r="K1488" s="9">
        <v>315</v>
      </c>
      <c r="L1488" s="9">
        <v>2024</v>
      </c>
      <c r="M1488" s="8" t="s">
        <v>9306</v>
      </c>
      <c r="N1488" s="8" t="s">
        <v>41</v>
      </c>
      <c r="O1488" s="8" t="s">
        <v>4035</v>
      </c>
      <c r="P1488" s="6" t="s">
        <v>43</v>
      </c>
      <c r="Q1488" s="8" t="s">
        <v>58</v>
      </c>
      <c r="R1488" s="10" t="s">
        <v>9307</v>
      </c>
      <c r="S1488" s="11"/>
      <c r="T1488" s="6"/>
      <c r="U1488" s="24" t="str">
        <f>HYPERLINK("https://media.infra-m.ru/2136/2136000/cover/2136000.jpg", "Обложка")</f>
        <v>Обложка</v>
      </c>
      <c r="V1488" s="24" t="str">
        <f>HYPERLINK("https://znanium.ru/catalog/product/2136000", "Ознакомиться")</f>
        <v>Ознакомиться</v>
      </c>
      <c r="W1488" s="8" t="s">
        <v>9308</v>
      </c>
      <c r="X1488" s="6"/>
      <c r="Y1488" s="6"/>
      <c r="Z1488" s="6"/>
      <c r="AA1488" s="6" t="s">
        <v>72</v>
      </c>
      <c r="AB1488" s="8"/>
    </row>
    <row r="1489" spans="1:28" s="4" customFormat="1" ht="42" customHeight="1">
      <c r="A1489" s="5">
        <v>0</v>
      </c>
      <c r="B1489" s="6" t="s">
        <v>9309</v>
      </c>
      <c r="C1489" s="13">
        <v>2300</v>
      </c>
      <c r="D1489" s="8" t="s">
        <v>9310</v>
      </c>
      <c r="E1489" s="8" t="s">
        <v>9311</v>
      </c>
      <c r="F1489" s="8" t="s">
        <v>9312</v>
      </c>
      <c r="G1489" s="6" t="s">
        <v>52</v>
      </c>
      <c r="H1489" s="6" t="s">
        <v>53</v>
      </c>
      <c r="I1489" s="8" t="s">
        <v>165</v>
      </c>
      <c r="J1489" s="9">
        <v>1</v>
      </c>
      <c r="K1489" s="9">
        <v>493</v>
      </c>
      <c r="L1489" s="9">
        <v>2024</v>
      </c>
      <c r="M1489" s="8" t="s">
        <v>9313</v>
      </c>
      <c r="N1489" s="8" t="s">
        <v>41</v>
      </c>
      <c r="O1489" s="8" t="s">
        <v>4035</v>
      </c>
      <c r="P1489" s="6" t="s">
        <v>43</v>
      </c>
      <c r="Q1489" s="8" t="s">
        <v>44</v>
      </c>
      <c r="R1489" s="10" t="s">
        <v>8923</v>
      </c>
      <c r="S1489" s="11"/>
      <c r="T1489" s="6"/>
      <c r="U1489" s="24" t="str">
        <f>HYPERLINK("https://media.infra-m.ru/2132/2132538/cover/2132538.jpg", "Обложка")</f>
        <v>Обложка</v>
      </c>
      <c r="V1489" s="24" t="str">
        <f>HYPERLINK("https://znanium.ru/catalog/product/2132538", "Ознакомиться")</f>
        <v>Ознакомиться</v>
      </c>
      <c r="W1489" s="8" t="s">
        <v>9314</v>
      </c>
      <c r="X1489" s="6"/>
      <c r="Y1489" s="6"/>
      <c r="Z1489" s="6"/>
      <c r="AA1489" s="6" t="s">
        <v>133</v>
      </c>
      <c r="AB1489" s="8"/>
    </row>
    <row r="1490" spans="1:28" s="4" customFormat="1" ht="51.95" customHeight="1">
      <c r="A1490" s="5">
        <v>0</v>
      </c>
      <c r="B1490" s="6" t="s">
        <v>9315</v>
      </c>
      <c r="C1490" s="13">
        <v>3190</v>
      </c>
      <c r="D1490" s="8" t="s">
        <v>9316</v>
      </c>
      <c r="E1490" s="8" t="s">
        <v>9317</v>
      </c>
      <c r="F1490" s="8" t="s">
        <v>9318</v>
      </c>
      <c r="G1490" s="6" t="s">
        <v>52</v>
      </c>
      <c r="H1490" s="6" t="s">
        <v>53</v>
      </c>
      <c r="I1490" s="8" t="s">
        <v>90</v>
      </c>
      <c r="J1490" s="9">
        <v>1</v>
      </c>
      <c r="K1490" s="9">
        <v>648</v>
      </c>
      <c r="L1490" s="9">
        <v>2024</v>
      </c>
      <c r="M1490" s="8" t="s">
        <v>9319</v>
      </c>
      <c r="N1490" s="8" t="s">
        <v>41</v>
      </c>
      <c r="O1490" s="8" t="s">
        <v>4035</v>
      </c>
      <c r="P1490" s="6" t="s">
        <v>167</v>
      </c>
      <c r="Q1490" s="8" t="s">
        <v>44</v>
      </c>
      <c r="R1490" s="10" t="s">
        <v>9320</v>
      </c>
      <c r="S1490" s="11" t="s">
        <v>9321</v>
      </c>
      <c r="T1490" s="6" t="s">
        <v>299</v>
      </c>
      <c r="U1490" s="24" t="str">
        <f>HYPERLINK("https://media.infra-m.ru/2099/2099050/cover/2099050.jpg", "Обложка")</f>
        <v>Обложка</v>
      </c>
      <c r="V1490" s="24" t="str">
        <f>HYPERLINK("https://znanium.ru/catalog/product/2099050", "Ознакомиться")</f>
        <v>Ознакомиться</v>
      </c>
      <c r="W1490" s="8" t="s">
        <v>46</v>
      </c>
      <c r="X1490" s="6"/>
      <c r="Y1490" s="6"/>
      <c r="Z1490" s="6"/>
      <c r="AA1490" s="6" t="s">
        <v>442</v>
      </c>
      <c r="AB1490" s="8"/>
    </row>
    <row r="1491" spans="1:28" s="4" customFormat="1" ht="51.95" customHeight="1">
      <c r="A1491" s="5">
        <v>0</v>
      </c>
      <c r="B1491" s="6" t="s">
        <v>9322</v>
      </c>
      <c r="C1491" s="13">
        <v>2114</v>
      </c>
      <c r="D1491" s="8" t="s">
        <v>9323</v>
      </c>
      <c r="E1491" s="8" t="s">
        <v>9324</v>
      </c>
      <c r="F1491" s="8" t="s">
        <v>9325</v>
      </c>
      <c r="G1491" s="6" t="s">
        <v>52</v>
      </c>
      <c r="H1491" s="6" t="s">
        <v>53</v>
      </c>
      <c r="I1491" s="8" t="s">
        <v>4314</v>
      </c>
      <c r="J1491" s="9">
        <v>1</v>
      </c>
      <c r="K1491" s="9">
        <v>456</v>
      </c>
      <c r="L1491" s="9">
        <v>2024</v>
      </c>
      <c r="M1491" s="8" t="s">
        <v>9326</v>
      </c>
      <c r="N1491" s="8" t="s">
        <v>41</v>
      </c>
      <c r="O1491" s="8" t="s">
        <v>4035</v>
      </c>
      <c r="P1491" s="6" t="s">
        <v>43</v>
      </c>
      <c r="Q1491" s="8" t="s">
        <v>44</v>
      </c>
      <c r="R1491" s="10" t="s">
        <v>9327</v>
      </c>
      <c r="S1491" s="11" t="s">
        <v>9328</v>
      </c>
      <c r="T1491" s="6"/>
      <c r="U1491" s="24" t="str">
        <f>HYPERLINK("https://media.infra-m.ru/2122/2122488/cover/2122488.jpg", "Обложка")</f>
        <v>Обложка</v>
      </c>
      <c r="V1491" s="24" t="str">
        <f>HYPERLINK("https://znanium.ru/catalog/product/2109025", "Ознакомиться")</f>
        <v>Ознакомиться</v>
      </c>
      <c r="W1491" s="8" t="s">
        <v>206</v>
      </c>
      <c r="X1491" s="6"/>
      <c r="Y1491" s="6"/>
      <c r="Z1491" s="6"/>
      <c r="AA1491" s="6" t="s">
        <v>793</v>
      </c>
      <c r="AB1491" s="8" t="s">
        <v>8790</v>
      </c>
    </row>
    <row r="1492" spans="1:28" s="4" customFormat="1" ht="51.95" customHeight="1">
      <c r="A1492" s="5">
        <v>0</v>
      </c>
      <c r="B1492" s="6" t="s">
        <v>9329</v>
      </c>
      <c r="C1492" s="13">
        <v>1640</v>
      </c>
      <c r="D1492" s="8" t="s">
        <v>9330</v>
      </c>
      <c r="E1492" s="8" t="s">
        <v>9331</v>
      </c>
      <c r="F1492" s="8" t="s">
        <v>9325</v>
      </c>
      <c r="G1492" s="6" t="s">
        <v>89</v>
      </c>
      <c r="H1492" s="6" t="s">
        <v>77</v>
      </c>
      <c r="I1492" s="8" t="s">
        <v>9332</v>
      </c>
      <c r="J1492" s="9">
        <v>1</v>
      </c>
      <c r="K1492" s="9">
        <v>356</v>
      </c>
      <c r="L1492" s="9">
        <v>2024</v>
      </c>
      <c r="M1492" s="8" t="s">
        <v>9333</v>
      </c>
      <c r="N1492" s="8" t="s">
        <v>41</v>
      </c>
      <c r="O1492" s="8" t="s">
        <v>4035</v>
      </c>
      <c r="P1492" s="6" t="s">
        <v>43</v>
      </c>
      <c r="Q1492" s="8" t="s">
        <v>44</v>
      </c>
      <c r="R1492" s="10" t="s">
        <v>9307</v>
      </c>
      <c r="S1492" s="11" t="s">
        <v>9334</v>
      </c>
      <c r="T1492" s="6"/>
      <c r="U1492" s="24" t="str">
        <f>HYPERLINK("https://media.infra-m.ru/2063/2063297/cover/2063297.jpg", "Обложка")</f>
        <v>Обложка</v>
      </c>
      <c r="V1492" s="24" t="str">
        <f>HYPERLINK("https://znanium.ru/catalog/product/2063297", "Ознакомиться")</f>
        <v>Ознакомиться</v>
      </c>
      <c r="W1492" s="8" t="s">
        <v>206</v>
      </c>
      <c r="X1492" s="6"/>
      <c r="Y1492" s="6"/>
      <c r="Z1492" s="6"/>
      <c r="AA1492" s="6" t="s">
        <v>151</v>
      </c>
      <c r="AB1492" s="8"/>
    </row>
    <row r="1493" spans="1:28" s="4" customFormat="1" ht="51.95" customHeight="1">
      <c r="A1493" s="5">
        <v>0</v>
      </c>
      <c r="B1493" s="6" t="s">
        <v>9335</v>
      </c>
      <c r="C1493" s="13">
        <v>2924</v>
      </c>
      <c r="D1493" s="8" t="s">
        <v>9336</v>
      </c>
      <c r="E1493" s="8" t="s">
        <v>9337</v>
      </c>
      <c r="F1493" s="8" t="s">
        <v>9338</v>
      </c>
      <c r="G1493" s="6" t="s">
        <v>52</v>
      </c>
      <c r="H1493" s="6" t="s">
        <v>53</v>
      </c>
      <c r="I1493" s="8" t="s">
        <v>116</v>
      </c>
      <c r="J1493" s="9">
        <v>1</v>
      </c>
      <c r="K1493" s="9">
        <v>584</v>
      </c>
      <c r="L1493" s="9">
        <v>2025</v>
      </c>
      <c r="M1493" s="8" t="s">
        <v>9339</v>
      </c>
      <c r="N1493" s="8" t="s">
        <v>41</v>
      </c>
      <c r="O1493" s="8" t="s">
        <v>4035</v>
      </c>
      <c r="P1493" s="6" t="s">
        <v>167</v>
      </c>
      <c r="Q1493" s="8" t="s">
        <v>58</v>
      </c>
      <c r="R1493" s="10" t="s">
        <v>8923</v>
      </c>
      <c r="S1493" s="11" t="s">
        <v>9340</v>
      </c>
      <c r="T1493" s="6" t="s">
        <v>299</v>
      </c>
      <c r="U1493" s="24" t="str">
        <f>HYPERLINK("https://media.infra-m.ru/2202/2202102/cover/2202102.jpg", "Обложка")</f>
        <v>Обложка</v>
      </c>
      <c r="V1493" s="24" t="str">
        <f>HYPERLINK("https://znanium.ru/catalog/product/2185074", "Ознакомиться")</f>
        <v>Ознакомиться</v>
      </c>
      <c r="W1493" s="8" t="s">
        <v>189</v>
      </c>
      <c r="X1493" s="6"/>
      <c r="Y1493" s="6"/>
      <c r="Z1493" s="6"/>
      <c r="AA1493" s="6" t="s">
        <v>513</v>
      </c>
      <c r="AB1493" s="8"/>
    </row>
    <row r="1494" spans="1:28" s="4" customFormat="1" ht="51.95" customHeight="1">
      <c r="A1494" s="5">
        <v>0</v>
      </c>
      <c r="B1494" s="6" t="s">
        <v>9341</v>
      </c>
      <c r="C1494" s="13">
        <v>2660</v>
      </c>
      <c r="D1494" s="8" t="s">
        <v>9342</v>
      </c>
      <c r="E1494" s="8" t="s">
        <v>9343</v>
      </c>
      <c r="F1494" s="8" t="s">
        <v>9344</v>
      </c>
      <c r="G1494" s="6" t="s">
        <v>52</v>
      </c>
      <c r="H1494" s="6" t="s">
        <v>674</v>
      </c>
      <c r="I1494" s="8"/>
      <c r="J1494" s="9">
        <v>1</v>
      </c>
      <c r="K1494" s="9">
        <v>512</v>
      </c>
      <c r="L1494" s="9">
        <v>2025</v>
      </c>
      <c r="M1494" s="8" t="s">
        <v>9345</v>
      </c>
      <c r="N1494" s="8" t="s">
        <v>41</v>
      </c>
      <c r="O1494" s="8" t="s">
        <v>4035</v>
      </c>
      <c r="P1494" s="6" t="s">
        <v>167</v>
      </c>
      <c r="Q1494" s="8" t="s">
        <v>44</v>
      </c>
      <c r="R1494" s="10" t="s">
        <v>9346</v>
      </c>
      <c r="S1494" s="11"/>
      <c r="T1494" s="6"/>
      <c r="U1494" s="24" t="str">
        <f>HYPERLINK("https://media.infra-m.ru/2130/2130355/cover/2130355.jpg", "Обложка")</f>
        <v>Обложка</v>
      </c>
      <c r="V1494" s="24" t="str">
        <f>HYPERLINK("https://znanium.ru/catalog/product/2130355", "Ознакомиться")</f>
        <v>Ознакомиться</v>
      </c>
      <c r="W1494" s="8" t="s">
        <v>189</v>
      </c>
      <c r="X1494" s="6"/>
      <c r="Y1494" s="6"/>
      <c r="Z1494" s="6"/>
      <c r="AA1494" s="6" t="s">
        <v>9347</v>
      </c>
      <c r="AB1494" s="8"/>
    </row>
    <row r="1495" spans="1:28" s="4" customFormat="1" ht="51.95" customHeight="1">
      <c r="A1495" s="5">
        <v>0</v>
      </c>
      <c r="B1495" s="6" t="s">
        <v>9348</v>
      </c>
      <c r="C1495" s="13">
        <v>1480</v>
      </c>
      <c r="D1495" s="8" t="s">
        <v>9349</v>
      </c>
      <c r="E1495" s="8" t="s">
        <v>9350</v>
      </c>
      <c r="F1495" s="8" t="s">
        <v>9351</v>
      </c>
      <c r="G1495" s="6" t="s">
        <v>89</v>
      </c>
      <c r="H1495" s="6" t="s">
        <v>77</v>
      </c>
      <c r="I1495" s="8"/>
      <c r="J1495" s="9">
        <v>1</v>
      </c>
      <c r="K1495" s="9">
        <v>296</v>
      </c>
      <c r="L1495" s="9">
        <v>2024</v>
      </c>
      <c r="M1495" s="8" t="s">
        <v>9352</v>
      </c>
      <c r="N1495" s="8" t="s">
        <v>41</v>
      </c>
      <c r="O1495" s="8" t="s">
        <v>4035</v>
      </c>
      <c r="P1495" s="6" t="s">
        <v>937</v>
      </c>
      <c r="Q1495" s="8" t="s">
        <v>44</v>
      </c>
      <c r="R1495" s="10" t="s">
        <v>8923</v>
      </c>
      <c r="S1495" s="11" t="s">
        <v>9353</v>
      </c>
      <c r="T1495" s="6"/>
      <c r="U1495" s="24" t="str">
        <f>HYPERLINK("https://media.infra-m.ru/2039/2039992/cover/2039992.jpg", "Обложка")</f>
        <v>Обложка</v>
      </c>
      <c r="V1495" s="24" t="str">
        <f>HYPERLINK("https://znanium.ru/catalog/product/2039992", "Ознакомиться")</f>
        <v>Ознакомиться</v>
      </c>
      <c r="W1495" s="8" t="s">
        <v>83</v>
      </c>
      <c r="X1495" s="6"/>
      <c r="Y1495" s="6"/>
      <c r="Z1495" s="6"/>
      <c r="AA1495" s="6" t="s">
        <v>622</v>
      </c>
      <c r="AB1495" s="8"/>
    </row>
    <row r="1496" spans="1:28" s="4" customFormat="1" ht="44.1" customHeight="1">
      <c r="A1496" s="5">
        <v>0</v>
      </c>
      <c r="B1496" s="6" t="s">
        <v>9354</v>
      </c>
      <c r="C1496" s="13">
        <v>1740</v>
      </c>
      <c r="D1496" s="8" t="s">
        <v>9355</v>
      </c>
      <c r="E1496" s="8" t="s">
        <v>9356</v>
      </c>
      <c r="F1496" s="8" t="s">
        <v>5002</v>
      </c>
      <c r="G1496" s="6" t="s">
        <v>52</v>
      </c>
      <c r="H1496" s="6" t="s">
        <v>53</v>
      </c>
      <c r="I1496" s="8" t="s">
        <v>116</v>
      </c>
      <c r="J1496" s="9">
        <v>1</v>
      </c>
      <c r="K1496" s="9">
        <v>346</v>
      </c>
      <c r="L1496" s="9">
        <v>2025</v>
      </c>
      <c r="M1496" s="8" t="s">
        <v>9357</v>
      </c>
      <c r="N1496" s="8" t="s">
        <v>41</v>
      </c>
      <c r="O1496" s="8" t="s">
        <v>4035</v>
      </c>
      <c r="P1496" s="6" t="s">
        <v>167</v>
      </c>
      <c r="Q1496" s="8" t="s">
        <v>58</v>
      </c>
      <c r="R1496" s="10" t="s">
        <v>9358</v>
      </c>
      <c r="S1496" s="11"/>
      <c r="T1496" s="6"/>
      <c r="U1496" s="24" t="str">
        <f>HYPERLINK("https://media.infra-m.ru/1819/1819200/cover/1819200.jpg", "Обложка")</f>
        <v>Обложка</v>
      </c>
      <c r="V1496" s="24" t="str">
        <f>HYPERLINK("https://znanium.ru/catalog/product/1819200", "Ознакомиться")</f>
        <v>Ознакомиться</v>
      </c>
      <c r="W1496" s="8" t="s">
        <v>2938</v>
      </c>
      <c r="X1496" s="6" t="s">
        <v>389</v>
      </c>
      <c r="Y1496" s="6"/>
      <c r="Z1496" s="6"/>
      <c r="AA1496" s="6" t="s">
        <v>61</v>
      </c>
      <c r="AB1496" s="8"/>
    </row>
    <row r="1497" spans="1:28" s="4" customFormat="1" ht="51.95" customHeight="1">
      <c r="A1497" s="5">
        <v>0</v>
      </c>
      <c r="B1497" s="6" t="s">
        <v>9359</v>
      </c>
      <c r="C1497" s="13">
        <v>1720</v>
      </c>
      <c r="D1497" s="8" t="s">
        <v>9360</v>
      </c>
      <c r="E1497" s="8" t="s">
        <v>9361</v>
      </c>
      <c r="F1497" s="8" t="s">
        <v>490</v>
      </c>
      <c r="G1497" s="6" t="s">
        <v>89</v>
      </c>
      <c r="H1497" s="6" t="s">
        <v>39</v>
      </c>
      <c r="I1497" s="8" t="s">
        <v>116</v>
      </c>
      <c r="J1497" s="9">
        <v>1</v>
      </c>
      <c r="K1497" s="9">
        <v>320</v>
      </c>
      <c r="L1497" s="9">
        <v>2025</v>
      </c>
      <c r="M1497" s="8" t="s">
        <v>9362</v>
      </c>
      <c r="N1497" s="8" t="s">
        <v>41</v>
      </c>
      <c r="O1497" s="8" t="s">
        <v>4035</v>
      </c>
      <c r="P1497" s="6" t="s">
        <v>43</v>
      </c>
      <c r="Q1497" s="8" t="s">
        <v>44</v>
      </c>
      <c r="R1497" s="10" t="s">
        <v>1794</v>
      </c>
      <c r="S1497" s="11" t="s">
        <v>9363</v>
      </c>
      <c r="T1497" s="6"/>
      <c r="U1497" s="24" t="str">
        <f>HYPERLINK("https://media.infra-m.ru/2202/2202590/cover/2202590.jpg", "Обложка")</f>
        <v>Обложка</v>
      </c>
      <c r="V1497" s="24" t="str">
        <f>HYPERLINK("https://znanium.ru/catalog/product/2202590", "Ознакомиться")</f>
        <v>Ознакомиться</v>
      </c>
      <c r="W1497" s="8" t="s">
        <v>4985</v>
      </c>
      <c r="X1497" s="6"/>
      <c r="Y1497" s="6"/>
      <c r="Z1497" s="6"/>
      <c r="AA1497" s="6" t="s">
        <v>72</v>
      </c>
      <c r="AB1497" s="8"/>
    </row>
    <row r="1498" spans="1:28" s="4" customFormat="1" ht="51.95" customHeight="1">
      <c r="A1498" s="5">
        <v>0</v>
      </c>
      <c r="B1498" s="6" t="s">
        <v>9364</v>
      </c>
      <c r="C1498" s="13">
        <v>1604</v>
      </c>
      <c r="D1498" s="8" t="s">
        <v>9365</v>
      </c>
      <c r="E1498" s="8" t="s">
        <v>9361</v>
      </c>
      <c r="F1498" s="8" t="s">
        <v>483</v>
      </c>
      <c r="G1498" s="6" t="s">
        <v>52</v>
      </c>
      <c r="H1498" s="6" t="s">
        <v>39</v>
      </c>
      <c r="I1498" s="8" t="s">
        <v>100</v>
      </c>
      <c r="J1498" s="9">
        <v>1</v>
      </c>
      <c r="K1498" s="9">
        <v>320</v>
      </c>
      <c r="L1498" s="9">
        <v>2025</v>
      </c>
      <c r="M1498" s="8" t="s">
        <v>9366</v>
      </c>
      <c r="N1498" s="8" t="s">
        <v>41</v>
      </c>
      <c r="O1498" s="8" t="s">
        <v>4035</v>
      </c>
      <c r="P1498" s="6" t="s">
        <v>43</v>
      </c>
      <c r="Q1498" s="8" t="s">
        <v>102</v>
      </c>
      <c r="R1498" s="10" t="s">
        <v>2779</v>
      </c>
      <c r="S1498" s="11" t="s">
        <v>9367</v>
      </c>
      <c r="T1498" s="6"/>
      <c r="U1498" s="24" t="str">
        <f>HYPERLINK("https://media.infra-m.ru/2179/2179293/cover/2179293.jpg", "Обложка")</f>
        <v>Обложка</v>
      </c>
      <c r="V1498" s="24" t="str">
        <f>HYPERLINK("https://znanium.ru/catalog/product/961441", "Ознакомиться")</f>
        <v>Ознакомиться</v>
      </c>
      <c r="W1498" s="8" t="s">
        <v>4985</v>
      </c>
      <c r="X1498" s="6"/>
      <c r="Y1498" s="6"/>
      <c r="Z1498" s="6" t="s">
        <v>104</v>
      </c>
      <c r="AA1498" s="6" t="s">
        <v>793</v>
      </c>
      <c r="AB1498" s="8"/>
    </row>
    <row r="1499" spans="1:28" s="4" customFormat="1" ht="51.95" customHeight="1">
      <c r="A1499" s="5">
        <v>0</v>
      </c>
      <c r="B1499" s="6" t="s">
        <v>9368</v>
      </c>
      <c r="C1499" s="13">
        <v>1990</v>
      </c>
      <c r="D1499" s="8" t="s">
        <v>9369</v>
      </c>
      <c r="E1499" s="8" t="s">
        <v>9370</v>
      </c>
      <c r="F1499" s="8" t="s">
        <v>9371</v>
      </c>
      <c r="G1499" s="6" t="s">
        <v>52</v>
      </c>
      <c r="H1499" s="6" t="s">
        <v>53</v>
      </c>
      <c r="I1499" s="8" t="s">
        <v>100</v>
      </c>
      <c r="J1499" s="9">
        <v>1</v>
      </c>
      <c r="K1499" s="9">
        <v>432</v>
      </c>
      <c r="L1499" s="9">
        <v>2024</v>
      </c>
      <c r="M1499" s="8" t="s">
        <v>9372</v>
      </c>
      <c r="N1499" s="8" t="s">
        <v>41</v>
      </c>
      <c r="O1499" s="8" t="s">
        <v>42</v>
      </c>
      <c r="P1499" s="6" t="s">
        <v>43</v>
      </c>
      <c r="Q1499" s="8" t="s">
        <v>102</v>
      </c>
      <c r="R1499" s="10" t="s">
        <v>9373</v>
      </c>
      <c r="S1499" s="11" t="s">
        <v>9374</v>
      </c>
      <c r="T1499" s="6"/>
      <c r="U1499" s="24" t="str">
        <f>HYPERLINK("https://media.infra-m.ru/2086/2086810/cover/2086810.jpg", "Обложка")</f>
        <v>Обложка</v>
      </c>
      <c r="V1499" s="24" t="str">
        <f>HYPERLINK("https://znanium.ru/catalog/product/2086810", "Ознакомиться")</f>
        <v>Ознакомиться</v>
      </c>
      <c r="W1499" s="8" t="s">
        <v>1796</v>
      </c>
      <c r="X1499" s="6"/>
      <c r="Y1499" s="6"/>
      <c r="Z1499" s="6" t="s">
        <v>104</v>
      </c>
      <c r="AA1499" s="6" t="s">
        <v>7605</v>
      </c>
      <c r="AB1499" s="8"/>
    </row>
    <row r="1500" spans="1:28" s="4" customFormat="1" ht="51.95" customHeight="1">
      <c r="A1500" s="5">
        <v>0</v>
      </c>
      <c r="B1500" s="6" t="s">
        <v>9375</v>
      </c>
      <c r="C1500" s="13">
        <v>2720</v>
      </c>
      <c r="D1500" s="8" t="s">
        <v>9376</v>
      </c>
      <c r="E1500" s="8" t="s">
        <v>9377</v>
      </c>
      <c r="F1500" s="8" t="s">
        <v>9378</v>
      </c>
      <c r="G1500" s="6" t="s">
        <v>52</v>
      </c>
      <c r="H1500" s="6" t="s">
        <v>53</v>
      </c>
      <c r="I1500" s="8" t="s">
        <v>116</v>
      </c>
      <c r="J1500" s="9">
        <v>1</v>
      </c>
      <c r="K1500" s="9">
        <v>544</v>
      </c>
      <c r="L1500" s="9">
        <v>2025</v>
      </c>
      <c r="M1500" s="8" t="s">
        <v>9379</v>
      </c>
      <c r="N1500" s="8" t="s">
        <v>56</v>
      </c>
      <c r="O1500" s="8" t="s">
        <v>57</v>
      </c>
      <c r="P1500" s="6" t="s">
        <v>167</v>
      </c>
      <c r="Q1500" s="8" t="s">
        <v>58</v>
      </c>
      <c r="R1500" s="10" t="s">
        <v>9380</v>
      </c>
      <c r="S1500" s="11"/>
      <c r="T1500" s="6" t="s">
        <v>299</v>
      </c>
      <c r="U1500" s="24" t="str">
        <f>HYPERLINK("https://media.infra-m.ru/2084/2084809/cover/2084809.jpg", "Обложка")</f>
        <v>Обложка</v>
      </c>
      <c r="V1500" s="24" t="str">
        <f>HYPERLINK("https://znanium.ru/catalog/product/2084809", "Ознакомиться")</f>
        <v>Ознакомиться</v>
      </c>
      <c r="W1500" s="8" t="s">
        <v>2392</v>
      </c>
      <c r="X1500" s="6" t="s">
        <v>1049</v>
      </c>
      <c r="Y1500" s="6"/>
      <c r="Z1500" s="6"/>
      <c r="AA1500" s="6" t="s">
        <v>133</v>
      </c>
      <c r="AB1500" s="8"/>
    </row>
    <row r="1501" spans="1:28" s="4" customFormat="1" ht="51.95" customHeight="1">
      <c r="A1501" s="5">
        <v>0</v>
      </c>
      <c r="B1501" s="6" t="s">
        <v>9381</v>
      </c>
      <c r="C1501" s="13">
        <v>1380</v>
      </c>
      <c r="D1501" s="8" t="s">
        <v>9382</v>
      </c>
      <c r="E1501" s="8" t="s">
        <v>9383</v>
      </c>
      <c r="F1501" s="8" t="s">
        <v>9384</v>
      </c>
      <c r="G1501" s="6" t="s">
        <v>89</v>
      </c>
      <c r="H1501" s="6" t="s">
        <v>53</v>
      </c>
      <c r="I1501" s="8" t="s">
        <v>116</v>
      </c>
      <c r="J1501" s="9">
        <v>1</v>
      </c>
      <c r="K1501" s="9">
        <v>300</v>
      </c>
      <c r="L1501" s="9">
        <v>2024</v>
      </c>
      <c r="M1501" s="8" t="s">
        <v>9385</v>
      </c>
      <c r="N1501" s="8" t="s">
        <v>56</v>
      </c>
      <c r="O1501" s="8" t="s">
        <v>57</v>
      </c>
      <c r="P1501" s="6" t="s">
        <v>167</v>
      </c>
      <c r="Q1501" s="8" t="s">
        <v>58</v>
      </c>
      <c r="R1501" s="10" t="s">
        <v>9386</v>
      </c>
      <c r="S1501" s="11" t="s">
        <v>9387</v>
      </c>
      <c r="T1501" s="6"/>
      <c r="U1501" s="24" t="str">
        <f>HYPERLINK("https://media.infra-m.ru/2130/2130437/cover/2130437.jpg", "Обложка")</f>
        <v>Обложка</v>
      </c>
      <c r="V1501" s="24" t="str">
        <f>HYPERLINK("https://znanium.ru/catalog/product/2130437", "Ознакомиться")</f>
        <v>Ознакомиться</v>
      </c>
      <c r="W1501" s="8" t="s">
        <v>947</v>
      </c>
      <c r="X1501" s="6"/>
      <c r="Y1501" s="6"/>
      <c r="Z1501" s="6"/>
      <c r="AA1501" s="6" t="s">
        <v>219</v>
      </c>
      <c r="AB1501" s="8"/>
    </row>
    <row r="1502" spans="1:28" s="4" customFormat="1" ht="51.95" customHeight="1">
      <c r="A1502" s="5">
        <v>0</v>
      </c>
      <c r="B1502" s="6" t="s">
        <v>9388</v>
      </c>
      <c r="C1502" s="13">
        <v>2660</v>
      </c>
      <c r="D1502" s="8" t="s">
        <v>9389</v>
      </c>
      <c r="E1502" s="8" t="s">
        <v>9390</v>
      </c>
      <c r="F1502" s="8" t="s">
        <v>9391</v>
      </c>
      <c r="G1502" s="6" t="s">
        <v>89</v>
      </c>
      <c r="H1502" s="6" t="s">
        <v>39</v>
      </c>
      <c r="I1502" s="8" t="s">
        <v>116</v>
      </c>
      <c r="J1502" s="9">
        <v>1</v>
      </c>
      <c r="K1502" s="9">
        <v>512</v>
      </c>
      <c r="L1502" s="9">
        <v>2025</v>
      </c>
      <c r="M1502" s="8" t="s">
        <v>9392</v>
      </c>
      <c r="N1502" s="8" t="s">
        <v>41</v>
      </c>
      <c r="O1502" s="8" t="s">
        <v>42</v>
      </c>
      <c r="P1502" s="6" t="s">
        <v>43</v>
      </c>
      <c r="Q1502" s="8" t="s">
        <v>44</v>
      </c>
      <c r="R1502" s="10" t="s">
        <v>9393</v>
      </c>
      <c r="S1502" s="11" t="s">
        <v>9394</v>
      </c>
      <c r="T1502" s="6"/>
      <c r="U1502" s="24" t="str">
        <f>HYPERLINK("https://media.infra-m.ru/2149/2149580/cover/2149580.jpg", "Обложка")</f>
        <v>Обложка</v>
      </c>
      <c r="V1502" s="24" t="str">
        <f>HYPERLINK("https://znanium.ru/catalog/product/2149580", "Ознакомиться")</f>
        <v>Ознакомиться</v>
      </c>
      <c r="W1502" s="8" t="s">
        <v>2954</v>
      </c>
      <c r="X1502" s="6"/>
      <c r="Y1502" s="6"/>
      <c r="Z1502" s="6"/>
      <c r="AA1502" s="6" t="s">
        <v>494</v>
      </c>
      <c r="AB1502" s="8"/>
    </row>
    <row r="1503" spans="1:28" s="4" customFormat="1" ht="51.95" customHeight="1">
      <c r="A1503" s="5">
        <v>0</v>
      </c>
      <c r="B1503" s="6" t="s">
        <v>9395</v>
      </c>
      <c r="C1503" s="13">
        <v>2300</v>
      </c>
      <c r="D1503" s="8" t="s">
        <v>9396</v>
      </c>
      <c r="E1503" s="8" t="s">
        <v>9390</v>
      </c>
      <c r="F1503" s="8" t="s">
        <v>9391</v>
      </c>
      <c r="G1503" s="6" t="s">
        <v>89</v>
      </c>
      <c r="H1503" s="6" t="s">
        <v>39</v>
      </c>
      <c r="I1503" s="8" t="s">
        <v>100</v>
      </c>
      <c r="J1503" s="9">
        <v>1</v>
      </c>
      <c r="K1503" s="9">
        <v>512</v>
      </c>
      <c r="L1503" s="9">
        <v>2023</v>
      </c>
      <c r="M1503" s="8" t="s">
        <v>9397</v>
      </c>
      <c r="N1503" s="8" t="s">
        <v>41</v>
      </c>
      <c r="O1503" s="8" t="s">
        <v>42</v>
      </c>
      <c r="P1503" s="6" t="s">
        <v>43</v>
      </c>
      <c r="Q1503" s="8" t="s">
        <v>102</v>
      </c>
      <c r="R1503" s="10" t="s">
        <v>9398</v>
      </c>
      <c r="S1503" s="11" t="s">
        <v>9394</v>
      </c>
      <c r="T1503" s="6"/>
      <c r="U1503" s="24" t="str">
        <f>HYPERLINK("https://media.infra-m.ru/1976/1976194/cover/1976194.jpg", "Обложка")</f>
        <v>Обложка</v>
      </c>
      <c r="V1503" s="24" t="str">
        <f>HYPERLINK("https://znanium.ru/catalog/product/1976194", "Ознакомиться")</f>
        <v>Ознакомиться</v>
      </c>
      <c r="W1503" s="8" t="s">
        <v>2954</v>
      </c>
      <c r="X1503" s="6"/>
      <c r="Y1503" s="6"/>
      <c r="Z1503" s="6" t="s">
        <v>104</v>
      </c>
      <c r="AA1503" s="6" t="s">
        <v>1374</v>
      </c>
      <c r="AB1503" s="8"/>
    </row>
    <row r="1504" spans="1:28" s="4" customFormat="1" ht="51.95" customHeight="1">
      <c r="A1504" s="5">
        <v>0</v>
      </c>
      <c r="B1504" s="6" t="s">
        <v>9399</v>
      </c>
      <c r="C1504" s="13">
        <v>2034</v>
      </c>
      <c r="D1504" s="8" t="s">
        <v>9400</v>
      </c>
      <c r="E1504" s="8" t="s">
        <v>9370</v>
      </c>
      <c r="F1504" s="8" t="s">
        <v>9401</v>
      </c>
      <c r="G1504" s="6" t="s">
        <v>52</v>
      </c>
      <c r="H1504" s="6" t="s">
        <v>53</v>
      </c>
      <c r="I1504" s="8" t="s">
        <v>90</v>
      </c>
      <c r="J1504" s="9">
        <v>1</v>
      </c>
      <c r="K1504" s="9">
        <v>432</v>
      </c>
      <c r="L1504" s="9">
        <v>2024</v>
      </c>
      <c r="M1504" s="8" t="s">
        <v>9402</v>
      </c>
      <c r="N1504" s="8" t="s">
        <v>41</v>
      </c>
      <c r="O1504" s="8" t="s">
        <v>42</v>
      </c>
      <c r="P1504" s="6" t="s">
        <v>43</v>
      </c>
      <c r="Q1504" s="8" t="s">
        <v>44</v>
      </c>
      <c r="R1504" s="10" t="s">
        <v>9403</v>
      </c>
      <c r="S1504" s="11" t="s">
        <v>9404</v>
      </c>
      <c r="T1504" s="6"/>
      <c r="U1504" s="24" t="str">
        <f>HYPERLINK("https://media.infra-m.ru/2086/2086812/cover/2086812.jpg", "Обложка")</f>
        <v>Обложка</v>
      </c>
      <c r="V1504" s="24" t="str">
        <f>HYPERLINK("https://znanium.ru/catalog/product/2086812", "Ознакомиться")</f>
        <v>Ознакомиться</v>
      </c>
      <c r="W1504" s="8" t="s">
        <v>1796</v>
      </c>
      <c r="X1504" s="6"/>
      <c r="Y1504" s="6"/>
      <c r="Z1504" s="6"/>
      <c r="AA1504" s="6" t="s">
        <v>9405</v>
      </c>
      <c r="AB1504" s="8"/>
    </row>
    <row r="1505" spans="1:28" s="4" customFormat="1" ht="51.95" customHeight="1">
      <c r="A1505" s="5">
        <v>0</v>
      </c>
      <c r="B1505" s="6" t="s">
        <v>9406</v>
      </c>
      <c r="C1505" s="13">
        <v>1584</v>
      </c>
      <c r="D1505" s="8" t="s">
        <v>9407</v>
      </c>
      <c r="E1505" s="8" t="s">
        <v>9408</v>
      </c>
      <c r="F1505" s="8" t="s">
        <v>9409</v>
      </c>
      <c r="G1505" s="6" t="s">
        <v>89</v>
      </c>
      <c r="H1505" s="6" t="s">
        <v>53</v>
      </c>
      <c r="I1505" s="8" t="s">
        <v>90</v>
      </c>
      <c r="J1505" s="9">
        <v>1</v>
      </c>
      <c r="K1505" s="9">
        <v>316</v>
      </c>
      <c r="L1505" s="9">
        <v>2025</v>
      </c>
      <c r="M1505" s="8" t="s">
        <v>9410</v>
      </c>
      <c r="N1505" s="8" t="s">
        <v>41</v>
      </c>
      <c r="O1505" s="8" t="s">
        <v>42</v>
      </c>
      <c r="P1505" s="6" t="s">
        <v>43</v>
      </c>
      <c r="Q1505" s="8" t="s">
        <v>44</v>
      </c>
      <c r="R1505" s="10" t="s">
        <v>9411</v>
      </c>
      <c r="S1505" s="11" t="s">
        <v>9412</v>
      </c>
      <c r="T1505" s="6" t="s">
        <v>299</v>
      </c>
      <c r="U1505" s="24" t="str">
        <f>HYPERLINK("https://media.infra-m.ru/2184/2184907/cover/2184907.jpg", "Обложка")</f>
        <v>Обложка</v>
      </c>
      <c r="V1505" s="24" t="str">
        <f>HYPERLINK("https://znanium.ru/catalog/product/2166407", "Ознакомиться")</f>
        <v>Ознакомиться</v>
      </c>
      <c r="W1505" s="8" t="s">
        <v>2954</v>
      </c>
      <c r="X1505" s="6"/>
      <c r="Y1505" s="6"/>
      <c r="Z1505" s="6"/>
      <c r="AA1505" s="6" t="s">
        <v>418</v>
      </c>
      <c r="AB1505" s="8"/>
    </row>
    <row r="1506" spans="1:28" s="4" customFormat="1" ht="42" customHeight="1">
      <c r="A1506" s="5">
        <v>0</v>
      </c>
      <c r="B1506" s="6" t="s">
        <v>9413</v>
      </c>
      <c r="C1506" s="13">
        <v>1890</v>
      </c>
      <c r="D1506" s="8" t="s">
        <v>9414</v>
      </c>
      <c r="E1506" s="8" t="s">
        <v>9415</v>
      </c>
      <c r="F1506" s="8" t="s">
        <v>9416</v>
      </c>
      <c r="G1506" s="6" t="s">
        <v>52</v>
      </c>
      <c r="H1506" s="6" t="s">
        <v>53</v>
      </c>
      <c r="I1506" s="8" t="s">
        <v>116</v>
      </c>
      <c r="J1506" s="9">
        <v>1</v>
      </c>
      <c r="K1506" s="9">
        <v>410</v>
      </c>
      <c r="L1506" s="9">
        <v>2024</v>
      </c>
      <c r="M1506" s="8" t="s">
        <v>9417</v>
      </c>
      <c r="N1506" s="8" t="s">
        <v>56</v>
      </c>
      <c r="O1506" s="8" t="s">
        <v>57</v>
      </c>
      <c r="P1506" s="6" t="s">
        <v>167</v>
      </c>
      <c r="Q1506" s="8" t="s">
        <v>44</v>
      </c>
      <c r="R1506" s="10" t="s">
        <v>9418</v>
      </c>
      <c r="S1506" s="11"/>
      <c r="T1506" s="6"/>
      <c r="U1506" s="24" t="str">
        <f>HYPERLINK("https://media.infra-m.ru/1907/1907071/cover/1907071.jpg", "Обложка")</f>
        <v>Обложка</v>
      </c>
      <c r="V1506" s="24" t="str">
        <f>HYPERLINK("https://znanium.ru/catalog/product/2202512", "Ознакомиться")</f>
        <v>Ознакомиться</v>
      </c>
      <c r="W1506" s="8" t="s">
        <v>947</v>
      </c>
      <c r="X1506" s="6"/>
      <c r="Y1506" s="6"/>
      <c r="Z1506" s="6"/>
      <c r="AA1506" s="6" t="s">
        <v>133</v>
      </c>
      <c r="AB1506" s="8"/>
    </row>
    <row r="1507" spans="1:28" s="4" customFormat="1" ht="42" customHeight="1">
      <c r="A1507" s="5">
        <v>0</v>
      </c>
      <c r="B1507" s="6" t="s">
        <v>9419</v>
      </c>
      <c r="C1507" s="13">
        <v>1834.9</v>
      </c>
      <c r="D1507" s="8" t="s">
        <v>9420</v>
      </c>
      <c r="E1507" s="8" t="s">
        <v>9377</v>
      </c>
      <c r="F1507" s="8" t="s">
        <v>9421</v>
      </c>
      <c r="G1507" s="6" t="s">
        <v>52</v>
      </c>
      <c r="H1507" s="6" t="s">
        <v>53</v>
      </c>
      <c r="I1507" s="8" t="s">
        <v>90</v>
      </c>
      <c r="J1507" s="9">
        <v>1</v>
      </c>
      <c r="K1507" s="9">
        <v>540</v>
      </c>
      <c r="L1507" s="9">
        <v>2021</v>
      </c>
      <c r="M1507" s="8" t="s">
        <v>9422</v>
      </c>
      <c r="N1507" s="8" t="s">
        <v>56</v>
      </c>
      <c r="O1507" s="8" t="s">
        <v>57</v>
      </c>
      <c r="P1507" s="6" t="s">
        <v>167</v>
      </c>
      <c r="Q1507" s="8" t="s">
        <v>44</v>
      </c>
      <c r="R1507" s="10" t="s">
        <v>7305</v>
      </c>
      <c r="S1507" s="11"/>
      <c r="T1507" s="6" t="s">
        <v>299</v>
      </c>
      <c r="U1507" s="24" t="str">
        <f>HYPERLINK("https://media.infra-m.ru/1132/1132142/cover/1132142.jpg", "Обложка")</f>
        <v>Обложка</v>
      </c>
      <c r="V1507" s="24" t="str">
        <f>HYPERLINK("https://znanium.ru/catalog/product/2112513", "Ознакомиться")</f>
        <v>Ознакомиться</v>
      </c>
      <c r="W1507" s="8" t="s">
        <v>46</v>
      </c>
      <c r="X1507" s="6"/>
      <c r="Y1507" s="6"/>
      <c r="Z1507" s="6"/>
      <c r="AA1507" s="6" t="s">
        <v>47</v>
      </c>
      <c r="AB1507" s="8"/>
    </row>
    <row r="1508" spans="1:28" s="4" customFormat="1" ht="51.95" customHeight="1">
      <c r="A1508" s="5">
        <v>0</v>
      </c>
      <c r="B1508" s="6" t="s">
        <v>9423</v>
      </c>
      <c r="C1508" s="13">
        <v>2074.9</v>
      </c>
      <c r="D1508" s="8" t="s">
        <v>9424</v>
      </c>
      <c r="E1508" s="8" t="s">
        <v>9425</v>
      </c>
      <c r="F1508" s="8" t="s">
        <v>9426</v>
      </c>
      <c r="G1508" s="6" t="s">
        <v>89</v>
      </c>
      <c r="H1508" s="6" t="s">
        <v>53</v>
      </c>
      <c r="I1508" s="8" t="s">
        <v>90</v>
      </c>
      <c r="J1508" s="9">
        <v>1</v>
      </c>
      <c r="K1508" s="9">
        <v>547</v>
      </c>
      <c r="L1508" s="9">
        <v>2022</v>
      </c>
      <c r="M1508" s="8" t="s">
        <v>9427</v>
      </c>
      <c r="N1508" s="8" t="s">
        <v>56</v>
      </c>
      <c r="O1508" s="8" t="s">
        <v>57</v>
      </c>
      <c r="P1508" s="6" t="s">
        <v>167</v>
      </c>
      <c r="Q1508" s="8" t="s">
        <v>44</v>
      </c>
      <c r="R1508" s="10" t="s">
        <v>7305</v>
      </c>
      <c r="S1508" s="11" t="s">
        <v>9428</v>
      </c>
      <c r="T1508" s="6" t="s">
        <v>299</v>
      </c>
      <c r="U1508" s="24" t="str">
        <f>HYPERLINK("https://media.infra-m.ru/1789/1789409/cover/1789409.jpg", "Обложка")</f>
        <v>Обложка</v>
      </c>
      <c r="V1508" s="24" t="str">
        <f>HYPERLINK("https://znanium.ru/catalog/product/2112513", "Ознакомиться")</f>
        <v>Ознакомиться</v>
      </c>
      <c r="W1508" s="8" t="s">
        <v>46</v>
      </c>
      <c r="X1508" s="6"/>
      <c r="Y1508" s="6"/>
      <c r="Z1508" s="6"/>
      <c r="AA1508" s="6" t="s">
        <v>95</v>
      </c>
      <c r="AB1508" s="8"/>
    </row>
    <row r="1509" spans="1:28" s="4" customFormat="1" ht="51.95" customHeight="1">
      <c r="A1509" s="5">
        <v>0</v>
      </c>
      <c r="B1509" s="6" t="s">
        <v>9429</v>
      </c>
      <c r="C1509" s="13">
        <v>2844</v>
      </c>
      <c r="D1509" s="8" t="s">
        <v>9430</v>
      </c>
      <c r="E1509" s="8" t="s">
        <v>9431</v>
      </c>
      <c r="F1509" s="8" t="s">
        <v>9426</v>
      </c>
      <c r="G1509" s="6" t="s">
        <v>52</v>
      </c>
      <c r="H1509" s="6" t="s">
        <v>53</v>
      </c>
      <c r="I1509" s="8" t="s">
        <v>116</v>
      </c>
      <c r="J1509" s="9">
        <v>1</v>
      </c>
      <c r="K1509" s="9">
        <v>547</v>
      </c>
      <c r="L1509" s="9">
        <v>2025</v>
      </c>
      <c r="M1509" s="8" t="s">
        <v>9432</v>
      </c>
      <c r="N1509" s="8" t="s">
        <v>56</v>
      </c>
      <c r="O1509" s="8" t="s">
        <v>57</v>
      </c>
      <c r="P1509" s="6" t="s">
        <v>167</v>
      </c>
      <c r="Q1509" s="8" t="s">
        <v>58</v>
      </c>
      <c r="R1509" s="10" t="s">
        <v>7305</v>
      </c>
      <c r="S1509" s="11" t="s">
        <v>9433</v>
      </c>
      <c r="T1509" s="6" t="s">
        <v>299</v>
      </c>
      <c r="U1509" s="24" t="str">
        <f>HYPERLINK("https://media.infra-m.ru/2196/2196483/cover/2196483.jpg", "Обложка")</f>
        <v>Обложка</v>
      </c>
      <c r="V1509" s="24" t="str">
        <f>HYPERLINK("https://znanium.ru/catalog/product/2112513", "Ознакомиться")</f>
        <v>Ознакомиться</v>
      </c>
      <c r="W1509" s="8" t="s">
        <v>46</v>
      </c>
      <c r="X1509" s="6"/>
      <c r="Y1509" s="6"/>
      <c r="Z1509" s="6"/>
      <c r="AA1509" s="6" t="s">
        <v>2657</v>
      </c>
      <c r="AB1509" s="8"/>
    </row>
    <row r="1510" spans="1:28" s="4" customFormat="1" ht="51.95" customHeight="1">
      <c r="A1510" s="5">
        <v>0</v>
      </c>
      <c r="B1510" s="6" t="s">
        <v>9434</v>
      </c>
      <c r="C1510" s="13">
        <v>2944</v>
      </c>
      <c r="D1510" s="8" t="s">
        <v>9435</v>
      </c>
      <c r="E1510" s="8" t="s">
        <v>9436</v>
      </c>
      <c r="F1510" s="8" t="s">
        <v>9437</v>
      </c>
      <c r="G1510" s="6" t="s">
        <v>52</v>
      </c>
      <c r="H1510" s="6" t="s">
        <v>53</v>
      </c>
      <c r="I1510" s="8" t="s">
        <v>90</v>
      </c>
      <c r="J1510" s="9">
        <v>1</v>
      </c>
      <c r="K1510" s="9">
        <v>640</v>
      </c>
      <c r="L1510" s="9">
        <v>2024</v>
      </c>
      <c r="M1510" s="8" t="s">
        <v>9438</v>
      </c>
      <c r="N1510" s="8" t="s">
        <v>56</v>
      </c>
      <c r="O1510" s="8" t="s">
        <v>4042</v>
      </c>
      <c r="P1510" s="6" t="s">
        <v>167</v>
      </c>
      <c r="Q1510" s="8" t="s">
        <v>44</v>
      </c>
      <c r="R1510" s="10" t="s">
        <v>9439</v>
      </c>
      <c r="S1510" s="11" t="s">
        <v>9440</v>
      </c>
      <c r="T1510" s="6"/>
      <c r="U1510" s="24" t="str">
        <f>HYPERLINK("https://media.infra-m.ru/2084/2084542/cover/2084542.jpg", "Обложка")</f>
        <v>Обложка</v>
      </c>
      <c r="V1510" s="24" t="str">
        <f>HYPERLINK("https://znanium.ru/catalog/product/1081037", "Ознакомиться")</f>
        <v>Ознакомиться</v>
      </c>
      <c r="W1510" s="8" t="s">
        <v>4293</v>
      </c>
      <c r="X1510" s="6"/>
      <c r="Y1510" s="6"/>
      <c r="Z1510" s="6"/>
      <c r="AA1510" s="6" t="s">
        <v>2414</v>
      </c>
      <c r="AB1510" s="8"/>
    </row>
    <row r="1511" spans="1:28" s="4" customFormat="1" ht="51.95" customHeight="1">
      <c r="A1511" s="5">
        <v>0</v>
      </c>
      <c r="B1511" s="6" t="s">
        <v>9441</v>
      </c>
      <c r="C1511" s="7">
        <v>884</v>
      </c>
      <c r="D1511" s="8" t="s">
        <v>9442</v>
      </c>
      <c r="E1511" s="8" t="s">
        <v>9443</v>
      </c>
      <c r="F1511" s="8" t="s">
        <v>9444</v>
      </c>
      <c r="G1511" s="6" t="s">
        <v>89</v>
      </c>
      <c r="H1511" s="6" t="s">
        <v>53</v>
      </c>
      <c r="I1511" s="8" t="s">
        <v>276</v>
      </c>
      <c r="J1511" s="9">
        <v>1</v>
      </c>
      <c r="K1511" s="9">
        <v>169</v>
      </c>
      <c r="L1511" s="9">
        <v>2025</v>
      </c>
      <c r="M1511" s="8" t="s">
        <v>9445</v>
      </c>
      <c r="N1511" s="8" t="s">
        <v>41</v>
      </c>
      <c r="O1511" s="8" t="s">
        <v>4035</v>
      </c>
      <c r="P1511" s="6" t="s">
        <v>43</v>
      </c>
      <c r="Q1511" s="8" t="s">
        <v>279</v>
      </c>
      <c r="R1511" s="10" t="s">
        <v>6622</v>
      </c>
      <c r="S1511" s="11"/>
      <c r="T1511" s="6"/>
      <c r="U1511" s="24" t="str">
        <f>HYPERLINK("https://media.infra-m.ru/2167/2167525/cover/2167525.jpg", "Обложка")</f>
        <v>Обложка</v>
      </c>
      <c r="V1511" s="24" t="str">
        <f>HYPERLINK("https://znanium.ru/catalog/product/2120744", "Ознакомиться")</f>
        <v>Ознакомиться</v>
      </c>
      <c r="W1511" s="8" t="s">
        <v>1373</v>
      </c>
      <c r="X1511" s="6"/>
      <c r="Y1511" s="6"/>
      <c r="Z1511" s="6"/>
      <c r="AA1511" s="6" t="s">
        <v>84</v>
      </c>
      <c r="AB1511" s="8"/>
    </row>
    <row r="1512" spans="1:28" s="4" customFormat="1" ht="51.95" customHeight="1">
      <c r="A1512" s="5">
        <v>0</v>
      </c>
      <c r="B1512" s="6" t="s">
        <v>9446</v>
      </c>
      <c r="C1512" s="13">
        <v>1524</v>
      </c>
      <c r="D1512" s="8" t="s">
        <v>9447</v>
      </c>
      <c r="E1512" s="8" t="s">
        <v>9448</v>
      </c>
      <c r="F1512" s="8" t="s">
        <v>9449</v>
      </c>
      <c r="G1512" s="6" t="s">
        <v>89</v>
      </c>
      <c r="H1512" s="6" t="s">
        <v>53</v>
      </c>
      <c r="I1512" s="8" t="s">
        <v>100</v>
      </c>
      <c r="J1512" s="9">
        <v>1</v>
      </c>
      <c r="K1512" s="9">
        <v>337</v>
      </c>
      <c r="L1512" s="9">
        <v>2023</v>
      </c>
      <c r="M1512" s="8" t="s">
        <v>9450</v>
      </c>
      <c r="N1512" s="8" t="s">
        <v>41</v>
      </c>
      <c r="O1512" s="8" t="s">
        <v>278</v>
      </c>
      <c r="P1512" s="6" t="s">
        <v>43</v>
      </c>
      <c r="Q1512" s="8" t="s">
        <v>102</v>
      </c>
      <c r="R1512" s="10" t="s">
        <v>9451</v>
      </c>
      <c r="S1512" s="11" t="s">
        <v>9452</v>
      </c>
      <c r="T1512" s="6"/>
      <c r="U1512" s="24" t="str">
        <f>HYPERLINK("https://media.infra-m.ru/2021/2021423/cover/2021423.jpg", "Обложка")</f>
        <v>Обложка</v>
      </c>
      <c r="V1512" s="24" t="str">
        <f>HYPERLINK("https://znanium.ru/catalog/product/961444", "Ознакомиться")</f>
        <v>Ознакомиться</v>
      </c>
      <c r="W1512" s="8" t="s">
        <v>2122</v>
      </c>
      <c r="X1512" s="6"/>
      <c r="Y1512" s="6"/>
      <c r="Z1512" s="6" t="s">
        <v>104</v>
      </c>
      <c r="AA1512" s="6" t="s">
        <v>196</v>
      </c>
      <c r="AB1512" s="8"/>
    </row>
    <row r="1513" spans="1:28" s="4" customFormat="1" ht="51.95" customHeight="1">
      <c r="A1513" s="5">
        <v>0</v>
      </c>
      <c r="B1513" s="6" t="s">
        <v>9453</v>
      </c>
      <c r="C1513" s="13">
        <v>1554</v>
      </c>
      <c r="D1513" s="8" t="s">
        <v>9454</v>
      </c>
      <c r="E1513" s="8" t="s">
        <v>9448</v>
      </c>
      <c r="F1513" s="8" t="s">
        <v>9449</v>
      </c>
      <c r="G1513" s="6" t="s">
        <v>89</v>
      </c>
      <c r="H1513" s="6" t="s">
        <v>53</v>
      </c>
      <c r="I1513" s="8" t="s">
        <v>90</v>
      </c>
      <c r="J1513" s="9">
        <v>1</v>
      </c>
      <c r="K1513" s="9">
        <v>337</v>
      </c>
      <c r="L1513" s="9">
        <v>2024</v>
      </c>
      <c r="M1513" s="8" t="s">
        <v>9455</v>
      </c>
      <c r="N1513" s="8" t="s">
        <v>41</v>
      </c>
      <c r="O1513" s="8" t="s">
        <v>278</v>
      </c>
      <c r="P1513" s="6" t="s">
        <v>43</v>
      </c>
      <c r="Q1513" s="8" t="s">
        <v>44</v>
      </c>
      <c r="R1513" s="10" t="s">
        <v>9456</v>
      </c>
      <c r="S1513" s="11" t="s">
        <v>9457</v>
      </c>
      <c r="T1513" s="6"/>
      <c r="U1513" s="24" t="str">
        <f>HYPERLINK("https://media.infra-m.ru/2006/2006029/cover/2006029.jpg", "Обложка")</f>
        <v>Обложка</v>
      </c>
      <c r="V1513" s="12"/>
      <c r="W1513" s="8" t="s">
        <v>2122</v>
      </c>
      <c r="X1513" s="6"/>
      <c r="Y1513" s="6"/>
      <c r="Z1513" s="6"/>
      <c r="AA1513" s="6" t="s">
        <v>326</v>
      </c>
      <c r="AB1513" s="8" t="s">
        <v>271</v>
      </c>
    </row>
    <row r="1514" spans="1:28" s="4" customFormat="1" ht="42" customHeight="1">
      <c r="A1514" s="5">
        <v>0</v>
      </c>
      <c r="B1514" s="6" t="s">
        <v>9458</v>
      </c>
      <c r="C1514" s="13">
        <v>1430</v>
      </c>
      <c r="D1514" s="8" t="s">
        <v>9459</v>
      </c>
      <c r="E1514" s="8" t="s">
        <v>9460</v>
      </c>
      <c r="F1514" s="8" t="s">
        <v>9344</v>
      </c>
      <c r="G1514" s="6" t="s">
        <v>89</v>
      </c>
      <c r="H1514" s="6" t="s">
        <v>674</v>
      </c>
      <c r="I1514" s="8"/>
      <c r="J1514" s="9">
        <v>1</v>
      </c>
      <c r="K1514" s="9">
        <v>304</v>
      </c>
      <c r="L1514" s="9">
        <v>2024</v>
      </c>
      <c r="M1514" s="8" t="s">
        <v>9461</v>
      </c>
      <c r="N1514" s="8" t="s">
        <v>41</v>
      </c>
      <c r="O1514" s="8" t="s">
        <v>4035</v>
      </c>
      <c r="P1514" s="6" t="s">
        <v>167</v>
      </c>
      <c r="Q1514" s="8" t="s">
        <v>44</v>
      </c>
      <c r="R1514" s="10" t="s">
        <v>9307</v>
      </c>
      <c r="S1514" s="11"/>
      <c r="T1514" s="6"/>
      <c r="U1514" s="24" t="str">
        <f>HYPERLINK("https://media.infra-m.ru/2114/2114315/cover/2114315.jpg", "Обложка")</f>
        <v>Обложка</v>
      </c>
      <c r="V1514" s="24" t="str">
        <f>HYPERLINK("https://znanium.ru/catalog/product/1904502", "Ознакомиться")</f>
        <v>Ознакомиться</v>
      </c>
      <c r="W1514" s="8" t="s">
        <v>189</v>
      </c>
      <c r="X1514" s="6"/>
      <c r="Y1514" s="6"/>
      <c r="Z1514" s="6"/>
      <c r="AA1514" s="6" t="s">
        <v>442</v>
      </c>
      <c r="AB1514" s="8"/>
    </row>
    <row r="1515" spans="1:28" s="4" customFormat="1" ht="42" customHeight="1">
      <c r="A1515" s="5">
        <v>0</v>
      </c>
      <c r="B1515" s="6" t="s">
        <v>9462</v>
      </c>
      <c r="C1515" s="13">
        <v>1994</v>
      </c>
      <c r="D1515" s="8" t="s">
        <v>9463</v>
      </c>
      <c r="E1515" s="8" t="s">
        <v>9464</v>
      </c>
      <c r="F1515" s="8" t="s">
        <v>9465</v>
      </c>
      <c r="G1515" s="6" t="s">
        <v>52</v>
      </c>
      <c r="H1515" s="6" t="s">
        <v>674</v>
      </c>
      <c r="I1515" s="8"/>
      <c r="J1515" s="9">
        <v>1</v>
      </c>
      <c r="K1515" s="9">
        <v>720</v>
      </c>
      <c r="L1515" s="9">
        <v>2024</v>
      </c>
      <c r="M1515" s="8"/>
      <c r="N1515" s="8" t="s">
        <v>41</v>
      </c>
      <c r="O1515" s="8" t="s">
        <v>4035</v>
      </c>
      <c r="P1515" s="6" t="s">
        <v>43</v>
      </c>
      <c r="Q1515" s="8" t="s">
        <v>44</v>
      </c>
      <c r="R1515" s="10" t="s">
        <v>9307</v>
      </c>
      <c r="S1515" s="11"/>
      <c r="T1515" s="6"/>
      <c r="U1515" s="24" t="str">
        <f>HYPERLINK("https://media.infra-m.ru/2151/2151404/cover/2151404.jpg", "Обложка")</f>
        <v>Обложка</v>
      </c>
      <c r="V1515" s="24" t="str">
        <f>HYPERLINK("https://znanium.ru/catalog/product/1860904", "Ознакомиться")</f>
        <v>Ознакомиться</v>
      </c>
      <c r="W1515" s="8" t="s">
        <v>189</v>
      </c>
      <c r="X1515" s="6"/>
      <c r="Y1515" s="6"/>
      <c r="Z1515" s="6"/>
      <c r="AA1515" s="6" t="s">
        <v>4504</v>
      </c>
      <c r="AB1515" s="8"/>
    </row>
    <row r="1516" spans="1:28" s="4" customFormat="1" ht="51.95" customHeight="1">
      <c r="A1516" s="5">
        <v>0</v>
      </c>
      <c r="B1516" s="6" t="s">
        <v>9466</v>
      </c>
      <c r="C1516" s="7">
        <v>864</v>
      </c>
      <c r="D1516" s="8" t="s">
        <v>9467</v>
      </c>
      <c r="E1516" s="8" t="s">
        <v>9468</v>
      </c>
      <c r="F1516" s="8" t="s">
        <v>9469</v>
      </c>
      <c r="G1516" s="6" t="s">
        <v>52</v>
      </c>
      <c r="H1516" s="6" t="s">
        <v>77</v>
      </c>
      <c r="I1516" s="8"/>
      <c r="J1516" s="9">
        <v>1</v>
      </c>
      <c r="K1516" s="9">
        <v>166</v>
      </c>
      <c r="L1516" s="9">
        <v>2025</v>
      </c>
      <c r="M1516" s="8" t="s">
        <v>9470</v>
      </c>
      <c r="N1516" s="8" t="s">
        <v>56</v>
      </c>
      <c r="O1516" s="8" t="s">
        <v>4042</v>
      </c>
      <c r="P1516" s="6" t="s">
        <v>43</v>
      </c>
      <c r="Q1516" s="8" t="s">
        <v>44</v>
      </c>
      <c r="R1516" s="10" t="s">
        <v>9471</v>
      </c>
      <c r="S1516" s="11"/>
      <c r="T1516" s="6"/>
      <c r="U1516" s="24" t="str">
        <f>HYPERLINK("https://media.infra-m.ru/2196/2196485/cover/2196485.jpg", "Обложка")</f>
        <v>Обложка</v>
      </c>
      <c r="V1516" s="24" t="str">
        <f>HYPERLINK("https://znanium.ru/catalog/product/1905731", "Ознакомиться")</f>
        <v>Ознакомиться</v>
      </c>
      <c r="W1516" s="8" t="s">
        <v>83</v>
      </c>
      <c r="X1516" s="6"/>
      <c r="Y1516" s="6"/>
      <c r="Z1516" s="6"/>
      <c r="AA1516" s="6" t="s">
        <v>72</v>
      </c>
      <c r="AB1516" s="8"/>
    </row>
    <row r="1517" spans="1:28" s="4" customFormat="1" ht="51.95" customHeight="1">
      <c r="A1517" s="5">
        <v>0</v>
      </c>
      <c r="B1517" s="6" t="s">
        <v>9472</v>
      </c>
      <c r="C1517" s="13">
        <v>1224</v>
      </c>
      <c r="D1517" s="8" t="s">
        <v>9473</v>
      </c>
      <c r="E1517" s="8" t="s">
        <v>9474</v>
      </c>
      <c r="F1517" s="8" t="s">
        <v>6871</v>
      </c>
      <c r="G1517" s="6" t="s">
        <v>52</v>
      </c>
      <c r="H1517" s="6" t="s">
        <v>53</v>
      </c>
      <c r="I1517" s="8" t="s">
        <v>90</v>
      </c>
      <c r="J1517" s="9">
        <v>1</v>
      </c>
      <c r="K1517" s="9">
        <v>269</v>
      </c>
      <c r="L1517" s="9">
        <v>2023</v>
      </c>
      <c r="M1517" s="8" t="s">
        <v>9475</v>
      </c>
      <c r="N1517" s="8" t="s">
        <v>41</v>
      </c>
      <c r="O1517" s="8" t="s">
        <v>1204</v>
      </c>
      <c r="P1517" s="6" t="s">
        <v>43</v>
      </c>
      <c r="Q1517" s="8" t="s">
        <v>44</v>
      </c>
      <c r="R1517" s="10" t="s">
        <v>4214</v>
      </c>
      <c r="S1517" s="11" t="s">
        <v>9476</v>
      </c>
      <c r="T1517" s="6" t="s">
        <v>299</v>
      </c>
      <c r="U1517" s="24" t="str">
        <f>HYPERLINK("https://media.infra-m.ru/2021/2021448/cover/2021448.jpg", "Обложка")</f>
        <v>Обложка</v>
      </c>
      <c r="V1517" s="24" t="str">
        <f>HYPERLINK("https://znanium.ru/catalog/product/2021448", "Ознакомиться")</f>
        <v>Ознакомиться</v>
      </c>
      <c r="W1517" s="8" t="s">
        <v>6875</v>
      </c>
      <c r="X1517" s="6"/>
      <c r="Y1517" s="6"/>
      <c r="Z1517" s="6"/>
      <c r="AA1517" s="6" t="s">
        <v>793</v>
      </c>
      <c r="AB1517" s="8"/>
    </row>
    <row r="1518" spans="1:28" s="4" customFormat="1" ht="42" customHeight="1">
      <c r="A1518" s="5">
        <v>0</v>
      </c>
      <c r="B1518" s="6" t="s">
        <v>9477</v>
      </c>
      <c r="C1518" s="13">
        <v>1390</v>
      </c>
      <c r="D1518" s="8" t="s">
        <v>9478</v>
      </c>
      <c r="E1518" s="8" t="s">
        <v>9474</v>
      </c>
      <c r="F1518" s="8" t="s">
        <v>6871</v>
      </c>
      <c r="G1518" s="6" t="s">
        <v>52</v>
      </c>
      <c r="H1518" s="6" t="s">
        <v>53</v>
      </c>
      <c r="I1518" s="8" t="s">
        <v>100</v>
      </c>
      <c r="J1518" s="9">
        <v>1</v>
      </c>
      <c r="K1518" s="9">
        <v>269</v>
      </c>
      <c r="L1518" s="9">
        <v>2025</v>
      </c>
      <c r="M1518" s="8" t="s">
        <v>9479</v>
      </c>
      <c r="N1518" s="8" t="s">
        <v>41</v>
      </c>
      <c r="O1518" s="8" t="s">
        <v>1204</v>
      </c>
      <c r="P1518" s="6" t="s">
        <v>43</v>
      </c>
      <c r="Q1518" s="8" t="s">
        <v>102</v>
      </c>
      <c r="R1518" s="10" t="s">
        <v>9480</v>
      </c>
      <c r="S1518" s="11"/>
      <c r="T1518" s="6"/>
      <c r="U1518" s="24" t="str">
        <f>HYPERLINK("https://media.infra-m.ru/2169/2169150/cover/2169150.jpg", "Обложка")</f>
        <v>Обложка</v>
      </c>
      <c r="V1518" s="24" t="str">
        <f>HYPERLINK("https://znanium.ru/catalog/product/2169150", "Ознакомиться")</f>
        <v>Ознакомиться</v>
      </c>
      <c r="W1518" s="8" t="s">
        <v>6875</v>
      </c>
      <c r="X1518" s="6" t="s">
        <v>785</v>
      </c>
      <c r="Y1518" s="6"/>
      <c r="Z1518" s="6" t="s">
        <v>104</v>
      </c>
      <c r="AA1518" s="6" t="s">
        <v>61</v>
      </c>
      <c r="AB1518" s="8"/>
    </row>
    <row r="1519" spans="1:28" s="4" customFormat="1" ht="42" customHeight="1">
      <c r="A1519" s="5">
        <v>0</v>
      </c>
      <c r="B1519" s="6" t="s">
        <v>9481</v>
      </c>
      <c r="C1519" s="7">
        <v>914</v>
      </c>
      <c r="D1519" s="8" t="s">
        <v>9482</v>
      </c>
      <c r="E1519" s="8" t="s">
        <v>9474</v>
      </c>
      <c r="F1519" s="8" t="s">
        <v>8781</v>
      </c>
      <c r="G1519" s="6" t="s">
        <v>52</v>
      </c>
      <c r="H1519" s="6" t="s">
        <v>184</v>
      </c>
      <c r="I1519" s="8" t="s">
        <v>90</v>
      </c>
      <c r="J1519" s="9">
        <v>1</v>
      </c>
      <c r="K1519" s="9">
        <v>176</v>
      </c>
      <c r="L1519" s="9">
        <v>2025</v>
      </c>
      <c r="M1519" s="8" t="s">
        <v>9483</v>
      </c>
      <c r="N1519" s="8" t="s">
        <v>41</v>
      </c>
      <c r="O1519" s="8" t="s">
        <v>1204</v>
      </c>
      <c r="P1519" s="6" t="s">
        <v>43</v>
      </c>
      <c r="Q1519" s="8" t="s">
        <v>44</v>
      </c>
      <c r="R1519" s="10" t="s">
        <v>4214</v>
      </c>
      <c r="S1519" s="11"/>
      <c r="T1519" s="6"/>
      <c r="U1519" s="24" t="str">
        <f>HYPERLINK("https://media.infra-m.ru/2197/2197252/cover/2197252.jpg", "Обложка")</f>
        <v>Обложка</v>
      </c>
      <c r="V1519" s="24" t="str">
        <f>HYPERLINK("https://znanium.ru/catalog/product/1540698", "Ознакомиться")</f>
        <v>Ознакомиться</v>
      </c>
      <c r="W1519" s="8"/>
      <c r="X1519" s="6"/>
      <c r="Y1519" s="6"/>
      <c r="Z1519" s="6"/>
      <c r="AA1519" s="6" t="s">
        <v>418</v>
      </c>
      <c r="AB1519" s="8"/>
    </row>
    <row r="1520" spans="1:28" s="4" customFormat="1" ht="51.95" customHeight="1">
      <c r="A1520" s="5">
        <v>0</v>
      </c>
      <c r="B1520" s="6" t="s">
        <v>9484</v>
      </c>
      <c r="C1520" s="13">
        <v>2094.9</v>
      </c>
      <c r="D1520" s="8" t="s">
        <v>9485</v>
      </c>
      <c r="E1520" s="8" t="s">
        <v>9486</v>
      </c>
      <c r="F1520" s="8" t="s">
        <v>9487</v>
      </c>
      <c r="G1520" s="6" t="s">
        <v>52</v>
      </c>
      <c r="H1520" s="6" t="s">
        <v>53</v>
      </c>
      <c r="I1520" s="8" t="s">
        <v>90</v>
      </c>
      <c r="J1520" s="9">
        <v>1</v>
      </c>
      <c r="K1520" s="9">
        <v>464</v>
      </c>
      <c r="L1520" s="9">
        <v>2023</v>
      </c>
      <c r="M1520" s="8" t="s">
        <v>9488</v>
      </c>
      <c r="N1520" s="8" t="s">
        <v>41</v>
      </c>
      <c r="O1520" s="8" t="s">
        <v>1204</v>
      </c>
      <c r="P1520" s="6" t="s">
        <v>167</v>
      </c>
      <c r="Q1520" s="8" t="s">
        <v>44</v>
      </c>
      <c r="R1520" s="10" t="s">
        <v>9489</v>
      </c>
      <c r="S1520" s="11" t="s">
        <v>9490</v>
      </c>
      <c r="T1520" s="6"/>
      <c r="U1520" s="24" t="str">
        <f>HYPERLINK("https://media.infra-m.ru/1916/1916412/cover/1916412.jpg", "Обложка")</f>
        <v>Обложка</v>
      </c>
      <c r="V1520" s="24" t="str">
        <f>HYPERLINK("https://znanium.ru/catalog/product/1916412", "Ознакомиться")</f>
        <v>Ознакомиться</v>
      </c>
      <c r="W1520" s="8" t="s">
        <v>7320</v>
      </c>
      <c r="X1520" s="6"/>
      <c r="Y1520" s="6"/>
      <c r="Z1520" s="6"/>
      <c r="AA1520" s="6" t="s">
        <v>377</v>
      </c>
      <c r="AB1520" s="8"/>
    </row>
    <row r="1521" spans="1:28" s="4" customFormat="1" ht="44.1" customHeight="1">
      <c r="A1521" s="5">
        <v>0</v>
      </c>
      <c r="B1521" s="6" t="s">
        <v>9491</v>
      </c>
      <c r="C1521" s="13">
        <v>2594</v>
      </c>
      <c r="D1521" s="8" t="s">
        <v>9492</v>
      </c>
      <c r="E1521" s="8" t="s">
        <v>9493</v>
      </c>
      <c r="F1521" s="8" t="s">
        <v>9494</v>
      </c>
      <c r="G1521" s="6" t="s">
        <v>52</v>
      </c>
      <c r="H1521" s="6" t="s">
        <v>674</v>
      </c>
      <c r="I1521" s="8"/>
      <c r="J1521" s="9">
        <v>1</v>
      </c>
      <c r="K1521" s="9">
        <v>1104</v>
      </c>
      <c r="L1521" s="9">
        <v>2024</v>
      </c>
      <c r="M1521" s="8" t="s">
        <v>9495</v>
      </c>
      <c r="N1521" s="8" t="s">
        <v>41</v>
      </c>
      <c r="O1521" s="8" t="s">
        <v>1204</v>
      </c>
      <c r="P1521" s="6" t="s">
        <v>167</v>
      </c>
      <c r="Q1521" s="8" t="s">
        <v>44</v>
      </c>
      <c r="R1521" s="10" t="s">
        <v>9496</v>
      </c>
      <c r="S1521" s="11"/>
      <c r="T1521" s="6"/>
      <c r="U1521" s="24" t="str">
        <f>HYPERLINK("https://media.infra-m.ru/2133/2133781/cover/2133781.jpg", "Обложка")</f>
        <v>Обложка</v>
      </c>
      <c r="V1521" s="24" t="str">
        <f>HYPERLINK("https://znanium.ru/catalog/product/2133781", "Ознакомиться")</f>
        <v>Ознакомиться</v>
      </c>
      <c r="W1521" s="8" t="s">
        <v>4293</v>
      </c>
      <c r="X1521" s="6"/>
      <c r="Y1521" s="6"/>
      <c r="Z1521" s="6"/>
      <c r="AA1521" s="6" t="s">
        <v>2217</v>
      </c>
      <c r="AB1521" s="8"/>
    </row>
    <row r="1522" spans="1:28" s="4" customFormat="1" ht="51.95" customHeight="1">
      <c r="A1522" s="5">
        <v>0</v>
      </c>
      <c r="B1522" s="6" t="s">
        <v>9497</v>
      </c>
      <c r="C1522" s="13">
        <v>1474</v>
      </c>
      <c r="D1522" s="8" t="s">
        <v>9498</v>
      </c>
      <c r="E1522" s="8" t="s">
        <v>9493</v>
      </c>
      <c r="F1522" s="8" t="s">
        <v>6978</v>
      </c>
      <c r="G1522" s="6" t="s">
        <v>52</v>
      </c>
      <c r="H1522" s="6" t="s">
        <v>53</v>
      </c>
      <c r="I1522" s="8" t="s">
        <v>90</v>
      </c>
      <c r="J1522" s="9">
        <v>1</v>
      </c>
      <c r="K1522" s="9">
        <v>284</v>
      </c>
      <c r="L1522" s="9">
        <v>2025</v>
      </c>
      <c r="M1522" s="8" t="s">
        <v>9499</v>
      </c>
      <c r="N1522" s="8" t="s">
        <v>41</v>
      </c>
      <c r="O1522" s="8" t="s">
        <v>1204</v>
      </c>
      <c r="P1522" s="6" t="s">
        <v>43</v>
      </c>
      <c r="Q1522" s="8" t="s">
        <v>44</v>
      </c>
      <c r="R1522" s="10" t="s">
        <v>9500</v>
      </c>
      <c r="S1522" s="11" t="s">
        <v>4716</v>
      </c>
      <c r="T1522" s="6"/>
      <c r="U1522" s="24" t="str">
        <f>HYPERLINK("https://media.infra-m.ru/2196/2196094/cover/2196094.jpg", "Обложка")</f>
        <v>Обложка</v>
      </c>
      <c r="V1522" s="24" t="str">
        <f>HYPERLINK("https://znanium.ru/catalog/product/1079880", "Ознакомиться")</f>
        <v>Ознакомиться</v>
      </c>
      <c r="W1522" s="8" t="s">
        <v>4293</v>
      </c>
      <c r="X1522" s="6"/>
      <c r="Y1522" s="6"/>
      <c r="Z1522" s="6"/>
      <c r="AA1522" s="6" t="s">
        <v>418</v>
      </c>
      <c r="AB1522" s="8"/>
    </row>
    <row r="1523" spans="1:28" s="4" customFormat="1" ht="42" customHeight="1">
      <c r="A1523" s="5">
        <v>0</v>
      </c>
      <c r="B1523" s="6" t="s">
        <v>9501</v>
      </c>
      <c r="C1523" s="7">
        <v>794.9</v>
      </c>
      <c r="D1523" s="8" t="s">
        <v>9502</v>
      </c>
      <c r="E1523" s="8" t="s">
        <v>9503</v>
      </c>
      <c r="F1523" s="8" t="s">
        <v>9504</v>
      </c>
      <c r="G1523" s="6" t="s">
        <v>52</v>
      </c>
      <c r="H1523" s="6" t="s">
        <v>53</v>
      </c>
      <c r="I1523" s="8"/>
      <c r="J1523" s="9">
        <v>1</v>
      </c>
      <c r="K1523" s="9">
        <v>269</v>
      </c>
      <c r="L1523" s="9">
        <v>2019</v>
      </c>
      <c r="M1523" s="8" t="s">
        <v>9505</v>
      </c>
      <c r="N1523" s="8" t="s">
        <v>41</v>
      </c>
      <c r="O1523" s="8" t="s">
        <v>4035</v>
      </c>
      <c r="P1523" s="6" t="s">
        <v>43</v>
      </c>
      <c r="Q1523" s="8" t="s">
        <v>44</v>
      </c>
      <c r="R1523" s="10" t="s">
        <v>8769</v>
      </c>
      <c r="S1523" s="11"/>
      <c r="T1523" s="6" t="s">
        <v>299</v>
      </c>
      <c r="U1523" s="24" t="str">
        <f>HYPERLINK("https://media.infra-m.ru/1008/1008023/cover/1008023.jpg", "Обложка")</f>
        <v>Обложка</v>
      </c>
      <c r="V1523" s="24" t="str">
        <f>HYPERLINK("https://znanium.ru/catalog/product/1008023", "Ознакомиться")</f>
        <v>Ознакомиться</v>
      </c>
      <c r="W1523" s="8" t="s">
        <v>9506</v>
      </c>
      <c r="X1523" s="6"/>
      <c r="Y1523" s="6"/>
      <c r="Z1523" s="6"/>
      <c r="AA1523" s="6" t="s">
        <v>111</v>
      </c>
      <c r="AB1523" s="8"/>
    </row>
    <row r="1524" spans="1:28" s="4" customFormat="1" ht="51.95" customHeight="1">
      <c r="A1524" s="5">
        <v>0</v>
      </c>
      <c r="B1524" s="6" t="s">
        <v>9507</v>
      </c>
      <c r="C1524" s="13">
        <v>1614</v>
      </c>
      <c r="D1524" s="8" t="s">
        <v>9508</v>
      </c>
      <c r="E1524" s="8" t="s">
        <v>9509</v>
      </c>
      <c r="F1524" s="8" t="s">
        <v>2317</v>
      </c>
      <c r="G1524" s="6" t="s">
        <v>89</v>
      </c>
      <c r="H1524" s="6" t="s">
        <v>53</v>
      </c>
      <c r="I1524" s="8" t="s">
        <v>90</v>
      </c>
      <c r="J1524" s="9">
        <v>1</v>
      </c>
      <c r="K1524" s="9">
        <v>351</v>
      </c>
      <c r="L1524" s="9">
        <v>2024</v>
      </c>
      <c r="M1524" s="8" t="s">
        <v>9510</v>
      </c>
      <c r="N1524" s="8" t="s">
        <v>41</v>
      </c>
      <c r="O1524" s="8" t="s">
        <v>278</v>
      </c>
      <c r="P1524" s="6" t="s">
        <v>43</v>
      </c>
      <c r="Q1524" s="8" t="s">
        <v>44</v>
      </c>
      <c r="R1524" s="10" t="s">
        <v>9511</v>
      </c>
      <c r="S1524" s="11" t="s">
        <v>9512</v>
      </c>
      <c r="T1524" s="6"/>
      <c r="U1524" s="24" t="str">
        <f>HYPERLINK("https://media.infra-m.ru/2054/2054981/cover/2054981.jpg", "Обложка")</f>
        <v>Обложка</v>
      </c>
      <c r="V1524" s="24" t="str">
        <f>HYPERLINK("https://znanium.ru/catalog/product/1320063", "Ознакомиться")</f>
        <v>Ознакомиться</v>
      </c>
      <c r="W1524" s="8" t="s">
        <v>2321</v>
      </c>
      <c r="X1524" s="6"/>
      <c r="Y1524" s="6"/>
      <c r="Z1524" s="6"/>
      <c r="AA1524" s="6" t="s">
        <v>555</v>
      </c>
      <c r="AB1524" s="8"/>
    </row>
    <row r="1525" spans="1:28" s="4" customFormat="1" ht="51.95" customHeight="1">
      <c r="A1525" s="5">
        <v>0</v>
      </c>
      <c r="B1525" s="6" t="s">
        <v>9513</v>
      </c>
      <c r="C1525" s="13">
        <v>1650</v>
      </c>
      <c r="D1525" s="8" t="s">
        <v>9514</v>
      </c>
      <c r="E1525" s="8" t="s">
        <v>9509</v>
      </c>
      <c r="F1525" s="8" t="s">
        <v>2324</v>
      </c>
      <c r="G1525" s="6" t="s">
        <v>89</v>
      </c>
      <c r="H1525" s="6" t="s">
        <v>53</v>
      </c>
      <c r="I1525" s="8" t="s">
        <v>100</v>
      </c>
      <c r="J1525" s="9">
        <v>1</v>
      </c>
      <c r="K1525" s="9">
        <v>351</v>
      </c>
      <c r="L1525" s="9">
        <v>2024</v>
      </c>
      <c r="M1525" s="8" t="s">
        <v>9515</v>
      </c>
      <c r="N1525" s="8" t="s">
        <v>41</v>
      </c>
      <c r="O1525" s="8" t="s">
        <v>278</v>
      </c>
      <c r="P1525" s="6" t="s">
        <v>43</v>
      </c>
      <c r="Q1525" s="8" t="s">
        <v>102</v>
      </c>
      <c r="R1525" s="10" t="s">
        <v>9516</v>
      </c>
      <c r="S1525" s="11" t="s">
        <v>9517</v>
      </c>
      <c r="T1525" s="6"/>
      <c r="U1525" s="24" t="str">
        <f>HYPERLINK("https://media.infra-m.ru/2131/2131818/cover/2131818.jpg", "Обложка")</f>
        <v>Обложка</v>
      </c>
      <c r="V1525" s="24" t="str">
        <f>HYPERLINK("https://znanium.ru/catalog/product/2131818", "Ознакомиться")</f>
        <v>Ознакомиться</v>
      </c>
      <c r="W1525" s="8" t="s">
        <v>2321</v>
      </c>
      <c r="X1525" s="6"/>
      <c r="Y1525" s="6"/>
      <c r="Z1525" s="6" t="s">
        <v>104</v>
      </c>
      <c r="AA1525" s="6" t="s">
        <v>219</v>
      </c>
      <c r="AB1525" s="8"/>
    </row>
    <row r="1526" spans="1:28" s="4" customFormat="1" ht="51.95" customHeight="1">
      <c r="A1526" s="5">
        <v>0</v>
      </c>
      <c r="B1526" s="6" t="s">
        <v>9518</v>
      </c>
      <c r="C1526" s="7">
        <v>954</v>
      </c>
      <c r="D1526" s="8" t="s">
        <v>9519</v>
      </c>
      <c r="E1526" s="8" t="s">
        <v>9520</v>
      </c>
      <c r="F1526" s="8" t="s">
        <v>9521</v>
      </c>
      <c r="G1526" s="6" t="s">
        <v>89</v>
      </c>
      <c r="H1526" s="6" t="s">
        <v>53</v>
      </c>
      <c r="I1526" s="8" t="s">
        <v>90</v>
      </c>
      <c r="J1526" s="9">
        <v>1</v>
      </c>
      <c r="K1526" s="9">
        <v>190</v>
      </c>
      <c r="L1526" s="9">
        <v>2025</v>
      </c>
      <c r="M1526" s="8" t="s">
        <v>9522</v>
      </c>
      <c r="N1526" s="8" t="s">
        <v>41</v>
      </c>
      <c r="O1526" s="8" t="s">
        <v>278</v>
      </c>
      <c r="P1526" s="6" t="s">
        <v>43</v>
      </c>
      <c r="Q1526" s="8" t="s">
        <v>44</v>
      </c>
      <c r="R1526" s="10" t="s">
        <v>9523</v>
      </c>
      <c r="S1526" s="11" t="s">
        <v>9524</v>
      </c>
      <c r="T1526" s="6"/>
      <c r="U1526" s="24" t="str">
        <f>HYPERLINK("https://media.infra-m.ru/2184/2184886/cover/2184886.jpg", "Обложка")</f>
        <v>Обложка</v>
      </c>
      <c r="V1526" s="24" t="str">
        <f>HYPERLINK("https://znanium.ru/catalog/product/1872359", "Ознакомиться")</f>
        <v>Ознакомиться</v>
      </c>
      <c r="W1526" s="8" t="s">
        <v>2122</v>
      </c>
      <c r="X1526" s="6"/>
      <c r="Y1526" s="6"/>
      <c r="Z1526" s="6"/>
      <c r="AA1526" s="6" t="s">
        <v>442</v>
      </c>
      <c r="AB1526" s="8"/>
    </row>
    <row r="1527" spans="1:28" s="4" customFormat="1" ht="51.95" customHeight="1">
      <c r="A1527" s="5">
        <v>0</v>
      </c>
      <c r="B1527" s="6" t="s">
        <v>9525</v>
      </c>
      <c r="C1527" s="7">
        <v>850</v>
      </c>
      <c r="D1527" s="8" t="s">
        <v>9526</v>
      </c>
      <c r="E1527" s="8" t="s">
        <v>9520</v>
      </c>
      <c r="F1527" s="8" t="s">
        <v>9521</v>
      </c>
      <c r="G1527" s="6" t="s">
        <v>89</v>
      </c>
      <c r="H1527" s="6" t="s">
        <v>53</v>
      </c>
      <c r="I1527" s="8" t="s">
        <v>100</v>
      </c>
      <c r="J1527" s="9">
        <v>1</v>
      </c>
      <c r="K1527" s="9">
        <v>190</v>
      </c>
      <c r="L1527" s="9">
        <v>2023</v>
      </c>
      <c r="M1527" s="8" t="s">
        <v>9527</v>
      </c>
      <c r="N1527" s="8" t="s">
        <v>41</v>
      </c>
      <c r="O1527" s="8" t="s">
        <v>278</v>
      </c>
      <c r="P1527" s="6" t="s">
        <v>43</v>
      </c>
      <c r="Q1527" s="8" t="s">
        <v>102</v>
      </c>
      <c r="R1527" s="10" t="s">
        <v>2779</v>
      </c>
      <c r="S1527" s="11" t="s">
        <v>9528</v>
      </c>
      <c r="T1527" s="6"/>
      <c r="U1527" s="24" t="str">
        <f>HYPERLINK("https://media.infra-m.ru/1891/1891925/cover/1891925.jpg", "Обложка")</f>
        <v>Обложка</v>
      </c>
      <c r="V1527" s="24" t="str">
        <f>HYPERLINK("https://znanium.ru/catalog/product/1891925", "Ознакомиться")</f>
        <v>Ознакомиться</v>
      </c>
      <c r="W1527" s="8" t="s">
        <v>2122</v>
      </c>
      <c r="X1527" s="6"/>
      <c r="Y1527" s="6"/>
      <c r="Z1527" s="6" t="s">
        <v>104</v>
      </c>
      <c r="AA1527" s="6" t="s">
        <v>258</v>
      </c>
      <c r="AB1527" s="8"/>
    </row>
    <row r="1528" spans="1:28" s="4" customFormat="1" ht="51.95" customHeight="1">
      <c r="A1528" s="5">
        <v>0</v>
      </c>
      <c r="B1528" s="6" t="s">
        <v>9529</v>
      </c>
      <c r="C1528" s="7">
        <v>360</v>
      </c>
      <c r="D1528" s="8" t="s">
        <v>9530</v>
      </c>
      <c r="E1528" s="8" t="s">
        <v>9531</v>
      </c>
      <c r="F1528" s="8" t="s">
        <v>9532</v>
      </c>
      <c r="G1528" s="6" t="s">
        <v>38</v>
      </c>
      <c r="H1528" s="6" t="s">
        <v>184</v>
      </c>
      <c r="I1528" s="8" t="s">
        <v>90</v>
      </c>
      <c r="J1528" s="9">
        <v>1</v>
      </c>
      <c r="K1528" s="9">
        <v>100</v>
      </c>
      <c r="L1528" s="9">
        <v>2021</v>
      </c>
      <c r="M1528" s="8" t="s">
        <v>9533</v>
      </c>
      <c r="N1528" s="8" t="s">
        <v>41</v>
      </c>
      <c r="O1528" s="8" t="s">
        <v>118</v>
      </c>
      <c r="P1528" s="6" t="s">
        <v>43</v>
      </c>
      <c r="Q1528" s="8" t="s">
        <v>44</v>
      </c>
      <c r="R1528" s="10" t="s">
        <v>9534</v>
      </c>
      <c r="S1528" s="11" t="s">
        <v>9535</v>
      </c>
      <c r="T1528" s="6" t="s">
        <v>299</v>
      </c>
      <c r="U1528" s="24" t="str">
        <f>HYPERLINK("https://media.infra-m.ru/1218/1218436/cover/1218436.jpg", "Обложка")</f>
        <v>Обложка</v>
      </c>
      <c r="V1528" s="24" t="str">
        <f>HYPERLINK("https://znanium.ru/catalog/product/1218436", "Ознакомиться")</f>
        <v>Ознакомиться</v>
      </c>
      <c r="W1528" s="8" t="s">
        <v>9536</v>
      </c>
      <c r="X1528" s="6"/>
      <c r="Y1528" s="6"/>
      <c r="Z1528" s="6"/>
      <c r="AA1528" s="6" t="s">
        <v>442</v>
      </c>
      <c r="AB1528" s="8"/>
    </row>
    <row r="1529" spans="1:28" s="4" customFormat="1" ht="51.95" customHeight="1">
      <c r="A1529" s="5">
        <v>0</v>
      </c>
      <c r="B1529" s="6" t="s">
        <v>9537</v>
      </c>
      <c r="C1529" s="13">
        <v>1584</v>
      </c>
      <c r="D1529" s="8" t="s">
        <v>9538</v>
      </c>
      <c r="E1529" s="8" t="s">
        <v>9539</v>
      </c>
      <c r="F1529" s="8" t="s">
        <v>9540</v>
      </c>
      <c r="G1529" s="6" t="s">
        <v>52</v>
      </c>
      <c r="H1529" s="6" t="s">
        <v>77</v>
      </c>
      <c r="I1529" s="8"/>
      <c r="J1529" s="9">
        <v>1</v>
      </c>
      <c r="K1529" s="9">
        <v>304</v>
      </c>
      <c r="L1529" s="9">
        <v>2025</v>
      </c>
      <c r="M1529" s="8" t="s">
        <v>9541</v>
      </c>
      <c r="N1529" s="8" t="s">
        <v>56</v>
      </c>
      <c r="O1529" s="8" t="s">
        <v>4042</v>
      </c>
      <c r="P1529" s="6" t="s">
        <v>43</v>
      </c>
      <c r="Q1529" s="8" t="s">
        <v>44</v>
      </c>
      <c r="R1529" s="10" t="s">
        <v>8929</v>
      </c>
      <c r="S1529" s="11" t="s">
        <v>9542</v>
      </c>
      <c r="T1529" s="6"/>
      <c r="U1529" s="24" t="str">
        <f>HYPERLINK("https://media.infra-m.ru/2188/2188754/cover/2188754.jpg", "Обложка")</f>
        <v>Обложка</v>
      </c>
      <c r="V1529" s="24" t="str">
        <f>HYPERLINK("https://znanium.ru/catalog/product/1069143", "Ознакомиться")</f>
        <v>Ознакомиться</v>
      </c>
      <c r="W1529" s="8" t="s">
        <v>7243</v>
      </c>
      <c r="X1529" s="6"/>
      <c r="Y1529" s="6"/>
      <c r="Z1529" s="6"/>
      <c r="AA1529" s="6" t="s">
        <v>72</v>
      </c>
      <c r="AB1529" s="8"/>
    </row>
    <row r="1530" spans="1:28" s="4" customFormat="1" ht="44.1" customHeight="1">
      <c r="A1530" s="5">
        <v>0</v>
      </c>
      <c r="B1530" s="6" t="s">
        <v>9543</v>
      </c>
      <c r="C1530" s="7">
        <v>994</v>
      </c>
      <c r="D1530" s="8" t="s">
        <v>9544</v>
      </c>
      <c r="E1530" s="8" t="s">
        <v>9545</v>
      </c>
      <c r="F1530" s="8" t="s">
        <v>9546</v>
      </c>
      <c r="G1530" s="6" t="s">
        <v>52</v>
      </c>
      <c r="H1530" s="6" t="s">
        <v>53</v>
      </c>
      <c r="I1530" s="8" t="s">
        <v>276</v>
      </c>
      <c r="J1530" s="9">
        <v>1</v>
      </c>
      <c r="K1530" s="9">
        <v>217</v>
      </c>
      <c r="L1530" s="9">
        <v>2024</v>
      </c>
      <c r="M1530" s="8" t="s">
        <v>9547</v>
      </c>
      <c r="N1530" s="8" t="s">
        <v>56</v>
      </c>
      <c r="O1530" s="8" t="s">
        <v>4042</v>
      </c>
      <c r="P1530" s="6" t="s">
        <v>43</v>
      </c>
      <c r="Q1530" s="8" t="s">
        <v>279</v>
      </c>
      <c r="R1530" s="10" t="s">
        <v>9548</v>
      </c>
      <c r="S1530" s="11"/>
      <c r="T1530" s="6"/>
      <c r="U1530" s="24" t="str">
        <f>HYPERLINK("https://media.infra-m.ru/2091/2091931/cover/2091931.jpg", "Обложка")</f>
        <v>Обложка</v>
      </c>
      <c r="V1530" s="24" t="str">
        <f>HYPERLINK("https://znanium.ru/catalog/product/1069145", "Ознакомиться")</f>
        <v>Ознакомиться</v>
      </c>
      <c r="W1530" s="8" t="s">
        <v>4293</v>
      </c>
      <c r="X1530" s="6"/>
      <c r="Y1530" s="6"/>
      <c r="Z1530" s="6"/>
      <c r="AA1530" s="6" t="s">
        <v>84</v>
      </c>
      <c r="AB1530" s="8"/>
    </row>
    <row r="1531" spans="1:28" s="4" customFormat="1" ht="51.95" customHeight="1">
      <c r="A1531" s="5">
        <v>0</v>
      </c>
      <c r="B1531" s="6" t="s">
        <v>9549</v>
      </c>
      <c r="C1531" s="13">
        <v>1674</v>
      </c>
      <c r="D1531" s="8" t="s">
        <v>9550</v>
      </c>
      <c r="E1531" s="8" t="s">
        <v>9551</v>
      </c>
      <c r="F1531" s="8" t="s">
        <v>9552</v>
      </c>
      <c r="G1531" s="6" t="s">
        <v>52</v>
      </c>
      <c r="H1531" s="6" t="s">
        <v>66</v>
      </c>
      <c r="I1531" s="8" t="s">
        <v>116</v>
      </c>
      <c r="J1531" s="9">
        <v>1</v>
      </c>
      <c r="K1531" s="9">
        <v>336</v>
      </c>
      <c r="L1531" s="9">
        <v>2024</v>
      </c>
      <c r="M1531" s="8" t="s">
        <v>9553</v>
      </c>
      <c r="N1531" s="8" t="s">
        <v>56</v>
      </c>
      <c r="O1531" s="8" t="s">
        <v>4042</v>
      </c>
      <c r="P1531" s="6" t="s">
        <v>167</v>
      </c>
      <c r="Q1531" s="8" t="s">
        <v>44</v>
      </c>
      <c r="R1531" s="10" t="s">
        <v>8929</v>
      </c>
      <c r="S1531" s="11"/>
      <c r="T1531" s="6"/>
      <c r="U1531" s="24" t="str">
        <f>HYPERLINK("https://media.infra-m.ru/2059/2059576/cover/2059576.jpg", "Обложка")</f>
        <v>Обложка</v>
      </c>
      <c r="V1531" s="24" t="str">
        <f>HYPERLINK("https://znanium.ru/catalog/product/933911", "Ознакомиться")</f>
        <v>Ознакомиться</v>
      </c>
      <c r="W1531" s="8" t="s">
        <v>947</v>
      </c>
      <c r="X1531" s="6"/>
      <c r="Y1531" s="6"/>
      <c r="Z1531" s="6"/>
      <c r="AA1531" s="6" t="s">
        <v>122</v>
      </c>
      <c r="AB1531" s="8"/>
    </row>
    <row r="1532" spans="1:28" s="4" customFormat="1" ht="51.95" customHeight="1">
      <c r="A1532" s="5">
        <v>0</v>
      </c>
      <c r="B1532" s="6" t="s">
        <v>9554</v>
      </c>
      <c r="C1532" s="13">
        <v>1794</v>
      </c>
      <c r="D1532" s="8" t="s">
        <v>9555</v>
      </c>
      <c r="E1532" s="8" t="s">
        <v>9556</v>
      </c>
      <c r="F1532" s="8" t="s">
        <v>3090</v>
      </c>
      <c r="G1532" s="6" t="s">
        <v>52</v>
      </c>
      <c r="H1532" s="6" t="s">
        <v>53</v>
      </c>
      <c r="I1532" s="8" t="s">
        <v>90</v>
      </c>
      <c r="J1532" s="9">
        <v>1</v>
      </c>
      <c r="K1532" s="9">
        <v>379</v>
      </c>
      <c r="L1532" s="9">
        <v>2024</v>
      </c>
      <c r="M1532" s="8" t="s">
        <v>9557</v>
      </c>
      <c r="N1532" s="8" t="s">
        <v>56</v>
      </c>
      <c r="O1532" s="8" t="s">
        <v>4042</v>
      </c>
      <c r="P1532" s="6" t="s">
        <v>43</v>
      </c>
      <c r="Q1532" s="8" t="s">
        <v>44</v>
      </c>
      <c r="R1532" s="10" t="s">
        <v>4285</v>
      </c>
      <c r="S1532" s="11" t="s">
        <v>9558</v>
      </c>
      <c r="T1532" s="6"/>
      <c r="U1532" s="24" t="str">
        <f>HYPERLINK("https://media.infra-m.ru/2122/2122062/cover/2122062.jpg", "Обложка")</f>
        <v>Обложка</v>
      </c>
      <c r="V1532" s="24" t="str">
        <f>HYPERLINK("https://znanium.ru/catalog/product/2117638", "Ознакомиться")</f>
        <v>Ознакомиться</v>
      </c>
      <c r="W1532" s="8" t="s">
        <v>2201</v>
      </c>
      <c r="X1532" s="6"/>
      <c r="Y1532" s="6"/>
      <c r="Z1532" s="6"/>
      <c r="AA1532" s="6" t="s">
        <v>867</v>
      </c>
      <c r="AB1532" s="8"/>
    </row>
    <row r="1533" spans="1:28" s="4" customFormat="1" ht="51.95" customHeight="1">
      <c r="A1533" s="5">
        <v>0</v>
      </c>
      <c r="B1533" s="6" t="s">
        <v>9559</v>
      </c>
      <c r="C1533" s="13">
        <v>1400</v>
      </c>
      <c r="D1533" s="8" t="s">
        <v>9560</v>
      </c>
      <c r="E1533" s="8" t="s">
        <v>9561</v>
      </c>
      <c r="F1533" s="8" t="s">
        <v>9562</v>
      </c>
      <c r="G1533" s="6" t="s">
        <v>89</v>
      </c>
      <c r="H1533" s="6" t="s">
        <v>53</v>
      </c>
      <c r="I1533" s="8" t="s">
        <v>90</v>
      </c>
      <c r="J1533" s="9">
        <v>1</v>
      </c>
      <c r="K1533" s="9">
        <v>311</v>
      </c>
      <c r="L1533" s="9">
        <v>2023</v>
      </c>
      <c r="M1533" s="8" t="s">
        <v>9563</v>
      </c>
      <c r="N1533" s="8" t="s">
        <v>41</v>
      </c>
      <c r="O1533" s="8" t="s">
        <v>1007</v>
      </c>
      <c r="P1533" s="6" t="s">
        <v>43</v>
      </c>
      <c r="Q1533" s="8" t="s">
        <v>44</v>
      </c>
      <c r="R1533" s="10" t="s">
        <v>2461</v>
      </c>
      <c r="S1533" s="11" t="s">
        <v>9564</v>
      </c>
      <c r="T1533" s="6" t="s">
        <v>299</v>
      </c>
      <c r="U1533" s="24" t="str">
        <f>HYPERLINK("https://media.infra-m.ru/1978/1978080/cover/1978080.jpg", "Обложка")</f>
        <v>Обложка</v>
      </c>
      <c r="V1533" s="24" t="str">
        <f>HYPERLINK("https://znanium.ru/catalog/product/1978080", "Ознакомиться")</f>
        <v>Ознакомиться</v>
      </c>
      <c r="W1533" s="8" t="s">
        <v>4309</v>
      </c>
      <c r="X1533" s="6"/>
      <c r="Y1533" s="6"/>
      <c r="Z1533" s="6"/>
      <c r="AA1533" s="6" t="s">
        <v>494</v>
      </c>
      <c r="AB1533" s="8"/>
    </row>
    <row r="1534" spans="1:28" s="4" customFormat="1" ht="51.95" customHeight="1">
      <c r="A1534" s="5">
        <v>0</v>
      </c>
      <c r="B1534" s="6" t="s">
        <v>9565</v>
      </c>
      <c r="C1534" s="13">
        <v>2080</v>
      </c>
      <c r="D1534" s="8" t="s">
        <v>9566</v>
      </c>
      <c r="E1534" s="8" t="s">
        <v>9567</v>
      </c>
      <c r="F1534" s="8" t="s">
        <v>9568</v>
      </c>
      <c r="G1534" s="6" t="s">
        <v>52</v>
      </c>
      <c r="H1534" s="6" t="s">
        <v>66</v>
      </c>
      <c r="I1534" s="8" t="s">
        <v>116</v>
      </c>
      <c r="J1534" s="9">
        <v>1</v>
      </c>
      <c r="K1534" s="9">
        <v>416</v>
      </c>
      <c r="L1534" s="9">
        <v>2025</v>
      </c>
      <c r="M1534" s="8" t="s">
        <v>9569</v>
      </c>
      <c r="N1534" s="8" t="s">
        <v>41</v>
      </c>
      <c r="O1534" s="8" t="s">
        <v>1007</v>
      </c>
      <c r="P1534" s="6" t="s">
        <v>167</v>
      </c>
      <c r="Q1534" s="8" t="s">
        <v>44</v>
      </c>
      <c r="R1534" s="10" t="s">
        <v>9570</v>
      </c>
      <c r="S1534" s="11" t="s">
        <v>406</v>
      </c>
      <c r="T1534" s="6"/>
      <c r="U1534" s="24" t="str">
        <f>HYPERLINK("https://media.infra-m.ru/2181/2181436/cover/2181436.jpg", "Обложка")</f>
        <v>Обложка</v>
      </c>
      <c r="V1534" s="24" t="str">
        <f>HYPERLINK("https://znanium.ru/catalog/product/2181436", "Ознакомиться")</f>
        <v>Ознакомиться</v>
      </c>
      <c r="W1534" s="8" t="s">
        <v>189</v>
      </c>
      <c r="X1534" s="6"/>
      <c r="Y1534" s="6"/>
      <c r="Z1534" s="6"/>
      <c r="AA1534" s="6" t="s">
        <v>9571</v>
      </c>
      <c r="AB1534" s="8"/>
    </row>
    <row r="1535" spans="1:28" s="4" customFormat="1" ht="51.95" customHeight="1">
      <c r="A1535" s="5">
        <v>0</v>
      </c>
      <c r="B1535" s="6" t="s">
        <v>9572</v>
      </c>
      <c r="C1535" s="7">
        <v>814</v>
      </c>
      <c r="D1535" s="8" t="s">
        <v>9573</v>
      </c>
      <c r="E1535" s="8" t="s">
        <v>9574</v>
      </c>
      <c r="F1535" s="8" t="s">
        <v>7911</v>
      </c>
      <c r="G1535" s="6" t="s">
        <v>38</v>
      </c>
      <c r="H1535" s="6" t="s">
        <v>952</v>
      </c>
      <c r="I1535" s="8"/>
      <c r="J1535" s="9">
        <v>1</v>
      </c>
      <c r="K1535" s="9">
        <v>176</v>
      </c>
      <c r="L1535" s="9">
        <v>2024</v>
      </c>
      <c r="M1535" s="8" t="s">
        <v>9575</v>
      </c>
      <c r="N1535" s="8" t="s">
        <v>41</v>
      </c>
      <c r="O1535" s="8" t="s">
        <v>1007</v>
      </c>
      <c r="P1535" s="6" t="s">
        <v>43</v>
      </c>
      <c r="Q1535" s="8" t="s">
        <v>44</v>
      </c>
      <c r="R1535" s="10" t="s">
        <v>168</v>
      </c>
      <c r="S1535" s="11" t="s">
        <v>9576</v>
      </c>
      <c r="T1535" s="6"/>
      <c r="U1535" s="24" t="str">
        <f>HYPERLINK("https://media.infra-m.ru/2056/2056621/cover/2056621.jpg", "Обложка")</f>
        <v>Обложка</v>
      </c>
      <c r="V1535" s="24" t="str">
        <f>HYPERLINK("https://znanium.ru/catalog/product/991841", "Ознакомиться")</f>
        <v>Ознакомиться</v>
      </c>
      <c r="W1535" s="8"/>
      <c r="X1535" s="6"/>
      <c r="Y1535" s="6"/>
      <c r="Z1535" s="6"/>
      <c r="AA1535" s="6" t="s">
        <v>1135</v>
      </c>
      <c r="AB1535" s="8"/>
    </row>
    <row r="1536" spans="1:28" s="4" customFormat="1" ht="51.95" customHeight="1">
      <c r="A1536" s="5">
        <v>0</v>
      </c>
      <c r="B1536" s="6" t="s">
        <v>9577</v>
      </c>
      <c r="C1536" s="13">
        <v>2254</v>
      </c>
      <c r="D1536" s="8" t="s">
        <v>9578</v>
      </c>
      <c r="E1536" s="8" t="s">
        <v>9579</v>
      </c>
      <c r="F1536" s="8" t="s">
        <v>9580</v>
      </c>
      <c r="G1536" s="6" t="s">
        <v>52</v>
      </c>
      <c r="H1536" s="6" t="s">
        <v>952</v>
      </c>
      <c r="I1536" s="8"/>
      <c r="J1536" s="9">
        <v>1</v>
      </c>
      <c r="K1536" s="9">
        <v>480</v>
      </c>
      <c r="L1536" s="9">
        <v>2024</v>
      </c>
      <c r="M1536" s="8" t="s">
        <v>9581</v>
      </c>
      <c r="N1536" s="8" t="s">
        <v>41</v>
      </c>
      <c r="O1536" s="8" t="s">
        <v>1007</v>
      </c>
      <c r="P1536" s="6" t="s">
        <v>167</v>
      </c>
      <c r="Q1536" s="8" t="s">
        <v>44</v>
      </c>
      <c r="R1536" s="10" t="s">
        <v>2461</v>
      </c>
      <c r="S1536" s="11" t="s">
        <v>9582</v>
      </c>
      <c r="T1536" s="6"/>
      <c r="U1536" s="24" t="str">
        <f>HYPERLINK("https://media.infra-m.ru/2137/2137052/cover/2137052.jpg", "Обложка")</f>
        <v>Обложка</v>
      </c>
      <c r="V1536" s="24" t="str">
        <f>HYPERLINK("https://znanium.ru/catalog/product/2137052", "Ознакомиться")</f>
        <v>Ознакомиться</v>
      </c>
      <c r="W1536" s="8" t="s">
        <v>2988</v>
      </c>
      <c r="X1536" s="6"/>
      <c r="Y1536" s="6"/>
      <c r="Z1536" s="6"/>
      <c r="AA1536" s="6" t="s">
        <v>4236</v>
      </c>
      <c r="AB1536" s="8"/>
    </row>
    <row r="1537" spans="1:28" s="4" customFormat="1" ht="51.95" customHeight="1">
      <c r="A1537" s="5">
        <v>0</v>
      </c>
      <c r="B1537" s="6" t="s">
        <v>9583</v>
      </c>
      <c r="C1537" s="13">
        <v>1400</v>
      </c>
      <c r="D1537" s="8" t="s">
        <v>9584</v>
      </c>
      <c r="E1537" s="8" t="s">
        <v>9585</v>
      </c>
      <c r="F1537" s="8" t="s">
        <v>9586</v>
      </c>
      <c r="G1537" s="6" t="s">
        <v>52</v>
      </c>
      <c r="H1537" s="6" t="s">
        <v>53</v>
      </c>
      <c r="I1537" s="8" t="s">
        <v>90</v>
      </c>
      <c r="J1537" s="9">
        <v>1</v>
      </c>
      <c r="K1537" s="9">
        <v>480</v>
      </c>
      <c r="L1537" s="9">
        <v>2018</v>
      </c>
      <c r="M1537" s="8" t="s">
        <v>9587</v>
      </c>
      <c r="N1537" s="8" t="s">
        <v>41</v>
      </c>
      <c r="O1537" s="8" t="s">
        <v>1007</v>
      </c>
      <c r="P1537" s="6" t="s">
        <v>167</v>
      </c>
      <c r="Q1537" s="8" t="s">
        <v>44</v>
      </c>
      <c r="R1537" s="10" t="s">
        <v>375</v>
      </c>
      <c r="S1537" s="11" t="s">
        <v>9588</v>
      </c>
      <c r="T1537" s="6"/>
      <c r="U1537" s="12"/>
      <c r="V1537" s="24" t="str">
        <f>HYPERLINK("https://znanium.ru/catalog/product/1894752", "Ознакомиться")</f>
        <v>Ознакомиться</v>
      </c>
      <c r="W1537" s="8" t="s">
        <v>83</v>
      </c>
      <c r="X1537" s="6"/>
      <c r="Y1537" s="6"/>
      <c r="Z1537" s="6"/>
      <c r="AA1537" s="6" t="s">
        <v>9589</v>
      </c>
      <c r="AB1537" s="8"/>
    </row>
    <row r="1538" spans="1:28" s="4" customFormat="1" ht="51.95" customHeight="1">
      <c r="A1538" s="5">
        <v>0</v>
      </c>
      <c r="B1538" s="6" t="s">
        <v>9590</v>
      </c>
      <c r="C1538" s="13">
        <v>2354</v>
      </c>
      <c r="D1538" s="8" t="s">
        <v>9591</v>
      </c>
      <c r="E1538" s="8" t="s">
        <v>9592</v>
      </c>
      <c r="F1538" s="8" t="s">
        <v>9586</v>
      </c>
      <c r="G1538" s="6" t="s">
        <v>89</v>
      </c>
      <c r="H1538" s="6" t="s">
        <v>53</v>
      </c>
      <c r="I1538" s="8" t="s">
        <v>1223</v>
      </c>
      <c r="J1538" s="9">
        <v>1</v>
      </c>
      <c r="K1538" s="9">
        <v>475</v>
      </c>
      <c r="L1538" s="9">
        <v>2025</v>
      </c>
      <c r="M1538" s="8" t="s">
        <v>9593</v>
      </c>
      <c r="N1538" s="8" t="s">
        <v>41</v>
      </c>
      <c r="O1538" s="8" t="s">
        <v>1007</v>
      </c>
      <c r="P1538" s="6" t="s">
        <v>167</v>
      </c>
      <c r="Q1538" s="8" t="s">
        <v>44</v>
      </c>
      <c r="R1538" s="10" t="s">
        <v>375</v>
      </c>
      <c r="S1538" s="11" t="s">
        <v>9594</v>
      </c>
      <c r="T1538" s="6" t="s">
        <v>299</v>
      </c>
      <c r="U1538" s="24" t="str">
        <f>HYPERLINK("https://media.infra-m.ru/1913/1913539/cover/1913539.jpg", "Обложка")</f>
        <v>Обложка</v>
      </c>
      <c r="V1538" s="24" t="str">
        <f>HYPERLINK("https://znanium.ru/catalog/product/1894752", "Ознакомиться")</f>
        <v>Ознакомиться</v>
      </c>
      <c r="W1538" s="8" t="s">
        <v>83</v>
      </c>
      <c r="X1538" s="6"/>
      <c r="Y1538" s="6"/>
      <c r="Z1538" s="6"/>
      <c r="AA1538" s="6" t="s">
        <v>5769</v>
      </c>
      <c r="AB1538" s="8"/>
    </row>
    <row r="1539" spans="1:28" s="4" customFormat="1" ht="51.95" customHeight="1">
      <c r="A1539" s="5">
        <v>0</v>
      </c>
      <c r="B1539" s="6" t="s">
        <v>9595</v>
      </c>
      <c r="C1539" s="13">
        <v>1354.9</v>
      </c>
      <c r="D1539" s="8" t="s">
        <v>9596</v>
      </c>
      <c r="E1539" s="8" t="s">
        <v>9597</v>
      </c>
      <c r="F1539" s="8" t="s">
        <v>7911</v>
      </c>
      <c r="G1539" s="6" t="s">
        <v>52</v>
      </c>
      <c r="H1539" s="6" t="s">
        <v>952</v>
      </c>
      <c r="I1539" s="8"/>
      <c r="J1539" s="9">
        <v>1</v>
      </c>
      <c r="K1539" s="9">
        <v>304</v>
      </c>
      <c r="L1539" s="9">
        <v>2023</v>
      </c>
      <c r="M1539" s="8" t="s">
        <v>9598</v>
      </c>
      <c r="N1539" s="8" t="s">
        <v>41</v>
      </c>
      <c r="O1539" s="8" t="s">
        <v>1007</v>
      </c>
      <c r="P1539" s="6" t="s">
        <v>43</v>
      </c>
      <c r="Q1539" s="8" t="s">
        <v>44</v>
      </c>
      <c r="R1539" s="10" t="s">
        <v>9599</v>
      </c>
      <c r="S1539" s="11"/>
      <c r="T1539" s="6"/>
      <c r="U1539" s="24" t="str">
        <f>HYPERLINK("https://media.infra-m.ru/1899/1899917/cover/1899917.jpg", "Обложка")</f>
        <v>Обложка</v>
      </c>
      <c r="V1539" s="24" t="str">
        <f>HYPERLINK("https://znanium.ru/catalog/product/1237083", "Ознакомиться")</f>
        <v>Ознакомиться</v>
      </c>
      <c r="W1539" s="8"/>
      <c r="X1539" s="6"/>
      <c r="Y1539" s="6"/>
      <c r="Z1539" s="6"/>
      <c r="AA1539" s="6" t="s">
        <v>2217</v>
      </c>
      <c r="AB1539" s="8"/>
    </row>
    <row r="1540" spans="1:28" s="4" customFormat="1" ht="51.95" customHeight="1">
      <c r="A1540" s="5">
        <v>0</v>
      </c>
      <c r="B1540" s="6" t="s">
        <v>9600</v>
      </c>
      <c r="C1540" s="13">
        <v>2740</v>
      </c>
      <c r="D1540" s="8" t="s">
        <v>9601</v>
      </c>
      <c r="E1540" s="8" t="s">
        <v>9579</v>
      </c>
      <c r="F1540" s="8" t="s">
        <v>9602</v>
      </c>
      <c r="G1540" s="6" t="s">
        <v>52</v>
      </c>
      <c r="H1540" s="6" t="s">
        <v>53</v>
      </c>
      <c r="I1540" s="8" t="s">
        <v>116</v>
      </c>
      <c r="J1540" s="9">
        <v>1</v>
      </c>
      <c r="K1540" s="9">
        <v>596</v>
      </c>
      <c r="L1540" s="9">
        <v>2024</v>
      </c>
      <c r="M1540" s="8" t="s">
        <v>9603</v>
      </c>
      <c r="N1540" s="8" t="s">
        <v>41</v>
      </c>
      <c r="O1540" s="8" t="s">
        <v>1007</v>
      </c>
      <c r="P1540" s="6" t="s">
        <v>43</v>
      </c>
      <c r="Q1540" s="8" t="s">
        <v>44</v>
      </c>
      <c r="R1540" s="10" t="s">
        <v>3616</v>
      </c>
      <c r="S1540" s="11" t="s">
        <v>9604</v>
      </c>
      <c r="T1540" s="6"/>
      <c r="U1540" s="24" t="str">
        <f>HYPERLINK("https://media.infra-m.ru/2079/2079898/cover/2079898.jpg", "Обложка")</f>
        <v>Обложка</v>
      </c>
      <c r="V1540" s="24" t="str">
        <f>HYPERLINK("https://znanium.ru/catalog/product/2079898", "Ознакомиться")</f>
        <v>Ознакомиться</v>
      </c>
      <c r="W1540" s="8" t="s">
        <v>189</v>
      </c>
      <c r="X1540" s="6"/>
      <c r="Y1540" s="6"/>
      <c r="Z1540" s="6"/>
      <c r="AA1540" s="6" t="s">
        <v>813</v>
      </c>
      <c r="AB1540" s="8"/>
    </row>
    <row r="1541" spans="1:28" s="4" customFormat="1" ht="51.95" customHeight="1">
      <c r="A1541" s="5">
        <v>0</v>
      </c>
      <c r="B1541" s="6" t="s">
        <v>9605</v>
      </c>
      <c r="C1541" s="13">
        <v>2394.9</v>
      </c>
      <c r="D1541" s="8" t="s">
        <v>9606</v>
      </c>
      <c r="E1541" s="8" t="s">
        <v>9597</v>
      </c>
      <c r="F1541" s="8" t="s">
        <v>9602</v>
      </c>
      <c r="G1541" s="6" t="s">
        <v>52</v>
      </c>
      <c r="H1541" s="6" t="s">
        <v>53</v>
      </c>
      <c r="I1541" s="8" t="s">
        <v>90</v>
      </c>
      <c r="J1541" s="9">
        <v>1</v>
      </c>
      <c r="K1541" s="9">
        <v>578</v>
      </c>
      <c r="L1541" s="9">
        <v>2021</v>
      </c>
      <c r="M1541" s="8" t="s">
        <v>9607</v>
      </c>
      <c r="N1541" s="8" t="s">
        <v>41</v>
      </c>
      <c r="O1541" s="8" t="s">
        <v>1007</v>
      </c>
      <c r="P1541" s="6" t="s">
        <v>43</v>
      </c>
      <c r="Q1541" s="8" t="s">
        <v>44</v>
      </c>
      <c r="R1541" s="10" t="s">
        <v>3616</v>
      </c>
      <c r="S1541" s="11" t="s">
        <v>9608</v>
      </c>
      <c r="T1541" s="6"/>
      <c r="U1541" s="24" t="str">
        <f>HYPERLINK("https://media.infra-m.ru/1555/1555032/cover/1555032.jpg", "Обложка")</f>
        <v>Обложка</v>
      </c>
      <c r="V1541" s="24" t="str">
        <f>HYPERLINK("https://znanium.ru/catalog/product/2079898", "Ознакомиться")</f>
        <v>Ознакомиться</v>
      </c>
      <c r="W1541" s="8" t="s">
        <v>189</v>
      </c>
      <c r="X1541" s="6"/>
      <c r="Y1541" s="6"/>
      <c r="Z1541" s="6"/>
      <c r="AA1541" s="6" t="s">
        <v>793</v>
      </c>
      <c r="AB1541" s="8"/>
    </row>
    <row r="1542" spans="1:28" s="4" customFormat="1" ht="51.95" customHeight="1">
      <c r="A1542" s="5">
        <v>0</v>
      </c>
      <c r="B1542" s="6" t="s">
        <v>9609</v>
      </c>
      <c r="C1542" s="13">
        <v>1250</v>
      </c>
      <c r="D1542" s="8" t="s">
        <v>9610</v>
      </c>
      <c r="E1542" s="8" t="s">
        <v>9597</v>
      </c>
      <c r="F1542" s="8" t="s">
        <v>9611</v>
      </c>
      <c r="G1542" s="6" t="s">
        <v>89</v>
      </c>
      <c r="H1542" s="6" t="s">
        <v>53</v>
      </c>
      <c r="I1542" s="8" t="s">
        <v>116</v>
      </c>
      <c r="J1542" s="9">
        <v>1</v>
      </c>
      <c r="K1542" s="9">
        <v>271</v>
      </c>
      <c r="L1542" s="9">
        <v>2023</v>
      </c>
      <c r="M1542" s="8" t="s">
        <v>9612</v>
      </c>
      <c r="N1542" s="8" t="s">
        <v>41</v>
      </c>
      <c r="O1542" s="8" t="s">
        <v>1007</v>
      </c>
      <c r="P1542" s="6" t="s">
        <v>43</v>
      </c>
      <c r="Q1542" s="8" t="s">
        <v>58</v>
      </c>
      <c r="R1542" s="10" t="s">
        <v>4115</v>
      </c>
      <c r="S1542" s="11" t="s">
        <v>9613</v>
      </c>
      <c r="T1542" s="6"/>
      <c r="U1542" s="24" t="str">
        <f>HYPERLINK("https://media.infra-m.ru/1850/1850114/cover/1850114.jpg", "Обложка")</f>
        <v>Обложка</v>
      </c>
      <c r="V1542" s="24" t="str">
        <f>HYPERLINK("https://znanium.ru/catalog/product/1850114", "Ознакомиться")</f>
        <v>Ознакомиться</v>
      </c>
      <c r="W1542" s="8" t="s">
        <v>1253</v>
      </c>
      <c r="X1542" s="6"/>
      <c r="Y1542" s="6"/>
      <c r="Z1542" s="6"/>
      <c r="AA1542" s="6" t="s">
        <v>3065</v>
      </c>
      <c r="AB1542" s="8"/>
    </row>
    <row r="1543" spans="1:28" s="4" customFormat="1" ht="51.95" customHeight="1">
      <c r="A1543" s="5">
        <v>0</v>
      </c>
      <c r="B1543" s="6" t="s">
        <v>9614</v>
      </c>
      <c r="C1543" s="13">
        <v>3360</v>
      </c>
      <c r="D1543" s="8" t="s">
        <v>9615</v>
      </c>
      <c r="E1543" s="8" t="s">
        <v>9616</v>
      </c>
      <c r="F1543" s="8" t="s">
        <v>9617</v>
      </c>
      <c r="G1543" s="6" t="s">
        <v>52</v>
      </c>
      <c r="H1543" s="6" t="s">
        <v>53</v>
      </c>
      <c r="I1543" s="8" t="s">
        <v>116</v>
      </c>
      <c r="J1543" s="9">
        <v>1</v>
      </c>
      <c r="K1543" s="9">
        <v>692</v>
      </c>
      <c r="L1543" s="9">
        <v>2025</v>
      </c>
      <c r="M1543" s="8" t="s">
        <v>9618</v>
      </c>
      <c r="N1543" s="8" t="s">
        <v>56</v>
      </c>
      <c r="O1543" s="8" t="s">
        <v>4042</v>
      </c>
      <c r="P1543" s="6" t="s">
        <v>167</v>
      </c>
      <c r="Q1543" s="8" t="s">
        <v>279</v>
      </c>
      <c r="R1543" s="10" t="s">
        <v>9619</v>
      </c>
      <c r="S1543" s="11" t="s">
        <v>9620</v>
      </c>
      <c r="T1543" s="6"/>
      <c r="U1543" s="24" t="str">
        <f>HYPERLINK("https://media.infra-m.ru/2188/2188344/cover/2188344.jpg", "Обложка")</f>
        <v>Обложка</v>
      </c>
      <c r="V1543" s="24" t="str">
        <f>HYPERLINK("https://znanium.ru/catalog/product/2188344", "Ознакомиться")</f>
        <v>Ознакомиться</v>
      </c>
      <c r="W1543" s="8" t="s">
        <v>947</v>
      </c>
      <c r="X1543" s="6"/>
      <c r="Y1543" s="6"/>
      <c r="Z1543" s="6"/>
      <c r="AA1543" s="6" t="s">
        <v>235</v>
      </c>
      <c r="AB1543" s="8"/>
    </row>
    <row r="1544" spans="1:28" s="4" customFormat="1" ht="42" customHeight="1">
      <c r="A1544" s="5">
        <v>0</v>
      </c>
      <c r="B1544" s="6" t="s">
        <v>9621</v>
      </c>
      <c r="C1544" s="13">
        <v>1300</v>
      </c>
      <c r="D1544" s="8" t="s">
        <v>9622</v>
      </c>
      <c r="E1544" s="8" t="s">
        <v>9623</v>
      </c>
      <c r="F1544" s="8" t="s">
        <v>9624</v>
      </c>
      <c r="G1544" s="6" t="s">
        <v>89</v>
      </c>
      <c r="H1544" s="6" t="s">
        <v>184</v>
      </c>
      <c r="I1544" s="8" t="s">
        <v>116</v>
      </c>
      <c r="J1544" s="9">
        <v>1</v>
      </c>
      <c r="K1544" s="9">
        <v>276</v>
      </c>
      <c r="L1544" s="9">
        <v>2024</v>
      </c>
      <c r="M1544" s="8" t="s">
        <v>9625</v>
      </c>
      <c r="N1544" s="8" t="s">
        <v>41</v>
      </c>
      <c r="O1544" s="8" t="s">
        <v>4035</v>
      </c>
      <c r="P1544" s="6" t="s">
        <v>167</v>
      </c>
      <c r="Q1544" s="8" t="s">
        <v>44</v>
      </c>
      <c r="R1544" s="10" t="s">
        <v>9626</v>
      </c>
      <c r="S1544" s="11"/>
      <c r="T1544" s="6"/>
      <c r="U1544" s="24" t="str">
        <f>HYPERLINK("https://media.infra-m.ru/2125/2125412/cover/2125412.jpg", "Обложка")</f>
        <v>Обложка</v>
      </c>
      <c r="V1544" s="24" t="str">
        <f>HYPERLINK("https://znanium.ru/catalog/product/2125412", "Ознакомиться")</f>
        <v>Ознакомиться</v>
      </c>
      <c r="W1544" s="8" t="s">
        <v>637</v>
      </c>
      <c r="X1544" s="6"/>
      <c r="Y1544" s="6"/>
      <c r="Z1544" s="6"/>
      <c r="AA1544" s="6" t="s">
        <v>793</v>
      </c>
      <c r="AB1544" s="8"/>
    </row>
    <row r="1545" spans="1:28" s="4" customFormat="1" ht="42" customHeight="1">
      <c r="A1545" s="5">
        <v>0</v>
      </c>
      <c r="B1545" s="6" t="s">
        <v>9627</v>
      </c>
      <c r="C1545" s="13">
        <v>1294</v>
      </c>
      <c r="D1545" s="8" t="s">
        <v>9628</v>
      </c>
      <c r="E1545" s="8" t="s">
        <v>9629</v>
      </c>
      <c r="F1545" s="8" t="s">
        <v>9624</v>
      </c>
      <c r="G1545" s="6" t="s">
        <v>89</v>
      </c>
      <c r="H1545" s="6" t="s">
        <v>184</v>
      </c>
      <c r="I1545" s="8" t="s">
        <v>185</v>
      </c>
      <c r="J1545" s="9">
        <v>1</v>
      </c>
      <c r="K1545" s="9">
        <v>276</v>
      </c>
      <c r="L1545" s="9">
        <v>2024</v>
      </c>
      <c r="M1545" s="8" t="s">
        <v>9630</v>
      </c>
      <c r="N1545" s="8" t="s">
        <v>41</v>
      </c>
      <c r="O1545" s="8" t="s">
        <v>4035</v>
      </c>
      <c r="P1545" s="6" t="s">
        <v>167</v>
      </c>
      <c r="Q1545" s="8" t="s">
        <v>102</v>
      </c>
      <c r="R1545" s="10" t="s">
        <v>9631</v>
      </c>
      <c r="S1545" s="11"/>
      <c r="T1545" s="6"/>
      <c r="U1545" s="24" t="str">
        <f>HYPERLINK("https://media.infra-m.ru/2152/2152180/cover/2152180.jpg", "Обложка")</f>
        <v>Обложка</v>
      </c>
      <c r="V1545" s="24" t="str">
        <f>HYPERLINK("https://znanium.ru/catalog/product/2152180", "Ознакомиться")</f>
        <v>Ознакомиться</v>
      </c>
      <c r="W1545" s="8" t="s">
        <v>637</v>
      </c>
      <c r="X1545" s="6"/>
      <c r="Y1545" s="6"/>
      <c r="Z1545" s="6" t="s">
        <v>104</v>
      </c>
      <c r="AA1545" s="6" t="s">
        <v>793</v>
      </c>
      <c r="AB1545" s="8"/>
    </row>
    <row r="1546" spans="1:28" s="4" customFormat="1" ht="51.95" customHeight="1">
      <c r="A1546" s="5">
        <v>0</v>
      </c>
      <c r="B1546" s="6" t="s">
        <v>9632</v>
      </c>
      <c r="C1546" s="13">
        <v>2754</v>
      </c>
      <c r="D1546" s="8" t="s">
        <v>9633</v>
      </c>
      <c r="E1546" s="8" t="s">
        <v>9634</v>
      </c>
      <c r="F1546" s="8" t="s">
        <v>9635</v>
      </c>
      <c r="G1546" s="6" t="s">
        <v>89</v>
      </c>
      <c r="H1546" s="6" t="s">
        <v>53</v>
      </c>
      <c r="I1546" s="8" t="s">
        <v>100</v>
      </c>
      <c r="J1546" s="9">
        <v>1</v>
      </c>
      <c r="K1546" s="9">
        <v>550</v>
      </c>
      <c r="L1546" s="9">
        <v>2025</v>
      </c>
      <c r="M1546" s="8" t="s">
        <v>9636</v>
      </c>
      <c r="N1546" s="8" t="s">
        <v>41</v>
      </c>
      <c r="O1546" s="8" t="s">
        <v>4035</v>
      </c>
      <c r="P1546" s="6" t="s">
        <v>43</v>
      </c>
      <c r="Q1546" s="8" t="s">
        <v>102</v>
      </c>
      <c r="R1546" s="10" t="s">
        <v>9631</v>
      </c>
      <c r="S1546" s="11" t="s">
        <v>9637</v>
      </c>
      <c r="T1546" s="6"/>
      <c r="U1546" s="24" t="str">
        <f>HYPERLINK("https://media.infra-m.ru/2188/2188761/cover/2188761.jpg", "Обложка")</f>
        <v>Обложка</v>
      </c>
      <c r="V1546" s="24" t="str">
        <f>HYPERLINK("https://znanium.ru/catalog/product/2104821", "Ознакомиться")</f>
        <v>Ознакомиться</v>
      </c>
      <c r="W1546" s="8" t="s">
        <v>4024</v>
      </c>
      <c r="X1546" s="6"/>
      <c r="Y1546" s="6"/>
      <c r="Z1546" s="6"/>
      <c r="AA1546" s="6" t="s">
        <v>95</v>
      </c>
      <c r="AB1546" s="8"/>
    </row>
    <row r="1547" spans="1:28" s="4" customFormat="1" ht="51.95" customHeight="1">
      <c r="A1547" s="5">
        <v>0</v>
      </c>
      <c r="B1547" s="6" t="s">
        <v>9638</v>
      </c>
      <c r="C1547" s="13">
        <v>2904</v>
      </c>
      <c r="D1547" s="8" t="s">
        <v>9639</v>
      </c>
      <c r="E1547" s="8" t="s">
        <v>9629</v>
      </c>
      <c r="F1547" s="8" t="s">
        <v>9640</v>
      </c>
      <c r="G1547" s="6" t="s">
        <v>89</v>
      </c>
      <c r="H1547" s="6" t="s">
        <v>53</v>
      </c>
      <c r="I1547" s="8" t="s">
        <v>100</v>
      </c>
      <c r="J1547" s="9">
        <v>1</v>
      </c>
      <c r="K1547" s="9">
        <v>649</v>
      </c>
      <c r="L1547" s="9">
        <v>2024</v>
      </c>
      <c r="M1547" s="8" t="s">
        <v>9641</v>
      </c>
      <c r="N1547" s="8" t="s">
        <v>41</v>
      </c>
      <c r="O1547" s="8" t="s">
        <v>4035</v>
      </c>
      <c r="P1547" s="6" t="s">
        <v>43</v>
      </c>
      <c r="Q1547" s="8" t="s">
        <v>102</v>
      </c>
      <c r="R1547" s="10" t="s">
        <v>9631</v>
      </c>
      <c r="S1547" s="11" t="s">
        <v>9642</v>
      </c>
      <c r="T1547" s="6"/>
      <c r="U1547" s="24" t="str">
        <f>HYPERLINK("https://media.infra-m.ru/2157/2157377/cover/2157377.jpg", "Обложка")</f>
        <v>Обложка</v>
      </c>
      <c r="V1547" s="24" t="str">
        <f>HYPERLINK("https://znanium.ru/catalog/product/2102651", "Ознакомиться")</f>
        <v>Ознакомиться</v>
      </c>
      <c r="W1547" s="8" t="s">
        <v>9643</v>
      </c>
      <c r="X1547" s="6"/>
      <c r="Y1547" s="6"/>
      <c r="Z1547" s="6"/>
      <c r="AA1547" s="6" t="s">
        <v>219</v>
      </c>
      <c r="AB1547" s="8" t="s">
        <v>2344</v>
      </c>
    </row>
    <row r="1548" spans="1:28" s="4" customFormat="1" ht="51.95" customHeight="1">
      <c r="A1548" s="5">
        <v>0</v>
      </c>
      <c r="B1548" s="6" t="s">
        <v>9644</v>
      </c>
      <c r="C1548" s="13">
        <v>1790</v>
      </c>
      <c r="D1548" s="8" t="s">
        <v>9645</v>
      </c>
      <c r="E1548" s="8" t="s">
        <v>9629</v>
      </c>
      <c r="F1548" s="8" t="s">
        <v>9646</v>
      </c>
      <c r="G1548" s="6" t="s">
        <v>89</v>
      </c>
      <c r="H1548" s="6" t="s">
        <v>53</v>
      </c>
      <c r="I1548" s="8" t="s">
        <v>100</v>
      </c>
      <c r="J1548" s="9">
        <v>1</v>
      </c>
      <c r="K1548" s="9">
        <v>528</v>
      </c>
      <c r="L1548" s="9">
        <v>2020</v>
      </c>
      <c r="M1548" s="8" t="s">
        <v>9647</v>
      </c>
      <c r="N1548" s="8" t="s">
        <v>41</v>
      </c>
      <c r="O1548" s="8" t="s">
        <v>4035</v>
      </c>
      <c r="P1548" s="6" t="s">
        <v>43</v>
      </c>
      <c r="Q1548" s="8" t="s">
        <v>102</v>
      </c>
      <c r="R1548" s="10" t="s">
        <v>9631</v>
      </c>
      <c r="S1548" s="11" t="s">
        <v>9648</v>
      </c>
      <c r="T1548" s="6"/>
      <c r="U1548" s="24" t="str">
        <f>HYPERLINK("https://media.infra-m.ru/1060/1060624/cover/1060624.jpg", "Обложка")</f>
        <v>Обложка</v>
      </c>
      <c r="V1548" s="24" t="str">
        <f>HYPERLINK("https://znanium.ru/catalog/product/2104821", "Ознакомиться")</f>
        <v>Ознакомиться</v>
      </c>
      <c r="W1548" s="8" t="s">
        <v>234</v>
      </c>
      <c r="X1548" s="6"/>
      <c r="Y1548" s="6"/>
      <c r="Z1548" s="6"/>
      <c r="AA1548" s="6" t="s">
        <v>122</v>
      </c>
      <c r="AB1548" s="8"/>
    </row>
    <row r="1549" spans="1:28" s="4" customFormat="1" ht="42" customHeight="1">
      <c r="A1549" s="5">
        <v>0</v>
      </c>
      <c r="B1549" s="6" t="s">
        <v>9649</v>
      </c>
      <c r="C1549" s="13">
        <v>1290</v>
      </c>
      <c r="D1549" s="8" t="s">
        <v>9650</v>
      </c>
      <c r="E1549" s="8" t="s">
        <v>9629</v>
      </c>
      <c r="F1549" s="8" t="s">
        <v>8781</v>
      </c>
      <c r="G1549" s="6" t="s">
        <v>89</v>
      </c>
      <c r="H1549" s="6" t="s">
        <v>184</v>
      </c>
      <c r="I1549" s="8" t="s">
        <v>116</v>
      </c>
      <c r="J1549" s="9">
        <v>1</v>
      </c>
      <c r="K1549" s="9">
        <v>248</v>
      </c>
      <c r="L1549" s="9">
        <v>2025</v>
      </c>
      <c r="M1549" s="8" t="s">
        <v>9651</v>
      </c>
      <c r="N1549" s="8" t="s">
        <v>41</v>
      </c>
      <c r="O1549" s="8" t="s">
        <v>4035</v>
      </c>
      <c r="P1549" s="6" t="s">
        <v>43</v>
      </c>
      <c r="Q1549" s="8" t="s">
        <v>44</v>
      </c>
      <c r="R1549" s="10" t="s">
        <v>8923</v>
      </c>
      <c r="S1549" s="11"/>
      <c r="T1549" s="6"/>
      <c r="U1549" s="24" t="str">
        <f>HYPERLINK("https://media.infra-m.ru/2164/2164141/cover/2164141.jpg", "Обложка")</f>
        <v>Обложка</v>
      </c>
      <c r="V1549" s="24" t="str">
        <f>HYPERLINK("https://znanium.ru/catalog/product/2164141", "Ознакомиться")</f>
        <v>Ознакомиться</v>
      </c>
      <c r="W1549" s="8"/>
      <c r="X1549" s="6"/>
      <c r="Y1549" s="6"/>
      <c r="Z1549" s="6"/>
      <c r="AA1549" s="6" t="s">
        <v>442</v>
      </c>
      <c r="AB1549" s="8"/>
    </row>
    <row r="1550" spans="1:28" s="4" customFormat="1" ht="51.95" customHeight="1">
      <c r="A1550" s="5">
        <v>0</v>
      </c>
      <c r="B1550" s="6" t="s">
        <v>9652</v>
      </c>
      <c r="C1550" s="13">
        <v>2094</v>
      </c>
      <c r="D1550" s="8" t="s">
        <v>9653</v>
      </c>
      <c r="E1550" s="8" t="s">
        <v>9654</v>
      </c>
      <c r="F1550" s="8" t="s">
        <v>9655</v>
      </c>
      <c r="G1550" s="6" t="s">
        <v>52</v>
      </c>
      <c r="H1550" s="6" t="s">
        <v>1094</v>
      </c>
      <c r="I1550" s="8"/>
      <c r="J1550" s="9">
        <v>10</v>
      </c>
      <c r="K1550" s="9">
        <v>672</v>
      </c>
      <c r="L1550" s="9">
        <v>2024</v>
      </c>
      <c r="M1550" s="8"/>
      <c r="N1550" s="8" t="s">
        <v>41</v>
      </c>
      <c r="O1550" s="8" t="s">
        <v>676</v>
      </c>
      <c r="P1550" s="6" t="s">
        <v>43</v>
      </c>
      <c r="Q1550" s="8" t="s">
        <v>44</v>
      </c>
      <c r="R1550" s="10" t="s">
        <v>9656</v>
      </c>
      <c r="S1550" s="11" t="s">
        <v>9657</v>
      </c>
      <c r="T1550" s="6"/>
      <c r="U1550" s="24" t="str">
        <f>HYPERLINK("https://media.infra-m.ru/2145/2145817/cover/2145817.jpg", "Обложка")</f>
        <v>Обложка</v>
      </c>
      <c r="V1550" s="24" t="str">
        <f>HYPERLINK("https://znanium.ru/catalog/product/1911191", "Ознакомиться")</f>
        <v>Ознакомиться</v>
      </c>
      <c r="W1550" s="8" t="s">
        <v>7139</v>
      </c>
      <c r="X1550" s="6"/>
      <c r="Y1550" s="6"/>
      <c r="Z1550" s="6"/>
      <c r="AA1550" s="6" t="s">
        <v>479</v>
      </c>
      <c r="AB1550" s="8"/>
    </row>
    <row r="1551" spans="1:28" s="4" customFormat="1" ht="51.95" customHeight="1">
      <c r="A1551" s="5">
        <v>0</v>
      </c>
      <c r="B1551" s="6" t="s">
        <v>9658</v>
      </c>
      <c r="C1551" s="13">
        <v>1994</v>
      </c>
      <c r="D1551" s="8" t="s">
        <v>9659</v>
      </c>
      <c r="E1551" s="8" t="s">
        <v>9660</v>
      </c>
      <c r="F1551" s="8" t="s">
        <v>9661</v>
      </c>
      <c r="G1551" s="6" t="s">
        <v>52</v>
      </c>
      <c r="H1551" s="6" t="s">
        <v>39</v>
      </c>
      <c r="I1551" s="8" t="s">
        <v>185</v>
      </c>
      <c r="J1551" s="9">
        <v>1</v>
      </c>
      <c r="K1551" s="9">
        <v>400</v>
      </c>
      <c r="L1551" s="9">
        <v>2025</v>
      </c>
      <c r="M1551" s="8" t="s">
        <v>9662</v>
      </c>
      <c r="N1551" s="8" t="s">
        <v>79</v>
      </c>
      <c r="O1551" s="8" t="s">
        <v>396</v>
      </c>
      <c r="P1551" s="6" t="s">
        <v>43</v>
      </c>
      <c r="Q1551" s="8" t="s">
        <v>102</v>
      </c>
      <c r="R1551" s="10" t="s">
        <v>9663</v>
      </c>
      <c r="S1551" s="11" t="s">
        <v>6083</v>
      </c>
      <c r="T1551" s="6"/>
      <c r="U1551" s="24" t="str">
        <f>HYPERLINK("https://media.infra-m.ru/2192/2192167/cover/2192167.jpg", "Обложка")</f>
        <v>Обложка</v>
      </c>
      <c r="V1551" s="24" t="str">
        <f>HYPERLINK("https://znanium.ru/catalog/product/1144495", "Ознакомиться")</f>
        <v>Ознакомиться</v>
      </c>
      <c r="W1551" s="8" t="s">
        <v>6204</v>
      </c>
      <c r="X1551" s="6"/>
      <c r="Y1551" s="6" t="s">
        <v>30</v>
      </c>
      <c r="Z1551" s="6"/>
      <c r="AA1551" s="6" t="s">
        <v>122</v>
      </c>
      <c r="AB1551" s="8"/>
    </row>
    <row r="1552" spans="1:28" s="4" customFormat="1" ht="51.95" customHeight="1">
      <c r="A1552" s="5">
        <v>0</v>
      </c>
      <c r="B1552" s="6" t="s">
        <v>9664</v>
      </c>
      <c r="C1552" s="13">
        <v>1350</v>
      </c>
      <c r="D1552" s="8" t="s">
        <v>9665</v>
      </c>
      <c r="E1552" s="8" t="s">
        <v>9666</v>
      </c>
      <c r="F1552" s="8" t="s">
        <v>9667</v>
      </c>
      <c r="G1552" s="6" t="s">
        <v>89</v>
      </c>
      <c r="H1552" s="6" t="s">
        <v>53</v>
      </c>
      <c r="I1552" s="8" t="s">
        <v>116</v>
      </c>
      <c r="J1552" s="9">
        <v>1</v>
      </c>
      <c r="K1552" s="9">
        <v>287</v>
      </c>
      <c r="L1552" s="9">
        <v>2024</v>
      </c>
      <c r="M1552" s="8" t="s">
        <v>9668</v>
      </c>
      <c r="N1552" s="8" t="s">
        <v>41</v>
      </c>
      <c r="O1552" s="8" t="s">
        <v>4035</v>
      </c>
      <c r="P1552" s="6" t="s">
        <v>43</v>
      </c>
      <c r="Q1552" s="8" t="s">
        <v>58</v>
      </c>
      <c r="R1552" s="10" t="s">
        <v>9669</v>
      </c>
      <c r="S1552" s="11" t="s">
        <v>9670</v>
      </c>
      <c r="T1552" s="6"/>
      <c r="U1552" s="24" t="str">
        <f>HYPERLINK("https://media.infra-m.ru/2139/2139220/cover/2139220.jpg", "Обложка")</f>
        <v>Обложка</v>
      </c>
      <c r="V1552" s="24" t="str">
        <f>HYPERLINK("https://znanium.ru/catalog/product/2139220", "Ознакомиться")</f>
        <v>Ознакомиться</v>
      </c>
      <c r="W1552" s="8" t="s">
        <v>1796</v>
      </c>
      <c r="X1552" s="6"/>
      <c r="Y1552" s="6"/>
      <c r="Z1552" s="6"/>
      <c r="AA1552" s="6" t="s">
        <v>122</v>
      </c>
      <c r="AB1552" s="8"/>
    </row>
    <row r="1553" spans="1:28" s="4" customFormat="1" ht="51.95" customHeight="1">
      <c r="A1553" s="5">
        <v>0</v>
      </c>
      <c r="B1553" s="6" t="s">
        <v>9671</v>
      </c>
      <c r="C1553" s="7">
        <v>880</v>
      </c>
      <c r="D1553" s="8" t="s">
        <v>9672</v>
      </c>
      <c r="E1553" s="8" t="s">
        <v>9673</v>
      </c>
      <c r="F1553" s="8" t="s">
        <v>9674</v>
      </c>
      <c r="G1553" s="6" t="s">
        <v>38</v>
      </c>
      <c r="H1553" s="6" t="s">
        <v>53</v>
      </c>
      <c r="I1553" s="8" t="s">
        <v>4767</v>
      </c>
      <c r="J1553" s="9">
        <v>1</v>
      </c>
      <c r="K1553" s="9">
        <v>169</v>
      </c>
      <c r="L1553" s="9">
        <v>2025</v>
      </c>
      <c r="M1553" s="8" t="s">
        <v>9675</v>
      </c>
      <c r="N1553" s="8" t="s">
        <v>997</v>
      </c>
      <c r="O1553" s="8" t="s">
        <v>9676</v>
      </c>
      <c r="P1553" s="6" t="s">
        <v>175</v>
      </c>
      <c r="Q1553" s="8" t="s">
        <v>44</v>
      </c>
      <c r="R1553" s="10" t="s">
        <v>9677</v>
      </c>
      <c r="S1553" s="11" t="s">
        <v>9678</v>
      </c>
      <c r="T1553" s="6"/>
      <c r="U1553" s="24" t="str">
        <f>HYPERLINK("https://media.infra-m.ru/2184/2184894/cover/2184894.jpg", "Обложка")</f>
        <v>Обложка</v>
      </c>
      <c r="V1553" s="24" t="str">
        <f>HYPERLINK("https://znanium.ru/catalog/product/2184894", "Ознакомиться")</f>
        <v>Ознакомиться</v>
      </c>
      <c r="W1553" s="8" t="s">
        <v>368</v>
      </c>
      <c r="X1553" s="6"/>
      <c r="Y1553" s="6"/>
      <c r="Z1553" s="6"/>
      <c r="AA1553" s="6" t="s">
        <v>442</v>
      </c>
      <c r="AB1553" s="8"/>
    </row>
    <row r="1554" spans="1:28" s="4" customFormat="1" ht="51.95" customHeight="1">
      <c r="A1554" s="5">
        <v>0</v>
      </c>
      <c r="B1554" s="6" t="s">
        <v>9679</v>
      </c>
      <c r="C1554" s="7">
        <v>880</v>
      </c>
      <c r="D1554" s="8" t="s">
        <v>9680</v>
      </c>
      <c r="E1554" s="8" t="s">
        <v>9681</v>
      </c>
      <c r="F1554" s="8" t="s">
        <v>9682</v>
      </c>
      <c r="G1554" s="6" t="s">
        <v>89</v>
      </c>
      <c r="H1554" s="6" t="s">
        <v>53</v>
      </c>
      <c r="I1554" s="8" t="s">
        <v>90</v>
      </c>
      <c r="J1554" s="9">
        <v>1</v>
      </c>
      <c r="K1554" s="9">
        <v>195</v>
      </c>
      <c r="L1554" s="9">
        <v>2023</v>
      </c>
      <c r="M1554" s="8" t="s">
        <v>9683</v>
      </c>
      <c r="N1554" s="8" t="s">
        <v>41</v>
      </c>
      <c r="O1554" s="8" t="s">
        <v>676</v>
      </c>
      <c r="P1554" s="6" t="s">
        <v>43</v>
      </c>
      <c r="Q1554" s="8" t="s">
        <v>44</v>
      </c>
      <c r="R1554" s="10" t="s">
        <v>806</v>
      </c>
      <c r="S1554" s="11" t="s">
        <v>9684</v>
      </c>
      <c r="T1554" s="6" t="s">
        <v>299</v>
      </c>
      <c r="U1554" s="24" t="str">
        <f>HYPERLINK("https://media.infra-m.ru/1895/1895091/cover/1895091.jpg", "Обложка")</f>
        <v>Обложка</v>
      </c>
      <c r="V1554" s="24" t="str">
        <f>HYPERLINK("https://znanium.ru/catalog/product/1895091", "Ознакомиться")</f>
        <v>Ознакомиться</v>
      </c>
      <c r="W1554" s="8" t="s">
        <v>678</v>
      </c>
      <c r="X1554" s="6"/>
      <c r="Y1554" s="6"/>
      <c r="Z1554" s="6"/>
      <c r="AA1554" s="6" t="s">
        <v>793</v>
      </c>
      <c r="AB1554" s="8"/>
    </row>
    <row r="1555" spans="1:28" s="4" customFormat="1" ht="51.95" customHeight="1">
      <c r="A1555" s="5">
        <v>0</v>
      </c>
      <c r="B1555" s="6" t="s">
        <v>9685</v>
      </c>
      <c r="C1555" s="7">
        <v>664</v>
      </c>
      <c r="D1555" s="8" t="s">
        <v>9686</v>
      </c>
      <c r="E1555" s="8" t="s">
        <v>9687</v>
      </c>
      <c r="F1555" s="8" t="s">
        <v>9391</v>
      </c>
      <c r="G1555" s="6" t="s">
        <v>38</v>
      </c>
      <c r="H1555" s="6" t="s">
        <v>39</v>
      </c>
      <c r="I1555" s="8"/>
      <c r="J1555" s="9">
        <v>1</v>
      </c>
      <c r="K1555" s="9">
        <v>128</v>
      </c>
      <c r="L1555" s="9">
        <v>2025</v>
      </c>
      <c r="M1555" s="8" t="s">
        <v>9688</v>
      </c>
      <c r="N1555" s="8" t="s">
        <v>56</v>
      </c>
      <c r="O1555" s="8" t="s">
        <v>9271</v>
      </c>
      <c r="P1555" s="6" t="s">
        <v>43</v>
      </c>
      <c r="Q1555" s="8" t="s">
        <v>44</v>
      </c>
      <c r="R1555" s="10" t="s">
        <v>9689</v>
      </c>
      <c r="S1555" s="11"/>
      <c r="T1555" s="6"/>
      <c r="U1555" s="24" t="str">
        <f>HYPERLINK("https://media.infra-m.ru/2197/2197586/cover/2197586.jpg", "Обложка")</f>
        <v>Обложка</v>
      </c>
      <c r="V1555" s="24" t="str">
        <f>HYPERLINK("https://znanium.ru/catalog/product/1255464", "Ознакомиться")</f>
        <v>Ознакомиться</v>
      </c>
      <c r="W1555" s="8" t="s">
        <v>2954</v>
      </c>
      <c r="X1555" s="6"/>
      <c r="Y1555" s="6"/>
      <c r="Z1555" s="6"/>
      <c r="AA1555" s="6" t="s">
        <v>111</v>
      </c>
      <c r="AB1555" s="8"/>
    </row>
    <row r="1556" spans="1:28" s="4" customFormat="1" ht="51.95" customHeight="1">
      <c r="A1556" s="5">
        <v>0</v>
      </c>
      <c r="B1556" s="6" t="s">
        <v>9690</v>
      </c>
      <c r="C1556" s="13">
        <v>1270</v>
      </c>
      <c r="D1556" s="8" t="s">
        <v>9691</v>
      </c>
      <c r="E1556" s="8" t="s">
        <v>9692</v>
      </c>
      <c r="F1556" s="8" t="s">
        <v>9693</v>
      </c>
      <c r="G1556" s="6" t="s">
        <v>89</v>
      </c>
      <c r="H1556" s="6" t="s">
        <v>39</v>
      </c>
      <c r="I1556" s="8" t="s">
        <v>100</v>
      </c>
      <c r="J1556" s="9">
        <v>1</v>
      </c>
      <c r="K1556" s="9">
        <v>280</v>
      </c>
      <c r="L1556" s="9">
        <v>2023</v>
      </c>
      <c r="M1556" s="8" t="s">
        <v>9694</v>
      </c>
      <c r="N1556" s="8" t="s">
        <v>413</v>
      </c>
      <c r="O1556" s="8" t="s">
        <v>414</v>
      </c>
      <c r="P1556" s="6" t="s">
        <v>167</v>
      </c>
      <c r="Q1556" s="8" t="s">
        <v>102</v>
      </c>
      <c r="R1556" s="10" t="s">
        <v>9695</v>
      </c>
      <c r="S1556" s="11" t="s">
        <v>9696</v>
      </c>
      <c r="T1556" s="6"/>
      <c r="U1556" s="24" t="str">
        <f>HYPERLINK("https://media.infra-m.ru/1971/1971052/cover/1971052.jpg", "Обложка")</f>
        <v>Обложка</v>
      </c>
      <c r="V1556" s="24" t="str">
        <f>HYPERLINK("https://znanium.ru/catalog/product/1971052", "Ознакомиться")</f>
        <v>Ознакомиться</v>
      </c>
      <c r="W1556" s="8" t="s">
        <v>1689</v>
      </c>
      <c r="X1556" s="6"/>
      <c r="Y1556" s="6" t="s">
        <v>30</v>
      </c>
      <c r="Z1556" s="6" t="s">
        <v>104</v>
      </c>
      <c r="AA1556" s="6" t="s">
        <v>1374</v>
      </c>
      <c r="AB1556" s="8"/>
    </row>
    <row r="1557" spans="1:28" s="4" customFormat="1" ht="51.95" customHeight="1">
      <c r="A1557" s="5">
        <v>0</v>
      </c>
      <c r="B1557" s="6" t="s">
        <v>9697</v>
      </c>
      <c r="C1557" s="13">
        <v>1000</v>
      </c>
      <c r="D1557" s="8" t="s">
        <v>9698</v>
      </c>
      <c r="E1557" s="8" t="s">
        <v>9692</v>
      </c>
      <c r="F1557" s="8" t="s">
        <v>9699</v>
      </c>
      <c r="G1557" s="6" t="s">
        <v>89</v>
      </c>
      <c r="H1557" s="6" t="s">
        <v>39</v>
      </c>
      <c r="I1557" s="8" t="s">
        <v>90</v>
      </c>
      <c r="J1557" s="9">
        <v>1</v>
      </c>
      <c r="K1557" s="9">
        <v>279</v>
      </c>
      <c r="L1557" s="9">
        <v>2021</v>
      </c>
      <c r="M1557" s="8" t="s">
        <v>9700</v>
      </c>
      <c r="N1557" s="8" t="s">
        <v>41</v>
      </c>
      <c r="O1557" s="8" t="s">
        <v>676</v>
      </c>
      <c r="P1557" s="6" t="s">
        <v>167</v>
      </c>
      <c r="Q1557" s="8" t="s">
        <v>44</v>
      </c>
      <c r="R1557" s="10" t="s">
        <v>9701</v>
      </c>
      <c r="S1557" s="11" t="s">
        <v>9702</v>
      </c>
      <c r="T1557" s="6"/>
      <c r="U1557" s="24" t="str">
        <f>HYPERLINK("https://media.infra-m.ru/1234/1234132/cover/1234132.jpg", "Обложка")</f>
        <v>Обложка</v>
      </c>
      <c r="V1557" s="24" t="str">
        <f>HYPERLINK("https://znanium.ru/catalog/product/1234132", "Ознакомиться")</f>
        <v>Ознакомиться</v>
      </c>
      <c r="W1557" s="8" t="s">
        <v>1689</v>
      </c>
      <c r="X1557" s="6"/>
      <c r="Y1557" s="6"/>
      <c r="Z1557" s="6"/>
      <c r="AA1557" s="6" t="s">
        <v>160</v>
      </c>
      <c r="AB1557" s="8"/>
    </row>
    <row r="1558" spans="1:28" s="4" customFormat="1" ht="51.95" customHeight="1">
      <c r="A1558" s="5">
        <v>0</v>
      </c>
      <c r="B1558" s="6" t="s">
        <v>9703</v>
      </c>
      <c r="C1558" s="13">
        <v>2500</v>
      </c>
      <c r="D1558" s="8" t="s">
        <v>9704</v>
      </c>
      <c r="E1558" s="8" t="s">
        <v>9705</v>
      </c>
      <c r="F1558" s="8" t="s">
        <v>9706</v>
      </c>
      <c r="G1558" s="6" t="s">
        <v>52</v>
      </c>
      <c r="H1558" s="6" t="s">
        <v>53</v>
      </c>
      <c r="I1558" s="8" t="s">
        <v>116</v>
      </c>
      <c r="J1558" s="9">
        <v>1</v>
      </c>
      <c r="K1558" s="9">
        <v>559</v>
      </c>
      <c r="L1558" s="9">
        <v>2023</v>
      </c>
      <c r="M1558" s="8" t="s">
        <v>9707</v>
      </c>
      <c r="N1558" s="8" t="s">
        <v>41</v>
      </c>
      <c r="O1558" s="8" t="s">
        <v>118</v>
      </c>
      <c r="P1558" s="6" t="s">
        <v>43</v>
      </c>
      <c r="Q1558" s="8" t="s">
        <v>44</v>
      </c>
      <c r="R1558" s="10" t="s">
        <v>9708</v>
      </c>
      <c r="S1558" s="11" t="s">
        <v>9709</v>
      </c>
      <c r="T1558" s="6" t="s">
        <v>299</v>
      </c>
      <c r="U1558" s="24" t="str">
        <f>HYPERLINK("https://media.infra-m.ru/2039/2039129/cover/2039129.jpg", "Обложка")</f>
        <v>Обложка</v>
      </c>
      <c r="V1558" s="24" t="str">
        <f>HYPERLINK("https://znanium.ru/catalog/product/2039129", "Ознакомиться")</f>
        <v>Ознакомиться</v>
      </c>
      <c r="W1558" s="8" t="s">
        <v>189</v>
      </c>
      <c r="X1558" s="6"/>
      <c r="Y1558" s="6"/>
      <c r="Z1558" s="6"/>
      <c r="AA1558" s="6" t="s">
        <v>326</v>
      </c>
      <c r="AB1558" s="8"/>
    </row>
    <row r="1559" spans="1:28" s="4" customFormat="1" ht="42" customHeight="1">
      <c r="A1559" s="5">
        <v>0</v>
      </c>
      <c r="B1559" s="6" t="s">
        <v>9710</v>
      </c>
      <c r="C1559" s="13">
        <v>1840</v>
      </c>
      <c r="D1559" s="8" t="s">
        <v>9711</v>
      </c>
      <c r="E1559" s="8" t="s">
        <v>9712</v>
      </c>
      <c r="F1559" s="8" t="s">
        <v>5002</v>
      </c>
      <c r="G1559" s="6" t="s">
        <v>52</v>
      </c>
      <c r="H1559" s="6" t="s">
        <v>53</v>
      </c>
      <c r="I1559" s="8" t="s">
        <v>116</v>
      </c>
      <c r="J1559" s="9">
        <v>1</v>
      </c>
      <c r="K1559" s="9">
        <v>354</v>
      </c>
      <c r="L1559" s="9">
        <v>2025</v>
      </c>
      <c r="M1559" s="8" t="s">
        <v>9713</v>
      </c>
      <c r="N1559" s="8" t="s">
        <v>41</v>
      </c>
      <c r="O1559" s="8" t="s">
        <v>118</v>
      </c>
      <c r="P1559" s="6" t="s">
        <v>167</v>
      </c>
      <c r="Q1559" s="8" t="s">
        <v>44</v>
      </c>
      <c r="R1559" s="10" t="s">
        <v>9714</v>
      </c>
      <c r="S1559" s="11"/>
      <c r="T1559" s="6" t="s">
        <v>299</v>
      </c>
      <c r="U1559" s="24" t="str">
        <f>HYPERLINK("https://media.infra-m.ru/1815/1815935/cover/1815935.jpg", "Обложка")</f>
        <v>Обложка</v>
      </c>
      <c r="V1559" s="24" t="str">
        <f>HYPERLINK("https://znanium.ru/catalog/product/1815935", "Ознакомиться")</f>
        <v>Ознакомиться</v>
      </c>
      <c r="W1559" s="8" t="s">
        <v>2938</v>
      </c>
      <c r="X1559" s="6" t="s">
        <v>132</v>
      </c>
      <c r="Y1559" s="6"/>
      <c r="Z1559" s="6"/>
      <c r="AA1559" s="6" t="s">
        <v>61</v>
      </c>
      <c r="AB1559" s="8"/>
    </row>
    <row r="1560" spans="1:28" s="4" customFormat="1" ht="51.95" customHeight="1">
      <c r="A1560" s="5">
        <v>0</v>
      </c>
      <c r="B1560" s="6" t="s">
        <v>9715</v>
      </c>
      <c r="C1560" s="7">
        <v>990</v>
      </c>
      <c r="D1560" s="8" t="s">
        <v>9716</v>
      </c>
      <c r="E1560" s="8" t="s">
        <v>9712</v>
      </c>
      <c r="F1560" s="8" t="s">
        <v>9717</v>
      </c>
      <c r="G1560" s="6" t="s">
        <v>52</v>
      </c>
      <c r="H1560" s="6" t="s">
        <v>53</v>
      </c>
      <c r="I1560" s="8" t="s">
        <v>116</v>
      </c>
      <c r="J1560" s="9">
        <v>1</v>
      </c>
      <c r="K1560" s="9">
        <v>210</v>
      </c>
      <c r="L1560" s="9">
        <v>2023</v>
      </c>
      <c r="M1560" s="8" t="s">
        <v>9718</v>
      </c>
      <c r="N1560" s="8" t="s">
        <v>41</v>
      </c>
      <c r="O1560" s="8" t="s">
        <v>118</v>
      </c>
      <c r="P1560" s="6" t="s">
        <v>43</v>
      </c>
      <c r="Q1560" s="8" t="s">
        <v>44</v>
      </c>
      <c r="R1560" s="10" t="s">
        <v>9719</v>
      </c>
      <c r="S1560" s="11"/>
      <c r="T1560" s="6"/>
      <c r="U1560" s="24" t="str">
        <f>HYPERLINK("https://media.infra-m.ru/1907/1907618/cover/1907618.jpg", "Обложка")</f>
        <v>Обложка</v>
      </c>
      <c r="V1560" s="24" t="str">
        <f>HYPERLINK("https://znanium.ru/catalog/product/1907618", "Ознакомиться")</f>
        <v>Ознакомиться</v>
      </c>
      <c r="W1560" s="8" t="s">
        <v>9720</v>
      </c>
      <c r="X1560" s="6"/>
      <c r="Y1560" s="6"/>
      <c r="Z1560" s="6"/>
      <c r="AA1560" s="6" t="s">
        <v>207</v>
      </c>
      <c r="AB1560" s="8"/>
    </row>
    <row r="1561" spans="1:28" s="4" customFormat="1" ht="51.95" customHeight="1">
      <c r="A1561" s="5">
        <v>0</v>
      </c>
      <c r="B1561" s="6" t="s">
        <v>9721</v>
      </c>
      <c r="C1561" s="7">
        <v>690</v>
      </c>
      <c r="D1561" s="8" t="s">
        <v>9722</v>
      </c>
      <c r="E1561" s="8" t="s">
        <v>9723</v>
      </c>
      <c r="F1561" s="8" t="s">
        <v>9724</v>
      </c>
      <c r="G1561" s="6" t="s">
        <v>89</v>
      </c>
      <c r="H1561" s="6" t="s">
        <v>53</v>
      </c>
      <c r="I1561" s="8" t="s">
        <v>116</v>
      </c>
      <c r="J1561" s="9">
        <v>1</v>
      </c>
      <c r="K1561" s="9">
        <v>137</v>
      </c>
      <c r="L1561" s="9">
        <v>2024</v>
      </c>
      <c r="M1561" s="8" t="s">
        <v>9725</v>
      </c>
      <c r="N1561" s="8" t="s">
        <v>41</v>
      </c>
      <c r="O1561" s="8" t="s">
        <v>118</v>
      </c>
      <c r="P1561" s="6" t="s">
        <v>43</v>
      </c>
      <c r="Q1561" s="8" t="s">
        <v>44</v>
      </c>
      <c r="R1561" s="10" t="s">
        <v>9714</v>
      </c>
      <c r="S1561" s="11" t="s">
        <v>9726</v>
      </c>
      <c r="T1561" s="6"/>
      <c r="U1561" s="24" t="str">
        <f>HYPERLINK("https://media.infra-m.ru/2157/2157678/cover/2157678.jpg", "Обложка")</f>
        <v>Обложка</v>
      </c>
      <c r="V1561" s="24" t="str">
        <f>HYPERLINK("https://znanium.ru/catalog/product/2157678", "Ознакомиться")</f>
        <v>Ознакомиться</v>
      </c>
      <c r="W1561" s="8" t="s">
        <v>1345</v>
      </c>
      <c r="X1561" s="6"/>
      <c r="Y1561" s="6"/>
      <c r="Z1561" s="6"/>
      <c r="AA1561" s="6" t="s">
        <v>793</v>
      </c>
      <c r="AB1561" s="8"/>
    </row>
    <row r="1562" spans="1:28" s="4" customFormat="1" ht="51.95" customHeight="1">
      <c r="A1562" s="5">
        <v>0</v>
      </c>
      <c r="B1562" s="6" t="s">
        <v>9727</v>
      </c>
      <c r="C1562" s="13">
        <v>1644</v>
      </c>
      <c r="D1562" s="8" t="s">
        <v>9728</v>
      </c>
      <c r="E1562" s="8" t="s">
        <v>9729</v>
      </c>
      <c r="F1562" s="8" t="s">
        <v>9730</v>
      </c>
      <c r="G1562" s="6" t="s">
        <v>89</v>
      </c>
      <c r="H1562" s="6" t="s">
        <v>53</v>
      </c>
      <c r="I1562" s="8" t="s">
        <v>276</v>
      </c>
      <c r="J1562" s="9">
        <v>1</v>
      </c>
      <c r="K1562" s="9">
        <v>358</v>
      </c>
      <c r="L1562" s="9">
        <v>2023</v>
      </c>
      <c r="M1562" s="8" t="s">
        <v>9731</v>
      </c>
      <c r="N1562" s="8" t="s">
        <v>41</v>
      </c>
      <c r="O1562" s="8" t="s">
        <v>118</v>
      </c>
      <c r="P1562" s="6" t="s">
        <v>167</v>
      </c>
      <c r="Q1562" s="8" t="s">
        <v>279</v>
      </c>
      <c r="R1562" s="10" t="s">
        <v>1107</v>
      </c>
      <c r="S1562" s="11" t="s">
        <v>9732</v>
      </c>
      <c r="T1562" s="6"/>
      <c r="U1562" s="24" t="str">
        <f>HYPERLINK("https://media.infra-m.ru/2110/2110486/cover/2110486.jpg", "Обложка")</f>
        <v>Обложка</v>
      </c>
      <c r="V1562" s="24" t="str">
        <f>HYPERLINK("https://znanium.ru/catalog/product/1906705", "Ознакомиться")</f>
        <v>Ознакомиться</v>
      </c>
      <c r="W1562" s="8" t="s">
        <v>8621</v>
      </c>
      <c r="X1562" s="6"/>
      <c r="Y1562" s="6"/>
      <c r="Z1562" s="6"/>
      <c r="AA1562" s="6" t="s">
        <v>151</v>
      </c>
      <c r="AB1562" s="8"/>
    </row>
    <row r="1563" spans="1:28" s="4" customFormat="1" ht="51.95" customHeight="1">
      <c r="A1563" s="5">
        <v>0</v>
      </c>
      <c r="B1563" s="6" t="s">
        <v>9733</v>
      </c>
      <c r="C1563" s="13">
        <v>1190</v>
      </c>
      <c r="D1563" s="8" t="s">
        <v>9734</v>
      </c>
      <c r="E1563" s="8" t="s">
        <v>9735</v>
      </c>
      <c r="F1563" s="8" t="s">
        <v>9736</v>
      </c>
      <c r="G1563" s="6" t="s">
        <v>52</v>
      </c>
      <c r="H1563" s="6" t="s">
        <v>53</v>
      </c>
      <c r="I1563" s="8" t="s">
        <v>116</v>
      </c>
      <c r="J1563" s="9">
        <v>1</v>
      </c>
      <c r="K1563" s="9">
        <v>231</v>
      </c>
      <c r="L1563" s="9">
        <v>2025</v>
      </c>
      <c r="M1563" s="8" t="s">
        <v>9737</v>
      </c>
      <c r="N1563" s="8" t="s">
        <v>41</v>
      </c>
      <c r="O1563" s="8" t="s">
        <v>118</v>
      </c>
      <c r="P1563" s="6" t="s">
        <v>43</v>
      </c>
      <c r="Q1563" s="8" t="s">
        <v>58</v>
      </c>
      <c r="R1563" s="10" t="s">
        <v>9738</v>
      </c>
      <c r="S1563" s="11"/>
      <c r="T1563" s="6"/>
      <c r="U1563" s="24" t="str">
        <f>HYPERLINK("https://media.infra-m.ru/1995/1995399/cover/1995399.jpg", "Обложка")</f>
        <v>Обложка</v>
      </c>
      <c r="V1563" s="24" t="str">
        <f>HYPERLINK("https://znanium.ru/catalog/product/1995399", "Ознакомиться")</f>
        <v>Ознакомиться</v>
      </c>
      <c r="W1563" s="8" t="s">
        <v>9739</v>
      </c>
      <c r="X1563" s="6" t="s">
        <v>389</v>
      </c>
      <c r="Y1563" s="6"/>
      <c r="Z1563" s="6"/>
      <c r="AA1563" s="6" t="s">
        <v>61</v>
      </c>
      <c r="AB1563" s="8"/>
    </row>
    <row r="1564" spans="1:28" s="4" customFormat="1" ht="42" customHeight="1">
      <c r="A1564" s="5">
        <v>0</v>
      </c>
      <c r="B1564" s="6" t="s">
        <v>9740</v>
      </c>
      <c r="C1564" s="7">
        <v>695</v>
      </c>
      <c r="D1564" s="8" t="s">
        <v>9741</v>
      </c>
      <c r="E1564" s="8" t="s">
        <v>9742</v>
      </c>
      <c r="F1564" s="8" t="s">
        <v>9743</v>
      </c>
      <c r="G1564" s="6" t="s">
        <v>38</v>
      </c>
      <c r="H1564" s="6" t="s">
        <v>674</v>
      </c>
      <c r="I1564" s="8"/>
      <c r="J1564" s="9">
        <v>1</v>
      </c>
      <c r="K1564" s="9">
        <v>68</v>
      </c>
      <c r="L1564" s="9">
        <v>2025</v>
      </c>
      <c r="M1564" s="8" t="s">
        <v>9744</v>
      </c>
      <c r="N1564" s="8" t="s">
        <v>41</v>
      </c>
      <c r="O1564" s="8" t="s">
        <v>676</v>
      </c>
      <c r="P1564" s="6" t="s">
        <v>1046</v>
      </c>
      <c r="Q1564" s="8" t="s">
        <v>58</v>
      </c>
      <c r="R1564" s="10" t="s">
        <v>9745</v>
      </c>
      <c r="S1564" s="11"/>
      <c r="T1564" s="6"/>
      <c r="U1564" s="24" t="str">
        <f>HYPERLINK("https://media.infra-m.ru/2198/2198725/cover/2198725.jpg", "Обложка")</f>
        <v>Обложка</v>
      </c>
      <c r="V1564" s="24" t="str">
        <f>HYPERLINK("https://znanium.ru/catalog/product/2193756", "Ознакомиться")</f>
        <v>Ознакомиться</v>
      </c>
      <c r="W1564" s="8" t="s">
        <v>2995</v>
      </c>
      <c r="X1564" s="6"/>
      <c r="Y1564" s="6"/>
      <c r="Z1564" s="6"/>
      <c r="AA1564" s="6" t="s">
        <v>61</v>
      </c>
      <c r="AB1564" s="8"/>
    </row>
    <row r="1565" spans="1:28" s="4" customFormat="1" ht="51.95" customHeight="1">
      <c r="A1565" s="5">
        <v>0</v>
      </c>
      <c r="B1565" s="6" t="s">
        <v>9746</v>
      </c>
      <c r="C1565" s="13">
        <v>2600</v>
      </c>
      <c r="D1565" s="8" t="s">
        <v>9747</v>
      </c>
      <c r="E1565" s="8" t="s">
        <v>9748</v>
      </c>
      <c r="F1565" s="8" t="s">
        <v>9749</v>
      </c>
      <c r="G1565" s="6" t="s">
        <v>52</v>
      </c>
      <c r="H1565" s="6" t="s">
        <v>952</v>
      </c>
      <c r="I1565" s="8"/>
      <c r="J1565" s="9">
        <v>1</v>
      </c>
      <c r="K1565" s="9">
        <v>648</v>
      </c>
      <c r="L1565" s="9">
        <v>2024</v>
      </c>
      <c r="M1565" s="8" t="s">
        <v>9750</v>
      </c>
      <c r="N1565" s="8" t="s">
        <v>41</v>
      </c>
      <c r="O1565" s="8" t="s">
        <v>1007</v>
      </c>
      <c r="P1565" s="6" t="s">
        <v>167</v>
      </c>
      <c r="Q1565" s="8" t="s">
        <v>58</v>
      </c>
      <c r="R1565" s="10" t="s">
        <v>9751</v>
      </c>
      <c r="S1565" s="11"/>
      <c r="T1565" s="6"/>
      <c r="U1565" s="24" t="str">
        <f>HYPERLINK("https://media.infra-m.ru/2146/2146342/cover/2146342.jpg", "Обложка")</f>
        <v>Обложка</v>
      </c>
      <c r="V1565" s="24" t="str">
        <f>HYPERLINK("https://znanium.ru/catalog/product/2146342", "Ознакомиться")</f>
        <v>Ознакомиться</v>
      </c>
      <c r="W1565" s="8"/>
      <c r="X1565" s="6"/>
      <c r="Y1565" s="6"/>
      <c r="Z1565" s="6"/>
      <c r="AA1565" s="6" t="s">
        <v>207</v>
      </c>
      <c r="AB1565" s="8"/>
    </row>
    <row r="1566" spans="1:28" s="4" customFormat="1" ht="51.95" customHeight="1">
      <c r="A1566" s="5">
        <v>0</v>
      </c>
      <c r="B1566" s="6" t="s">
        <v>9752</v>
      </c>
      <c r="C1566" s="13">
        <v>1180</v>
      </c>
      <c r="D1566" s="8" t="s">
        <v>9753</v>
      </c>
      <c r="E1566" s="8" t="s">
        <v>9754</v>
      </c>
      <c r="F1566" s="8" t="s">
        <v>6712</v>
      </c>
      <c r="G1566" s="6" t="s">
        <v>89</v>
      </c>
      <c r="H1566" s="6" t="s">
        <v>53</v>
      </c>
      <c r="I1566" s="8" t="s">
        <v>2297</v>
      </c>
      <c r="J1566" s="9">
        <v>1</v>
      </c>
      <c r="K1566" s="9">
        <v>318</v>
      </c>
      <c r="L1566" s="9">
        <v>2021</v>
      </c>
      <c r="M1566" s="8" t="s">
        <v>9755</v>
      </c>
      <c r="N1566" s="8" t="s">
        <v>413</v>
      </c>
      <c r="O1566" s="8" t="s">
        <v>2771</v>
      </c>
      <c r="P1566" s="6" t="s">
        <v>366</v>
      </c>
      <c r="Q1566" s="8" t="s">
        <v>1674</v>
      </c>
      <c r="R1566" s="10" t="s">
        <v>9756</v>
      </c>
      <c r="S1566" s="11" t="s">
        <v>9757</v>
      </c>
      <c r="T1566" s="6"/>
      <c r="U1566" s="24" t="str">
        <f>HYPERLINK("https://media.infra-m.ru/1601/1601510/cover/1601510.jpg", "Обложка")</f>
        <v>Обложка</v>
      </c>
      <c r="V1566" s="24" t="str">
        <f>HYPERLINK("https://znanium.ru/catalog/product/2140709", "Ознакомиться")</f>
        <v>Ознакомиться</v>
      </c>
      <c r="W1566" s="8" t="s">
        <v>2080</v>
      </c>
      <c r="X1566" s="6"/>
      <c r="Y1566" s="6"/>
      <c r="Z1566" s="6"/>
      <c r="AA1566" s="6" t="s">
        <v>3501</v>
      </c>
      <c r="AB1566" s="8"/>
    </row>
    <row r="1567" spans="1:28" s="4" customFormat="1" ht="51.95" customHeight="1">
      <c r="A1567" s="5">
        <v>0</v>
      </c>
      <c r="B1567" s="6" t="s">
        <v>9758</v>
      </c>
      <c r="C1567" s="13">
        <v>1154</v>
      </c>
      <c r="D1567" s="8" t="s">
        <v>9759</v>
      </c>
      <c r="E1567" s="8" t="s">
        <v>9760</v>
      </c>
      <c r="F1567" s="8" t="s">
        <v>2296</v>
      </c>
      <c r="G1567" s="6" t="s">
        <v>89</v>
      </c>
      <c r="H1567" s="6" t="s">
        <v>53</v>
      </c>
      <c r="I1567" s="8" t="s">
        <v>2297</v>
      </c>
      <c r="J1567" s="9">
        <v>1</v>
      </c>
      <c r="K1567" s="9">
        <v>245</v>
      </c>
      <c r="L1567" s="9">
        <v>2024</v>
      </c>
      <c r="M1567" s="8" t="s">
        <v>9761</v>
      </c>
      <c r="N1567" s="8" t="s">
        <v>413</v>
      </c>
      <c r="O1567" s="8" t="s">
        <v>2771</v>
      </c>
      <c r="P1567" s="6" t="s">
        <v>366</v>
      </c>
      <c r="Q1567" s="8" t="s">
        <v>1674</v>
      </c>
      <c r="R1567" s="10" t="s">
        <v>9756</v>
      </c>
      <c r="S1567" s="11" t="s">
        <v>9757</v>
      </c>
      <c r="T1567" s="6"/>
      <c r="U1567" s="24" t="str">
        <f>HYPERLINK("https://media.infra-m.ru/2141/2141550/cover/2141550.jpg", "Обложка")</f>
        <v>Обложка</v>
      </c>
      <c r="V1567" s="24" t="str">
        <f>HYPERLINK("https://znanium.ru/catalog/product/2140709", "Ознакомиться")</f>
        <v>Ознакомиться</v>
      </c>
      <c r="W1567" s="8" t="s">
        <v>2080</v>
      </c>
      <c r="X1567" s="6"/>
      <c r="Y1567" s="6"/>
      <c r="Z1567" s="6"/>
      <c r="AA1567" s="6" t="s">
        <v>9762</v>
      </c>
      <c r="AB1567" s="8"/>
    </row>
    <row r="1568" spans="1:28" s="4" customFormat="1" ht="44.1" customHeight="1">
      <c r="A1568" s="5">
        <v>0</v>
      </c>
      <c r="B1568" s="6" t="s">
        <v>9763</v>
      </c>
      <c r="C1568" s="13">
        <v>1470</v>
      </c>
      <c r="D1568" s="8" t="s">
        <v>9764</v>
      </c>
      <c r="E1568" s="8" t="s">
        <v>9765</v>
      </c>
      <c r="F1568" s="8" t="s">
        <v>9766</v>
      </c>
      <c r="G1568" s="6" t="s">
        <v>52</v>
      </c>
      <c r="H1568" s="6" t="s">
        <v>53</v>
      </c>
      <c r="I1568" s="8" t="s">
        <v>116</v>
      </c>
      <c r="J1568" s="9">
        <v>1</v>
      </c>
      <c r="K1568" s="9">
        <v>264</v>
      </c>
      <c r="L1568" s="9">
        <v>2025</v>
      </c>
      <c r="M1568" s="8" t="s">
        <v>9767</v>
      </c>
      <c r="N1568" s="8" t="s">
        <v>997</v>
      </c>
      <c r="O1568" s="8" t="s">
        <v>998</v>
      </c>
      <c r="P1568" s="6" t="s">
        <v>43</v>
      </c>
      <c r="Q1568" s="8" t="s">
        <v>58</v>
      </c>
      <c r="R1568" s="10" t="s">
        <v>9768</v>
      </c>
      <c r="S1568" s="11"/>
      <c r="T1568" s="6"/>
      <c r="U1568" s="24" t="str">
        <f>HYPERLINK("https://media.infra-m.ru/2177/2177489/cover/2177489.jpg", "Обложка")</f>
        <v>Обложка</v>
      </c>
      <c r="V1568" s="24" t="str">
        <f>HYPERLINK("https://znanium.ru/catalog/product/2177489", "Ознакомиться")</f>
        <v>Ознакомиться</v>
      </c>
      <c r="W1568" s="8" t="s">
        <v>71</v>
      </c>
      <c r="X1568" s="6" t="s">
        <v>60</v>
      </c>
      <c r="Y1568" s="6"/>
      <c r="Z1568" s="6"/>
      <c r="AA1568" s="6" t="s">
        <v>61</v>
      </c>
      <c r="AB1568" s="8" t="s">
        <v>1863</v>
      </c>
    </row>
    <row r="1569" spans="1:28" s="4" customFormat="1" ht="51.95" customHeight="1">
      <c r="A1569" s="5">
        <v>0</v>
      </c>
      <c r="B1569" s="6" t="s">
        <v>9769</v>
      </c>
      <c r="C1569" s="13">
        <v>2230</v>
      </c>
      <c r="D1569" s="8" t="s">
        <v>9770</v>
      </c>
      <c r="E1569" s="8" t="s">
        <v>9771</v>
      </c>
      <c r="F1569" s="8" t="s">
        <v>9766</v>
      </c>
      <c r="G1569" s="6" t="s">
        <v>52</v>
      </c>
      <c r="H1569" s="6" t="s">
        <v>53</v>
      </c>
      <c r="I1569" s="8" t="s">
        <v>116</v>
      </c>
      <c r="J1569" s="9">
        <v>1</v>
      </c>
      <c r="K1569" s="9">
        <v>484</v>
      </c>
      <c r="L1569" s="9">
        <v>2024</v>
      </c>
      <c r="M1569" s="8" t="s">
        <v>9772</v>
      </c>
      <c r="N1569" s="8" t="s">
        <v>997</v>
      </c>
      <c r="O1569" s="8" t="s">
        <v>9773</v>
      </c>
      <c r="P1569" s="6" t="s">
        <v>43</v>
      </c>
      <c r="Q1569" s="8" t="s">
        <v>44</v>
      </c>
      <c r="R1569" s="10" t="s">
        <v>6360</v>
      </c>
      <c r="S1569" s="11" t="s">
        <v>9774</v>
      </c>
      <c r="T1569" s="6" t="s">
        <v>299</v>
      </c>
      <c r="U1569" s="24" t="str">
        <f>HYPERLINK("https://media.infra-m.ru/2088/2088772/cover/2088772.jpg", "Обложка")</f>
        <v>Обложка</v>
      </c>
      <c r="V1569" s="24" t="str">
        <f>HYPERLINK("https://znanium.ru/catalog/product/2088772", "Ознакомиться")</f>
        <v>Ознакомиться</v>
      </c>
      <c r="W1569" s="8" t="s">
        <v>71</v>
      </c>
      <c r="X1569" s="6"/>
      <c r="Y1569" s="6"/>
      <c r="Z1569" s="6"/>
      <c r="AA1569" s="6" t="s">
        <v>418</v>
      </c>
      <c r="AB1569" s="8"/>
    </row>
    <row r="1570" spans="1:28" s="4" customFormat="1" ht="51.95" customHeight="1">
      <c r="A1570" s="5">
        <v>0</v>
      </c>
      <c r="B1570" s="6" t="s">
        <v>9775</v>
      </c>
      <c r="C1570" s="7">
        <v>630</v>
      </c>
      <c r="D1570" s="8" t="s">
        <v>9776</v>
      </c>
      <c r="E1570" s="8" t="s">
        <v>9777</v>
      </c>
      <c r="F1570" s="8" t="s">
        <v>9778</v>
      </c>
      <c r="G1570" s="6" t="s">
        <v>38</v>
      </c>
      <c r="H1570" s="6" t="s">
        <v>39</v>
      </c>
      <c r="I1570" s="8" t="s">
        <v>116</v>
      </c>
      <c r="J1570" s="9">
        <v>1</v>
      </c>
      <c r="K1570" s="9">
        <v>112</v>
      </c>
      <c r="L1570" s="9">
        <v>2024</v>
      </c>
      <c r="M1570" s="8" t="s">
        <v>9779</v>
      </c>
      <c r="N1570" s="8" t="s">
        <v>997</v>
      </c>
      <c r="O1570" s="8" t="s">
        <v>998</v>
      </c>
      <c r="P1570" s="6" t="s">
        <v>43</v>
      </c>
      <c r="Q1570" s="8" t="s">
        <v>44</v>
      </c>
      <c r="R1570" s="10" t="s">
        <v>9780</v>
      </c>
      <c r="S1570" s="11" t="s">
        <v>9781</v>
      </c>
      <c r="T1570" s="6"/>
      <c r="U1570" s="24" t="str">
        <f>HYPERLINK("https://media.infra-m.ru/2135/2135609/cover/2135609.jpg", "Обложка")</f>
        <v>Обложка</v>
      </c>
      <c r="V1570" s="24" t="str">
        <f>HYPERLINK("https://znanium.ru/catalog/product/2135609", "Ознакомиться")</f>
        <v>Ознакомиться</v>
      </c>
      <c r="W1570" s="8" t="s">
        <v>83</v>
      </c>
      <c r="X1570" s="6"/>
      <c r="Y1570" s="6"/>
      <c r="Z1570" s="6"/>
      <c r="AA1570" s="6" t="s">
        <v>122</v>
      </c>
      <c r="AB1570" s="8"/>
    </row>
    <row r="1571" spans="1:28" s="4" customFormat="1" ht="51.95" customHeight="1">
      <c r="A1571" s="5">
        <v>0</v>
      </c>
      <c r="B1571" s="6" t="s">
        <v>9782</v>
      </c>
      <c r="C1571" s="7">
        <v>654</v>
      </c>
      <c r="D1571" s="8" t="s">
        <v>9783</v>
      </c>
      <c r="E1571" s="8" t="s">
        <v>9784</v>
      </c>
      <c r="F1571" s="8" t="s">
        <v>9785</v>
      </c>
      <c r="G1571" s="6" t="s">
        <v>89</v>
      </c>
      <c r="H1571" s="6" t="s">
        <v>53</v>
      </c>
      <c r="I1571" s="8" t="s">
        <v>90</v>
      </c>
      <c r="J1571" s="9">
        <v>1</v>
      </c>
      <c r="K1571" s="9">
        <v>142</v>
      </c>
      <c r="L1571" s="9">
        <v>2024</v>
      </c>
      <c r="M1571" s="8" t="s">
        <v>9786</v>
      </c>
      <c r="N1571" s="8" t="s">
        <v>997</v>
      </c>
      <c r="O1571" s="8" t="s">
        <v>998</v>
      </c>
      <c r="P1571" s="6" t="s">
        <v>43</v>
      </c>
      <c r="Q1571" s="8" t="s">
        <v>44</v>
      </c>
      <c r="R1571" s="10" t="s">
        <v>9787</v>
      </c>
      <c r="S1571" s="11" t="s">
        <v>9788</v>
      </c>
      <c r="T1571" s="6"/>
      <c r="U1571" s="24" t="str">
        <f>HYPERLINK("https://media.infra-m.ru/2091/2091896/cover/2091896.jpg", "Обложка")</f>
        <v>Обложка</v>
      </c>
      <c r="V1571" s="24" t="str">
        <f>HYPERLINK("https://znanium.ru/catalog/product/1232491", "Ознакомиться")</f>
        <v>Ознакомиться</v>
      </c>
      <c r="W1571" s="8"/>
      <c r="X1571" s="6"/>
      <c r="Y1571" s="6"/>
      <c r="Z1571" s="6"/>
      <c r="AA1571" s="6" t="s">
        <v>513</v>
      </c>
      <c r="AB1571" s="8"/>
    </row>
    <row r="1572" spans="1:28" s="4" customFormat="1" ht="44.1" customHeight="1">
      <c r="A1572" s="5">
        <v>0</v>
      </c>
      <c r="B1572" s="6" t="s">
        <v>9789</v>
      </c>
      <c r="C1572" s="7">
        <v>194.9</v>
      </c>
      <c r="D1572" s="8" t="s">
        <v>9790</v>
      </c>
      <c r="E1572" s="8" t="s">
        <v>9791</v>
      </c>
      <c r="F1572" s="8" t="s">
        <v>9792</v>
      </c>
      <c r="G1572" s="6" t="s">
        <v>38</v>
      </c>
      <c r="H1572" s="6" t="s">
        <v>39</v>
      </c>
      <c r="I1572" s="8"/>
      <c r="J1572" s="9">
        <v>1</v>
      </c>
      <c r="K1572" s="9">
        <v>56</v>
      </c>
      <c r="L1572" s="9">
        <v>2020</v>
      </c>
      <c r="M1572" s="8" t="s">
        <v>9793</v>
      </c>
      <c r="N1572" s="8" t="s">
        <v>413</v>
      </c>
      <c r="O1572" s="8" t="s">
        <v>2771</v>
      </c>
      <c r="P1572" s="6" t="s">
        <v>43</v>
      </c>
      <c r="Q1572" s="8" t="s">
        <v>44</v>
      </c>
      <c r="R1572" s="10" t="s">
        <v>9787</v>
      </c>
      <c r="S1572" s="11"/>
      <c r="T1572" s="6"/>
      <c r="U1572" s="24" t="str">
        <f>HYPERLINK("https://media.infra-m.ru/1081/1081935/cover/1081935.jpg", "Обложка")</f>
        <v>Обложка</v>
      </c>
      <c r="V1572" s="24" t="str">
        <f>HYPERLINK("https://znanium.ru/catalog/product/1232491", "Ознакомиться")</f>
        <v>Ознакомиться</v>
      </c>
      <c r="W1572" s="8" t="s">
        <v>4161</v>
      </c>
      <c r="X1572" s="6"/>
      <c r="Y1572" s="6"/>
      <c r="Z1572" s="6"/>
      <c r="AA1572" s="6" t="s">
        <v>111</v>
      </c>
      <c r="AB1572" s="8"/>
    </row>
    <row r="1573" spans="1:28" s="4" customFormat="1" ht="42" customHeight="1">
      <c r="A1573" s="5">
        <v>0</v>
      </c>
      <c r="B1573" s="6" t="s">
        <v>9794</v>
      </c>
      <c r="C1573" s="7">
        <v>814</v>
      </c>
      <c r="D1573" s="8" t="s">
        <v>9795</v>
      </c>
      <c r="E1573" s="8" t="s">
        <v>9796</v>
      </c>
      <c r="F1573" s="8" t="s">
        <v>9797</v>
      </c>
      <c r="G1573" s="6" t="s">
        <v>52</v>
      </c>
      <c r="H1573" s="6" t="s">
        <v>53</v>
      </c>
      <c r="I1573" s="8" t="s">
        <v>116</v>
      </c>
      <c r="J1573" s="9">
        <v>1</v>
      </c>
      <c r="K1573" s="9">
        <v>156</v>
      </c>
      <c r="L1573" s="9">
        <v>2025</v>
      </c>
      <c r="M1573" s="8" t="s">
        <v>9798</v>
      </c>
      <c r="N1573" s="8" t="s">
        <v>79</v>
      </c>
      <c r="O1573" s="8" t="s">
        <v>424</v>
      </c>
      <c r="P1573" s="6" t="s">
        <v>175</v>
      </c>
      <c r="Q1573" s="8" t="s">
        <v>44</v>
      </c>
      <c r="R1573" s="10" t="s">
        <v>4598</v>
      </c>
      <c r="S1573" s="11"/>
      <c r="T1573" s="6"/>
      <c r="U1573" s="24" t="str">
        <f>HYPERLINK("https://media.infra-m.ru/2179/2179480/cover/2179480.jpg", "Обложка")</f>
        <v>Обложка</v>
      </c>
      <c r="V1573" s="24" t="str">
        <f>HYPERLINK("https://znanium.ru/catalog/product/560431", "Ознакомиться")</f>
        <v>Ознакомиться</v>
      </c>
      <c r="W1573" s="8" t="s">
        <v>9799</v>
      </c>
      <c r="X1573" s="6"/>
      <c r="Y1573" s="6"/>
      <c r="Z1573" s="6"/>
      <c r="AA1573" s="6" t="s">
        <v>111</v>
      </c>
      <c r="AB1573" s="8"/>
    </row>
    <row r="1574" spans="1:28" s="4" customFormat="1" ht="51.95" customHeight="1">
      <c r="A1574" s="5">
        <v>0</v>
      </c>
      <c r="B1574" s="6" t="s">
        <v>9800</v>
      </c>
      <c r="C1574" s="7">
        <v>544.9</v>
      </c>
      <c r="D1574" s="8" t="s">
        <v>9801</v>
      </c>
      <c r="E1574" s="8" t="s">
        <v>9802</v>
      </c>
      <c r="F1574" s="8" t="s">
        <v>9803</v>
      </c>
      <c r="G1574" s="6" t="s">
        <v>38</v>
      </c>
      <c r="H1574" s="6" t="s">
        <v>438</v>
      </c>
      <c r="I1574" s="8" t="s">
        <v>90</v>
      </c>
      <c r="J1574" s="9">
        <v>1</v>
      </c>
      <c r="K1574" s="9">
        <v>146</v>
      </c>
      <c r="L1574" s="9">
        <v>2020</v>
      </c>
      <c r="M1574" s="8" t="s">
        <v>9804</v>
      </c>
      <c r="N1574" s="8" t="s">
        <v>79</v>
      </c>
      <c r="O1574" s="8" t="s">
        <v>684</v>
      </c>
      <c r="P1574" s="6" t="s">
        <v>43</v>
      </c>
      <c r="Q1574" s="8" t="s">
        <v>44</v>
      </c>
      <c r="R1574" s="10" t="s">
        <v>1591</v>
      </c>
      <c r="S1574" s="11" t="s">
        <v>4367</v>
      </c>
      <c r="T1574" s="6"/>
      <c r="U1574" s="24" t="str">
        <f>HYPERLINK("https://media.infra-m.ru/1066/1066717/cover/1066717.jpg", "Обложка")</f>
        <v>Обложка</v>
      </c>
      <c r="V1574" s="24" t="str">
        <f>HYPERLINK("https://znanium.ru/catalog/product/959386", "Ознакомиться")</f>
        <v>Ознакомиться</v>
      </c>
      <c r="W1574" s="8" t="s">
        <v>9805</v>
      </c>
      <c r="X1574" s="6"/>
      <c r="Y1574" s="6"/>
      <c r="Z1574" s="6"/>
      <c r="AA1574" s="6" t="s">
        <v>418</v>
      </c>
      <c r="AB1574" s="8"/>
    </row>
    <row r="1575" spans="1:28" s="4" customFormat="1" ht="51.95" customHeight="1">
      <c r="A1575" s="5">
        <v>0</v>
      </c>
      <c r="B1575" s="6" t="s">
        <v>9806</v>
      </c>
      <c r="C1575" s="7">
        <v>660</v>
      </c>
      <c r="D1575" s="8" t="s">
        <v>9807</v>
      </c>
      <c r="E1575" s="8" t="s">
        <v>9808</v>
      </c>
      <c r="F1575" s="8" t="s">
        <v>9809</v>
      </c>
      <c r="G1575" s="6" t="s">
        <v>38</v>
      </c>
      <c r="H1575" s="6" t="s">
        <v>53</v>
      </c>
      <c r="I1575" s="8" t="s">
        <v>100</v>
      </c>
      <c r="J1575" s="9">
        <v>1</v>
      </c>
      <c r="K1575" s="9">
        <v>136</v>
      </c>
      <c r="L1575" s="9">
        <v>2023</v>
      </c>
      <c r="M1575" s="8" t="s">
        <v>9810</v>
      </c>
      <c r="N1575" s="8" t="s">
        <v>79</v>
      </c>
      <c r="O1575" s="8" t="s">
        <v>684</v>
      </c>
      <c r="P1575" s="6" t="s">
        <v>43</v>
      </c>
      <c r="Q1575" s="8" t="s">
        <v>102</v>
      </c>
      <c r="R1575" s="10" t="s">
        <v>9811</v>
      </c>
      <c r="S1575" s="11" t="s">
        <v>728</v>
      </c>
      <c r="T1575" s="6"/>
      <c r="U1575" s="24" t="str">
        <f>HYPERLINK("https://media.infra-m.ru/1877/1877512/cover/1877512.jpg", "Обложка")</f>
        <v>Обложка</v>
      </c>
      <c r="V1575" s="24" t="str">
        <f>HYPERLINK("https://znanium.ru/catalog/product/1877512", "Ознакомиться")</f>
        <v>Ознакомиться</v>
      </c>
      <c r="W1575" s="8" t="s">
        <v>637</v>
      </c>
      <c r="X1575" s="6"/>
      <c r="Y1575" s="6"/>
      <c r="Z1575" s="6" t="s">
        <v>502</v>
      </c>
      <c r="AA1575" s="6" t="s">
        <v>258</v>
      </c>
      <c r="AB1575" s="8"/>
    </row>
    <row r="1576" spans="1:28" s="4" customFormat="1" ht="51.95" customHeight="1">
      <c r="A1576" s="5">
        <v>0</v>
      </c>
      <c r="B1576" s="6" t="s">
        <v>9812</v>
      </c>
      <c r="C1576" s="7">
        <v>684</v>
      </c>
      <c r="D1576" s="8" t="s">
        <v>9813</v>
      </c>
      <c r="E1576" s="8" t="s">
        <v>9808</v>
      </c>
      <c r="F1576" s="8" t="s">
        <v>9814</v>
      </c>
      <c r="G1576" s="6" t="s">
        <v>38</v>
      </c>
      <c r="H1576" s="6" t="s">
        <v>53</v>
      </c>
      <c r="I1576" s="8" t="s">
        <v>116</v>
      </c>
      <c r="J1576" s="9">
        <v>1</v>
      </c>
      <c r="K1576" s="9">
        <v>113</v>
      </c>
      <c r="L1576" s="9">
        <v>2025</v>
      </c>
      <c r="M1576" s="8" t="s">
        <v>9815</v>
      </c>
      <c r="N1576" s="8" t="s">
        <v>79</v>
      </c>
      <c r="O1576" s="8" t="s">
        <v>684</v>
      </c>
      <c r="P1576" s="6" t="s">
        <v>43</v>
      </c>
      <c r="Q1576" s="8" t="s">
        <v>58</v>
      </c>
      <c r="R1576" s="10" t="s">
        <v>4062</v>
      </c>
      <c r="S1576" s="11" t="s">
        <v>9816</v>
      </c>
      <c r="T1576" s="6"/>
      <c r="U1576" s="24" t="str">
        <f>HYPERLINK("https://media.infra-m.ru/2202/2202379/cover/2202379.jpg", "Обложка")</f>
        <v>Обложка</v>
      </c>
      <c r="V1576" s="24" t="str">
        <f>HYPERLINK("https://znanium.ru/catalog/product/2083147", "Ознакомиться")</f>
        <v>Ознакомиться</v>
      </c>
      <c r="W1576" s="8" t="s">
        <v>637</v>
      </c>
      <c r="X1576" s="6"/>
      <c r="Y1576" s="6"/>
      <c r="Z1576" s="6"/>
      <c r="AA1576" s="6" t="s">
        <v>111</v>
      </c>
      <c r="AB1576" s="8"/>
    </row>
    <row r="1577" spans="1:28" s="4" customFormat="1" ht="51.95" customHeight="1">
      <c r="A1577" s="5">
        <v>0</v>
      </c>
      <c r="B1577" s="6" t="s">
        <v>9817</v>
      </c>
      <c r="C1577" s="13">
        <v>1074</v>
      </c>
      <c r="D1577" s="8" t="s">
        <v>9818</v>
      </c>
      <c r="E1577" s="8" t="s">
        <v>9819</v>
      </c>
      <c r="F1577" s="8" t="s">
        <v>5030</v>
      </c>
      <c r="G1577" s="6" t="s">
        <v>89</v>
      </c>
      <c r="H1577" s="6" t="s">
        <v>53</v>
      </c>
      <c r="I1577" s="8" t="s">
        <v>90</v>
      </c>
      <c r="J1577" s="9">
        <v>1</v>
      </c>
      <c r="K1577" s="9">
        <v>215</v>
      </c>
      <c r="L1577" s="9">
        <v>2025</v>
      </c>
      <c r="M1577" s="8" t="s">
        <v>9820</v>
      </c>
      <c r="N1577" s="8" t="s">
        <v>413</v>
      </c>
      <c r="O1577" s="8" t="s">
        <v>414</v>
      </c>
      <c r="P1577" s="6" t="s">
        <v>43</v>
      </c>
      <c r="Q1577" s="8" t="s">
        <v>44</v>
      </c>
      <c r="R1577" s="10" t="s">
        <v>9821</v>
      </c>
      <c r="S1577" s="11" t="s">
        <v>9822</v>
      </c>
      <c r="T1577" s="6"/>
      <c r="U1577" s="24" t="str">
        <f>HYPERLINK("https://media.infra-m.ru/2181/2181428/cover/2181428.jpg", "Обложка")</f>
        <v>Обложка</v>
      </c>
      <c r="V1577" s="24" t="str">
        <f>HYPERLINK("https://znanium.ru/catalog/product/1950306", "Ознакомиться")</f>
        <v>Ознакомиться</v>
      </c>
      <c r="W1577" s="8" t="s">
        <v>1689</v>
      </c>
      <c r="X1577" s="6"/>
      <c r="Y1577" s="6"/>
      <c r="Z1577" s="6"/>
      <c r="AA1577" s="6" t="s">
        <v>707</v>
      </c>
      <c r="AB1577" s="8"/>
    </row>
    <row r="1578" spans="1:28" s="4" customFormat="1" ht="51.95" customHeight="1">
      <c r="A1578" s="5">
        <v>0</v>
      </c>
      <c r="B1578" s="6" t="s">
        <v>9823</v>
      </c>
      <c r="C1578" s="13">
        <v>1124</v>
      </c>
      <c r="D1578" s="8" t="s">
        <v>9824</v>
      </c>
      <c r="E1578" s="8" t="s">
        <v>9819</v>
      </c>
      <c r="F1578" s="8" t="s">
        <v>5030</v>
      </c>
      <c r="G1578" s="6" t="s">
        <v>89</v>
      </c>
      <c r="H1578" s="6" t="s">
        <v>53</v>
      </c>
      <c r="I1578" s="8" t="s">
        <v>100</v>
      </c>
      <c r="J1578" s="9">
        <v>1</v>
      </c>
      <c r="K1578" s="9">
        <v>215</v>
      </c>
      <c r="L1578" s="9">
        <v>2025</v>
      </c>
      <c r="M1578" s="8" t="s">
        <v>9825</v>
      </c>
      <c r="N1578" s="8" t="s">
        <v>413</v>
      </c>
      <c r="O1578" s="8" t="s">
        <v>414</v>
      </c>
      <c r="P1578" s="6" t="s">
        <v>43</v>
      </c>
      <c r="Q1578" s="8" t="s">
        <v>102</v>
      </c>
      <c r="R1578" s="10" t="s">
        <v>9826</v>
      </c>
      <c r="S1578" s="11" t="s">
        <v>9827</v>
      </c>
      <c r="T1578" s="6"/>
      <c r="U1578" s="24" t="str">
        <f>HYPERLINK("https://media.infra-m.ru/2184/2184262/cover/2184262.jpg", "Обложка")</f>
        <v>Обложка</v>
      </c>
      <c r="V1578" s="24" t="str">
        <f>HYPERLINK("https://znanium.ru/catalog/product/2126590", "Ознакомиться")</f>
        <v>Ознакомиться</v>
      </c>
      <c r="W1578" s="8" t="s">
        <v>1689</v>
      </c>
      <c r="X1578" s="6"/>
      <c r="Y1578" s="6" t="s">
        <v>30</v>
      </c>
      <c r="Z1578" s="6" t="s">
        <v>104</v>
      </c>
      <c r="AA1578" s="6" t="s">
        <v>1382</v>
      </c>
      <c r="AB1578" s="8"/>
    </row>
    <row r="1579" spans="1:28" s="4" customFormat="1" ht="42" customHeight="1">
      <c r="A1579" s="5">
        <v>0</v>
      </c>
      <c r="B1579" s="6" t="s">
        <v>9828</v>
      </c>
      <c r="C1579" s="13">
        <v>1290</v>
      </c>
      <c r="D1579" s="8" t="s">
        <v>9829</v>
      </c>
      <c r="E1579" s="8" t="s">
        <v>9830</v>
      </c>
      <c r="F1579" s="8" t="s">
        <v>9831</v>
      </c>
      <c r="G1579" s="6" t="s">
        <v>89</v>
      </c>
      <c r="H1579" s="6" t="s">
        <v>53</v>
      </c>
      <c r="I1579" s="8" t="s">
        <v>116</v>
      </c>
      <c r="J1579" s="9">
        <v>1</v>
      </c>
      <c r="K1579" s="9">
        <v>229</v>
      </c>
      <c r="L1579" s="9">
        <v>2025</v>
      </c>
      <c r="M1579" s="8" t="s">
        <v>9832</v>
      </c>
      <c r="N1579" s="8" t="s">
        <v>413</v>
      </c>
      <c r="O1579" s="8" t="s">
        <v>414</v>
      </c>
      <c r="P1579" s="6" t="s">
        <v>43</v>
      </c>
      <c r="Q1579" s="8" t="s">
        <v>58</v>
      </c>
      <c r="R1579" s="10" t="s">
        <v>9833</v>
      </c>
      <c r="S1579" s="11"/>
      <c r="T1579" s="6"/>
      <c r="U1579" s="24" t="str">
        <f>HYPERLINK("https://media.infra-m.ru/2202/2202489/cover/2202489.jpg", "Обложка")</f>
        <v>Обложка</v>
      </c>
      <c r="V1579" s="24" t="str">
        <f>HYPERLINK("https://znanium.ru/catalog/product/2202489", "Ознакомиться")</f>
        <v>Ознакомиться</v>
      </c>
      <c r="W1579" s="8" t="s">
        <v>2514</v>
      </c>
      <c r="X1579" s="6"/>
      <c r="Y1579" s="6"/>
      <c r="Z1579" s="6"/>
      <c r="AA1579" s="6" t="s">
        <v>513</v>
      </c>
      <c r="AB1579" s="8"/>
    </row>
    <row r="1580" spans="1:28" s="4" customFormat="1" ht="51.95" customHeight="1">
      <c r="A1580" s="5">
        <v>0</v>
      </c>
      <c r="B1580" s="6" t="s">
        <v>9834</v>
      </c>
      <c r="C1580" s="7">
        <v>870</v>
      </c>
      <c r="D1580" s="8" t="s">
        <v>9835</v>
      </c>
      <c r="E1580" s="8" t="s">
        <v>9836</v>
      </c>
      <c r="F1580" s="8" t="s">
        <v>9837</v>
      </c>
      <c r="G1580" s="6" t="s">
        <v>89</v>
      </c>
      <c r="H1580" s="6" t="s">
        <v>53</v>
      </c>
      <c r="I1580" s="8" t="s">
        <v>90</v>
      </c>
      <c r="J1580" s="9">
        <v>1</v>
      </c>
      <c r="K1580" s="9">
        <v>173</v>
      </c>
      <c r="L1580" s="9">
        <v>2023</v>
      </c>
      <c r="M1580" s="8" t="s">
        <v>9838</v>
      </c>
      <c r="N1580" s="8" t="s">
        <v>79</v>
      </c>
      <c r="O1580" s="8" t="s">
        <v>684</v>
      </c>
      <c r="P1580" s="6" t="s">
        <v>43</v>
      </c>
      <c r="Q1580" s="8" t="s">
        <v>44</v>
      </c>
      <c r="R1580" s="10" t="s">
        <v>9839</v>
      </c>
      <c r="S1580" s="11" t="s">
        <v>9840</v>
      </c>
      <c r="T1580" s="6"/>
      <c r="U1580" s="24" t="str">
        <f>HYPERLINK("https://media.infra-m.ru/1899/1899771/cover/1899771.jpg", "Обложка")</f>
        <v>Обложка</v>
      </c>
      <c r="V1580" s="24" t="str">
        <f>HYPERLINK("https://znanium.ru/catalog/product/1899771", "Ознакомиться")</f>
        <v>Ознакомиться</v>
      </c>
      <c r="W1580" s="8" t="s">
        <v>9841</v>
      </c>
      <c r="X1580" s="6"/>
      <c r="Y1580" s="6"/>
      <c r="Z1580" s="6"/>
      <c r="AA1580" s="6" t="s">
        <v>793</v>
      </c>
      <c r="AB1580" s="8"/>
    </row>
    <row r="1581" spans="1:28" s="4" customFormat="1" ht="51.95" customHeight="1">
      <c r="A1581" s="5">
        <v>0</v>
      </c>
      <c r="B1581" s="6" t="s">
        <v>9842</v>
      </c>
      <c r="C1581" s="13">
        <v>1084</v>
      </c>
      <c r="D1581" s="8" t="s">
        <v>9843</v>
      </c>
      <c r="E1581" s="8" t="s">
        <v>9844</v>
      </c>
      <c r="F1581" s="8" t="s">
        <v>9845</v>
      </c>
      <c r="G1581" s="6" t="s">
        <v>52</v>
      </c>
      <c r="H1581" s="6" t="s">
        <v>53</v>
      </c>
      <c r="I1581" s="8" t="s">
        <v>90</v>
      </c>
      <c r="J1581" s="9">
        <v>1</v>
      </c>
      <c r="K1581" s="9">
        <v>237</v>
      </c>
      <c r="L1581" s="9">
        <v>2023</v>
      </c>
      <c r="M1581" s="8" t="s">
        <v>9846</v>
      </c>
      <c r="N1581" s="8" t="s">
        <v>41</v>
      </c>
      <c r="O1581" s="8" t="s">
        <v>118</v>
      </c>
      <c r="P1581" s="6" t="s">
        <v>43</v>
      </c>
      <c r="Q1581" s="8" t="s">
        <v>44</v>
      </c>
      <c r="R1581" s="10" t="s">
        <v>168</v>
      </c>
      <c r="S1581" s="11"/>
      <c r="T1581" s="6"/>
      <c r="U1581" s="24" t="str">
        <f>HYPERLINK("https://media.infra-m.ru/1971/1971835/cover/1971835.jpg", "Обложка")</f>
        <v>Обложка</v>
      </c>
      <c r="V1581" s="24" t="str">
        <f>HYPERLINK("https://znanium.ru/catalog/product/1948213", "Ознакомиться")</f>
        <v>Ознакомиться</v>
      </c>
      <c r="W1581" s="8" t="s">
        <v>2080</v>
      </c>
      <c r="X1581" s="6"/>
      <c r="Y1581" s="6"/>
      <c r="Z1581" s="6"/>
      <c r="AA1581" s="6" t="s">
        <v>1365</v>
      </c>
      <c r="AB1581" s="8"/>
    </row>
    <row r="1582" spans="1:28" s="4" customFormat="1" ht="51.95" customHeight="1">
      <c r="A1582" s="5">
        <v>0</v>
      </c>
      <c r="B1582" s="6" t="s">
        <v>9847</v>
      </c>
      <c r="C1582" s="7">
        <v>950</v>
      </c>
      <c r="D1582" s="8" t="s">
        <v>9848</v>
      </c>
      <c r="E1582" s="8" t="s">
        <v>9849</v>
      </c>
      <c r="F1582" s="8" t="s">
        <v>9850</v>
      </c>
      <c r="G1582" s="6" t="s">
        <v>52</v>
      </c>
      <c r="H1582" s="6" t="s">
        <v>53</v>
      </c>
      <c r="I1582" s="8" t="s">
        <v>90</v>
      </c>
      <c r="J1582" s="9">
        <v>1</v>
      </c>
      <c r="K1582" s="9">
        <v>196</v>
      </c>
      <c r="L1582" s="9">
        <v>2023</v>
      </c>
      <c r="M1582" s="8" t="s">
        <v>9851</v>
      </c>
      <c r="N1582" s="8" t="s">
        <v>41</v>
      </c>
      <c r="O1582" s="8" t="s">
        <v>118</v>
      </c>
      <c r="P1582" s="6" t="s">
        <v>43</v>
      </c>
      <c r="Q1582" s="8" t="s">
        <v>44</v>
      </c>
      <c r="R1582" s="10" t="s">
        <v>168</v>
      </c>
      <c r="S1582" s="11" t="s">
        <v>9852</v>
      </c>
      <c r="T1582" s="6"/>
      <c r="U1582" s="24" t="str">
        <f>HYPERLINK("https://media.infra-m.ru/1898/1898406/cover/1898406.jpg", "Обложка")</f>
        <v>Обложка</v>
      </c>
      <c r="V1582" s="24" t="str">
        <f>HYPERLINK("https://znanium.ru/catalog/product/1948213", "Ознакомиться")</f>
        <v>Ознакомиться</v>
      </c>
      <c r="W1582" s="8" t="s">
        <v>2080</v>
      </c>
      <c r="X1582" s="6"/>
      <c r="Y1582" s="6"/>
      <c r="Z1582" s="6"/>
      <c r="AA1582" s="6" t="s">
        <v>3922</v>
      </c>
      <c r="AB1582" s="8"/>
    </row>
    <row r="1583" spans="1:28" s="4" customFormat="1" ht="42" customHeight="1">
      <c r="A1583" s="5">
        <v>0</v>
      </c>
      <c r="B1583" s="6" t="s">
        <v>9853</v>
      </c>
      <c r="C1583" s="13">
        <v>1020</v>
      </c>
      <c r="D1583" s="8" t="s">
        <v>9854</v>
      </c>
      <c r="E1583" s="8" t="s">
        <v>9855</v>
      </c>
      <c r="F1583" s="8" t="s">
        <v>9856</v>
      </c>
      <c r="G1583" s="6" t="s">
        <v>38</v>
      </c>
      <c r="H1583" s="6" t="s">
        <v>53</v>
      </c>
      <c r="I1583" s="8" t="s">
        <v>2511</v>
      </c>
      <c r="J1583" s="9">
        <v>1</v>
      </c>
      <c r="K1583" s="9">
        <v>175</v>
      </c>
      <c r="L1583" s="9">
        <v>2023</v>
      </c>
      <c r="M1583" s="8" t="s">
        <v>9857</v>
      </c>
      <c r="N1583" s="8" t="s">
        <v>413</v>
      </c>
      <c r="O1583" s="8" t="s">
        <v>1141</v>
      </c>
      <c r="P1583" s="6" t="s">
        <v>1046</v>
      </c>
      <c r="Q1583" s="8" t="s">
        <v>58</v>
      </c>
      <c r="R1583" s="10" t="s">
        <v>9858</v>
      </c>
      <c r="S1583" s="11"/>
      <c r="T1583" s="6"/>
      <c r="U1583" s="24" t="str">
        <f>HYPERLINK("https://media.infra-m.ru/1925/1925537/cover/1925537.jpg", "Обложка")</f>
        <v>Обложка</v>
      </c>
      <c r="V1583" s="24" t="str">
        <f>HYPERLINK("https://znanium.ru/catalog/product/1925537", "Ознакомиться")</f>
        <v>Ознакомиться</v>
      </c>
      <c r="W1583" s="8" t="s">
        <v>9859</v>
      </c>
      <c r="X1583" s="6"/>
      <c r="Y1583" s="6"/>
      <c r="Z1583" s="6"/>
      <c r="AA1583" s="6" t="s">
        <v>442</v>
      </c>
      <c r="AB1583" s="8"/>
    </row>
    <row r="1584" spans="1:28" s="4" customFormat="1" ht="51.95" customHeight="1">
      <c r="A1584" s="5">
        <v>0</v>
      </c>
      <c r="B1584" s="6" t="s">
        <v>9860</v>
      </c>
      <c r="C1584" s="7">
        <v>934.9</v>
      </c>
      <c r="D1584" s="8" t="s">
        <v>9861</v>
      </c>
      <c r="E1584" s="8" t="s">
        <v>9862</v>
      </c>
      <c r="F1584" s="8" t="s">
        <v>9863</v>
      </c>
      <c r="G1584" s="6" t="s">
        <v>38</v>
      </c>
      <c r="H1584" s="6" t="s">
        <v>674</v>
      </c>
      <c r="I1584" s="8"/>
      <c r="J1584" s="9">
        <v>1</v>
      </c>
      <c r="K1584" s="9">
        <v>208</v>
      </c>
      <c r="L1584" s="9">
        <v>2023</v>
      </c>
      <c r="M1584" s="8" t="s">
        <v>9864</v>
      </c>
      <c r="N1584" s="8" t="s">
        <v>41</v>
      </c>
      <c r="O1584" s="8" t="s">
        <v>118</v>
      </c>
      <c r="P1584" s="6" t="s">
        <v>43</v>
      </c>
      <c r="Q1584" s="8" t="s">
        <v>44</v>
      </c>
      <c r="R1584" s="10" t="s">
        <v>9865</v>
      </c>
      <c r="S1584" s="11" t="s">
        <v>9866</v>
      </c>
      <c r="T1584" s="6"/>
      <c r="U1584" s="24" t="str">
        <f>HYPERLINK("https://media.infra-m.ru/1876/1876495/cover/1876495.jpg", "Обложка")</f>
        <v>Обложка</v>
      </c>
      <c r="V1584" s="24" t="str">
        <f>HYPERLINK("https://znanium.ru/catalog/product/1015905", "Ознакомиться")</f>
        <v>Ознакомиться</v>
      </c>
      <c r="W1584" s="8" t="s">
        <v>189</v>
      </c>
      <c r="X1584" s="6"/>
      <c r="Y1584" s="6"/>
      <c r="Z1584" s="6"/>
      <c r="AA1584" s="6" t="s">
        <v>47</v>
      </c>
      <c r="AB1584" s="8"/>
    </row>
    <row r="1585" spans="1:28" s="4" customFormat="1" ht="42" customHeight="1">
      <c r="A1585" s="5">
        <v>0</v>
      </c>
      <c r="B1585" s="6" t="s">
        <v>9867</v>
      </c>
      <c r="C1585" s="7">
        <v>444</v>
      </c>
      <c r="D1585" s="8" t="s">
        <v>9868</v>
      </c>
      <c r="E1585" s="8" t="s">
        <v>9869</v>
      </c>
      <c r="F1585" s="8" t="s">
        <v>9870</v>
      </c>
      <c r="G1585" s="6" t="s">
        <v>38</v>
      </c>
      <c r="H1585" s="6" t="s">
        <v>184</v>
      </c>
      <c r="I1585" s="8" t="s">
        <v>185</v>
      </c>
      <c r="J1585" s="9">
        <v>1</v>
      </c>
      <c r="K1585" s="9">
        <v>72</v>
      </c>
      <c r="L1585" s="9">
        <v>2025</v>
      </c>
      <c r="M1585" s="8" t="s">
        <v>9871</v>
      </c>
      <c r="N1585" s="8" t="s">
        <v>41</v>
      </c>
      <c r="O1585" s="8" t="s">
        <v>676</v>
      </c>
      <c r="P1585" s="6" t="s">
        <v>43</v>
      </c>
      <c r="Q1585" s="8" t="s">
        <v>44</v>
      </c>
      <c r="R1585" s="10" t="s">
        <v>9872</v>
      </c>
      <c r="S1585" s="11"/>
      <c r="T1585" s="6"/>
      <c r="U1585" s="24" t="str">
        <f>HYPERLINK("https://media.infra-m.ru/2185/2185112/cover/2185112.jpg", "Обложка")</f>
        <v>Обложка</v>
      </c>
      <c r="V1585" s="12"/>
      <c r="W1585" s="8" t="s">
        <v>189</v>
      </c>
      <c r="X1585" s="6"/>
      <c r="Y1585" s="6"/>
      <c r="Z1585" s="6"/>
      <c r="AA1585" s="6" t="s">
        <v>235</v>
      </c>
      <c r="AB1585" s="8"/>
    </row>
    <row r="1586" spans="1:28" s="4" customFormat="1" ht="51.95" customHeight="1">
      <c r="A1586" s="5">
        <v>0</v>
      </c>
      <c r="B1586" s="6" t="s">
        <v>9873</v>
      </c>
      <c r="C1586" s="7">
        <v>710</v>
      </c>
      <c r="D1586" s="8" t="s">
        <v>9874</v>
      </c>
      <c r="E1586" s="8" t="s">
        <v>9875</v>
      </c>
      <c r="F1586" s="8" t="s">
        <v>9876</v>
      </c>
      <c r="G1586" s="6" t="s">
        <v>38</v>
      </c>
      <c r="H1586" s="6" t="s">
        <v>53</v>
      </c>
      <c r="I1586" s="8" t="s">
        <v>116</v>
      </c>
      <c r="J1586" s="9">
        <v>1</v>
      </c>
      <c r="K1586" s="9">
        <v>131</v>
      </c>
      <c r="L1586" s="9">
        <v>2025</v>
      </c>
      <c r="M1586" s="8" t="s">
        <v>9877</v>
      </c>
      <c r="N1586" s="8" t="s">
        <v>41</v>
      </c>
      <c r="O1586" s="8" t="s">
        <v>676</v>
      </c>
      <c r="P1586" s="6" t="s">
        <v>6614</v>
      </c>
      <c r="Q1586" s="8" t="s">
        <v>1047</v>
      </c>
      <c r="R1586" s="10" t="s">
        <v>9878</v>
      </c>
      <c r="S1586" s="11" t="s">
        <v>8817</v>
      </c>
      <c r="T1586" s="6"/>
      <c r="U1586" s="24" t="str">
        <f>HYPERLINK("https://media.infra-m.ru/2167/2167251/cover/2167251.jpg", "Обложка")</f>
        <v>Обложка</v>
      </c>
      <c r="V1586" s="24" t="str">
        <f>HYPERLINK("https://znanium.ru/catalog/product/2167251", "Ознакомиться")</f>
        <v>Ознакомиться</v>
      </c>
      <c r="W1586" s="8" t="s">
        <v>2915</v>
      </c>
      <c r="X1586" s="6"/>
      <c r="Y1586" s="6"/>
      <c r="Z1586" s="6"/>
      <c r="AA1586" s="6" t="s">
        <v>442</v>
      </c>
      <c r="AB1586" s="8"/>
    </row>
    <row r="1587" spans="1:28" s="4" customFormat="1" ht="42" customHeight="1">
      <c r="A1587" s="5">
        <v>0</v>
      </c>
      <c r="B1587" s="6" t="s">
        <v>9879</v>
      </c>
      <c r="C1587" s="7">
        <v>424.9</v>
      </c>
      <c r="D1587" s="8" t="s">
        <v>9880</v>
      </c>
      <c r="E1587" s="8" t="s">
        <v>9881</v>
      </c>
      <c r="F1587" s="8" t="s">
        <v>9882</v>
      </c>
      <c r="G1587" s="6" t="s">
        <v>38</v>
      </c>
      <c r="H1587" s="6" t="s">
        <v>77</v>
      </c>
      <c r="I1587" s="8"/>
      <c r="J1587" s="9">
        <v>1</v>
      </c>
      <c r="K1587" s="9">
        <v>126</v>
      </c>
      <c r="L1587" s="9">
        <v>2019</v>
      </c>
      <c r="M1587" s="8" t="s">
        <v>9883</v>
      </c>
      <c r="N1587" s="8" t="s">
        <v>41</v>
      </c>
      <c r="O1587" s="8" t="s">
        <v>278</v>
      </c>
      <c r="P1587" s="6" t="s">
        <v>43</v>
      </c>
      <c r="Q1587" s="8" t="s">
        <v>44</v>
      </c>
      <c r="R1587" s="10" t="s">
        <v>9884</v>
      </c>
      <c r="S1587" s="11"/>
      <c r="T1587" s="6"/>
      <c r="U1587" s="24" t="str">
        <f>HYPERLINK("https://media.infra-m.ru/1048/1048490/cover/1048490.jpg", "Обложка")</f>
        <v>Обложка</v>
      </c>
      <c r="V1587" s="24" t="str">
        <f>HYPERLINK("https://znanium.ru/catalog/product/2174638", "Ознакомиться")</f>
        <v>Ознакомиться</v>
      </c>
      <c r="W1587" s="8" t="s">
        <v>9885</v>
      </c>
      <c r="X1587" s="6"/>
      <c r="Y1587" s="6"/>
      <c r="Z1587" s="6"/>
      <c r="AA1587" s="6" t="s">
        <v>111</v>
      </c>
      <c r="AB1587" s="8"/>
    </row>
    <row r="1588" spans="1:28" s="4" customFormat="1" ht="51.95" customHeight="1">
      <c r="A1588" s="5">
        <v>0</v>
      </c>
      <c r="B1588" s="6" t="s">
        <v>9886</v>
      </c>
      <c r="C1588" s="7">
        <v>780</v>
      </c>
      <c r="D1588" s="8" t="s">
        <v>9887</v>
      </c>
      <c r="E1588" s="8" t="s">
        <v>9888</v>
      </c>
      <c r="F1588" s="8" t="s">
        <v>9889</v>
      </c>
      <c r="G1588" s="6" t="s">
        <v>89</v>
      </c>
      <c r="H1588" s="6" t="s">
        <v>77</v>
      </c>
      <c r="I1588" s="8" t="s">
        <v>116</v>
      </c>
      <c r="J1588" s="9">
        <v>1</v>
      </c>
      <c r="K1588" s="9">
        <v>155</v>
      </c>
      <c r="L1588" s="9">
        <v>2025</v>
      </c>
      <c r="M1588" s="8" t="s">
        <v>9890</v>
      </c>
      <c r="N1588" s="8" t="s">
        <v>41</v>
      </c>
      <c r="O1588" s="8" t="s">
        <v>278</v>
      </c>
      <c r="P1588" s="6" t="s">
        <v>43</v>
      </c>
      <c r="Q1588" s="8" t="s">
        <v>44</v>
      </c>
      <c r="R1588" s="10" t="s">
        <v>9884</v>
      </c>
      <c r="S1588" s="11" t="s">
        <v>9891</v>
      </c>
      <c r="T1588" s="6"/>
      <c r="U1588" s="24" t="str">
        <f>HYPERLINK("https://media.infra-m.ru/2174/2174638/cover/2174638.jpg", "Обложка")</f>
        <v>Обложка</v>
      </c>
      <c r="V1588" s="24" t="str">
        <f>HYPERLINK("https://znanium.ru/catalog/product/2174638", "Ознакомиться")</f>
        <v>Ознакомиться</v>
      </c>
      <c r="W1588" s="8" t="s">
        <v>9885</v>
      </c>
      <c r="X1588" s="6"/>
      <c r="Y1588" s="6"/>
      <c r="Z1588" s="6"/>
      <c r="AA1588" s="6" t="s">
        <v>196</v>
      </c>
      <c r="AB1588" s="8"/>
    </row>
    <row r="1589" spans="1:28" s="4" customFormat="1" ht="51.95" customHeight="1">
      <c r="A1589" s="5">
        <v>0</v>
      </c>
      <c r="B1589" s="6" t="s">
        <v>9892</v>
      </c>
      <c r="C1589" s="13">
        <v>1274.9000000000001</v>
      </c>
      <c r="D1589" s="8" t="s">
        <v>9893</v>
      </c>
      <c r="E1589" s="8" t="s">
        <v>9894</v>
      </c>
      <c r="F1589" s="8" t="s">
        <v>9895</v>
      </c>
      <c r="G1589" s="6" t="s">
        <v>52</v>
      </c>
      <c r="H1589" s="6" t="s">
        <v>53</v>
      </c>
      <c r="I1589" s="8" t="s">
        <v>90</v>
      </c>
      <c r="J1589" s="9">
        <v>1</v>
      </c>
      <c r="K1589" s="9">
        <v>283</v>
      </c>
      <c r="L1589" s="9">
        <v>2023</v>
      </c>
      <c r="M1589" s="8" t="s">
        <v>9896</v>
      </c>
      <c r="N1589" s="8" t="s">
        <v>79</v>
      </c>
      <c r="O1589" s="8" t="s">
        <v>396</v>
      </c>
      <c r="P1589" s="6" t="s">
        <v>43</v>
      </c>
      <c r="Q1589" s="8" t="s">
        <v>44</v>
      </c>
      <c r="R1589" s="10" t="s">
        <v>571</v>
      </c>
      <c r="S1589" s="11" t="s">
        <v>9897</v>
      </c>
      <c r="T1589" s="6" t="s">
        <v>299</v>
      </c>
      <c r="U1589" s="24" t="str">
        <f>HYPERLINK("https://media.infra-m.ru/2006/2006864/cover/2006864.jpg", "Обложка")</f>
        <v>Обложка</v>
      </c>
      <c r="V1589" s="24" t="str">
        <f>HYPERLINK("https://znanium.ru/catalog/product/989072", "Ознакомиться")</f>
        <v>Ознакомиться</v>
      </c>
      <c r="W1589" s="8" t="s">
        <v>947</v>
      </c>
      <c r="X1589" s="6"/>
      <c r="Y1589" s="6"/>
      <c r="Z1589" s="6"/>
      <c r="AA1589" s="6" t="s">
        <v>793</v>
      </c>
      <c r="AB1589" s="8" t="s">
        <v>840</v>
      </c>
    </row>
    <row r="1590" spans="1:28" s="4" customFormat="1" ht="51.95" customHeight="1">
      <c r="A1590" s="5">
        <v>0</v>
      </c>
      <c r="B1590" s="6" t="s">
        <v>9898</v>
      </c>
      <c r="C1590" s="13">
        <v>1994</v>
      </c>
      <c r="D1590" s="8" t="s">
        <v>9899</v>
      </c>
      <c r="E1590" s="8" t="s">
        <v>9900</v>
      </c>
      <c r="F1590" s="8" t="s">
        <v>6485</v>
      </c>
      <c r="G1590" s="6" t="s">
        <v>52</v>
      </c>
      <c r="H1590" s="6" t="s">
        <v>39</v>
      </c>
      <c r="I1590" s="8" t="s">
        <v>90</v>
      </c>
      <c r="J1590" s="9">
        <v>1</v>
      </c>
      <c r="K1590" s="9">
        <v>384</v>
      </c>
      <c r="L1590" s="9">
        <v>2025</v>
      </c>
      <c r="M1590" s="8" t="s">
        <v>9901</v>
      </c>
      <c r="N1590" s="8" t="s">
        <v>79</v>
      </c>
      <c r="O1590" s="8" t="s">
        <v>396</v>
      </c>
      <c r="P1590" s="6" t="s">
        <v>43</v>
      </c>
      <c r="Q1590" s="8" t="s">
        <v>44</v>
      </c>
      <c r="R1590" s="10" t="s">
        <v>9902</v>
      </c>
      <c r="S1590" s="11"/>
      <c r="T1590" s="6"/>
      <c r="U1590" s="24" t="str">
        <f>HYPERLINK("https://media.infra-m.ru/2196/2196889/cover/2196889.jpg", "Обложка")</f>
        <v>Обложка</v>
      </c>
      <c r="V1590" s="24" t="str">
        <f>HYPERLINK("https://znanium.ru/catalog/product/1062091", "Ознакомиться")</f>
        <v>Ознакомиться</v>
      </c>
      <c r="W1590" s="8" t="s">
        <v>6489</v>
      </c>
      <c r="X1590" s="6"/>
      <c r="Y1590" s="6"/>
      <c r="Z1590" s="6"/>
      <c r="AA1590" s="6" t="s">
        <v>701</v>
      </c>
      <c r="AB1590" s="8"/>
    </row>
    <row r="1591" spans="1:28" s="4" customFormat="1" ht="51.95" customHeight="1">
      <c r="A1591" s="5">
        <v>0</v>
      </c>
      <c r="B1591" s="6" t="s">
        <v>9903</v>
      </c>
      <c r="C1591" s="7">
        <v>604.9</v>
      </c>
      <c r="D1591" s="8" t="s">
        <v>9904</v>
      </c>
      <c r="E1591" s="8" t="s">
        <v>9905</v>
      </c>
      <c r="F1591" s="8" t="s">
        <v>9906</v>
      </c>
      <c r="G1591" s="6" t="s">
        <v>52</v>
      </c>
      <c r="H1591" s="6" t="s">
        <v>1738</v>
      </c>
      <c r="I1591" s="8" t="s">
        <v>9907</v>
      </c>
      <c r="J1591" s="9">
        <v>1</v>
      </c>
      <c r="K1591" s="9">
        <v>208</v>
      </c>
      <c r="L1591" s="9">
        <v>2017</v>
      </c>
      <c r="M1591" s="8" t="s">
        <v>9908</v>
      </c>
      <c r="N1591" s="8" t="s">
        <v>79</v>
      </c>
      <c r="O1591" s="8" t="s">
        <v>148</v>
      </c>
      <c r="P1591" s="6" t="s">
        <v>43</v>
      </c>
      <c r="Q1591" s="8" t="s">
        <v>44</v>
      </c>
      <c r="R1591" s="10" t="s">
        <v>9909</v>
      </c>
      <c r="S1591" s="11" t="s">
        <v>9910</v>
      </c>
      <c r="T1591" s="6"/>
      <c r="U1591" s="24" t="str">
        <f>HYPERLINK("https://media.infra-m.ru/0767/0767920/cover/767920.jpg", "Обложка")</f>
        <v>Обложка</v>
      </c>
      <c r="V1591" s="24" t="str">
        <f>HYPERLINK("https://znanium.ru/catalog/product/1862056", "Ознакомиться")</f>
        <v>Ознакомиться</v>
      </c>
      <c r="W1591" s="8" t="s">
        <v>3201</v>
      </c>
      <c r="X1591" s="6"/>
      <c r="Y1591" s="6"/>
      <c r="Z1591" s="6"/>
      <c r="AA1591" s="6" t="s">
        <v>122</v>
      </c>
      <c r="AB1591" s="8"/>
    </row>
    <row r="1592" spans="1:28" s="4" customFormat="1" ht="51.95" customHeight="1">
      <c r="A1592" s="5">
        <v>0</v>
      </c>
      <c r="B1592" s="6" t="s">
        <v>9911</v>
      </c>
      <c r="C1592" s="13">
        <v>1030</v>
      </c>
      <c r="D1592" s="8" t="s">
        <v>9912</v>
      </c>
      <c r="E1592" s="8" t="s">
        <v>9913</v>
      </c>
      <c r="F1592" s="8" t="s">
        <v>6335</v>
      </c>
      <c r="G1592" s="6" t="s">
        <v>89</v>
      </c>
      <c r="H1592" s="6" t="s">
        <v>53</v>
      </c>
      <c r="I1592" s="8" t="s">
        <v>116</v>
      </c>
      <c r="J1592" s="9">
        <v>1</v>
      </c>
      <c r="K1592" s="9">
        <v>205</v>
      </c>
      <c r="L1592" s="9">
        <v>2025</v>
      </c>
      <c r="M1592" s="8" t="s">
        <v>9914</v>
      </c>
      <c r="N1592" s="8" t="s">
        <v>997</v>
      </c>
      <c r="O1592" s="8" t="s">
        <v>998</v>
      </c>
      <c r="P1592" s="6" t="s">
        <v>43</v>
      </c>
      <c r="Q1592" s="8" t="s">
        <v>58</v>
      </c>
      <c r="R1592" s="10" t="s">
        <v>6842</v>
      </c>
      <c r="S1592" s="11" t="s">
        <v>9915</v>
      </c>
      <c r="T1592" s="6"/>
      <c r="U1592" s="24" t="str">
        <f>HYPERLINK("https://media.infra-m.ru/2163/2163880/cover/2163880.jpg", "Обложка")</f>
        <v>Обложка</v>
      </c>
      <c r="V1592" s="24" t="str">
        <f>HYPERLINK("https://znanium.ru/catalog/product/2163880", "Ознакомиться")</f>
        <v>Ознакомиться</v>
      </c>
      <c r="W1592" s="8" t="s">
        <v>1358</v>
      </c>
      <c r="X1592" s="6"/>
      <c r="Y1592" s="6"/>
      <c r="Z1592" s="6"/>
      <c r="AA1592" s="6" t="s">
        <v>235</v>
      </c>
      <c r="AB1592" s="8"/>
    </row>
    <row r="1593" spans="1:28" s="4" customFormat="1" ht="51.95" customHeight="1">
      <c r="A1593" s="5">
        <v>0</v>
      </c>
      <c r="B1593" s="6" t="s">
        <v>9916</v>
      </c>
      <c r="C1593" s="7">
        <v>870</v>
      </c>
      <c r="D1593" s="8" t="s">
        <v>9917</v>
      </c>
      <c r="E1593" s="8" t="s">
        <v>9918</v>
      </c>
      <c r="F1593" s="8" t="s">
        <v>9919</v>
      </c>
      <c r="G1593" s="6" t="s">
        <v>89</v>
      </c>
      <c r="H1593" s="6" t="s">
        <v>53</v>
      </c>
      <c r="I1593" s="8" t="s">
        <v>1325</v>
      </c>
      <c r="J1593" s="9">
        <v>1</v>
      </c>
      <c r="K1593" s="9">
        <v>108</v>
      </c>
      <c r="L1593" s="9">
        <v>2024</v>
      </c>
      <c r="M1593" s="8" t="s">
        <v>9920</v>
      </c>
      <c r="N1593" s="8" t="s">
        <v>79</v>
      </c>
      <c r="O1593" s="8" t="s">
        <v>570</v>
      </c>
      <c r="P1593" s="6" t="s">
        <v>43</v>
      </c>
      <c r="Q1593" s="8" t="s">
        <v>58</v>
      </c>
      <c r="R1593" s="10" t="s">
        <v>9921</v>
      </c>
      <c r="S1593" s="11" t="s">
        <v>9922</v>
      </c>
      <c r="T1593" s="6"/>
      <c r="U1593" s="24" t="str">
        <f>HYPERLINK("https://media.infra-m.ru/2099/2099973/cover/2099973.jpg", "Обложка")</f>
        <v>Обложка</v>
      </c>
      <c r="V1593" s="24" t="str">
        <f>HYPERLINK("https://znanium.ru/catalog/product/2099973", "Ознакомиться")</f>
        <v>Ознакомиться</v>
      </c>
      <c r="W1593" s="8" t="s">
        <v>1329</v>
      </c>
      <c r="X1593" s="6"/>
      <c r="Y1593" s="6" t="s">
        <v>30</v>
      </c>
      <c r="Z1593" s="6"/>
      <c r="AA1593" s="6" t="s">
        <v>793</v>
      </c>
      <c r="AB1593" s="8"/>
    </row>
    <row r="1594" spans="1:28" s="4" customFormat="1" ht="51.95" customHeight="1">
      <c r="A1594" s="5">
        <v>0</v>
      </c>
      <c r="B1594" s="6" t="s">
        <v>9923</v>
      </c>
      <c r="C1594" s="13">
        <v>1170</v>
      </c>
      <c r="D1594" s="8" t="s">
        <v>9924</v>
      </c>
      <c r="E1594" s="8" t="s">
        <v>9925</v>
      </c>
      <c r="F1594" s="8" t="s">
        <v>9926</v>
      </c>
      <c r="G1594" s="6" t="s">
        <v>89</v>
      </c>
      <c r="H1594" s="6" t="s">
        <v>53</v>
      </c>
      <c r="I1594" s="8" t="s">
        <v>276</v>
      </c>
      <c r="J1594" s="9">
        <v>1</v>
      </c>
      <c r="K1594" s="9">
        <v>259</v>
      </c>
      <c r="L1594" s="9">
        <v>2020</v>
      </c>
      <c r="M1594" s="8" t="s">
        <v>9927</v>
      </c>
      <c r="N1594" s="8" t="s">
        <v>56</v>
      </c>
      <c r="O1594" s="8" t="s">
        <v>4042</v>
      </c>
      <c r="P1594" s="6" t="s">
        <v>43</v>
      </c>
      <c r="Q1594" s="8" t="s">
        <v>279</v>
      </c>
      <c r="R1594" s="10" t="s">
        <v>9928</v>
      </c>
      <c r="S1594" s="11" t="s">
        <v>9929</v>
      </c>
      <c r="T1594" s="6"/>
      <c r="U1594" s="24" t="str">
        <f>HYPERLINK("https://media.infra-m.ru/1947/1947365/cover/1947365.jpg", "Обложка")</f>
        <v>Обложка</v>
      </c>
      <c r="V1594" s="24" t="str">
        <f>HYPERLINK("https://znanium.ru/catalog/product/1018310", "Ознакомиться")</f>
        <v>Ознакомиться</v>
      </c>
      <c r="W1594" s="8" t="s">
        <v>1514</v>
      </c>
      <c r="X1594" s="6"/>
      <c r="Y1594" s="6"/>
      <c r="Z1594" s="6"/>
      <c r="AA1594" s="6" t="s">
        <v>793</v>
      </c>
      <c r="AB1594" s="8"/>
    </row>
    <row r="1595" spans="1:28" s="4" customFormat="1" ht="51.95" customHeight="1">
      <c r="A1595" s="5">
        <v>0</v>
      </c>
      <c r="B1595" s="6" t="s">
        <v>9930</v>
      </c>
      <c r="C1595" s="13">
        <v>1104.9000000000001</v>
      </c>
      <c r="D1595" s="8" t="s">
        <v>9931</v>
      </c>
      <c r="E1595" s="8" t="s">
        <v>9932</v>
      </c>
      <c r="F1595" s="8" t="s">
        <v>9933</v>
      </c>
      <c r="G1595" s="6" t="s">
        <v>52</v>
      </c>
      <c r="H1595" s="6" t="s">
        <v>53</v>
      </c>
      <c r="I1595" s="8" t="s">
        <v>90</v>
      </c>
      <c r="J1595" s="9">
        <v>1</v>
      </c>
      <c r="K1595" s="9">
        <v>324</v>
      </c>
      <c r="L1595" s="9">
        <v>2020</v>
      </c>
      <c r="M1595" s="8" t="s">
        <v>9934</v>
      </c>
      <c r="N1595" s="8" t="s">
        <v>413</v>
      </c>
      <c r="O1595" s="8" t="s">
        <v>414</v>
      </c>
      <c r="P1595" s="6" t="s">
        <v>167</v>
      </c>
      <c r="Q1595" s="8" t="s">
        <v>44</v>
      </c>
      <c r="R1595" s="10" t="s">
        <v>9935</v>
      </c>
      <c r="S1595" s="11" t="s">
        <v>9936</v>
      </c>
      <c r="T1595" s="6" t="s">
        <v>299</v>
      </c>
      <c r="U1595" s="24" t="str">
        <f>HYPERLINK("https://media.infra-m.ru/1052/1052193/cover/1052193.jpg", "Обложка")</f>
        <v>Обложка</v>
      </c>
      <c r="V1595" s="24" t="str">
        <f>HYPERLINK("https://znanium.ru/catalog/product/1922319", "Ознакомиться")</f>
        <v>Ознакомиться</v>
      </c>
      <c r="W1595" s="8" t="s">
        <v>9937</v>
      </c>
      <c r="X1595" s="6"/>
      <c r="Y1595" s="6"/>
      <c r="Z1595" s="6"/>
      <c r="AA1595" s="6" t="s">
        <v>2001</v>
      </c>
      <c r="AB1595" s="8"/>
    </row>
    <row r="1596" spans="1:28" s="4" customFormat="1" ht="51.95" customHeight="1">
      <c r="A1596" s="5">
        <v>0</v>
      </c>
      <c r="B1596" s="6" t="s">
        <v>9938</v>
      </c>
      <c r="C1596" s="13">
        <v>1460</v>
      </c>
      <c r="D1596" s="8" t="s">
        <v>9939</v>
      </c>
      <c r="E1596" s="8" t="s">
        <v>9932</v>
      </c>
      <c r="F1596" s="8" t="s">
        <v>9933</v>
      </c>
      <c r="G1596" s="6" t="s">
        <v>89</v>
      </c>
      <c r="H1596" s="6" t="s">
        <v>53</v>
      </c>
      <c r="I1596" s="8" t="s">
        <v>100</v>
      </c>
      <c r="J1596" s="9">
        <v>1</v>
      </c>
      <c r="K1596" s="9">
        <v>324</v>
      </c>
      <c r="L1596" s="9">
        <v>2023</v>
      </c>
      <c r="M1596" s="8" t="s">
        <v>9940</v>
      </c>
      <c r="N1596" s="8" t="s">
        <v>413</v>
      </c>
      <c r="O1596" s="8" t="s">
        <v>414</v>
      </c>
      <c r="P1596" s="6" t="s">
        <v>167</v>
      </c>
      <c r="Q1596" s="8" t="s">
        <v>102</v>
      </c>
      <c r="R1596" s="10" t="s">
        <v>9941</v>
      </c>
      <c r="S1596" s="11" t="s">
        <v>9942</v>
      </c>
      <c r="T1596" s="6" t="s">
        <v>299</v>
      </c>
      <c r="U1596" s="24" t="str">
        <f>HYPERLINK("https://media.infra-m.ru/1922/1922303/cover/1922303.jpg", "Обложка")</f>
        <v>Обложка</v>
      </c>
      <c r="V1596" s="24" t="str">
        <f>HYPERLINK("https://znanium.ru/catalog/product/1922303", "Ознакомиться")</f>
        <v>Ознакомиться</v>
      </c>
      <c r="W1596" s="8" t="s">
        <v>9937</v>
      </c>
      <c r="X1596" s="6"/>
      <c r="Y1596" s="6"/>
      <c r="Z1596" s="6" t="s">
        <v>104</v>
      </c>
      <c r="AA1596" s="6" t="s">
        <v>638</v>
      </c>
      <c r="AB1596" s="8" t="s">
        <v>2336</v>
      </c>
    </row>
    <row r="1597" spans="1:28" s="4" customFormat="1" ht="51.95" customHeight="1">
      <c r="A1597" s="5">
        <v>0</v>
      </c>
      <c r="B1597" s="6" t="s">
        <v>9943</v>
      </c>
      <c r="C1597" s="13">
        <v>1624</v>
      </c>
      <c r="D1597" s="8" t="s">
        <v>9944</v>
      </c>
      <c r="E1597" s="8" t="s">
        <v>9945</v>
      </c>
      <c r="F1597" s="8" t="s">
        <v>9933</v>
      </c>
      <c r="G1597" s="6" t="s">
        <v>89</v>
      </c>
      <c r="H1597" s="6" t="s">
        <v>53</v>
      </c>
      <c r="I1597" s="8" t="s">
        <v>90</v>
      </c>
      <c r="J1597" s="9">
        <v>1</v>
      </c>
      <c r="K1597" s="9">
        <v>324</v>
      </c>
      <c r="L1597" s="9">
        <v>2025</v>
      </c>
      <c r="M1597" s="8" t="s">
        <v>9946</v>
      </c>
      <c r="N1597" s="8" t="s">
        <v>413</v>
      </c>
      <c r="O1597" s="8" t="s">
        <v>414</v>
      </c>
      <c r="P1597" s="6" t="s">
        <v>167</v>
      </c>
      <c r="Q1597" s="8" t="s">
        <v>44</v>
      </c>
      <c r="R1597" s="10" t="s">
        <v>9935</v>
      </c>
      <c r="S1597" s="11" t="s">
        <v>9936</v>
      </c>
      <c r="T1597" s="6" t="s">
        <v>299</v>
      </c>
      <c r="U1597" s="24" t="str">
        <f>HYPERLINK("https://media.infra-m.ru/2181/2181431/cover/2181431.jpg", "Обложка")</f>
        <v>Обложка</v>
      </c>
      <c r="V1597" s="24" t="str">
        <f>HYPERLINK("https://znanium.ru/catalog/product/1922319", "Ознакомиться")</f>
        <v>Ознакомиться</v>
      </c>
      <c r="W1597" s="8" t="s">
        <v>9937</v>
      </c>
      <c r="X1597" s="6"/>
      <c r="Y1597" s="6"/>
      <c r="Z1597" s="6"/>
      <c r="AA1597" s="6" t="s">
        <v>6283</v>
      </c>
      <c r="AB1597" s="8"/>
    </row>
    <row r="1598" spans="1:28" s="4" customFormat="1" ht="44.1" customHeight="1">
      <c r="A1598" s="5">
        <v>0</v>
      </c>
      <c r="B1598" s="6" t="s">
        <v>9947</v>
      </c>
      <c r="C1598" s="7">
        <v>690</v>
      </c>
      <c r="D1598" s="8" t="s">
        <v>9948</v>
      </c>
      <c r="E1598" s="8" t="s">
        <v>9949</v>
      </c>
      <c r="F1598" s="8" t="s">
        <v>9950</v>
      </c>
      <c r="G1598" s="6" t="s">
        <v>38</v>
      </c>
      <c r="H1598" s="6" t="s">
        <v>53</v>
      </c>
      <c r="I1598" s="8" t="s">
        <v>960</v>
      </c>
      <c r="J1598" s="9">
        <v>1</v>
      </c>
      <c r="K1598" s="9">
        <v>114</v>
      </c>
      <c r="L1598" s="9">
        <v>2025</v>
      </c>
      <c r="M1598" s="8" t="s">
        <v>9951</v>
      </c>
      <c r="N1598" s="8" t="s">
        <v>79</v>
      </c>
      <c r="O1598" s="8" t="s">
        <v>174</v>
      </c>
      <c r="P1598" s="6" t="s">
        <v>175</v>
      </c>
      <c r="Q1598" s="8" t="s">
        <v>58</v>
      </c>
      <c r="R1598" s="10" t="s">
        <v>9952</v>
      </c>
      <c r="S1598" s="11"/>
      <c r="T1598" s="6"/>
      <c r="U1598" s="24" t="str">
        <f>HYPERLINK("https://media.infra-m.ru/2170/2170848/cover/2170848.jpg", "Обложка")</f>
        <v>Обложка</v>
      </c>
      <c r="V1598" s="24" t="str">
        <f>HYPERLINK("https://znanium.ru/catalog/product/2170848", "Ознакомиться")</f>
        <v>Ознакомиться</v>
      </c>
      <c r="W1598" s="8" t="s">
        <v>178</v>
      </c>
      <c r="X1598" s="6" t="s">
        <v>785</v>
      </c>
      <c r="Y1598" s="6"/>
      <c r="Z1598" s="6"/>
      <c r="AA1598" s="6" t="s">
        <v>61</v>
      </c>
      <c r="AB1598" s="8"/>
    </row>
    <row r="1599" spans="1:28" s="4" customFormat="1" ht="44.1" customHeight="1">
      <c r="A1599" s="5">
        <v>0</v>
      </c>
      <c r="B1599" s="6" t="s">
        <v>9953</v>
      </c>
      <c r="C1599" s="13">
        <v>2200</v>
      </c>
      <c r="D1599" s="8" t="s">
        <v>9954</v>
      </c>
      <c r="E1599" s="8" t="s">
        <v>9955</v>
      </c>
      <c r="F1599" s="8" t="s">
        <v>9956</v>
      </c>
      <c r="G1599" s="6" t="s">
        <v>52</v>
      </c>
      <c r="H1599" s="6" t="s">
        <v>53</v>
      </c>
      <c r="I1599" s="8" t="s">
        <v>1622</v>
      </c>
      <c r="J1599" s="9">
        <v>1</v>
      </c>
      <c r="K1599" s="9">
        <v>441</v>
      </c>
      <c r="L1599" s="9">
        <v>2025</v>
      </c>
      <c r="M1599" s="8" t="s">
        <v>9957</v>
      </c>
      <c r="N1599" s="8" t="s">
        <v>79</v>
      </c>
      <c r="O1599" s="8" t="s">
        <v>174</v>
      </c>
      <c r="P1599" s="6" t="s">
        <v>822</v>
      </c>
      <c r="Q1599" s="8" t="s">
        <v>214</v>
      </c>
      <c r="R1599" s="10" t="s">
        <v>9958</v>
      </c>
      <c r="S1599" s="11"/>
      <c r="T1599" s="6" t="s">
        <v>299</v>
      </c>
      <c r="U1599" s="24" t="str">
        <f>HYPERLINK("https://media.infra-m.ru/2175/2175044/cover/2175044.jpg", "Обложка")</f>
        <v>Обложка</v>
      </c>
      <c r="V1599" s="24" t="str">
        <f>HYPERLINK("https://znanium.ru/catalog/product/2175044", "Ознакомиться")</f>
        <v>Ознакомиться</v>
      </c>
      <c r="W1599" s="8" t="s">
        <v>9959</v>
      </c>
      <c r="X1599" s="6"/>
      <c r="Y1599" s="6"/>
      <c r="Z1599" s="6"/>
      <c r="AA1599" s="6" t="s">
        <v>442</v>
      </c>
      <c r="AB1599" s="8" t="s">
        <v>271</v>
      </c>
    </row>
    <row r="1600" spans="1:28" s="4" customFormat="1" ht="42" customHeight="1">
      <c r="A1600" s="5">
        <v>0</v>
      </c>
      <c r="B1600" s="6" t="s">
        <v>9960</v>
      </c>
      <c r="C1600" s="13">
        <v>2100</v>
      </c>
      <c r="D1600" s="8" t="s">
        <v>9961</v>
      </c>
      <c r="E1600" s="8" t="s">
        <v>9962</v>
      </c>
      <c r="F1600" s="8" t="s">
        <v>9963</v>
      </c>
      <c r="G1600" s="6" t="s">
        <v>52</v>
      </c>
      <c r="H1600" s="6" t="s">
        <v>53</v>
      </c>
      <c r="I1600" s="8" t="s">
        <v>116</v>
      </c>
      <c r="J1600" s="9">
        <v>1</v>
      </c>
      <c r="K1600" s="9">
        <v>420</v>
      </c>
      <c r="L1600" s="9">
        <v>2025</v>
      </c>
      <c r="M1600" s="8" t="s">
        <v>9964</v>
      </c>
      <c r="N1600" s="8" t="s">
        <v>79</v>
      </c>
      <c r="O1600" s="8" t="s">
        <v>174</v>
      </c>
      <c r="P1600" s="6" t="s">
        <v>167</v>
      </c>
      <c r="Q1600" s="8" t="s">
        <v>214</v>
      </c>
      <c r="R1600" s="10" t="s">
        <v>1134</v>
      </c>
      <c r="S1600" s="11"/>
      <c r="T1600" s="6" t="s">
        <v>299</v>
      </c>
      <c r="U1600" s="24" t="str">
        <f>HYPERLINK("https://media.infra-m.ru/2175/2175110/cover/2175110.jpg", "Обложка")</f>
        <v>Обложка</v>
      </c>
      <c r="V1600" s="24" t="str">
        <f>HYPERLINK("https://znanium.ru/catalog/product/2175110", "Ознакомиться")</f>
        <v>Ознакомиться</v>
      </c>
      <c r="W1600" s="8" t="s">
        <v>9965</v>
      </c>
      <c r="X1600" s="6"/>
      <c r="Y1600" s="6"/>
      <c r="Z1600" s="6"/>
      <c r="AA1600" s="6" t="s">
        <v>207</v>
      </c>
      <c r="AB1600" s="8"/>
    </row>
    <row r="1601" spans="1:28" s="4" customFormat="1" ht="51.95" customHeight="1">
      <c r="A1601" s="5">
        <v>0</v>
      </c>
      <c r="B1601" s="6" t="s">
        <v>9966</v>
      </c>
      <c r="C1601" s="13">
        <v>1000</v>
      </c>
      <c r="D1601" s="8" t="s">
        <v>9967</v>
      </c>
      <c r="E1601" s="8" t="s">
        <v>9968</v>
      </c>
      <c r="F1601" s="8" t="s">
        <v>9969</v>
      </c>
      <c r="G1601" s="6" t="s">
        <v>89</v>
      </c>
      <c r="H1601" s="6" t="s">
        <v>39</v>
      </c>
      <c r="I1601" s="8" t="s">
        <v>212</v>
      </c>
      <c r="J1601" s="9">
        <v>1</v>
      </c>
      <c r="K1601" s="9">
        <v>223</v>
      </c>
      <c r="L1601" s="9">
        <v>2023</v>
      </c>
      <c r="M1601" s="8" t="s">
        <v>9970</v>
      </c>
      <c r="N1601" s="8" t="s">
        <v>79</v>
      </c>
      <c r="O1601" s="8" t="s">
        <v>174</v>
      </c>
      <c r="P1601" s="6" t="s">
        <v>3424</v>
      </c>
      <c r="Q1601" s="8" t="s">
        <v>214</v>
      </c>
      <c r="R1601" s="10" t="s">
        <v>5971</v>
      </c>
      <c r="S1601" s="11" t="s">
        <v>9971</v>
      </c>
      <c r="T1601" s="6"/>
      <c r="U1601" s="24" t="str">
        <f>HYPERLINK("https://media.infra-m.ru/1865/1865314/cover/1865314.jpg", "Обложка")</f>
        <v>Обложка</v>
      </c>
      <c r="V1601" s="24" t="str">
        <f>HYPERLINK("https://znanium.ru/catalog/product/1865314", "Ознакомиться")</f>
        <v>Ознакомиться</v>
      </c>
      <c r="W1601" s="8" t="s">
        <v>5973</v>
      </c>
      <c r="X1601" s="6"/>
      <c r="Y1601" s="6"/>
      <c r="Z1601" s="6"/>
      <c r="AA1601" s="6" t="s">
        <v>151</v>
      </c>
      <c r="AB1601" s="8"/>
    </row>
    <row r="1602" spans="1:28" s="4" customFormat="1" ht="51.95" customHeight="1">
      <c r="A1602" s="5">
        <v>0</v>
      </c>
      <c r="B1602" s="6" t="s">
        <v>9972</v>
      </c>
      <c r="C1602" s="13">
        <v>2254</v>
      </c>
      <c r="D1602" s="8" t="s">
        <v>9973</v>
      </c>
      <c r="E1602" s="8" t="s">
        <v>9974</v>
      </c>
      <c r="F1602" s="8" t="s">
        <v>9975</v>
      </c>
      <c r="G1602" s="6" t="s">
        <v>52</v>
      </c>
      <c r="H1602" s="6" t="s">
        <v>53</v>
      </c>
      <c r="I1602" s="8" t="s">
        <v>116</v>
      </c>
      <c r="J1602" s="9">
        <v>1</v>
      </c>
      <c r="K1602" s="9">
        <v>432</v>
      </c>
      <c r="L1602" s="9">
        <v>2025</v>
      </c>
      <c r="M1602" s="8" t="s">
        <v>9976</v>
      </c>
      <c r="N1602" s="8" t="s">
        <v>79</v>
      </c>
      <c r="O1602" s="8" t="s">
        <v>174</v>
      </c>
      <c r="P1602" s="6" t="s">
        <v>43</v>
      </c>
      <c r="Q1602" s="8" t="s">
        <v>44</v>
      </c>
      <c r="R1602" s="10" t="s">
        <v>9977</v>
      </c>
      <c r="S1602" s="11" t="s">
        <v>9978</v>
      </c>
      <c r="T1602" s="6"/>
      <c r="U1602" s="24" t="str">
        <f>HYPERLINK("https://media.infra-m.ru/2200/2200756/cover/2200756.jpg", "Обложка")</f>
        <v>Обложка</v>
      </c>
      <c r="V1602" s="24" t="str">
        <f>HYPERLINK("https://znanium.ru/catalog/product/2039903", "Ознакомиться")</f>
        <v>Ознакомиться</v>
      </c>
      <c r="W1602" s="8" t="s">
        <v>4776</v>
      </c>
      <c r="X1602" s="6"/>
      <c r="Y1602" s="6"/>
      <c r="Z1602" s="6"/>
      <c r="AA1602" s="6" t="s">
        <v>84</v>
      </c>
      <c r="AB1602" s="8"/>
    </row>
    <row r="1603" spans="1:28" s="4" customFormat="1" ht="51.95" customHeight="1">
      <c r="A1603" s="5">
        <v>0</v>
      </c>
      <c r="B1603" s="6" t="s">
        <v>9979</v>
      </c>
      <c r="C1603" s="13">
        <v>1234</v>
      </c>
      <c r="D1603" s="8" t="s">
        <v>9980</v>
      </c>
      <c r="E1603" s="8" t="s">
        <v>9981</v>
      </c>
      <c r="F1603" s="8" t="s">
        <v>9982</v>
      </c>
      <c r="G1603" s="6" t="s">
        <v>52</v>
      </c>
      <c r="H1603" s="6" t="s">
        <v>77</v>
      </c>
      <c r="I1603" s="8"/>
      <c r="J1603" s="9">
        <v>1</v>
      </c>
      <c r="K1603" s="9">
        <v>237</v>
      </c>
      <c r="L1603" s="9">
        <v>2025</v>
      </c>
      <c r="M1603" s="8" t="s">
        <v>9983</v>
      </c>
      <c r="N1603" s="8" t="s">
        <v>79</v>
      </c>
      <c r="O1603" s="8" t="s">
        <v>174</v>
      </c>
      <c r="P1603" s="6" t="s">
        <v>43</v>
      </c>
      <c r="Q1603" s="8" t="s">
        <v>214</v>
      </c>
      <c r="R1603" s="10" t="s">
        <v>9984</v>
      </c>
      <c r="S1603" s="11" t="s">
        <v>9985</v>
      </c>
      <c r="T1603" s="6"/>
      <c r="U1603" s="24" t="str">
        <f>HYPERLINK("https://media.infra-m.ru/2192/2192211/cover/2192211.jpg", "Обложка")</f>
        <v>Обложка</v>
      </c>
      <c r="V1603" s="24" t="str">
        <f>HYPERLINK("https://znanium.ru/catalog/product/1062285", "Ознакомиться")</f>
        <v>Ознакомиться</v>
      </c>
      <c r="W1603" s="8" t="s">
        <v>5973</v>
      </c>
      <c r="X1603" s="6"/>
      <c r="Y1603" s="6"/>
      <c r="Z1603" s="6"/>
      <c r="AA1603" s="6" t="s">
        <v>122</v>
      </c>
      <c r="AB1603" s="8"/>
    </row>
    <row r="1604" spans="1:28" s="4" customFormat="1" ht="51.95" customHeight="1">
      <c r="A1604" s="5">
        <v>0</v>
      </c>
      <c r="B1604" s="6" t="s">
        <v>9986</v>
      </c>
      <c r="C1604" s="13">
        <v>1434</v>
      </c>
      <c r="D1604" s="8" t="s">
        <v>9987</v>
      </c>
      <c r="E1604" s="8" t="s">
        <v>9988</v>
      </c>
      <c r="F1604" s="8" t="s">
        <v>9989</v>
      </c>
      <c r="G1604" s="6" t="s">
        <v>89</v>
      </c>
      <c r="H1604" s="6" t="s">
        <v>53</v>
      </c>
      <c r="I1604" s="8" t="s">
        <v>212</v>
      </c>
      <c r="J1604" s="9">
        <v>1</v>
      </c>
      <c r="K1604" s="9">
        <v>286</v>
      </c>
      <c r="L1604" s="9">
        <v>2025</v>
      </c>
      <c r="M1604" s="8" t="s">
        <v>9990</v>
      </c>
      <c r="N1604" s="8" t="s">
        <v>79</v>
      </c>
      <c r="O1604" s="8" t="s">
        <v>174</v>
      </c>
      <c r="P1604" s="6" t="s">
        <v>43</v>
      </c>
      <c r="Q1604" s="8" t="s">
        <v>214</v>
      </c>
      <c r="R1604" s="10" t="s">
        <v>9991</v>
      </c>
      <c r="S1604" s="11" t="s">
        <v>9992</v>
      </c>
      <c r="T1604" s="6"/>
      <c r="U1604" s="24" t="str">
        <f>HYPERLINK("https://media.infra-m.ru/2184/2184916/cover/2184916.jpg", "Обложка")</f>
        <v>Обложка</v>
      </c>
      <c r="V1604" s="24" t="str">
        <f>HYPERLINK("https://znanium.ru/catalog/product/2141483", "Ознакомиться")</f>
        <v>Ознакомиться</v>
      </c>
      <c r="W1604" s="8" t="s">
        <v>9993</v>
      </c>
      <c r="X1604" s="6"/>
      <c r="Y1604" s="6"/>
      <c r="Z1604" s="6"/>
      <c r="AA1604" s="6" t="s">
        <v>219</v>
      </c>
      <c r="AB1604" s="8"/>
    </row>
    <row r="1605" spans="1:28" s="4" customFormat="1" ht="51.95" customHeight="1">
      <c r="A1605" s="5">
        <v>0</v>
      </c>
      <c r="B1605" s="6" t="s">
        <v>9994</v>
      </c>
      <c r="C1605" s="13">
        <v>1564</v>
      </c>
      <c r="D1605" s="8" t="s">
        <v>9995</v>
      </c>
      <c r="E1605" s="8" t="s">
        <v>9996</v>
      </c>
      <c r="F1605" s="8" t="s">
        <v>9997</v>
      </c>
      <c r="G1605" s="6" t="s">
        <v>89</v>
      </c>
      <c r="H1605" s="6" t="s">
        <v>53</v>
      </c>
      <c r="I1605" s="8" t="s">
        <v>212</v>
      </c>
      <c r="J1605" s="9">
        <v>1</v>
      </c>
      <c r="K1605" s="9">
        <v>313</v>
      </c>
      <c r="L1605" s="9">
        <v>2025</v>
      </c>
      <c r="M1605" s="8" t="s">
        <v>9998</v>
      </c>
      <c r="N1605" s="8" t="s">
        <v>79</v>
      </c>
      <c r="O1605" s="8" t="s">
        <v>174</v>
      </c>
      <c r="P1605" s="6" t="s">
        <v>43</v>
      </c>
      <c r="Q1605" s="8" t="s">
        <v>214</v>
      </c>
      <c r="R1605" s="10" t="s">
        <v>7345</v>
      </c>
      <c r="S1605" s="11" t="s">
        <v>9992</v>
      </c>
      <c r="T1605" s="6"/>
      <c r="U1605" s="24" t="str">
        <f>HYPERLINK("https://media.infra-m.ru/2184/2184934/cover/2184934.jpg", "Обложка")</f>
        <v>Обложка</v>
      </c>
      <c r="V1605" s="24" t="str">
        <f>HYPERLINK("https://znanium.ru/catalog/product/2139517", "Ознакомиться")</f>
        <v>Ознакомиться</v>
      </c>
      <c r="W1605" s="8" t="s">
        <v>9993</v>
      </c>
      <c r="X1605" s="6"/>
      <c r="Y1605" s="6"/>
      <c r="Z1605" s="6"/>
      <c r="AA1605" s="6" t="s">
        <v>258</v>
      </c>
      <c r="AB1605" s="8"/>
    </row>
    <row r="1606" spans="1:28" s="4" customFormat="1" ht="42" customHeight="1">
      <c r="A1606" s="5">
        <v>0</v>
      </c>
      <c r="B1606" s="6" t="s">
        <v>9999</v>
      </c>
      <c r="C1606" s="7">
        <v>640</v>
      </c>
      <c r="D1606" s="8" t="s">
        <v>10000</v>
      </c>
      <c r="E1606" s="8" t="s">
        <v>10001</v>
      </c>
      <c r="F1606" s="8" t="s">
        <v>5969</v>
      </c>
      <c r="G1606" s="6" t="s">
        <v>89</v>
      </c>
      <c r="H1606" s="6" t="s">
        <v>53</v>
      </c>
      <c r="I1606" s="8" t="s">
        <v>212</v>
      </c>
      <c r="J1606" s="9">
        <v>1</v>
      </c>
      <c r="K1606" s="9">
        <v>162</v>
      </c>
      <c r="L1606" s="9">
        <v>2022</v>
      </c>
      <c r="M1606" s="8" t="s">
        <v>10002</v>
      </c>
      <c r="N1606" s="8" t="s">
        <v>79</v>
      </c>
      <c r="O1606" s="8" t="s">
        <v>174</v>
      </c>
      <c r="P1606" s="6" t="s">
        <v>43</v>
      </c>
      <c r="Q1606" s="8" t="s">
        <v>214</v>
      </c>
      <c r="R1606" s="10" t="s">
        <v>10003</v>
      </c>
      <c r="S1606" s="11"/>
      <c r="T1606" s="6"/>
      <c r="U1606" s="24" t="str">
        <f>HYPERLINK("https://media.infra-m.ru/1864/1864095/cover/1864095.jpg", "Обложка")</f>
        <v>Обложка</v>
      </c>
      <c r="V1606" s="24" t="str">
        <f>HYPERLINK("https://znanium.ru/catalog/product/1864095", "Ознакомиться")</f>
        <v>Ознакомиться</v>
      </c>
      <c r="W1606" s="8" t="s">
        <v>5973</v>
      </c>
      <c r="X1606" s="6"/>
      <c r="Y1606" s="6"/>
      <c r="Z1606" s="6"/>
      <c r="AA1606" s="6" t="s">
        <v>793</v>
      </c>
      <c r="AB1606" s="8"/>
    </row>
    <row r="1607" spans="1:28" s="4" customFormat="1" ht="51.95" customHeight="1">
      <c r="A1607" s="5">
        <v>0</v>
      </c>
      <c r="B1607" s="6" t="s">
        <v>10004</v>
      </c>
      <c r="C1607" s="13">
        <v>1534</v>
      </c>
      <c r="D1607" s="8" t="s">
        <v>10005</v>
      </c>
      <c r="E1607" s="8" t="s">
        <v>10006</v>
      </c>
      <c r="F1607" s="8" t="s">
        <v>10007</v>
      </c>
      <c r="G1607" s="6" t="s">
        <v>89</v>
      </c>
      <c r="H1607" s="6" t="s">
        <v>53</v>
      </c>
      <c r="I1607" s="8" t="s">
        <v>90</v>
      </c>
      <c r="J1607" s="9">
        <v>1</v>
      </c>
      <c r="K1607" s="9">
        <v>306</v>
      </c>
      <c r="L1607" s="9">
        <v>2025</v>
      </c>
      <c r="M1607" s="8" t="s">
        <v>10008</v>
      </c>
      <c r="N1607" s="8" t="s">
        <v>413</v>
      </c>
      <c r="O1607" s="8" t="s">
        <v>1141</v>
      </c>
      <c r="P1607" s="6" t="s">
        <v>43</v>
      </c>
      <c r="Q1607" s="8" t="s">
        <v>44</v>
      </c>
      <c r="R1607" s="10" t="s">
        <v>10009</v>
      </c>
      <c r="S1607" s="11" t="s">
        <v>10010</v>
      </c>
      <c r="T1607" s="6"/>
      <c r="U1607" s="24" t="str">
        <f>HYPERLINK("https://media.infra-m.ru/2179/2179731/cover/2179731.jpg", "Обложка")</f>
        <v>Обложка</v>
      </c>
      <c r="V1607" s="24" t="str">
        <f>HYPERLINK("https://znanium.ru/catalog/product/2125064", "Ознакомиться")</f>
        <v>Ознакомиться</v>
      </c>
      <c r="W1607" s="8" t="s">
        <v>5435</v>
      </c>
      <c r="X1607" s="6"/>
      <c r="Y1607" s="6"/>
      <c r="Z1607" s="6"/>
      <c r="AA1607" s="6" t="s">
        <v>793</v>
      </c>
      <c r="AB1607" s="8"/>
    </row>
    <row r="1608" spans="1:28" s="4" customFormat="1" ht="51.95" customHeight="1">
      <c r="A1608" s="5">
        <v>0</v>
      </c>
      <c r="B1608" s="6" t="s">
        <v>10011</v>
      </c>
      <c r="C1608" s="13">
        <v>1724</v>
      </c>
      <c r="D1608" s="8" t="s">
        <v>10012</v>
      </c>
      <c r="E1608" s="8" t="s">
        <v>10013</v>
      </c>
      <c r="F1608" s="8" t="s">
        <v>10014</v>
      </c>
      <c r="G1608" s="6" t="s">
        <v>89</v>
      </c>
      <c r="H1608" s="6" t="s">
        <v>53</v>
      </c>
      <c r="I1608" s="8" t="s">
        <v>116</v>
      </c>
      <c r="J1608" s="9">
        <v>1</v>
      </c>
      <c r="K1608" s="9">
        <v>376</v>
      </c>
      <c r="L1608" s="9">
        <v>2023</v>
      </c>
      <c r="M1608" s="8" t="s">
        <v>10015</v>
      </c>
      <c r="N1608" s="8" t="s">
        <v>56</v>
      </c>
      <c r="O1608" s="8" t="s">
        <v>741</v>
      </c>
      <c r="P1608" s="6" t="s">
        <v>43</v>
      </c>
      <c r="Q1608" s="8" t="s">
        <v>44</v>
      </c>
      <c r="R1608" s="10" t="s">
        <v>10016</v>
      </c>
      <c r="S1608" s="11" t="s">
        <v>10017</v>
      </c>
      <c r="T1608" s="6"/>
      <c r="U1608" s="24" t="str">
        <f>HYPERLINK("https://media.infra-m.ru/2116/2116172/cover/2116172.jpg", "Обложка")</f>
        <v>Обложка</v>
      </c>
      <c r="V1608" s="24" t="str">
        <f>HYPERLINK("https://znanium.ru/catalog/product/2116171", "Ознакомиться")</f>
        <v>Ознакомиться</v>
      </c>
      <c r="W1608" s="8" t="s">
        <v>9167</v>
      </c>
      <c r="X1608" s="6"/>
      <c r="Y1608" s="6"/>
      <c r="Z1608" s="6"/>
      <c r="AA1608" s="6" t="s">
        <v>407</v>
      </c>
      <c r="AB1608" s="8"/>
    </row>
    <row r="1609" spans="1:28" s="4" customFormat="1" ht="42" customHeight="1">
      <c r="A1609" s="5">
        <v>0</v>
      </c>
      <c r="B1609" s="6" t="s">
        <v>10018</v>
      </c>
      <c r="C1609" s="13">
        <v>1204</v>
      </c>
      <c r="D1609" s="8" t="s">
        <v>10019</v>
      </c>
      <c r="E1609" s="8" t="s">
        <v>10020</v>
      </c>
      <c r="F1609" s="8" t="s">
        <v>7222</v>
      </c>
      <c r="G1609" s="6" t="s">
        <v>52</v>
      </c>
      <c r="H1609" s="6" t="s">
        <v>438</v>
      </c>
      <c r="I1609" s="8"/>
      <c r="J1609" s="9">
        <v>1</v>
      </c>
      <c r="K1609" s="9">
        <v>240</v>
      </c>
      <c r="L1609" s="9">
        <v>2025</v>
      </c>
      <c r="M1609" s="8" t="s">
        <v>10021</v>
      </c>
      <c r="N1609" s="8" t="s">
        <v>79</v>
      </c>
      <c r="O1609" s="8" t="s">
        <v>684</v>
      </c>
      <c r="P1609" s="6" t="s">
        <v>167</v>
      </c>
      <c r="Q1609" s="8" t="s">
        <v>44</v>
      </c>
      <c r="R1609" s="10" t="s">
        <v>1617</v>
      </c>
      <c r="S1609" s="11"/>
      <c r="T1609" s="6"/>
      <c r="U1609" s="24" t="str">
        <f>HYPERLINK("https://media.infra-m.ru/2188/2188270/cover/2188270.jpg", "Обложка")</f>
        <v>Обложка</v>
      </c>
      <c r="V1609" s="24" t="str">
        <f>HYPERLINK("https://znanium.ru/catalog/product/2150108", "Ознакомиться")</f>
        <v>Ознакомиться</v>
      </c>
      <c r="W1609" s="8" t="s">
        <v>7224</v>
      </c>
      <c r="X1609" s="6"/>
      <c r="Y1609" s="6"/>
      <c r="Z1609" s="6"/>
      <c r="AA1609" s="6" t="s">
        <v>196</v>
      </c>
      <c r="AB1609" s="8"/>
    </row>
    <row r="1610" spans="1:28" s="4" customFormat="1" ht="51.95" customHeight="1">
      <c r="A1610" s="5">
        <v>0</v>
      </c>
      <c r="B1610" s="6" t="s">
        <v>10022</v>
      </c>
      <c r="C1610" s="13">
        <v>1174</v>
      </c>
      <c r="D1610" s="8" t="s">
        <v>10023</v>
      </c>
      <c r="E1610" s="8" t="s">
        <v>10024</v>
      </c>
      <c r="F1610" s="8" t="s">
        <v>10025</v>
      </c>
      <c r="G1610" s="6" t="s">
        <v>89</v>
      </c>
      <c r="H1610" s="6" t="s">
        <v>53</v>
      </c>
      <c r="I1610" s="8" t="s">
        <v>90</v>
      </c>
      <c r="J1610" s="9">
        <v>1</v>
      </c>
      <c r="K1610" s="9">
        <v>255</v>
      </c>
      <c r="L1610" s="9">
        <v>2024</v>
      </c>
      <c r="M1610" s="8" t="s">
        <v>10026</v>
      </c>
      <c r="N1610" s="8" t="s">
        <v>41</v>
      </c>
      <c r="O1610" s="8" t="s">
        <v>4035</v>
      </c>
      <c r="P1610" s="6" t="s">
        <v>43</v>
      </c>
      <c r="Q1610" s="8" t="s">
        <v>44</v>
      </c>
      <c r="R1610" s="10" t="s">
        <v>8769</v>
      </c>
      <c r="S1610" s="11" t="s">
        <v>10027</v>
      </c>
      <c r="T1610" s="6"/>
      <c r="U1610" s="24" t="str">
        <f>HYPERLINK("https://media.infra-m.ru/2102/2102177/cover/2102177.jpg", "Обложка")</f>
        <v>Обложка</v>
      </c>
      <c r="V1610" s="24" t="str">
        <f>HYPERLINK("https://znanium.ru/catalog/product/2102177", "Ознакомиться")</f>
        <v>Ознакомиться</v>
      </c>
      <c r="W1610" s="8" t="s">
        <v>4293</v>
      </c>
      <c r="X1610" s="6"/>
      <c r="Y1610" s="6"/>
      <c r="Z1610" s="6"/>
      <c r="AA1610" s="6" t="s">
        <v>84</v>
      </c>
      <c r="AB1610" s="8"/>
    </row>
    <row r="1611" spans="1:28" s="4" customFormat="1" ht="51.95" customHeight="1">
      <c r="A1611" s="5">
        <v>0</v>
      </c>
      <c r="B1611" s="6" t="s">
        <v>10028</v>
      </c>
      <c r="C1611" s="13">
        <v>1700</v>
      </c>
      <c r="D1611" s="8" t="s">
        <v>10029</v>
      </c>
      <c r="E1611" s="8" t="s">
        <v>10030</v>
      </c>
      <c r="F1611" s="8" t="s">
        <v>10031</v>
      </c>
      <c r="G1611" s="6" t="s">
        <v>89</v>
      </c>
      <c r="H1611" s="6" t="s">
        <v>53</v>
      </c>
      <c r="I1611" s="8" t="s">
        <v>7144</v>
      </c>
      <c r="J1611" s="9">
        <v>1</v>
      </c>
      <c r="K1611" s="9">
        <v>472</v>
      </c>
      <c r="L1611" s="9">
        <v>2021</v>
      </c>
      <c r="M1611" s="8" t="s">
        <v>10032</v>
      </c>
      <c r="N1611" s="8" t="s">
        <v>41</v>
      </c>
      <c r="O1611" s="8" t="s">
        <v>676</v>
      </c>
      <c r="P1611" s="6" t="s">
        <v>10033</v>
      </c>
      <c r="Q1611" s="8" t="s">
        <v>58</v>
      </c>
      <c r="R1611" s="10" t="s">
        <v>5010</v>
      </c>
      <c r="S1611" s="11"/>
      <c r="T1611" s="6"/>
      <c r="U1611" s="24" t="str">
        <f>HYPERLINK("https://media.infra-m.ru/1216/1216935/cover/1216935.jpg", "Обложка")</f>
        <v>Обложка</v>
      </c>
      <c r="V1611" s="24" t="str">
        <f>HYPERLINK("https://znanium.ru/catalog/product/1216935", "Ознакомиться")</f>
        <v>Ознакомиться</v>
      </c>
      <c r="W1611" s="8" t="s">
        <v>2114</v>
      </c>
      <c r="X1611" s="6"/>
      <c r="Y1611" s="6"/>
      <c r="Z1611" s="6"/>
      <c r="AA1611" s="6" t="s">
        <v>793</v>
      </c>
      <c r="AB1611" s="8"/>
    </row>
    <row r="1612" spans="1:28" s="4" customFormat="1" ht="42" customHeight="1">
      <c r="A1612" s="5">
        <v>0</v>
      </c>
      <c r="B1612" s="6" t="s">
        <v>10034</v>
      </c>
      <c r="C1612" s="7">
        <v>793</v>
      </c>
      <c r="D1612" s="8" t="s">
        <v>10035</v>
      </c>
      <c r="E1612" s="8" t="s">
        <v>10036</v>
      </c>
      <c r="F1612" s="8" t="s">
        <v>10037</v>
      </c>
      <c r="G1612" s="6" t="s">
        <v>38</v>
      </c>
      <c r="H1612" s="6" t="s">
        <v>184</v>
      </c>
      <c r="I1612" s="8"/>
      <c r="J1612" s="9">
        <v>1</v>
      </c>
      <c r="K1612" s="9">
        <v>254</v>
      </c>
      <c r="L1612" s="9">
        <v>2024</v>
      </c>
      <c r="M1612" s="8" t="s">
        <v>10038</v>
      </c>
      <c r="N1612" s="8" t="s">
        <v>41</v>
      </c>
      <c r="O1612" s="8" t="s">
        <v>676</v>
      </c>
      <c r="P1612" s="6" t="s">
        <v>43</v>
      </c>
      <c r="Q1612" s="8" t="s">
        <v>102</v>
      </c>
      <c r="R1612" s="10" t="s">
        <v>10039</v>
      </c>
      <c r="S1612" s="11"/>
      <c r="T1612" s="6"/>
      <c r="U1612" s="24" t="str">
        <f>HYPERLINK("https://media.infra-m.ru/2139/2139077/cover/2139077.jpg", "Обложка")</f>
        <v>Обложка</v>
      </c>
      <c r="V1612" s="24" t="str">
        <f>HYPERLINK("https://znanium.ru/catalog/product/2139077", "Ознакомиться")</f>
        <v>Ознакомиться</v>
      </c>
      <c r="W1612" s="8" t="s">
        <v>234</v>
      </c>
      <c r="X1612" s="6"/>
      <c r="Y1612" s="6"/>
      <c r="Z1612" s="6"/>
      <c r="AA1612" s="6" t="s">
        <v>513</v>
      </c>
      <c r="AB1612" s="8"/>
    </row>
    <row r="1613" spans="1:28" s="4" customFormat="1" ht="42" customHeight="1">
      <c r="A1613" s="5">
        <v>0</v>
      </c>
      <c r="B1613" s="6" t="s">
        <v>10040</v>
      </c>
      <c r="C1613" s="7">
        <v>450</v>
      </c>
      <c r="D1613" s="8" t="s">
        <v>10041</v>
      </c>
      <c r="E1613" s="8" t="s">
        <v>10042</v>
      </c>
      <c r="F1613" s="8" t="s">
        <v>10037</v>
      </c>
      <c r="G1613" s="6" t="s">
        <v>38</v>
      </c>
      <c r="H1613" s="6" t="s">
        <v>184</v>
      </c>
      <c r="I1613" s="8"/>
      <c r="J1613" s="9">
        <v>1</v>
      </c>
      <c r="K1613" s="9">
        <v>230</v>
      </c>
      <c r="L1613" s="9">
        <v>2019</v>
      </c>
      <c r="M1613" s="8" t="s">
        <v>10043</v>
      </c>
      <c r="N1613" s="8" t="s">
        <v>41</v>
      </c>
      <c r="O1613" s="8" t="s">
        <v>676</v>
      </c>
      <c r="P1613" s="6" t="s">
        <v>43</v>
      </c>
      <c r="Q1613" s="8" t="s">
        <v>102</v>
      </c>
      <c r="R1613" s="10" t="s">
        <v>10039</v>
      </c>
      <c r="S1613" s="11"/>
      <c r="T1613" s="6"/>
      <c r="U1613" s="24" t="str">
        <f>HYPERLINK("https://media.infra-m.ru/1020/1020833/cover/1020833.jpg", "Обложка")</f>
        <v>Обложка</v>
      </c>
      <c r="V1613" s="24" t="str">
        <f>HYPERLINK("https://znanium.ru/catalog/product/2139077", "Ознакомиться")</f>
        <v>Ознакомиться</v>
      </c>
      <c r="W1613" s="8" t="s">
        <v>234</v>
      </c>
      <c r="X1613" s="6"/>
      <c r="Y1613" s="6"/>
      <c r="Z1613" s="6"/>
      <c r="AA1613" s="6" t="s">
        <v>418</v>
      </c>
      <c r="AB1613" s="8"/>
    </row>
    <row r="1614" spans="1:28" s="4" customFormat="1" ht="51.95" customHeight="1">
      <c r="A1614" s="5">
        <v>0</v>
      </c>
      <c r="B1614" s="6" t="s">
        <v>10044</v>
      </c>
      <c r="C1614" s="7">
        <v>410</v>
      </c>
      <c r="D1614" s="8" t="s">
        <v>10045</v>
      </c>
      <c r="E1614" s="8" t="s">
        <v>10046</v>
      </c>
      <c r="F1614" s="8" t="s">
        <v>10047</v>
      </c>
      <c r="G1614" s="6" t="s">
        <v>38</v>
      </c>
      <c r="H1614" s="6" t="s">
        <v>649</v>
      </c>
      <c r="I1614" s="8" t="s">
        <v>100</v>
      </c>
      <c r="J1614" s="9">
        <v>1</v>
      </c>
      <c r="K1614" s="9">
        <v>96</v>
      </c>
      <c r="L1614" s="9">
        <v>2020</v>
      </c>
      <c r="M1614" s="8" t="s">
        <v>10048</v>
      </c>
      <c r="N1614" s="8" t="s">
        <v>41</v>
      </c>
      <c r="O1614" s="8" t="s">
        <v>278</v>
      </c>
      <c r="P1614" s="6" t="s">
        <v>43</v>
      </c>
      <c r="Q1614" s="8" t="s">
        <v>102</v>
      </c>
      <c r="R1614" s="10" t="s">
        <v>10049</v>
      </c>
      <c r="S1614" s="11" t="s">
        <v>10050</v>
      </c>
      <c r="T1614" s="6"/>
      <c r="U1614" s="24" t="str">
        <f>HYPERLINK("https://media.infra-m.ru/1128/1128281/cover/1128281.jpg", "Обложка")</f>
        <v>Обложка</v>
      </c>
      <c r="V1614" s="24" t="str">
        <f>HYPERLINK("https://znanium.ru/catalog/product/1200567", "Ознакомиться")</f>
        <v>Ознакомиться</v>
      </c>
      <c r="W1614" s="8" t="s">
        <v>10051</v>
      </c>
      <c r="X1614" s="6"/>
      <c r="Y1614" s="6"/>
      <c r="Z1614" s="6"/>
      <c r="AA1614" s="6" t="s">
        <v>84</v>
      </c>
      <c r="AB1614" s="8"/>
    </row>
    <row r="1615" spans="1:28" s="4" customFormat="1" ht="51.95" customHeight="1">
      <c r="A1615" s="5">
        <v>0</v>
      </c>
      <c r="B1615" s="6" t="s">
        <v>10052</v>
      </c>
      <c r="C1615" s="7">
        <v>990</v>
      </c>
      <c r="D1615" s="8" t="s">
        <v>10053</v>
      </c>
      <c r="E1615" s="8" t="s">
        <v>10054</v>
      </c>
      <c r="F1615" s="8" t="s">
        <v>10055</v>
      </c>
      <c r="G1615" s="6" t="s">
        <v>89</v>
      </c>
      <c r="H1615" s="6" t="s">
        <v>53</v>
      </c>
      <c r="I1615" s="8" t="s">
        <v>100</v>
      </c>
      <c r="J1615" s="9">
        <v>1</v>
      </c>
      <c r="K1615" s="9">
        <v>209</v>
      </c>
      <c r="L1615" s="9">
        <v>2023</v>
      </c>
      <c r="M1615" s="8" t="s">
        <v>10056</v>
      </c>
      <c r="N1615" s="8" t="s">
        <v>41</v>
      </c>
      <c r="O1615" s="8" t="s">
        <v>278</v>
      </c>
      <c r="P1615" s="6" t="s">
        <v>43</v>
      </c>
      <c r="Q1615" s="8" t="s">
        <v>102</v>
      </c>
      <c r="R1615" s="10" t="s">
        <v>10049</v>
      </c>
      <c r="S1615" s="11" t="s">
        <v>10057</v>
      </c>
      <c r="T1615" s="6"/>
      <c r="U1615" s="24" t="str">
        <f>HYPERLINK("https://media.infra-m.ru/1200/1200567/cover/1200567.jpg", "Обложка")</f>
        <v>Обложка</v>
      </c>
      <c r="V1615" s="24" t="str">
        <f>HYPERLINK("https://znanium.ru/catalog/product/1200567", "Ознакомиться")</f>
        <v>Ознакомиться</v>
      </c>
      <c r="W1615" s="8" t="s">
        <v>10051</v>
      </c>
      <c r="X1615" s="6"/>
      <c r="Y1615" s="6"/>
      <c r="Z1615" s="6"/>
      <c r="AA1615" s="6" t="s">
        <v>813</v>
      </c>
      <c r="AB1615" s="8"/>
    </row>
    <row r="1616" spans="1:28" s="4" customFormat="1" ht="51.95" customHeight="1">
      <c r="A1616" s="5">
        <v>0</v>
      </c>
      <c r="B1616" s="6" t="s">
        <v>10058</v>
      </c>
      <c r="C1616" s="7">
        <v>660</v>
      </c>
      <c r="D1616" s="8" t="s">
        <v>10059</v>
      </c>
      <c r="E1616" s="8" t="s">
        <v>10060</v>
      </c>
      <c r="F1616" s="8" t="s">
        <v>10061</v>
      </c>
      <c r="G1616" s="6" t="s">
        <v>38</v>
      </c>
      <c r="H1616" s="6" t="s">
        <v>53</v>
      </c>
      <c r="I1616" s="8" t="s">
        <v>116</v>
      </c>
      <c r="J1616" s="9">
        <v>1</v>
      </c>
      <c r="K1616" s="9">
        <v>143</v>
      </c>
      <c r="L1616" s="9">
        <v>2024</v>
      </c>
      <c r="M1616" s="8" t="s">
        <v>10062</v>
      </c>
      <c r="N1616" s="8" t="s">
        <v>41</v>
      </c>
      <c r="O1616" s="8" t="s">
        <v>1007</v>
      </c>
      <c r="P1616" s="6" t="s">
        <v>43</v>
      </c>
      <c r="Q1616" s="8" t="s">
        <v>44</v>
      </c>
      <c r="R1616" s="10" t="s">
        <v>10063</v>
      </c>
      <c r="S1616" s="11" t="s">
        <v>10064</v>
      </c>
      <c r="T1616" s="6"/>
      <c r="U1616" s="24" t="str">
        <f>HYPERLINK("https://media.infra-m.ru/2082/2082729/cover/2082729.jpg", "Обложка")</f>
        <v>Обложка</v>
      </c>
      <c r="V1616" s="24" t="str">
        <f>HYPERLINK("https://znanium.ru/catalog/product/2082729", "Ознакомиться")</f>
        <v>Ознакомиться</v>
      </c>
      <c r="W1616" s="8"/>
      <c r="X1616" s="6"/>
      <c r="Y1616" s="6"/>
      <c r="Z1616" s="6"/>
      <c r="AA1616" s="6" t="s">
        <v>72</v>
      </c>
      <c r="AB1616" s="8"/>
    </row>
    <row r="1617" spans="1:28" s="4" customFormat="1" ht="51.95" customHeight="1">
      <c r="A1617" s="5">
        <v>0</v>
      </c>
      <c r="B1617" s="6" t="s">
        <v>10065</v>
      </c>
      <c r="C1617" s="7">
        <v>734</v>
      </c>
      <c r="D1617" s="8" t="s">
        <v>10066</v>
      </c>
      <c r="E1617" s="8" t="s">
        <v>10067</v>
      </c>
      <c r="F1617" s="8" t="s">
        <v>10068</v>
      </c>
      <c r="G1617" s="6" t="s">
        <v>38</v>
      </c>
      <c r="H1617" s="6" t="s">
        <v>649</v>
      </c>
      <c r="I1617" s="8" t="s">
        <v>116</v>
      </c>
      <c r="J1617" s="9">
        <v>1</v>
      </c>
      <c r="K1617" s="9">
        <v>160</v>
      </c>
      <c r="L1617" s="9">
        <v>2024</v>
      </c>
      <c r="M1617" s="8" t="s">
        <v>10069</v>
      </c>
      <c r="N1617" s="8" t="s">
        <v>41</v>
      </c>
      <c r="O1617" s="8" t="s">
        <v>278</v>
      </c>
      <c r="P1617" s="6" t="s">
        <v>43</v>
      </c>
      <c r="Q1617" s="8" t="s">
        <v>44</v>
      </c>
      <c r="R1617" s="10" t="s">
        <v>10070</v>
      </c>
      <c r="S1617" s="11" t="s">
        <v>10071</v>
      </c>
      <c r="T1617" s="6"/>
      <c r="U1617" s="24" t="str">
        <f>HYPERLINK("https://media.infra-m.ru/2048/2048142/cover/2048142.jpg", "Обложка")</f>
        <v>Обложка</v>
      </c>
      <c r="V1617" s="24" t="str">
        <f>HYPERLINK("https://znanium.ru/catalog/product/1844317", "Ознакомиться")</f>
        <v>Ознакомиться</v>
      </c>
      <c r="W1617" s="8" t="s">
        <v>189</v>
      </c>
      <c r="X1617" s="6"/>
      <c r="Y1617" s="6"/>
      <c r="Z1617" s="6"/>
      <c r="AA1617" s="6" t="s">
        <v>47</v>
      </c>
      <c r="AB1617" s="8"/>
    </row>
    <row r="1618" spans="1:28" s="4" customFormat="1" ht="51.95" customHeight="1">
      <c r="A1618" s="5">
        <v>0</v>
      </c>
      <c r="B1618" s="6" t="s">
        <v>10072</v>
      </c>
      <c r="C1618" s="7">
        <v>734</v>
      </c>
      <c r="D1618" s="8" t="s">
        <v>10073</v>
      </c>
      <c r="E1618" s="8" t="s">
        <v>10067</v>
      </c>
      <c r="F1618" s="8" t="s">
        <v>10074</v>
      </c>
      <c r="G1618" s="6" t="s">
        <v>52</v>
      </c>
      <c r="H1618" s="6" t="s">
        <v>649</v>
      </c>
      <c r="I1618" s="8" t="s">
        <v>100</v>
      </c>
      <c r="J1618" s="9">
        <v>1</v>
      </c>
      <c r="K1618" s="9">
        <v>160</v>
      </c>
      <c r="L1618" s="9">
        <v>2023</v>
      </c>
      <c r="M1618" s="8" t="s">
        <v>10075</v>
      </c>
      <c r="N1618" s="8" t="s">
        <v>41</v>
      </c>
      <c r="O1618" s="8" t="s">
        <v>278</v>
      </c>
      <c r="P1618" s="6" t="s">
        <v>43</v>
      </c>
      <c r="Q1618" s="8" t="s">
        <v>102</v>
      </c>
      <c r="R1618" s="10" t="s">
        <v>2326</v>
      </c>
      <c r="S1618" s="11" t="s">
        <v>10076</v>
      </c>
      <c r="T1618" s="6"/>
      <c r="U1618" s="24" t="str">
        <f>HYPERLINK("https://media.infra-m.ru/2021/2021469/cover/2021469.jpg", "Обложка")</f>
        <v>Обложка</v>
      </c>
      <c r="V1618" s="24" t="str">
        <f>HYPERLINK("https://znanium.ru/catalog/product/1031931", "Ознакомиться")</f>
        <v>Ознакомиться</v>
      </c>
      <c r="W1618" s="8" t="s">
        <v>189</v>
      </c>
      <c r="X1618" s="6"/>
      <c r="Y1618" s="6"/>
      <c r="Z1618" s="6" t="s">
        <v>104</v>
      </c>
      <c r="AA1618" s="6" t="s">
        <v>258</v>
      </c>
      <c r="AB1618" s="8"/>
    </row>
    <row r="1619" spans="1:28" s="4" customFormat="1" ht="51.95" customHeight="1">
      <c r="A1619" s="5">
        <v>0</v>
      </c>
      <c r="B1619" s="6" t="s">
        <v>10077</v>
      </c>
      <c r="C1619" s="13">
        <v>1824.9</v>
      </c>
      <c r="D1619" s="8" t="s">
        <v>10078</v>
      </c>
      <c r="E1619" s="8" t="s">
        <v>10079</v>
      </c>
      <c r="F1619" s="8" t="s">
        <v>10080</v>
      </c>
      <c r="G1619" s="6" t="s">
        <v>52</v>
      </c>
      <c r="H1619" s="6" t="s">
        <v>952</v>
      </c>
      <c r="I1619" s="8"/>
      <c r="J1619" s="9">
        <v>1</v>
      </c>
      <c r="K1619" s="9">
        <v>480</v>
      </c>
      <c r="L1619" s="9">
        <v>2022</v>
      </c>
      <c r="M1619" s="8" t="s">
        <v>10081</v>
      </c>
      <c r="N1619" s="8" t="s">
        <v>41</v>
      </c>
      <c r="O1619" s="8" t="s">
        <v>278</v>
      </c>
      <c r="P1619" s="6" t="s">
        <v>43</v>
      </c>
      <c r="Q1619" s="8" t="s">
        <v>44</v>
      </c>
      <c r="R1619" s="10" t="s">
        <v>8490</v>
      </c>
      <c r="S1619" s="11" t="s">
        <v>10082</v>
      </c>
      <c r="T1619" s="6"/>
      <c r="U1619" s="24" t="str">
        <f>HYPERLINK("https://media.infra-m.ru/1842/1842552/cover/1842552.jpg", "Обложка")</f>
        <v>Обложка</v>
      </c>
      <c r="V1619" s="24" t="str">
        <f>HYPERLINK("https://znanium.ru/catalog/product/1842552", "Ознакомиться")</f>
        <v>Ознакомиться</v>
      </c>
      <c r="W1619" s="8" t="s">
        <v>2463</v>
      </c>
      <c r="X1619" s="6"/>
      <c r="Y1619" s="6"/>
      <c r="Z1619" s="6"/>
      <c r="AA1619" s="6" t="s">
        <v>72</v>
      </c>
      <c r="AB1619" s="8"/>
    </row>
    <row r="1620" spans="1:28" s="4" customFormat="1" ht="51.95" customHeight="1">
      <c r="A1620" s="5">
        <v>0</v>
      </c>
      <c r="B1620" s="6" t="s">
        <v>10083</v>
      </c>
      <c r="C1620" s="13">
        <v>1770</v>
      </c>
      <c r="D1620" s="8" t="s">
        <v>10084</v>
      </c>
      <c r="E1620" s="8" t="s">
        <v>10085</v>
      </c>
      <c r="F1620" s="8" t="s">
        <v>10086</v>
      </c>
      <c r="G1620" s="6" t="s">
        <v>89</v>
      </c>
      <c r="H1620" s="6" t="s">
        <v>649</v>
      </c>
      <c r="I1620" s="8" t="s">
        <v>116</v>
      </c>
      <c r="J1620" s="9">
        <v>1</v>
      </c>
      <c r="K1620" s="9">
        <v>384</v>
      </c>
      <c r="L1620" s="9">
        <v>2024</v>
      </c>
      <c r="M1620" s="8" t="s">
        <v>10087</v>
      </c>
      <c r="N1620" s="8" t="s">
        <v>41</v>
      </c>
      <c r="O1620" s="8" t="s">
        <v>278</v>
      </c>
      <c r="P1620" s="6" t="s">
        <v>167</v>
      </c>
      <c r="Q1620" s="8" t="s">
        <v>44</v>
      </c>
      <c r="R1620" s="10" t="s">
        <v>10088</v>
      </c>
      <c r="S1620" s="11" t="s">
        <v>10089</v>
      </c>
      <c r="T1620" s="6"/>
      <c r="U1620" s="24" t="str">
        <f>HYPERLINK("https://media.infra-m.ru/2111/2111789/cover/2111789.jpg", "Обложка")</f>
        <v>Обложка</v>
      </c>
      <c r="V1620" s="24" t="str">
        <f>HYPERLINK("https://znanium.ru/catalog/product/2111789", "Ознакомиться")</f>
        <v>Ознакомиться</v>
      </c>
      <c r="W1620" s="8" t="s">
        <v>189</v>
      </c>
      <c r="X1620" s="6"/>
      <c r="Y1620" s="6"/>
      <c r="Z1620" s="6"/>
      <c r="AA1620" s="6" t="s">
        <v>122</v>
      </c>
      <c r="AB1620" s="8"/>
    </row>
    <row r="1621" spans="1:28" s="4" customFormat="1" ht="51.95" customHeight="1">
      <c r="A1621" s="5">
        <v>0</v>
      </c>
      <c r="B1621" s="6" t="s">
        <v>10090</v>
      </c>
      <c r="C1621" s="13">
        <v>1194</v>
      </c>
      <c r="D1621" s="8" t="s">
        <v>10091</v>
      </c>
      <c r="E1621" s="8" t="s">
        <v>10092</v>
      </c>
      <c r="F1621" s="8" t="s">
        <v>10093</v>
      </c>
      <c r="G1621" s="6" t="s">
        <v>89</v>
      </c>
      <c r="H1621" s="6" t="s">
        <v>53</v>
      </c>
      <c r="I1621" s="8" t="s">
        <v>90</v>
      </c>
      <c r="J1621" s="9">
        <v>1</v>
      </c>
      <c r="K1621" s="9">
        <v>259</v>
      </c>
      <c r="L1621" s="9">
        <v>2024</v>
      </c>
      <c r="M1621" s="8" t="s">
        <v>10094</v>
      </c>
      <c r="N1621" s="8" t="s">
        <v>41</v>
      </c>
      <c r="O1621" s="8" t="s">
        <v>118</v>
      </c>
      <c r="P1621" s="6" t="s">
        <v>43</v>
      </c>
      <c r="Q1621" s="8" t="s">
        <v>44</v>
      </c>
      <c r="R1621" s="10" t="s">
        <v>10095</v>
      </c>
      <c r="S1621" s="11" t="s">
        <v>10096</v>
      </c>
      <c r="T1621" s="6"/>
      <c r="U1621" s="24" t="str">
        <f>HYPERLINK("https://media.infra-m.ru/2102/2102172/cover/2102172.jpg", "Обложка")</f>
        <v>Обложка</v>
      </c>
      <c r="V1621" s="24" t="str">
        <f>HYPERLINK("https://znanium.ru/catalog/product/2102172", "Ознакомиться")</f>
        <v>Ознакомиться</v>
      </c>
      <c r="W1621" s="8" t="s">
        <v>83</v>
      </c>
      <c r="X1621" s="6"/>
      <c r="Y1621" s="6"/>
      <c r="Z1621" s="6"/>
      <c r="AA1621" s="6" t="s">
        <v>95</v>
      </c>
      <c r="AB1621" s="8"/>
    </row>
    <row r="1622" spans="1:28" s="4" customFormat="1" ht="51.95" customHeight="1">
      <c r="A1622" s="5">
        <v>0</v>
      </c>
      <c r="B1622" s="6" t="s">
        <v>10097</v>
      </c>
      <c r="C1622" s="7">
        <v>860</v>
      </c>
      <c r="D1622" s="8" t="s">
        <v>10098</v>
      </c>
      <c r="E1622" s="8" t="s">
        <v>10099</v>
      </c>
      <c r="F1622" s="8" t="s">
        <v>10093</v>
      </c>
      <c r="G1622" s="6" t="s">
        <v>89</v>
      </c>
      <c r="H1622" s="6" t="s">
        <v>77</v>
      </c>
      <c r="I1622" s="8"/>
      <c r="J1622" s="9">
        <v>1</v>
      </c>
      <c r="K1622" s="9">
        <v>253</v>
      </c>
      <c r="L1622" s="9">
        <v>2020</v>
      </c>
      <c r="M1622" s="8" t="s">
        <v>10100</v>
      </c>
      <c r="N1622" s="8" t="s">
        <v>41</v>
      </c>
      <c r="O1622" s="8" t="s">
        <v>118</v>
      </c>
      <c r="P1622" s="6" t="s">
        <v>43</v>
      </c>
      <c r="Q1622" s="8" t="s">
        <v>44</v>
      </c>
      <c r="R1622" s="10" t="s">
        <v>10095</v>
      </c>
      <c r="S1622" s="11" t="s">
        <v>10101</v>
      </c>
      <c r="T1622" s="6"/>
      <c r="U1622" s="24" t="str">
        <f>HYPERLINK("https://media.infra-m.ru/1039/1039158/cover/1039158.jpg", "Обложка")</f>
        <v>Обложка</v>
      </c>
      <c r="V1622" s="24" t="str">
        <f>HYPERLINK("https://znanium.ru/catalog/product/2102172", "Ознакомиться")</f>
        <v>Ознакомиться</v>
      </c>
      <c r="W1622" s="8" t="s">
        <v>83</v>
      </c>
      <c r="X1622" s="6"/>
      <c r="Y1622" s="6"/>
      <c r="Z1622" s="6"/>
      <c r="AA1622" s="6" t="s">
        <v>84</v>
      </c>
      <c r="AB1622" s="8"/>
    </row>
    <row r="1623" spans="1:28" s="4" customFormat="1" ht="51.95" customHeight="1">
      <c r="A1623" s="5">
        <v>0</v>
      </c>
      <c r="B1623" s="6" t="s">
        <v>10102</v>
      </c>
      <c r="C1623" s="13">
        <v>1180</v>
      </c>
      <c r="D1623" s="8" t="s">
        <v>10103</v>
      </c>
      <c r="E1623" s="8" t="s">
        <v>10092</v>
      </c>
      <c r="F1623" s="8" t="s">
        <v>10093</v>
      </c>
      <c r="G1623" s="6" t="s">
        <v>89</v>
      </c>
      <c r="H1623" s="6" t="s">
        <v>53</v>
      </c>
      <c r="I1623" s="8" t="s">
        <v>100</v>
      </c>
      <c r="J1623" s="9">
        <v>1</v>
      </c>
      <c r="K1623" s="9">
        <v>259</v>
      </c>
      <c r="L1623" s="9">
        <v>2023</v>
      </c>
      <c r="M1623" s="8" t="s">
        <v>10104</v>
      </c>
      <c r="N1623" s="8" t="s">
        <v>41</v>
      </c>
      <c r="O1623" s="8" t="s">
        <v>118</v>
      </c>
      <c r="P1623" s="6" t="s">
        <v>43</v>
      </c>
      <c r="Q1623" s="8" t="s">
        <v>102</v>
      </c>
      <c r="R1623" s="10" t="s">
        <v>10105</v>
      </c>
      <c r="S1623" s="11" t="s">
        <v>10106</v>
      </c>
      <c r="T1623" s="6"/>
      <c r="U1623" s="24" t="str">
        <f>HYPERLINK("https://media.infra-m.ru/2015/2015306/cover/2015306.jpg", "Обложка")</f>
        <v>Обложка</v>
      </c>
      <c r="V1623" s="24" t="str">
        <f>HYPERLINK("https://znanium.ru/catalog/product/2015306", "Ознакомиться")</f>
        <v>Ознакомиться</v>
      </c>
      <c r="W1623" s="8" t="s">
        <v>83</v>
      </c>
      <c r="X1623" s="6"/>
      <c r="Y1623" s="6"/>
      <c r="Z1623" s="6" t="s">
        <v>104</v>
      </c>
      <c r="AA1623" s="6" t="s">
        <v>513</v>
      </c>
      <c r="AB1623" s="8"/>
    </row>
    <row r="1624" spans="1:28" s="4" customFormat="1" ht="42" customHeight="1">
      <c r="A1624" s="5">
        <v>0</v>
      </c>
      <c r="B1624" s="6" t="s">
        <v>10107</v>
      </c>
      <c r="C1624" s="13">
        <v>1394.9</v>
      </c>
      <c r="D1624" s="8" t="s">
        <v>10108</v>
      </c>
      <c r="E1624" s="8" t="s">
        <v>10109</v>
      </c>
      <c r="F1624" s="8" t="s">
        <v>10110</v>
      </c>
      <c r="G1624" s="6" t="s">
        <v>52</v>
      </c>
      <c r="H1624" s="6" t="s">
        <v>674</v>
      </c>
      <c r="I1624" s="8"/>
      <c r="J1624" s="9">
        <v>1</v>
      </c>
      <c r="K1624" s="9">
        <v>608</v>
      </c>
      <c r="L1624" s="9">
        <v>2017</v>
      </c>
      <c r="M1624" s="8" t="s">
        <v>10111</v>
      </c>
      <c r="N1624" s="8" t="s">
        <v>41</v>
      </c>
      <c r="O1624" s="8" t="s">
        <v>676</v>
      </c>
      <c r="P1624" s="6" t="s">
        <v>167</v>
      </c>
      <c r="Q1624" s="8" t="s">
        <v>44</v>
      </c>
      <c r="R1624" s="10" t="s">
        <v>969</v>
      </c>
      <c r="S1624" s="11"/>
      <c r="T1624" s="6"/>
      <c r="U1624" s="24" t="str">
        <f>HYPERLINK("https://media.infra-m.ru/0947/0947780/cover/947780.jpg", "Обложка")</f>
        <v>Обложка</v>
      </c>
      <c r="V1624" s="24" t="str">
        <f>HYPERLINK("https://znanium.ru/catalog/product/2152074", "Ознакомиться")</f>
        <v>Ознакомиться</v>
      </c>
      <c r="W1624" s="8"/>
      <c r="X1624" s="6"/>
      <c r="Y1624" s="6"/>
      <c r="Z1624" s="6"/>
      <c r="AA1624" s="6" t="s">
        <v>244</v>
      </c>
      <c r="AB1624" s="8"/>
    </row>
    <row r="1625" spans="1:28" s="4" customFormat="1" ht="51.95" customHeight="1">
      <c r="A1625" s="5">
        <v>0</v>
      </c>
      <c r="B1625" s="6" t="s">
        <v>10112</v>
      </c>
      <c r="C1625" s="7">
        <v>870</v>
      </c>
      <c r="D1625" s="8" t="s">
        <v>10113</v>
      </c>
      <c r="E1625" s="8" t="s">
        <v>10114</v>
      </c>
      <c r="F1625" s="8" t="s">
        <v>10115</v>
      </c>
      <c r="G1625" s="6" t="s">
        <v>38</v>
      </c>
      <c r="H1625" s="6" t="s">
        <v>77</v>
      </c>
      <c r="I1625" s="8"/>
      <c r="J1625" s="9">
        <v>1</v>
      </c>
      <c r="K1625" s="9">
        <v>176</v>
      </c>
      <c r="L1625" s="9">
        <v>2024</v>
      </c>
      <c r="M1625" s="8" t="s">
        <v>10116</v>
      </c>
      <c r="N1625" s="8" t="s">
        <v>41</v>
      </c>
      <c r="O1625" s="8" t="s">
        <v>118</v>
      </c>
      <c r="P1625" s="6" t="s">
        <v>43</v>
      </c>
      <c r="Q1625" s="8" t="s">
        <v>279</v>
      </c>
      <c r="R1625" s="10" t="s">
        <v>10117</v>
      </c>
      <c r="S1625" s="11"/>
      <c r="T1625" s="6"/>
      <c r="U1625" s="24" t="str">
        <f>HYPERLINK("https://media.infra-m.ru/2087/2087270/cover/2087270.jpg", "Обложка")</f>
        <v>Обложка</v>
      </c>
      <c r="V1625" s="24" t="str">
        <f>HYPERLINK("https://znanium.ru/catalog/product/2087270", "Ознакомиться")</f>
        <v>Ознакомиться</v>
      </c>
      <c r="W1625" s="8" t="s">
        <v>10118</v>
      </c>
      <c r="X1625" s="6"/>
      <c r="Y1625" s="6"/>
      <c r="Z1625" s="6"/>
      <c r="AA1625" s="6" t="s">
        <v>418</v>
      </c>
      <c r="AB1625" s="8"/>
    </row>
    <row r="1626" spans="1:28" s="4" customFormat="1" ht="51.95" customHeight="1">
      <c r="A1626" s="5">
        <v>0</v>
      </c>
      <c r="B1626" s="6" t="s">
        <v>10119</v>
      </c>
      <c r="C1626" s="13">
        <v>1284</v>
      </c>
      <c r="D1626" s="8" t="s">
        <v>10120</v>
      </c>
      <c r="E1626" s="8" t="s">
        <v>10121</v>
      </c>
      <c r="F1626" s="8" t="s">
        <v>10122</v>
      </c>
      <c r="G1626" s="6" t="s">
        <v>52</v>
      </c>
      <c r="H1626" s="6" t="s">
        <v>184</v>
      </c>
      <c r="I1626" s="8" t="s">
        <v>276</v>
      </c>
      <c r="J1626" s="9">
        <v>1</v>
      </c>
      <c r="K1626" s="9">
        <v>247</v>
      </c>
      <c r="L1626" s="9">
        <v>2025</v>
      </c>
      <c r="M1626" s="8" t="s">
        <v>10123</v>
      </c>
      <c r="N1626" s="8" t="s">
        <v>41</v>
      </c>
      <c r="O1626" s="8" t="s">
        <v>278</v>
      </c>
      <c r="P1626" s="6" t="s">
        <v>43</v>
      </c>
      <c r="Q1626" s="8" t="s">
        <v>279</v>
      </c>
      <c r="R1626" s="10" t="s">
        <v>10124</v>
      </c>
      <c r="S1626" s="11" t="s">
        <v>10125</v>
      </c>
      <c r="T1626" s="6"/>
      <c r="U1626" s="24" t="str">
        <f>HYPERLINK("https://media.infra-m.ru/2179/2179065/cover/2179065.jpg", "Обложка")</f>
        <v>Обложка</v>
      </c>
      <c r="V1626" s="24" t="str">
        <f>HYPERLINK("https://znanium.ru/catalog/product/1852185", "Ознакомиться")</f>
        <v>Ознакомиться</v>
      </c>
      <c r="W1626" s="8" t="s">
        <v>10126</v>
      </c>
      <c r="X1626" s="6"/>
      <c r="Y1626" s="6"/>
      <c r="Z1626" s="6"/>
      <c r="AA1626" s="6" t="s">
        <v>418</v>
      </c>
      <c r="AB1626" s="8"/>
    </row>
    <row r="1627" spans="1:28" s="4" customFormat="1" ht="51.95" customHeight="1">
      <c r="A1627" s="5">
        <v>0</v>
      </c>
      <c r="B1627" s="6" t="s">
        <v>10127</v>
      </c>
      <c r="C1627" s="13">
        <v>1424</v>
      </c>
      <c r="D1627" s="8" t="s">
        <v>10128</v>
      </c>
      <c r="E1627" s="8" t="s">
        <v>10129</v>
      </c>
      <c r="F1627" s="8" t="s">
        <v>10130</v>
      </c>
      <c r="G1627" s="6" t="s">
        <v>52</v>
      </c>
      <c r="H1627" s="6" t="s">
        <v>53</v>
      </c>
      <c r="I1627" s="8" t="s">
        <v>6796</v>
      </c>
      <c r="J1627" s="9">
        <v>1</v>
      </c>
      <c r="K1627" s="9">
        <v>268</v>
      </c>
      <c r="L1627" s="9">
        <v>2025</v>
      </c>
      <c r="M1627" s="8" t="s">
        <v>10131</v>
      </c>
      <c r="N1627" s="8" t="s">
        <v>41</v>
      </c>
      <c r="O1627" s="8" t="s">
        <v>42</v>
      </c>
      <c r="P1627" s="6" t="s">
        <v>43</v>
      </c>
      <c r="Q1627" s="8" t="s">
        <v>279</v>
      </c>
      <c r="R1627" s="10" t="s">
        <v>10132</v>
      </c>
      <c r="S1627" s="11" t="s">
        <v>10133</v>
      </c>
      <c r="T1627" s="6"/>
      <c r="U1627" s="24" t="str">
        <f>HYPERLINK("https://media.infra-m.ru/2199/2199797/cover/2199797.jpg", "Обложка")</f>
        <v>Обложка</v>
      </c>
      <c r="V1627" s="12"/>
      <c r="W1627" s="8" t="s">
        <v>784</v>
      </c>
      <c r="X1627" s="6"/>
      <c r="Y1627" s="6"/>
      <c r="Z1627" s="6"/>
      <c r="AA1627" s="6" t="s">
        <v>151</v>
      </c>
      <c r="AB1627" s="8"/>
    </row>
    <row r="1628" spans="1:28" s="4" customFormat="1" ht="51.95" customHeight="1">
      <c r="A1628" s="5">
        <v>0</v>
      </c>
      <c r="B1628" s="6" t="s">
        <v>10134</v>
      </c>
      <c r="C1628" s="7">
        <v>550</v>
      </c>
      <c r="D1628" s="8" t="s">
        <v>10135</v>
      </c>
      <c r="E1628" s="8" t="s">
        <v>10136</v>
      </c>
      <c r="F1628" s="8" t="s">
        <v>9730</v>
      </c>
      <c r="G1628" s="6" t="s">
        <v>38</v>
      </c>
      <c r="H1628" s="6" t="s">
        <v>53</v>
      </c>
      <c r="I1628" s="8" t="s">
        <v>116</v>
      </c>
      <c r="J1628" s="9">
        <v>1</v>
      </c>
      <c r="K1628" s="9">
        <v>116</v>
      </c>
      <c r="L1628" s="9">
        <v>2024</v>
      </c>
      <c r="M1628" s="8" t="s">
        <v>10137</v>
      </c>
      <c r="N1628" s="8" t="s">
        <v>41</v>
      </c>
      <c r="O1628" s="8" t="s">
        <v>118</v>
      </c>
      <c r="P1628" s="6" t="s">
        <v>43</v>
      </c>
      <c r="Q1628" s="8" t="s">
        <v>58</v>
      </c>
      <c r="R1628" s="10" t="s">
        <v>10138</v>
      </c>
      <c r="S1628" s="11" t="s">
        <v>10139</v>
      </c>
      <c r="T1628" s="6"/>
      <c r="U1628" s="24" t="str">
        <f>HYPERLINK("https://media.infra-m.ru/2048/2048141/cover/2048141.jpg", "Обложка")</f>
        <v>Обложка</v>
      </c>
      <c r="V1628" s="24" t="str">
        <f>HYPERLINK("https://znanium.ru/catalog/product/2048141", "Ознакомиться")</f>
        <v>Ознакомиться</v>
      </c>
      <c r="W1628" s="8" t="s">
        <v>8621</v>
      </c>
      <c r="X1628" s="6"/>
      <c r="Y1628" s="6"/>
      <c r="Z1628" s="6"/>
      <c r="AA1628" s="6" t="s">
        <v>326</v>
      </c>
      <c r="AB1628" s="8"/>
    </row>
    <row r="1629" spans="1:28" s="4" customFormat="1" ht="51.95" customHeight="1">
      <c r="A1629" s="5">
        <v>0</v>
      </c>
      <c r="B1629" s="6" t="s">
        <v>10140</v>
      </c>
      <c r="C1629" s="13">
        <v>1660</v>
      </c>
      <c r="D1629" s="8" t="s">
        <v>10141</v>
      </c>
      <c r="E1629" s="8" t="s">
        <v>10142</v>
      </c>
      <c r="F1629" s="8" t="s">
        <v>9730</v>
      </c>
      <c r="G1629" s="6" t="s">
        <v>89</v>
      </c>
      <c r="H1629" s="6" t="s">
        <v>53</v>
      </c>
      <c r="I1629" s="8" t="s">
        <v>90</v>
      </c>
      <c r="J1629" s="9">
        <v>1</v>
      </c>
      <c r="K1629" s="9">
        <v>368</v>
      </c>
      <c r="L1629" s="9">
        <v>2023</v>
      </c>
      <c r="M1629" s="8" t="s">
        <v>10143</v>
      </c>
      <c r="N1629" s="8" t="s">
        <v>41</v>
      </c>
      <c r="O1629" s="8" t="s">
        <v>118</v>
      </c>
      <c r="P1629" s="6" t="s">
        <v>167</v>
      </c>
      <c r="Q1629" s="8" t="s">
        <v>44</v>
      </c>
      <c r="R1629" s="10" t="s">
        <v>10144</v>
      </c>
      <c r="S1629" s="11" t="s">
        <v>10145</v>
      </c>
      <c r="T1629" s="6"/>
      <c r="U1629" s="24" t="str">
        <f>HYPERLINK("https://media.infra-m.ru/1959/1959266/cover/1959266.jpg", "Обложка")</f>
        <v>Обложка</v>
      </c>
      <c r="V1629" s="24" t="str">
        <f>HYPERLINK("https://znanium.ru/catalog/product/1959266", "Ознакомиться")</f>
        <v>Ознакомиться</v>
      </c>
      <c r="W1629" s="8" t="s">
        <v>8621</v>
      </c>
      <c r="X1629" s="6"/>
      <c r="Y1629" s="6"/>
      <c r="Z1629" s="6"/>
      <c r="AA1629" s="6" t="s">
        <v>793</v>
      </c>
      <c r="AB1629" s="8"/>
    </row>
    <row r="1630" spans="1:28" s="4" customFormat="1" ht="51.95" customHeight="1">
      <c r="A1630" s="5">
        <v>0</v>
      </c>
      <c r="B1630" s="6" t="s">
        <v>10146</v>
      </c>
      <c r="C1630" s="7">
        <v>220</v>
      </c>
      <c r="D1630" s="8" t="s">
        <v>10147</v>
      </c>
      <c r="E1630" s="8" t="s">
        <v>10148</v>
      </c>
      <c r="F1630" s="8" t="s">
        <v>9730</v>
      </c>
      <c r="G1630" s="6" t="s">
        <v>38</v>
      </c>
      <c r="H1630" s="6" t="s">
        <v>53</v>
      </c>
      <c r="I1630" s="8" t="s">
        <v>90</v>
      </c>
      <c r="J1630" s="9">
        <v>1</v>
      </c>
      <c r="K1630" s="9">
        <v>73</v>
      </c>
      <c r="L1630" s="9">
        <v>2017</v>
      </c>
      <c r="M1630" s="8" t="s">
        <v>10149</v>
      </c>
      <c r="N1630" s="8" t="s">
        <v>41</v>
      </c>
      <c r="O1630" s="8" t="s">
        <v>118</v>
      </c>
      <c r="P1630" s="6" t="s">
        <v>43</v>
      </c>
      <c r="Q1630" s="8" t="s">
        <v>44</v>
      </c>
      <c r="R1630" s="10" t="s">
        <v>10138</v>
      </c>
      <c r="S1630" s="11" t="s">
        <v>10150</v>
      </c>
      <c r="T1630" s="6"/>
      <c r="U1630" s="24" t="str">
        <f>HYPERLINK("https://media.infra-m.ru/0752/0752507/cover/752507.jpg", "Обложка")</f>
        <v>Обложка</v>
      </c>
      <c r="V1630" s="24" t="str">
        <f>HYPERLINK("https://znanium.ru/catalog/product/2048141", "Ознакомиться")</f>
        <v>Ознакомиться</v>
      </c>
      <c r="W1630" s="8" t="s">
        <v>8621</v>
      </c>
      <c r="X1630" s="6"/>
      <c r="Y1630" s="6"/>
      <c r="Z1630" s="6"/>
      <c r="AA1630" s="6" t="s">
        <v>418</v>
      </c>
      <c r="AB1630" s="8"/>
    </row>
    <row r="1631" spans="1:28" s="4" customFormat="1" ht="51.95" customHeight="1">
      <c r="A1631" s="5">
        <v>0</v>
      </c>
      <c r="B1631" s="6" t="s">
        <v>10151</v>
      </c>
      <c r="C1631" s="13">
        <v>1280</v>
      </c>
      <c r="D1631" s="8" t="s">
        <v>10152</v>
      </c>
      <c r="E1631" s="8" t="s">
        <v>10153</v>
      </c>
      <c r="F1631" s="8" t="s">
        <v>10154</v>
      </c>
      <c r="G1631" s="6" t="s">
        <v>52</v>
      </c>
      <c r="H1631" s="6" t="s">
        <v>53</v>
      </c>
      <c r="I1631" s="8"/>
      <c r="J1631" s="9">
        <v>1</v>
      </c>
      <c r="K1631" s="9">
        <v>288</v>
      </c>
      <c r="L1631" s="9">
        <v>2019</v>
      </c>
      <c r="M1631" s="8" t="s">
        <v>10155</v>
      </c>
      <c r="N1631" s="8" t="s">
        <v>41</v>
      </c>
      <c r="O1631" s="8" t="s">
        <v>118</v>
      </c>
      <c r="P1631" s="6" t="s">
        <v>3155</v>
      </c>
      <c r="Q1631" s="8" t="s">
        <v>44</v>
      </c>
      <c r="R1631" s="10" t="s">
        <v>10156</v>
      </c>
      <c r="S1631" s="11"/>
      <c r="T1631" s="6"/>
      <c r="U1631" s="24" t="str">
        <f>HYPERLINK("https://media.infra-m.ru/1000/1000025/cover/1000025.jpg", "Обложка")</f>
        <v>Обложка</v>
      </c>
      <c r="V1631" s="24" t="str">
        <f>HYPERLINK("https://znanium.ru/catalog/product/2132497", "Ознакомиться")</f>
        <v>Ознакомиться</v>
      </c>
      <c r="W1631" s="8" t="s">
        <v>71</v>
      </c>
      <c r="X1631" s="6"/>
      <c r="Y1631" s="6"/>
      <c r="Z1631" s="6"/>
      <c r="AA1631" s="6" t="s">
        <v>1402</v>
      </c>
      <c r="AB1631" s="8"/>
    </row>
    <row r="1632" spans="1:28" s="4" customFormat="1" ht="51.95" customHeight="1">
      <c r="A1632" s="5">
        <v>0</v>
      </c>
      <c r="B1632" s="6" t="s">
        <v>10157</v>
      </c>
      <c r="C1632" s="13">
        <v>1742</v>
      </c>
      <c r="D1632" s="8" t="s">
        <v>10158</v>
      </c>
      <c r="E1632" s="8" t="s">
        <v>10159</v>
      </c>
      <c r="F1632" s="8" t="s">
        <v>10154</v>
      </c>
      <c r="G1632" s="6" t="s">
        <v>89</v>
      </c>
      <c r="H1632" s="6" t="s">
        <v>53</v>
      </c>
      <c r="I1632" s="8" t="s">
        <v>116</v>
      </c>
      <c r="J1632" s="9">
        <v>1</v>
      </c>
      <c r="K1632" s="9">
        <v>285</v>
      </c>
      <c r="L1632" s="9">
        <v>2024</v>
      </c>
      <c r="M1632" s="8" t="s">
        <v>10160</v>
      </c>
      <c r="N1632" s="8" t="s">
        <v>41</v>
      </c>
      <c r="O1632" s="8" t="s">
        <v>118</v>
      </c>
      <c r="P1632" s="6" t="s">
        <v>3155</v>
      </c>
      <c r="Q1632" s="8" t="s">
        <v>44</v>
      </c>
      <c r="R1632" s="10" t="s">
        <v>10156</v>
      </c>
      <c r="S1632" s="11"/>
      <c r="T1632" s="6"/>
      <c r="U1632" s="24" t="str">
        <f>HYPERLINK("https://media.infra-m.ru/2132/2132497/cover/2132497.jpg", "Обложка")</f>
        <v>Обложка</v>
      </c>
      <c r="V1632" s="24" t="str">
        <f>HYPERLINK("https://znanium.ru/catalog/product/2132497", "Ознакомиться")</f>
        <v>Ознакомиться</v>
      </c>
      <c r="W1632" s="8" t="s">
        <v>71</v>
      </c>
      <c r="X1632" s="6"/>
      <c r="Y1632" s="6"/>
      <c r="Z1632" s="6"/>
      <c r="AA1632" s="6" t="s">
        <v>10161</v>
      </c>
      <c r="AB1632" s="8"/>
    </row>
    <row r="1633" spans="1:28" s="4" customFormat="1" ht="51.95" customHeight="1">
      <c r="A1633" s="5">
        <v>0</v>
      </c>
      <c r="B1633" s="6" t="s">
        <v>10162</v>
      </c>
      <c r="C1633" s="13">
        <v>1624</v>
      </c>
      <c r="D1633" s="8" t="s">
        <v>10163</v>
      </c>
      <c r="E1633" s="8" t="s">
        <v>10164</v>
      </c>
      <c r="F1633" s="8" t="s">
        <v>10165</v>
      </c>
      <c r="G1633" s="6" t="s">
        <v>89</v>
      </c>
      <c r="H1633" s="6" t="s">
        <v>53</v>
      </c>
      <c r="I1633" s="8" t="s">
        <v>90</v>
      </c>
      <c r="J1633" s="9">
        <v>1</v>
      </c>
      <c r="K1633" s="9">
        <v>312</v>
      </c>
      <c r="L1633" s="9">
        <v>2025</v>
      </c>
      <c r="M1633" s="8" t="s">
        <v>10166</v>
      </c>
      <c r="N1633" s="8" t="s">
        <v>79</v>
      </c>
      <c r="O1633" s="8" t="s">
        <v>396</v>
      </c>
      <c r="P1633" s="6" t="s">
        <v>43</v>
      </c>
      <c r="Q1633" s="8" t="s">
        <v>44</v>
      </c>
      <c r="R1633" s="10" t="s">
        <v>10167</v>
      </c>
      <c r="S1633" s="11" t="s">
        <v>10168</v>
      </c>
      <c r="T1633" s="6"/>
      <c r="U1633" s="24" t="str">
        <f>HYPERLINK("https://media.infra-m.ru/2196/2196097/cover/2196097.jpg", "Обложка")</f>
        <v>Обложка</v>
      </c>
      <c r="V1633" s="24" t="str">
        <f>HYPERLINK("https://znanium.ru/catalog/product/1044485", "Ознакомиться")</f>
        <v>Ознакомиться</v>
      </c>
      <c r="W1633" s="8" t="s">
        <v>1514</v>
      </c>
      <c r="X1633" s="6"/>
      <c r="Y1633" s="6"/>
      <c r="Z1633" s="6"/>
      <c r="AA1633" s="6" t="s">
        <v>442</v>
      </c>
      <c r="AB1633" s="8"/>
    </row>
    <row r="1634" spans="1:28" s="4" customFormat="1" ht="51.95" customHeight="1">
      <c r="A1634" s="5">
        <v>0</v>
      </c>
      <c r="B1634" s="6" t="s">
        <v>10169</v>
      </c>
      <c r="C1634" s="13">
        <v>2724</v>
      </c>
      <c r="D1634" s="8" t="s">
        <v>10170</v>
      </c>
      <c r="E1634" s="8" t="s">
        <v>10171</v>
      </c>
      <c r="F1634" s="8" t="s">
        <v>8245</v>
      </c>
      <c r="G1634" s="6" t="s">
        <v>89</v>
      </c>
      <c r="H1634" s="6" t="s">
        <v>649</v>
      </c>
      <c r="I1634" s="8" t="s">
        <v>90</v>
      </c>
      <c r="J1634" s="9">
        <v>1</v>
      </c>
      <c r="K1634" s="9">
        <v>592</v>
      </c>
      <c r="L1634" s="9">
        <v>2024</v>
      </c>
      <c r="M1634" s="8" t="s">
        <v>10172</v>
      </c>
      <c r="N1634" s="8" t="s">
        <v>79</v>
      </c>
      <c r="O1634" s="8" t="s">
        <v>80</v>
      </c>
      <c r="P1634" s="6" t="s">
        <v>43</v>
      </c>
      <c r="Q1634" s="8" t="s">
        <v>44</v>
      </c>
      <c r="R1634" s="10" t="s">
        <v>10173</v>
      </c>
      <c r="S1634" s="11" t="s">
        <v>10174</v>
      </c>
      <c r="T1634" s="6"/>
      <c r="U1634" s="24" t="str">
        <f>HYPERLINK("https://media.infra-m.ru/2073/2073500/cover/2073500.jpg", "Обложка")</f>
        <v>Обложка</v>
      </c>
      <c r="V1634" s="24" t="str">
        <f>HYPERLINK("https://znanium.ru/catalog/product/1843022", "Ознакомиться")</f>
        <v>Ознакомиться</v>
      </c>
      <c r="W1634" s="8" t="s">
        <v>2216</v>
      </c>
      <c r="X1634" s="6"/>
      <c r="Y1634" s="6"/>
      <c r="Z1634" s="6"/>
      <c r="AA1634" s="6" t="s">
        <v>622</v>
      </c>
      <c r="AB1634" s="8"/>
    </row>
    <row r="1635" spans="1:28" s="4" customFormat="1" ht="44.1" customHeight="1">
      <c r="A1635" s="5">
        <v>0</v>
      </c>
      <c r="B1635" s="6" t="s">
        <v>10175</v>
      </c>
      <c r="C1635" s="13">
        <v>1700</v>
      </c>
      <c r="D1635" s="8" t="s">
        <v>10176</v>
      </c>
      <c r="E1635" s="8" t="s">
        <v>10177</v>
      </c>
      <c r="F1635" s="8" t="s">
        <v>10178</v>
      </c>
      <c r="G1635" s="6" t="s">
        <v>38</v>
      </c>
      <c r="H1635" s="6" t="s">
        <v>184</v>
      </c>
      <c r="I1635" s="8" t="s">
        <v>8618</v>
      </c>
      <c r="J1635" s="9">
        <v>1</v>
      </c>
      <c r="K1635" s="9">
        <v>111</v>
      </c>
      <c r="L1635" s="9">
        <v>2025</v>
      </c>
      <c r="M1635" s="8" t="s">
        <v>10179</v>
      </c>
      <c r="N1635" s="8" t="s">
        <v>79</v>
      </c>
      <c r="O1635" s="8" t="s">
        <v>174</v>
      </c>
      <c r="P1635" s="6" t="s">
        <v>43</v>
      </c>
      <c r="Q1635" s="8" t="s">
        <v>44</v>
      </c>
      <c r="R1635" s="10" t="s">
        <v>10180</v>
      </c>
      <c r="S1635" s="11"/>
      <c r="T1635" s="6"/>
      <c r="U1635" s="24" t="str">
        <f>HYPERLINK("https://media.infra-m.ru/2179/2179074/cover/2179074.jpg", "Обложка")</f>
        <v>Обложка</v>
      </c>
      <c r="V1635" s="24" t="str">
        <f>HYPERLINK("https://znanium.ru/catalog/product/2179074", "Ознакомиться")</f>
        <v>Ознакомиться</v>
      </c>
      <c r="W1635" s="8" t="s">
        <v>10181</v>
      </c>
      <c r="X1635" s="6"/>
      <c r="Y1635" s="6"/>
      <c r="Z1635" s="6"/>
      <c r="AA1635" s="6" t="s">
        <v>122</v>
      </c>
      <c r="AB1635" s="8"/>
    </row>
    <row r="1636" spans="1:28" s="4" customFormat="1" ht="51.95" customHeight="1">
      <c r="A1636" s="5">
        <v>0</v>
      </c>
      <c r="B1636" s="6" t="s">
        <v>10182</v>
      </c>
      <c r="C1636" s="13">
        <v>2640</v>
      </c>
      <c r="D1636" s="8" t="s">
        <v>10183</v>
      </c>
      <c r="E1636" s="8" t="s">
        <v>10184</v>
      </c>
      <c r="F1636" s="8" t="s">
        <v>1333</v>
      </c>
      <c r="G1636" s="6" t="s">
        <v>52</v>
      </c>
      <c r="H1636" s="6" t="s">
        <v>53</v>
      </c>
      <c r="I1636" s="8" t="s">
        <v>116</v>
      </c>
      <c r="J1636" s="9">
        <v>1</v>
      </c>
      <c r="K1636" s="9">
        <v>608</v>
      </c>
      <c r="L1636" s="9">
        <v>2025</v>
      </c>
      <c r="M1636" s="8" t="s">
        <v>10185</v>
      </c>
      <c r="N1636" s="8" t="s">
        <v>41</v>
      </c>
      <c r="O1636" s="8" t="s">
        <v>1007</v>
      </c>
      <c r="P1636" s="6" t="s">
        <v>167</v>
      </c>
      <c r="Q1636" s="8" t="s">
        <v>58</v>
      </c>
      <c r="R1636" s="10" t="s">
        <v>168</v>
      </c>
      <c r="S1636" s="11" t="s">
        <v>10186</v>
      </c>
      <c r="T1636" s="6"/>
      <c r="U1636" s="24" t="str">
        <f>HYPERLINK("https://media.infra-m.ru/2184/2184922/cover/2184922.jpg", "Обложка")</f>
        <v>Обложка</v>
      </c>
      <c r="V1636" s="24" t="str">
        <f>HYPERLINK("https://znanium.ru/catalog/product/2184922", "Ознакомиться")</f>
        <v>Ознакомиться</v>
      </c>
      <c r="W1636" s="8" t="s">
        <v>71</v>
      </c>
      <c r="X1636" s="6"/>
      <c r="Y1636" s="6"/>
      <c r="Z1636" s="6"/>
      <c r="AA1636" s="6" t="s">
        <v>5848</v>
      </c>
      <c r="AB1636" s="8"/>
    </row>
    <row r="1637" spans="1:28" s="4" customFormat="1" ht="51.95" customHeight="1">
      <c r="A1637" s="5">
        <v>0</v>
      </c>
      <c r="B1637" s="6" t="s">
        <v>10187</v>
      </c>
      <c r="C1637" s="13">
        <v>1300</v>
      </c>
      <c r="D1637" s="8" t="s">
        <v>10188</v>
      </c>
      <c r="E1637" s="8" t="s">
        <v>10189</v>
      </c>
      <c r="F1637" s="8" t="s">
        <v>10190</v>
      </c>
      <c r="G1637" s="6" t="s">
        <v>89</v>
      </c>
      <c r="H1637" s="6" t="s">
        <v>53</v>
      </c>
      <c r="I1637" s="8" t="s">
        <v>165</v>
      </c>
      <c r="J1637" s="9">
        <v>1</v>
      </c>
      <c r="K1637" s="9">
        <v>248</v>
      </c>
      <c r="L1637" s="9">
        <v>2025</v>
      </c>
      <c r="M1637" s="8" t="s">
        <v>10191</v>
      </c>
      <c r="N1637" s="8" t="s">
        <v>41</v>
      </c>
      <c r="O1637" s="8" t="s">
        <v>1007</v>
      </c>
      <c r="P1637" s="6" t="s">
        <v>167</v>
      </c>
      <c r="Q1637" s="8" t="s">
        <v>58</v>
      </c>
      <c r="R1637" s="10" t="s">
        <v>10192</v>
      </c>
      <c r="S1637" s="11"/>
      <c r="T1637" s="6"/>
      <c r="U1637" s="24" t="str">
        <f>HYPERLINK("https://media.infra-m.ru/2178/2178980/cover/2178980.jpg", "Обложка")</f>
        <v>Обложка</v>
      </c>
      <c r="V1637" s="24" t="str">
        <f>HYPERLINK("https://znanium.ru/catalog/product/2178980", "Ознакомиться")</f>
        <v>Ознакомиться</v>
      </c>
      <c r="W1637" s="8" t="s">
        <v>83</v>
      </c>
      <c r="X1637" s="6"/>
      <c r="Y1637" s="6"/>
      <c r="Z1637" s="6"/>
      <c r="AA1637" s="6" t="s">
        <v>61</v>
      </c>
      <c r="AB1637" s="8"/>
    </row>
    <row r="1638" spans="1:28" s="4" customFormat="1" ht="42" customHeight="1">
      <c r="A1638" s="5">
        <v>0</v>
      </c>
      <c r="B1638" s="6" t="s">
        <v>10193</v>
      </c>
      <c r="C1638" s="13">
        <v>1830</v>
      </c>
      <c r="D1638" s="8" t="s">
        <v>10194</v>
      </c>
      <c r="E1638" s="8" t="s">
        <v>10195</v>
      </c>
      <c r="F1638" s="8" t="s">
        <v>10196</v>
      </c>
      <c r="G1638" s="6" t="s">
        <v>52</v>
      </c>
      <c r="H1638" s="6" t="s">
        <v>952</v>
      </c>
      <c r="I1638" s="8"/>
      <c r="J1638" s="9">
        <v>1</v>
      </c>
      <c r="K1638" s="9">
        <v>392</v>
      </c>
      <c r="L1638" s="9">
        <v>2024</v>
      </c>
      <c r="M1638" s="8" t="s">
        <v>10197</v>
      </c>
      <c r="N1638" s="8" t="s">
        <v>41</v>
      </c>
      <c r="O1638" s="8" t="s">
        <v>1007</v>
      </c>
      <c r="P1638" s="6" t="s">
        <v>43</v>
      </c>
      <c r="Q1638" s="8" t="s">
        <v>58</v>
      </c>
      <c r="R1638" s="10" t="s">
        <v>10198</v>
      </c>
      <c r="S1638" s="11"/>
      <c r="T1638" s="6"/>
      <c r="U1638" s="24" t="str">
        <f>HYPERLINK("https://media.infra-m.ru/2129/2129963/cover/2129963.jpg", "Обложка")</f>
        <v>Обложка</v>
      </c>
      <c r="V1638" s="24" t="str">
        <f>HYPERLINK("https://znanium.ru/catalog/product/2129963", "Ознакомиться")</f>
        <v>Ознакомиться</v>
      </c>
      <c r="W1638" s="8" t="s">
        <v>2817</v>
      </c>
      <c r="X1638" s="6"/>
      <c r="Y1638" s="6"/>
      <c r="Z1638" s="6"/>
      <c r="AA1638" s="6" t="s">
        <v>133</v>
      </c>
      <c r="AB1638" s="8"/>
    </row>
    <row r="1639" spans="1:28" s="4" customFormat="1" ht="42" customHeight="1">
      <c r="A1639" s="5">
        <v>0</v>
      </c>
      <c r="B1639" s="6" t="s">
        <v>10199</v>
      </c>
      <c r="C1639" s="7">
        <v>740</v>
      </c>
      <c r="D1639" s="8" t="s">
        <v>10200</v>
      </c>
      <c r="E1639" s="8" t="s">
        <v>10201</v>
      </c>
      <c r="F1639" s="8" t="s">
        <v>10196</v>
      </c>
      <c r="G1639" s="6" t="s">
        <v>38</v>
      </c>
      <c r="H1639" s="6" t="s">
        <v>952</v>
      </c>
      <c r="I1639" s="8" t="s">
        <v>2699</v>
      </c>
      <c r="J1639" s="9">
        <v>1</v>
      </c>
      <c r="K1639" s="9">
        <v>248</v>
      </c>
      <c r="L1639" s="9">
        <v>2019</v>
      </c>
      <c r="M1639" s="8" t="s">
        <v>10202</v>
      </c>
      <c r="N1639" s="8" t="s">
        <v>41</v>
      </c>
      <c r="O1639" s="8" t="s">
        <v>1007</v>
      </c>
      <c r="P1639" s="6" t="s">
        <v>43</v>
      </c>
      <c r="Q1639" s="8" t="s">
        <v>279</v>
      </c>
      <c r="R1639" s="10" t="s">
        <v>1356</v>
      </c>
      <c r="S1639" s="11"/>
      <c r="T1639" s="6"/>
      <c r="U1639" s="24" t="str">
        <f>HYPERLINK("https://media.infra-m.ru/0989/0989779/cover/989779.jpg", "Обложка")</f>
        <v>Обложка</v>
      </c>
      <c r="V1639" s="24" t="str">
        <f>HYPERLINK("https://znanium.ru/catalog/product/989779", "Ознакомиться")</f>
        <v>Ознакомиться</v>
      </c>
      <c r="W1639" s="8" t="s">
        <v>2817</v>
      </c>
      <c r="X1639" s="6"/>
      <c r="Y1639" s="6"/>
      <c r="Z1639" s="6"/>
      <c r="AA1639" s="6" t="s">
        <v>418</v>
      </c>
      <c r="AB1639" s="8"/>
    </row>
    <row r="1640" spans="1:28" s="4" customFormat="1" ht="51.95" customHeight="1">
      <c r="A1640" s="5">
        <v>0</v>
      </c>
      <c r="B1640" s="6" t="s">
        <v>10203</v>
      </c>
      <c r="C1640" s="13">
        <v>2560</v>
      </c>
      <c r="D1640" s="8" t="s">
        <v>10204</v>
      </c>
      <c r="E1640" s="8" t="s">
        <v>10205</v>
      </c>
      <c r="F1640" s="8" t="s">
        <v>10206</v>
      </c>
      <c r="G1640" s="6" t="s">
        <v>52</v>
      </c>
      <c r="H1640" s="6" t="s">
        <v>53</v>
      </c>
      <c r="I1640" s="8" t="s">
        <v>116</v>
      </c>
      <c r="J1640" s="9">
        <v>1</v>
      </c>
      <c r="K1640" s="9">
        <v>509</v>
      </c>
      <c r="L1640" s="9">
        <v>2024</v>
      </c>
      <c r="M1640" s="8" t="s">
        <v>10207</v>
      </c>
      <c r="N1640" s="8" t="s">
        <v>41</v>
      </c>
      <c r="O1640" s="8" t="s">
        <v>118</v>
      </c>
      <c r="P1640" s="6" t="s">
        <v>43</v>
      </c>
      <c r="Q1640" s="8" t="s">
        <v>58</v>
      </c>
      <c r="R1640" s="10" t="s">
        <v>10208</v>
      </c>
      <c r="S1640" s="11"/>
      <c r="T1640" s="6"/>
      <c r="U1640" s="24" t="str">
        <f>HYPERLINK("https://media.infra-m.ru/2135/2135817/cover/2135817.jpg", "Обложка")</f>
        <v>Обложка</v>
      </c>
      <c r="V1640" s="24" t="str">
        <f>HYPERLINK("https://znanium.ru/catalog/product/2135817", "Ознакомиться")</f>
        <v>Ознакомиться</v>
      </c>
      <c r="W1640" s="8" t="s">
        <v>2915</v>
      </c>
      <c r="X1640" s="6" t="s">
        <v>1049</v>
      </c>
      <c r="Y1640" s="6"/>
      <c r="Z1640" s="6"/>
      <c r="AA1640" s="6" t="s">
        <v>105</v>
      </c>
      <c r="AB1640" s="8"/>
    </row>
    <row r="1641" spans="1:28" s="4" customFormat="1" ht="51.95" customHeight="1">
      <c r="A1641" s="5">
        <v>0</v>
      </c>
      <c r="B1641" s="6" t="s">
        <v>10209</v>
      </c>
      <c r="C1641" s="13">
        <v>1510</v>
      </c>
      <c r="D1641" s="8" t="s">
        <v>10210</v>
      </c>
      <c r="E1641" s="8" t="s">
        <v>10211</v>
      </c>
      <c r="F1641" s="8" t="s">
        <v>10212</v>
      </c>
      <c r="G1641" s="6" t="s">
        <v>89</v>
      </c>
      <c r="H1641" s="6" t="s">
        <v>39</v>
      </c>
      <c r="I1641" s="8" t="s">
        <v>90</v>
      </c>
      <c r="J1641" s="9">
        <v>1</v>
      </c>
      <c r="K1641" s="9">
        <v>336</v>
      </c>
      <c r="L1641" s="9">
        <v>2021</v>
      </c>
      <c r="M1641" s="8" t="s">
        <v>10213</v>
      </c>
      <c r="N1641" s="8" t="s">
        <v>41</v>
      </c>
      <c r="O1641" s="8" t="s">
        <v>1007</v>
      </c>
      <c r="P1641" s="6" t="s">
        <v>43</v>
      </c>
      <c r="Q1641" s="8" t="s">
        <v>44</v>
      </c>
      <c r="R1641" s="10" t="s">
        <v>10208</v>
      </c>
      <c r="S1641" s="11" t="s">
        <v>10214</v>
      </c>
      <c r="T1641" s="6"/>
      <c r="U1641" s="24" t="str">
        <f>HYPERLINK("https://media.infra-m.ru/1950/1950288/cover/1950288.jpg", "Обложка")</f>
        <v>Обложка</v>
      </c>
      <c r="V1641" s="24" t="str">
        <f>HYPERLINK("https://znanium.ru/catalog/product/2135817", "Ознакомиться")</f>
        <v>Ознакомиться</v>
      </c>
      <c r="W1641" s="8" t="s">
        <v>2915</v>
      </c>
      <c r="X1641" s="6"/>
      <c r="Y1641" s="6"/>
      <c r="Z1641" s="6"/>
      <c r="AA1641" s="6" t="s">
        <v>418</v>
      </c>
      <c r="AB1641" s="8"/>
    </row>
    <row r="1642" spans="1:28" s="4" customFormat="1" ht="51.95" customHeight="1">
      <c r="A1642" s="5">
        <v>0</v>
      </c>
      <c r="B1642" s="6" t="s">
        <v>10215</v>
      </c>
      <c r="C1642" s="13">
        <v>1270</v>
      </c>
      <c r="D1642" s="8" t="s">
        <v>10216</v>
      </c>
      <c r="E1642" s="8" t="s">
        <v>10217</v>
      </c>
      <c r="F1642" s="8" t="s">
        <v>10212</v>
      </c>
      <c r="G1642" s="6" t="s">
        <v>89</v>
      </c>
      <c r="H1642" s="6" t="s">
        <v>53</v>
      </c>
      <c r="I1642" s="8" t="s">
        <v>90</v>
      </c>
      <c r="J1642" s="9">
        <v>1</v>
      </c>
      <c r="K1642" s="9">
        <v>352</v>
      </c>
      <c r="L1642" s="9">
        <v>2021</v>
      </c>
      <c r="M1642" s="8" t="s">
        <v>10218</v>
      </c>
      <c r="N1642" s="8" t="s">
        <v>41</v>
      </c>
      <c r="O1642" s="8" t="s">
        <v>1007</v>
      </c>
      <c r="P1642" s="6" t="s">
        <v>43</v>
      </c>
      <c r="Q1642" s="8" t="s">
        <v>44</v>
      </c>
      <c r="R1642" s="10" t="s">
        <v>157</v>
      </c>
      <c r="S1642" s="11" t="s">
        <v>10219</v>
      </c>
      <c r="T1642" s="6"/>
      <c r="U1642" s="24" t="str">
        <f>HYPERLINK("https://media.infra-m.ru/1150/1150327/cover/1150327.jpg", "Обложка")</f>
        <v>Обложка</v>
      </c>
      <c r="V1642" s="24" t="str">
        <f>HYPERLINK("https://znanium.ru/catalog/product/1763708", "Ознакомиться")</f>
        <v>Ознакомиться</v>
      </c>
      <c r="W1642" s="8" t="s">
        <v>2915</v>
      </c>
      <c r="X1642" s="6"/>
      <c r="Y1642" s="6"/>
      <c r="Z1642" s="6"/>
      <c r="AA1642" s="6" t="s">
        <v>418</v>
      </c>
      <c r="AB1642" s="8"/>
    </row>
    <row r="1643" spans="1:28" s="4" customFormat="1" ht="42" customHeight="1">
      <c r="A1643" s="5">
        <v>0</v>
      </c>
      <c r="B1643" s="6" t="s">
        <v>10220</v>
      </c>
      <c r="C1643" s="13">
        <v>2280</v>
      </c>
      <c r="D1643" s="8" t="s">
        <v>10221</v>
      </c>
      <c r="E1643" s="8" t="s">
        <v>10222</v>
      </c>
      <c r="F1643" s="8" t="s">
        <v>10206</v>
      </c>
      <c r="G1643" s="6" t="s">
        <v>52</v>
      </c>
      <c r="H1643" s="6" t="s">
        <v>53</v>
      </c>
      <c r="I1643" s="8" t="s">
        <v>116</v>
      </c>
      <c r="J1643" s="9">
        <v>1</v>
      </c>
      <c r="K1643" s="9">
        <v>494</v>
      </c>
      <c r="L1643" s="9">
        <v>2024</v>
      </c>
      <c r="M1643" s="8" t="s">
        <v>10223</v>
      </c>
      <c r="N1643" s="8" t="s">
        <v>41</v>
      </c>
      <c r="O1643" s="8" t="s">
        <v>1007</v>
      </c>
      <c r="P1643" s="6" t="s">
        <v>43</v>
      </c>
      <c r="Q1643" s="8" t="s">
        <v>44</v>
      </c>
      <c r="R1643" s="10" t="s">
        <v>157</v>
      </c>
      <c r="S1643" s="11"/>
      <c r="T1643" s="6"/>
      <c r="U1643" s="24" t="str">
        <f>HYPERLINK("https://media.infra-m.ru/1763/1763708/cover/1763708.jpg", "Обложка")</f>
        <v>Обложка</v>
      </c>
      <c r="V1643" s="24" t="str">
        <f>HYPERLINK("https://znanium.ru/catalog/product/1763708", "Ознакомиться")</f>
        <v>Ознакомиться</v>
      </c>
      <c r="W1643" s="8" t="s">
        <v>2915</v>
      </c>
      <c r="X1643" s="6"/>
      <c r="Y1643" s="6"/>
      <c r="Z1643" s="6"/>
      <c r="AA1643" s="6" t="s">
        <v>105</v>
      </c>
      <c r="AB1643" s="8"/>
    </row>
    <row r="1644" spans="1:28" s="4" customFormat="1" ht="51.95" customHeight="1">
      <c r="A1644" s="5">
        <v>0</v>
      </c>
      <c r="B1644" s="6" t="s">
        <v>10224</v>
      </c>
      <c r="C1644" s="13">
        <v>1714</v>
      </c>
      <c r="D1644" s="8" t="s">
        <v>10225</v>
      </c>
      <c r="E1644" s="8" t="s">
        <v>10226</v>
      </c>
      <c r="F1644" s="8" t="s">
        <v>10227</v>
      </c>
      <c r="G1644" s="6" t="s">
        <v>89</v>
      </c>
      <c r="H1644" s="6" t="s">
        <v>53</v>
      </c>
      <c r="I1644" s="8" t="s">
        <v>90</v>
      </c>
      <c r="J1644" s="9">
        <v>1</v>
      </c>
      <c r="K1644" s="9">
        <v>336</v>
      </c>
      <c r="L1644" s="9">
        <v>2025</v>
      </c>
      <c r="M1644" s="8" t="s">
        <v>10228</v>
      </c>
      <c r="N1644" s="8" t="s">
        <v>41</v>
      </c>
      <c r="O1644" s="8" t="s">
        <v>1007</v>
      </c>
      <c r="P1644" s="6" t="s">
        <v>43</v>
      </c>
      <c r="Q1644" s="8" t="s">
        <v>44</v>
      </c>
      <c r="R1644" s="10" t="s">
        <v>1291</v>
      </c>
      <c r="S1644" s="11" t="s">
        <v>10229</v>
      </c>
      <c r="T1644" s="6" t="s">
        <v>299</v>
      </c>
      <c r="U1644" s="24" t="str">
        <f>HYPERLINK("https://media.infra-m.ru/2185/2185120/cover/2185120.jpg", "Обложка")</f>
        <v>Обложка</v>
      </c>
      <c r="V1644" s="24" t="str">
        <f>HYPERLINK("https://znanium.ru/catalog/product/2110484", "Ознакомиться")</f>
        <v>Ознакомиться</v>
      </c>
      <c r="W1644" s="8" t="s">
        <v>4161</v>
      </c>
      <c r="X1644" s="6"/>
      <c r="Y1644" s="6"/>
      <c r="Z1644" s="6"/>
      <c r="AA1644" s="6" t="s">
        <v>614</v>
      </c>
      <c r="AB1644" s="8"/>
    </row>
    <row r="1645" spans="1:28" s="4" customFormat="1" ht="51.95" customHeight="1">
      <c r="A1645" s="5">
        <v>0</v>
      </c>
      <c r="B1645" s="6" t="s">
        <v>10230</v>
      </c>
      <c r="C1645" s="13">
        <v>1254.9000000000001</v>
      </c>
      <c r="D1645" s="8" t="s">
        <v>10231</v>
      </c>
      <c r="E1645" s="8" t="s">
        <v>10232</v>
      </c>
      <c r="F1645" s="8" t="s">
        <v>10233</v>
      </c>
      <c r="G1645" s="6" t="s">
        <v>38</v>
      </c>
      <c r="H1645" s="6" t="s">
        <v>39</v>
      </c>
      <c r="I1645" s="8" t="s">
        <v>90</v>
      </c>
      <c r="J1645" s="9">
        <v>1</v>
      </c>
      <c r="K1645" s="9">
        <v>368</v>
      </c>
      <c r="L1645" s="9">
        <v>2020</v>
      </c>
      <c r="M1645" s="8" t="s">
        <v>10234</v>
      </c>
      <c r="N1645" s="8" t="s">
        <v>41</v>
      </c>
      <c r="O1645" s="8" t="s">
        <v>1007</v>
      </c>
      <c r="P1645" s="6" t="s">
        <v>43</v>
      </c>
      <c r="Q1645" s="8" t="s">
        <v>44</v>
      </c>
      <c r="R1645" s="10" t="s">
        <v>10235</v>
      </c>
      <c r="S1645" s="11" t="s">
        <v>10236</v>
      </c>
      <c r="T1645" s="6"/>
      <c r="U1645" s="24" t="str">
        <f>HYPERLINK("https://media.infra-m.ru/1088/1088342/cover/1088342.jpg", "Обложка")</f>
        <v>Обложка</v>
      </c>
      <c r="V1645" s="24" t="str">
        <f>HYPERLINK("https://znanium.ru/catalog/product/2098081", "Ознакомиться")</f>
        <v>Ознакомиться</v>
      </c>
      <c r="W1645" s="8" t="s">
        <v>83</v>
      </c>
      <c r="X1645" s="6"/>
      <c r="Y1645" s="6"/>
      <c r="Z1645" s="6"/>
      <c r="AA1645" s="6" t="s">
        <v>84</v>
      </c>
      <c r="AB1645" s="8"/>
    </row>
    <row r="1646" spans="1:28" s="4" customFormat="1" ht="51.95" customHeight="1">
      <c r="A1646" s="5">
        <v>0</v>
      </c>
      <c r="B1646" s="6" t="s">
        <v>10237</v>
      </c>
      <c r="C1646" s="13">
        <v>1844</v>
      </c>
      <c r="D1646" s="8" t="s">
        <v>10238</v>
      </c>
      <c r="E1646" s="8" t="s">
        <v>10239</v>
      </c>
      <c r="F1646" s="8" t="s">
        <v>10240</v>
      </c>
      <c r="G1646" s="6" t="s">
        <v>89</v>
      </c>
      <c r="H1646" s="6" t="s">
        <v>53</v>
      </c>
      <c r="I1646" s="8" t="s">
        <v>1223</v>
      </c>
      <c r="J1646" s="9">
        <v>1</v>
      </c>
      <c r="K1646" s="9">
        <v>368</v>
      </c>
      <c r="L1646" s="9">
        <v>2025</v>
      </c>
      <c r="M1646" s="8" t="s">
        <v>10241</v>
      </c>
      <c r="N1646" s="8" t="s">
        <v>41</v>
      </c>
      <c r="O1646" s="8" t="s">
        <v>1007</v>
      </c>
      <c r="P1646" s="6" t="s">
        <v>43</v>
      </c>
      <c r="Q1646" s="8" t="s">
        <v>44</v>
      </c>
      <c r="R1646" s="10" t="s">
        <v>10235</v>
      </c>
      <c r="S1646" s="11" t="s">
        <v>10236</v>
      </c>
      <c r="T1646" s="6"/>
      <c r="U1646" s="24" t="str">
        <f>HYPERLINK("https://media.infra-m.ru/2165/2165166/cover/2165166.jpg", "Обложка")</f>
        <v>Обложка</v>
      </c>
      <c r="V1646" s="24" t="str">
        <f>HYPERLINK("https://znanium.ru/catalog/product/2098081", "Ознакомиться")</f>
        <v>Ознакомиться</v>
      </c>
      <c r="W1646" s="8" t="s">
        <v>83</v>
      </c>
      <c r="X1646" s="6"/>
      <c r="Y1646" s="6"/>
      <c r="Z1646" s="6"/>
      <c r="AA1646" s="6" t="s">
        <v>95</v>
      </c>
      <c r="AB1646" s="8"/>
    </row>
    <row r="1647" spans="1:28" s="4" customFormat="1" ht="51.95" customHeight="1">
      <c r="A1647" s="5">
        <v>0</v>
      </c>
      <c r="B1647" s="6" t="s">
        <v>10242</v>
      </c>
      <c r="C1647" s="13">
        <v>1280</v>
      </c>
      <c r="D1647" s="8" t="s">
        <v>10243</v>
      </c>
      <c r="E1647" s="8" t="s">
        <v>10239</v>
      </c>
      <c r="F1647" s="8" t="s">
        <v>10240</v>
      </c>
      <c r="G1647" s="6" t="s">
        <v>89</v>
      </c>
      <c r="H1647" s="6" t="s">
        <v>53</v>
      </c>
      <c r="I1647" s="8" t="s">
        <v>100</v>
      </c>
      <c r="J1647" s="9">
        <v>1</v>
      </c>
      <c r="K1647" s="9">
        <v>316</v>
      </c>
      <c r="L1647" s="9">
        <v>2021</v>
      </c>
      <c r="M1647" s="8" t="s">
        <v>10244</v>
      </c>
      <c r="N1647" s="8" t="s">
        <v>41</v>
      </c>
      <c r="O1647" s="8" t="s">
        <v>1007</v>
      </c>
      <c r="P1647" s="6" t="s">
        <v>43</v>
      </c>
      <c r="Q1647" s="8" t="s">
        <v>102</v>
      </c>
      <c r="R1647" s="10" t="s">
        <v>1349</v>
      </c>
      <c r="S1647" s="11" t="s">
        <v>3726</v>
      </c>
      <c r="T1647" s="6"/>
      <c r="U1647" s="24" t="str">
        <f>HYPERLINK("https://media.infra-m.ru/1408/1408883/cover/1408883.jpg", "Обложка")</f>
        <v>Обложка</v>
      </c>
      <c r="V1647" s="24" t="str">
        <f>HYPERLINK("https://znanium.ru/catalog/product/1408883", "Ознакомиться")</f>
        <v>Ознакомиться</v>
      </c>
      <c r="W1647" s="8" t="s">
        <v>83</v>
      </c>
      <c r="X1647" s="6"/>
      <c r="Y1647" s="6"/>
      <c r="Z1647" s="6" t="s">
        <v>104</v>
      </c>
      <c r="AA1647" s="6" t="s">
        <v>95</v>
      </c>
      <c r="AB1647" s="8"/>
    </row>
    <row r="1648" spans="1:28" s="4" customFormat="1" ht="51.95" customHeight="1">
      <c r="A1648" s="5">
        <v>0</v>
      </c>
      <c r="B1648" s="6" t="s">
        <v>10245</v>
      </c>
      <c r="C1648" s="13">
        <v>1340</v>
      </c>
      <c r="D1648" s="8" t="s">
        <v>10246</v>
      </c>
      <c r="E1648" s="8" t="s">
        <v>10232</v>
      </c>
      <c r="F1648" s="8" t="s">
        <v>3515</v>
      </c>
      <c r="G1648" s="6" t="s">
        <v>89</v>
      </c>
      <c r="H1648" s="6" t="s">
        <v>53</v>
      </c>
      <c r="I1648" s="8" t="s">
        <v>100</v>
      </c>
      <c r="J1648" s="9">
        <v>1</v>
      </c>
      <c r="K1648" s="9">
        <v>352</v>
      </c>
      <c r="L1648" s="9">
        <v>2022</v>
      </c>
      <c r="M1648" s="8" t="s">
        <v>10247</v>
      </c>
      <c r="N1648" s="8" t="s">
        <v>41</v>
      </c>
      <c r="O1648" s="8" t="s">
        <v>1007</v>
      </c>
      <c r="P1648" s="6" t="s">
        <v>43</v>
      </c>
      <c r="Q1648" s="8" t="s">
        <v>102</v>
      </c>
      <c r="R1648" s="10" t="s">
        <v>10248</v>
      </c>
      <c r="S1648" s="11" t="s">
        <v>10249</v>
      </c>
      <c r="T1648" s="6"/>
      <c r="U1648" s="24" t="str">
        <f>HYPERLINK("https://media.infra-m.ru/1864/1864058/cover/1864058.jpg", "Обложка")</f>
        <v>Обложка</v>
      </c>
      <c r="V1648" s="24" t="str">
        <f>HYPERLINK("https://znanium.ru/catalog/product/1864058", "Ознакомиться")</f>
        <v>Ознакомиться</v>
      </c>
      <c r="W1648" s="8" t="s">
        <v>83</v>
      </c>
      <c r="X1648" s="6"/>
      <c r="Y1648" s="6"/>
      <c r="Z1648" s="6" t="s">
        <v>104</v>
      </c>
      <c r="AA1648" s="6" t="s">
        <v>235</v>
      </c>
      <c r="AB1648" s="8"/>
    </row>
    <row r="1649" spans="1:28" s="4" customFormat="1" ht="51.95" customHeight="1">
      <c r="A1649" s="5">
        <v>0</v>
      </c>
      <c r="B1649" s="6" t="s">
        <v>10250</v>
      </c>
      <c r="C1649" s="13">
        <v>1614</v>
      </c>
      <c r="D1649" s="8" t="s">
        <v>10251</v>
      </c>
      <c r="E1649" s="8" t="s">
        <v>10232</v>
      </c>
      <c r="F1649" s="8" t="s">
        <v>3515</v>
      </c>
      <c r="G1649" s="6" t="s">
        <v>89</v>
      </c>
      <c r="H1649" s="6" t="s">
        <v>39</v>
      </c>
      <c r="I1649" s="8" t="s">
        <v>90</v>
      </c>
      <c r="J1649" s="9">
        <v>1</v>
      </c>
      <c r="K1649" s="9">
        <v>352</v>
      </c>
      <c r="L1649" s="9">
        <v>2024</v>
      </c>
      <c r="M1649" s="8" t="s">
        <v>10252</v>
      </c>
      <c r="N1649" s="8" t="s">
        <v>41</v>
      </c>
      <c r="O1649" s="8" t="s">
        <v>1007</v>
      </c>
      <c r="P1649" s="6" t="s">
        <v>43</v>
      </c>
      <c r="Q1649" s="8" t="s">
        <v>44</v>
      </c>
      <c r="R1649" s="10" t="s">
        <v>10253</v>
      </c>
      <c r="S1649" s="11" t="s">
        <v>3518</v>
      </c>
      <c r="T1649" s="6"/>
      <c r="U1649" s="24" t="str">
        <f>HYPERLINK("https://media.infra-m.ru/2120/2120779/cover/2120779.jpg", "Обложка")</f>
        <v>Обложка</v>
      </c>
      <c r="V1649" s="24" t="str">
        <f>HYPERLINK("https://znanium.ru/catalog/product/2120779", "Ознакомиться")</f>
        <v>Ознакомиться</v>
      </c>
      <c r="W1649" s="8" t="s">
        <v>83</v>
      </c>
      <c r="X1649" s="6"/>
      <c r="Y1649" s="6"/>
      <c r="Z1649" s="6"/>
      <c r="AA1649" s="6" t="s">
        <v>418</v>
      </c>
      <c r="AB1649" s="8"/>
    </row>
    <row r="1650" spans="1:28" s="4" customFormat="1" ht="51.95" customHeight="1">
      <c r="A1650" s="5">
        <v>0</v>
      </c>
      <c r="B1650" s="6" t="s">
        <v>10254</v>
      </c>
      <c r="C1650" s="7">
        <v>630</v>
      </c>
      <c r="D1650" s="8" t="s">
        <v>10255</v>
      </c>
      <c r="E1650" s="8" t="s">
        <v>10256</v>
      </c>
      <c r="F1650" s="8" t="s">
        <v>10257</v>
      </c>
      <c r="G1650" s="6" t="s">
        <v>38</v>
      </c>
      <c r="H1650" s="6" t="s">
        <v>53</v>
      </c>
      <c r="I1650" s="8" t="s">
        <v>116</v>
      </c>
      <c r="J1650" s="9">
        <v>1</v>
      </c>
      <c r="K1650" s="9">
        <v>119</v>
      </c>
      <c r="L1650" s="9">
        <v>2025</v>
      </c>
      <c r="M1650" s="8" t="s">
        <v>10258</v>
      </c>
      <c r="N1650" s="8" t="s">
        <v>79</v>
      </c>
      <c r="O1650" s="8" t="s">
        <v>570</v>
      </c>
      <c r="P1650" s="6" t="s">
        <v>43</v>
      </c>
      <c r="Q1650" s="8" t="s">
        <v>214</v>
      </c>
      <c r="R1650" s="10" t="s">
        <v>10259</v>
      </c>
      <c r="S1650" s="11" t="s">
        <v>10260</v>
      </c>
      <c r="T1650" s="6"/>
      <c r="U1650" s="24" t="str">
        <f>HYPERLINK("https://media.infra-m.ru/2188/2188150/cover/2188150.jpg", "Обложка")</f>
        <v>Обложка</v>
      </c>
      <c r="V1650" s="24" t="str">
        <f>HYPERLINK("https://znanium.ru/catalog/product/2188150", "Ознакомиться")</f>
        <v>Ознакомиться</v>
      </c>
      <c r="W1650" s="8" t="s">
        <v>6503</v>
      </c>
      <c r="X1650" s="6"/>
      <c r="Y1650" s="6"/>
      <c r="Z1650" s="6"/>
      <c r="AA1650" s="6" t="s">
        <v>793</v>
      </c>
      <c r="AB1650" s="8"/>
    </row>
    <row r="1651" spans="1:28" s="4" customFormat="1" ht="51.95" customHeight="1">
      <c r="A1651" s="5">
        <v>0</v>
      </c>
      <c r="B1651" s="6" t="s">
        <v>10261</v>
      </c>
      <c r="C1651" s="13">
        <v>2054</v>
      </c>
      <c r="D1651" s="8" t="s">
        <v>10262</v>
      </c>
      <c r="E1651" s="8" t="s">
        <v>10263</v>
      </c>
      <c r="F1651" s="8" t="s">
        <v>5829</v>
      </c>
      <c r="G1651" s="6" t="s">
        <v>52</v>
      </c>
      <c r="H1651" s="6" t="s">
        <v>39</v>
      </c>
      <c r="I1651" s="8" t="s">
        <v>90</v>
      </c>
      <c r="J1651" s="9">
        <v>8</v>
      </c>
      <c r="K1651" s="9">
        <v>304</v>
      </c>
      <c r="L1651" s="9">
        <v>2025</v>
      </c>
      <c r="M1651" s="8" t="s">
        <v>10264</v>
      </c>
      <c r="N1651" s="8" t="s">
        <v>56</v>
      </c>
      <c r="O1651" s="8" t="s">
        <v>2183</v>
      </c>
      <c r="P1651" s="6" t="s">
        <v>43</v>
      </c>
      <c r="Q1651" s="8" t="s">
        <v>44</v>
      </c>
      <c r="R1651" s="10" t="s">
        <v>10265</v>
      </c>
      <c r="S1651" s="11"/>
      <c r="T1651" s="6"/>
      <c r="U1651" s="24" t="str">
        <f>HYPERLINK("https://media.infra-m.ru/2163/2163211/cover/2163211.jpg", "Обложка")</f>
        <v>Обложка</v>
      </c>
      <c r="V1651" s="24" t="str">
        <f>HYPERLINK("https://znanium.ru/catalog/product/2162416", "Ознакомиться")</f>
        <v>Ознакомиться</v>
      </c>
      <c r="W1651" s="8" t="s">
        <v>5825</v>
      </c>
      <c r="X1651" s="6"/>
      <c r="Y1651" s="6"/>
      <c r="Z1651" s="6"/>
      <c r="AA1651" s="6" t="s">
        <v>111</v>
      </c>
      <c r="AB1651" s="8"/>
    </row>
    <row r="1652" spans="1:28" s="4" customFormat="1" ht="51.95" customHeight="1">
      <c r="A1652" s="5">
        <v>0</v>
      </c>
      <c r="B1652" s="6" t="s">
        <v>10266</v>
      </c>
      <c r="C1652" s="13">
        <v>2052</v>
      </c>
      <c r="D1652" s="8" t="s">
        <v>10267</v>
      </c>
      <c r="E1652" s="8" t="s">
        <v>10263</v>
      </c>
      <c r="F1652" s="8" t="s">
        <v>5829</v>
      </c>
      <c r="G1652" s="6" t="s">
        <v>89</v>
      </c>
      <c r="H1652" s="6" t="s">
        <v>39</v>
      </c>
      <c r="I1652" s="8" t="s">
        <v>100</v>
      </c>
      <c r="J1652" s="9">
        <v>1</v>
      </c>
      <c r="K1652" s="9">
        <v>304</v>
      </c>
      <c r="L1652" s="9">
        <v>2025</v>
      </c>
      <c r="M1652" s="8" t="s">
        <v>10268</v>
      </c>
      <c r="N1652" s="8" t="s">
        <v>56</v>
      </c>
      <c r="O1652" s="8" t="s">
        <v>2183</v>
      </c>
      <c r="P1652" s="6" t="s">
        <v>43</v>
      </c>
      <c r="Q1652" s="8" t="s">
        <v>102</v>
      </c>
      <c r="R1652" s="10" t="s">
        <v>10269</v>
      </c>
      <c r="S1652" s="11" t="s">
        <v>10270</v>
      </c>
      <c r="T1652" s="6"/>
      <c r="U1652" s="24" t="str">
        <f>HYPERLINK("https://media.infra-m.ru/2192/2192593/cover/2192593.jpg", "Обложка")</f>
        <v>Обложка</v>
      </c>
      <c r="V1652" s="24" t="str">
        <f>HYPERLINK("https://znanium.ru/catalog/product/2192593", "Ознакомиться")</f>
        <v>Ознакомиться</v>
      </c>
      <c r="W1652" s="8" t="s">
        <v>5825</v>
      </c>
      <c r="X1652" s="6"/>
      <c r="Y1652" s="6"/>
      <c r="Z1652" s="6" t="s">
        <v>104</v>
      </c>
      <c r="AA1652" s="6" t="s">
        <v>258</v>
      </c>
      <c r="AB1652" s="8"/>
    </row>
    <row r="1653" spans="1:28" s="4" customFormat="1" ht="51.95" customHeight="1">
      <c r="A1653" s="5">
        <v>0</v>
      </c>
      <c r="B1653" s="6" t="s">
        <v>10271</v>
      </c>
      <c r="C1653" s="7">
        <v>890</v>
      </c>
      <c r="D1653" s="8" t="s">
        <v>10272</v>
      </c>
      <c r="E1653" s="8" t="s">
        <v>10273</v>
      </c>
      <c r="F1653" s="8" t="s">
        <v>9040</v>
      </c>
      <c r="G1653" s="6" t="s">
        <v>89</v>
      </c>
      <c r="H1653" s="6" t="s">
        <v>53</v>
      </c>
      <c r="I1653" s="8" t="s">
        <v>116</v>
      </c>
      <c r="J1653" s="9">
        <v>1</v>
      </c>
      <c r="K1653" s="9">
        <v>178</v>
      </c>
      <c r="L1653" s="9">
        <v>2025</v>
      </c>
      <c r="M1653" s="8" t="s">
        <v>10274</v>
      </c>
      <c r="N1653" s="8" t="s">
        <v>79</v>
      </c>
      <c r="O1653" s="8" t="s">
        <v>396</v>
      </c>
      <c r="P1653" s="6" t="s">
        <v>167</v>
      </c>
      <c r="Q1653" s="8" t="s">
        <v>44</v>
      </c>
      <c r="R1653" s="10" t="s">
        <v>10275</v>
      </c>
      <c r="S1653" s="11" t="s">
        <v>10276</v>
      </c>
      <c r="T1653" s="6"/>
      <c r="U1653" s="24" t="str">
        <f>HYPERLINK("https://media.infra-m.ru/2163/2163197/cover/2163197.jpg", "Обложка")</f>
        <v>Обложка</v>
      </c>
      <c r="V1653" s="24" t="str">
        <f>HYPERLINK("https://znanium.ru/catalog/product/1974382", "Ознакомиться")</f>
        <v>Ознакомиться</v>
      </c>
      <c r="W1653" s="8" t="s">
        <v>9044</v>
      </c>
      <c r="X1653" s="6"/>
      <c r="Y1653" s="6"/>
      <c r="Z1653" s="6"/>
      <c r="AA1653" s="6" t="s">
        <v>1259</v>
      </c>
      <c r="AB1653" s="8"/>
    </row>
    <row r="1654" spans="1:28" s="4" customFormat="1" ht="51.95" customHeight="1">
      <c r="A1654" s="5">
        <v>0</v>
      </c>
      <c r="B1654" s="6" t="s">
        <v>10277</v>
      </c>
      <c r="C1654" s="7">
        <v>920</v>
      </c>
      <c r="D1654" s="8" t="s">
        <v>10278</v>
      </c>
      <c r="E1654" s="8" t="s">
        <v>10273</v>
      </c>
      <c r="F1654" s="8" t="s">
        <v>9040</v>
      </c>
      <c r="G1654" s="6" t="s">
        <v>89</v>
      </c>
      <c r="H1654" s="6" t="s">
        <v>53</v>
      </c>
      <c r="I1654" s="8" t="s">
        <v>100</v>
      </c>
      <c r="J1654" s="9">
        <v>1</v>
      </c>
      <c r="K1654" s="9">
        <v>178</v>
      </c>
      <c r="L1654" s="9">
        <v>2025</v>
      </c>
      <c r="M1654" s="8" t="s">
        <v>10279</v>
      </c>
      <c r="N1654" s="8" t="s">
        <v>79</v>
      </c>
      <c r="O1654" s="8" t="s">
        <v>396</v>
      </c>
      <c r="P1654" s="6" t="s">
        <v>167</v>
      </c>
      <c r="Q1654" s="8" t="s">
        <v>102</v>
      </c>
      <c r="R1654" s="10" t="s">
        <v>10280</v>
      </c>
      <c r="S1654" s="11" t="s">
        <v>10281</v>
      </c>
      <c r="T1654" s="6"/>
      <c r="U1654" s="24" t="str">
        <f>HYPERLINK("https://media.infra-m.ru/2184/2184890/cover/2184890.jpg", "Обложка")</f>
        <v>Обложка</v>
      </c>
      <c r="V1654" s="24" t="str">
        <f>HYPERLINK("https://znanium.ru/catalog/product/2184890", "Ознакомиться")</f>
        <v>Ознакомиться</v>
      </c>
      <c r="W1654" s="8" t="s">
        <v>9044</v>
      </c>
      <c r="X1654" s="6"/>
      <c r="Y1654" s="6"/>
      <c r="Z1654" s="6" t="s">
        <v>104</v>
      </c>
      <c r="AA1654" s="6" t="s">
        <v>95</v>
      </c>
      <c r="AB1654" s="8"/>
    </row>
    <row r="1655" spans="1:28" s="4" customFormat="1" ht="42" customHeight="1">
      <c r="A1655" s="5">
        <v>0</v>
      </c>
      <c r="B1655" s="6" t="s">
        <v>10282</v>
      </c>
      <c r="C1655" s="7">
        <v>790</v>
      </c>
      <c r="D1655" s="8" t="s">
        <v>10283</v>
      </c>
      <c r="E1655" s="8" t="s">
        <v>10284</v>
      </c>
      <c r="F1655" s="8" t="s">
        <v>10285</v>
      </c>
      <c r="G1655" s="6" t="s">
        <v>52</v>
      </c>
      <c r="H1655" s="6" t="s">
        <v>53</v>
      </c>
      <c r="I1655" s="8" t="s">
        <v>782</v>
      </c>
      <c r="J1655" s="9">
        <v>1</v>
      </c>
      <c r="K1655" s="9">
        <v>132</v>
      </c>
      <c r="L1655" s="9">
        <v>2025</v>
      </c>
      <c r="M1655" s="8" t="s">
        <v>10286</v>
      </c>
      <c r="N1655" s="8" t="s">
        <v>79</v>
      </c>
      <c r="O1655" s="8" t="s">
        <v>537</v>
      </c>
      <c r="P1655" s="6" t="s">
        <v>43</v>
      </c>
      <c r="Q1655" s="8" t="s">
        <v>58</v>
      </c>
      <c r="R1655" s="10" t="s">
        <v>10287</v>
      </c>
      <c r="S1655" s="11"/>
      <c r="T1655" s="6"/>
      <c r="U1655" s="24" t="str">
        <f>HYPERLINK("https://media.infra-m.ru/2162/2162072/cover/2162072.jpg", "Обложка")</f>
        <v>Обложка</v>
      </c>
      <c r="V1655" s="12"/>
      <c r="W1655" s="8" t="s">
        <v>784</v>
      </c>
      <c r="X1655" s="6" t="s">
        <v>1049</v>
      </c>
      <c r="Y1655" s="6"/>
      <c r="Z1655" s="6"/>
      <c r="AA1655" s="6" t="s">
        <v>61</v>
      </c>
      <c r="AB1655" s="8"/>
    </row>
    <row r="1656" spans="1:28" s="4" customFormat="1" ht="51.95" customHeight="1">
      <c r="A1656" s="5">
        <v>0</v>
      </c>
      <c r="B1656" s="6" t="s">
        <v>10288</v>
      </c>
      <c r="C1656" s="13">
        <v>2300</v>
      </c>
      <c r="D1656" s="8" t="s">
        <v>10289</v>
      </c>
      <c r="E1656" s="8" t="s">
        <v>10290</v>
      </c>
      <c r="F1656" s="8" t="s">
        <v>164</v>
      </c>
      <c r="G1656" s="6" t="s">
        <v>52</v>
      </c>
      <c r="H1656" s="6" t="s">
        <v>53</v>
      </c>
      <c r="I1656" s="8" t="s">
        <v>165</v>
      </c>
      <c r="J1656" s="9">
        <v>1</v>
      </c>
      <c r="K1656" s="9">
        <v>460</v>
      </c>
      <c r="L1656" s="9">
        <v>2024</v>
      </c>
      <c r="M1656" s="8" t="s">
        <v>10291</v>
      </c>
      <c r="N1656" s="8" t="s">
        <v>56</v>
      </c>
      <c r="O1656" s="8" t="s">
        <v>57</v>
      </c>
      <c r="P1656" s="6" t="s">
        <v>167</v>
      </c>
      <c r="Q1656" s="8" t="s">
        <v>58</v>
      </c>
      <c r="R1656" s="10" t="s">
        <v>2546</v>
      </c>
      <c r="S1656" s="11"/>
      <c r="T1656" s="6"/>
      <c r="U1656" s="24" t="str">
        <f>HYPERLINK("https://media.infra-m.ru/2160/2160769/cover/2160769.jpg", "Обложка")</f>
        <v>Обложка</v>
      </c>
      <c r="V1656" s="24" t="str">
        <f>HYPERLINK("https://znanium.ru/catalog/product/2160769", "Ознакомиться")</f>
        <v>Ознакомиться</v>
      </c>
      <c r="W1656" s="8" t="s">
        <v>83</v>
      </c>
      <c r="X1656" s="6"/>
      <c r="Y1656" s="6"/>
      <c r="Z1656" s="6"/>
      <c r="AA1656" s="6" t="s">
        <v>133</v>
      </c>
      <c r="AB1656" s="8"/>
    </row>
    <row r="1657" spans="1:28" s="4" customFormat="1" ht="51.95" customHeight="1">
      <c r="A1657" s="5">
        <v>0</v>
      </c>
      <c r="B1657" s="6" t="s">
        <v>10292</v>
      </c>
      <c r="C1657" s="13">
        <v>1494.9</v>
      </c>
      <c r="D1657" s="8" t="s">
        <v>10293</v>
      </c>
      <c r="E1657" s="8" t="s">
        <v>10294</v>
      </c>
      <c r="F1657" s="8" t="s">
        <v>10295</v>
      </c>
      <c r="G1657" s="6" t="s">
        <v>52</v>
      </c>
      <c r="H1657" s="6" t="s">
        <v>39</v>
      </c>
      <c r="I1657" s="8" t="s">
        <v>116</v>
      </c>
      <c r="J1657" s="9">
        <v>1</v>
      </c>
      <c r="K1657" s="9">
        <v>640</v>
      </c>
      <c r="L1657" s="9">
        <v>2018</v>
      </c>
      <c r="M1657" s="8" t="s">
        <v>10296</v>
      </c>
      <c r="N1657" s="8" t="s">
        <v>79</v>
      </c>
      <c r="O1657" s="8" t="s">
        <v>174</v>
      </c>
      <c r="P1657" s="6" t="s">
        <v>43</v>
      </c>
      <c r="Q1657" s="8" t="s">
        <v>214</v>
      </c>
      <c r="R1657" s="10" t="s">
        <v>10297</v>
      </c>
      <c r="S1657" s="11" t="s">
        <v>10298</v>
      </c>
      <c r="T1657" s="6"/>
      <c r="U1657" s="12"/>
      <c r="V1657" s="24" t="str">
        <f>HYPERLINK("https://znanium.ru/catalog/product/1900379", "Ознакомиться")</f>
        <v>Ознакомиться</v>
      </c>
      <c r="W1657" s="8" t="s">
        <v>10299</v>
      </c>
      <c r="X1657" s="6"/>
      <c r="Y1657" s="6"/>
      <c r="Z1657" s="6"/>
      <c r="AA1657" s="6" t="s">
        <v>244</v>
      </c>
      <c r="AB1657" s="8"/>
    </row>
    <row r="1658" spans="1:28" s="4" customFormat="1" ht="51.95" customHeight="1">
      <c r="A1658" s="5">
        <v>0</v>
      </c>
      <c r="B1658" s="6" t="s">
        <v>10300</v>
      </c>
      <c r="C1658" s="13">
        <v>2084</v>
      </c>
      <c r="D1658" s="8" t="s">
        <v>10301</v>
      </c>
      <c r="E1658" s="8" t="s">
        <v>10302</v>
      </c>
      <c r="F1658" s="8" t="s">
        <v>10303</v>
      </c>
      <c r="G1658" s="6" t="s">
        <v>89</v>
      </c>
      <c r="H1658" s="6" t="s">
        <v>649</v>
      </c>
      <c r="I1658" s="8" t="s">
        <v>100</v>
      </c>
      <c r="J1658" s="9">
        <v>1</v>
      </c>
      <c r="K1658" s="9">
        <v>400</v>
      </c>
      <c r="L1658" s="9">
        <v>2025</v>
      </c>
      <c r="M1658" s="8" t="s">
        <v>10304</v>
      </c>
      <c r="N1658" s="8" t="s">
        <v>79</v>
      </c>
      <c r="O1658" s="8" t="s">
        <v>80</v>
      </c>
      <c r="P1658" s="6" t="s">
        <v>43</v>
      </c>
      <c r="Q1658" s="8" t="s">
        <v>102</v>
      </c>
      <c r="R1658" s="10" t="s">
        <v>10305</v>
      </c>
      <c r="S1658" s="11" t="s">
        <v>10306</v>
      </c>
      <c r="T1658" s="6" t="s">
        <v>299</v>
      </c>
      <c r="U1658" s="24" t="str">
        <f>HYPERLINK("https://media.infra-m.ru/2201/2201172/cover/2201172.jpg", "Обложка")</f>
        <v>Обложка</v>
      </c>
      <c r="V1658" s="24" t="str">
        <f>HYPERLINK("https://znanium.ru/catalog/product/1905248", "Ознакомиться")</f>
        <v>Ознакомиться</v>
      </c>
      <c r="W1658" s="8" t="s">
        <v>10307</v>
      </c>
      <c r="X1658" s="6"/>
      <c r="Y1658" s="6"/>
      <c r="Z1658" s="6" t="s">
        <v>104</v>
      </c>
      <c r="AA1658" s="6" t="s">
        <v>151</v>
      </c>
      <c r="AB1658" s="8" t="s">
        <v>906</v>
      </c>
    </row>
    <row r="1659" spans="1:28" s="4" customFormat="1" ht="51.95" customHeight="1">
      <c r="A1659" s="5">
        <v>0</v>
      </c>
      <c r="B1659" s="6" t="s">
        <v>10308</v>
      </c>
      <c r="C1659" s="13">
        <v>1994</v>
      </c>
      <c r="D1659" s="8" t="s">
        <v>10309</v>
      </c>
      <c r="E1659" s="8" t="s">
        <v>10302</v>
      </c>
      <c r="F1659" s="8" t="s">
        <v>10303</v>
      </c>
      <c r="G1659" s="6" t="s">
        <v>89</v>
      </c>
      <c r="H1659" s="6" t="s">
        <v>649</v>
      </c>
      <c r="I1659" s="8" t="s">
        <v>90</v>
      </c>
      <c r="J1659" s="9">
        <v>1</v>
      </c>
      <c r="K1659" s="9">
        <v>400</v>
      </c>
      <c r="L1659" s="9">
        <v>2025</v>
      </c>
      <c r="M1659" s="8" t="s">
        <v>10310</v>
      </c>
      <c r="N1659" s="8" t="s">
        <v>79</v>
      </c>
      <c r="O1659" s="8" t="s">
        <v>80</v>
      </c>
      <c r="P1659" s="6" t="s">
        <v>43</v>
      </c>
      <c r="Q1659" s="8" t="s">
        <v>44</v>
      </c>
      <c r="R1659" s="10" t="s">
        <v>10311</v>
      </c>
      <c r="S1659" s="11" t="s">
        <v>10312</v>
      </c>
      <c r="T1659" s="6" t="s">
        <v>299</v>
      </c>
      <c r="U1659" s="24" t="str">
        <f>HYPERLINK("https://media.infra-m.ru/2179/2179847/cover/2179847.jpg", "Обложка")</f>
        <v>Обложка</v>
      </c>
      <c r="V1659" s="24" t="str">
        <f>HYPERLINK("https://znanium.ru/catalog/product/2111907", "Ознакомиться")</f>
        <v>Ознакомиться</v>
      </c>
      <c r="W1659" s="8" t="s">
        <v>10307</v>
      </c>
      <c r="X1659" s="6"/>
      <c r="Y1659" s="6"/>
      <c r="Z1659" s="6"/>
      <c r="AA1659" s="6" t="s">
        <v>84</v>
      </c>
      <c r="AB1659" s="8"/>
    </row>
    <row r="1660" spans="1:28" s="4" customFormat="1" ht="51.95" customHeight="1">
      <c r="A1660" s="5">
        <v>0</v>
      </c>
      <c r="B1660" s="6" t="s">
        <v>10313</v>
      </c>
      <c r="C1660" s="13">
        <v>1174.9000000000001</v>
      </c>
      <c r="D1660" s="8" t="s">
        <v>10314</v>
      </c>
      <c r="E1660" s="8" t="s">
        <v>10315</v>
      </c>
      <c r="F1660" s="8" t="s">
        <v>10316</v>
      </c>
      <c r="G1660" s="6" t="s">
        <v>52</v>
      </c>
      <c r="H1660" s="6" t="s">
        <v>184</v>
      </c>
      <c r="I1660" s="8" t="s">
        <v>185</v>
      </c>
      <c r="J1660" s="9">
        <v>1</v>
      </c>
      <c r="K1660" s="9">
        <v>261</v>
      </c>
      <c r="L1660" s="9">
        <v>2023</v>
      </c>
      <c r="M1660" s="8" t="s">
        <v>10317</v>
      </c>
      <c r="N1660" s="8" t="s">
        <v>413</v>
      </c>
      <c r="O1660" s="8" t="s">
        <v>1141</v>
      </c>
      <c r="P1660" s="6" t="s">
        <v>43</v>
      </c>
      <c r="Q1660" s="8" t="s">
        <v>44</v>
      </c>
      <c r="R1660" s="10" t="s">
        <v>10318</v>
      </c>
      <c r="S1660" s="11"/>
      <c r="T1660" s="6"/>
      <c r="U1660" s="24" t="str">
        <f>HYPERLINK("https://media.infra-m.ru/1062/1062008/cover/1062008.jpg", "Обложка")</f>
        <v>Обложка</v>
      </c>
      <c r="V1660" s="24" t="str">
        <f>HYPERLINK("https://znanium.ru/catalog/product/926480", "Ознакомиться")</f>
        <v>Ознакомиться</v>
      </c>
      <c r="W1660" s="8" t="s">
        <v>399</v>
      </c>
      <c r="X1660" s="6"/>
      <c r="Y1660" s="6"/>
      <c r="Z1660" s="6"/>
      <c r="AA1660" s="6" t="s">
        <v>418</v>
      </c>
      <c r="AB1660" s="8"/>
    </row>
    <row r="1661" spans="1:28" s="4" customFormat="1" ht="51.95" customHeight="1">
      <c r="A1661" s="5">
        <v>0</v>
      </c>
      <c r="B1661" s="6" t="s">
        <v>10319</v>
      </c>
      <c r="C1661" s="13">
        <v>2244</v>
      </c>
      <c r="D1661" s="8" t="s">
        <v>10320</v>
      </c>
      <c r="E1661" s="8" t="s">
        <v>10321</v>
      </c>
      <c r="F1661" s="8" t="s">
        <v>10322</v>
      </c>
      <c r="G1661" s="6" t="s">
        <v>38</v>
      </c>
      <c r="H1661" s="6" t="s">
        <v>53</v>
      </c>
      <c r="I1661" s="8" t="s">
        <v>116</v>
      </c>
      <c r="J1661" s="9">
        <v>1</v>
      </c>
      <c r="K1661" s="9">
        <v>449</v>
      </c>
      <c r="L1661" s="9">
        <v>2025</v>
      </c>
      <c r="M1661" s="8" t="s">
        <v>10323</v>
      </c>
      <c r="N1661" s="8" t="s">
        <v>413</v>
      </c>
      <c r="O1661" s="8" t="s">
        <v>414</v>
      </c>
      <c r="P1661" s="6" t="s">
        <v>43</v>
      </c>
      <c r="Q1661" s="8" t="s">
        <v>58</v>
      </c>
      <c r="R1661" s="10" t="s">
        <v>10324</v>
      </c>
      <c r="S1661" s="11" t="s">
        <v>10325</v>
      </c>
      <c r="T1661" s="6"/>
      <c r="U1661" s="24" t="str">
        <f>HYPERLINK("https://media.infra-m.ru/2188/2188721/cover/2188721.jpg", "Обложка")</f>
        <v>Обложка</v>
      </c>
      <c r="V1661" s="24" t="str">
        <f>HYPERLINK("https://znanium.ru/catalog/product/2020516", "Ознакомиться")</f>
        <v>Ознакомиться</v>
      </c>
      <c r="W1661" s="8" t="s">
        <v>10326</v>
      </c>
      <c r="X1661" s="6"/>
      <c r="Y1661" s="6"/>
      <c r="Z1661" s="6"/>
      <c r="AA1661" s="6" t="s">
        <v>622</v>
      </c>
      <c r="AB1661" s="8"/>
    </row>
    <row r="1662" spans="1:28" s="4" customFormat="1" ht="51.95" customHeight="1">
      <c r="A1662" s="5">
        <v>0</v>
      </c>
      <c r="B1662" s="6" t="s">
        <v>10327</v>
      </c>
      <c r="C1662" s="13">
        <v>2444</v>
      </c>
      <c r="D1662" s="8" t="s">
        <v>10328</v>
      </c>
      <c r="E1662" s="8" t="s">
        <v>10329</v>
      </c>
      <c r="F1662" s="8" t="s">
        <v>10330</v>
      </c>
      <c r="G1662" s="6" t="s">
        <v>52</v>
      </c>
      <c r="H1662" s="6" t="s">
        <v>53</v>
      </c>
      <c r="I1662" s="8" t="s">
        <v>90</v>
      </c>
      <c r="J1662" s="9">
        <v>1</v>
      </c>
      <c r="K1662" s="9">
        <v>470</v>
      </c>
      <c r="L1662" s="9">
        <v>2025</v>
      </c>
      <c r="M1662" s="8" t="s">
        <v>10331</v>
      </c>
      <c r="N1662" s="8" t="s">
        <v>79</v>
      </c>
      <c r="O1662" s="8" t="s">
        <v>174</v>
      </c>
      <c r="P1662" s="6" t="s">
        <v>43</v>
      </c>
      <c r="Q1662" s="8" t="s">
        <v>44</v>
      </c>
      <c r="R1662" s="10" t="s">
        <v>10297</v>
      </c>
      <c r="S1662" s="11" t="s">
        <v>10332</v>
      </c>
      <c r="T1662" s="6"/>
      <c r="U1662" s="24" t="str">
        <f>HYPERLINK("https://media.infra-m.ru/2196/2196861/cover/2196861.jpg", "Обложка")</f>
        <v>Обложка</v>
      </c>
      <c r="V1662" s="24" t="str">
        <f>HYPERLINK("https://znanium.ru/catalog/product/1900379", "Ознакомиться")</f>
        <v>Ознакомиться</v>
      </c>
      <c r="W1662" s="8" t="s">
        <v>10299</v>
      </c>
      <c r="X1662" s="6"/>
      <c r="Y1662" s="6"/>
      <c r="Z1662" s="6"/>
      <c r="AA1662" s="6" t="s">
        <v>5034</v>
      </c>
      <c r="AB1662" s="8"/>
    </row>
    <row r="1663" spans="1:28" s="4" customFormat="1" ht="51.95" customHeight="1">
      <c r="A1663" s="5">
        <v>0</v>
      </c>
      <c r="B1663" s="6" t="s">
        <v>10333</v>
      </c>
      <c r="C1663" s="7">
        <v>670</v>
      </c>
      <c r="D1663" s="8" t="s">
        <v>10334</v>
      </c>
      <c r="E1663" s="8" t="s">
        <v>10335</v>
      </c>
      <c r="F1663" s="8" t="s">
        <v>10336</v>
      </c>
      <c r="G1663" s="6" t="s">
        <v>89</v>
      </c>
      <c r="H1663" s="6" t="s">
        <v>53</v>
      </c>
      <c r="I1663" s="8" t="s">
        <v>276</v>
      </c>
      <c r="J1663" s="9">
        <v>1</v>
      </c>
      <c r="K1663" s="9">
        <v>128</v>
      </c>
      <c r="L1663" s="9">
        <v>2024</v>
      </c>
      <c r="M1663" s="8" t="s">
        <v>10337</v>
      </c>
      <c r="N1663" s="8" t="s">
        <v>79</v>
      </c>
      <c r="O1663" s="8" t="s">
        <v>80</v>
      </c>
      <c r="P1663" s="6" t="s">
        <v>43</v>
      </c>
      <c r="Q1663" s="8" t="s">
        <v>279</v>
      </c>
      <c r="R1663" s="10" t="s">
        <v>10338</v>
      </c>
      <c r="S1663" s="11" t="s">
        <v>10339</v>
      </c>
      <c r="T1663" s="6" t="s">
        <v>299</v>
      </c>
      <c r="U1663" s="24" t="str">
        <f>HYPERLINK("https://media.infra-m.ru/2145/2145135/cover/2145135.jpg", "Обложка")</f>
        <v>Обложка</v>
      </c>
      <c r="V1663" s="24" t="str">
        <f>HYPERLINK("https://znanium.ru/catalog/product/2145135", "Ознакомиться")</f>
        <v>Ознакомиться</v>
      </c>
      <c r="W1663" s="8" t="s">
        <v>399</v>
      </c>
      <c r="X1663" s="6"/>
      <c r="Y1663" s="6"/>
      <c r="Z1663" s="6"/>
      <c r="AA1663" s="6" t="s">
        <v>151</v>
      </c>
      <c r="AB1663" s="8"/>
    </row>
    <row r="1664" spans="1:28" s="4" customFormat="1" ht="51.95" customHeight="1">
      <c r="A1664" s="5">
        <v>0</v>
      </c>
      <c r="B1664" s="6" t="s">
        <v>10340</v>
      </c>
      <c r="C1664" s="7">
        <v>667</v>
      </c>
      <c r="D1664" s="8" t="s">
        <v>10341</v>
      </c>
      <c r="E1664" s="8" t="s">
        <v>10342</v>
      </c>
      <c r="F1664" s="8" t="s">
        <v>10343</v>
      </c>
      <c r="G1664" s="6" t="s">
        <v>38</v>
      </c>
      <c r="H1664" s="6" t="s">
        <v>39</v>
      </c>
      <c r="I1664" s="8" t="s">
        <v>90</v>
      </c>
      <c r="J1664" s="9">
        <v>1</v>
      </c>
      <c r="K1664" s="9">
        <v>112</v>
      </c>
      <c r="L1664" s="9">
        <v>2023</v>
      </c>
      <c r="M1664" s="8" t="s">
        <v>10344</v>
      </c>
      <c r="N1664" s="8" t="s">
        <v>79</v>
      </c>
      <c r="O1664" s="8" t="s">
        <v>80</v>
      </c>
      <c r="P1664" s="6" t="s">
        <v>43</v>
      </c>
      <c r="Q1664" s="8" t="s">
        <v>44</v>
      </c>
      <c r="R1664" s="10" t="s">
        <v>10345</v>
      </c>
      <c r="S1664" s="11" t="s">
        <v>10346</v>
      </c>
      <c r="T1664" s="6"/>
      <c r="U1664" s="24" t="str">
        <f>HYPERLINK("https://media.infra-m.ru/2029/2029813/cover/2029813.jpg", "Обложка")</f>
        <v>Обложка</v>
      </c>
      <c r="V1664" s="24" t="str">
        <f>HYPERLINK("https://znanium.ru/catalog/product/1816814", "Ознакомиться")</f>
        <v>Ознакомиться</v>
      </c>
      <c r="W1664" s="8" t="s">
        <v>2536</v>
      </c>
      <c r="X1664" s="6"/>
      <c r="Y1664" s="6"/>
      <c r="Z1664" s="6"/>
      <c r="AA1664" s="6" t="s">
        <v>111</v>
      </c>
      <c r="AB1664" s="8"/>
    </row>
    <row r="1665" spans="1:28" s="4" customFormat="1" ht="51.95" customHeight="1">
      <c r="A1665" s="5">
        <v>0</v>
      </c>
      <c r="B1665" s="6" t="s">
        <v>10347</v>
      </c>
      <c r="C1665" s="13">
        <v>1300</v>
      </c>
      <c r="D1665" s="8" t="s">
        <v>10348</v>
      </c>
      <c r="E1665" s="8" t="s">
        <v>10349</v>
      </c>
      <c r="F1665" s="8" t="s">
        <v>10350</v>
      </c>
      <c r="G1665" s="6" t="s">
        <v>89</v>
      </c>
      <c r="H1665" s="6" t="s">
        <v>438</v>
      </c>
      <c r="I1665" s="8" t="s">
        <v>116</v>
      </c>
      <c r="J1665" s="9">
        <v>1</v>
      </c>
      <c r="K1665" s="9">
        <v>264</v>
      </c>
      <c r="L1665" s="9">
        <v>2024</v>
      </c>
      <c r="M1665" s="8" t="s">
        <v>10351</v>
      </c>
      <c r="N1665" s="8" t="s">
        <v>79</v>
      </c>
      <c r="O1665" s="8" t="s">
        <v>80</v>
      </c>
      <c r="P1665" s="6" t="s">
        <v>167</v>
      </c>
      <c r="Q1665" s="8" t="s">
        <v>44</v>
      </c>
      <c r="R1665" s="10" t="s">
        <v>10352</v>
      </c>
      <c r="S1665" s="11" t="s">
        <v>10353</v>
      </c>
      <c r="T1665" s="6"/>
      <c r="U1665" s="24" t="str">
        <f>HYPERLINK("https://media.infra-m.ru/2150/2150161/cover/2150161.jpg", "Обложка")</f>
        <v>Обложка</v>
      </c>
      <c r="V1665" s="24" t="str">
        <f>HYPERLINK("https://znanium.ru/catalog/product/1896364", "Ознакомиться")</f>
        <v>Ознакомиться</v>
      </c>
      <c r="W1665" s="8" t="s">
        <v>399</v>
      </c>
      <c r="X1665" s="6"/>
      <c r="Y1665" s="6"/>
      <c r="Z1665" s="6"/>
      <c r="AA1665" s="6" t="s">
        <v>442</v>
      </c>
      <c r="AB1665" s="8"/>
    </row>
    <row r="1666" spans="1:28" s="4" customFormat="1" ht="51.95" customHeight="1">
      <c r="A1666" s="5">
        <v>0</v>
      </c>
      <c r="B1666" s="6" t="s">
        <v>10354</v>
      </c>
      <c r="C1666" s="13">
        <v>1204</v>
      </c>
      <c r="D1666" s="8" t="s">
        <v>10355</v>
      </c>
      <c r="E1666" s="8" t="s">
        <v>10356</v>
      </c>
      <c r="F1666" s="8" t="s">
        <v>10357</v>
      </c>
      <c r="G1666" s="6" t="s">
        <v>52</v>
      </c>
      <c r="H1666" s="6" t="s">
        <v>53</v>
      </c>
      <c r="I1666" s="8" t="s">
        <v>90</v>
      </c>
      <c r="J1666" s="9">
        <v>1</v>
      </c>
      <c r="K1666" s="9">
        <v>240</v>
      </c>
      <c r="L1666" s="9">
        <v>2025</v>
      </c>
      <c r="M1666" s="8" t="s">
        <v>10358</v>
      </c>
      <c r="N1666" s="8" t="s">
        <v>79</v>
      </c>
      <c r="O1666" s="8" t="s">
        <v>80</v>
      </c>
      <c r="P1666" s="6" t="s">
        <v>43</v>
      </c>
      <c r="Q1666" s="8" t="s">
        <v>44</v>
      </c>
      <c r="R1666" s="10" t="s">
        <v>10359</v>
      </c>
      <c r="S1666" s="11" t="s">
        <v>10360</v>
      </c>
      <c r="T1666" s="6"/>
      <c r="U1666" s="24" t="str">
        <f>HYPERLINK("https://media.infra-m.ru/2179/2179855/cover/2179855.jpg", "Обложка")</f>
        <v>Обложка</v>
      </c>
      <c r="V1666" s="24" t="str">
        <f>HYPERLINK("https://znanium.ru/catalog/product/1078363", "Ознакомиться")</f>
        <v>Ознакомиться</v>
      </c>
      <c r="W1666" s="8" t="s">
        <v>1571</v>
      </c>
      <c r="X1666" s="6"/>
      <c r="Y1666" s="6"/>
      <c r="Z1666" s="6"/>
      <c r="AA1666" s="6" t="s">
        <v>111</v>
      </c>
      <c r="AB1666" s="8"/>
    </row>
    <row r="1667" spans="1:28" s="4" customFormat="1" ht="42" customHeight="1">
      <c r="A1667" s="5">
        <v>0</v>
      </c>
      <c r="B1667" s="6" t="s">
        <v>10361</v>
      </c>
      <c r="C1667" s="13">
        <v>1424</v>
      </c>
      <c r="D1667" s="8" t="s">
        <v>10362</v>
      </c>
      <c r="E1667" s="8" t="s">
        <v>10363</v>
      </c>
      <c r="F1667" s="8" t="s">
        <v>10364</v>
      </c>
      <c r="G1667" s="6" t="s">
        <v>52</v>
      </c>
      <c r="H1667" s="6" t="s">
        <v>53</v>
      </c>
      <c r="I1667" s="8" t="s">
        <v>116</v>
      </c>
      <c r="J1667" s="9">
        <v>1</v>
      </c>
      <c r="K1667" s="9">
        <v>295</v>
      </c>
      <c r="L1667" s="9">
        <v>2023</v>
      </c>
      <c r="M1667" s="8" t="s">
        <v>10365</v>
      </c>
      <c r="N1667" s="8" t="s">
        <v>413</v>
      </c>
      <c r="O1667" s="8" t="s">
        <v>1141</v>
      </c>
      <c r="P1667" s="6" t="s">
        <v>43</v>
      </c>
      <c r="Q1667" s="8" t="s">
        <v>44</v>
      </c>
      <c r="R1667" s="10" t="s">
        <v>10366</v>
      </c>
      <c r="S1667" s="11"/>
      <c r="T1667" s="6"/>
      <c r="U1667" s="24" t="str">
        <f>HYPERLINK("https://media.infra-m.ru/2138/2138949/cover/2138949.jpg", "Обложка")</f>
        <v>Обложка</v>
      </c>
      <c r="V1667" s="24" t="str">
        <f>HYPERLINK("https://znanium.ru/catalog/product/1912470", "Ознакомиться")</f>
        <v>Ознакомиться</v>
      </c>
      <c r="W1667" s="8" t="s">
        <v>10367</v>
      </c>
      <c r="X1667" s="6"/>
      <c r="Y1667" s="6"/>
      <c r="Z1667" s="6"/>
      <c r="AA1667" s="6" t="s">
        <v>207</v>
      </c>
      <c r="AB1667" s="8"/>
    </row>
    <row r="1668" spans="1:28" s="4" customFormat="1" ht="51.95" customHeight="1">
      <c r="A1668" s="5">
        <v>0</v>
      </c>
      <c r="B1668" s="6" t="s">
        <v>10368</v>
      </c>
      <c r="C1668" s="13">
        <v>2044</v>
      </c>
      <c r="D1668" s="8" t="s">
        <v>10369</v>
      </c>
      <c r="E1668" s="8" t="s">
        <v>10370</v>
      </c>
      <c r="F1668" s="8" t="s">
        <v>10371</v>
      </c>
      <c r="G1668" s="6" t="s">
        <v>52</v>
      </c>
      <c r="H1668" s="6" t="s">
        <v>53</v>
      </c>
      <c r="I1668" s="8" t="s">
        <v>100</v>
      </c>
      <c r="J1668" s="9">
        <v>1</v>
      </c>
      <c r="K1668" s="9">
        <v>455</v>
      </c>
      <c r="L1668" s="9">
        <v>2023</v>
      </c>
      <c r="M1668" s="8" t="s">
        <v>10372</v>
      </c>
      <c r="N1668" s="8" t="s">
        <v>79</v>
      </c>
      <c r="O1668" s="8" t="s">
        <v>396</v>
      </c>
      <c r="P1668" s="6" t="s">
        <v>43</v>
      </c>
      <c r="Q1668" s="8" t="s">
        <v>102</v>
      </c>
      <c r="R1668" s="10" t="s">
        <v>10373</v>
      </c>
      <c r="S1668" s="11" t="s">
        <v>10374</v>
      </c>
      <c r="T1668" s="6" t="s">
        <v>299</v>
      </c>
      <c r="U1668" s="24" t="str">
        <f>HYPERLINK("https://media.infra-m.ru/2030/2030855/cover/2030855.jpg", "Обложка")</f>
        <v>Обложка</v>
      </c>
      <c r="V1668" s="24" t="str">
        <f>HYPERLINK("https://znanium.ru/catalog/product/1048798", "Ознакомиться")</f>
        <v>Ознакомиться</v>
      </c>
      <c r="W1668" s="8" t="s">
        <v>10375</v>
      </c>
      <c r="X1668" s="6"/>
      <c r="Y1668" s="6"/>
      <c r="Z1668" s="6"/>
      <c r="AA1668" s="6" t="s">
        <v>219</v>
      </c>
      <c r="AB1668" s="8"/>
    </row>
    <row r="1669" spans="1:28" s="4" customFormat="1" ht="51.95" customHeight="1">
      <c r="A1669" s="5">
        <v>0</v>
      </c>
      <c r="B1669" s="6" t="s">
        <v>10376</v>
      </c>
      <c r="C1669" s="7">
        <v>950</v>
      </c>
      <c r="D1669" s="8" t="s">
        <v>10377</v>
      </c>
      <c r="E1669" s="8" t="s">
        <v>10378</v>
      </c>
      <c r="F1669" s="8" t="s">
        <v>10379</v>
      </c>
      <c r="G1669" s="6" t="s">
        <v>89</v>
      </c>
      <c r="H1669" s="6" t="s">
        <v>39</v>
      </c>
      <c r="I1669" s="8" t="s">
        <v>100</v>
      </c>
      <c r="J1669" s="9">
        <v>1</v>
      </c>
      <c r="K1669" s="9">
        <v>190</v>
      </c>
      <c r="L1669" s="9">
        <v>2025</v>
      </c>
      <c r="M1669" s="8" t="s">
        <v>10380</v>
      </c>
      <c r="N1669" s="8" t="s">
        <v>79</v>
      </c>
      <c r="O1669" s="8" t="s">
        <v>80</v>
      </c>
      <c r="P1669" s="6" t="s">
        <v>43</v>
      </c>
      <c r="Q1669" s="8" t="s">
        <v>102</v>
      </c>
      <c r="R1669" s="10" t="s">
        <v>10381</v>
      </c>
      <c r="S1669" s="11" t="s">
        <v>10382</v>
      </c>
      <c r="T1669" s="6"/>
      <c r="U1669" s="24" t="str">
        <f>HYPERLINK("https://media.infra-m.ru/2166/2166198/cover/2166198.jpg", "Обложка")</f>
        <v>Обложка</v>
      </c>
      <c r="V1669" s="24" t="str">
        <f>HYPERLINK("https://znanium.ru/catalog/product/2166198", "Ознакомиться")</f>
        <v>Ознакомиться</v>
      </c>
      <c r="W1669" s="8" t="s">
        <v>10383</v>
      </c>
      <c r="X1669" s="6"/>
      <c r="Y1669" s="6"/>
      <c r="Z1669" s="6"/>
      <c r="AA1669" s="6" t="s">
        <v>10384</v>
      </c>
      <c r="AB1669" s="8"/>
    </row>
    <row r="1670" spans="1:28" s="4" customFormat="1" ht="51.95" customHeight="1">
      <c r="A1670" s="5">
        <v>0</v>
      </c>
      <c r="B1670" s="6" t="s">
        <v>10385</v>
      </c>
      <c r="C1670" s="13">
        <v>2414</v>
      </c>
      <c r="D1670" s="8" t="s">
        <v>10386</v>
      </c>
      <c r="E1670" s="8" t="s">
        <v>10387</v>
      </c>
      <c r="F1670" s="8" t="s">
        <v>10388</v>
      </c>
      <c r="G1670" s="6" t="s">
        <v>52</v>
      </c>
      <c r="H1670" s="6" t="s">
        <v>39</v>
      </c>
      <c r="I1670" s="8" t="s">
        <v>100</v>
      </c>
      <c r="J1670" s="9">
        <v>1</v>
      </c>
      <c r="K1670" s="9">
        <v>464</v>
      </c>
      <c r="L1670" s="9">
        <v>2025</v>
      </c>
      <c r="M1670" s="8" t="s">
        <v>10389</v>
      </c>
      <c r="N1670" s="8" t="s">
        <v>79</v>
      </c>
      <c r="O1670" s="8" t="s">
        <v>80</v>
      </c>
      <c r="P1670" s="6" t="s">
        <v>43</v>
      </c>
      <c r="Q1670" s="8" t="s">
        <v>102</v>
      </c>
      <c r="R1670" s="10" t="s">
        <v>10390</v>
      </c>
      <c r="S1670" s="11" t="s">
        <v>10391</v>
      </c>
      <c r="T1670" s="6"/>
      <c r="U1670" s="24" t="str">
        <f>HYPERLINK("https://media.infra-m.ru/2184/2184041/cover/2184041.jpg", "Обложка")</f>
        <v>Обложка</v>
      </c>
      <c r="V1670" s="24" t="str">
        <f>HYPERLINK("https://znanium.ru/catalog/product/2122501", "Ознакомиться")</f>
        <v>Ознакомиться</v>
      </c>
      <c r="W1670" s="8" t="s">
        <v>2201</v>
      </c>
      <c r="X1670" s="6"/>
      <c r="Y1670" s="6" t="s">
        <v>30</v>
      </c>
      <c r="Z1670" s="6"/>
      <c r="AA1670" s="6" t="s">
        <v>1492</v>
      </c>
      <c r="AB1670" s="8"/>
    </row>
    <row r="1671" spans="1:28" s="4" customFormat="1" ht="42" customHeight="1">
      <c r="A1671" s="5">
        <v>0</v>
      </c>
      <c r="B1671" s="6" t="s">
        <v>10392</v>
      </c>
      <c r="C1671" s="13">
        <v>1300</v>
      </c>
      <c r="D1671" s="8" t="s">
        <v>10393</v>
      </c>
      <c r="E1671" s="8" t="s">
        <v>10394</v>
      </c>
      <c r="F1671" s="8" t="s">
        <v>10395</v>
      </c>
      <c r="G1671" s="6" t="s">
        <v>52</v>
      </c>
      <c r="H1671" s="6" t="s">
        <v>53</v>
      </c>
      <c r="I1671" s="8" t="s">
        <v>276</v>
      </c>
      <c r="J1671" s="9">
        <v>1</v>
      </c>
      <c r="K1671" s="9">
        <v>280</v>
      </c>
      <c r="L1671" s="9">
        <v>2023</v>
      </c>
      <c r="M1671" s="8" t="s">
        <v>10396</v>
      </c>
      <c r="N1671" s="8" t="s">
        <v>79</v>
      </c>
      <c r="O1671" s="8" t="s">
        <v>80</v>
      </c>
      <c r="P1671" s="6" t="s">
        <v>167</v>
      </c>
      <c r="Q1671" s="8" t="s">
        <v>279</v>
      </c>
      <c r="R1671" s="10" t="s">
        <v>1356</v>
      </c>
      <c r="S1671" s="11"/>
      <c r="T1671" s="6"/>
      <c r="U1671" s="24" t="str">
        <f>HYPERLINK("https://media.infra-m.ru/1860/1860651/cover/1860651.jpg", "Обложка")</f>
        <v>Обложка</v>
      </c>
      <c r="V1671" s="24" t="str">
        <f>HYPERLINK("https://znanium.ru/catalog/product/1860651", "Ознакомиться")</f>
        <v>Ознакомиться</v>
      </c>
      <c r="W1671" s="8" t="s">
        <v>1313</v>
      </c>
      <c r="X1671" s="6"/>
      <c r="Y1671" s="6"/>
      <c r="Z1671" s="6"/>
      <c r="AA1671" s="6" t="s">
        <v>207</v>
      </c>
      <c r="AB1671" s="8"/>
    </row>
    <row r="1672" spans="1:28" s="4" customFormat="1" ht="42" customHeight="1">
      <c r="A1672" s="5">
        <v>0</v>
      </c>
      <c r="B1672" s="6" t="s">
        <v>10397</v>
      </c>
      <c r="C1672" s="7">
        <v>834</v>
      </c>
      <c r="D1672" s="8" t="s">
        <v>10398</v>
      </c>
      <c r="E1672" s="8" t="s">
        <v>10399</v>
      </c>
      <c r="F1672" s="8" t="s">
        <v>2950</v>
      </c>
      <c r="G1672" s="6" t="s">
        <v>38</v>
      </c>
      <c r="H1672" s="6" t="s">
        <v>39</v>
      </c>
      <c r="I1672" s="8"/>
      <c r="J1672" s="9">
        <v>1</v>
      </c>
      <c r="K1672" s="9">
        <v>176</v>
      </c>
      <c r="L1672" s="9">
        <v>2024</v>
      </c>
      <c r="M1672" s="8" t="s">
        <v>10400</v>
      </c>
      <c r="N1672" s="8" t="s">
        <v>79</v>
      </c>
      <c r="O1672" s="8" t="s">
        <v>80</v>
      </c>
      <c r="P1672" s="6" t="s">
        <v>43</v>
      </c>
      <c r="Q1672" s="8" t="s">
        <v>102</v>
      </c>
      <c r="R1672" s="10" t="s">
        <v>10401</v>
      </c>
      <c r="S1672" s="11"/>
      <c r="T1672" s="6"/>
      <c r="U1672" s="24" t="str">
        <f>HYPERLINK("https://media.infra-m.ru/1927/1927323/cover/1927323.jpg", "Обложка")</f>
        <v>Обложка</v>
      </c>
      <c r="V1672" s="12"/>
      <c r="W1672" s="8" t="s">
        <v>2954</v>
      </c>
      <c r="X1672" s="6"/>
      <c r="Y1672" s="6"/>
      <c r="Z1672" s="6"/>
      <c r="AA1672" s="6" t="s">
        <v>122</v>
      </c>
      <c r="AB1672" s="8"/>
    </row>
    <row r="1673" spans="1:28" s="4" customFormat="1" ht="51.95" customHeight="1">
      <c r="A1673" s="5">
        <v>0</v>
      </c>
      <c r="B1673" s="6" t="s">
        <v>10402</v>
      </c>
      <c r="C1673" s="13">
        <v>1280</v>
      </c>
      <c r="D1673" s="8" t="s">
        <v>10403</v>
      </c>
      <c r="E1673" s="8" t="s">
        <v>10404</v>
      </c>
      <c r="F1673" s="8" t="s">
        <v>10405</v>
      </c>
      <c r="G1673" s="6" t="s">
        <v>89</v>
      </c>
      <c r="H1673" s="6" t="s">
        <v>649</v>
      </c>
      <c r="I1673" s="8" t="s">
        <v>116</v>
      </c>
      <c r="J1673" s="9">
        <v>1</v>
      </c>
      <c r="K1673" s="9">
        <v>336</v>
      </c>
      <c r="L1673" s="9">
        <v>2022</v>
      </c>
      <c r="M1673" s="8" t="s">
        <v>10406</v>
      </c>
      <c r="N1673" s="8" t="s">
        <v>79</v>
      </c>
      <c r="O1673" s="8" t="s">
        <v>80</v>
      </c>
      <c r="P1673" s="6" t="s">
        <v>43</v>
      </c>
      <c r="Q1673" s="8" t="s">
        <v>44</v>
      </c>
      <c r="R1673" s="10" t="s">
        <v>4342</v>
      </c>
      <c r="S1673" s="11" t="s">
        <v>10407</v>
      </c>
      <c r="T1673" s="6"/>
      <c r="U1673" s="24" t="str">
        <f>HYPERLINK("https://media.infra-m.ru/1832/1832412/cover/1832412.jpg", "Обложка")</f>
        <v>Обложка</v>
      </c>
      <c r="V1673" s="24" t="str">
        <f>HYPERLINK("https://znanium.ru/catalog/product/1832412", "Ознакомиться")</f>
        <v>Ознакомиться</v>
      </c>
      <c r="W1673" s="8" t="s">
        <v>2514</v>
      </c>
      <c r="X1673" s="6"/>
      <c r="Y1673" s="6"/>
      <c r="Z1673" s="6"/>
      <c r="AA1673" s="6" t="s">
        <v>654</v>
      </c>
      <c r="AB1673" s="8"/>
    </row>
    <row r="1674" spans="1:28" s="4" customFormat="1" ht="51.95" customHeight="1">
      <c r="A1674" s="5">
        <v>0</v>
      </c>
      <c r="B1674" s="6" t="s">
        <v>10408</v>
      </c>
      <c r="C1674" s="7">
        <v>614.9</v>
      </c>
      <c r="D1674" s="8" t="s">
        <v>10409</v>
      </c>
      <c r="E1674" s="8" t="s">
        <v>10410</v>
      </c>
      <c r="F1674" s="8" t="s">
        <v>10411</v>
      </c>
      <c r="G1674" s="6" t="s">
        <v>38</v>
      </c>
      <c r="H1674" s="6" t="s">
        <v>77</v>
      </c>
      <c r="I1674" s="8"/>
      <c r="J1674" s="9">
        <v>1</v>
      </c>
      <c r="K1674" s="9">
        <v>136</v>
      </c>
      <c r="L1674" s="9">
        <v>2023</v>
      </c>
      <c r="M1674" s="8" t="s">
        <v>10412</v>
      </c>
      <c r="N1674" s="8" t="s">
        <v>79</v>
      </c>
      <c r="O1674" s="8" t="s">
        <v>570</v>
      </c>
      <c r="P1674" s="6" t="s">
        <v>43</v>
      </c>
      <c r="Q1674" s="8" t="s">
        <v>44</v>
      </c>
      <c r="R1674" s="10" t="s">
        <v>10413</v>
      </c>
      <c r="S1674" s="11"/>
      <c r="T1674" s="6"/>
      <c r="U1674" s="24" t="str">
        <f>HYPERLINK("https://media.infra-m.ru/2006/2006049/cover/2006049.jpg", "Обложка")</f>
        <v>Обложка</v>
      </c>
      <c r="V1674" s="24" t="str">
        <f>HYPERLINK("https://znanium.ru/catalog/product/1095148", "Ознакомиться")</f>
        <v>Ознакомиться</v>
      </c>
      <c r="W1674" s="8" t="s">
        <v>150</v>
      </c>
      <c r="X1674" s="6"/>
      <c r="Y1674" s="6"/>
      <c r="Z1674" s="6"/>
      <c r="AA1674" s="6" t="s">
        <v>442</v>
      </c>
      <c r="AB1674" s="8"/>
    </row>
    <row r="1675" spans="1:28" s="4" customFormat="1" ht="51.95" customHeight="1">
      <c r="A1675" s="5">
        <v>0</v>
      </c>
      <c r="B1675" s="6" t="s">
        <v>10414</v>
      </c>
      <c r="C1675" s="7">
        <v>370</v>
      </c>
      <c r="D1675" s="8" t="s">
        <v>10415</v>
      </c>
      <c r="E1675" s="8" t="s">
        <v>10410</v>
      </c>
      <c r="F1675" s="8" t="s">
        <v>10416</v>
      </c>
      <c r="G1675" s="6" t="s">
        <v>38</v>
      </c>
      <c r="H1675" s="6" t="s">
        <v>77</v>
      </c>
      <c r="I1675" s="8" t="s">
        <v>100</v>
      </c>
      <c r="J1675" s="14">
        <v>0</v>
      </c>
      <c r="K1675" s="9">
        <v>136</v>
      </c>
      <c r="L1675" s="9">
        <v>2019</v>
      </c>
      <c r="M1675" s="8" t="s">
        <v>10417</v>
      </c>
      <c r="N1675" s="8" t="s">
        <v>79</v>
      </c>
      <c r="O1675" s="8" t="s">
        <v>570</v>
      </c>
      <c r="P1675" s="6" t="s">
        <v>43</v>
      </c>
      <c r="Q1675" s="8" t="s">
        <v>102</v>
      </c>
      <c r="R1675" s="10" t="s">
        <v>10418</v>
      </c>
      <c r="S1675" s="11"/>
      <c r="T1675" s="6"/>
      <c r="U1675" s="24" t="str">
        <f>HYPERLINK("https://media.infra-m.ru/0961/0961484/cover/961484.jpg", "Обложка")</f>
        <v>Обложка</v>
      </c>
      <c r="V1675" s="12"/>
      <c r="W1675" s="8" t="s">
        <v>150</v>
      </c>
      <c r="X1675" s="6"/>
      <c r="Y1675" s="6"/>
      <c r="Z1675" s="6" t="s">
        <v>104</v>
      </c>
      <c r="AA1675" s="6" t="s">
        <v>258</v>
      </c>
      <c r="AB1675" s="8"/>
    </row>
    <row r="1676" spans="1:28" s="4" customFormat="1" ht="51.95" customHeight="1">
      <c r="A1676" s="5">
        <v>0</v>
      </c>
      <c r="B1676" s="6" t="s">
        <v>10419</v>
      </c>
      <c r="C1676" s="7">
        <v>774</v>
      </c>
      <c r="D1676" s="8" t="s">
        <v>10420</v>
      </c>
      <c r="E1676" s="8" t="s">
        <v>10421</v>
      </c>
      <c r="F1676" s="8" t="s">
        <v>10422</v>
      </c>
      <c r="G1676" s="6" t="s">
        <v>89</v>
      </c>
      <c r="H1676" s="6" t="s">
        <v>53</v>
      </c>
      <c r="I1676" s="8" t="s">
        <v>1054</v>
      </c>
      <c r="J1676" s="9">
        <v>1</v>
      </c>
      <c r="K1676" s="9">
        <v>147</v>
      </c>
      <c r="L1676" s="9">
        <v>2024</v>
      </c>
      <c r="M1676" s="8" t="s">
        <v>10423</v>
      </c>
      <c r="N1676" s="8" t="s">
        <v>41</v>
      </c>
      <c r="O1676" s="8" t="s">
        <v>118</v>
      </c>
      <c r="P1676" s="6" t="s">
        <v>43</v>
      </c>
      <c r="Q1676" s="8" t="s">
        <v>279</v>
      </c>
      <c r="R1676" s="10" t="s">
        <v>10424</v>
      </c>
      <c r="S1676" s="11" t="s">
        <v>10425</v>
      </c>
      <c r="T1676" s="6"/>
      <c r="U1676" s="24" t="str">
        <f>HYPERLINK("https://media.infra-m.ru/2144/2144112/cover/2144112.jpg", "Обложка")</f>
        <v>Обложка</v>
      </c>
      <c r="V1676" s="24" t="str">
        <f>HYPERLINK("https://znanium.ru/catalog/product/2127158", "Ознакомиться")</f>
        <v>Ознакомиться</v>
      </c>
      <c r="W1676" s="8" t="s">
        <v>83</v>
      </c>
      <c r="X1676" s="6"/>
      <c r="Y1676" s="6"/>
      <c r="Z1676" s="6"/>
      <c r="AA1676" s="6" t="s">
        <v>207</v>
      </c>
      <c r="AB1676" s="8"/>
    </row>
    <row r="1677" spans="1:28" s="4" customFormat="1" ht="51.95" customHeight="1">
      <c r="A1677" s="5">
        <v>0</v>
      </c>
      <c r="B1677" s="6" t="s">
        <v>10426</v>
      </c>
      <c r="C1677" s="13">
        <v>1874</v>
      </c>
      <c r="D1677" s="8" t="s">
        <v>10427</v>
      </c>
      <c r="E1677" s="8" t="s">
        <v>10428</v>
      </c>
      <c r="F1677" s="8" t="s">
        <v>10429</v>
      </c>
      <c r="G1677" s="6" t="s">
        <v>89</v>
      </c>
      <c r="H1677" s="6" t="s">
        <v>53</v>
      </c>
      <c r="I1677" s="8" t="s">
        <v>116</v>
      </c>
      <c r="J1677" s="9">
        <v>1</v>
      </c>
      <c r="K1677" s="9">
        <v>375</v>
      </c>
      <c r="L1677" s="9">
        <v>2025</v>
      </c>
      <c r="M1677" s="8" t="s">
        <v>10430</v>
      </c>
      <c r="N1677" s="8" t="s">
        <v>41</v>
      </c>
      <c r="O1677" s="8" t="s">
        <v>118</v>
      </c>
      <c r="P1677" s="6" t="s">
        <v>167</v>
      </c>
      <c r="Q1677" s="8" t="s">
        <v>58</v>
      </c>
      <c r="R1677" s="10" t="s">
        <v>10431</v>
      </c>
      <c r="S1677" s="11" t="s">
        <v>10432</v>
      </c>
      <c r="T1677" s="6"/>
      <c r="U1677" s="24" t="str">
        <f>HYPERLINK("https://media.infra-m.ru/2188/2188341/cover/2188341.jpg", "Обложка")</f>
        <v>Обложка</v>
      </c>
      <c r="V1677" s="24" t="str">
        <f>HYPERLINK("https://znanium.ru/catalog/product/1939033", "Ознакомиться")</f>
        <v>Ознакомиться</v>
      </c>
      <c r="W1677" s="8"/>
      <c r="X1677" s="6"/>
      <c r="Y1677" s="6"/>
      <c r="Z1677" s="6"/>
      <c r="AA1677" s="6" t="s">
        <v>219</v>
      </c>
      <c r="AB1677" s="8"/>
    </row>
    <row r="1678" spans="1:28" s="4" customFormat="1" ht="44.1" customHeight="1">
      <c r="A1678" s="5">
        <v>0</v>
      </c>
      <c r="B1678" s="6" t="s">
        <v>10433</v>
      </c>
      <c r="C1678" s="13">
        <v>1314</v>
      </c>
      <c r="D1678" s="8" t="s">
        <v>10434</v>
      </c>
      <c r="E1678" s="8" t="s">
        <v>10435</v>
      </c>
      <c r="F1678" s="8" t="s">
        <v>10436</v>
      </c>
      <c r="G1678" s="6" t="s">
        <v>52</v>
      </c>
      <c r="H1678" s="6" t="s">
        <v>53</v>
      </c>
      <c r="I1678" s="8" t="s">
        <v>90</v>
      </c>
      <c r="J1678" s="9">
        <v>1</v>
      </c>
      <c r="K1678" s="9">
        <v>285</v>
      </c>
      <c r="L1678" s="9">
        <v>2024</v>
      </c>
      <c r="M1678" s="8" t="s">
        <v>10437</v>
      </c>
      <c r="N1678" s="8" t="s">
        <v>41</v>
      </c>
      <c r="O1678" s="8" t="s">
        <v>1007</v>
      </c>
      <c r="P1678" s="6" t="s">
        <v>43</v>
      </c>
      <c r="Q1678" s="8" t="s">
        <v>44</v>
      </c>
      <c r="R1678" s="10" t="s">
        <v>10438</v>
      </c>
      <c r="S1678" s="11"/>
      <c r="T1678" s="6"/>
      <c r="U1678" s="24" t="str">
        <f>HYPERLINK("https://media.infra-m.ru/1906/1906792/cover/1906792.jpg", "Обложка")</f>
        <v>Обложка</v>
      </c>
      <c r="V1678" s="12"/>
      <c r="W1678" s="8" t="s">
        <v>521</v>
      </c>
      <c r="X1678" s="6"/>
      <c r="Y1678" s="6"/>
      <c r="Z1678" s="6"/>
      <c r="AA1678" s="6" t="s">
        <v>47</v>
      </c>
      <c r="AB1678" s="8"/>
    </row>
    <row r="1679" spans="1:28" s="4" customFormat="1" ht="51.95" customHeight="1">
      <c r="A1679" s="5">
        <v>0</v>
      </c>
      <c r="B1679" s="6" t="s">
        <v>10439</v>
      </c>
      <c r="C1679" s="7">
        <v>924</v>
      </c>
      <c r="D1679" s="8" t="s">
        <v>10440</v>
      </c>
      <c r="E1679" s="8" t="s">
        <v>10441</v>
      </c>
      <c r="F1679" s="8" t="s">
        <v>9730</v>
      </c>
      <c r="G1679" s="6" t="s">
        <v>52</v>
      </c>
      <c r="H1679" s="6" t="s">
        <v>53</v>
      </c>
      <c r="I1679" s="8" t="s">
        <v>276</v>
      </c>
      <c r="J1679" s="9">
        <v>1</v>
      </c>
      <c r="K1679" s="9">
        <v>196</v>
      </c>
      <c r="L1679" s="9">
        <v>2024</v>
      </c>
      <c r="M1679" s="8" t="s">
        <v>10442</v>
      </c>
      <c r="N1679" s="8" t="s">
        <v>41</v>
      </c>
      <c r="O1679" s="8" t="s">
        <v>118</v>
      </c>
      <c r="P1679" s="6" t="s">
        <v>43</v>
      </c>
      <c r="Q1679" s="8" t="s">
        <v>279</v>
      </c>
      <c r="R1679" s="10" t="s">
        <v>10443</v>
      </c>
      <c r="S1679" s="11" t="s">
        <v>10444</v>
      </c>
      <c r="T1679" s="6"/>
      <c r="U1679" s="24" t="str">
        <f>HYPERLINK("https://media.infra-m.ru/2147/2147717/cover/2147717.jpg", "Обложка")</f>
        <v>Обложка</v>
      </c>
      <c r="V1679" s="24" t="str">
        <f>HYPERLINK("https://znanium.ru/catalog/product/1015857", "Ознакомиться")</f>
        <v>Ознакомиться</v>
      </c>
      <c r="W1679" s="8" t="s">
        <v>8621</v>
      </c>
      <c r="X1679" s="6"/>
      <c r="Y1679" s="6"/>
      <c r="Z1679" s="6"/>
      <c r="AA1679" s="6" t="s">
        <v>326</v>
      </c>
      <c r="AB1679" s="8"/>
    </row>
    <row r="1680" spans="1:28" s="4" customFormat="1" ht="51.95" customHeight="1">
      <c r="A1680" s="5">
        <v>0</v>
      </c>
      <c r="B1680" s="6" t="s">
        <v>10445</v>
      </c>
      <c r="C1680" s="7">
        <v>734.9</v>
      </c>
      <c r="D1680" s="8" t="s">
        <v>10446</v>
      </c>
      <c r="E1680" s="8" t="s">
        <v>10447</v>
      </c>
      <c r="F1680" s="8" t="s">
        <v>9730</v>
      </c>
      <c r="G1680" s="6" t="s">
        <v>52</v>
      </c>
      <c r="H1680" s="6" t="s">
        <v>53</v>
      </c>
      <c r="I1680" s="8" t="s">
        <v>276</v>
      </c>
      <c r="J1680" s="9">
        <v>1</v>
      </c>
      <c r="K1680" s="9">
        <v>163</v>
      </c>
      <c r="L1680" s="9">
        <v>2023</v>
      </c>
      <c r="M1680" s="8" t="s">
        <v>10448</v>
      </c>
      <c r="N1680" s="8" t="s">
        <v>41</v>
      </c>
      <c r="O1680" s="8" t="s">
        <v>118</v>
      </c>
      <c r="P1680" s="6" t="s">
        <v>43</v>
      </c>
      <c r="Q1680" s="8" t="s">
        <v>279</v>
      </c>
      <c r="R1680" s="10" t="s">
        <v>10443</v>
      </c>
      <c r="S1680" s="11" t="s">
        <v>10449</v>
      </c>
      <c r="T1680" s="6"/>
      <c r="U1680" s="24" t="str">
        <f>HYPERLINK("https://media.infra-m.ru/1911/1911805/cover/1911805.jpg", "Обложка")</f>
        <v>Обложка</v>
      </c>
      <c r="V1680" s="24" t="str">
        <f>HYPERLINK("https://znanium.ru/catalog/product/1015857", "Ознакомиться")</f>
        <v>Ознакомиться</v>
      </c>
      <c r="W1680" s="8" t="s">
        <v>8621</v>
      </c>
      <c r="X1680" s="6"/>
      <c r="Y1680" s="6"/>
      <c r="Z1680" s="6"/>
      <c r="AA1680" s="6" t="s">
        <v>418</v>
      </c>
      <c r="AB1680" s="8"/>
    </row>
    <row r="1681" spans="1:28" s="4" customFormat="1" ht="44.1" customHeight="1">
      <c r="A1681" s="5">
        <v>0</v>
      </c>
      <c r="B1681" s="6" t="s">
        <v>10450</v>
      </c>
      <c r="C1681" s="13">
        <v>2164</v>
      </c>
      <c r="D1681" s="8" t="s">
        <v>10451</v>
      </c>
      <c r="E1681" s="8" t="s">
        <v>10452</v>
      </c>
      <c r="F1681" s="8" t="s">
        <v>10453</v>
      </c>
      <c r="G1681" s="6" t="s">
        <v>89</v>
      </c>
      <c r="H1681" s="6" t="s">
        <v>674</v>
      </c>
      <c r="I1681" s="8"/>
      <c r="J1681" s="9">
        <v>1</v>
      </c>
      <c r="K1681" s="9">
        <v>432</v>
      </c>
      <c r="L1681" s="9">
        <v>2025</v>
      </c>
      <c r="M1681" s="8" t="s">
        <v>10454</v>
      </c>
      <c r="N1681" s="8" t="s">
        <v>41</v>
      </c>
      <c r="O1681" s="8" t="s">
        <v>676</v>
      </c>
      <c r="P1681" s="6" t="s">
        <v>167</v>
      </c>
      <c r="Q1681" s="8" t="s">
        <v>44</v>
      </c>
      <c r="R1681" s="10" t="s">
        <v>8910</v>
      </c>
      <c r="S1681" s="11"/>
      <c r="T1681" s="6"/>
      <c r="U1681" s="24" t="str">
        <f>HYPERLINK("https://media.infra-m.ru/2191/2191721/cover/2191721.jpg", "Обложка")</f>
        <v>Обложка</v>
      </c>
      <c r="V1681" s="24" t="str">
        <f>HYPERLINK("https://znanium.ru/catalog/product/1936317", "Ознакомиться")</f>
        <v>Ознакомиться</v>
      </c>
      <c r="W1681" s="8" t="s">
        <v>792</v>
      </c>
      <c r="X1681" s="6"/>
      <c r="Y1681" s="6"/>
      <c r="Z1681" s="6"/>
      <c r="AA1681" s="6" t="s">
        <v>235</v>
      </c>
      <c r="AB1681" s="8"/>
    </row>
    <row r="1682" spans="1:28" s="4" customFormat="1" ht="51.95" customHeight="1">
      <c r="A1682" s="5">
        <v>0</v>
      </c>
      <c r="B1682" s="6" t="s">
        <v>10455</v>
      </c>
      <c r="C1682" s="13">
        <v>2650</v>
      </c>
      <c r="D1682" s="8" t="s">
        <v>10456</v>
      </c>
      <c r="E1682" s="8" t="s">
        <v>10457</v>
      </c>
      <c r="F1682" s="8" t="s">
        <v>5504</v>
      </c>
      <c r="G1682" s="6" t="s">
        <v>52</v>
      </c>
      <c r="H1682" s="6" t="s">
        <v>674</v>
      </c>
      <c r="I1682" s="8"/>
      <c r="J1682" s="9">
        <v>1</v>
      </c>
      <c r="K1682" s="9">
        <v>528</v>
      </c>
      <c r="L1682" s="9">
        <v>2025</v>
      </c>
      <c r="M1682" s="8" t="s">
        <v>10458</v>
      </c>
      <c r="N1682" s="8" t="s">
        <v>41</v>
      </c>
      <c r="O1682" s="8" t="s">
        <v>676</v>
      </c>
      <c r="P1682" s="6" t="s">
        <v>167</v>
      </c>
      <c r="Q1682" s="8" t="s">
        <v>44</v>
      </c>
      <c r="R1682" s="10" t="s">
        <v>806</v>
      </c>
      <c r="S1682" s="11" t="s">
        <v>10459</v>
      </c>
      <c r="T1682" s="6"/>
      <c r="U1682" s="24" t="str">
        <f>HYPERLINK("https://media.infra-m.ru/2183/2183582/cover/2183582.jpg", "Обложка")</f>
        <v>Обложка</v>
      </c>
      <c r="V1682" s="24" t="str">
        <f>HYPERLINK("https://znanium.ru/catalog/product/2183582", "Ознакомиться")</f>
        <v>Ознакомиться</v>
      </c>
      <c r="W1682" s="8" t="s">
        <v>678</v>
      </c>
      <c r="X1682" s="6"/>
      <c r="Y1682" s="6"/>
      <c r="Z1682" s="6"/>
      <c r="AA1682" s="6" t="s">
        <v>10460</v>
      </c>
      <c r="AB1682" s="8"/>
    </row>
    <row r="1683" spans="1:28" s="4" customFormat="1" ht="51.95" customHeight="1">
      <c r="A1683" s="5">
        <v>0</v>
      </c>
      <c r="B1683" s="6" t="s">
        <v>10461</v>
      </c>
      <c r="C1683" s="13">
        <v>3330</v>
      </c>
      <c r="D1683" s="8" t="s">
        <v>10462</v>
      </c>
      <c r="E1683" s="8" t="s">
        <v>10463</v>
      </c>
      <c r="F1683" s="8" t="s">
        <v>10464</v>
      </c>
      <c r="G1683" s="6" t="s">
        <v>52</v>
      </c>
      <c r="H1683" s="6" t="s">
        <v>674</v>
      </c>
      <c r="I1683" s="8"/>
      <c r="J1683" s="9">
        <v>1</v>
      </c>
      <c r="K1683" s="9">
        <v>864</v>
      </c>
      <c r="L1683" s="9">
        <v>2025</v>
      </c>
      <c r="M1683" s="8" t="s">
        <v>10465</v>
      </c>
      <c r="N1683" s="8" t="s">
        <v>41</v>
      </c>
      <c r="O1683" s="8" t="s">
        <v>676</v>
      </c>
      <c r="P1683" s="6" t="s">
        <v>167</v>
      </c>
      <c r="Q1683" s="8" t="s">
        <v>44</v>
      </c>
      <c r="R1683" s="10" t="s">
        <v>806</v>
      </c>
      <c r="S1683" s="11"/>
      <c r="T1683" s="6"/>
      <c r="U1683" s="24" t="str">
        <f>HYPERLINK("https://media.infra-m.ru/2183/2183580/cover/2183580.jpg", "Обложка")</f>
        <v>Обложка</v>
      </c>
      <c r="V1683" s="24" t="str">
        <f>HYPERLINK("https://znanium.ru/catalog/product/2183580", "Ознакомиться")</f>
        <v>Ознакомиться</v>
      </c>
      <c r="W1683" s="8" t="s">
        <v>3282</v>
      </c>
      <c r="X1683" s="6"/>
      <c r="Y1683" s="6"/>
      <c r="Z1683" s="6"/>
      <c r="AA1683" s="6" t="s">
        <v>10466</v>
      </c>
      <c r="AB1683" s="8"/>
    </row>
    <row r="1684" spans="1:28" s="4" customFormat="1" ht="51.95" customHeight="1">
      <c r="A1684" s="5">
        <v>0</v>
      </c>
      <c r="B1684" s="6" t="s">
        <v>10467</v>
      </c>
      <c r="C1684" s="13">
        <v>2800</v>
      </c>
      <c r="D1684" s="8" t="s">
        <v>10468</v>
      </c>
      <c r="E1684" s="8" t="s">
        <v>10469</v>
      </c>
      <c r="F1684" s="8" t="s">
        <v>10470</v>
      </c>
      <c r="G1684" s="6" t="s">
        <v>52</v>
      </c>
      <c r="H1684" s="6" t="s">
        <v>674</v>
      </c>
      <c r="I1684" s="8"/>
      <c r="J1684" s="9">
        <v>1</v>
      </c>
      <c r="K1684" s="9">
        <v>560</v>
      </c>
      <c r="L1684" s="9">
        <v>2025</v>
      </c>
      <c r="M1684" s="8" t="s">
        <v>10471</v>
      </c>
      <c r="N1684" s="8" t="s">
        <v>41</v>
      </c>
      <c r="O1684" s="8" t="s">
        <v>676</v>
      </c>
      <c r="P1684" s="6" t="s">
        <v>43</v>
      </c>
      <c r="Q1684" s="8" t="s">
        <v>44</v>
      </c>
      <c r="R1684" s="10" t="s">
        <v>677</v>
      </c>
      <c r="S1684" s="11" t="s">
        <v>7217</v>
      </c>
      <c r="T1684" s="6"/>
      <c r="U1684" s="24" t="str">
        <f>HYPERLINK("https://media.infra-m.ru/2179/2179211/cover/2179211.jpg", "Обложка")</f>
        <v>Обложка</v>
      </c>
      <c r="V1684" s="24" t="str">
        <f>HYPERLINK("https://znanium.ru/catalog/product/2119922", "Ознакомиться")</f>
        <v>Ознакомиться</v>
      </c>
      <c r="W1684" s="8" t="s">
        <v>7139</v>
      </c>
      <c r="X1684" s="6"/>
      <c r="Y1684" s="6"/>
      <c r="Z1684" s="6"/>
      <c r="AA1684" s="6" t="s">
        <v>638</v>
      </c>
      <c r="AB1684" s="8"/>
    </row>
    <row r="1685" spans="1:28" s="4" customFormat="1" ht="51.95" customHeight="1">
      <c r="A1685" s="5">
        <v>0</v>
      </c>
      <c r="B1685" s="6" t="s">
        <v>10472</v>
      </c>
      <c r="C1685" s="7">
        <v>598</v>
      </c>
      <c r="D1685" s="8" t="s">
        <v>10473</v>
      </c>
      <c r="E1685" s="8" t="s">
        <v>10474</v>
      </c>
      <c r="F1685" s="8" t="s">
        <v>10475</v>
      </c>
      <c r="G1685" s="6" t="s">
        <v>38</v>
      </c>
      <c r="H1685" s="6" t="s">
        <v>184</v>
      </c>
      <c r="I1685" s="8" t="s">
        <v>10476</v>
      </c>
      <c r="J1685" s="9">
        <v>1</v>
      </c>
      <c r="K1685" s="9">
        <v>191</v>
      </c>
      <c r="L1685" s="9">
        <v>2024</v>
      </c>
      <c r="M1685" s="8" t="s">
        <v>10477</v>
      </c>
      <c r="N1685" s="8" t="s">
        <v>41</v>
      </c>
      <c r="O1685" s="8" t="s">
        <v>676</v>
      </c>
      <c r="P1685" s="6" t="s">
        <v>43</v>
      </c>
      <c r="Q1685" s="8" t="s">
        <v>44</v>
      </c>
      <c r="R1685" s="10" t="s">
        <v>10478</v>
      </c>
      <c r="S1685" s="11"/>
      <c r="T1685" s="6"/>
      <c r="U1685" s="24" t="str">
        <f>HYPERLINK("https://media.infra-m.ru/2136/2136873/cover/2136873.jpg", "Обложка")</f>
        <v>Обложка</v>
      </c>
      <c r="V1685" s="24" t="str">
        <f>HYPERLINK("https://znanium.ru/catalog/product/2136873", "Ознакомиться")</f>
        <v>Ознакомиться</v>
      </c>
      <c r="W1685" s="8"/>
      <c r="X1685" s="6"/>
      <c r="Y1685" s="6"/>
      <c r="Z1685" s="6"/>
      <c r="AA1685" s="6" t="s">
        <v>4944</v>
      </c>
      <c r="AB1685" s="8"/>
    </row>
    <row r="1686" spans="1:28" s="4" customFormat="1" ht="51.95" customHeight="1">
      <c r="A1686" s="5">
        <v>0</v>
      </c>
      <c r="B1686" s="6" t="s">
        <v>10479</v>
      </c>
      <c r="C1686" s="13">
        <v>1050</v>
      </c>
      <c r="D1686" s="8" t="s">
        <v>10480</v>
      </c>
      <c r="E1686" s="8" t="s">
        <v>10481</v>
      </c>
      <c r="F1686" s="8" t="s">
        <v>10482</v>
      </c>
      <c r="G1686" s="6" t="s">
        <v>89</v>
      </c>
      <c r="H1686" s="6" t="s">
        <v>674</v>
      </c>
      <c r="I1686" s="8"/>
      <c r="J1686" s="9">
        <v>1</v>
      </c>
      <c r="K1686" s="9">
        <v>216</v>
      </c>
      <c r="L1686" s="9">
        <v>2024</v>
      </c>
      <c r="M1686" s="8" t="s">
        <v>10483</v>
      </c>
      <c r="N1686" s="8" t="s">
        <v>41</v>
      </c>
      <c r="O1686" s="8" t="s">
        <v>676</v>
      </c>
      <c r="P1686" s="6" t="s">
        <v>187</v>
      </c>
      <c r="Q1686" s="8" t="s">
        <v>58</v>
      </c>
      <c r="R1686" s="10" t="s">
        <v>10484</v>
      </c>
      <c r="S1686" s="11"/>
      <c r="T1686" s="6"/>
      <c r="U1686" s="24" t="str">
        <f>HYPERLINK("https://media.infra-m.ru/2130/2130378/cover/2130378.jpg", "Обложка")</f>
        <v>Обложка</v>
      </c>
      <c r="V1686" s="24" t="str">
        <f>HYPERLINK("https://znanium.ru/catalog/product/2130378", "Ознакомиться")</f>
        <v>Ознакомиться</v>
      </c>
      <c r="W1686" s="8" t="s">
        <v>792</v>
      </c>
      <c r="X1686" s="6"/>
      <c r="Y1686" s="6"/>
      <c r="Z1686" s="6"/>
      <c r="AA1686" s="6" t="s">
        <v>133</v>
      </c>
      <c r="AB1686" s="8"/>
    </row>
    <row r="1687" spans="1:28" s="4" customFormat="1" ht="51.95" customHeight="1">
      <c r="A1687" s="5">
        <v>0</v>
      </c>
      <c r="B1687" s="6" t="s">
        <v>10485</v>
      </c>
      <c r="C1687" s="13">
        <v>1994.9</v>
      </c>
      <c r="D1687" s="8" t="s">
        <v>10486</v>
      </c>
      <c r="E1687" s="8" t="s">
        <v>10487</v>
      </c>
      <c r="F1687" s="8" t="s">
        <v>10464</v>
      </c>
      <c r="G1687" s="6" t="s">
        <v>52</v>
      </c>
      <c r="H1687" s="6" t="s">
        <v>674</v>
      </c>
      <c r="I1687" s="8"/>
      <c r="J1687" s="9">
        <v>1</v>
      </c>
      <c r="K1687" s="9">
        <v>976</v>
      </c>
      <c r="L1687" s="9">
        <v>2020</v>
      </c>
      <c r="M1687" s="8" t="s">
        <v>10488</v>
      </c>
      <c r="N1687" s="8" t="s">
        <v>41</v>
      </c>
      <c r="O1687" s="8" t="s">
        <v>676</v>
      </c>
      <c r="P1687" s="6" t="s">
        <v>167</v>
      </c>
      <c r="Q1687" s="8" t="s">
        <v>44</v>
      </c>
      <c r="R1687" s="10" t="s">
        <v>806</v>
      </c>
      <c r="S1687" s="11"/>
      <c r="T1687" s="6"/>
      <c r="U1687" s="24" t="str">
        <f>HYPERLINK("https://media.infra-m.ru/1089/1089869/cover/1089869.jpg", "Обложка")</f>
        <v>Обложка</v>
      </c>
      <c r="V1687" s="24" t="str">
        <f>HYPERLINK("https://znanium.ru/catalog/product/2183580", "Ознакомиться")</f>
        <v>Ознакомиться</v>
      </c>
      <c r="W1687" s="8" t="s">
        <v>3282</v>
      </c>
      <c r="X1687" s="6"/>
      <c r="Y1687" s="6"/>
      <c r="Z1687" s="6"/>
      <c r="AA1687" s="6" t="s">
        <v>10384</v>
      </c>
      <c r="AB1687" s="8"/>
    </row>
    <row r="1688" spans="1:28" s="4" customFormat="1" ht="51.95" customHeight="1">
      <c r="A1688" s="5">
        <v>0</v>
      </c>
      <c r="B1688" s="6" t="s">
        <v>10489</v>
      </c>
      <c r="C1688" s="13">
        <v>1874</v>
      </c>
      <c r="D1688" s="8" t="s">
        <v>10490</v>
      </c>
      <c r="E1688" s="8" t="s">
        <v>10481</v>
      </c>
      <c r="F1688" s="8" t="s">
        <v>10491</v>
      </c>
      <c r="G1688" s="6" t="s">
        <v>52</v>
      </c>
      <c r="H1688" s="6" t="s">
        <v>184</v>
      </c>
      <c r="I1688" s="8" t="s">
        <v>90</v>
      </c>
      <c r="J1688" s="9">
        <v>1</v>
      </c>
      <c r="K1688" s="9">
        <v>374</v>
      </c>
      <c r="L1688" s="9">
        <v>2025</v>
      </c>
      <c r="M1688" s="8" t="s">
        <v>10492</v>
      </c>
      <c r="N1688" s="8" t="s">
        <v>41</v>
      </c>
      <c r="O1688" s="8" t="s">
        <v>676</v>
      </c>
      <c r="P1688" s="6" t="s">
        <v>43</v>
      </c>
      <c r="Q1688" s="8" t="s">
        <v>44</v>
      </c>
      <c r="R1688" s="10" t="s">
        <v>8910</v>
      </c>
      <c r="S1688" s="11" t="s">
        <v>10493</v>
      </c>
      <c r="T1688" s="6"/>
      <c r="U1688" s="24" t="str">
        <f>HYPERLINK("https://media.infra-m.ru/2180/2180677/cover/2180677.jpg", "Обложка")</f>
        <v>Обложка</v>
      </c>
      <c r="V1688" s="24" t="str">
        <f>HYPERLINK("https://znanium.ru/catalog/product/2112514", "Ознакомиться")</f>
        <v>Ознакомиться</v>
      </c>
      <c r="W1688" s="8"/>
      <c r="X1688" s="6"/>
      <c r="Y1688" s="6"/>
      <c r="Z1688" s="6"/>
      <c r="AA1688" s="6" t="s">
        <v>47</v>
      </c>
      <c r="AB1688" s="8"/>
    </row>
    <row r="1689" spans="1:28" s="4" customFormat="1" ht="51.95" customHeight="1">
      <c r="A1689" s="5">
        <v>0</v>
      </c>
      <c r="B1689" s="6" t="s">
        <v>10494</v>
      </c>
      <c r="C1689" s="7">
        <v>434.9</v>
      </c>
      <c r="D1689" s="8" t="s">
        <v>10495</v>
      </c>
      <c r="E1689" s="8" t="s">
        <v>10481</v>
      </c>
      <c r="F1689" s="8" t="s">
        <v>10496</v>
      </c>
      <c r="G1689" s="6" t="s">
        <v>52</v>
      </c>
      <c r="H1689" s="6" t="s">
        <v>184</v>
      </c>
      <c r="I1689" s="8" t="s">
        <v>90</v>
      </c>
      <c r="J1689" s="9">
        <v>1</v>
      </c>
      <c r="K1689" s="9">
        <v>135</v>
      </c>
      <c r="L1689" s="9">
        <v>2019</v>
      </c>
      <c r="M1689" s="8" t="s">
        <v>10497</v>
      </c>
      <c r="N1689" s="8" t="s">
        <v>41</v>
      </c>
      <c r="O1689" s="8" t="s">
        <v>676</v>
      </c>
      <c r="P1689" s="6" t="s">
        <v>43</v>
      </c>
      <c r="Q1689" s="8" t="s">
        <v>44</v>
      </c>
      <c r="R1689" s="10" t="s">
        <v>806</v>
      </c>
      <c r="S1689" s="11"/>
      <c r="T1689" s="6" t="s">
        <v>299</v>
      </c>
      <c r="U1689" s="24" t="str">
        <f>HYPERLINK("https://media.infra-m.ru/1015/1015158/cover/1015158.jpg", "Обложка")</f>
        <v>Обложка</v>
      </c>
      <c r="V1689" s="24" t="str">
        <f>HYPERLINK("https://znanium.ru/catalog/product/1015158", "Ознакомиться")</f>
        <v>Ознакомиться</v>
      </c>
      <c r="W1689" s="8" t="s">
        <v>10498</v>
      </c>
      <c r="X1689" s="6"/>
      <c r="Y1689" s="6"/>
      <c r="Z1689" s="6"/>
      <c r="AA1689" s="6" t="s">
        <v>111</v>
      </c>
      <c r="AB1689" s="8"/>
    </row>
    <row r="1690" spans="1:28" s="4" customFormat="1" ht="51.95" customHeight="1">
      <c r="A1690" s="5">
        <v>0</v>
      </c>
      <c r="B1690" s="6" t="s">
        <v>10499</v>
      </c>
      <c r="C1690" s="13">
        <v>3200</v>
      </c>
      <c r="D1690" s="8" t="s">
        <v>10500</v>
      </c>
      <c r="E1690" s="8" t="s">
        <v>10501</v>
      </c>
      <c r="F1690" s="8" t="s">
        <v>10502</v>
      </c>
      <c r="G1690" s="6" t="s">
        <v>52</v>
      </c>
      <c r="H1690" s="6" t="s">
        <v>674</v>
      </c>
      <c r="I1690" s="8"/>
      <c r="J1690" s="9">
        <v>1</v>
      </c>
      <c r="K1690" s="9">
        <v>936</v>
      </c>
      <c r="L1690" s="9">
        <v>2025</v>
      </c>
      <c r="M1690" s="8" t="s">
        <v>10503</v>
      </c>
      <c r="N1690" s="8" t="s">
        <v>41</v>
      </c>
      <c r="O1690" s="8" t="s">
        <v>676</v>
      </c>
      <c r="P1690" s="6" t="s">
        <v>43</v>
      </c>
      <c r="Q1690" s="8" t="s">
        <v>44</v>
      </c>
      <c r="R1690" s="10" t="s">
        <v>10504</v>
      </c>
      <c r="S1690" s="11" t="s">
        <v>10505</v>
      </c>
      <c r="T1690" s="6"/>
      <c r="U1690" s="24" t="str">
        <f>HYPERLINK("https://media.infra-m.ru/2162/2162307/cover/2162307.jpg", "Обложка")</f>
        <v>Обложка</v>
      </c>
      <c r="V1690" s="24" t="str">
        <f>HYPERLINK("https://znanium.ru/catalog/product/2162307", "Ознакомиться")</f>
        <v>Ознакомиться</v>
      </c>
      <c r="W1690" s="8" t="s">
        <v>7139</v>
      </c>
      <c r="X1690" s="6"/>
      <c r="Y1690" s="6"/>
      <c r="Z1690" s="6"/>
      <c r="AA1690" s="6" t="s">
        <v>10506</v>
      </c>
      <c r="AB1690" s="8"/>
    </row>
    <row r="1691" spans="1:28" s="4" customFormat="1" ht="51.95" customHeight="1">
      <c r="A1691" s="5">
        <v>0</v>
      </c>
      <c r="B1691" s="6" t="s">
        <v>10507</v>
      </c>
      <c r="C1691" s="13">
        <v>2399.9</v>
      </c>
      <c r="D1691" s="8" t="s">
        <v>10508</v>
      </c>
      <c r="E1691" s="8" t="s">
        <v>10509</v>
      </c>
      <c r="F1691" s="8" t="s">
        <v>10502</v>
      </c>
      <c r="G1691" s="6" t="s">
        <v>89</v>
      </c>
      <c r="H1691" s="6" t="s">
        <v>674</v>
      </c>
      <c r="I1691" s="8"/>
      <c r="J1691" s="9">
        <v>1</v>
      </c>
      <c r="K1691" s="9">
        <v>928</v>
      </c>
      <c r="L1691" s="9">
        <v>2020</v>
      </c>
      <c r="M1691" s="8" t="s">
        <v>10510</v>
      </c>
      <c r="N1691" s="8" t="s">
        <v>41</v>
      </c>
      <c r="O1691" s="8" t="s">
        <v>676</v>
      </c>
      <c r="P1691" s="6" t="s">
        <v>43</v>
      </c>
      <c r="Q1691" s="8" t="s">
        <v>44</v>
      </c>
      <c r="R1691" s="10" t="s">
        <v>10504</v>
      </c>
      <c r="S1691" s="11" t="s">
        <v>10505</v>
      </c>
      <c r="T1691" s="6"/>
      <c r="U1691" s="24" t="str">
        <f>HYPERLINK("https://media.infra-m.ru/1043/1043982/cover/1043982.jpg", "Обложка")</f>
        <v>Обложка</v>
      </c>
      <c r="V1691" s="24" t="str">
        <f>HYPERLINK("https://znanium.ru/catalog/product/2162307", "Ознакомиться")</f>
        <v>Ознакомиться</v>
      </c>
      <c r="W1691" s="8" t="s">
        <v>7139</v>
      </c>
      <c r="X1691" s="6"/>
      <c r="Y1691" s="6"/>
      <c r="Z1691" s="6"/>
      <c r="AA1691" s="6" t="s">
        <v>2313</v>
      </c>
      <c r="AB1691" s="8"/>
    </row>
    <row r="1692" spans="1:28" s="4" customFormat="1" ht="51.95" customHeight="1">
      <c r="A1692" s="5">
        <v>0</v>
      </c>
      <c r="B1692" s="6" t="s">
        <v>10511</v>
      </c>
      <c r="C1692" s="13">
        <v>3290</v>
      </c>
      <c r="D1692" s="8" t="s">
        <v>10512</v>
      </c>
      <c r="E1692" s="8" t="s">
        <v>10513</v>
      </c>
      <c r="F1692" s="8" t="s">
        <v>10502</v>
      </c>
      <c r="G1692" s="6" t="s">
        <v>52</v>
      </c>
      <c r="H1692" s="6" t="s">
        <v>674</v>
      </c>
      <c r="I1692" s="8"/>
      <c r="J1692" s="9">
        <v>1</v>
      </c>
      <c r="K1692" s="9">
        <v>864</v>
      </c>
      <c r="L1692" s="9">
        <v>2025</v>
      </c>
      <c r="M1692" s="8" t="s">
        <v>10514</v>
      </c>
      <c r="N1692" s="8" t="s">
        <v>41</v>
      </c>
      <c r="O1692" s="8" t="s">
        <v>676</v>
      </c>
      <c r="P1692" s="6" t="s">
        <v>43</v>
      </c>
      <c r="Q1692" s="8" t="s">
        <v>44</v>
      </c>
      <c r="R1692" s="10" t="s">
        <v>10515</v>
      </c>
      <c r="S1692" s="11" t="s">
        <v>10516</v>
      </c>
      <c r="T1692" s="6"/>
      <c r="U1692" s="24" t="str">
        <f>HYPERLINK("https://media.infra-m.ru/2192/2192970/cover/2192970.jpg", "Обложка")</f>
        <v>Обложка</v>
      </c>
      <c r="V1692" s="24" t="str">
        <f>HYPERLINK("https://znanium.ru/catalog/product/2192970", "Ознакомиться")</f>
        <v>Ознакомиться</v>
      </c>
      <c r="W1692" s="8" t="s">
        <v>7139</v>
      </c>
      <c r="X1692" s="6"/>
      <c r="Y1692" s="6"/>
      <c r="Z1692" s="6"/>
      <c r="AA1692" s="6" t="s">
        <v>10506</v>
      </c>
      <c r="AB1692" s="8"/>
    </row>
    <row r="1693" spans="1:28" s="4" customFormat="1" ht="51.95" customHeight="1">
      <c r="A1693" s="5">
        <v>0</v>
      </c>
      <c r="B1693" s="6" t="s">
        <v>10517</v>
      </c>
      <c r="C1693" s="13">
        <v>1300</v>
      </c>
      <c r="D1693" s="8" t="s">
        <v>10518</v>
      </c>
      <c r="E1693" s="8" t="s">
        <v>10519</v>
      </c>
      <c r="F1693" s="8" t="s">
        <v>10520</v>
      </c>
      <c r="G1693" s="6" t="s">
        <v>52</v>
      </c>
      <c r="H1693" s="6" t="s">
        <v>674</v>
      </c>
      <c r="I1693" s="8"/>
      <c r="J1693" s="9">
        <v>4</v>
      </c>
      <c r="K1693" s="9">
        <v>864</v>
      </c>
      <c r="L1693" s="9">
        <v>2017</v>
      </c>
      <c r="M1693" s="8" t="s">
        <v>10521</v>
      </c>
      <c r="N1693" s="8" t="s">
        <v>41</v>
      </c>
      <c r="O1693" s="8" t="s">
        <v>676</v>
      </c>
      <c r="P1693" s="6" t="s">
        <v>43</v>
      </c>
      <c r="Q1693" s="8" t="s">
        <v>44</v>
      </c>
      <c r="R1693" s="10" t="s">
        <v>10515</v>
      </c>
      <c r="S1693" s="11" t="s">
        <v>10522</v>
      </c>
      <c r="T1693" s="6"/>
      <c r="U1693" s="24" t="str">
        <f>HYPERLINK("https://media.infra-m.ru/0769/0769086/cover/769086.jpg", "Обложка")</f>
        <v>Обложка</v>
      </c>
      <c r="V1693" s="24" t="str">
        <f>HYPERLINK("https://znanium.ru/catalog/product/2192970", "Ознакомиться")</f>
        <v>Ознакомиться</v>
      </c>
      <c r="W1693" s="8" t="s">
        <v>7139</v>
      </c>
      <c r="X1693" s="6"/>
      <c r="Y1693" s="6"/>
      <c r="Z1693" s="6"/>
      <c r="AA1693" s="6" t="s">
        <v>9405</v>
      </c>
      <c r="AB1693" s="8"/>
    </row>
    <row r="1694" spans="1:28" s="4" customFormat="1" ht="51.95" customHeight="1">
      <c r="A1694" s="5">
        <v>0</v>
      </c>
      <c r="B1694" s="6" t="s">
        <v>10523</v>
      </c>
      <c r="C1694" s="13">
        <v>1290</v>
      </c>
      <c r="D1694" s="8" t="s">
        <v>10524</v>
      </c>
      <c r="E1694" s="8" t="s">
        <v>10525</v>
      </c>
      <c r="F1694" s="8" t="s">
        <v>10502</v>
      </c>
      <c r="G1694" s="6" t="s">
        <v>52</v>
      </c>
      <c r="H1694" s="6" t="s">
        <v>674</v>
      </c>
      <c r="I1694" s="8"/>
      <c r="J1694" s="9">
        <v>4</v>
      </c>
      <c r="K1694" s="9">
        <v>912</v>
      </c>
      <c r="L1694" s="9">
        <v>2017</v>
      </c>
      <c r="M1694" s="8" t="s">
        <v>10526</v>
      </c>
      <c r="N1694" s="8" t="s">
        <v>41</v>
      </c>
      <c r="O1694" s="8" t="s">
        <v>676</v>
      </c>
      <c r="P1694" s="6" t="s">
        <v>43</v>
      </c>
      <c r="Q1694" s="8" t="s">
        <v>44</v>
      </c>
      <c r="R1694" s="10" t="s">
        <v>10504</v>
      </c>
      <c r="S1694" s="11" t="s">
        <v>10505</v>
      </c>
      <c r="T1694" s="6"/>
      <c r="U1694" s="24" t="str">
        <f>HYPERLINK("https://media.infra-m.ru/0944/0944322/cover/944322.jpg", "Обложка")</f>
        <v>Обложка</v>
      </c>
      <c r="V1694" s="24" t="str">
        <f>HYPERLINK("https://znanium.ru/catalog/product/2162307", "Ознакомиться")</f>
        <v>Ознакомиться</v>
      </c>
      <c r="W1694" s="8" t="s">
        <v>7139</v>
      </c>
      <c r="X1694" s="6"/>
      <c r="Y1694" s="6"/>
      <c r="Z1694" s="6"/>
      <c r="AA1694" s="6" t="s">
        <v>9405</v>
      </c>
      <c r="AB1694" s="8"/>
    </row>
    <row r="1695" spans="1:28" s="4" customFormat="1" ht="51.95" customHeight="1">
      <c r="A1695" s="5">
        <v>0</v>
      </c>
      <c r="B1695" s="6" t="s">
        <v>10527</v>
      </c>
      <c r="C1695" s="13">
        <v>2250</v>
      </c>
      <c r="D1695" s="8" t="s">
        <v>10528</v>
      </c>
      <c r="E1695" s="8" t="s">
        <v>10529</v>
      </c>
      <c r="F1695" s="8" t="s">
        <v>10520</v>
      </c>
      <c r="G1695" s="6" t="s">
        <v>89</v>
      </c>
      <c r="H1695" s="6" t="s">
        <v>674</v>
      </c>
      <c r="I1695" s="8"/>
      <c r="J1695" s="9">
        <v>1</v>
      </c>
      <c r="K1695" s="9">
        <v>864</v>
      </c>
      <c r="L1695" s="9">
        <v>2020</v>
      </c>
      <c r="M1695" s="8" t="s">
        <v>10530</v>
      </c>
      <c r="N1695" s="8" t="s">
        <v>41</v>
      </c>
      <c r="O1695" s="8" t="s">
        <v>676</v>
      </c>
      <c r="P1695" s="6" t="s">
        <v>43</v>
      </c>
      <c r="Q1695" s="8" t="s">
        <v>44</v>
      </c>
      <c r="R1695" s="10" t="s">
        <v>10515</v>
      </c>
      <c r="S1695" s="11" t="s">
        <v>10522</v>
      </c>
      <c r="T1695" s="6"/>
      <c r="U1695" s="24" t="str">
        <f>HYPERLINK("https://media.infra-m.ru/1079/1079425/cover/1079425.jpg", "Обложка")</f>
        <v>Обложка</v>
      </c>
      <c r="V1695" s="24" t="str">
        <f>HYPERLINK("https://znanium.ru/catalog/product/2192970", "Ознакомиться")</f>
        <v>Ознакомиться</v>
      </c>
      <c r="W1695" s="8" t="s">
        <v>7139</v>
      </c>
      <c r="X1695" s="6"/>
      <c r="Y1695" s="6"/>
      <c r="Z1695" s="6"/>
      <c r="AA1695" s="6" t="s">
        <v>2313</v>
      </c>
      <c r="AB1695" s="8"/>
    </row>
    <row r="1696" spans="1:28" s="4" customFormat="1" ht="51.95" customHeight="1">
      <c r="A1696" s="5">
        <v>0</v>
      </c>
      <c r="B1696" s="6" t="s">
        <v>10531</v>
      </c>
      <c r="C1696" s="13">
        <v>1540</v>
      </c>
      <c r="D1696" s="8" t="s">
        <v>10532</v>
      </c>
      <c r="E1696" s="8" t="s">
        <v>10533</v>
      </c>
      <c r="F1696" s="8" t="s">
        <v>10534</v>
      </c>
      <c r="G1696" s="6" t="s">
        <v>89</v>
      </c>
      <c r="H1696" s="6" t="s">
        <v>674</v>
      </c>
      <c r="I1696" s="8"/>
      <c r="J1696" s="9">
        <v>1</v>
      </c>
      <c r="K1696" s="9">
        <v>328</v>
      </c>
      <c r="L1696" s="9">
        <v>2024</v>
      </c>
      <c r="M1696" s="8" t="s">
        <v>10535</v>
      </c>
      <c r="N1696" s="8" t="s">
        <v>41</v>
      </c>
      <c r="O1696" s="8" t="s">
        <v>676</v>
      </c>
      <c r="P1696" s="6" t="s">
        <v>187</v>
      </c>
      <c r="Q1696" s="8" t="s">
        <v>58</v>
      </c>
      <c r="R1696" s="10" t="s">
        <v>10536</v>
      </c>
      <c r="S1696" s="11"/>
      <c r="T1696" s="6"/>
      <c r="U1696" s="24" t="str">
        <f>HYPERLINK("https://media.infra-m.ru/2134/2134342/cover/2134342.jpg", "Обложка")</f>
        <v>Обложка</v>
      </c>
      <c r="V1696" s="24" t="str">
        <f>HYPERLINK("https://znanium.ru/catalog/product/2134342", "Ознакомиться")</f>
        <v>Ознакомиться</v>
      </c>
      <c r="W1696" s="8" t="s">
        <v>792</v>
      </c>
      <c r="X1696" s="6" t="s">
        <v>3761</v>
      </c>
      <c r="Y1696" s="6"/>
      <c r="Z1696" s="6"/>
      <c r="AA1696" s="6" t="s">
        <v>133</v>
      </c>
      <c r="AB1696" s="8"/>
    </row>
    <row r="1697" spans="1:28" s="4" customFormat="1" ht="51.95" customHeight="1">
      <c r="A1697" s="5">
        <v>0</v>
      </c>
      <c r="B1697" s="6" t="s">
        <v>10537</v>
      </c>
      <c r="C1697" s="13">
        <v>2000</v>
      </c>
      <c r="D1697" s="8" t="s">
        <v>10538</v>
      </c>
      <c r="E1697" s="8" t="s">
        <v>10539</v>
      </c>
      <c r="F1697" s="8" t="s">
        <v>10540</v>
      </c>
      <c r="G1697" s="6" t="s">
        <v>52</v>
      </c>
      <c r="H1697" s="6" t="s">
        <v>674</v>
      </c>
      <c r="I1697" s="8"/>
      <c r="J1697" s="9">
        <v>1</v>
      </c>
      <c r="K1697" s="9">
        <v>424</v>
      </c>
      <c r="L1697" s="9">
        <v>2024</v>
      </c>
      <c r="M1697" s="8" t="s">
        <v>10541</v>
      </c>
      <c r="N1697" s="8" t="s">
        <v>41</v>
      </c>
      <c r="O1697" s="8" t="s">
        <v>676</v>
      </c>
      <c r="P1697" s="6" t="s">
        <v>167</v>
      </c>
      <c r="Q1697" s="8" t="s">
        <v>44</v>
      </c>
      <c r="R1697" s="10" t="s">
        <v>10542</v>
      </c>
      <c r="S1697" s="11" t="s">
        <v>10543</v>
      </c>
      <c r="T1697" s="6"/>
      <c r="U1697" s="24" t="str">
        <f>HYPERLINK("https://media.infra-m.ru/2142/2142813/cover/2142813.jpg", "Обложка")</f>
        <v>Обложка</v>
      </c>
      <c r="V1697" s="24" t="str">
        <f>HYPERLINK("https://znanium.ru/catalog/product/2142813", "Ознакомиться")</f>
        <v>Ознакомиться</v>
      </c>
      <c r="W1697" s="8" t="s">
        <v>10544</v>
      </c>
      <c r="X1697" s="6"/>
      <c r="Y1697" s="6"/>
      <c r="Z1697" s="6"/>
      <c r="AA1697" s="6" t="s">
        <v>95</v>
      </c>
      <c r="AB1697" s="8"/>
    </row>
    <row r="1698" spans="1:28" s="4" customFormat="1" ht="51.95" customHeight="1">
      <c r="A1698" s="5">
        <v>0</v>
      </c>
      <c r="B1698" s="6" t="s">
        <v>10545</v>
      </c>
      <c r="C1698" s="13">
        <v>2040</v>
      </c>
      <c r="D1698" s="8" t="s">
        <v>10546</v>
      </c>
      <c r="E1698" s="8" t="s">
        <v>10539</v>
      </c>
      <c r="F1698" s="8" t="s">
        <v>10547</v>
      </c>
      <c r="G1698" s="6" t="s">
        <v>52</v>
      </c>
      <c r="H1698" s="6" t="s">
        <v>184</v>
      </c>
      <c r="I1698" s="8" t="s">
        <v>116</v>
      </c>
      <c r="J1698" s="9">
        <v>1</v>
      </c>
      <c r="K1698" s="9">
        <v>443</v>
      </c>
      <c r="L1698" s="9">
        <v>2023</v>
      </c>
      <c r="M1698" s="8" t="s">
        <v>10548</v>
      </c>
      <c r="N1698" s="8" t="s">
        <v>41</v>
      </c>
      <c r="O1698" s="8" t="s">
        <v>676</v>
      </c>
      <c r="P1698" s="6" t="s">
        <v>167</v>
      </c>
      <c r="Q1698" s="8" t="s">
        <v>44</v>
      </c>
      <c r="R1698" s="10" t="s">
        <v>10549</v>
      </c>
      <c r="S1698" s="11"/>
      <c r="T1698" s="6" t="s">
        <v>299</v>
      </c>
      <c r="U1698" s="24" t="str">
        <f>HYPERLINK("https://media.infra-m.ru/2109/2109554/cover/2109554.jpg", "Обложка")</f>
        <v>Обложка</v>
      </c>
      <c r="V1698" s="24" t="str">
        <f>HYPERLINK("https://znanium.ru/catalog/product/1893958", "Ознакомиться")</f>
        <v>Ознакомиться</v>
      </c>
      <c r="W1698" s="8" t="s">
        <v>94</v>
      </c>
      <c r="X1698" s="6"/>
      <c r="Y1698" s="6"/>
      <c r="Z1698" s="6"/>
      <c r="AA1698" s="6" t="s">
        <v>813</v>
      </c>
      <c r="AB1698" s="8"/>
    </row>
    <row r="1699" spans="1:28" s="4" customFormat="1" ht="51.95" customHeight="1">
      <c r="A1699" s="5">
        <v>0</v>
      </c>
      <c r="B1699" s="6" t="s">
        <v>10550</v>
      </c>
      <c r="C1699" s="13">
        <v>2250</v>
      </c>
      <c r="D1699" s="8" t="s">
        <v>10551</v>
      </c>
      <c r="E1699" s="8" t="s">
        <v>10539</v>
      </c>
      <c r="F1699" s="8" t="s">
        <v>10552</v>
      </c>
      <c r="G1699" s="6" t="s">
        <v>52</v>
      </c>
      <c r="H1699" s="6" t="s">
        <v>674</v>
      </c>
      <c r="I1699" s="8"/>
      <c r="J1699" s="9">
        <v>1</v>
      </c>
      <c r="K1699" s="9">
        <v>496</v>
      </c>
      <c r="L1699" s="9">
        <v>2024</v>
      </c>
      <c r="M1699" s="8" t="s">
        <v>10553</v>
      </c>
      <c r="N1699" s="8" t="s">
        <v>41</v>
      </c>
      <c r="O1699" s="8" t="s">
        <v>676</v>
      </c>
      <c r="P1699" s="6" t="s">
        <v>167</v>
      </c>
      <c r="Q1699" s="8" t="s">
        <v>44</v>
      </c>
      <c r="R1699" s="10" t="s">
        <v>10542</v>
      </c>
      <c r="S1699" s="11" t="s">
        <v>10554</v>
      </c>
      <c r="T1699" s="6"/>
      <c r="U1699" s="24" t="str">
        <f>HYPERLINK("https://media.infra-m.ru/2121/2121164/cover/2121164.jpg", "Обложка")</f>
        <v>Обложка</v>
      </c>
      <c r="V1699" s="24" t="str">
        <f>HYPERLINK("https://znanium.ru/catalog/product/2188397", "Ознакомиться")</f>
        <v>Ознакомиться</v>
      </c>
      <c r="W1699" s="8" t="s">
        <v>808</v>
      </c>
      <c r="X1699" s="6"/>
      <c r="Y1699" s="6"/>
      <c r="Z1699" s="6"/>
      <c r="AA1699" s="6" t="s">
        <v>513</v>
      </c>
      <c r="AB1699" s="8"/>
    </row>
    <row r="1700" spans="1:28" s="4" customFormat="1" ht="51.95" customHeight="1">
      <c r="A1700" s="5">
        <v>0</v>
      </c>
      <c r="B1700" s="6" t="s">
        <v>10555</v>
      </c>
      <c r="C1700" s="13">
        <v>2750</v>
      </c>
      <c r="D1700" s="8" t="s">
        <v>10556</v>
      </c>
      <c r="E1700" s="8" t="s">
        <v>10557</v>
      </c>
      <c r="F1700" s="8" t="s">
        <v>10552</v>
      </c>
      <c r="G1700" s="6" t="s">
        <v>52</v>
      </c>
      <c r="H1700" s="6" t="s">
        <v>674</v>
      </c>
      <c r="I1700" s="8"/>
      <c r="J1700" s="9">
        <v>1</v>
      </c>
      <c r="K1700" s="9">
        <v>528</v>
      </c>
      <c r="L1700" s="9">
        <v>2025</v>
      </c>
      <c r="M1700" s="8" t="s">
        <v>10558</v>
      </c>
      <c r="N1700" s="8" t="s">
        <v>41</v>
      </c>
      <c r="O1700" s="8" t="s">
        <v>676</v>
      </c>
      <c r="P1700" s="6" t="s">
        <v>167</v>
      </c>
      <c r="Q1700" s="8" t="s">
        <v>44</v>
      </c>
      <c r="R1700" s="10" t="s">
        <v>10542</v>
      </c>
      <c r="S1700" s="11" t="s">
        <v>10554</v>
      </c>
      <c r="T1700" s="6"/>
      <c r="U1700" s="24" t="str">
        <f>HYPERLINK("https://media.infra-m.ru/2188/2188397/cover/2188397.jpg", "Обложка")</f>
        <v>Обложка</v>
      </c>
      <c r="V1700" s="24" t="str">
        <f>HYPERLINK("https://znanium.ru/catalog/product/2188397", "Ознакомиться")</f>
        <v>Ознакомиться</v>
      </c>
      <c r="W1700" s="8" t="s">
        <v>808</v>
      </c>
      <c r="X1700" s="6" t="s">
        <v>60</v>
      </c>
      <c r="Y1700" s="6"/>
      <c r="Z1700" s="6"/>
      <c r="AA1700" s="6" t="s">
        <v>818</v>
      </c>
      <c r="AB1700" s="8"/>
    </row>
    <row r="1701" spans="1:28" s="4" customFormat="1" ht="42" customHeight="1">
      <c r="A1701" s="5">
        <v>0</v>
      </c>
      <c r="B1701" s="6" t="s">
        <v>10559</v>
      </c>
      <c r="C1701" s="13">
        <v>1850</v>
      </c>
      <c r="D1701" s="8" t="s">
        <v>10560</v>
      </c>
      <c r="E1701" s="8" t="s">
        <v>10533</v>
      </c>
      <c r="F1701" s="8" t="s">
        <v>10561</v>
      </c>
      <c r="G1701" s="6" t="s">
        <v>89</v>
      </c>
      <c r="H1701" s="6" t="s">
        <v>184</v>
      </c>
      <c r="I1701" s="8" t="s">
        <v>116</v>
      </c>
      <c r="J1701" s="9">
        <v>1</v>
      </c>
      <c r="K1701" s="9">
        <v>487</v>
      </c>
      <c r="L1701" s="9">
        <v>2022</v>
      </c>
      <c r="M1701" s="8" t="s">
        <v>10562</v>
      </c>
      <c r="N1701" s="8" t="s">
        <v>41</v>
      </c>
      <c r="O1701" s="8" t="s">
        <v>676</v>
      </c>
      <c r="P1701" s="6" t="s">
        <v>167</v>
      </c>
      <c r="Q1701" s="8" t="s">
        <v>44</v>
      </c>
      <c r="R1701" s="10" t="s">
        <v>791</v>
      </c>
      <c r="S1701" s="11"/>
      <c r="T1701" s="6" t="s">
        <v>299</v>
      </c>
      <c r="U1701" s="24" t="str">
        <f>HYPERLINK("https://media.infra-m.ru/1862/1862171/cover/1862171.jpg", "Обложка")</f>
        <v>Обложка</v>
      </c>
      <c r="V1701" s="24" t="str">
        <f>HYPERLINK("https://znanium.ru/catalog/product/1902449", "Ознакомиться")</f>
        <v>Ознакомиться</v>
      </c>
      <c r="W1701" s="8" t="s">
        <v>792</v>
      </c>
      <c r="X1701" s="6"/>
      <c r="Y1701" s="6"/>
      <c r="Z1701" s="6"/>
      <c r="AA1701" s="6" t="s">
        <v>219</v>
      </c>
      <c r="AB1701" s="8"/>
    </row>
    <row r="1702" spans="1:28" s="4" customFormat="1" ht="42" customHeight="1">
      <c r="A1702" s="5">
        <v>0</v>
      </c>
      <c r="B1702" s="6" t="s">
        <v>10563</v>
      </c>
      <c r="C1702" s="13">
        <v>2260</v>
      </c>
      <c r="D1702" s="8" t="s">
        <v>10564</v>
      </c>
      <c r="E1702" s="8" t="s">
        <v>10539</v>
      </c>
      <c r="F1702" s="8" t="s">
        <v>10561</v>
      </c>
      <c r="G1702" s="6" t="s">
        <v>52</v>
      </c>
      <c r="H1702" s="6" t="s">
        <v>184</v>
      </c>
      <c r="I1702" s="8" t="s">
        <v>116</v>
      </c>
      <c r="J1702" s="9">
        <v>1</v>
      </c>
      <c r="K1702" s="9">
        <v>491</v>
      </c>
      <c r="L1702" s="9">
        <v>2023</v>
      </c>
      <c r="M1702" s="8" t="s">
        <v>10565</v>
      </c>
      <c r="N1702" s="8" t="s">
        <v>41</v>
      </c>
      <c r="O1702" s="8" t="s">
        <v>676</v>
      </c>
      <c r="P1702" s="6" t="s">
        <v>167</v>
      </c>
      <c r="Q1702" s="8" t="s">
        <v>44</v>
      </c>
      <c r="R1702" s="10" t="s">
        <v>791</v>
      </c>
      <c r="S1702" s="11"/>
      <c r="T1702" s="6"/>
      <c r="U1702" s="24" t="str">
        <f>HYPERLINK("https://media.infra-m.ru/1939/1939045/cover/1939045.jpg", "Обложка")</f>
        <v>Обложка</v>
      </c>
      <c r="V1702" s="24" t="str">
        <f>HYPERLINK("https://znanium.ru/catalog/product/1902449", "Ознакомиться")</f>
        <v>Ознакомиться</v>
      </c>
      <c r="W1702" s="8" t="s">
        <v>792</v>
      </c>
      <c r="X1702" s="6"/>
      <c r="Y1702" s="6"/>
      <c r="Z1702" s="6"/>
      <c r="AA1702" s="6" t="s">
        <v>813</v>
      </c>
      <c r="AB1702" s="8"/>
    </row>
    <row r="1703" spans="1:28" s="4" customFormat="1" ht="42" customHeight="1">
      <c r="A1703" s="5">
        <v>0</v>
      </c>
      <c r="B1703" s="6" t="s">
        <v>10566</v>
      </c>
      <c r="C1703" s="13">
        <v>1889.9</v>
      </c>
      <c r="D1703" s="8" t="s">
        <v>10567</v>
      </c>
      <c r="E1703" s="8" t="s">
        <v>10568</v>
      </c>
      <c r="F1703" s="8" t="s">
        <v>10569</v>
      </c>
      <c r="G1703" s="6" t="s">
        <v>52</v>
      </c>
      <c r="H1703" s="6" t="s">
        <v>674</v>
      </c>
      <c r="I1703" s="8"/>
      <c r="J1703" s="9">
        <v>1</v>
      </c>
      <c r="K1703" s="9">
        <v>496</v>
      </c>
      <c r="L1703" s="9">
        <v>2022</v>
      </c>
      <c r="M1703" s="8" t="s">
        <v>10570</v>
      </c>
      <c r="N1703" s="8" t="s">
        <v>41</v>
      </c>
      <c r="O1703" s="8" t="s">
        <v>676</v>
      </c>
      <c r="P1703" s="6" t="s">
        <v>167</v>
      </c>
      <c r="Q1703" s="8" t="s">
        <v>102</v>
      </c>
      <c r="R1703" s="10" t="s">
        <v>256</v>
      </c>
      <c r="S1703" s="11"/>
      <c r="T1703" s="6"/>
      <c r="U1703" s="24" t="str">
        <f>HYPERLINK("https://media.infra-m.ru/1861/1861456/cover/1861456.jpg", "Обложка")</f>
        <v>Обложка</v>
      </c>
      <c r="V1703" s="24" t="str">
        <f>HYPERLINK("https://znanium.ru/catalog/product/1861456", "Ознакомиться")</f>
        <v>Ознакомиться</v>
      </c>
      <c r="W1703" s="8" t="s">
        <v>808</v>
      </c>
      <c r="X1703" s="6"/>
      <c r="Y1703" s="6"/>
      <c r="Z1703" s="6"/>
      <c r="AA1703" s="6" t="s">
        <v>235</v>
      </c>
      <c r="AB1703" s="8"/>
    </row>
    <row r="1704" spans="1:28" s="4" customFormat="1" ht="51.95" customHeight="1">
      <c r="A1704" s="5">
        <v>0</v>
      </c>
      <c r="B1704" s="6" t="s">
        <v>10571</v>
      </c>
      <c r="C1704" s="13">
        <v>1094.9000000000001</v>
      </c>
      <c r="D1704" s="8" t="s">
        <v>10572</v>
      </c>
      <c r="E1704" s="8" t="s">
        <v>10533</v>
      </c>
      <c r="F1704" s="8" t="s">
        <v>10552</v>
      </c>
      <c r="G1704" s="6" t="s">
        <v>52</v>
      </c>
      <c r="H1704" s="6" t="s">
        <v>674</v>
      </c>
      <c r="I1704" s="8"/>
      <c r="J1704" s="9">
        <v>1</v>
      </c>
      <c r="K1704" s="9">
        <v>448</v>
      </c>
      <c r="L1704" s="9">
        <v>2018</v>
      </c>
      <c r="M1704" s="8" t="s">
        <v>10573</v>
      </c>
      <c r="N1704" s="8" t="s">
        <v>41</v>
      </c>
      <c r="O1704" s="8" t="s">
        <v>676</v>
      </c>
      <c r="P1704" s="6" t="s">
        <v>167</v>
      </c>
      <c r="Q1704" s="8" t="s">
        <v>44</v>
      </c>
      <c r="R1704" s="10" t="s">
        <v>10542</v>
      </c>
      <c r="S1704" s="11" t="s">
        <v>10554</v>
      </c>
      <c r="T1704" s="6"/>
      <c r="U1704" s="24" t="str">
        <f>HYPERLINK("https://media.infra-m.ru/0935/0935574/cover/935574.jpg", "Обложка")</f>
        <v>Обложка</v>
      </c>
      <c r="V1704" s="24" t="str">
        <f>HYPERLINK("https://znanium.ru/catalog/product/2188397", "Ознакомиться")</f>
        <v>Ознакомиться</v>
      </c>
      <c r="W1704" s="8" t="s">
        <v>808</v>
      </c>
      <c r="X1704" s="6"/>
      <c r="Y1704" s="6"/>
      <c r="Z1704" s="6"/>
      <c r="AA1704" s="6" t="s">
        <v>84</v>
      </c>
      <c r="AB1704" s="8"/>
    </row>
    <row r="1705" spans="1:28" s="4" customFormat="1" ht="51.95" customHeight="1">
      <c r="A1705" s="5">
        <v>0</v>
      </c>
      <c r="B1705" s="6" t="s">
        <v>10574</v>
      </c>
      <c r="C1705" s="7">
        <v>739.9</v>
      </c>
      <c r="D1705" s="8" t="s">
        <v>10575</v>
      </c>
      <c r="E1705" s="8" t="s">
        <v>10533</v>
      </c>
      <c r="F1705" s="8" t="s">
        <v>10540</v>
      </c>
      <c r="G1705" s="6" t="s">
        <v>4902</v>
      </c>
      <c r="H1705" s="6" t="s">
        <v>674</v>
      </c>
      <c r="I1705" s="8"/>
      <c r="J1705" s="9">
        <v>10</v>
      </c>
      <c r="K1705" s="9">
        <v>368</v>
      </c>
      <c r="L1705" s="9">
        <v>2016</v>
      </c>
      <c r="M1705" s="8" t="s">
        <v>10576</v>
      </c>
      <c r="N1705" s="8" t="s">
        <v>41</v>
      </c>
      <c r="O1705" s="8" t="s">
        <v>676</v>
      </c>
      <c r="P1705" s="6" t="s">
        <v>167</v>
      </c>
      <c r="Q1705" s="8" t="s">
        <v>44</v>
      </c>
      <c r="R1705" s="10" t="s">
        <v>10542</v>
      </c>
      <c r="S1705" s="11" t="s">
        <v>10543</v>
      </c>
      <c r="T1705" s="6"/>
      <c r="U1705" s="12"/>
      <c r="V1705" s="24" t="str">
        <f>HYPERLINK("https://znanium.ru/catalog/product/2142813", "Ознакомиться")</f>
        <v>Ознакомиться</v>
      </c>
      <c r="W1705" s="8" t="s">
        <v>10544</v>
      </c>
      <c r="X1705" s="6"/>
      <c r="Y1705" s="6"/>
      <c r="Z1705" s="6"/>
      <c r="AA1705" s="6" t="s">
        <v>418</v>
      </c>
      <c r="AB1705" s="8"/>
    </row>
    <row r="1706" spans="1:28" s="4" customFormat="1" ht="51.95" customHeight="1">
      <c r="A1706" s="5">
        <v>0</v>
      </c>
      <c r="B1706" s="6" t="s">
        <v>10577</v>
      </c>
      <c r="C1706" s="13">
        <v>1330</v>
      </c>
      <c r="D1706" s="8" t="s">
        <v>10578</v>
      </c>
      <c r="E1706" s="8" t="s">
        <v>10533</v>
      </c>
      <c r="F1706" s="8" t="s">
        <v>10547</v>
      </c>
      <c r="G1706" s="6" t="s">
        <v>52</v>
      </c>
      <c r="H1706" s="6" t="s">
        <v>184</v>
      </c>
      <c r="I1706" s="8" t="s">
        <v>90</v>
      </c>
      <c r="J1706" s="9">
        <v>1</v>
      </c>
      <c r="K1706" s="9">
        <v>390</v>
      </c>
      <c r="L1706" s="9">
        <v>2020</v>
      </c>
      <c r="M1706" s="8" t="s">
        <v>10579</v>
      </c>
      <c r="N1706" s="8" t="s">
        <v>41</v>
      </c>
      <c r="O1706" s="8" t="s">
        <v>676</v>
      </c>
      <c r="P1706" s="6" t="s">
        <v>167</v>
      </c>
      <c r="Q1706" s="8" t="s">
        <v>44</v>
      </c>
      <c r="R1706" s="10" t="s">
        <v>10549</v>
      </c>
      <c r="S1706" s="11"/>
      <c r="T1706" s="6" t="s">
        <v>299</v>
      </c>
      <c r="U1706" s="24" t="str">
        <f>HYPERLINK("https://media.infra-m.ru/1094/1094315/cover/1094315.jpg", "Обложка")</f>
        <v>Обложка</v>
      </c>
      <c r="V1706" s="24" t="str">
        <f>HYPERLINK("https://znanium.ru/catalog/product/1893958", "Ознакомиться")</f>
        <v>Ознакомиться</v>
      </c>
      <c r="W1706" s="8" t="s">
        <v>94</v>
      </c>
      <c r="X1706" s="6"/>
      <c r="Y1706" s="6"/>
      <c r="Z1706" s="6"/>
      <c r="AA1706" s="6" t="s">
        <v>418</v>
      </c>
      <c r="AB1706" s="8"/>
    </row>
    <row r="1707" spans="1:28" s="4" customFormat="1" ht="51.95" customHeight="1">
      <c r="A1707" s="5">
        <v>0</v>
      </c>
      <c r="B1707" s="6" t="s">
        <v>10580</v>
      </c>
      <c r="C1707" s="7">
        <v>530</v>
      </c>
      <c r="D1707" s="8" t="s">
        <v>10581</v>
      </c>
      <c r="E1707" s="8" t="s">
        <v>10582</v>
      </c>
      <c r="F1707" s="8" t="s">
        <v>10583</v>
      </c>
      <c r="G1707" s="6" t="s">
        <v>38</v>
      </c>
      <c r="H1707" s="6" t="s">
        <v>184</v>
      </c>
      <c r="I1707" s="8" t="s">
        <v>116</v>
      </c>
      <c r="J1707" s="9">
        <v>1</v>
      </c>
      <c r="K1707" s="9">
        <v>112</v>
      </c>
      <c r="L1707" s="9">
        <v>2024</v>
      </c>
      <c r="M1707" s="8" t="s">
        <v>10584</v>
      </c>
      <c r="N1707" s="8" t="s">
        <v>41</v>
      </c>
      <c r="O1707" s="8" t="s">
        <v>676</v>
      </c>
      <c r="P1707" s="6" t="s">
        <v>43</v>
      </c>
      <c r="Q1707" s="8" t="s">
        <v>58</v>
      </c>
      <c r="R1707" s="10" t="s">
        <v>5947</v>
      </c>
      <c r="S1707" s="11"/>
      <c r="T1707" s="6"/>
      <c r="U1707" s="24" t="str">
        <f>HYPERLINK("https://media.infra-m.ru/2136/2136623/cover/2136623.jpg", "Обложка")</f>
        <v>Обложка</v>
      </c>
      <c r="V1707" s="24" t="str">
        <f>HYPERLINK("https://znanium.ru/catalog/product/2136623", "Ознакомиться")</f>
        <v>Ознакомиться</v>
      </c>
      <c r="W1707" s="8" t="s">
        <v>6464</v>
      </c>
      <c r="X1707" s="6" t="s">
        <v>3761</v>
      </c>
      <c r="Y1707" s="6"/>
      <c r="Z1707" s="6"/>
      <c r="AA1707" s="6" t="s">
        <v>105</v>
      </c>
      <c r="AB1707" s="8"/>
    </row>
    <row r="1708" spans="1:28" s="4" customFormat="1" ht="51.95" customHeight="1">
      <c r="A1708" s="5">
        <v>0</v>
      </c>
      <c r="B1708" s="6" t="s">
        <v>10585</v>
      </c>
      <c r="C1708" s="7">
        <v>300</v>
      </c>
      <c r="D1708" s="8" t="s">
        <v>10586</v>
      </c>
      <c r="E1708" s="8" t="s">
        <v>10587</v>
      </c>
      <c r="F1708" s="8" t="s">
        <v>10583</v>
      </c>
      <c r="G1708" s="6" t="s">
        <v>38</v>
      </c>
      <c r="H1708" s="6" t="s">
        <v>184</v>
      </c>
      <c r="I1708" s="8"/>
      <c r="J1708" s="9">
        <v>1</v>
      </c>
      <c r="K1708" s="9">
        <v>84</v>
      </c>
      <c r="L1708" s="9">
        <v>2019</v>
      </c>
      <c r="M1708" s="8" t="s">
        <v>10588</v>
      </c>
      <c r="N1708" s="8" t="s">
        <v>41</v>
      </c>
      <c r="O1708" s="8" t="s">
        <v>676</v>
      </c>
      <c r="P1708" s="6" t="s">
        <v>43</v>
      </c>
      <c r="Q1708" s="8" t="s">
        <v>44</v>
      </c>
      <c r="R1708" s="10" t="s">
        <v>5947</v>
      </c>
      <c r="S1708" s="11"/>
      <c r="T1708" s="6"/>
      <c r="U1708" s="24" t="str">
        <f>HYPERLINK("https://media.infra-m.ru/1029/1029095/cover/1029095.jpg", "Обложка")</f>
        <v>Обложка</v>
      </c>
      <c r="V1708" s="24" t="str">
        <f>HYPERLINK("https://znanium.ru/catalog/product/2136623", "Ознакомиться")</f>
        <v>Ознакомиться</v>
      </c>
      <c r="W1708" s="8" t="s">
        <v>6464</v>
      </c>
      <c r="X1708" s="6"/>
      <c r="Y1708" s="6"/>
      <c r="Z1708" s="6"/>
      <c r="AA1708" s="6" t="s">
        <v>151</v>
      </c>
      <c r="AB1708" s="8"/>
    </row>
    <row r="1709" spans="1:28" s="4" customFormat="1" ht="51.95" customHeight="1">
      <c r="A1709" s="5">
        <v>0</v>
      </c>
      <c r="B1709" s="6" t="s">
        <v>10589</v>
      </c>
      <c r="C1709" s="13">
        <v>3100</v>
      </c>
      <c r="D1709" s="8" t="s">
        <v>10590</v>
      </c>
      <c r="E1709" s="8" t="s">
        <v>10591</v>
      </c>
      <c r="F1709" s="8" t="s">
        <v>10592</v>
      </c>
      <c r="G1709" s="6" t="s">
        <v>52</v>
      </c>
      <c r="H1709" s="6" t="s">
        <v>674</v>
      </c>
      <c r="I1709" s="8"/>
      <c r="J1709" s="9">
        <v>1</v>
      </c>
      <c r="K1709" s="9">
        <v>704</v>
      </c>
      <c r="L1709" s="9">
        <v>2025</v>
      </c>
      <c r="M1709" s="8" t="s">
        <v>10593</v>
      </c>
      <c r="N1709" s="8" t="s">
        <v>41</v>
      </c>
      <c r="O1709" s="8" t="s">
        <v>676</v>
      </c>
      <c r="P1709" s="6" t="s">
        <v>167</v>
      </c>
      <c r="Q1709" s="8" t="s">
        <v>44</v>
      </c>
      <c r="R1709" s="10" t="s">
        <v>10515</v>
      </c>
      <c r="S1709" s="11"/>
      <c r="T1709" s="6"/>
      <c r="U1709" s="24" t="str">
        <f>HYPERLINK("https://media.infra-m.ru/2176/2176180/cover/2176180.jpg", "Обложка")</f>
        <v>Обложка</v>
      </c>
      <c r="V1709" s="24" t="str">
        <f>HYPERLINK("https://znanium.ru/catalog/product/2176180", "Ознакомиться")</f>
        <v>Ознакомиться</v>
      </c>
      <c r="W1709" s="8" t="s">
        <v>3282</v>
      </c>
      <c r="X1709" s="6"/>
      <c r="Y1709" s="6"/>
      <c r="Z1709" s="6"/>
      <c r="AA1709" s="6" t="s">
        <v>10594</v>
      </c>
      <c r="AB1709" s="8"/>
    </row>
    <row r="1710" spans="1:28" s="4" customFormat="1" ht="42" customHeight="1">
      <c r="A1710" s="5">
        <v>0</v>
      </c>
      <c r="B1710" s="6" t="s">
        <v>10595</v>
      </c>
      <c r="C1710" s="13">
        <v>1860</v>
      </c>
      <c r="D1710" s="8" t="s">
        <v>10596</v>
      </c>
      <c r="E1710" s="8" t="s">
        <v>10597</v>
      </c>
      <c r="F1710" s="8" t="s">
        <v>10561</v>
      </c>
      <c r="G1710" s="6" t="s">
        <v>52</v>
      </c>
      <c r="H1710" s="6" t="s">
        <v>184</v>
      </c>
      <c r="I1710" s="8" t="s">
        <v>185</v>
      </c>
      <c r="J1710" s="9">
        <v>1</v>
      </c>
      <c r="K1710" s="9">
        <v>398</v>
      </c>
      <c r="L1710" s="9">
        <v>2022</v>
      </c>
      <c r="M1710" s="8" t="s">
        <v>10598</v>
      </c>
      <c r="N1710" s="8" t="s">
        <v>41</v>
      </c>
      <c r="O1710" s="8" t="s">
        <v>676</v>
      </c>
      <c r="P1710" s="6" t="s">
        <v>167</v>
      </c>
      <c r="Q1710" s="8" t="s">
        <v>102</v>
      </c>
      <c r="R1710" s="10" t="s">
        <v>10599</v>
      </c>
      <c r="S1710" s="11"/>
      <c r="T1710" s="6"/>
      <c r="U1710" s="24" t="str">
        <f>HYPERLINK("https://media.infra-m.ru/1850/1850574/cover/1850574.jpg", "Обложка")</f>
        <v>Обложка</v>
      </c>
      <c r="V1710" s="24" t="str">
        <f>HYPERLINK("https://znanium.ru/catalog/product/2186023", "Ознакомиться")</f>
        <v>Ознакомиться</v>
      </c>
      <c r="W1710" s="8" t="s">
        <v>792</v>
      </c>
      <c r="X1710" s="6"/>
      <c r="Y1710" s="6"/>
      <c r="Z1710" s="6" t="s">
        <v>104</v>
      </c>
      <c r="AA1710" s="6" t="s">
        <v>235</v>
      </c>
      <c r="AB1710" s="8"/>
    </row>
    <row r="1711" spans="1:28" s="4" customFormat="1" ht="42" customHeight="1">
      <c r="A1711" s="5">
        <v>0</v>
      </c>
      <c r="B1711" s="6" t="s">
        <v>10600</v>
      </c>
      <c r="C1711" s="13">
        <v>1990</v>
      </c>
      <c r="D1711" s="8" t="s">
        <v>10601</v>
      </c>
      <c r="E1711" s="8" t="s">
        <v>10602</v>
      </c>
      <c r="F1711" s="8" t="s">
        <v>10561</v>
      </c>
      <c r="G1711" s="6" t="s">
        <v>52</v>
      </c>
      <c r="H1711" s="6" t="s">
        <v>184</v>
      </c>
      <c r="I1711" s="8" t="s">
        <v>185</v>
      </c>
      <c r="J1711" s="9">
        <v>1</v>
      </c>
      <c r="K1711" s="9">
        <v>402</v>
      </c>
      <c r="L1711" s="9">
        <v>2024</v>
      </c>
      <c r="M1711" s="8" t="s">
        <v>10603</v>
      </c>
      <c r="N1711" s="8" t="s">
        <v>41</v>
      </c>
      <c r="O1711" s="8" t="s">
        <v>676</v>
      </c>
      <c r="P1711" s="6" t="s">
        <v>167</v>
      </c>
      <c r="Q1711" s="8" t="s">
        <v>102</v>
      </c>
      <c r="R1711" s="10" t="s">
        <v>10599</v>
      </c>
      <c r="S1711" s="11"/>
      <c r="T1711" s="6"/>
      <c r="U1711" s="24" t="str">
        <f>HYPERLINK("https://media.infra-m.ru/2185/2185019/cover/2185019.jpg", "Обложка")</f>
        <v>Обложка</v>
      </c>
      <c r="V1711" s="24" t="str">
        <f>HYPERLINK("https://znanium.ru/catalog/product/2186023", "Ознакомиться")</f>
        <v>Ознакомиться</v>
      </c>
      <c r="W1711" s="8" t="s">
        <v>792</v>
      </c>
      <c r="X1711" s="6"/>
      <c r="Y1711" s="6"/>
      <c r="Z1711" s="6" t="s">
        <v>104</v>
      </c>
      <c r="AA1711" s="6" t="s">
        <v>105</v>
      </c>
      <c r="AB1711" s="8"/>
    </row>
    <row r="1712" spans="1:28" s="4" customFormat="1" ht="42" customHeight="1">
      <c r="A1712" s="5">
        <v>0</v>
      </c>
      <c r="B1712" s="6" t="s">
        <v>10604</v>
      </c>
      <c r="C1712" s="13">
        <v>2050</v>
      </c>
      <c r="D1712" s="8" t="s">
        <v>10605</v>
      </c>
      <c r="E1712" s="8" t="s">
        <v>10606</v>
      </c>
      <c r="F1712" s="8" t="s">
        <v>10561</v>
      </c>
      <c r="G1712" s="6" t="s">
        <v>52</v>
      </c>
      <c r="H1712" s="6" t="s">
        <v>184</v>
      </c>
      <c r="I1712" s="8" t="s">
        <v>185</v>
      </c>
      <c r="J1712" s="9">
        <v>1</v>
      </c>
      <c r="K1712" s="9">
        <v>405</v>
      </c>
      <c r="L1712" s="9">
        <v>2025</v>
      </c>
      <c r="M1712" s="8" t="s">
        <v>10607</v>
      </c>
      <c r="N1712" s="8" t="s">
        <v>41</v>
      </c>
      <c r="O1712" s="8" t="s">
        <v>676</v>
      </c>
      <c r="P1712" s="6" t="s">
        <v>167</v>
      </c>
      <c r="Q1712" s="8" t="s">
        <v>102</v>
      </c>
      <c r="R1712" s="10" t="s">
        <v>10599</v>
      </c>
      <c r="S1712" s="11"/>
      <c r="T1712" s="6"/>
      <c r="U1712" s="24" t="str">
        <f>HYPERLINK("https://media.infra-m.ru/2196/2196304/cover/2196304.jpg", "Обложка")</f>
        <v>Обложка</v>
      </c>
      <c r="V1712" s="24" t="str">
        <f>HYPERLINK("https://znanium.ru/catalog/product/2186023", "Ознакомиться")</f>
        <v>Ознакомиться</v>
      </c>
      <c r="W1712" s="8" t="s">
        <v>792</v>
      </c>
      <c r="X1712" s="6"/>
      <c r="Y1712" s="6"/>
      <c r="Z1712" s="6" t="s">
        <v>104</v>
      </c>
      <c r="AA1712" s="6" t="s">
        <v>818</v>
      </c>
      <c r="AB1712" s="8"/>
    </row>
    <row r="1713" spans="1:28" s="4" customFormat="1" ht="51.95" customHeight="1">
      <c r="A1713" s="5">
        <v>0</v>
      </c>
      <c r="B1713" s="6" t="s">
        <v>10608</v>
      </c>
      <c r="C1713" s="13">
        <v>1160</v>
      </c>
      <c r="D1713" s="8" t="s">
        <v>10609</v>
      </c>
      <c r="E1713" s="8" t="s">
        <v>10610</v>
      </c>
      <c r="F1713" s="8" t="s">
        <v>10611</v>
      </c>
      <c r="G1713" s="6" t="s">
        <v>52</v>
      </c>
      <c r="H1713" s="6" t="s">
        <v>674</v>
      </c>
      <c r="I1713" s="8"/>
      <c r="J1713" s="9">
        <v>1</v>
      </c>
      <c r="K1713" s="9">
        <v>256</v>
      </c>
      <c r="L1713" s="9">
        <v>2023</v>
      </c>
      <c r="M1713" s="8" t="s">
        <v>10612</v>
      </c>
      <c r="N1713" s="8" t="s">
        <v>41</v>
      </c>
      <c r="O1713" s="8" t="s">
        <v>676</v>
      </c>
      <c r="P1713" s="6" t="s">
        <v>43</v>
      </c>
      <c r="Q1713" s="8" t="s">
        <v>44</v>
      </c>
      <c r="R1713" s="10" t="s">
        <v>10613</v>
      </c>
      <c r="S1713" s="11"/>
      <c r="T1713" s="6"/>
      <c r="U1713" s="24" t="str">
        <f>HYPERLINK("https://media.infra-m.ru/2007/2007736/cover/2007736.jpg", "Обложка")</f>
        <v>Обложка</v>
      </c>
      <c r="V1713" s="24" t="str">
        <f>HYPERLINK("https://znanium.ru/catalog/product/2007736", "Ознакомиться")</f>
        <v>Ознакомиться</v>
      </c>
      <c r="W1713" s="8" t="s">
        <v>792</v>
      </c>
      <c r="X1713" s="6"/>
      <c r="Y1713" s="6"/>
      <c r="Z1713" s="6"/>
      <c r="AA1713" s="6" t="s">
        <v>813</v>
      </c>
      <c r="AB1713" s="8"/>
    </row>
    <row r="1714" spans="1:28" s="4" customFormat="1" ht="51.95" customHeight="1">
      <c r="A1714" s="5">
        <v>0</v>
      </c>
      <c r="B1714" s="6" t="s">
        <v>10614</v>
      </c>
      <c r="C1714" s="7">
        <v>460</v>
      </c>
      <c r="D1714" s="8" t="s">
        <v>10615</v>
      </c>
      <c r="E1714" s="8" t="s">
        <v>10616</v>
      </c>
      <c r="F1714" s="8" t="s">
        <v>10617</v>
      </c>
      <c r="G1714" s="6" t="s">
        <v>38</v>
      </c>
      <c r="H1714" s="6" t="s">
        <v>674</v>
      </c>
      <c r="I1714" s="8"/>
      <c r="J1714" s="9">
        <v>1</v>
      </c>
      <c r="K1714" s="9">
        <v>128</v>
      </c>
      <c r="L1714" s="9">
        <v>2021</v>
      </c>
      <c r="M1714" s="8" t="s">
        <v>10618</v>
      </c>
      <c r="N1714" s="8" t="s">
        <v>41</v>
      </c>
      <c r="O1714" s="8" t="s">
        <v>676</v>
      </c>
      <c r="P1714" s="6" t="s">
        <v>167</v>
      </c>
      <c r="Q1714" s="8" t="s">
        <v>279</v>
      </c>
      <c r="R1714" s="10" t="s">
        <v>10619</v>
      </c>
      <c r="S1714" s="11" t="s">
        <v>10620</v>
      </c>
      <c r="T1714" s="6"/>
      <c r="U1714" s="24" t="str">
        <f>HYPERLINK("https://media.infra-m.ru/1216/1216930/cover/1216930.jpg", "Обложка")</f>
        <v>Обложка</v>
      </c>
      <c r="V1714" s="24" t="str">
        <f>HYPERLINK("https://znanium.ru/catalog/product/1216930", "Ознакомиться")</f>
        <v>Ознакомиться</v>
      </c>
      <c r="W1714" s="8" t="s">
        <v>792</v>
      </c>
      <c r="X1714" s="6"/>
      <c r="Y1714" s="6"/>
      <c r="Z1714" s="6"/>
      <c r="AA1714" s="6" t="s">
        <v>418</v>
      </c>
      <c r="AB1714" s="8"/>
    </row>
    <row r="1715" spans="1:28" s="4" customFormat="1" ht="51.95" customHeight="1">
      <c r="A1715" s="5">
        <v>0</v>
      </c>
      <c r="B1715" s="6" t="s">
        <v>10621</v>
      </c>
      <c r="C1715" s="13">
        <v>1984</v>
      </c>
      <c r="D1715" s="8" t="s">
        <v>10622</v>
      </c>
      <c r="E1715" s="8" t="s">
        <v>10623</v>
      </c>
      <c r="F1715" s="8" t="s">
        <v>7324</v>
      </c>
      <c r="G1715" s="6" t="s">
        <v>52</v>
      </c>
      <c r="H1715" s="6" t="s">
        <v>53</v>
      </c>
      <c r="I1715" s="8" t="s">
        <v>212</v>
      </c>
      <c r="J1715" s="9">
        <v>1</v>
      </c>
      <c r="K1715" s="9">
        <v>396</v>
      </c>
      <c r="L1715" s="9">
        <v>2025</v>
      </c>
      <c r="M1715" s="8" t="s">
        <v>10624</v>
      </c>
      <c r="N1715" s="8" t="s">
        <v>41</v>
      </c>
      <c r="O1715" s="8" t="s">
        <v>676</v>
      </c>
      <c r="P1715" s="6" t="s">
        <v>167</v>
      </c>
      <c r="Q1715" s="8" t="s">
        <v>214</v>
      </c>
      <c r="R1715" s="10" t="s">
        <v>10625</v>
      </c>
      <c r="S1715" s="11" t="s">
        <v>10626</v>
      </c>
      <c r="T1715" s="6"/>
      <c r="U1715" s="24" t="str">
        <f>HYPERLINK("https://media.infra-m.ru/2165/2165164/cover/2165164.jpg", "Обложка")</f>
        <v>Обложка</v>
      </c>
      <c r="V1715" s="24" t="str">
        <f>HYPERLINK("https://znanium.ru/catalog/product/2126556", "Ознакомиться")</f>
        <v>Ознакомиться</v>
      </c>
      <c r="W1715" s="8" t="s">
        <v>354</v>
      </c>
      <c r="X1715" s="6"/>
      <c r="Y1715" s="6"/>
      <c r="Z1715" s="6"/>
      <c r="AA1715" s="6" t="s">
        <v>513</v>
      </c>
      <c r="AB1715" s="8"/>
    </row>
    <row r="1716" spans="1:28" s="4" customFormat="1" ht="51.95" customHeight="1">
      <c r="A1716" s="5">
        <v>0</v>
      </c>
      <c r="B1716" s="6" t="s">
        <v>10627</v>
      </c>
      <c r="C1716" s="13">
        <v>1350</v>
      </c>
      <c r="D1716" s="8" t="s">
        <v>10628</v>
      </c>
      <c r="E1716" s="8" t="s">
        <v>10629</v>
      </c>
      <c r="F1716" s="8" t="s">
        <v>7324</v>
      </c>
      <c r="G1716" s="6" t="s">
        <v>89</v>
      </c>
      <c r="H1716" s="6" t="s">
        <v>53</v>
      </c>
      <c r="I1716" s="8" t="s">
        <v>212</v>
      </c>
      <c r="J1716" s="9">
        <v>1</v>
      </c>
      <c r="K1716" s="9">
        <v>363</v>
      </c>
      <c r="L1716" s="9">
        <v>2021</v>
      </c>
      <c r="M1716" s="8" t="s">
        <v>10630</v>
      </c>
      <c r="N1716" s="8" t="s">
        <v>41</v>
      </c>
      <c r="O1716" s="8" t="s">
        <v>676</v>
      </c>
      <c r="P1716" s="6" t="s">
        <v>43</v>
      </c>
      <c r="Q1716" s="8" t="s">
        <v>214</v>
      </c>
      <c r="R1716" s="10" t="s">
        <v>10625</v>
      </c>
      <c r="S1716" s="11" t="s">
        <v>10631</v>
      </c>
      <c r="T1716" s="6"/>
      <c r="U1716" s="24" t="str">
        <f>HYPERLINK("https://media.infra-m.ru/1088/1088377/cover/1088377.jpg", "Обложка")</f>
        <v>Обложка</v>
      </c>
      <c r="V1716" s="24" t="str">
        <f>HYPERLINK("https://znanium.ru/catalog/product/2126556", "Ознакомиться")</f>
        <v>Ознакомиться</v>
      </c>
      <c r="W1716" s="8" t="s">
        <v>354</v>
      </c>
      <c r="X1716" s="6"/>
      <c r="Y1716" s="6"/>
      <c r="Z1716" s="6"/>
      <c r="AA1716" s="6" t="s">
        <v>793</v>
      </c>
      <c r="AB1716" s="8"/>
    </row>
    <row r="1717" spans="1:28" s="4" customFormat="1" ht="51.95" customHeight="1">
      <c r="A1717" s="5">
        <v>0</v>
      </c>
      <c r="B1717" s="6" t="s">
        <v>10632</v>
      </c>
      <c r="C1717" s="7">
        <v>770</v>
      </c>
      <c r="D1717" s="8" t="s">
        <v>10633</v>
      </c>
      <c r="E1717" s="8" t="s">
        <v>10634</v>
      </c>
      <c r="F1717" s="8" t="s">
        <v>10611</v>
      </c>
      <c r="G1717" s="6" t="s">
        <v>52</v>
      </c>
      <c r="H1717" s="6" t="s">
        <v>674</v>
      </c>
      <c r="I1717" s="8"/>
      <c r="J1717" s="9">
        <v>1</v>
      </c>
      <c r="K1717" s="9">
        <v>224</v>
      </c>
      <c r="L1717" s="9">
        <v>2020</v>
      </c>
      <c r="M1717" s="8" t="s">
        <v>10635</v>
      </c>
      <c r="N1717" s="8" t="s">
        <v>41</v>
      </c>
      <c r="O1717" s="8" t="s">
        <v>676</v>
      </c>
      <c r="P1717" s="6" t="s">
        <v>43</v>
      </c>
      <c r="Q1717" s="8" t="s">
        <v>44</v>
      </c>
      <c r="R1717" s="10" t="s">
        <v>10613</v>
      </c>
      <c r="S1717" s="11"/>
      <c r="T1717" s="6"/>
      <c r="U1717" s="24" t="str">
        <f>HYPERLINK("https://media.infra-m.ru/1063/1063769/cover/1063769.jpg", "Обложка")</f>
        <v>Обложка</v>
      </c>
      <c r="V1717" s="24" t="str">
        <f>HYPERLINK("https://znanium.ru/catalog/product/2007736", "Ознакомиться")</f>
        <v>Ознакомиться</v>
      </c>
      <c r="W1717" s="8" t="s">
        <v>792</v>
      </c>
      <c r="X1717" s="6"/>
      <c r="Y1717" s="6"/>
      <c r="Z1717" s="6"/>
      <c r="AA1717" s="6" t="s">
        <v>151</v>
      </c>
      <c r="AB1717" s="8"/>
    </row>
    <row r="1718" spans="1:28" s="4" customFormat="1" ht="42" customHeight="1">
      <c r="A1718" s="5">
        <v>0</v>
      </c>
      <c r="B1718" s="6" t="s">
        <v>10636</v>
      </c>
      <c r="C1718" s="7">
        <v>864</v>
      </c>
      <c r="D1718" s="8" t="s">
        <v>10637</v>
      </c>
      <c r="E1718" s="8" t="s">
        <v>10638</v>
      </c>
      <c r="F1718" s="8" t="s">
        <v>10639</v>
      </c>
      <c r="G1718" s="6" t="s">
        <v>89</v>
      </c>
      <c r="H1718" s="6" t="s">
        <v>674</v>
      </c>
      <c r="I1718" s="8"/>
      <c r="J1718" s="9">
        <v>1</v>
      </c>
      <c r="K1718" s="9">
        <v>184</v>
      </c>
      <c r="L1718" s="9">
        <v>2024</v>
      </c>
      <c r="M1718" s="8" t="s">
        <v>10640</v>
      </c>
      <c r="N1718" s="8" t="s">
        <v>41</v>
      </c>
      <c r="O1718" s="8" t="s">
        <v>676</v>
      </c>
      <c r="P1718" s="6" t="s">
        <v>43</v>
      </c>
      <c r="Q1718" s="8" t="s">
        <v>279</v>
      </c>
      <c r="R1718" s="10" t="s">
        <v>990</v>
      </c>
      <c r="S1718" s="11"/>
      <c r="T1718" s="6"/>
      <c r="U1718" s="24" t="str">
        <f>HYPERLINK("https://media.infra-m.ru/2155/2155118/cover/2155118.jpg", "Обложка")</f>
        <v>Обложка</v>
      </c>
      <c r="V1718" s="24" t="str">
        <f>HYPERLINK("https://znanium.ru/catalog/product/1971867", "Ознакомиться")</f>
        <v>Ознакомиться</v>
      </c>
      <c r="W1718" s="8" t="s">
        <v>792</v>
      </c>
      <c r="X1718" s="6"/>
      <c r="Y1718" s="6"/>
      <c r="Z1718" s="6"/>
      <c r="AA1718" s="6" t="s">
        <v>235</v>
      </c>
      <c r="AB1718" s="8"/>
    </row>
    <row r="1719" spans="1:28" s="4" customFormat="1" ht="51.95" customHeight="1">
      <c r="A1719" s="5">
        <v>0</v>
      </c>
      <c r="B1719" s="6" t="s">
        <v>10641</v>
      </c>
      <c r="C1719" s="7">
        <v>610</v>
      </c>
      <c r="D1719" s="8" t="s">
        <v>10642</v>
      </c>
      <c r="E1719" s="8" t="s">
        <v>10643</v>
      </c>
      <c r="F1719" s="8" t="s">
        <v>10534</v>
      </c>
      <c r="G1719" s="6" t="s">
        <v>38</v>
      </c>
      <c r="H1719" s="6" t="s">
        <v>674</v>
      </c>
      <c r="I1719" s="8"/>
      <c r="J1719" s="9">
        <v>1</v>
      </c>
      <c r="K1719" s="9">
        <v>160</v>
      </c>
      <c r="L1719" s="9">
        <v>2022</v>
      </c>
      <c r="M1719" s="8" t="s">
        <v>10644</v>
      </c>
      <c r="N1719" s="8" t="s">
        <v>41</v>
      </c>
      <c r="O1719" s="8" t="s">
        <v>676</v>
      </c>
      <c r="P1719" s="6" t="s">
        <v>187</v>
      </c>
      <c r="Q1719" s="8" t="s">
        <v>44</v>
      </c>
      <c r="R1719" s="10" t="s">
        <v>5947</v>
      </c>
      <c r="S1719" s="11"/>
      <c r="T1719" s="6"/>
      <c r="U1719" s="24" t="str">
        <f>HYPERLINK("https://media.infra-m.ru/1084/1084369/cover/1084369.jpg", "Обложка")</f>
        <v>Обложка</v>
      </c>
      <c r="V1719" s="24" t="str">
        <f>HYPERLINK("https://znanium.ru/catalog/product/2089290", "Ознакомиться")</f>
        <v>Ознакомиться</v>
      </c>
      <c r="W1719" s="8" t="s">
        <v>792</v>
      </c>
      <c r="X1719" s="6"/>
      <c r="Y1719" s="6"/>
      <c r="Z1719" s="6"/>
      <c r="AA1719" s="6" t="s">
        <v>442</v>
      </c>
      <c r="AB1719" s="8"/>
    </row>
    <row r="1720" spans="1:28" s="4" customFormat="1" ht="51.95" customHeight="1">
      <c r="A1720" s="5">
        <v>0</v>
      </c>
      <c r="B1720" s="6" t="s">
        <v>10645</v>
      </c>
      <c r="C1720" s="7">
        <v>840</v>
      </c>
      <c r="D1720" s="8" t="s">
        <v>10646</v>
      </c>
      <c r="E1720" s="8" t="s">
        <v>10647</v>
      </c>
      <c r="F1720" s="8" t="s">
        <v>10648</v>
      </c>
      <c r="G1720" s="6" t="s">
        <v>52</v>
      </c>
      <c r="H1720" s="6" t="s">
        <v>674</v>
      </c>
      <c r="I1720" s="8"/>
      <c r="J1720" s="9">
        <v>1</v>
      </c>
      <c r="K1720" s="9">
        <v>176</v>
      </c>
      <c r="L1720" s="9">
        <v>2024</v>
      </c>
      <c r="M1720" s="8" t="s">
        <v>10649</v>
      </c>
      <c r="N1720" s="8" t="s">
        <v>41</v>
      </c>
      <c r="O1720" s="8" t="s">
        <v>676</v>
      </c>
      <c r="P1720" s="6" t="s">
        <v>187</v>
      </c>
      <c r="Q1720" s="8" t="s">
        <v>44</v>
      </c>
      <c r="R1720" s="10" t="s">
        <v>5947</v>
      </c>
      <c r="S1720" s="11"/>
      <c r="T1720" s="6"/>
      <c r="U1720" s="24" t="str">
        <f>HYPERLINK("https://media.infra-m.ru/2089/2089290/cover/2089290.jpg", "Обложка")</f>
        <v>Обложка</v>
      </c>
      <c r="V1720" s="24" t="str">
        <f>HYPERLINK("https://znanium.ru/catalog/product/2089290", "Ознакомиться")</f>
        <v>Ознакомиться</v>
      </c>
      <c r="W1720" s="8" t="s">
        <v>792</v>
      </c>
      <c r="X1720" s="6"/>
      <c r="Y1720" s="6"/>
      <c r="Z1720" s="6"/>
      <c r="AA1720" s="6" t="s">
        <v>105</v>
      </c>
      <c r="AB1720" s="8"/>
    </row>
    <row r="1721" spans="1:28" s="4" customFormat="1" ht="51.95" customHeight="1">
      <c r="A1721" s="5">
        <v>0</v>
      </c>
      <c r="B1721" s="6" t="s">
        <v>10650</v>
      </c>
      <c r="C1721" s="7">
        <v>369.9</v>
      </c>
      <c r="D1721" s="8" t="s">
        <v>10651</v>
      </c>
      <c r="E1721" s="8" t="s">
        <v>10647</v>
      </c>
      <c r="F1721" s="8" t="s">
        <v>10652</v>
      </c>
      <c r="G1721" s="6"/>
      <c r="H1721" s="6" t="s">
        <v>674</v>
      </c>
      <c r="I1721" s="8"/>
      <c r="J1721" s="9">
        <v>16</v>
      </c>
      <c r="K1721" s="9">
        <v>352</v>
      </c>
      <c r="L1721" s="9">
        <v>2015</v>
      </c>
      <c r="M1721" s="8" t="s">
        <v>10653</v>
      </c>
      <c r="N1721" s="8" t="s">
        <v>41</v>
      </c>
      <c r="O1721" s="8" t="s">
        <v>676</v>
      </c>
      <c r="P1721" s="6" t="s">
        <v>167</v>
      </c>
      <c r="Q1721" s="8" t="s">
        <v>44</v>
      </c>
      <c r="R1721" s="10" t="s">
        <v>10654</v>
      </c>
      <c r="S1721" s="11" t="s">
        <v>10655</v>
      </c>
      <c r="T1721" s="6"/>
      <c r="U1721" s="24" t="str">
        <f>HYPERLINK("https://media.infra-m.ru/0486/0486113/cover/486113.jpg", "Обложка")</f>
        <v>Обложка</v>
      </c>
      <c r="V1721" s="24" t="str">
        <f>HYPERLINK("https://znanium.ru/catalog/product/1899698", "Ознакомиться")</f>
        <v>Ознакомиться</v>
      </c>
      <c r="W1721" s="8" t="s">
        <v>808</v>
      </c>
      <c r="X1721" s="6"/>
      <c r="Y1721" s="6"/>
      <c r="Z1721" s="6"/>
      <c r="AA1721" s="6" t="s">
        <v>479</v>
      </c>
      <c r="AB1721" s="8"/>
    </row>
    <row r="1722" spans="1:28" s="4" customFormat="1" ht="51.95" customHeight="1">
      <c r="A1722" s="5">
        <v>0</v>
      </c>
      <c r="B1722" s="6" t="s">
        <v>10656</v>
      </c>
      <c r="C1722" s="13">
        <v>1580</v>
      </c>
      <c r="D1722" s="8" t="s">
        <v>10657</v>
      </c>
      <c r="E1722" s="8" t="s">
        <v>10658</v>
      </c>
      <c r="F1722" s="8" t="s">
        <v>10659</v>
      </c>
      <c r="G1722" s="6" t="s">
        <v>52</v>
      </c>
      <c r="H1722" s="6" t="s">
        <v>674</v>
      </c>
      <c r="I1722" s="8"/>
      <c r="J1722" s="9">
        <v>1</v>
      </c>
      <c r="K1722" s="9">
        <v>336</v>
      </c>
      <c r="L1722" s="9">
        <v>2024</v>
      </c>
      <c r="M1722" s="8" t="s">
        <v>10660</v>
      </c>
      <c r="N1722" s="8" t="s">
        <v>41</v>
      </c>
      <c r="O1722" s="8" t="s">
        <v>676</v>
      </c>
      <c r="P1722" s="6" t="s">
        <v>167</v>
      </c>
      <c r="Q1722" s="8" t="s">
        <v>44</v>
      </c>
      <c r="R1722" s="10" t="s">
        <v>5947</v>
      </c>
      <c r="S1722" s="11"/>
      <c r="T1722" s="6"/>
      <c r="U1722" s="24" t="str">
        <f>HYPERLINK("https://media.infra-m.ru/2104/2104323/cover/2104323.jpg", "Обложка")</f>
        <v>Обложка</v>
      </c>
      <c r="V1722" s="24" t="str">
        <f>HYPERLINK("https://znanium.ru/catalog/product/2104323", "Ознакомиться")</f>
        <v>Ознакомиться</v>
      </c>
      <c r="W1722" s="8" t="s">
        <v>792</v>
      </c>
      <c r="X1722" s="6"/>
      <c r="Y1722" s="6"/>
      <c r="Z1722" s="6"/>
      <c r="AA1722" s="6" t="s">
        <v>3787</v>
      </c>
      <c r="AB1722" s="8"/>
    </row>
    <row r="1723" spans="1:28" s="4" customFormat="1" ht="51.95" customHeight="1">
      <c r="A1723" s="5">
        <v>0</v>
      </c>
      <c r="B1723" s="6" t="s">
        <v>10661</v>
      </c>
      <c r="C1723" s="13">
        <v>1300</v>
      </c>
      <c r="D1723" s="8" t="s">
        <v>10662</v>
      </c>
      <c r="E1723" s="8" t="s">
        <v>10658</v>
      </c>
      <c r="F1723" s="8" t="s">
        <v>10663</v>
      </c>
      <c r="G1723" s="6" t="s">
        <v>52</v>
      </c>
      <c r="H1723" s="6" t="s">
        <v>674</v>
      </c>
      <c r="I1723" s="8"/>
      <c r="J1723" s="9">
        <v>1</v>
      </c>
      <c r="K1723" s="9">
        <v>368</v>
      </c>
      <c r="L1723" s="9">
        <v>2020</v>
      </c>
      <c r="M1723" s="8" t="s">
        <v>10664</v>
      </c>
      <c r="N1723" s="8" t="s">
        <v>41</v>
      </c>
      <c r="O1723" s="8" t="s">
        <v>676</v>
      </c>
      <c r="P1723" s="6" t="s">
        <v>167</v>
      </c>
      <c r="Q1723" s="8" t="s">
        <v>44</v>
      </c>
      <c r="R1723" s="10" t="s">
        <v>10654</v>
      </c>
      <c r="S1723" s="11"/>
      <c r="T1723" s="6"/>
      <c r="U1723" s="24" t="str">
        <f>HYPERLINK("https://media.infra-m.ru/1088/1088332/cover/1088332.jpg", "Обложка")</f>
        <v>Обложка</v>
      </c>
      <c r="V1723" s="24" t="str">
        <f>HYPERLINK("https://znanium.ru/catalog/product/1899698", "Ознакомиться")</f>
        <v>Ознакомиться</v>
      </c>
      <c r="W1723" s="8" t="s">
        <v>808</v>
      </c>
      <c r="X1723" s="6"/>
      <c r="Y1723" s="6"/>
      <c r="Z1723" s="6"/>
      <c r="AA1723" s="6" t="s">
        <v>874</v>
      </c>
      <c r="AB1723" s="8"/>
    </row>
    <row r="1724" spans="1:28" s="4" customFormat="1" ht="51.95" customHeight="1">
      <c r="A1724" s="5">
        <v>0</v>
      </c>
      <c r="B1724" s="6" t="s">
        <v>10665</v>
      </c>
      <c r="C1724" s="13">
        <v>1964</v>
      </c>
      <c r="D1724" s="8" t="s">
        <v>10666</v>
      </c>
      <c r="E1724" s="8" t="s">
        <v>10667</v>
      </c>
      <c r="F1724" s="8" t="s">
        <v>10663</v>
      </c>
      <c r="G1724" s="6" t="s">
        <v>52</v>
      </c>
      <c r="H1724" s="6" t="s">
        <v>674</v>
      </c>
      <c r="I1724" s="8"/>
      <c r="J1724" s="9">
        <v>1</v>
      </c>
      <c r="K1724" s="9">
        <v>392</v>
      </c>
      <c r="L1724" s="9">
        <v>2025</v>
      </c>
      <c r="M1724" s="8" t="s">
        <v>10668</v>
      </c>
      <c r="N1724" s="8" t="s">
        <v>41</v>
      </c>
      <c r="O1724" s="8" t="s">
        <v>676</v>
      </c>
      <c r="P1724" s="6" t="s">
        <v>167</v>
      </c>
      <c r="Q1724" s="8" t="s">
        <v>44</v>
      </c>
      <c r="R1724" s="10" t="s">
        <v>10654</v>
      </c>
      <c r="S1724" s="11"/>
      <c r="T1724" s="6"/>
      <c r="U1724" s="24" t="str">
        <f>HYPERLINK("https://media.infra-m.ru/2169/2169373/cover/2169373.jpg", "Обложка")</f>
        <v>Обложка</v>
      </c>
      <c r="V1724" s="24" t="str">
        <f>HYPERLINK("https://znanium.ru/catalog/product/1899698", "Ознакомиться")</f>
        <v>Ознакомиться</v>
      </c>
      <c r="W1724" s="8" t="s">
        <v>808</v>
      </c>
      <c r="X1724" s="6"/>
      <c r="Y1724" s="6"/>
      <c r="Z1724" s="6"/>
      <c r="AA1724" s="6" t="s">
        <v>3922</v>
      </c>
      <c r="AB1724" s="8"/>
    </row>
    <row r="1725" spans="1:28" s="4" customFormat="1" ht="51.95" customHeight="1">
      <c r="A1725" s="5">
        <v>0</v>
      </c>
      <c r="B1725" s="6" t="s">
        <v>10669</v>
      </c>
      <c r="C1725" s="7">
        <v>780</v>
      </c>
      <c r="D1725" s="8" t="s">
        <v>10670</v>
      </c>
      <c r="E1725" s="8" t="s">
        <v>10647</v>
      </c>
      <c r="F1725" s="8" t="s">
        <v>10671</v>
      </c>
      <c r="G1725" s="6" t="s">
        <v>52</v>
      </c>
      <c r="H1725" s="6" t="s">
        <v>184</v>
      </c>
      <c r="I1725" s="8" t="s">
        <v>7049</v>
      </c>
      <c r="J1725" s="9">
        <v>1</v>
      </c>
      <c r="K1725" s="9">
        <v>200</v>
      </c>
      <c r="L1725" s="9">
        <v>2020</v>
      </c>
      <c r="M1725" s="8" t="s">
        <v>10672</v>
      </c>
      <c r="N1725" s="8" t="s">
        <v>41</v>
      </c>
      <c r="O1725" s="8" t="s">
        <v>676</v>
      </c>
      <c r="P1725" s="6" t="s">
        <v>43</v>
      </c>
      <c r="Q1725" s="8" t="s">
        <v>44</v>
      </c>
      <c r="R1725" s="10" t="s">
        <v>5947</v>
      </c>
      <c r="S1725" s="11"/>
      <c r="T1725" s="6"/>
      <c r="U1725" s="24" t="str">
        <f>HYPERLINK("https://media.infra-m.ru/1080/1080283/cover/1080283.jpg", "Обложка")</f>
        <v>Обложка</v>
      </c>
      <c r="V1725" s="24" t="str">
        <f>HYPERLINK("https://znanium.ru/catalog/product/1080283", "Ознакомиться")</f>
        <v>Ознакомиться</v>
      </c>
      <c r="W1725" s="8" t="s">
        <v>808</v>
      </c>
      <c r="X1725" s="6"/>
      <c r="Y1725" s="6"/>
      <c r="Z1725" s="6"/>
      <c r="AA1725" s="6" t="s">
        <v>196</v>
      </c>
      <c r="AB1725" s="8"/>
    </row>
    <row r="1726" spans="1:28" s="4" customFormat="1" ht="44.1" customHeight="1">
      <c r="A1726" s="5">
        <v>0</v>
      </c>
      <c r="B1726" s="6" t="s">
        <v>10673</v>
      </c>
      <c r="C1726" s="7">
        <v>720</v>
      </c>
      <c r="D1726" s="8" t="s">
        <v>10674</v>
      </c>
      <c r="E1726" s="8" t="s">
        <v>10675</v>
      </c>
      <c r="F1726" s="8" t="s">
        <v>6633</v>
      </c>
      <c r="G1726" s="6" t="s">
        <v>89</v>
      </c>
      <c r="H1726" s="6" t="s">
        <v>674</v>
      </c>
      <c r="I1726" s="8"/>
      <c r="J1726" s="9">
        <v>1</v>
      </c>
      <c r="K1726" s="9">
        <v>136</v>
      </c>
      <c r="L1726" s="9">
        <v>2024</v>
      </c>
      <c r="M1726" s="8" t="s">
        <v>10676</v>
      </c>
      <c r="N1726" s="8" t="s">
        <v>41</v>
      </c>
      <c r="O1726" s="8" t="s">
        <v>676</v>
      </c>
      <c r="P1726" s="6" t="s">
        <v>10677</v>
      </c>
      <c r="Q1726" s="8" t="s">
        <v>58</v>
      </c>
      <c r="R1726" s="10" t="s">
        <v>10678</v>
      </c>
      <c r="S1726" s="11"/>
      <c r="T1726" s="6"/>
      <c r="U1726" s="24" t="str">
        <f>HYPERLINK("https://media.infra-m.ru/2133/2133845/cover/2133845.jpg", "Обложка")</f>
        <v>Обложка</v>
      </c>
      <c r="V1726" s="24" t="str">
        <f>HYPERLINK("https://znanium.ru/catalog/product/2133845", "Ознакомиться")</f>
        <v>Ознакомиться</v>
      </c>
      <c r="W1726" s="8"/>
      <c r="X1726" s="6"/>
      <c r="Y1726" s="6"/>
      <c r="Z1726" s="6"/>
      <c r="AA1726" s="6" t="s">
        <v>219</v>
      </c>
      <c r="AB1726" s="8"/>
    </row>
    <row r="1727" spans="1:28" s="4" customFormat="1" ht="51.95" customHeight="1">
      <c r="A1727" s="5">
        <v>0</v>
      </c>
      <c r="B1727" s="6" t="s">
        <v>10679</v>
      </c>
      <c r="C1727" s="7">
        <v>750</v>
      </c>
      <c r="D1727" s="8" t="s">
        <v>10680</v>
      </c>
      <c r="E1727" s="8" t="s">
        <v>10681</v>
      </c>
      <c r="F1727" s="8" t="s">
        <v>10682</v>
      </c>
      <c r="G1727" s="6" t="s">
        <v>52</v>
      </c>
      <c r="H1727" s="6" t="s">
        <v>53</v>
      </c>
      <c r="I1727" s="8" t="s">
        <v>116</v>
      </c>
      <c r="J1727" s="9">
        <v>1</v>
      </c>
      <c r="K1727" s="9">
        <v>130</v>
      </c>
      <c r="L1727" s="9">
        <v>2023</v>
      </c>
      <c r="M1727" s="8" t="s">
        <v>10683</v>
      </c>
      <c r="N1727" s="8" t="s">
        <v>79</v>
      </c>
      <c r="O1727" s="8" t="s">
        <v>396</v>
      </c>
      <c r="P1727" s="6" t="s">
        <v>43</v>
      </c>
      <c r="Q1727" s="8" t="s">
        <v>44</v>
      </c>
      <c r="R1727" s="10" t="s">
        <v>454</v>
      </c>
      <c r="S1727" s="11" t="s">
        <v>10684</v>
      </c>
      <c r="T1727" s="6"/>
      <c r="U1727" s="24" t="str">
        <f>HYPERLINK("https://media.infra-m.ru/1863/1863129/cover/1863129.jpg", "Обложка")</f>
        <v>Обложка</v>
      </c>
      <c r="V1727" s="24" t="str">
        <f>HYPERLINK("https://znanium.ru/catalog/product/1863129", "Ознакомиться")</f>
        <v>Ознакомиться</v>
      </c>
      <c r="W1727" s="8" t="s">
        <v>947</v>
      </c>
      <c r="X1727" s="6"/>
      <c r="Y1727" s="6"/>
      <c r="Z1727" s="6"/>
      <c r="AA1727" s="6" t="s">
        <v>207</v>
      </c>
      <c r="AB1727" s="8"/>
    </row>
    <row r="1728" spans="1:28" s="4" customFormat="1" ht="51.95" customHeight="1">
      <c r="A1728" s="5">
        <v>0</v>
      </c>
      <c r="B1728" s="6" t="s">
        <v>10685</v>
      </c>
      <c r="C1728" s="13">
        <v>1450</v>
      </c>
      <c r="D1728" s="8" t="s">
        <v>10686</v>
      </c>
      <c r="E1728" s="8" t="s">
        <v>10687</v>
      </c>
      <c r="F1728" s="8" t="s">
        <v>10682</v>
      </c>
      <c r="G1728" s="6" t="s">
        <v>52</v>
      </c>
      <c r="H1728" s="6" t="s">
        <v>53</v>
      </c>
      <c r="I1728" s="8" t="s">
        <v>116</v>
      </c>
      <c r="J1728" s="9">
        <v>1</v>
      </c>
      <c r="K1728" s="9">
        <v>220</v>
      </c>
      <c r="L1728" s="9">
        <v>2025</v>
      </c>
      <c r="M1728" s="8" t="s">
        <v>10688</v>
      </c>
      <c r="N1728" s="8" t="s">
        <v>79</v>
      </c>
      <c r="O1728" s="8" t="s">
        <v>396</v>
      </c>
      <c r="P1728" s="6" t="s">
        <v>43</v>
      </c>
      <c r="Q1728" s="8" t="s">
        <v>58</v>
      </c>
      <c r="R1728" s="10" t="s">
        <v>10689</v>
      </c>
      <c r="S1728" s="11" t="s">
        <v>10684</v>
      </c>
      <c r="T1728" s="6"/>
      <c r="U1728" s="24" t="str">
        <f>HYPERLINK("https://media.infra-m.ru/1995/1995197/cover/1995197.jpg", "Обложка")</f>
        <v>Обложка</v>
      </c>
      <c r="V1728" s="24" t="str">
        <f>HYPERLINK("https://znanium.ru/catalog/product/1995197", "Ознакомиться")</f>
        <v>Ознакомиться</v>
      </c>
      <c r="W1728" s="8" t="s">
        <v>947</v>
      </c>
      <c r="X1728" s="6" t="s">
        <v>389</v>
      </c>
      <c r="Y1728" s="6"/>
      <c r="Z1728" s="6"/>
      <c r="AA1728" s="6" t="s">
        <v>61</v>
      </c>
      <c r="AB1728" s="8" t="s">
        <v>2456</v>
      </c>
    </row>
    <row r="1729" spans="1:28" s="4" customFormat="1" ht="51.95" customHeight="1">
      <c r="A1729" s="5">
        <v>0</v>
      </c>
      <c r="B1729" s="6" t="s">
        <v>10690</v>
      </c>
      <c r="C1729" s="13">
        <v>1410</v>
      </c>
      <c r="D1729" s="8" t="s">
        <v>10691</v>
      </c>
      <c r="E1729" s="8" t="s">
        <v>10692</v>
      </c>
      <c r="F1729" s="8" t="s">
        <v>10693</v>
      </c>
      <c r="G1729" s="6" t="s">
        <v>52</v>
      </c>
      <c r="H1729" s="6" t="s">
        <v>53</v>
      </c>
      <c r="I1729" s="8" t="s">
        <v>116</v>
      </c>
      <c r="J1729" s="9">
        <v>1</v>
      </c>
      <c r="K1729" s="9">
        <v>288</v>
      </c>
      <c r="L1729" s="9">
        <v>2024</v>
      </c>
      <c r="M1729" s="8" t="s">
        <v>10694</v>
      </c>
      <c r="N1729" s="8" t="s">
        <v>79</v>
      </c>
      <c r="O1729" s="8" t="s">
        <v>570</v>
      </c>
      <c r="P1729" s="6" t="s">
        <v>43</v>
      </c>
      <c r="Q1729" s="8" t="s">
        <v>58</v>
      </c>
      <c r="R1729" s="10" t="s">
        <v>10695</v>
      </c>
      <c r="S1729" s="11"/>
      <c r="T1729" s="6"/>
      <c r="U1729" s="24" t="str">
        <f>HYPERLINK("https://media.infra-m.ru/1977/1977999/cover/1977999.jpg", "Обложка")</f>
        <v>Обложка</v>
      </c>
      <c r="V1729" s="24" t="str">
        <f>HYPERLINK("https://znanium.ru/catalog/product/1977999", "Ознакомиться")</f>
        <v>Ознакомиться</v>
      </c>
      <c r="W1729" s="8" t="s">
        <v>637</v>
      </c>
      <c r="X1729" s="6"/>
      <c r="Y1729" s="6"/>
      <c r="Z1729" s="6"/>
      <c r="AA1729" s="6" t="s">
        <v>133</v>
      </c>
      <c r="AB1729" s="8"/>
    </row>
    <row r="1730" spans="1:28" s="4" customFormat="1" ht="51.95" customHeight="1">
      <c r="A1730" s="5">
        <v>0</v>
      </c>
      <c r="B1730" s="6" t="s">
        <v>10696</v>
      </c>
      <c r="C1730" s="13">
        <v>1510</v>
      </c>
      <c r="D1730" s="8" t="s">
        <v>10697</v>
      </c>
      <c r="E1730" s="8" t="s">
        <v>10698</v>
      </c>
      <c r="F1730" s="8" t="s">
        <v>10699</v>
      </c>
      <c r="G1730" s="6" t="s">
        <v>89</v>
      </c>
      <c r="H1730" s="6" t="s">
        <v>53</v>
      </c>
      <c r="I1730" s="8" t="s">
        <v>100</v>
      </c>
      <c r="J1730" s="9">
        <v>1</v>
      </c>
      <c r="K1730" s="9">
        <v>295</v>
      </c>
      <c r="L1730" s="9">
        <v>2025</v>
      </c>
      <c r="M1730" s="8" t="s">
        <v>10700</v>
      </c>
      <c r="N1730" s="8" t="s">
        <v>79</v>
      </c>
      <c r="O1730" s="8" t="s">
        <v>396</v>
      </c>
      <c r="P1730" s="6" t="s">
        <v>167</v>
      </c>
      <c r="Q1730" s="8" t="s">
        <v>102</v>
      </c>
      <c r="R1730" s="10" t="s">
        <v>10701</v>
      </c>
      <c r="S1730" s="11" t="s">
        <v>10702</v>
      </c>
      <c r="T1730" s="6" t="s">
        <v>299</v>
      </c>
      <c r="U1730" s="24" t="str">
        <f>HYPERLINK("https://media.infra-m.ru/2181/2181001/cover/2181001.jpg", "Обложка")</f>
        <v>Обложка</v>
      </c>
      <c r="V1730" s="24" t="str">
        <f>HYPERLINK("https://znanium.ru/catalog/product/2181001", "Ознакомиться")</f>
        <v>Ознакомиться</v>
      </c>
      <c r="W1730" s="8" t="s">
        <v>1544</v>
      </c>
      <c r="X1730" s="6"/>
      <c r="Y1730" s="6"/>
      <c r="Z1730" s="6" t="s">
        <v>502</v>
      </c>
      <c r="AA1730" s="6" t="s">
        <v>151</v>
      </c>
      <c r="AB1730" s="8"/>
    </row>
    <row r="1731" spans="1:28" s="4" customFormat="1" ht="51.95" customHeight="1">
      <c r="A1731" s="5">
        <v>0</v>
      </c>
      <c r="B1731" s="6" t="s">
        <v>10703</v>
      </c>
      <c r="C1731" s="13">
        <v>1680</v>
      </c>
      <c r="D1731" s="8" t="s">
        <v>10704</v>
      </c>
      <c r="E1731" s="8" t="s">
        <v>10705</v>
      </c>
      <c r="F1731" s="8" t="s">
        <v>10699</v>
      </c>
      <c r="G1731" s="6" t="s">
        <v>89</v>
      </c>
      <c r="H1731" s="6" t="s">
        <v>53</v>
      </c>
      <c r="I1731" s="8" t="s">
        <v>116</v>
      </c>
      <c r="J1731" s="9">
        <v>1</v>
      </c>
      <c r="K1731" s="9">
        <v>324</v>
      </c>
      <c r="L1731" s="9">
        <v>2025</v>
      </c>
      <c r="M1731" s="8" t="s">
        <v>10706</v>
      </c>
      <c r="N1731" s="8" t="s">
        <v>79</v>
      </c>
      <c r="O1731" s="8" t="s">
        <v>396</v>
      </c>
      <c r="P1731" s="6" t="s">
        <v>167</v>
      </c>
      <c r="Q1731" s="8" t="s">
        <v>58</v>
      </c>
      <c r="R1731" s="10" t="s">
        <v>10707</v>
      </c>
      <c r="S1731" s="11" t="s">
        <v>10708</v>
      </c>
      <c r="T1731" s="6"/>
      <c r="U1731" s="24" t="str">
        <f>HYPERLINK("https://media.infra-m.ru/2191/2191622/cover/2191622.jpg", "Обложка")</f>
        <v>Обложка</v>
      </c>
      <c r="V1731" s="24" t="str">
        <f>HYPERLINK("https://znanium.ru/catalog/product/2191622", "Ознакомиться")</f>
        <v>Ознакомиться</v>
      </c>
      <c r="W1731" s="8" t="s">
        <v>1544</v>
      </c>
      <c r="X1731" s="6"/>
      <c r="Y1731" s="6"/>
      <c r="Z1731" s="6"/>
      <c r="AA1731" s="6" t="s">
        <v>258</v>
      </c>
      <c r="AB1731" s="8"/>
    </row>
    <row r="1732" spans="1:28" s="4" customFormat="1" ht="51.95" customHeight="1">
      <c r="A1732" s="5">
        <v>0</v>
      </c>
      <c r="B1732" s="6" t="s">
        <v>10709</v>
      </c>
      <c r="C1732" s="7">
        <v>654.9</v>
      </c>
      <c r="D1732" s="8" t="s">
        <v>10710</v>
      </c>
      <c r="E1732" s="8" t="s">
        <v>10711</v>
      </c>
      <c r="F1732" s="8" t="s">
        <v>10712</v>
      </c>
      <c r="G1732" s="6" t="s">
        <v>52</v>
      </c>
      <c r="H1732" s="6" t="s">
        <v>53</v>
      </c>
      <c r="I1732" s="8" t="s">
        <v>90</v>
      </c>
      <c r="J1732" s="9">
        <v>1</v>
      </c>
      <c r="K1732" s="9">
        <v>146</v>
      </c>
      <c r="L1732" s="9">
        <v>2023</v>
      </c>
      <c r="M1732" s="8" t="s">
        <v>10713</v>
      </c>
      <c r="N1732" s="8" t="s">
        <v>79</v>
      </c>
      <c r="O1732" s="8" t="s">
        <v>396</v>
      </c>
      <c r="P1732" s="6" t="s">
        <v>175</v>
      </c>
      <c r="Q1732" s="8" t="s">
        <v>44</v>
      </c>
      <c r="R1732" s="10" t="s">
        <v>9042</v>
      </c>
      <c r="S1732" s="11" t="s">
        <v>10714</v>
      </c>
      <c r="T1732" s="6"/>
      <c r="U1732" s="24" t="str">
        <f>HYPERLINK("https://media.infra-m.ru/1976/1976183/cover/1976183.jpg", "Обложка")</f>
        <v>Обложка</v>
      </c>
      <c r="V1732" s="24" t="str">
        <f>HYPERLINK("https://znanium.ru/catalog/product/1183625", "Ознакомиться")</f>
        <v>Ознакомиться</v>
      </c>
      <c r="W1732" s="8" t="s">
        <v>9044</v>
      </c>
      <c r="X1732" s="6"/>
      <c r="Y1732" s="6"/>
      <c r="Z1732" s="6"/>
      <c r="AA1732" s="6" t="s">
        <v>1259</v>
      </c>
      <c r="AB1732" s="8"/>
    </row>
    <row r="1733" spans="1:28" s="4" customFormat="1" ht="51.95" customHeight="1">
      <c r="A1733" s="5">
        <v>0</v>
      </c>
      <c r="B1733" s="6" t="s">
        <v>10715</v>
      </c>
      <c r="C1733" s="13">
        <v>1970</v>
      </c>
      <c r="D1733" s="8" t="s">
        <v>10716</v>
      </c>
      <c r="E1733" s="8" t="s">
        <v>10717</v>
      </c>
      <c r="F1733" s="8" t="s">
        <v>10718</v>
      </c>
      <c r="G1733" s="6" t="s">
        <v>89</v>
      </c>
      <c r="H1733" s="6" t="s">
        <v>53</v>
      </c>
      <c r="I1733" s="8" t="s">
        <v>116</v>
      </c>
      <c r="J1733" s="9">
        <v>1</v>
      </c>
      <c r="K1733" s="9">
        <v>353</v>
      </c>
      <c r="L1733" s="9">
        <v>2025</v>
      </c>
      <c r="M1733" s="8" t="s">
        <v>10719</v>
      </c>
      <c r="N1733" s="8" t="s">
        <v>79</v>
      </c>
      <c r="O1733" s="8" t="s">
        <v>396</v>
      </c>
      <c r="P1733" s="6" t="s">
        <v>167</v>
      </c>
      <c r="Q1733" s="8" t="s">
        <v>44</v>
      </c>
      <c r="R1733" s="10" t="s">
        <v>2106</v>
      </c>
      <c r="S1733" s="11" t="s">
        <v>10720</v>
      </c>
      <c r="T1733" s="6"/>
      <c r="U1733" s="24" t="str">
        <f>HYPERLINK("https://media.infra-m.ru/2186/2186404/cover/2186404.jpg", "Обложка")</f>
        <v>Обложка</v>
      </c>
      <c r="V1733" s="24" t="str">
        <f>HYPERLINK("https://znanium.ru/catalog/product/2186404", "Ознакомиться")</f>
        <v>Ознакомиться</v>
      </c>
      <c r="W1733" s="8" t="s">
        <v>1571</v>
      </c>
      <c r="X1733" s="6"/>
      <c r="Y1733" s="6"/>
      <c r="Z1733" s="6"/>
      <c r="AA1733" s="6" t="s">
        <v>235</v>
      </c>
      <c r="AB1733" s="8"/>
    </row>
    <row r="1734" spans="1:28" s="4" customFormat="1" ht="51.95" customHeight="1">
      <c r="A1734" s="5">
        <v>0</v>
      </c>
      <c r="B1734" s="6" t="s">
        <v>10721</v>
      </c>
      <c r="C1734" s="13">
        <v>1684</v>
      </c>
      <c r="D1734" s="8" t="s">
        <v>10722</v>
      </c>
      <c r="E1734" s="8" t="s">
        <v>10705</v>
      </c>
      <c r="F1734" s="8" t="s">
        <v>10699</v>
      </c>
      <c r="G1734" s="6" t="s">
        <v>89</v>
      </c>
      <c r="H1734" s="6" t="s">
        <v>53</v>
      </c>
      <c r="I1734" s="8" t="s">
        <v>100</v>
      </c>
      <c r="J1734" s="9">
        <v>1</v>
      </c>
      <c r="K1734" s="9">
        <v>324</v>
      </c>
      <c r="L1734" s="9">
        <v>2025</v>
      </c>
      <c r="M1734" s="8" t="s">
        <v>10723</v>
      </c>
      <c r="N1734" s="8" t="s">
        <v>79</v>
      </c>
      <c r="O1734" s="8" t="s">
        <v>396</v>
      </c>
      <c r="P1734" s="6" t="s">
        <v>167</v>
      </c>
      <c r="Q1734" s="8" t="s">
        <v>102</v>
      </c>
      <c r="R1734" s="10" t="s">
        <v>10724</v>
      </c>
      <c r="S1734" s="11" t="s">
        <v>10725</v>
      </c>
      <c r="T1734" s="6"/>
      <c r="U1734" s="24" t="str">
        <f>HYPERLINK("https://media.infra-m.ru/2191/2191632/cover/2191632.jpg", "Обложка")</f>
        <v>Обложка</v>
      </c>
      <c r="V1734" s="24" t="str">
        <f>HYPERLINK("https://znanium.ru/catalog/product/2079611", "Ознакомиться")</f>
        <v>Ознакомиться</v>
      </c>
      <c r="W1734" s="8" t="s">
        <v>1544</v>
      </c>
      <c r="X1734" s="6"/>
      <c r="Y1734" s="6"/>
      <c r="Z1734" s="6" t="s">
        <v>502</v>
      </c>
      <c r="AA1734" s="6" t="s">
        <v>793</v>
      </c>
      <c r="AB1734" s="8"/>
    </row>
    <row r="1735" spans="1:28" s="4" customFormat="1" ht="51.95" customHeight="1">
      <c r="A1735" s="5">
        <v>0</v>
      </c>
      <c r="B1735" s="6" t="s">
        <v>10726</v>
      </c>
      <c r="C1735" s="13">
        <v>1360</v>
      </c>
      <c r="D1735" s="8" t="s">
        <v>10727</v>
      </c>
      <c r="E1735" s="8" t="s">
        <v>10698</v>
      </c>
      <c r="F1735" s="8" t="s">
        <v>10699</v>
      </c>
      <c r="G1735" s="6" t="s">
        <v>89</v>
      </c>
      <c r="H1735" s="6" t="s">
        <v>53</v>
      </c>
      <c r="I1735" s="8" t="s">
        <v>116</v>
      </c>
      <c r="J1735" s="9">
        <v>1</v>
      </c>
      <c r="K1735" s="9">
        <v>295</v>
      </c>
      <c r="L1735" s="9">
        <v>2024</v>
      </c>
      <c r="M1735" s="8" t="s">
        <v>10728</v>
      </c>
      <c r="N1735" s="8" t="s">
        <v>79</v>
      </c>
      <c r="O1735" s="8" t="s">
        <v>396</v>
      </c>
      <c r="P1735" s="6" t="s">
        <v>167</v>
      </c>
      <c r="Q1735" s="8" t="s">
        <v>58</v>
      </c>
      <c r="R1735" s="10" t="s">
        <v>10707</v>
      </c>
      <c r="S1735" s="11" t="s">
        <v>10729</v>
      </c>
      <c r="T1735" s="6" t="s">
        <v>299</v>
      </c>
      <c r="U1735" s="24" t="str">
        <f>HYPERLINK("https://media.infra-m.ru/2080/2080921/cover/2080921.jpg", "Обложка")</f>
        <v>Обложка</v>
      </c>
      <c r="V1735" s="24" t="str">
        <f>HYPERLINK("https://znanium.ru/catalog/product/2080921", "Ознакомиться")</f>
        <v>Ознакомиться</v>
      </c>
      <c r="W1735" s="8" t="s">
        <v>1544</v>
      </c>
      <c r="X1735" s="6"/>
      <c r="Y1735" s="6"/>
      <c r="Z1735" s="6"/>
      <c r="AA1735" s="6" t="s">
        <v>442</v>
      </c>
      <c r="AB1735" s="8"/>
    </row>
    <row r="1736" spans="1:28" s="4" customFormat="1" ht="51.95" customHeight="1">
      <c r="A1736" s="5">
        <v>0</v>
      </c>
      <c r="B1736" s="6" t="s">
        <v>10730</v>
      </c>
      <c r="C1736" s="13">
        <v>1264</v>
      </c>
      <c r="D1736" s="8" t="s">
        <v>10731</v>
      </c>
      <c r="E1736" s="8" t="s">
        <v>10732</v>
      </c>
      <c r="F1736" s="8" t="s">
        <v>10733</v>
      </c>
      <c r="G1736" s="6" t="s">
        <v>89</v>
      </c>
      <c r="H1736" s="6" t="s">
        <v>53</v>
      </c>
      <c r="I1736" s="8" t="s">
        <v>90</v>
      </c>
      <c r="J1736" s="9">
        <v>1</v>
      </c>
      <c r="K1736" s="9">
        <v>274</v>
      </c>
      <c r="L1736" s="9">
        <v>2024</v>
      </c>
      <c r="M1736" s="8" t="s">
        <v>10734</v>
      </c>
      <c r="N1736" s="8" t="s">
        <v>79</v>
      </c>
      <c r="O1736" s="8" t="s">
        <v>396</v>
      </c>
      <c r="P1736" s="6" t="s">
        <v>167</v>
      </c>
      <c r="Q1736" s="8" t="s">
        <v>44</v>
      </c>
      <c r="R1736" s="10" t="s">
        <v>10735</v>
      </c>
      <c r="S1736" s="11" t="s">
        <v>10736</v>
      </c>
      <c r="T1736" s="6"/>
      <c r="U1736" s="24" t="str">
        <f>HYPERLINK("https://media.infra-m.ru/2086/2086825/cover/2086825.jpg", "Обложка")</f>
        <v>Обложка</v>
      </c>
      <c r="V1736" s="24" t="str">
        <f>HYPERLINK("https://znanium.ru/catalog/product/1010792", "Ознакомиться")</f>
        <v>Ознакомиться</v>
      </c>
      <c r="W1736" s="8" t="s">
        <v>1544</v>
      </c>
      <c r="X1736" s="6"/>
      <c r="Y1736" s="6"/>
      <c r="Z1736" s="6"/>
      <c r="AA1736" s="6" t="s">
        <v>418</v>
      </c>
      <c r="AB1736" s="8"/>
    </row>
    <row r="1737" spans="1:28" s="4" customFormat="1" ht="51.95" customHeight="1">
      <c r="A1737" s="5">
        <v>0</v>
      </c>
      <c r="B1737" s="6" t="s">
        <v>10737</v>
      </c>
      <c r="C1737" s="13">
        <v>1370</v>
      </c>
      <c r="D1737" s="8" t="s">
        <v>10738</v>
      </c>
      <c r="E1737" s="8" t="s">
        <v>10732</v>
      </c>
      <c r="F1737" s="8" t="s">
        <v>10733</v>
      </c>
      <c r="G1737" s="6" t="s">
        <v>89</v>
      </c>
      <c r="H1737" s="6" t="s">
        <v>53</v>
      </c>
      <c r="I1737" s="8" t="s">
        <v>100</v>
      </c>
      <c r="J1737" s="9">
        <v>1</v>
      </c>
      <c r="K1737" s="9">
        <v>274</v>
      </c>
      <c r="L1737" s="9">
        <v>2025</v>
      </c>
      <c r="M1737" s="8" t="s">
        <v>10739</v>
      </c>
      <c r="N1737" s="8" t="s">
        <v>79</v>
      </c>
      <c r="O1737" s="8" t="s">
        <v>396</v>
      </c>
      <c r="P1737" s="6" t="s">
        <v>167</v>
      </c>
      <c r="Q1737" s="8" t="s">
        <v>102</v>
      </c>
      <c r="R1737" s="10" t="s">
        <v>10740</v>
      </c>
      <c r="S1737" s="11" t="s">
        <v>10741</v>
      </c>
      <c r="T1737" s="6"/>
      <c r="U1737" s="24" t="str">
        <f>HYPERLINK("https://media.infra-m.ru/2156/2156992/cover/2156992.jpg", "Обложка")</f>
        <v>Обложка</v>
      </c>
      <c r="V1737" s="24" t="str">
        <f>HYPERLINK("https://znanium.ru/catalog/product/2156992", "Ознакомиться")</f>
        <v>Ознакомиться</v>
      </c>
      <c r="W1737" s="8" t="s">
        <v>1544</v>
      </c>
      <c r="X1737" s="6"/>
      <c r="Y1737" s="6"/>
      <c r="Z1737" s="6" t="s">
        <v>104</v>
      </c>
      <c r="AA1737" s="6" t="s">
        <v>793</v>
      </c>
      <c r="AB1737" s="8"/>
    </row>
    <row r="1738" spans="1:28" s="4" customFormat="1" ht="51.95" customHeight="1">
      <c r="A1738" s="5">
        <v>0</v>
      </c>
      <c r="B1738" s="6" t="s">
        <v>10742</v>
      </c>
      <c r="C1738" s="13">
        <v>2624</v>
      </c>
      <c r="D1738" s="8" t="s">
        <v>10743</v>
      </c>
      <c r="E1738" s="8" t="s">
        <v>10744</v>
      </c>
      <c r="F1738" s="8" t="s">
        <v>10745</v>
      </c>
      <c r="G1738" s="6" t="s">
        <v>89</v>
      </c>
      <c r="H1738" s="6" t="s">
        <v>53</v>
      </c>
      <c r="I1738" s="8" t="s">
        <v>90</v>
      </c>
      <c r="J1738" s="9">
        <v>1</v>
      </c>
      <c r="K1738" s="9">
        <v>334</v>
      </c>
      <c r="L1738" s="9">
        <v>2024</v>
      </c>
      <c r="M1738" s="8" t="s">
        <v>10746</v>
      </c>
      <c r="N1738" s="8" t="s">
        <v>79</v>
      </c>
      <c r="O1738" s="8" t="s">
        <v>396</v>
      </c>
      <c r="P1738" s="6" t="s">
        <v>167</v>
      </c>
      <c r="Q1738" s="8" t="s">
        <v>44</v>
      </c>
      <c r="R1738" s="10" t="s">
        <v>9042</v>
      </c>
      <c r="S1738" s="11" t="s">
        <v>10747</v>
      </c>
      <c r="T1738" s="6"/>
      <c r="U1738" s="24" t="str">
        <f>HYPERLINK("https://media.infra-m.ru/2101/2101610/cover/2101610.jpg", "Обложка")</f>
        <v>Обложка</v>
      </c>
      <c r="V1738" s="24" t="str">
        <f>HYPERLINK("https://znanium.ru/catalog/product/2152103", "Ознакомиться")</f>
        <v>Ознакомиться</v>
      </c>
      <c r="W1738" s="8" t="s">
        <v>9044</v>
      </c>
      <c r="X1738" s="6"/>
      <c r="Y1738" s="6"/>
      <c r="Z1738" s="6"/>
      <c r="AA1738" s="6" t="s">
        <v>1259</v>
      </c>
      <c r="AB1738" s="8"/>
    </row>
    <row r="1739" spans="1:28" s="4" customFormat="1" ht="51.95" customHeight="1">
      <c r="A1739" s="5">
        <v>0</v>
      </c>
      <c r="B1739" s="6" t="s">
        <v>10748</v>
      </c>
      <c r="C1739" s="13">
        <v>1490</v>
      </c>
      <c r="D1739" s="8" t="s">
        <v>10749</v>
      </c>
      <c r="E1739" s="8" t="s">
        <v>10750</v>
      </c>
      <c r="F1739" s="8" t="s">
        <v>10751</v>
      </c>
      <c r="G1739" s="6" t="s">
        <v>89</v>
      </c>
      <c r="H1739" s="6" t="s">
        <v>649</v>
      </c>
      <c r="I1739" s="8" t="s">
        <v>116</v>
      </c>
      <c r="J1739" s="9">
        <v>1</v>
      </c>
      <c r="K1739" s="9">
        <v>288</v>
      </c>
      <c r="L1739" s="9">
        <v>2025</v>
      </c>
      <c r="M1739" s="8" t="s">
        <v>10752</v>
      </c>
      <c r="N1739" s="8" t="s">
        <v>79</v>
      </c>
      <c r="O1739" s="8" t="s">
        <v>396</v>
      </c>
      <c r="P1739" s="6" t="s">
        <v>43</v>
      </c>
      <c r="Q1739" s="8" t="s">
        <v>44</v>
      </c>
      <c r="R1739" s="10" t="s">
        <v>10753</v>
      </c>
      <c r="S1739" s="11" t="s">
        <v>10754</v>
      </c>
      <c r="T1739" s="6"/>
      <c r="U1739" s="24" t="str">
        <f>HYPERLINK("https://media.infra-m.ru/2162/2162471/cover/2162471.jpg", "Обложка")</f>
        <v>Обложка</v>
      </c>
      <c r="V1739" s="24" t="str">
        <f>HYPERLINK("https://znanium.ru/catalog/product/2162471", "Ознакомиться")</f>
        <v>Ознакомиться</v>
      </c>
      <c r="W1739" s="8" t="s">
        <v>1571</v>
      </c>
      <c r="X1739" s="6"/>
      <c r="Y1739" s="6"/>
      <c r="Z1739" s="6"/>
      <c r="AA1739" s="6" t="s">
        <v>555</v>
      </c>
      <c r="AB1739" s="8"/>
    </row>
    <row r="1740" spans="1:28" s="4" customFormat="1" ht="51.95" customHeight="1">
      <c r="A1740" s="5">
        <v>0</v>
      </c>
      <c r="B1740" s="6" t="s">
        <v>10755</v>
      </c>
      <c r="C1740" s="13">
        <v>1470</v>
      </c>
      <c r="D1740" s="8" t="s">
        <v>10756</v>
      </c>
      <c r="E1740" s="8" t="s">
        <v>10750</v>
      </c>
      <c r="F1740" s="8" t="s">
        <v>10757</v>
      </c>
      <c r="G1740" s="6" t="s">
        <v>89</v>
      </c>
      <c r="H1740" s="6" t="s">
        <v>649</v>
      </c>
      <c r="I1740" s="8" t="s">
        <v>100</v>
      </c>
      <c r="J1740" s="9">
        <v>1</v>
      </c>
      <c r="K1740" s="9">
        <v>288</v>
      </c>
      <c r="L1740" s="9">
        <v>2025</v>
      </c>
      <c r="M1740" s="8" t="s">
        <v>10758</v>
      </c>
      <c r="N1740" s="8" t="s">
        <v>79</v>
      </c>
      <c r="O1740" s="8" t="s">
        <v>396</v>
      </c>
      <c r="P1740" s="6" t="s">
        <v>43</v>
      </c>
      <c r="Q1740" s="8" t="s">
        <v>102</v>
      </c>
      <c r="R1740" s="10" t="s">
        <v>10759</v>
      </c>
      <c r="S1740" s="11" t="s">
        <v>10760</v>
      </c>
      <c r="T1740" s="6"/>
      <c r="U1740" s="24" t="str">
        <f>HYPERLINK("https://media.infra-m.ru/2186/2186903/cover/2186903.jpg", "Обложка")</f>
        <v>Обложка</v>
      </c>
      <c r="V1740" s="24" t="str">
        <f>HYPERLINK("https://znanium.ru/catalog/product/2186903", "Ознакомиться")</f>
        <v>Ознакомиться</v>
      </c>
      <c r="W1740" s="8" t="s">
        <v>1571</v>
      </c>
      <c r="X1740" s="6"/>
      <c r="Y1740" s="6"/>
      <c r="Z1740" s="6" t="s">
        <v>104</v>
      </c>
      <c r="AA1740" s="6" t="s">
        <v>151</v>
      </c>
      <c r="AB1740" s="8"/>
    </row>
    <row r="1741" spans="1:28" s="4" customFormat="1" ht="44.1" customHeight="1">
      <c r="A1741" s="5">
        <v>0</v>
      </c>
      <c r="B1741" s="6" t="s">
        <v>10761</v>
      </c>
      <c r="C1741" s="13">
        <v>1494</v>
      </c>
      <c r="D1741" s="8" t="s">
        <v>10762</v>
      </c>
      <c r="E1741" s="8" t="s">
        <v>10763</v>
      </c>
      <c r="F1741" s="8" t="s">
        <v>10764</v>
      </c>
      <c r="G1741" s="6" t="s">
        <v>52</v>
      </c>
      <c r="H1741" s="6" t="s">
        <v>53</v>
      </c>
      <c r="I1741" s="8" t="s">
        <v>116</v>
      </c>
      <c r="J1741" s="9">
        <v>1</v>
      </c>
      <c r="K1741" s="9">
        <v>319</v>
      </c>
      <c r="L1741" s="9">
        <v>2023</v>
      </c>
      <c r="M1741" s="8" t="s">
        <v>10765</v>
      </c>
      <c r="N1741" s="8" t="s">
        <v>79</v>
      </c>
      <c r="O1741" s="8" t="s">
        <v>80</v>
      </c>
      <c r="P1741" s="6" t="s">
        <v>43</v>
      </c>
      <c r="Q1741" s="8" t="s">
        <v>44</v>
      </c>
      <c r="R1741" s="10" t="s">
        <v>10766</v>
      </c>
      <c r="S1741" s="11"/>
      <c r="T1741" s="6"/>
      <c r="U1741" s="24" t="str">
        <f>HYPERLINK("https://media.infra-m.ru/2125/2125541/cover/2125541.jpg", "Обложка")</f>
        <v>Обложка</v>
      </c>
      <c r="V1741" s="24" t="str">
        <f>HYPERLINK("https://znanium.ru/catalog/product/2125541", "Ознакомиться")</f>
        <v>Ознакомиться</v>
      </c>
      <c r="W1741" s="8" t="s">
        <v>2216</v>
      </c>
      <c r="X1741" s="6"/>
      <c r="Y1741" s="6"/>
      <c r="Z1741" s="6"/>
      <c r="AA1741" s="6" t="s">
        <v>207</v>
      </c>
      <c r="AB1741" s="8"/>
    </row>
    <row r="1742" spans="1:28" s="4" customFormat="1" ht="51.95" customHeight="1">
      <c r="A1742" s="5">
        <v>0</v>
      </c>
      <c r="B1742" s="6" t="s">
        <v>10767</v>
      </c>
      <c r="C1742" s="13">
        <v>1960</v>
      </c>
      <c r="D1742" s="8" t="s">
        <v>10768</v>
      </c>
      <c r="E1742" s="8" t="s">
        <v>10769</v>
      </c>
      <c r="F1742" s="8" t="s">
        <v>10770</v>
      </c>
      <c r="G1742" s="6" t="s">
        <v>89</v>
      </c>
      <c r="H1742" s="6" t="s">
        <v>39</v>
      </c>
      <c r="I1742" s="8" t="s">
        <v>100</v>
      </c>
      <c r="J1742" s="9">
        <v>1</v>
      </c>
      <c r="K1742" s="9">
        <v>391</v>
      </c>
      <c r="L1742" s="9">
        <v>2025</v>
      </c>
      <c r="M1742" s="8" t="s">
        <v>10771</v>
      </c>
      <c r="N1742" s="8" t="s">
        <v>79</v>
      </c>
      <c r="O1742" s="8" t="s">
        <v>396</v>
      </c>
      <c r="P1742" s="6" t="s">
        <v>43</v>
      </c>
      <c r="Q1742" s="8" t="s">
        <v>102</v>
      </c>
      <c r="R1742" s="10" t="s">
        <v>10772</v>
      </c>
      <c r="S1742" s="11" t="s">
        <v>10773</v>
      </c>
      <c r="T1742" s="6"/>
      <c r="U1742" s="24" t="str">
        <f>HYPERLINK("https://media.infra-m.ru/2165/2165832/cover/2165832.jpg", "Обложка")</f>
        <v>Обложка</v>
      </c>
      <c r="V1742" s="24" t="str">
        <f>HYPERLINK("https://znanium.ru/catalog/product/2165832", "Ознакомиться")</f>
        <v>Ознакомиться</v>
      </c>
      <c r="W1742" s="8" t="s">
        <v>10774</v>
      </c>
      <c r="X1742" s="6"/>
      <c r="Y1742" s="6"/>
      <c r="Z1742" s="6"/>
      <c r="AA1742" s="6" t="s">
        <v>1374</v>
      </c>
      <c r="AB1742" s="8"/>
    </row>
    <row r="1743" spans="1:28" s="4" customFormat="1" ht="51.95" customHeight="1">
      <c r="A1743" s="5">
        <v>0</v>
      </c>
      <c r="B1743" s="6" t="s">
        <v>10775</v>
      </c>
      <c r="C1743" s="13">
        <v>1990</v>
      </c>
      <c r="D1743" s="8" t="s">
        <v>10776</v>
      </c>
      <c r="E1743" s="8" t="s">
        <v>10769</v>
      </c>
      <c r="F1743" s="8" t="s">
        <v>10770</v>
      </c>
      <c r="G1743" s="6" t="s">
        <v>89</v>
      </c>
      <c r="H1743" s="6" t="s">
        <v>39</v>
      </c>
      <c r="I1743" s="8" t="s">
        <v>116</v>
      </c>
      <c r="J1743" s="9">
        <v>1</v>
      </c>
      <c r="K1743" s="9">
        <v>391</v>
      </c>
      <c r="L1743" s="9">
        <v>2025</v>
      </c>
      <c r="M1743" s="8" t="s">
        <v>10777</v>
      </c>
      <c r="N1743" s="8" t="s">
        <v>79</v>
      </c>
      <c r="O1743" s="8" t="s">
        <v>396</v>
      </c>
      <c r="P1743" s="6" t="s">
        <v>43</v>
      </c>
      <c r="Q1743" s="8" t="s">
        <v>58</v>
      </c>
      <c r="R1743" s="10" t="s">
        <v>10707</v>
      </c>
      <c r="S1743" s="11" t="s">
        <v>10778</v>
      </c>
      <c r="T1743" s="6"/>
      <c r="U1743" s="24" t="str">
        <f>HYPERLINK("https://media.infra-m.ru/2165/2165437/cover/2165437.jpg", "Обложка")</f>
        <v>Обложка</v>
      </c>
      <c r="V1743" s="24" t="str">
        <f>HYPERLINK("https://znanium.ru/catalog/product/2165437", "Ознакомиться")</f>
        <v>Ознакомиться</v>
      </c>
      <c r="W1743" s="8" t="s">
        <v>10774</v>
      </c>
      <c r="X1743" s="6"/>
      <c r="Y1743" s="6"/>
      <c r="Z1743" s="6" t="s">
        <v>2627</v>
      </c>
      <c r="AA1743" s="6" t="s">
        <v>1259</v>
      </c>
      <c r="AB1743" s="8"/>
    </row>
    <row r="1744" spans="1:28" s="4" customFormat="1" ht="51.95" customHeight="1">
      <c r="A1744" s="5">
        <v>0</v>
      </c>
      <c r="B1744" s="6" t="s">
        <v>10779</v>
      </c>
      <c r="C1744" s="13">
        <v>1220</v>
      </c>
      <c r="D1744" s="8" t="s">
        <v>10780</v>
      </c>
      <c r="E1744" s="8" t="s">
        <v>10781</v>
      </c>
      <c r="F1744" s="8" t="s">
        <v>6266</v>
      </c>
      <c r="G1744" s="6" t="s">
        <v>89</v>
      </c>
      <c r="H1744" s="6" t="s">
        <v>53</v>
      </c>
      <c r="I1744" s="8" t="s">
        <v>276</v>
      </c>
      <c r="J1744" s="9">
        <v>1</v>
      </c>
      <c r="K1744" s="9">
        <v>264</v>
      </c>
      <c r="L1744" s="9">
        <v>2023</v>
      </c>
      <c r="M1744" s="8" t="s">
        <v>10782</v>
      </c>
      <c r="N1744" s="8" t="s">
        <v>79</v>
      </c>
      <c r="O1744" s="8" t="s">
        <v>396</v>
      </c>
      <c r="P1744" s="6" t="s">
        <v>43</v>
      </c>
      <c r="Q1744" s="8" t="s">
        <v>279</v>
      </c>
      <c r="R1744" s="10" t="s">
        <v>10783</v>
      </c>
      <c r="S1744" s="11" t="s">
        <v>10784</v>
      </c>
      <c r="T1744" s="6"/>
      <c r="U1744" s="24" t="str">
        <f>HYPERLINK("https://media.infra-m.ru/2125/2125630/cover/2125630.jpg", "Обложка")</f>
        <v>Обложка</v>
      </c>
      <c r="V1744" s="24" t="str">
        <f>HYPERLINK("https://znanium.ru/catalog/product/2125630", "Ознакомиться")</f>
        <v>Ознакомиться</v>
      </c>
      <c r="W1744" s="8" t="s">
        <v>334</v>
      </c>
      <c r="X1744" s="6"/>
      <c r="Y1744" s="6"/>
      <c r="Z1744" s="6"/>
      <c r="AA1744" s="6" t="s">
        <v>151</v>
      </c>
      <c r="AB1744" s="8"/>
    </row>
    <row r="1745" spans="1:28" s="4" customFormat="1" ht="51.95" customHeight="1">
      <c r="A1745" s="5">
        <v>0</v>
      </c>
      <c r="B1745" s="6" t="s">
        <v>10785</v>
      </c>
      <c r="C1745" s="13">
        <v>1390</v>
      </c>
      <c r="D1745" s="8" t="s">
        <v>10786</v>
      </c>
      <c r="E1745" s="8" t="s">
        <v>10787</v>
      </c>
      <c r="F1745" s="8" t="s">
        <v>10788</v>
      </c>
      <c r="G1745" s="6" t="s">
        <v>89</v>
      </c>
      <c r="H1745" s="6" t="s">
        <v>649</v>
      </c>
      <c r="I1745" s="8" t="s">
        <v>100</v>
      </c>
      <c r="J1745" s="9">
        <v>1</v>
      </c>
      <c r="K1745" s="9">
        <v>271</v>
      </c>
      <c r="L1745" s="9">
        <v>2025</v>
      </c>
      <c r="M1745" s="8" t="s">
        <v>10789</v>
      </c>
      <c r="N1745" s="8" t="s">
        <v>79</v>
      </c>
      <c r="O1745" s="8" t="s">
        <v>396</v>
      </c>
      <c r="P1745" s="6" t="s">
        <v>43</v>
      </c>
      <c r="Q1745" s="8" t="s">
        <v>102</v>
      </c>
      <c r="R1745" s="10" t="s">
        <v>10790</v>
      </c>
      <c r="S1745" s="11" t="s">
        <v>10791</v>
      </c>
      <c r="T1745" s="6"/>
      <c r="U1745" s="24" t="str">
        <f>HYPERLINK("https://media.infra-m.ru/2179/2179095/cover/2179095.jpg", "Обложка")</f>
        <v>Обложка</v>
      </c>
      <c r="V1745" s="24" t="str">
        <f>HYPERLINK("https://znanium.ru/catalog/product/2179095", "Ознакомиться")</f>
        <v>Ознакомиться</v>
      </c>
      <c r="W1745" s="8" t="s">
        <v>1571</v>
      </c>
      <c r="X1745" s="6"/>
      <c r="Y1745" s="6"/>
      <c r="Z1745" s="6" t="s">
        <v>502</v>
      </c>
      <c r="AA1745" s="6" t="s">
        <v>151</v>
      </c>
      <c r="AB1745" s="8"/>
    </row>
    <row r="1746" spans="1:28" s="4" customFormat="1" ht="51.95" customHeight="1">
      <c r="A1746" s="5">
        <v>0</v>
      </c>
      <c r="B1746" s="6" t="s">
        <v>10792</v>
      </c>
      <c r="C1746" s="13">
        <v>1360</v>
      </c>
      <c r="D1746" s="8" t="s">
        <v>10793</v>
      </c>
      <c r="E1746" s="8" t="s">
        <v>10787</v>
      </c>
      <c r="F1746" s="8" t="s">
        <v>10794</v>
      </c>
      <c r="G1746" s="6" t="s">
        <v>89</v>
      </c>
      <c r="H1746" s="6" t="s">
        <v>649</v>
      </c>
      <c r="I1746" s="8" t="s">
        <v>116</v>
      </c>
      <c r="J1746" s="9">
        <v>1</v>
      </c>
      <c r="K1746" s="9">
        <v>271</v>
      </c>
      <c r="L1746" s="9">
        <v>2025</v>
      </c>
      <c r="M1746" s="8" t="s">
        <v>10795</v>
      </c>
      <c r="N1746" s="8" t="s">
        <v>79</v>
      </c>
      <c r="O1746" s="8" t="s">
        <v>396</v>
      </c>
      <c r="P1746" s="6" t="s">
        <v>43</v>
      </c>
      <c r="Q1746" s="8" t="s">
        <v>58</v>
      </c>
      <c r="R1746" s="10" t="s">
        <v>10796</v>
      </c>
      <c r="S1746" s="11" t="s">
        <v>10791</v>
      </c>
      <c r="T1746" s="6"/>
      <c r="U1746" s="24" t="str">
        <f>HYPERLINK("https://media.infra-m.ru/2172/2172570/cover/2172570.jpg", "Обложка")</f>
        <v>Обложка</v>
      </c>
      <c r="V1746" s="24" t="str">
        <f>HYPERLINK("https://znanium.ru/catalog/product/2172570", "Ознакомиться")</f>
        <v>Ознакомиться</v>
      </c>
      <c r="W1746" s="8" t="s">
        <v>1571</v>
      </c>
      <c r="X1746" s="6"/>
      <c r="Y1746" s="6"/>
      <c r="Z1746" s="6"/>
      <c r="AA1746" s="6" t="s">
        <v>84</v>
      </c>
      <c r="AB1746" s="8"/>
    </row>
    <row r="1747" spans="1:28" s="4" customFormat="1" ht="51.95" customHeight="1">
      <c r="A1747" s="5">
        <v>0</v>
      </c>
      <c r="B1747" s="6" t="s">
        <v>10797</v>
      </c>
      <c r="C1747" s="13">
        <v>1280</v>
      </c>
      <c r="D1747" s="8" t="s">
        <v>10798</v>
      </c>
      <c r="E1747" s="8" t="s">
        <v>10799</v>
      </c>
      <c r="F1747" s="8" t="s">
        <v>10800</v>
      </c>
      <c r="G1747" s="6" t="s">
        <v>89</v>
      </c>
      <c r="H1747" s="6" t="s">
        <v>53</v>
      </c>
      <c r="I1747" s="8" t="s">
        <v>116</v>
      </c>
      <c r="J1747" s="9">
        <v>1</v>
      </c>
      <c r="K1747" s="9">
        <v>272</v>
      </c>
      <c r="L1747" s="9">
        <v>2024</v>
      </c>
      <c r="M1747" s="8" t="s">
        <v>10801</v>
      </c>
      <c r="N1747" s="8" t="s">
        <v>79</v>
      </c>
      <c r="O1747" s="8" t="s">
        <v>396</v>
      </c>
      <c r="P1747" s="6" t="s">
        <v>10802</v>
      </c>
      <c r="Q1747" s="8" t="s">
        <v>44</v>
      </c>
      <c r="R1747" s="10" t="s">
        <v>10803</v>
      </c>
      <c r="S1747" s="11" t="s">
        <v>10804</v>
      </c>
      <c r="T1747" s="6"/>
      <c r="U1747" s="24" t="str">
        <f>HYPERLINK("https://media.infra-m.ru/2058/2058778/cover/2058778.jpg", "Обложка")</f>
        <v>Обложка</v>
      </c>
      <c r="V1747" s="24" t="str">
        <f>HYPERLINK("https://znanium.ru/catalog/product/2058778", "Ознакомиться")</f>
        <v>Ознакомиться</v>
      </c>
      <c r="W1747" s="8" t="s">
        <v>2321</v>
      </c>
      <c r="X1747" s="6"/>
      <c r="Y1747" s="6"/>
      <c r="Z1747" s="6"/>
      <c r="AA1747" s="6" t="s">
        <v>2217</v>
      </c>
      <c r="AB1747" s="8"/>
    </row>
    <row r="1748" spans="1:28" s="4" customFormat="1" ht="51.95" customHeight="1">
      <c r="A1748" s="5">
        <v>0</v>
      </c>
      <c r="B1748" s="6" t="s">
        <v>10805</v>
      </c>
      <c r="C1748" s="13">
        <v>1220</v>
      </c>
      <c r="D1748" s="8" t="s">
        <v>10806</v>
      </c>
      <c r="E1748" s="8" t="s">
        <v>10799</v>
      </c>
      <c r="F1748" s="8" t="s">
        <v>10807</v>
      </c>
      <c r="G1748" s="6" t="s">
        <v>89</v>
      </c>
      <c r="H1748" s="6" t="s">
        <v>53</v>
      </c>
      <c r="I1748" s="8" t="s">
        <v>100</v>
      </c>
      <c r="J1748" s="9">
        <v>1</v>
      </c>
      <c r="K1748" s="9">
        <v>272</v>
      </c>
      <c r="L1748" s="9">
        <v>2023</v>
      </c>
      <c r="M1748" s="8" t="s">
        <v>10808</v>
      </c>
      <c r="N1748" s="8" t="s">
        <v>79</v>
      </c>
      <c r="O1748" s="8" t="s">
        <v>396</v>
      </c>
      <c r="P1748" s="6" t="s">
        <v>10802</v>
      </c>
      <c r="Q1748" s="8" t="s">
        <v>102</v>
      </c>
      <c r="R1748" s="10" t="s">
        <v>10809</v>
      </c>
      <c r="S1748" s="11" t="s">
        <v>10760</v>
      </c>
      <c r="T1748" s="6"/>
      <c r="U1748" s="24" t="str">
        <f>HYPERLINK("https://media.infra-m.ru/2021/2021424/cover/2021424.jpg", "Обложка")</f>
        <v>Обложка</v>
      </c>
      <c r="V1748" s="24" t="str">
        <f>HYPERLINK("https://znanium.ru/catalog/product/2021424", "Ознакомиться")</f>
        <v>Ознакомиться</v>
      </c>
      <c r="W1748" s="8" t="s">
        <v>2321</v>
      </c>
      <c r="X1748" s="6"/>
      <c r="Y1748" s="6"/>
      <c r="Z1748" s="6" t="s">
        <v>104</v>
      </c>
      <c r="AA1748" s="6" t="s">
        <v>151</v>
      </c>
      <c r="AB1748" s="8"/>
    </row>
    <row r="1749" spans="1:28" s="4" customFormat="1" ht="51.95" customHeight="1">
      <c r="A1749" s="5">
        <v>0</v>
      </c>
      <c r="B1749" s="6" t="s">
        <v>10810</v>
      </c>
      <c r="C1749" s="13">
        <v>1500</v>
      </c>
      <c r="D1749" s="8" t="s">
        <v>10811</v>
      </c>
      <c r="E1749" s="8" t="s">
        <v>10812</v>
      </c>
      <c r="F1749" s="8" t="s">
        <v>10813</v>
      </c>
      <c r="G1749" s="6" t="s">
        <v>52</v>
      </c>
      <c r="H1749" s="6" t="s">
        <v>53</v>
      </c>
      <c r="I1749" s="8" t="s">
        <v>90</v>
      </c>
      <c r="J1749" s="9">
        <v>1</v>
      </c>
      <c r="K1749" s="9">
        <v>363</v>
      </c>
      <c r="L1749" s="9">
        <v>2022</v>
      </c>
      <c r="M1749" s="8" t="s">
        <v>10814</v>
      </c>
      <c r="N1749" s="8" t="s">
        <v>79</v>
      </c>
      <c r="O1749" s="8" t="s">
        <v>396</v>
      </c>
      <c r="P1749" s="6" t="s">
        <v>43</v>
      </c>
      <c r="Q1749" s="8" t="s">
        <v>44</v>
      </c>
      <c r="R1749" s="10" t="s">
        <v>7643</v>
      </c>
      <c r="S1749" s="11" t="s">
        <v>10815</v>
      </c>
      <c r="T1749" s="6"/>
      <c r="U1749" s="24" t="str">
        <f>HYPERLINK("https://media.infra-m.ru/1020/1020520/cover/1020520.jpg", "Обложка")</f>
        <v>Обложка</v>
      </c>
      <c r="V1749" s="24" t="str">
        <f>HYPERLINK("https://znanium.ru/catalog/product/1020520", "Ознакомиться")</f>
        <v>Ознакомиться</v>
      </c>
      <c r="W1749" s="8" t="s">
        <v>2343</v>
      </c>
      <c r="X1749" s="6"/>
      <c r="Y1749" s="6"/>
      <c r="Z1749" s="6"/>
      <c r="AA1749" s="6" t="s">
        <v>235</v>
      </c>
      <c r="AB1749" s="8"/>
    </row>
    <row r="1750" spans="1:28" s="4" customFormat="1" ht="51.95" customHeight="1">
      <c r="A1750" s="5">
        <v>0</v>
      </c>
      <c r="B1750" s="6" t="s">
        <v>10816</v>
      </c>
      <c r="C1750" s="13">
        <v>1524</v>
      </c>
      <c r="D1750" s="8" t="s">
        <v>10817</v>
      </c>
      <c r="E1750" s="8" t="s">
        <v>10818</v>
      </c>
      <c r="F1750" s="8" t="s">
        <v>10819</v>
      </c>
      <c r="G1750" s="6" t="s">
        <v>89</v>
      </c>
      <c r="H1750" s="6" t="s">
        <v>53</v>
      </c>
      <c r="I1750" s="8" t="s">
        <v>100</v>
      </c>
      <c r="J1750" s="9">
        <v>1</v>
      </c>
      <c r="K1750" s="9">
        <v>304</v>
      </c>
      <c r="L1750" s="9">
        <v>2025</v>
      </c>
      <c r="M1750" s="8" t="s">
        <v>10820</v>
      </c>
      <c r="N1750" s="8" t="s">
        <v>79</v>
      </c>
      <c r="O1750" s="8" t="s">
        <v>396</v>
      </c>
      <c r="P1750" s="6" t="s">
        <v>167</v>
      </c>
      <c r="Q1750" s="8" t="s">
        <v>102</v>
      </c>
      <c r="R1750" s="10" t="s">
        <v>10821</v>
      </c>
      <c r="S1750" s="11" t="s">
        <v>10822</v>
      </c>
      <c r="T1750" s="6"/>
      <c r="U1750" s="24" t="str">
        <f>HYPERLINK("https://media.infra-m.ru/2179/2179588/cover/2179588.jpg", "Обложка")</f>
        <v>Обложка</v>
      </c>
      <c r="V1750" s="24" t="str">
        <f>HYPERLINK("https://znanium.ru/catalog/product/1976097", "Ознакомиться")</f>
        <v>Ознакомиться</v>
      </c>
      <c r="W1750" s="8" t="s">
        <v>1703</v>
      </c>
      <c r="X1750" s="6"/>
      <c r="Y1750" s="6"/>
      <c r="Z1750" s="6" t="s">
        <v>104</v>
      </c>
      <c r="AA1750" s="6" t="s">
        <v>258</v>
      </c>
      <c r="AB1750" s="8" t="s">
        <v>2336</v>
      </c>
    </row>
    <row r="1751" spans="1:28" s="4" customFormat="1" ht="51.95" customHeight="1">
      <c r="A1751" s="5">
        <v>0</v>
      </c>
      <c r="B1751" s="6" t="s">
        <v>10823</v>
      </c>
      <c r="C1751" s="13">
        <v>1524</v>
      </c>
      <c r="D1751" s="8" t="s">
        <v>10824</v>
      </c>
      <c r="E1751" s="8" t="s">
        <v>10818</v>
      </c>
      <c r="F1751" s="8" t="s">
        <v>10825</v>
      </c>
      <c r="G1751" s="6" t="s">
        <v>52</v>
      </c>
      <c r="H1751" s="6" t="s">
        <v>53</v>
      </c>
      <c r="I1751" s="8" t="s">
        <v>90</v>
      </c>
      <c r="J1751" s="9">
        <v>1</v>
      </c>
      <c r="K1751" s="9">
        <v>304</v>
      </c>
      <c r="L1751" s="9">
        <v>2025</v>
      </c>
      <c r="M1751" s="8" t="s">
        <v>10826</v>
      </c>
      <c r="N1751" s="8" t="s">
        <v>79</v>
      </c>
      <c r="O1751" s="8" t="s">
        <v>424</v>
      </c>
      <c r="P1751" s="6" t="s">
        <v>167</v>
      </c>
      <c r="Q1751" s="8" t="s">
        <v>44</v>
      </c>
      <c r="R1751" s="10" t="s">
        <v>10827</v>
      </c>
      <c r="S1751" s="11" t="s">
        <v>10828</v>
      </c>
      <c r="T1751" s="6"/>
      <c r="U1751" s="24" t="str">
        <f>HYPERLINK("https://media.infra-m.ru/2185/2185191/cover/2185191.jpg", "Обложка")</f>
        <v>Обложка</v>
      </c>
      <c r="V1751" s="24" t="str">
        <f>HYPERLINK("https://znanium.ru/catalog/product/1839666", "Ознакомиться")</f>
        <v>Ознакомиться</v>
      </c>
      <c r="W1751" s="8" t="s">
        <v>1703</v>
      </c>
      <c r="X1751" s="6"/>
      <c r="Y1751" s="6"/>
      <c r="Z1751" s="6"/>
      <c r="AA1751" s="6" t="s">
        <v>47</v>
      </c>
      <c r="AB1751" s="8"/>
    </row>
    <row r="1752" spans="1:28" s="4" customFormat="1" ht="51.95" customHeight="1">
      <c r="A1752" s="5">
        <v>0</v>
      </c>
      <c r="B1752" s="6" t="s">
        <v>10829</v>
      </c>
      <c r="C1752" s="13">
        <v>2454</v>
      </c>
      <c r="D1752" s="8" t="s">
        <v>10830</v>
      </c>
      <c r="E1752" s="8" t="s">
        <v>10831</v>
      </c>
      <c r="F1752" s="8" t="s">
        <v>10832</v>
      </c>
      <c r="G1752" s="6" t="s">
        <v>52</v>
      </c>
      <c r="H1752" s="6" t="s">
        <v>66</v>
      </c>
      <c r="I1752" s="8" t="s">
        <v>100</v>
      </c>
      <c r="J1752" s="9">
        <v>1</v>
      </c>
      <c r="K1752" s="9">
        <v>687</v>
      </c>
      <c r="L1752" s="9">
        <v>2025</v>
      </c>
      <c r="M1752" s="8" t="s">
        <v>10833</v>
      </c>
      <c r="N1752" s="8" t="s">
        <v>56</v>
      </c>
      <c r="O1752" s="8" t="s">
        <v>2183</v>
      </c>
      <c r="P1752" s="6" t="s">
        <v>43</v>
      </c>
      <c r="Q1752" s="8" t="s">
        <v>102</v>
      </c>
      <c r="R1752" s="10" t="s">
        <v>10834</v>
      </c>
      <c r="S1752" s="11" t="s">
        <v>10835</v>
      </c>
      <c r="T1752" s="6"/>
      <c r="U1752" s="24" t="str">
        <f>HYPERLINK("https://media.infra-m.ru/2196/2196882/cover/2196882.jpg", "Обложка")</f>
        <v>Обложка</v>
      </c>
      <c r="V1752" s="24" t="str">
        <f>HYPERLINK("https://znanium.ru/catalog/product/1069042", "Ознакомиться")</f>
        <v>Ознакомиться</v>
      </c>
      <c r="W1752" s="8" t="s">
        <v>8639</v>
      </c>
      <c r="X1752" s="6"/>
      <c r="Y1752" s="6"/>
      <c r="Z1752" s="6"/>
      <c r="AA1752" s="6" t="s">
        <v>2217</v>
      </c>
      <c r="AB1752" s="8"/>
    </row>
    <row r="1753" spans="1:28" s="4" customFormat="1" ht="51.95" customHeight="1">
      <c r="A1753" s="5">
        <v>0</v>
      </c>
      <c r="B1753" s="6" t="s">
        <v>10836</v>
      </c>
      <c r="C1753" s="13">
        <v>2204</v>
      </c>
      <c r="D1753" s="8" t="s">
        <v>10837</v>
      </c>
      <c r="E1753" s="8" t="s">
        <v>10838</v>
      </c>
      <c r="F1753" s="8" t="s">
        <v>10839</v>
      </c>
      <c r="G1753" s="6" t="s">
        <v>89</v>
      </c>
      <c r="H1753" s="6" t="s">
        <v>53</v>
      </c>
      <c r="I1753" s="8" t="s">
        <v>90</v>
      </c>
      <c r="J1753" s="9">
        <v>1</v>
      </c>
      <c r="K1753" s="9">
        <v>480</v>
      </c>
      <c r="L1753" s="9">
        <v>2024</v>
      </c>
      <c r="M1753" s="8" t="s">
        <v>10840</v>
      </c>
      <c r="N1753" s="8" t="s">
        <v>79</v>
      </c>
      <c r="O1753" s="8" t="s">
        <v>396</v>
      </c>
      <c r="P1753" s="6" t="s">
        <v>43</v>
      </c>
      <c r="Q1753" s="8" t="s">
        <v>44</v>
      </c>
      <c r="R1753" s="10" t="s">
        <v>10841</v>
      </c>
      <c r="S1753" s="11" t="s">
        <v>10842</v>
      </c>
      <c r="T1753" s="6"/>
      <c r="U1753" s="24" t="str">
        <f>HYPERLINK("https://media.infra-m.ru/2077/2077645/cover/2077645.jpg", "Обложка")</f>
        <v>Обложка</v>
      </c>
      <c r="V1753" s="24" t="str">
        <f>HYPERLINK("https://znanium.ru/catalog/product/1865503", "Ознакомиться")</f>
        <v>Ознакомиться</v>
      </c>
      <c r="W1753" s="8" t="s">
        <v>399</v>
      </c>
      <c r="X1753" s="6"/>
      <c r="Y1753" s="6"/>
      <c r="Z1753" s="6"/>
      <c r="AA1753" s="6" t="s">
        <v>442</v>
      </c>
      <c r="AB1753" s="8"/>
    </row>
    <row r="1754" spans="1:28" s="4" customFormat="1" ht="51.95" customHeight="1">
      <c r="A1754" s="5">
        <v>0</v>
      </c>
      <c r="B1754" s="6" t="s">
        <v>10843</v>
      </c>
      <c r="C1754" s="13">
        <v>2494</v>
      </c>
      <c r="D1754" s="8" t="s">
        <v>10844</v>
      </c>
      <c r="E1754" s="8" t="s">
        <v>10838</v>
      </c>
      <c r="F1754" s="8" t="s">
        <v>10839</v>
      </c>
      <c r="G1754" s="6" t="s">
        <v>52</v>
      </c>
      <c r="H1754" s="6" t="s">
        <v>53</v>
      </c>
      <c r="I1754" s="8" t="s">
        <v>100</v>
      </c>
      <c r="J1754" s="9">
        <v>1</v>
      </c>
      <c r="K1754" s="9">
        <v>480</v>
      </c>
      <c r="L1754" s="9">
        <v>2025</v>
      </c>
      <c r="M1754" s="8" t="s">
        <v>10845</v>
      </c>
      <c r="N1754" s="8" t="s">
        <v>79</v>
      </c>
      <c r="O1754" s="8" t="s">
        <v>396</v>
      </c>
      <c r="P1754" s="6" t="s">
        <v>43</v>
      </c>
      <c r="Q1754" s="8" t="s">
        <v>102</v>
      </c>
      <c r="R1754" s="10" t="s">
        <v>10846</v>
      </c>
      <c r="S1754" s="11" t="s">
        <v>10847</v>
      </c>
      <c r="T1754" s="6"/>
      <c r="U1754" s="24" t="str">
        <f>HYPERLINK("https://media.infra-m.ru/2202/2202669/cover/2202669.jpg", "Обложка")</f>
        <v>Обложка</v>
      </c>
      <c r="V1754" s="24" t="str">
        <f>HYPERLINK("https://znanium.ru/catalog/product/2170338", "Ознакомиться")</f>
        <v>Ознакомиться</v>
      </c>
      <c r="W1754" s="8" t="s">
        <v>399</v>
      </c>
      <c r="X1754" s="6"/>
      <c r="Y1754" s="6"/>
      <c r="Z1754" s="6" t="s">
        <v>104</v>
      </c>
      <c r="AA1754" s="6" t="s">
        <v>151</v>
      </c>
      <c r="AB1754" s="8"/>
    </row>
    <row r="1755" spans="1:28" s="4" customFormat="1" ht="51.95" customHeight="1">
      <c r="A1755" s="5">
        <v>0</v>
      </c>
      <c r="B1755" s="6" t="s">
        <v>10848</v>
      </c>
      <c r="C1755" s="13">
        <v>1230</v>
      </c>
      <c r="D1755" s="8" t="s">
        <v>10849</v>
      </c>
      <c r="E1755" s="8" t="s">
        <v>10850</v>
      </c>
      <c r="F1755" s="8" t="s">
        <v>10851</v>
      </c>
      <c r="G1755" s="6" t="s">
        <v>89</v>
      </c>
      <c r="H1755" s="6" t="s">
        <v>53</v>
      </c>
      <c r="I1755" s="8" t="s">
        <v>212</v>
      </c>
      <c r="J1755" s="9">
        <v>1</v>
      </c>
      <c r="K1755" s="9">
        <v>267</v>
      </c>
      <c r="L1755" s="9">
        <v>2024</v>
      </c>
      <c r="M1755" s="8" t="s">
        <v>10852</v>
      </c>
      <c r="N1755" s="8" t="s">
        <v>79</v>
      </c>
      <c r="O1755" s="8" t="s">
        <v>570</v>
      </c>
      <c r="P1755" s="6" t="s">
        <v>43</v>
      </c>
      <c r="Q1755" s="8" t="s">
        <v>214</v>
      </c>
      <c r="R1755" s="10" t="s">
        <v>10853</v>
      </c>
      <c r="S1755" s="11" t="s">
        <v>10854</v>
      </c>
      <c r="T1755" s="6"/>
      <c r="U1755" s="24" t="str">
        <f>HYPERLINK("https://media.infra-m.ru/2069/2069325/cover/2069325.jpg", "Обложка")</f>
        <v>Обложка</v>
      </c>
      <c r="V1755" s="24" t="str">
        <f>HYPERLINK("https://znanium.ru/catalog/product/2069325", "Ознакомиться")</f>
        <v>Ознакомиться</v>
      </c>
      <c r="W1755" s="8"/>
      <c r="X1755" s="6"/>
      <c r="Y1755" s="6"/>
      <c r="Z1755" s="6"/>
      <c r="AA1755" s="6" t="s">
        <v>219</v>
      </c>
      <c r="AB1755" s="8"/>
    </row>
    <row r="1756" spans="1:28" s="4" customFormat="1" ht="42" customHeight="1">
      <c r="A1756" s="5">
        <v>0</v>
      </c>
      <c r="B1756" s="6" t="s">
        <v>10855</v>
      </c>
      <c r="C1756" s="13">
        <v>2747</v>
      </c>
      <c r="D1756" s="8" t="s">
        <v>10856</v>
      </c>
      <c r="E1756" s="8" t="s">
        <v>10857</v>
      </c>
      <c r="F1756" s="8" t="s">
        <v>10858</v>
      </c>
      <c r="G1756" s="6" t="s">
        <v>89</v>
      </c>
      <c r="H1756" s="6" t="s">
        <v>438</v>
      </c>
      <c r="I1756" s="8"/>
      <c r="J1756" s="9">
        <v>1</v>
      </c>
      <c r="K1756" s="9">
        <v>464</v>
      </c>
      <c r="L1756" s="9">
        <v>2023</v>
      </c>
      <c r="M1756" s="8" t="s">
        <v>10859</v>
      </c>
      <c r="N1756" s="8" t="s">
        <v>56</v>
      </c>
      <c r="O1756" s="8" t="s">
        <v>2183</v>
      </c>
      <c r="P1756" s="6" t="s">
        <v>43</v>
      </c>
      <c r="Q1756" s="8" t="s">
        <v>44</v>
      </c>
      <c r="R1756" s="10" t="s">
        <v>5274</v>
      </c>
      <c r="S1756" s="11"/>
      <c r="T1756" s="6"/>
      <c r="U1756" s="24" t="str">
        <f>HYPERLINK("https://media.infra-m.ru/2110/2110053/cover/2110053.jpg", "Обложка")</f>
        <v>Обложка</v>
      </c>
      <c r="V1756" s="24" t="str">
        <f>HYPERLINK("https://znanium.ru/catalog/product/1899832", "Ознакомиться")</f>
        <v>Ознакомиться</v>
      </c>
      <c r="W1756" s="8" t="s">
        <v>1853</v>
      </c>
      <c r="X1756" s="6"/>
      <c r="Y1756" s="6"/>
      <c r="Z1756" s="6"/>
      <c r="AA1756" s="6" t="s">
        <v>326</v>
      </c>
      <c r="AB1756" s="8"/>
    </row>
    <row r="1757" spans="1:28" s="4" customFormat="1" ht="51.95" customHeight="1">
      <c r="A1757" s="5">
        <v>0</v>
      </c>
      <c r="B1757" s="6" t="s">
        <v>10860</v>
      </c>
      <c r="C1757" s="7">
        <v>660</v>
      </c>
      <c r="D1757" s="8" t="s">
        <v>10861</v>
      </c>
      <c r="E1757" s="8" t="s">
        <v>10862</v>
      </c>
      <c r="F1757" s="8" t="s">
        <v>10863</v>
      </c>
      <c r="G1757" s="6" t="s">
        <v>89</v>
      </c>
      <c r="H1757" s="6" t="s">
        <v>53</v>
      </c>
      <c r="I1757" s="8" t="s">
        <v>100</v>
      </c>
      <c r="J1757" s="9">
        <v>1</v>
      </c>
      <c r="K1757" s="9">
        <v>146</v>
      </c>
      <c r="L1757" s="9">
        <v>2023</v>
      </c>
      <c r="M1757" s="8" t="s">
        <v>10864</v>
      </c>
      <c r="N1757" s="8" t="s">
        <v>79</v>
      </c>
      <c r="O1757" s="8" t="s">
        <v>570</v>
      </c>
      <c r="P1757" s="6" t="s">
        <v>43</v>
      </c>
      <c r="Q1757" s="8" t="s">
        <v>102</v>
      </c>
      <c r="R1757" s="10" t="s">
        <v>10865</v>
      </c>
      <c r="S1757" s="11" t="s">
        <v>6437</v>
      </c>
      <c r="T1757" s="6"/>
      <c r="U1757" s="24" t="str">
        <f>HYPERLINK("https://media.infra-m.ru/2021/2021425/cover/2021425.jpg", "Обложка")</f>
        <v>Обложка</v>
      </c>
      <c r="V1757" s="24" t="str">
        <f>HYPERLINK("https://znanium.ru/catalog/product/2021425", "Ознакомиться")</f>
        <v>Ознакомиться</v>
      </c>
      <c r="W1757" s="8" t="s">
        <v>487</v>
      </c>
      <c r="X1757" s="6"/>
      <c r="Y1757" s="6"/>
      <c r="Z1757" s="6" t="s">
        <v>104</v>
      </c>
      <c r="AA1757" s="6" t="s">
        <v>258</v>
      </c>
      <c r="AB1757" s="8"/>
    </row>
    <row r="1758" spans="1:28" s="4" customFormat="1" ht="51.95" customHeight="1">
      <c r="A1758" s="5">
        <v>0</v>
      </c>
      <c r="B1758" s="6" t="s">
        <v>10866</v>
      </c>
      <c r="C1758" s="7">
        <v>810</v>
      </c>
      <c r="D1758" s="8" t="s">
        <v>10867</v>
      </c>
      <c r="E1758" s="8" t="s">
        <v>10862</v>
      </c>
      <c r="F1758" s="8" t="s">
        <v>10863</v>
      </c>
      <c r="G1758" s="6" t="s">
        <v>38</v>
      </c>
      <c r="H1758" s="6" t="s">
        <v>53</v>
      </c>
      <c r="I1758" s="8" t="s">
        <v>116</v>
      </c>
      <c r="J1758" s="9">
        <v>1</v>
      </c>
      <c r="K1758" s="9">
        <v>146</v>
      </c>
      <c r="L1758" s="9">
        <v>2025</v>
      </c>
      <c r="M1758" s="8" t="s">
        <v>10868</v>
      </c>
      <c r="N1758" s="8" t="s">
        <v>79</v>
      </c>
      <c r="O1758" s="8" t="s">
        <v>570</v>
      </c>
      <c r="P1758" s="6" t="s">
        <v>43</v>
      </c>
      <c r="Q1758" s="8" t="s">
        <v>44</v>
      </c>
      <c r="R1758" s="10" t="s">
        <v>10869</v>
      </c>
      <c r="S1758" s="11" t="s">
        <v>10870</v>
      </c>
      <c r="T1758" s="6"/>
      <c r="U1758" s="24" t="str">
        <f>HYPERLINK("https://media.infra-m.ru/2197/2197267/cover/2197267.jpg", "Обложка")</f>
        <v>Обложка</v>
      </c>
      <c r="V1758" s="24" t="str">
        <f>HYPERLINK("https://znanium.ru/catalog/product/2197267", "Ознакомиться")</f>
        <v>Ознакомиться</v>
      </c>
      <c r="W1758" s="8" t="s">
        <v>487</v>
      </c>
      <c r="X1758" s="6"/>
      <c r="Y1758" s="6"/>
      <c r="Z1758" s="6"/>
      <c r="AA1758" s="6" t="s">
        <v>47</v>
      </c>
      <c r="AB1758" s="8"/>
    </row>
    <row r="1759" spans="1:28" s="4" customFormat="1" ht="51.95" customHeight="1">
      <c r="A1759" s="5">
        <v>0</v>
      </c>
      <c r="B1759" s="6" t="s">
        <v>10871</v>
      </c>
      <c r="C1759" s="13">
        <v>1520</v>
      </c>
      <c r="D1759" s="8" t="s">
        <v>10872</v>
      </c>
      <c r="E1759" s="8" t="s">
        <v>10873</v>
      </c>
      <c r="F1759" s="8" t="s">
        <v>10874</v>
      </c>
      <c r="G1759" s="6" t="s">
        <v>89</v>
      </c>
      <c r="H1759" s="6" t="s">
        <v>53</v>
      </c>
      <c r="I1759" s="8" t="s">
        <v>560</v>
      </c>
      <c r="J1759" s="9">
        <v>1</v>
      </c>
      <c r="K1759" s="9">
        <v>291</v>
      </c>
      <c r="L1759" s="9">
        <v>2025</v>
      </c>
      <c r="M1759" s="8" t="s">
        <v>10875</v>
      </c>
      <c r="N1759" s="8" t="s">
        <v>41</v>
      </c>
      <c r="O1759" s="8" t="s">
        <v>129</v>
      </c>
      <c r="P1759" s="6" t="s">
        <v>43</v>
      </c>
      <c r="Q1759" s="8" t="s">
        <v>58</v>
      </c>
      <c r="R1759" s="10" t="s">
        <v>10876</v>
      </c>
      <c r="S1759" s="11"/>
      <c r="T1759" s="6"/>
      <c r="U1759" s="24" t="str">
        <f>HYPERLINK("https://media.infra-m.ru/2192/2192384/cover/2192384.jpg", "Обложка")</f>
        <v>Обложка</v>
      </c>
      <c r="V1759" s="24" t="str">
        <f>HYPERLINK("https://znanium.ru/catalog/product/2192384", "Ознакомиться")</f>
        <v>Ознакомиться</v>
      </c>
      <c r="W1759" s="8"/>
      <c r="X1759" s="6"/>
      <c r="Y1759" s="6"/>
      <c r="Z1759" s="6"/>
      <c r="AA1759" s="6" t="s">
        <v>207</v>
      </c>
      <c r="AB1759" s="8"/>
    </row>
    <row r="1760" spans="1:28" s="4" customFormat="1" ht="51.95" customHeight="1">
      <c r="A1760" s="5">
        <v>0</v>
      </c>
      <c r="B1760" s="6" t="s">
        <v>10877</v>
      </c>
      <c r="C1760" s="7">
        <v>870</v>
      </c>
      <c r="D1760" s="8" t="s">
        <v>10878</v>
      </c>
      <c r="E1760" s="8" t="s">
        <v>10879</v>
      </c>
      <c r="F1760" s="8" t="s">
        <v>10880</v>
      </c>
      <c r="G1760" s="6" t="s">
        <v>38</v>
      </c>
      <c r="H1760" s="6" t="s">
        <v>53</v>
      </c>
      <c r="I1760" s="8" t="s">
        <v>1325</v>
      </c>
      <c r="J1760" s="9">
        <v>1</v>
      </c>
      <c r="K1760" s="9">
        <v>154</v>
      </c>
      <c r="L1760" s="9">
        <v>2023</v>
      </c>
      <c r="M1760" s="8" t="s">
        <v>10881</v>
      </c>
      <c r="N1760" s="8" t="s">
        <v>79</v>
      </c>
      <c r="O1760" s="8" t="s">
        <v>570</v>
      </c>
      <c r="P1760" s="6" t="s">
        <v>43</v>
      </c>
      <c r="Q1760" s="8" t="s">
        <v>58</v>
      </c>
      <c r="R1760" s="10" t="s">
        <v>10882</v>
      </c>
      <c r="S1760" s="11" t="s">
        <v>10883</v>
      </c>
      <c r="T1760" s="6"/>
      <c r="U1760" s="24" t="str">
        <f>HYPERLINK("https://media.infra-m.ru/1898/1898394/cover/1898394.jpg", "Обложка")</f>
        <v>Обложка</v>
      </c>
      <c r="V1760" s="24" t="str">
        <f>HYPERLINK("https://znanium.ru/catalog/product/1898394", "Ознакомиться")</f>
        <v>Ознакомиться</v>
      </c>
      <c r="W1760" s="8" t="s">
        <v>1329</v>
      </c>
      <c r="X1760" s="6"/>
      <c r="Y1760" s="6"/>
      <c r="Z1760" s="6"/>
      <c r="AA1760" s="6" t="s">
        <v>207</v>
      </c>
      <c r="AB1760" s="8"/>
    </row>
    <row r="1761" spans="1:28" s="4" customFormat="1" ht="51.95" customHeight="1">
      <c r="A1761" s="5">
        <v>0</v>
      </c>
      <c r="B1761" s="6" t="s">
        <v>10884</v>
      </c>
      <c r="C1761" s="13">
        <v>1992</v>
      </c>
      <c r="D1761" s="8" t="s">
        <v>10885</v>
      </c>
      <c r="E1761" s="8" t="s">
        <v>10886</v>
      </c>
      <c r="F1761" s="8" t="s">
        <v>559</v>
      </c>
      <c r="G1761" s="6" t="s">
        <v>52</v>
      </c>
      <c r="H1761" s="6" t="s">
        <v>53</v>
      </c>
      <c r="I1761" s="8" t="s">
        <v>560</v>
      </c>
      <c r="J1761" s="9">
        <v>1</v>
      </c>
      <c r="K1761" s="9">
        <v>419</v>
      </c>
      <c r="L1761" s="9">
        <v>2024</v>
      </c>
      <c r="M1761" s="8" t="s">
        <v>10887</v>
      </c>
      <c r="N1761" s="8" t="s">
        <v>41</v>
      </c>
      <c r="O1761" s="8" t="s">
        <v>129</v>
      </c>
      <c r="P1761" s="6" t="s">
        <v>167</v>
      </c>
      <c r="Q1761" s="8" t="s">
        <v>58</v>
      </c>
      <c r="R1761" s="10" t="s">
        <v>10888</v>
      </c>
      <c r="S1761" s="11" t="s">
        <v>10889</v>
      </c>
      <c r="T1761" s="6"/>
      <c r="U1761" s="24" t="str">
        <f>HYPERLINK("https://media.infra-m.ru/2085/2085050/cover/2085050.jpg", "Обложка")</f>
        <v>Обложка</v>
      </c>
      <c r="V1761" s="24" t="str">
        <f>HYPERLINK("https://znanium.ru/catalog/product/2085050", "Ознакомиться")</f>
        <v>Ознакомиться</v>
      </c>
      <c r="W1761" s="8" t="s">
        <v>564</v>
      </c>
      <c r="X1761" s="6"/>
      <c r="Y1761" s="6"/>
      <c r="Z1761" s="6"/>
      <c r="AA1761" s="6" t="s">
        <v>258</v>
      </c>
      <c r="AB1761" s="8"/>
    </row>
    <row r="1762" spans="1:28" s="4" customFormat="1" ht="51.95" customHeight="1">
      <c r="A1762" s="5">
        <v>0</v>
      </c>
      <c r="B1762" s="6" t="s">
        <v>10890</v>
      </c>
      <c r="C1762" s="13">
        <v>1997</v>
      </c>
      <c r="D1762" s="8" t="s">
        <v>10891</v>
      </c>
      <c r="E1762" s="8" t="s">
        <v>10892</v>
      </c>
      <c r="F1762" s="8" t="s">
        <v>10893</v>
      </c>
      <c r="G1762" s="6" t="s">
        <v>89</v>
      </c>
      <c r="H1762" s="6" t="s">
        <v>53</v>
      </c>
      <c r="I1762" s="8" t="s">
        <v>560</v>
      </c>
      <c r="J1762" s="9">
        <v>1</v>
      </c>
      <c r="K1762" s="9">
        <v>392</v>
      </c>
      <c r="L1762" s="9">
        <v>2024</v>
      </c>
      <c r="M1762" s="8" t="s">
        <v>10894</v>
      </c>
      <c r="N1762" s="8" t="s">
        <v>41</v>
      </c>
      <c r="O1762" s="8" t="s">
        <v>129</v>
      </c>
      <c r="P1762" s="6" t="s">
        <v>167</v>
      </c>
      <c r="Q1762" s="8" t="s">
        <v>58</v>
      </c>
      <c r="R1762" s="10" t="s">
        <v>583</v>
      </c>
      <c r="S1762" s="11" t="s">
        <v>10895</v>
      </c>
      <c r="T1762" s="6"/>
      <c r="U1762" s="24" t="str">
        <f>HYPERLINK("https://media.infra-m.ru/2104/2104854/cover/2104854.jpg", "Обложка")</f>
        <v>Обложка</v>
      </c>
      <c r="V1762" s="24" t="str">
        <f>HYPERLINK("https://znanium.ru/catalog/product/2100923", "Ознакомиться")</f>
        <v>Ознакомиться</v>
      </c>
      <c r="W1762" s="8" t="s">
        <v>564</v>
      </c>
      <c r="X1762" s="6"/>
      <c r="Y1762" s="6"/>
      <c r="Z1762" s="6"/>
      <c r="AA1762" s="6" t="s">
        <v>258</v>
      </c>
      <c r="AB1762" s="8"/>
    </row>
    <row r="1763" spans="1:28" s="4" customFormat="1" ht="51.95" customHeight="1">
      <c r="A1763" s="5">
        <v>0</v>
      </c>
      <c r="B1763" s="6" t="s">
        <v>10896</v>
      </c>
      <c r="C1763" s="13">
        <v>2220</v>
      </c>
      <c r="D1763" s="8" t="s">
        <v>10897</v>
      </c>
      <c r="E1763" s="8" t="s">
        <v>10898</v>
      </c>
      <c r="F1763" s="8" t="s">
        <v>10899</v>
      </c>
      <c r="G1763" s="6" t="s">
        <v>52</v>
      </c>
      <c r="H1763" s="6" t="s">
        <v>53</v>
      </c>
      <c r="I1763" s="8" t="s">
        <v>116</v>
      </c>
      <c r="J1763" s="9">
        <v>1</v>
      </c>
      <c r="K1763" s="9">
        <v>427</v>
      </c>
      <c r="L1763" s="9">
        <v>2025</v>
      </c>
      <c r="M1763" s="8" t="s">
        <v>10900</v>
      </c>
      <c r="N1763" s="8" t="s">
        <v>56</v>
      </c>
      <c r="O1763" s="8" t="s">
        <v>741</v>
      </c>
      <c r="P1763" s="6" t="s">
        <v>43</v>
      </c>
      <c r="Q1763" s="8" t="s">
        <v>44</v>
      </c>
      <c r="R1763" s="10" t="s">
        <v>10901</v>
      </c>
      <c r="S1763" s="11" t="s">
        <v>10902</v>
      </c>
      <c r="T1763" s="6"/>
      <c r="U1763" s="24" t="str">
        <f>HYPERLINK("https://media.infra-m.ru/2197/2197763/cover/2197763.jpg", "Обложка")</f>
        <v>Обложка</v>
      </c>
      <c r="V1763" s="24" t="str">
        <f>HYPERLINK("https://znanium.ru/catalog/product/2197763", "Ознакомиться")</f>
        <v>Ознакомиться</v>
      </c>
      <c r="W1763" s="8" t="s">
        <v>46</v>
      </c>
      <c r="X1763" s="6"/>
      <c r="Y1763" s="6"/>
      <c r="Z1763" s="6"/>
      <c r="AA1763" s="6" t="s">
        <v>1374</v>
      </c>
      <c r="AB1763" s="8"/>
    </row>
    <row r="1764" spans="1:28" s="4" customFormat="1" ht="51.95" customHeight="1">
      <c r="A1764" s="5">
        <v>0</v>
      </c>
      <c r="B1764" s="6" t="s">
        <v>10903</v>
      </c>
      <c r="C1764" s="7">
        <v>704.9</v>
      </c>
      <c r="D1764" s="8" t="s">
        <v>10904</v>
      </c>
      <c r="E1764" s="8" t="s">
        <v>10905</v>
      </c>
      <c r="F1764" s="8" t="s">
        <v>10906</v>
      </c>
      <c r="G1764" s="6" t="s">
        <v>52</v>
      </c>
      <c r="H1764" s="6" t="s">
        <v>53</v>
      </c>
      <c r="I1764" s="8" t="s">
        <v>90</v>
      </c>
      <c r="J1764" s="9">
        <v>1</v>
      </c>
      <c r="K1764" s="9">
        <v>221</v>
      </c>
      <c r="L1764" s="9">
        <v>2019</v>
      </c>
      <c r="M1764" s="8" t="s">
        <v>10907</v>
      </c>
      <c r="N1764" s="8" t="s">
        <v>41</v>
      </c>
      <c r="O1764" s="8" t="s">
        <v>118</v>
      </c>
      <c r="P1764" s="6" t="s">
        <v>43</v>
      </c>
      <c r="Q1764" s="8" t="s">
        <v>44</v>
      </c>
      <c r="R1764" s="10" t="s">
        <v>10908</v>
      </c>
      <c r="S1764" s="11" t="s">
        <v>10909</v>
      </c>
      <c r="T1764" s="6" t="s">
        <v>299</v>
      </c>
      <c r="U1764" s="24" t="str">
        <f>HYPERLINK("https://media.infra-m.ru/1007/1007094/cover/1007094.jpg", "Обложка")</f>
        <v>Обложка</v>
      </c>
      <c r="V1764" s="24" t="str">
        <f>HYPERLINK("https://znanium.ru/catalog/product/1007094", "Ознакомиться")</f>
        <v>Ознакомиться</v>
      </c>
      <c r="W1764" s="8" t="s">
        <v>10910</v>
      </c>
      <c r="X1764" s="6"/>
      <c r="Y1764" s="6"/>
      <c r="Z1764" s="6"/>
      <c r="AA1764" s="6" t="s">
        <v>622</v>
      </c>
      <c r="AB1764" s="8"/>
    </row>
    <row r="1765" spans="1:28" s="4" customFormat="1" ht="51.95" customHeight="1">
      <c r="A1765" s="5">
        <v>0</v>
      </c>
      <c r="B1765" s="6" t="s">
        <v>10911</v>
      </c>
      <c r="C1765" s="13">
        <v>1354</v>
      </c>
      <c r="D1765" s="8" t="s">
        <v>10912</v>
      </c>
      <c r="E1765" s="8" t="s">
        <v>10913</v>
      </c>
      <c r="F1765" s="8" t="s">
        <v>10914</v>
      </c>
      <c r="G1765" s="6" t="s">
        <v>52</v>
      </c>
      <c r="H1765" s="6" t="s">
        <v>649</v>
      </c>
      <c r="I1765" s="8" t="s">
        <v>116</v>
      </c>
      <c r="J1765" s="9">
        <v>1</v>
      </c>
      <c r="K1765" s="9">
        <v>288</v>
      </c>
      <c r="L1765" s="9">
        <v>2022</v>
      </c>
      <c r="M1765" s="8" t="s">
        <v>10915</v>
      </c>
      <c r="N1765" s="8" t="s">
        <v>41</v>
      </c>
      <c r="O1765" s="8" t="s">
        <v>1007</v>
      </c>
      <c r="P1765" s="6" t="s">
        <v>43</v>
      </c>
      <c r="Q1765" s="8" t="s">
        <v>44</v>
      </c>
      <c r="R1765" s="10" t="s">
        <v>1008</v>
      </c>
      <c r="S1765" s="11" t="s">
        <v>10916</v>
      </c>
      <c r="T1765" s="6"/>
      <c r="U1765" s="24" t="str">
        <f>HYPERLINK("https://media.infra-m.ru/1844/1844318/cover/1844318.jpg", "Обложка")</f>
        <v>Обложка</v>
      </c>
      <c r="V1765" s="24" t="str">
        <f>HYPERLINK("https://znanium.ru/catalog/product/1912213", "Ознакомиться")</f>
        <v>Ознакомиться</v>
      </c>
      <c r="W1765" s="8" t="s">
        <v>399</v>
      </c>
      <c r="X1765" s="6"/>
      <c r="Y1765" s="6"/>
      <c r="Z1765" s="6"/>
      <c r="AA1765" s="6" t="s">
        <v>47</v>
      </c>
      <c r="AB1765" s="8"/>
    </row>
    <row r="1766" spans="1:28" s="4" customFormat="1" ht="51.95" customHeight="1">
      <c r="A1766" s="5">
        <v>0</v>
      </c>
      <c r="B1766" s="6" t="s">
        <v>10917</v>
      </c>
      <c r="C1766" s="13">
        <v>1450</v>
      </c>
      <c r="D1766" s="8" t="s">
        <v>10918</v>
      </c>
      <c r="E1766" s="8" t="s">
        <v>10919</v>
      </c>
      <c r="F1766" s="8" t="s">
        <v>10920</v>
      </c>
      <c r="G1766" s="6" t="s">
        <v>52</v>
      </c>
      <c r="H1766" s="6" t="s">
        <v>53</v>
      </c>
      <c r="I1766" s="8" t="s">
        <v>116</v>
      </c>
      <c r="J1766" s="9">
        <v>1</v>
      </c>
      <c r="K1766" s="9">
        <v>284</v>
      </c>
      <c r="L1766" s="9">
        <v>2025</v>
      </c>
      <c r="M1766" s="8" t="s">
        <v>10921</v>
      </c>
      <c r="N1766" s="8" t="s">
        <v>41</v>
      </c>
      <c r="O1766" s="8" t="s">
        <v>1007</v>
      </c>
      <c r="P1766" s="6" t="s">
        <v>43</v>
      </c>
      <c r="Q1766" s="8" t="s">
        <v>58</v>
      </c>
      <c r="R1766" s="10" t="s">
        <v>1008</v>
      </c>
      <c r="S1766" s="11" t="s">
        <v>10916</v>
      </c>
      <c r="T1766" s="6"/>
      <c r="U1766" s="24" t="str">
        <f>HYPERLINK("https://media.infra-m.ru/1912/1912213/cover/1912213.jpg", "Обложка")</f>
        <v>Обложка</v>
      </c>
      <c r="V1766" s="24" t="str">
        <f>HYPERLINK("https://znanium.ru/catalog/product/1912213", "Ознакомиться")</f>
        <v>Ознакомиться</v>
      </c>
      <c r="W1766" s="8" t="s">
        <v>347</v>
      </c>
      <c r="X1766" s="6" t="s">
        <v>548</v>
      </c>
      <c r="Y1766" s="6"/>
      <c r="Z1766" s="6"/>
      <c r="AA1766" s="6" t="s">
        <v>549</v>
      </c>
      <c r="AB1766" s="8"/>
    </row>
    <row r="1767" spans="1:28" s="4" customFormat="1" ht="51.95" customHeight="1">
      <c r="A1767" s="5">
        <v>0</v>
      </c>
      <c r="B1767" s="6" t="s">
        <v>10922</v>
      </c>
      <c r="C1767" s="13">
        <v>1154.9000000000001</v>
      </c>
      <c r="D1767" s="8" t="s">
        <v>10923</v>
      </c>
      <c r="E1767" s="8" t="s">
        <v>10924</v>
      </c>
      <c r="F1767" s="8" t="s">
        <v>10925</v>
      </c>
      <c r="G1767" s="6" t="s">
        <v>52</v>
      </c>
      <c r="H1767" s="6" t="s">
        <v>649</v>
      </c>
      <c r="I1767" s="8" t="s">
        <v>116</v>
      </c>
      <c r="J1767" s="9">
        <v>1</v>
      </c>
      <c r="K1767" s="9">
        <v>304</v>
      </c>
      <c r="L1767" s="9">
        <v>2022</v>
      </c>
      <c r="M1767" s="8" t="s">
        <v>10926</v>
      </c>
      <c r="N1767" s="8" t="s">
        <v>41</v>
      </c>
      <c r="O1767" s="8" t="s">
        <v>118</v>
      </c>
      <c r="P1767" s="6" t="s">
        <v>167</v>
      </c>
      <c r="Q1767" s="8" t="s">
        <v>44</v>
      </c>
      <c r="R1767" s="10" t="s">
        <v>10927</v>
      </c>
      <c r="S1767" s="11" t="s">
        <v>10928</v>
      </c>
      <c r="T1767" s="6"/>
      <c r="U1767" s="24" t="str">
        <f>HYPERLINK("https://media.infra-m.ru/1831/1831179/cover/1831179.jpg", "Обложка")</f>
        <v>Обложка</v>
      </c>
      <c r="V1767" s="24" t="str">
        <f>HYPERLINK("https://znanium.ru/catalog/product/1894389", "Ознакомиться")</f>
        <v>Ознакомиться</v>
      </c>
      <c r="W1767" s="8" t="s">
        <v>347</v>
      </c>
      <c r="X1767" s="6"/>
      <c r="Y1767" s="6"/>
      <c r="Z1767" s="6"/>
      <c r="AA1767" s="6" t="s">
        <v>47</v>
      </c>
      <c r="AB1767" s="8"/>
    </row>
    <row r="1768" spans="1:28" s="4" customFormat="1" ht="51.95" customHeight="1">
      <c r="A1768" s="5">
        <v>0</v>
      </c>
      <c r="B1768" s="6" t="s">
        <v>10929</v>
      </c>
      <c r="C1768" s="13">
        <v>1450</v>
      </c>
      <c r="D1768" s="8" t="s">
        <v>10930</v>
      </c>
      <c r="E1768" s="8" t="s">
        <v>10931</v>
      </c>
      <c r="F1768" s="8" t="s">
        <v>10932</v>
      </c>
      <c r="G1768" s="6" t="s">
        <v>52</v>
      </c>
      <c r="H1768" s="6" t="s">
        <v>53</v>
      </c>
      <c r="I1768" s="8" t="s">
        <v>276</v>
      </c>
      <c r="J1768" s="9">
        <v>1</v>
      </c>
      <c r="K1768" s="9">
        <v>295</v>
      </c>
      <c r="L1768" s="9">
        <v>2024</v>
      </c>
      <c r="M1768" s="8" t="s">
        <v>10933</v>
      </c>
      <c r="N1768" s="8" t="s">
        <v>41</v>
      </c>
      <c r="O1768" s="8" t="s">
        <v>118</v>
      </c>
      <c r="P1768" s="6" t="s">
        <v>167</v>
      </c>
      <c r="Q1768" s="8" t="s">
        <v>279</v>
      </c>
      <c r="R1768" s="10" t="s">
        <v>10927</v>
      </c>
      <c r="S1768" s="11" t="s">
        <v>10934</v>
      </c>
      <c r="T1768" s="6"/>
      <c r="U1768" s="24" t="str">
        <f>HYPERLINK("https://media.infra-m.ru/1894/1894389/cover/1894389.jpg", "Обложка")</f>
        <v>Обложка</v>
      </c>
      <c r="V1768" s="24" t="str">
        <f>HYPERLINK("https://znanium.ru/catalog/product/1894389", "Ознакомиться")</f>
        <v>Ознакомиться</v>
      </c>
      <c r="W1768" s="8" t="s">
        <v>399</v>
      </c>
      <c r="X1768" s="6"/>
      <c r="Y1768" s="6"/>
      <c r="Z1768" s="6"/>
      <c r="AA1768" s="6" t="s">
        <v>105</v>
      </c>
      <c r="AB1768" s="8"/>
    </row>
    <row r="1769" spans="1:28" s="4" customFormat="1" ht="51.95" customHeight="1">
      <c r="A1769" s="5">
        <v>0</v>
      </c>
      <c r="B1769" s="6" t="s">
        <v>10935</v>
      </c>
      <c r="C1769" s="13">
        <v>1550</v>
      </c>
      <c r="D1769" s="8" t="s">
        <v>10936</v>
      </c>
      <c r="E1769" s="8" t="s">
        <v>10937</v>
      </c>
      <c r="F1769" s="8" t="s">
        <v>10920</v>
      </c>
      <c r="G1769" s="6" t="s">
        <v>89</v>
      </c>
      <c r="H1769" s="6" t="s">
        <v>649</v>
      </c>
      <c r="I1769" s="8" t="s">
        <v>90</v>
      </c>
      <c r="J1769" s="9">
        <v>1</v>
      </c>
      <c r="K1769" s="9">
        <v>336</v>
      </c>
      <c r="L1769" s="9">
        <v>2023</v>
      </c>
      <c r="M1769" s="8" t="s">
        <v>10938</v>
      </c>
      <c r="N1769" s="8" t="s">
        <v>41</v>
      </c>
      <c r="O1769" s="8" t="s">
        <v>118</v>
      </c>
      <c r="P1769" s="6" t="s">
        <v>167</v>
      </c>
      <c r="Q1769" s="8" t="s">
        <v>44</v>
      </c>
      <c r="R1769" s="10" t="s">
        <v>10939</v>
      </c>
      <c r="S1769" s="11" t="s">
        <v>10940</v>
      </c>
      <c r="T1769" s="6"/>
      <c r="U1769" s="24" t="str">
        <f>HYPERLINK("https://media.infra-m.ru/1941/1941771/cover/1941771.jpg", "Обложка")</f>
        <v>Обложка</v>
      </c>
      <c r="V1769" s="24" t="str">
        <f>HYPERLINK("https://znanium.ru/catalog/product/1941771", "Ознакомиться")</f>
        <v>Ознакомиться</v>
      </c>
      <c r="W1769" s="8" t="s">
        <v>347</v>
      </c>
      <c r="X1769" s="6"/>
      <c r="Y1769" s="6"/>
      <c r="Z1769" s="6"/>
      <c r="AA1769" s="6" t="s">
        <v>2414</v>
      </c>
      <c r="AB1769" s="8"/>
    </row>
    <row r="1770" spans="1:28" s="4" customFormat="1" ht="51.95" customHeight="1">
      <c r="A1770" s="5">
        <v>0</v>
      </c>
      <c r="B1770" s="6" t="s">
        <v>10941</v>
      </c>
      <c r="C1770" s="13">
        <v>1390</v>
      </c>
      <c r="D1770" s="8" t="s">
        <v>10942</v>
      </c>
      <c r="E1770" s="8" t="s">
        <v>10943</v>
      </c>
      <c r="F1770" s="8" t="s">
        <v>10920</v>
      </c>
      <c r="G1770" s="6" t="s">
        <v>52</v>
      </c>
      <c r="H1770" s="6" t="s">
        <v>53</v>
      </c>
      <c r="I1770" s="8" t="s">
        <v>276</v>
      </c>
      <c r="J1770" s="9">
        <v>1</v>
      </c>
      <c r="K1770" s="9">
        <v>252</v>
      </c>
      <c r="L1770" s="9">
        <v>2024</v>
      </c>
      <c r="M1770" s="8" t="s">
        <v>10944</v>
      </c>
      <c r="N1770" s="8" t="s">
        <v>41</v>
      </c>
      <c r="O1770" s="8" t="s">
        <v>118</v>
      </c>
      <c r="P1770" s="6" t="s">
        <v>167</v>
      </c>
      <c r="Q1770" s="8" t="s">
        <v>279</v>
      </c>
      <c r="R1770" s="10" t="s">
        <v>10939</v>
      </c>
      <c r="S1770" s="11" t="s">
        <v>10940</v>
      </c>
      <c r="T1770" s="6"/>
      <c r="U1770" s="24" t="str">
        <f>HYPERLINK("https://media.infra-m.ru/1894/1894388/cover/1894388.jpg", "Обложка")</f>
        <v>Обложка</v>
      </c>
      <c r="V1770" s="24" t="str">
        <f>HYPERLINK("https://znanium.ru/catalog/product/1941771", "Ознакомиться")</f>
        <v>Ознакомиться</v>
      </c>
      <c r="W1770" s="8" t="s">
        <v>347</v>
      </c>
      <c r="X1770" s="6"/>
      <c r="Y1770" s="6"/>
      <c r="Z1770" s="6"/>
      <c r="AA1770" s="6" t="s">
        <v>6038</v>
      </c>
      <c r="AB1770" s="8"/>
    </row>
    <row r="1771" spans="1:28" s="4" customFormat="1" ht="51.95" customHeight="1">
      <c r="A1771" s="5">
        <v>0</v>
      </c>
      <c r="B1771" s="6" t="s">
        <v>10945</v>
      </c>
      <c r="C1771" s="13">
        <v>1040</v>
      </c>
      <c r="D1771" s="8" t="s">
        <v>10946</v>
      </c>
      <c r="E1771" s="8" t="s">
        <v>10947</v>
      </c>
      <c r="F1771" s="8" t="s">
        <v>10948</v>
      </c>
      <c r="G1771" s="6" t="s">
        <v>89</v>
      </c>
      <c r="H1771" s="6" t="s">
        <v>53</v>
      </c>
      <c r="I1771" s="8" t="s">
        <v>116</v>
      </c>
      <c r="J1771" s="9">
        <v>1</v>
      </c>
      <c r="K1771" s="9">
        <v>221</v>
      </c>
      <c r="L1771" s="9">
        <v>2024</v>
      </c>
      <c r="M1771" s="8" t="s">
        <v>10949</v>
      </c>
      <c r="N1771" s="8" t="s">
        <v>41</v>
      </c>
      <c r="O1771" s="8" t="s">
        <v>1007</v>
      </c>
      <c r="P1771" s="6" t="s">
        <v>43</v>
      </c>
      <c r="Q1771" s="8" t="s">
        <v>44</v>
      </c>
      <c r="R1771" s="10" t="s">
        <v>157</v>
      </c>
      <c r="S1771" s="11" t="s">
        <v>10950</v>
      </c>
      <c r="T1771" s="6"/>
      <c r="U1771" s="24" t="str">
        <f>HYPERLINK("https://media.infra-m.ru/2150/2150555/cover/2150555.jpg", "Обложка")</f>
        <v>Обложка</v>
      </c>
      <c r="V1771" s="24" t="str">
        <f>HYPERLINK("https://znanium.ru/catalog/product/2150555", "Ознакомиться")</f>
        <v>Ознакомиться</v>
      </c>
      <c r="W1771" s="8" t="s">
        <v>2392</v>
      </c>
      <c r="X1771" s="6"/>
      <c r="Y1771" s="6"/>
      <c r="Z1771" s="6"/>
      <c r="AA1771" s="6" t="s">
        <v>219</v>
      </c>
      <c r="AB1771" s="8"/>
    </row>
    <row r="1772" spans="1:28" s="4" customFormat="1" ht="42" customHeight="1">
      <c r="A1772" s="5">
        <v>0</v>
      </c>
      <c r="B1772" s="6" t="s">
        <v>10951</v>
      </c>
      <c r="C1772" s="13">
        <v>1530</v>
      </c>
      <c r="D1772" s="8" t="s">
        <v>10952</v>
      </c>
      <c r="E1772" s="8" t="s">
        <v>10953</v>
      </c>
      <c r="F1772" s="8" t="s">
        <v>10954</v>
      </c>
      <c r="G1772" s="6" t="s">
        <v>38</v>
      </c>
      <c r="H1772" s="6" t="s">
        <v>952</v>
      </c>
      <c r="I1772" s="8"/>
      <c r="J1772" s="9">
        <v>1</v>
      </c>
      <c r="K1772" s="9">
        <v>336</v>
      </c>
      <c r="L1772" s="9">
        <v>2023</v>
      </c>
      <c r="M1772" s="8" t="s">
        <v>10955</v>
      </c>
      <c r="N1772" s="8" t="s">
        <v>41</v>
      </c>
      <c r="O1772" s="8" t="s">
        <v>1007</v>
      </c>
      <c r="P1772" s="6" t="s">
        <v>43</v>
      </c>
      <c r="Q1772" s="8" t="s">
        <v>44</v>
      </c>
      <c r="R1772" s="10" t="s">
        <v>10956</v>
      </c>
      <c r="S1772" s="11"/>
      <c r="T1772" s="6"/>
      <c r="U1772" s="24" t="str">
        <f>HYPERLINK("https://media.infra-m.ru/1921/1921410/cover/1921410.jpg", "Обложка")</f>
        <v>Обложка</v>
      </c>
      <c r="V1772" s="24" t="str">
        <f>HYPERLINK("https://znanium.ru/catalog/product/1921410", "Ознакомиться")</f>
        <v>Ознакомиться</v>
      </c>
      <c r="W1772" s="8" t="s">
        <v>3426</v>
      </c>
      <c r="X1772" s="6"/>
      <c r="Y1772" s="6"/>
      <c r="Z1772" s="6"/>
      <c r="AA1772" s="6" t="s">
        <v>326</v>
      </c>
      <c r="AB1772" s="8"/>
    </row>
    <row r="1773" spans="1:28" s="4" customFormat="1" ht="51.95" customHeight="1">
      <c r="A1773" s="5">
        <v>0</v>
      </c>
      <c r="B1773" s="6" t="s">
        <v>10957</v>
      </c>
      <c r="C1773" s="13">
        <v>2030</v>
      </c>
      <c r="D1773" s="8" t="s">
        <v>10958</v>
      </c>
      <c r="E1773" s="8" t="s">
        <v>10959</v>
      </c>
      <c r="F1773" s="8" t="s">
        <v>3448</v>
      </c>
      <c r="G1773" s="6" t="s">
        <v>52</v>
      </c>
      <c r="H1773" s="6" t="s">
        <v>952</v>
      </c>
      <c r="I1773" s="8"/>
      <c r="J1773" s="9">
        <v>1</v>
      </c>
      <c r="K1773" s="9">
        <v>432</v>
      </c>
      <c r="L1773" s="9">
        <v>2024</v>
      </c>
      <c r="M1773" s="8" t="s">
        <v>10960</v>
      </c>
      <c r="N1773" s="8" t="s">
        <v>41</v>
      </c>
      <c r="O1773" s="8" t="s">
        <v>1007</v>
      </c>
      <c r="P1773" s="6" t="s">
        <v>167</v>
      </c>
      <c r="Q1773" s="8" t="s">
        <v>58</v>
      </c>
      <c r="R1773" s="10" t="s">
        <v>10961</v>
      </c>
      <c r="S1773" s="11"/>
      <c r="T1773" s="6"/>
      <c r="U1773" s="24" t="str">
        <f>HYPERLINK("https://media.infra-m.ru/2132/2132504/cover/2132504.jpg", "Обложка")</f>
        <v>Обложка</v>
      </c>
      <c r="V1773" s="24" t="str">
        <f>HYPERLINK("https://znanium.ru/catalog/product/2132504", "Ознакомиться")</f>
        <v>Ознакомиться</v>
      </c>
      <c r="W1773" s="8" t="s">
        <v>3426</v>
      </c>
      <c r="X1773" s="6"/>
      <c r="Y1773" s="6"/>
      <c r="Z1773" s="6"/>
      <c r="AA1773" s="6" t="s">
        <v>133</v>
      </c>
      <c r="AB1773" s="8"/>
    </row>
    <row r="1774" spans="1:28" s="4" customFormat="1" ht="51.95" customHeight="1">
      <c r="A1774" s="5">
        <v>0</v>
      </c>
      <c r="B1774" s="6" t="s">
        <v>10962</v>
      </c>
      <c r="C1774" s="13">
        <v>1484</v>
      </c>
      <c r="D1774" s="8" t="s">
        <v>10963</v>
      </c>
      <c r="E1774" s="8" t="s">
        <v>10964</v>
      </c>
      <c r="F1774" s="8" t="s">
        <v>10965</v>
      </c>
      <c r="G1774" s="6" t="s">
        <v>89</v>
      </c>
      <c r="H1774" s="6" t="s">
        <v>53</v>
      </c>
      <c r="I1774" s="8" t="s">
        <v>212</v>
      </c>
      <c r="J1774" s="9">
        <v>1</v>
      </c>
      <c r="K1774" s="9">
        <v>321</v>
      </c>
      <c r="L1774" s="9">
        <v>2023</v>
      </c>
      <c r="M1774" s="8" t="s">
        <v>10966</v>
      </c>
      <c r="N1774" s="8" t="s">
        <v>41</v>
      </c>
      <c r="O1774" s="8" t="s">
        <v>1007</v>
      </c>
      <c r="P1774" s="6" t="s">
        <v>43</v>
      </c>
      <c r="Q1774" s="8" t="s">
        <v>214</v>
      </c>
      <c r="R1774" s="10" t="s">
        <v>10967</v>
      </c>
      <c r="S1774" s="11" t="s">
        <v>10968</v>
      </c>
      <c r="T1774" s="6"/>
      <c r="U1774" s="24" t="str">
        <f>HYPERLINK("https://media.infra-m.ru/2127/2127616/cover/2127616.jpg", "Обложка")</f>
        <v>Обложка</v>
      </c>
      <c r="V1774" s="24" t="str">
        <f>HYPERLINK("https://znanium.ru/catalog/product/2049719", "Ознакомиться")</f>
        <v>Ознакомиться</v>
      </c>
      <c r="W1774" s="8" t="s">
        <v>1233</v>
      </c>
      <c r="X1774" s="6"/>
      <c r="Y1774" s="6"/>
      <c r="Z1774" s="6"/>
      <c r="AA1774" s="6" t="s">
        <v>219</v>
      </c>
      <c r="AB1774" s="8"/>
    </row>
    <row r="1775" spans="1:28" s="4" customFormat="1" ht="51.95" customHeight="1">
      <c r="A1775" s="5">
        <v>0</v>
      </c>
      <c r="B1775" s="6" t="s">
        <v>10969</v>
      </c>
      <c r="C1775" s="13">
        <v>1650</v>
      </c>
      <c r="D1775" s="8" t="s">
        <v>10970</v>
      </c>
      <c r="E1775" s="8" t="s">
        <v>10971</v>
      </c>
      <c r="F1775" s="8" t="s">
        <v>10972</v>
      </c>
      <c r="G1775" s="6" t="s">
        <v>89</v>
      </c>
      <c r="H1775" s="6" t="s">
        <v>952</v>
      </c>
      <c r="I1775" s="8"/>
      <c r="J1775" s="9">
        <v>1</v>
      </c>
      <c r="K1775" s="9">
        <v>352</v>
      </c>
      <c r="L1775" s="9">
        <v>2024</v>
      </c>
      <c r="M1775" s="8" t="s">
        <v>10973</v>
      </c>
      <c r="N1775" s="8" t="s">
        <v>41</v>
      </c>
      <c r="O1775" s="8" t="s">
        <v>1007</v>
      </c>
      <c r="P1775" s="6" t="s">
        <v>167</v>
      </c>
      <c r="Q1775" s="8" t="s">
        <v>58</v>
      </c>
      <c r="R1775" s="10" t="s">
        <v>10974</v>
      </c>
      <c r="S1775" s="11"/>
      <c r="T1775" s="6"/>
      <c r="U1775" s="24" t="str">
        <f>HYPERLINK("https://media.infra-m.ru/2129/2129521/cover/2129521.jpg", "Обложка")</f>
        <v>Обложка</v>
      </c>
      <c r="V1775" s="24" t="str">
        <f>HYPERLINK("https://znanium.ru/catalog/product/2129521", "Ознакомиться")</f>
        <v>Ознакомиться</v>
      </c>
      <c r="W1775" s="8" t="s">
        <v>3426</v>
      </c>
      <c r="X1775" s="6"/>
      <c r="Y1775" s="6"/>
      <c r="Z1775" s="6"/>
      <c r="AA1775" s="6" t="s">
        <v>133</v>
      </c>
      <c r="AB1775" s="8"/>
    </row>
    <row r="1776" spans="1:28" s="4" customFormat="1" ht="51.95" customHeight="1">
      <c r="A1776" s="5">
        <v>0</v>
      </c>
      <c r="B1776" s="6" t="s">
        <v>10975</v>
      </c>
      <c r="C1776" s="13">
        <v>2904</v>
      </c>
      <c r="D1776" s="8" t="s">
        <v>10976</v>
      </c>
      <c r="E1776" s="8" t="s">
        <v>10971</v>
      </c>
      <c r="F1776" s="8" t="s">
        <v>10977</v>
      </c>
      <c r="G1776" s="6" t="s">
        <v>52</v>
      </c>
      <c r="H1776" s="6" t="s">
        <v>53</v>
      </c>
      <c r="I1776" s="8" t="s">
        <v>212</v>
      </c>
      <c r="J1776" s="9">
        <v>1</v>
      </c>
      <c r="K1776" s="9">
        <v>607</v>
      </c>
      <c r="L1776" s="9">
        <v>2025</v>
      </c>
      <c r="M1776" s="8" t="s">
        <v>10978</v>
      </c>
      <c r="N1776" s="8" t="s">
        <v>41</v>
      </c>
      <c r="O1776" s="8" t="s">
        <v>1007</v>
      </c>
      <c r="P1776" s="6" t="s">
        <v>167</v>
      </c>
      <c r="Q1776" s="8" t="s">
        <v>214</v>
      </c>
      <c r="R1776" s="10" t="s">
        <v>10979</v>
      </c>
      <c r="S1776" s="11" t="s">
        <v>10980</v>
      </c>
      <c r="T1776" s="6"/>
      <c r="U1776" s="24" t="str">
        <f>HYPERLINK("https://media.infra-m.ru/2187/2187513/cover/2187513.jpg", "Обложка")</f>
        <v>Обложка</v>
      </c>
      <c r="V1776" s="24" t="str">
        <f>HYPERLINK("https://znanium.ru/catalog/product/2131074", "Ознакомиться")</f>
        <v>Ознакомиться</v>
      </c>
      <c r="W1776" s="8" t="s">
        <v>1233</v>
      </c>
      <c r="X1776" s="6"/>
      <c r="Y1776" s="6"/>
      <c r="Z1776" s="6"/>
      <c r="AA1776" s="6" t="s">
        <v>207</v>
      </c>
      <c r="AB1776" s="8" t="s">
        <v>1035</v>
      </c>
    </row>
    <row r="1777" spans="1:28" s="4" customFormat="1" ht="51.95" customHeight="1">
      <c r="A1777" s="5">
        <v>0</v>
      </c>
      <c r="B1777" s="6" t="s">
        <v>10981</v>
      </c>
      <c r="C1777" s="7">
        <v>794</v>
      </c>
      <c r="D1777" s="8" t="s">
        <v>10982</v>
      </c>
      <c r="E1777" s="8" t="s">
        <v>10983</v>
      </c>
      <c r="F1777" s="8" t="s">
        <v>10984</v>
      </c>
      <c r="G1777" s="6" t="s">
        <v>89</v>
      </c>
      <c r="H1777" s="6" t="s">
        <v>53</v>
      </c>
      <c r="I1777" s="8" t="s">
        <v>100</v>
      </c>
      <c r="J1777" s="9">
        <v>1</v>
      </c>
      <c r="K1777" s="9">
        <v>159</v>
      </c>
      <c r="L1777" s="9">
        <v>2025</v>
      </c>
      <c r="M1777" s="8" t="s">
        <v>10985</v>
      </c>
      <c r="N1777" s="8" t="s">
        <v>79</v>
      </c>
      <c r="O1777" s="8" t="s">
        <v>424</v>
      </c>
      <c r="P1777" s="6" t="s">
        <v>167</v>
      </c>
      <c r="Q1777" s="8" t="s">
        <v>102</v>
      </c>
      <c r="R1777" s="10" t="s">
        <v>10986</v>
      </c>
      <c r="S1777" s="11" t="s">
        <v>10987</v>
      </c>
      <c r="T1777" s="6"/>
      <c r="U1777" s="24" t="str">
        <f>HYPERLINK("https://media.infra-m.ru/2184/2184034/cover/2184034.jpg", "Обложка")</f>
        <v>Обложка</v>
      </c>
      <c r="V1777" s="24" t="str">
        <f>HYPERLINK("https://znanium.ru/catalog/product/2104861", "Ознакомиться")</f>
        <v>Ознакомиться</v>
      </c>
      <c r="W1777" s="8" t="s">
        <v>478</v>
      </c>
      <c r="X1777" s="6"/>
      <c r="Y1777" s="6" t="s">
        <v>30</v>
      </c>
      <c r="Z1777" s="6"/>
      <c r="AA1777" s="6" t="s">
        <v>10988</v>
      </c>
      <c r="AB1777" s="8"/>
    </row>
    <row r="1778" spans="1:28" s="4" customFormat="1" ht="51.95" customHeight="1">
      <c r="A1778" s="5">
        <v>0</v>
      </c>
      <c r="B1778" s="6" t="s">
        <v>10989</v>
      </c>
      <c r="C1778" s="13">
        <v>1490</v>
      </c>
      <c r="D1778" s="8" t="s">
        <v>10990</v>
      </c>
      <c r="E1778" s="8" t="s">
        <v>10991</v>
      </c>
      <c r="F1778" s="8" t="s">
        <v>10992</v>
      </c>
      <c r="G1778" s="6" t="s">
        <v>89</v>
      </c>
      <c r="H1778" s="6" t="s">
        <v>649</v>
      </c>
      <c r="I1778" s="8" t="s">
        <v>100</v>
      </c>
      <c r="J1778" s="9">
        <v>1</v>
      </c>
      <c r="K1778" s="9">
        <v>287</v>
      </c>
      <c r="L1778" s="9">
        <v>2025</v>
      </c>
      <c r="M1778" s="8" t="s">
        <v>10993</v>
      </c>
      <c r="N1778" s="8" t="s">
        <v>79</v>
      </c>
      <c r="O1778" s="8" t="s">
        <v>396</v>
      </c>
      <c r="P1778" s="6" t="s">
        <v>43</v>
      </c>
      <c r="Q1778" s="8" t="s">
        <v>102</v>
      </c>
      <c r="R1778" s="10" t="s">
        <v>10994</v>
      </c>
      <c r="S1778" s="11" t="s">
        <v>10995</v>
      </c>
      <c r="T1778" s="6"/>
      <c r="U1778" s="24" t="str">
        <f>HYPERLINK("https://media.infra-m.ru/2196/2196507/cover/2196507.jpg", "Обложка")</f>
        <v>Обложка</v>
      </c>
      <c r="V1778" s="24" t="str">
        <f>HYPERLINK("https://znanium.ru/catalog/product/2196507", "Ознакомиться")</f>
        <v>Ознакомиться</v>
      </c>
      <c r="W1778" s="8" t="s">
        <v>2321</v>
      </c>
      <c r="X1778" s="6"/>
      <c r="Y1778" s="6"/>
      <c r="Z1778" s="6" t="s">
        <v>104</v>
      </c>
      <c r="AA1778" s="6" t="s">
        <v>793</v>
      </c>
      <c r="AB1778" s="8"/>
    </row>
    <row r="1779" spans="1:28" s="4" customFormat="1" ht="51.95" customHeight="1">
      <c r="A1779" s="5">
        <v>0</v>
      </c>
      <c r="B1779" s="6" t="s">
        <v>10996</v>
      </c>
      <c r="C1779" s="13">
        <v>1434</v>
      </c>
      <c r="D1779" s="8" t="s">
        <v>10997</v>
      </c>
      <c r="E1779" s="8" t="s">
        <v>10991</v>
      </c>
      <c r="F1779" s="8" t="s">
        <v>10998</v>
      </c>
      <c r="G1779" s="6" t="s">
        <v>89</v>
      </c>
      <c r="H1779" s="6" t="s">
        <v>649</v>
      </c>
      <c r="I1779" s="8" t="s">
        <v>90</v>
      </c>
      <c r="J1779" s="9">
        <v>1</v>
      </c>
      <c r="K1779" s="9">
        <v>287</v>
      </c>
      <c r="L1779" s="9">
        <v>2025</v>
      </c>
      <c r="M1779" s="8" t="s">
        <v>10999</v>
      </c>
      <c r="N1779" s="8" t="s">
        <v>79</v>
      </c>
      <c r="O1779" s="8" t="s">
        <v>396</v>
      </c>
      <c r="P1779" s="6" t="s">
        <v>43</v>
      </c>
      <c r="Q1779" s="8" t="s">
        <v>44</v>
      </c>
      <c r="R1779" s="10" t="s">
        <v>11000</v>
      </c>
      <c r="S1779" s="11" t="s">
        <v>11001</v>
      </c>
      <c r="T1779" s="6"/>
      <c r="U1779" s="24" t="str">
        <f>HYPERLINK("https://media.infra-m.ru/2161/2161302/cover/2161302.jpg", "Обложка")</f>
        <v>Обложка</v>
      </c>
      <c r="V1779" s="24" t="str">
        <f>HYPERLINK("https://znanium.ru/catalog/product/1915306", "Ознакомиться")</f>
        <v>Ознакомиться</v>
      </c>
      <c r="W1779" s="8" t="s">
        <v>2321</v>
      </c>
      <c r="X1779" s="6"/>
      <c r="Y1779" s="6"/>
      <c r="Z1779" s="6"/>
      <c r="AA1779" s="6" t="s">
        <v>555</v>
      </c>
      <c r="AB1779" s="8"/>
    </row>
    <row r="1780" spans="1:28" s="4" customFormat="1" ht="51.95" customHeight="1">
      <c r="A1780" s="5">
        <v>0</v>
      </c>
      <c r="B1780" s="6" t="s">
        <v>11002</v>
      </c>
      <c r="C1780" s="13">
        <v>2170</v>
      </c>
      <c r="D1780" s="8" t="s">
        <v>11003</v>
      </c>
      <c r="E1780" s="8" t="s">
        <v>11004</v>
      </c>
      <c r="F1780" s="8" t="s">
        <v>76</v>
      </c>
      <c r="G1780" s="6" t="s">
        <v>52</v>
      </c>
      <c r="H1780" s="6" t="s">
        <v>77</v>
      </c>
      <c r="I1780" s="8" t="s">
        <v>116</v>
      </c>
      <c r="J1780" s="9">
        <v>1</v>
      </c>
      <c r="K1780" s="9">
        <v>417</v>
      </c>
      <c r="L1780" s="9">
        <v>2025</v>
      </c>
      <c r="M1780" s="8" t="s">
        <v>11005</v>
      </c>
      <c r="N1780" s="8" t="s">
        <v>79</v>
      </c>
      <c r="O1780" s="8" t="s">
        <v>80</v>
      </c>
      <c r="P1780" s="6" t="s">
        <v>167</v>
      </c>
      <c r="Q1780" s="8" t="s">
        <v>279</v>
      </c>
      <c r="R1780" s="10" t="s">
        <v>11006</v>
      </c>
      <c r="S1780" s="11"/>
      <c r="T1780" s="6" t="s">
        <v>299</v>
      </c>
      <c r="U1780" s="24" t="str">
        <f>HYPERLINK("https://media.infra-m.ru/2182/2182620/cover/2182620.jpg", "Обложка")</f>
        <v>Обложка</v>
      </c>
      <c r="V1780" s="24" t="str">
        <f>HYPERLINK("https://znanium.ru/catalog/product/2182620", "Ознакомиться")</f>
        <v>Ознакомиться</v>
      </c>
      <c r="W1780" s="8" t="s">
        <v>83</v>
      </c>
      <c r="X1780" s="6"/>
      <c r="Y1780" s="6"/>
      <c r="Z1780" s="6"/>
      <c r="AA1780" s="6" t="s">
        <v>151</v>
      </c>
      <c r="AB1780" s="8"/>
    </row>
    <row r="1781" spans="1:28" s="4" customFormat="1" ht="51.95" customHeight="1">
      <c r="A1781" s="5">
        <v>0</v>
      </c>
      <c r="B1781" s="6" t="s">
        <v>11007</v>
      </c>
      <c r="C1781" s="7">
        <v>934</v>
      </c>
      <c r="D1781" s="8" t="s">
        <v>11008</v>
      </c>
      <c r="E1781" s="8" t="s">
        <v>11009</v>
      </c>
      <c r="F1781" s="8" t="s">
        <v>11010</v>
      </c>
      <c r="G1781" s="6" t="s">
        <v>89</v>
      </c>
      <c r="H1781" s="6" t="s">
        <v>53</v>
      </c>
      <c r="I1781" s="8" t="s">
        <v>90</v>
      </c>
      <c r="J1781" s="9">
        <v>1</v>
      </c>
      <c r="K1781" s="9">
        <v>199</v>
      </c>
      <c r="L1781" s="9">
        <v>2024</v>
      </c>
      <c r="M1781" s="8" t="s">
        <v>11011</v>
      </c>
      <c r="N1781" s="8" t="s">
        <v>41</v>
      </c>
      <c r="O1781" s="8" t="s">
        <v>118</v>
      </c>
      <c r="P1781" s="6" t="s">
        <v>43</v>
      </c>
      <c r="Q1781" s="8" t="s">
        <v>44</v>
      </c>
      <c r="R1781" s="10" t="s">
        <v>11012</v>
      </c>
      <c r="S1781" s="11" t="s">
        <v>11013</v>
      </c>
      <c r="T1781" s="6"/>
      <c r="U1781" s="24" t="str">
        <f>HYPERLINK("https://media.infra-m.ru/2053/2053190/cover/2053190.jpg", "Обложка")</f>
        <v>Обложка</v>
      </c>
      <c r="V1781" s="24" t="str">
        <f>HYPERLINK("https://znanium.ru/catalog/product/1246745", "Ознакомиться")</f>
        <v>Ознакомиться</v>
      </c>
      <c r="W1781" s="8" t="s">
        <v>11014</v>
      </c>
      <c r="X1781" s="6"/>
      <c r="Y1781" s="6"/>
      <c r="Z1781" s="6"/>
      <c r="AA1781" s="6" t="s">
        <v>326</v>
      </c>
      <c r="AB1781" s="8"/>
    </row>
    <row r="1782" spans="1:28" s="4" customFormat="1" ht="51.95" customHeight="1">
      <c r="A1782" s="5">
        <v>0</v>
      </c>
      <c r="B1782" s="6" t="s">
        <v>11015</v>
      </c>
      <c r="C1782" s="13">
        <v>1034</v>
      </c>
      <c r="D1782" s="8" t="s">
        <v>11016</v>
      </c>
      <c r="E1782" s="8" t="s">
        <v>11009</v>
      </c>
      <c r="F1782" s="8" t="s">
        <v>11010</v>
      </c>
      <c r="G1782" s="6" t="s">
        <v>89</v>
      </c>
      <c r="H1782" s="6" t="s">
        <v>53</v>
      </c>
      <c r="I1782" s="8" t="s">
        <v>100</v>
      </c>
      <c r="J1782" s="9">
        <v>1</v>
      </c>
      <c r="K1782" s="9">
        <v>199</v>
      </c>
      <c r="L1782" s="9">
        <v>2025</v>
      </c>
      <c r="M1782" s="8" t="s">
        <v>11017</v>
      </c>
      <c r="N1782" s="8" t="s">
        <v>41</v>
      </c>
      <c r="O1782" s="8" t="s">
        <v>118</v>
      </c>
      <c r="P1782" s="6" t="s">
        <v>43</v>
      </c>
      <c r="Q1782" s="8" t="s">
        <v>102</v>
      </c>
      <c r="R1782" s="10" t="s">
        <v>11018</v>
      </c>
      <c r="S1782" s="11" t="s">
        <v>11019</v>
      </c>
      <c r="T1782" s="6"/>
      <c r="U1782" s="24" t="str">
        <f>HYPERLINK("https://media.infra-m.ru/2172/2172760/cover/2172760.jpg", "Обложка")</f>
        <v>Обложка</v>
      </c>
      <c r="V1782" s="24" t="str">
        <f>HYPERLINK("https://znanium.ru/catalog/product/1986679", "Ознакомиться")</f>
        <v>Ознакомиться</v>
      </c>
      <c r="W1782" s="8" t="s">
        <v>11014</v>
      </c>
      <c r="X1782" s="6"/>
      <c r="Y1782" s="6"/>
      <c r="Z1782" s="6" t="s">
        <v>104</v>
      </c>
      <c r="AA1782" s="6" t="s">
        <v>95</v>
      </c>
      <c r="AB1782" s="8"/>
    </row>
    <row r="1783" spans="1:28" s="4" customFormat="1" ht="51.95" customHeight="1">
      <c r="A1783" s="5">
        <v>0</v>
      </c>
      <c r="B1783" s="6" t="s">
        <v>11020</v>
      </c>
      <c r="C1783" s="7">
        <v>900</v>
      </c>
      <c r="D1783" s="8" t="s">
        <v>11021</v>
      </c>
      <c r="E1783" s="8" t="s">
        <v>11022</v>
      </c>
      <c r="F1783" s="8" t="s">
        <v>11010</v>
      </c>
      <c r="G1783" s="6" t="s">
        <v>89</v>
      </c>
      <c r="H1783" s="6" t="s">
        <v>53</v>
      </c>
      <c r="I1783" s="8" t="s">
        <v>212</v>
      </c>
      <c r="J1783" s="9">
        <v>1</v>
      </c>
      <c r="K1783" s="9">
        <v>199</v>
      </c>
      <c r="L1783" s="9">
        <v>2021</v>
      </c>
      <c r="M1783" s="8" t="s">
        <v>11023</v>
      </c>
      <c r="N1783" s="8" t="s">
        <v>41</v>
      </c>
      <c r="O1783" s="8" t="s">
        <v>118</v>
      </c>
      <c r="P1783" s="6" t="s">
        <v>43</v>
      </c>
      <c r="Q1783" s="8" t="s">
        <v>214</v>
      </c>
      <c r="R1783" s="10" t="s">
        <v>11024</v>
      </c>
      <c r="S1783" s="11" t="s">
        <v>11025</v>
      </c>
      <c r="T1783" s="6"/>
      <c r="U1783" s="24" t="str">
        <f>HYPERLINK("https://media.infra-m.ru/1947/1947422/cover/1947422.jpg", "Обложка")</f>
        <v>Обложка</v>
      </c>
      <c r="V1783" s="24" t="str">
        <f>HYPERLINK("https://znanium.ru/catalog/product/1178154", "Ознакомиться")</f>
        <v>Ознакомиться</v>
      </c>
      <c r="W1783" s="8" t="s">
        <v>11014</v>
      </c>
      <c r="X1783" s="6"/>
      <c r="Y1783" s="6"/>
      <c r="Z1783" s="6" t="s">
        <v>218</v>
      </c>
      <c r="AA1783" s="6" t="s">
        <v>219</v>
      </c>
      <c r="AB1783" s="8"/>
    </row>
    <row r="1784" spans="1:28" s="4" customFormat="1" ht="51.95" customHeight="1">
      <c r="A1784" s="5">
        <v>0</v>
      </c>
      <c r="B1784" s="6" t="s">
        <v>11026</v>
      </c>
      <c r="C1784" s="13">
        <v>1684</v>
      </c>
      <c r="D1784" s="8" t="s">
        <v>11027</v>
      </c>
      <c r="E1784" s="8" t="s">
        <v>11028</v>
      </c>
      <c r="F1784" s="8" t="s">
        <v>11029</v>
      </c>
      <c r="G1784" s="6" t="s">
        <v>52</v>
      </c>
      <c r="H1784" s="6" t="s">
        <v>1738</v>
      </c>
      <c r="I1784" s="8"/>
      <c r="J1784" s="9">
        <v>1</v>
      </c>
      <c r="K1784" s="9">
        <v>336</v>
      </c>
      <c r="L1784" s="9">
        <v>2025</v>
      </c>
      <c r="M1784" s="8" t="s">
        <v>11030</v>
      </c>
      <c r="N1784" s="8" t="s">
        <v>56</v>
      </c>
      <c r="O1784" s="8" t="s">
        <v>741</v>
      </c>
      <c r="P1784" s="6" t="s">
        <v>167</v>
      </c>
      <c r="Q1784" s="8" t="s">
        <v>44</v>
      </c>
      <c r="R1784" s="10" t="s">
        <v>11031</v>
      </c>
      <c r="S1784" s="11" t="s">
        <v>11032</v>
      </c>
      <c r="T1784" s="6"/>
      <c r="U1784" s="24" t="str">
        <f>HYPERLINK("https://media.infra-m.ru/2184/2184948/cover/2184948.jpg", "Обложка")</f>
        <v>Обложка</v>
      </c>
      <c r="V1784" s="24" t="str">
        <f>HYPERLINK("https://znanium.ru/catalog/product/1941722", "Ознакомиться")</f>
        <v>Ознакомиться</v>
      </c>
      <c r="W1784" s="8" t="s">
        <v>11033</v>
      </c>
      <c r="X1784" s="6"/>
      <c r="Y1784" s="6"/>
      <c r="Z1784" s="6"/>
      <c r="AA1784" s="6" t="s">
        <v>11034</v>
      </c>
      <c r="AB1784" s="8"/>
    </row>
    <row r="1785" spans="1:28" s="4" customFormat="1" ht="51.95" customHeight="1">
      <c r="A1785" s="5">
        <v>0</v>
      </c>
      <c r="B1785" s="6" t="s">
        <v>11035</v>
      </c>
      <c r="C1785" s="13">
        <v>1444</v>
      </c>
      <c r="D1785" s="8" t="s">
        <v>11036</v>
      </c>
      <c r="E1785" s="8" t="s">
        <v>11037</v>
      </c>
      <c r="F1785" s="8" t="s">
        <v>11038</v>
      </c>
      <c r="G1785" s="6" t="s">
        <v>89</v>
      </c>
      <c r="H1785" s="6" t="s">
        <v>53</v>
      </c>
      <c r="I1785" s="8" t="s">
        <v>116</v>
      </c>
      <c r="J1785" s="9">
        <v>1</v>
      </c>
      <c r="K1785" s="9">
        <v>289</v>
      </c>
      <c r="L1785" s="9">
        <v>2025</v>
      </c>
      <c r="M1785" s="8" t="s">
        <v>11039</v>
      </c>
      <c r="N1785" s="8" t="s">
        <v>56</v>
      </c>
      <c r="O1785" s="8" t="s">
        <v>741</v>
      </c>
      <c r="P1785" s="6" t="s">
        <v>167</v>
      </c>
      <c r="Q1785" s="8" t="s">
        <v>58</v>
      </c>
      <c r="R1785" s="10" t="s">
        <v>11040</v>
      </c>
      <c r="S1785" s="11" t="s">
        <v>11041</v>
      </c>
      <c r="T1785" s="6"/>
      <c r="U1785" s="24" t="str">
        <f>HYPERLINK("https://media.infra-m.ru/2188/2188722/cover/2188722.jpg", "Обложка")</f>
        <v>Обложка</v>
      </c>
      <c r="V1785" s="24" t="str">
        <f>HYPERLINK("https://znanium.ru/catalog/product/1913995", "Ознакомиться")</f>
        <v>Ознакомиться</v>
      </c>
      <c r="W1785" s="8" t="s">
        <v>10326</v>
      </c>
      <c r="X1785" s="6"/>
      <c r="Y1785" s="6"/>
      <c r="Z1785" s="6"/>
      <c r="AA1785" s="6" t="s">
        <v>707</v>
      </c>
      <c r="AB1785" s="8"/>
    </row>
    <row r="1786" spans="1:28" s="4" customFormat="1" ht="51.95" customHeight="1">
      <c r="A1786" s="5">
        <v>0</v>
      </c>
      <c r="B1786" s="6" t="s">
        <v>11042</v>
      </c>
      <c r="C1786" s="7">
        <v>890</v>
      </c>
      <c r="D1786" s="8" t="s">
        <v>11043</v>
      </c>
      <c r="E1786" s="8" t="s">
        <v>11044</v>
      </c>
      <c r="F1786" s="8" t="s">
        <v>11038</v>
      </c>
      <c r="G1786" s="6" t="s">
        <v>52</v>
      </c>
      <c r="H1786" s="6" t="s">
        <v>649</v>
      </c>
      <c r="I1786" s="8" t="s">
        <v>116</v>
      </c>
      <c r="J1786" s="9">
        <v>1</v>
      </c>
      <c r="K1786" s="9">
        <v>304</v>
      </c>
      <c r="L1786" s="9">
        <v>2018</v>
      </c>
      <c r="M1786" s="8" t="s">
        <v>11045</v>
      </c>
      <c r="N1786" s="8" t="s">
        <v>56</v>
      </c>
      <c r="O1786" s="8" t="s">
        <v>741</v>
      </c>
      <c r="P1786" s="6" t="s">
        <v>167</v>
      </c>
      <c r="Q1786" s="8" t="s">
        <v>44</v>
      </c>
      <c r="R1786" s="10" t="s">
        <v>11040</v>
      </c>
      <c r="S1786" s="11" t="s">
        <v>11046</v>
      </c>
      <c r="T1786" s="6"/>
      <c r="U1786" s="24" t="str">
        <f>HYPERLINK("https://media.infra-m.ru/0942/0942783/cover/942783.jpg", "Обложка")</f>
        <v>Обложка</v>
      </c>
      <c r="V1786" s="24" t="str">
        <f>HYPERLINK("https://znanium.ru/catalog/product/1913995", "Ознакомиться")</f>
        <v>Ознакомиться</v>
      </c>
      <c r="W1786" s="8" t="s">
        <v>10326</v>
      </c>
      <c r="X1786" s="6"/>
      <c r="Y1786" s="6"/>
      <c r="Z1786" s="6"/>
      <c r="AA1786" s="6" t="s">
        <v>622</v>
      </c>
      <c r="AB1786" s="8"/>
    </row>
    <row r="1787" spans="1:28" s="4" customFormat="1" ht="51.95" customHeight="1">
      <c r="A1787" s="5">
        <v>0</v>
      </c>
      <c r="B1787" s="6" t="s">
        <v>11047</v>
      </c>
      <c r="C1787" s="13">
        <v>1350</v>
      </c>
      <c r="D1787" s="8" t="s">
        <v>11048</v>
      </c>
      <c r="E1787" s="8" t="s">
        <v>11049</v>
      </c>
      <c r="F1787" s="8" t="s">
        <v>11050</v>
      </c>
      <c r="G1787" s="6" t="s">
        <v>89</v>
      </c>
      <c r="H1787" s="6" t="s">
        <v>53</v>
      </c>
      <c r="I1787" s="8" t="s">
        <v>90</v>
      </c>
      <c r="J1787" s="9">
        <v>1</v>
      </c>
      <c r="K1787" s="9">
        <v>301</v>
      </c>
      <c r="L1787" s="9">
        <v>2021</v>
      </c>
      <c r="M1787" s="8" t="s">
        <v>11051</v>
      </c>
      <c r="N1787" s="8" t="s">
        <v>56</v>
      </c>
      <c r="O1787" s="8" t="s">
        <v>741</v>
      </c>
      <c r="P1787" s="6" t="s">
        <v>167</v>
      </c>
      <c r="Q1787" s="8" t="s">
        <v>44</v>
      </c>
      <c r="R1787" s="10" t="s">
        <v>11052</v>
      </c>
      <c r="S1787" s="11" t="s">
        <v>11053</v>
      </c>
      <c r="T1787" s="6"/>
      <c r="U1787" s="24" t="str">
        <f>HYPERLINK("https://media.infra-m.ru/1950/1950299/cover/1950299.jpg", "Обложка")</f>
        <v>Обложка</v>
      </c>
      <c r="V1787" s="24" t="str">
        <f>HYPERLINK("https://znanium.ru/catalog/product/1891836", "Ознакомиться")</f>
        <v>Ознакомиться</v>
      </c>
      <c r="W1787" s="8" t="s">
        <v>1345</v>
      </c>
      <c r="X1787" s="6"/>
      <c r="Y1787" s="6"/>
      <c r="Z1787" s="6"/>
      <c r="AA1787" s="6" t="s">
        <v>1442</v>
      </c>
      <c r="AB1787" s="8"/>
    </row>
    <row r="1788" spans="1:28" s="4" customFormat="1" ht="51.95" customHeight="1">
      <c r="A1788" s="5">
        <v>0</v>
      </c>
      <c r="B1788" s="6" t="s">
        <v>11054</v>
      </c>
      <c r="C1788" s="13">
        <v>1540</v>
      </c>
      <c r="D1788" s="8" t="s">
        <v>11055</v>
      </c>
      <c r="E1788" s="8" t="s">
        <v>11049</v>
      </c>
      <c r="F1788" s="8" t="s">
        <v>11050</v>
      </c>
      <c r="G1788" s="6" t="s">
        <v>89</v>
      </c>
      <c r="H1788" s="6" t="s">
        <v>53</v>
      </c>
      <c r="I1788" s="8" t="s">
        <v>100</v>
      </c>
      <c r="J1788" s="9">
        <v>1</v>
      </c>
      <c r="K1788" s="9">
        <v>301</v>
      </c>
      <c r="L1788" s="9">
        <v>2025</v>
      </c>
      <c r="M1788" s="8" t="s">
        <v>11056</v>
      </c>
      <c r="N1788" s="8" t="s">
        <v>56</v>
      </c>
      <c r="O1788" s="8" t="s">
        <v>741</v>
      </c>
      <c r="P1788" s="6" t="s">
        <v>167</v>
      </c>
      <c r="Q1788" s="8" t="s">
        <v>102</v>
      </c>
      <c r="R1788" s="10" t="s">
        <v>11057</v>
      </c>
      <c r="S1788" s="11"/>
      <c r="T1788" s="6"/>
      <c r="U1788" s="24" t="str">
        <f>HYPERLINK("https://media.infra-m.ru/2162/2162583/cover/2162583.jpg", "Обложка")</f>
        <v>Обложка</v>
      </c>
      <c r="V1788" s="24" t="str">
        <f>HYPERLINK("https://znanium.ru/catalog/product/2162583", "Ознакомиться")</f>
        <v>Ознакомиться</v>
      </c>
      <c r="W1788" s="8" t="s">
        <v>1345</v>
      </c>
      <c r="X1788" s="6" t="s">
        <v>132</v>
      </c>
      <c r="Y1788" s="6" t="s">
        <v>30</v>
      </c>
      <c r="Z1788" s="6" t="s">
        <v>104</v>
      </c>
      <c r="AA1788" s="6" t="s">
        <v>549</v>
      </c>
      <c r="AB1788" s="8"/>
    </row>
    <row r="1789" spans="1:28" s="4" customFormat="1" ht="51.95" customHeight="1">
      <c r="A1789" s="5">
        <v>0</v>
      </c>
      <c r="B1789" s="6" t="s">
        <v>11058</v>
      </c>
      <c r="C1789" s="13">
        <v>1280</v>
      </c>
      <c r="D1789" s="8" t="s">
        <v>11059</v>
      </c>
      <c r="E1789" s="8" t="s">
        <v>11060</v>
      </c>
      <c r="F1789" s="8" t="s">
        <v>11061</v>
      </c>
      <c r="G1789" s="6" t="s">
        <v>52</v>
      </c>
      <c r="H1789" s="6" t="s">
        <v>53</v>
      </c>
      <c r="I1789" s="8" t="s">
        <v>116</v>
      </c>
      <c r="J1789" s="9">
        <v>1</v>
      </c>
      <c r="K1789" s="9">
        <v>235</v>
      </c>
      <c r="L1789" s="9">
        <v>2025</v>
      </c>
      <c r="M1789" s="8" t="s">
        <v>11062</v>
      </c>
      <c r="N1789" s="8" t="s">
        <v>997</v>
      </c>
      <c r="O1789" s="8" t="s">
        <v>998</v>
      </c>
      <c r="P1789" s="6" t="s">
        <v>43</v>
      </c>
      <c r="Q1789" s="8" t="s">
        <v>44</v>
      </c>
      <c r="R1789" s="10" t="s">
        <v>11063</v>
      </c>
      <c r="S1789" s="11"/>
      <c r="T1789" s="6"/>
      <c r="U1789" s="24" t="str">
        <f>HYPERLINK("https://media.infra-m.ru/2141/2141118/cover/2141118.jpg", "Обложка")</f>
        <v>Обложка</v>
      </c>
      <c r="V1789" s="24" t="str">
        <f>HYPERLINK("https://znanium.ru/catalog/product/2141118", "Ознакомиться")</f>
        <v>Ознакомиться</v>
      </c>
      <c r="W1789" s="8" t="s">
        <v>11064</v>
      </c>
      <c r="X1789" s="6" t="s">
        <v>132</v>
      </c>
      <c r="Y1789" s="6"/>
      <c r="Z1789" s="6"/>
      <c r="AA1789" s="6" t="s">
        <v>61</v>
      </c>
      <c r="AB1789" s="8"/>
    </row>
    <row r="1790" spans="1:28" s="4" customFormat="1" ht="51.95" customHeight="1">
      <c r="A1790" s="5">
        <v>0</v>
      </c>
      <c r="B1790" s="6" t="s">
        <v>11065</v>
      </c>
      <c r="C1790" s="13">
        <v>1644</v>
      </c>
      <c r="D1790" s="8" t="s">
        <v>11066</v>
      </c>
      <c r="E1790" s="8" t="s">
        <v>11067</v>
      </c>
      <c r="F1790" s="8" t="s">
        <v>9211</v>
      </c>
      <c r="G1790" s="6" t="s">
        <v>52</v>
      </c>
      <c r="H1790" s="6" t="s">
        <v>53</v>
      </c>
      <c r="I1790" s="8" t="s">
        <v>276</v>
      </c>
      <c r="J1790" s="9">
        <v>1</v>
      </c>
      <c r="K1790" s="9">
        <v>316</v>
      </c>
      <c r="L1790" s="9">
        <v>2025</v>
      </c>
      <c r="M1790" s="8" t="s">
        <v>11068</v>
      </c>
      <c r="N1790" s="8" t="s">
        <v>41</v>
      </c>
      <c r="O1790" s="8" t="s">
        <v>676</v>
      </c>
      <c r="P1790" s="6" t="s">
        <v>167</v>
      </c>
      <c r="Q1790" s="8" t="s">
        <v>279</v>
      </c>
      <c r="R1790" s="10" t="s">
        <v>11069</v>
      </c>
      <c r="S1790" s="11" t="s">
        <v>11070</v>
      </c>
      <c r="T1790" s="6"/>
      <c r="U1790" s="24" t="str">
        <f>HYPERLINK("https://media.infra-m.ru/2196/2196134/cover/2196134.jpg", "Обложка")</f>
        <v>Обложка</v>
      </c>
      <c r="V1790" s="24" t="str">
        <f>HYPERLINK("https://znanium.ru/catalog/product/2002653", "Ознакомиться")</f>
        <v>Ознакомиться</v>
      </c>
      <c r="W1790" s="8" t="s">
        <v>354</v>
      </c>
      <c r="X1790" s="6"/>
      <c r="Y1790" s="6"/>
      <c r="Z1790" s="6"/>
      <c r="AA1790" s="6" t="s">
        <v>219</v>
      </c>
      <c r="AB1790" s="8"/>
    </row>
    <row r="1791" spans="1:28" s="4" customFormat="1" ht="51.95" customHeight="1">
      <c r="A1791" s="5">
        <v>0</v>
      </c>
      <c r="B1791" s="6" t="s">
        <v>11071</v>
      </c>
      <c r="C1791" s="13">
        <v>1314</v>
      </c>
      <c r="D1791" s="8" t="s">
        <v>11072</v>
      </c>
      <c r="E1791" s="8" t="s">
        <v>11073</v>
      </c>
      <c r="F1791" s="8" t="s">
        <v>11074</v>
      </c>
      <c r="G1791" s="6" t="s">
        <v>52</v>
      </c>
      <c r="H1791" s="6" t="s">
        <v>77</v>
      </c>
      <c r="I1791" s="8"/>
      <c r="J1791" s="9">
        <v>1</v>
      </c>
      <c r="K1791" s="9">
        <v>286</v>
      </c>
      <c r="L1791" s="9">
        <v>2024</v>
      </c>
      <c r="M1791" s="8" t="s">
        <v>11075</v>
      </c>
      <c r="N1791" s="8" t="s">
        <v>413</v>
      </c>
      <c r="O1791" s="8" t="s">
        <v>2771</v>
      </c>
      <c r="P1791" s="6" t="s">
        <v>43</v>
      </c>
      <c r="Q1791" s="8" t="s">
        <v>44</v>
      </c>
      <c r="R1791" s="10" t="s">
        <v>11076</v>
      </c>
      <c r="S1791" s="11" t="s">
        <v>11077</v>
      </c>
      <c r="T1791" s="6"/>
      <c r="U1791" s="24" t="str">
        <f>HYPERLINK("https://media.infra-m.ru/2054/2054994/cover/2054994.jpg", "Обложка")</f>
        <v>Обложка</v>
      </c>
      <c r="V1791" s="24" t="str">
        <f>HYPERLINK("https://znanium.ru/catalog/product/991839", "Ознакомиться")</f>
        <v>Ознакомиться</v>
      </c>
      <c r="W1791" s="8" t="s">
        <v>2216</v>
      </c>
      <c r="X1791" s="6"/>
      <c r="Y1791" s="6"/>
      <c r="Z1791" s="6"/>
      <c r="AA1791" s="6" t="s">
        <v>3714</v>
      </c>
      <c r="AB1791" s="8"/>
    </row>
    <row r="1792" spans="1:28" s="4" customFormat="1" ht="51.95" customHeight="1">
      <c r="A1792" s="5">
        <v>0</v>
      </c>
      <c r="B1792" s="6" t="s">
        <v>11078</v>
      </c>
      <c r="C1792" s="7">
        <v>584.9</v>
      </c>
      <c r="D1792" s="8" t="s">
        <v>11079</v>
      </c>
      <c r="E1792" s="8" t="s">
        <v>11080</v>
      </c>
      <c r="F1792" s="8" t="s">
        <v>11081</v>
      </c>
      <c r="G1792" s="6" t="s">
        <v>38</v>
      </c>
      <c r="H1792" s="6" t="s">
        <v>77</v>
      </c>
      <c r="I1792" s="8"/>
      <c r="J1792" s="9">
        <v>1</v>
      </c>
      <c r="K1792" s="9">
        <v>128</v>
      </c>
      <c r="L1792" s="9">
        <v>2023</v>
      </c>
      <c r="M1792" s="8" t="s">
        <v>11082</v>
      </c>
      <c r="N1792" s="8" t="s">
        <v>413</v>
      </c>
      <c r="O1792" s="8" t="s">
        <v>2771</v>
      </c>
      <c r="P1792" s="6" t="s">
        <v>187</v>
      </c>
      <c r="Q1792" s="8" t="s">
        <v>44</v>
      </c>
      <c r="R1792" s="10" t="s">
        <v>11083</v>
      </c>
      <c r="S1792" s="11" t="s">
        <v>11084</v>
      </c>
      <c r="T1792" s="6"/>
      <c r="U1792" s="12"/>
      <c r="V1792" s="24" t="str">
        <f>HYPERLINK("https://znanium.ru/catalog/product/999949", "Ознакомиться")</f>
        <v>Ознакомиться</v>
      </c>
      <c r="W1792" s="8" t="s">
        <v>2216</v>
      </c>
      <c r="X1792" s="6"/>
      <c r="Y1792" s="6"/>
      <c r="Z1792" s="6"/>
      <c r="AA1792" s="6" t="s">
        <v>11085</v>
      </c>
      <c r="AB1792" s="8"/>
    </row>
    <row r="1793" spans="1:28" s="4" customFormat="1" ht="51.95" customHeight="1">
      <c r="A1793" s="5">
        <v>0</v>
      </c>
      <c r="B1793" s="6" t="s">
        <v>11086</v>
      </c>
      <c r="C1793" s="13">
        <v>1220</v>
      </c>
      <c r="D1793" s="8" t="s">
        <v>11087</v>
      </c>
      <c r="E1793" s="8" t="s">
        <v>11080</v>
      </c>
      <c r="F1793" s="8" t="s">
        <v>11088</v>
      </c>
      <c r="G1793" s="6" t="s">
        <v>89</v>
      </c>
      <c r="H1793" s="6" t="s">
        <v>53</v>
      </c>
      <c r="I1793" s="8" t="s">
        <v>116</v>
      </c>
      <c r="J1793" s="9">
        <v>1</v>
      </c>
      <c r="K1793" s="9">
        <v>271</v>
      </c>
      <c r="L1793" s="9">
        <v>2023</v>
      </c>
      <c r="M1793" s="8" t="s">
        <v>11089</v>
      </c>
      <c r="N1793" s="8" t="s">
        <v>413</v>
      </c>
      <c r="O1793" s="8" t="s">
        <v>2771</v>
      </c>
      <c r="P1793" s="6" t="s">
        <v>167</v>
      </c>
      <c r="Q1793" s="8" t="s">
        <v>58</v>
      </c>
      <c r="R1793" s="10" t="s">
        <v>11090</v>
      </c>
      <c r="S1793" s="11" t="s">
        <v>11091</v>
      </c>
      <c r="T1793" s="6"/>
      <c r="U1793" s="24" t="str">
        <f>HYPERLINK("https://media.infra-m.ru/2017/2017314/cover/2017314.jpg", "Обложка")</f>
        <v>Обложка</v>
      </c>
      <c r="V1793" s="24" t="str">
        <f>HYPERLINK("https://znanium.ru/catalog/product/2017314", "Ознакомиться")</f>
        <v>Ознакомиться</v>
      </c>
      <c r="W1793" s="8" t="s">
        <v>71</v>
      </c>
      <c r="X1793" s="6"/>
      <c r="Y1793" s="6"/>
      <c r="Z1793" s="6"/>
      <c r="AA1793" s="6" t="s">
        <v>4952</v>
      </c>
      <c r="AB1793" s="8"/>
    </row>
    <row r="1794" spans="1:28" s="4" customFormat="1" ht="51.95" customHeight="1">
      <c r="A1794" s="5">
        <v>0</v>
      </c>
      <c r="B1794" s="6" t="s">
        <v>11092</v>
      </c>
      <c r="C1794" s="13">
        <v>1614</v>
      </c>
      <c r="D1794" s="8" t="s">
        <v>11093</v>
      </c>
      <c r="E1794" s="8" t="s">
        <v>11094</v>
      </c>
      <c r="F1794" s="8" t="s">
        <v>11095</v>
      </c>
      <c r="G1794" s="6" t="s">
        <v>52</v>
      </c>
      <c r="H1794" s="6" t="s">
        <v>53</v>
      </c>
      <c r="I1794" s="8" t="s">
        <v>90</v>
      </c>
      <c r="J1794" s="9">
        <v>1</v>
      </c>
      <c r="K1794" s="9">
        <v>352</v>
      </c>
      <c r="L1794" s="9">
        <v>2024</v>
      </c>
      <c r="M1794" s="8" t="s">
        <v>11096</v>
      </c>
      <c r="N1794" s="8" t="s">
        <v>413</v>
      </c>
      <c r="O1794" s="8" t="s">
        <v>2771</v>
      </c>
      <c r="P1794" s="6" t="s">
        <v>43</v>
      </c>
      <c r="Q1794" s="8" t="s">
        <v>44</v>
      </c>
      <c r="R1794" s="10" t="s">
        <v>11076</v>
      </c>
      <c r="S1794" s="11"/>
      <c r="T1794" s="6"/>
      <c r="U1794" s="24" t="str">
        <f>HYPERLINK("https://media.infra-m.ru/2087/2087257/cover/2087257.jpg", "Обложка")</f>
        <v>Обложка</v>
      </c>
      <c r="V1794" s="24" t="str">
        <f>HYPERLINK("https://znanium.ru/catalog/product/1851539", "Ознакомиться")</f>
        <v>Ознакомиться</v>
      </c>
      <c r="W1794" s="8" t="s">
        <v>11097</v>
      </c>
      <c r="X1794" s="6"/>
      <c r="Y1794" s="6"/>
      <c r="Z1794" s="6"/>
      <c r="AA1794" s="6" t="s">
        <v>111</v>
      </c>
      <c r="AB1794" s="8"/>
    </row>
    <row r="1795" spans="1:28" s="4" customFormat="1" ht="51.95" customHeight="1">
      <c r="A1795" s="5">
        <v>0</v>
      </c>
      <c r="B1795" s="6" t="s">
        <v>11098</v>
      </c>
      <c r="C1795" s="7">
        <v>650</v>
      </c>
      <c r="D1795" s="8" t="s">
        <v>11099</v>
      </c>
      <c r="E1795" s="8" t="s">
        <v>11100</v>
      </c>
      <c r="F1795" s="8" t="s">
        <v>11101</v>
      </c>
      <c r="G1795" s="6" t="s">
        <v>89</v>
      </c>
      <c r="H1795" s="6" t="s">
        <v>77</v>
      </c>
      <c r="I1795" s="8" t="s">
        <v>116</v>
      </c>
      <c r="J1795" s="9">
        <v>1</v>
      </c>
      <c r="K1795" s="9">
        <v>141</v>
      </c>
      <c r="L1795" s="9">
        <v>2024</v>
      </c>
      <c r="M1795" s="8" t="s">
        <v>11102</v>
      </c>
      <c r="N1795" s="8" t="s">
        <v>413</v>
      </c>
      <c r="O1795" s="8" t="s">
        <v>2771</v>
      </c>
      <c r="P1795" s="6" t="s">
        <v>43</v>
      </c>
      <c r="Q1795" s="8" t="s">
        <v>44</v>
      </c>
      <c r="R1795" s="10" t="s">
        <v>11076</v>
      </c>
      <c r="S1795" s="11" t="s">
        <v>11103</v>
      </c>
      <c r="T1795" s="6"/>
      <c r="U1795" s="24" t="str">
        <f>HYPERLINK("https://media.infra-m.ru/1891/1891835/cover/1891835.jpg", "Обложка")</f>
        <v>Обложка</v>
      </c>
      <c r="V1795" s="24" t="str">
        <f>HYPERLINK("https://znanium.ru/catalog/product/1891835", "Ознакомиться")</f>
        <v>Ознакомиться</v>
      </c>
      <c r="W1795" s="8" t="s">
        <v>83</v>
      </c>
      <c r="X1795" s="6"/>
      <c r="Y1795" s="6"/>
      <c r="Z1795" s="6"/>
      <c r="AA1795" s="6" t="s">
        <v>258</v>
      </c>
      <c r="AB1795" s="8"/>
    </row>
    <row r="1796" spans="1:28" s="4" customFormat="1" ht="51.95" customHeight="1">
      <c r="A1796" s="5">
        <v>0</v>
      </c>
      <c r="B1796" s="6" t="s">
        <v>11104</v>
      </c>
      <c r="C1796" s="13">
        <v>1804</v>
      </c>
      <c r="D1796" s="8" t="s">
        <v>11105</v>
      </c>
      <c r="E1796" s="8" t="s">
        <v>11106</v>
      </c>
      <c r="F1796" s="8" t="s">
        <v>11107</v>
      </c>
      <c r="G1796" s="6" t="s">
        <v>52</v>
      </c>
      <c r="H1796" s="6" t="s">
        <v>53</v>
      </c>
      <c r="I1796" s="8" t="s">
        <v>276</v>
      </c>
      <c r="J1796" s="9">
        <v>1</v>
      </c>
      <c r="K1796" s="9">
        <v>384</v>
      </c>
      <c r="L1796" s="9">
        <v>2024</v>
      </c>
      <c r="M1796" s="8" t="s">
        <v>11108</v>
      </c>
      <c r="N1796" s="8" t="s">
        <v>41</v>
      </c>
      <c r="O1796" s="8" t="s">
        <v>1007</v>
      </c>
      <c r="P1796" s="6" t="s">
        <v>43</v>
      </c>
      <c r="Q1796" s="8" t="s">
        <v>279</v>
      </c>
      <c r="R1796" s="10" t="s">
        <v>157</v>
      </c>
      <c r="S1796" s="11" t="s">
        <v>11109</v>
      </c>
      <c r="T1796" s="6"/>
      <c r="U1796" s="24" t="str">
        <f>HYPERLINK("https://media.infra-m.ru/2144/2144105/cover/2144105.jpg", "Обложка")</f>
        <v>Обложка</v>
      </c>
      <c r="V1796" s="24" t="str">
        <f>HYPERLINK("https://znanium.ru/catalog/product/1009590", "Ознакомиться")</f>
        <v>Ознакомиться</v>
      </c>
      <c r="W1796" s="8" t="s">
        <v>1826</v>
      </c>
      <c r="X1796" s="6"/>
      <c r="Y1796" s="6"/>
      <c r="Z1796" s="6"/>
      <c r="AA1796" s="6" t="s">
        <v>793</v>
      </c>
      <c r="AB1796" s="8"/>
    </row>
    <row r="1797" spans="1:28" s="4" customFormat="1" ht="42" customHeight="1">
      <c r="A1797" s="5">
        <v>0</v>
      </c>
      <c r="B1797" s="6" t="s">
        <v>11110</v>
      </c>
      <c r="C1797" s="13">
        <v>1380</v>
      </c>
      <c r="D1797" s="8" t="s">
        <v>11111</v>
      </c>
      <c r="E1797" s="8" t="s">
        <v>11112</v>
      </c>
      <c r="F1797" s="8" t="s">
        <v>11113</v>
      </c>
      <c r="G1797" s="6" t="s">
        <v>52</v>
      </c>
      <c r="H1797" s="6" t="s">
        <v>53</v>
      </c>
      <c r="I1797" s="8" t="s">
        <v>100</v>
      </c>
      <c r="J1797" s="9">
        <v>1</v>
      </c>
      <c r="K1797" s="9">
        <v>254</v>
      </c>
      <c r="L1797" s="9">
        <v>2025</v>
      </c>
      <c r="M1797" s="8" t="s">
        <v>11114</v>
      </c>
      <c r="N1797" s="8" t="s">
        <v>41</v>
      </c>
      <c r="O1797" s="8" t="s">
        <v>118</v>
      </c>
      <c r="P1797" s="6" t="s">
        <v>43</v>
      </c>
      <c r="Q1797" s="8" t="s">
        <v>102</v>
      </c>
      <c r="R1797" s="10" t="s">
        <v>1801</v>
      </c>
      <c r="S1797" s="11"/>
      <c r="T1797" s="6"/>
      <c r="U1797" s="24" t="str">
        <f>HYPERLINK("https://media.infra-m.ru/2181/2181454/cover/2181454.jpg", "Обложка")</f>
        <v>Обложка</v>
      </c>
      <c r="V1797" s="24" t="str">
        <f>HYPERLINK("https://znanium.ru/catalog/product/2181454", "Ознакомиться")</f>
        <v>Ознакомиться</v>
      </c>
      <c r="W1797" s="8" t="s">
        <v>11115</v>
      </c>
      <c r="X1797" s="6" t="s">
        <v>60</v>
      </c>
      <c r="Y1797" s="6"/>
      <c r="Z1797" s="6"/>
      <c r="AA1797" s="6" t="s">
        <v>61</v>
      </c>
      <c r="AB1797" s="8" t="s">
        <v>2167</v>
      </c>
    </row>
    <row r="1798" spans="1:28" s="4" customFormat="1" ht="51.95" customHeight="1">
      <c r="A1798" s="5">
        <v>0</v>
      </c>
      <c r="B1798" s="6" t="s">
        <v>11116</v>
      </c>
      <c r="C1798" s="13">
        <v>3319</v>
      </c>
      <c r="D1798" s="8" t="s">
        <v>11117</v>
      </c>
      <c r="E1798" s="8" t="s">
        <v>11118</v>
      </c>
      <c r="F1798" s="8" t="s">
        <v>11119</v>
      </c>
      <c r="G1798" s="6" t="s">
        <v>89</v>
      </c>
      <c r="H1798" s="6" t="s">
        <v>53</v>
      </c>
      <c r="I1798" s="8" t="s">
        <v>1325</v>
      </c>
      <c r="J1798" s="9">
        <v>1</v>
      </c>
      <c r="K1798" s="9">
        <v>308</v>
      </c>
      <c r="L1798" s="9">
        <v>2024</v>
      </c>
      <c r="M1798" s="8" t="s">
        <v>11120</v>
      </c>
      <c r="N1798" s="8" t="s">
        <v>79</v>
      </c>
      <c r="O1798" s="8" t="s">
        <v>570</v>
      </c>
      <c r="P1798" s="6" t="s">
        <v>43</v>
      </c>
      <c r="Q1798" s="8" t="s">
        <v>58</v>
      </c>
      <c r="R1798" s="10" t="s">
        <v>11121</v>
      </c>
      <c r="S1798" s="11" t="s">
        <v>11122</v>
      </c>
      <c r="T1798" s="6"/>
      <c r="U1798" s="24" t="str">
        <f>HYPERLINK("https://media.infra-m.ru/2172/2172078/cover/2172078.jpg", "Обложка")</f>
        <v>Обложка</v>
      </c>
      <c r="V1798" s="24" t="str">
        <f>HYPERLINK("https://znanium.ru/catalog/product/2172078", "Ознакомиться")</f>
        <v>Ознакомиться</v>
      </c>
      <c r="W1798" s="8" t="s">
        <v>1329</v>
      </c>
      <c r="X1798" s="6"/>
      <c r="Y1798" s="6"/>
      <c r="Z1798" s="6"/>
      <c r="AA1798" s="6" t="s">
        <v>133</v>
      </c>
      <c r="AB1798" s="8"/>
    </row>
    <row r="1799" spans="1:28" s="4" customFormat="1" ht="51.95" customHeight="1">
      <c r="A1799" s="5">
        <v>0</v>
      </c>
      <c r="B1799" s="6" t="s">
        <v>11123</v>
      </c>
      <c r="C1799" s="7">
        <v>479.9</v>
      </c>
      <c r="D1799" s="8" t="s">
        <v>11124</v>
      </c>
      <c r="E1799" s="8" t="s">
        <v>11125</v>
      </c>
      <c r="F1799" s="8" t="s">
        <v>6633</v>
      </c>
      <c r="G1799" s="6" t="s">
        <v>52</v>
      </c>
      <c r="H1799" s="6" t="s">
        <v>53</v>
      </c>
      <c r="I1799" s="8"/>
      <c r="J1799" s="9">
        <v>10</v>
      </c>
      <c r="K1799" s="9">
        <v>446</v>
      </c>
      <c r="L1799" s="9">
        <v>2017</v>
      </c>
      <c r="M1799" s="8" t="s">
        <v>11126</v>
      </c>
      <c r="N1799" s="8" t="s">
        <v>41</v>
      </c>
      <c r="O1799" s="8" t="s">
        <v>129</v>
      </c>
      <c r="P1799" s="6" t="s">
        <v>10677</v>
      </c>
      <c r="Q1799" s="8" t="s">
        <v>44</v>
      </c>
      <c r="R1799" s="10" t="s">
        <v>11127</v>
      </c>
      <c r="S1799" s="11" t="s">
        <v>11128</v>
      </c>
      <c r="T1799" s="6"/>
      <c r="U1799" s="12"/>
      <c r="V1799" s="24" t="str">
        <f>HYPERLINK("https://znanium.ru/catalog/product/2168889", "Ознакомиться")</f>
        <v>Ознакомиться</v>
      </c>
      <c r="W1799" s="8"/>
      <c r="X1799" s="6"/>
      <c r="Y1799" s="6" t="s">
        <v>30</v>
      </c>
      <c r="Z1799" s="6"/>
      <c r="AA1799" s="6" t="s">
        <v>442</v>
      </c>
      <c r="AB1799" s="8"/>
    </row>
    <row r="1800" spans="1:28" s="4" customFormat="1" ht="51.95" customHeight="1">
      <c r="A1800" s="5">
        <v>0</v>
      </c>
      <c r="B1800" s="6" t="s">
        <v>11129</v>
      </c>
      <c r="C1800" s="13">
        <v>4329</v>
      </c>
      <c r="D1800" s="8" t="s">
        <v>11130</v>
      </c>
      <c r="E1800" s="8" t="s">
        <v>11131</v>
      </c>
      <c r="F1800" s="8" t="s">
        <v>11132</v>
      </c>
      <c r="G1800" s="6" t="s">
        <v>52</v>
      </c>
      <c r="H1800" s="6" t="s">
        <v>53</v>
      </c>
      <c r="I1800" s="8" t="s">
        <v>1325</v>
      </c>
      <c r="J1800" s="9">
        <v>1</v>
      </c>
      <c r="K1800" s="9">
        <v>774</v>
      </c>
      <c r="L1800" s="9">
        <v>2024</v>
      </c>
      <c r="M1800" s="8" t="s">
        <v>11133</v>
      </c>
      <c r="N1800" s="8" t="s">
        <v>79</v>
      </c>
      <c r="O1800" s="8" t="s">
        <v>570</v>
      </c>
      <c r="P1800" s="6" t="s">
        <v>167</v>
      </c>
      <c r="Q1800" s="8" t="s">
        <v>58</v>
      </c>
      <c r="R1800" s="10" t="s">
        <v>11134</v>
      </c>
      <c r="S1800" s="11" t="s">
        <v>11135</v>
      </c>
      <c r="T1800" s="6"/>
      <c r="U1800" s="24" t="str">
        <f>HYPERLINK("https://media.infra-m.ru/1039/1039037/cover/1039037.jpg", "Обложка")</f>
        <v>Обложка</v>
      </c>
      <c r="V1800" s="24" t="str">
        <f>HYPERLINK("https://znanium.ru/catalog/product/1039037", "Ознакомиться")</f>
        <v>Ознакомиться</v>
      </c>
      <c r="W1800" s="8" t="s">
        <v>1329</v>
      </c>
      <c r="X1800" s="6"/>
      <c r="Y1800" s="6"/>
      <c r="Z1800" s="6"/>
      <c r="AA1800" s="6" t="s">
        <v>133</v>
      </c>
      <c r="AB1800" s="8"/>
    </row>
    <row r="1801" spans="1:28" s="4" customFormat="1" ht="51.95" customHeight="1">
      <c r="A1801" s="5">
        <v>0</v>
      </c>
      <c r="B1801" s="6" t="s">
        <v>11136</v>
      </c>
      <c r="C1801" s="13">
        <v>2730</v>
      </c>
      <c r="D1801" s="8" t="s">
        <v>11137</v>
      </c>
      <c r="E1801" s="8" t="s">
        <v>11138</v>
      </c>
      <c r="F1801" s="8" t="s">
        <v>11139</v>
      </c>
      <c r="G1801" s="6" t="s">
        <v>52</v>
      </c>
      <c r="H1801" s="6" t="s">
        <v>53</v>
      </c>
      <c r="I1801" s="8" t="s">
        <v>90</v>
      </c>
      <c r="J1801" s="9">
        <v>1</v>
      </c>
      <c r="K1801" s="9">
        <v>592</v>
      </c>
      <c r="L1801" s="9">
        <v>2024</v>
      </c>
      <c r="M1801" s="8" t="s">
        <v>11140</v>
      </c>
      <c r="N1801" s="8" t="s">
        <v>79</v>
      </c>
      <c r="O1801" s="8" t="s">
        <v>684</v>
      </c>
      <c r="P1801" s="6" t="s">
        <v>43</v>
      </c>
      <c r="Q1801" s="8" t="s">
        <v>44</v>
      </c>
      <c r="R1801" s="10" t="s">
        <v>1617</v>
      </c>
      <c r="S1801" s="11" t="s">
        <v>11141</v>
      </c>
      <c r="T1801" s="6" t="s">
        <v>299</v>
      </c>
      <c r="U1801" s="24" t="str">
        <f>HYPERLINK("https://media.infra-m.ru/2126/2126825/cover/2126825.jpg", "Обложка")</f>
        <v>Обложка</v>
      </c>
      <c r="V1801" s="24" t="str">
        <f>HYPERLINK("https://znanium.ru/catalog/product/2126825", "Ознакомиться")</f>
        <v>Ознакомиться</v>
      </c>
      <c r="W1801" s="8" t="s">
        <v>4383</v>
      </c>
      <c r="X1801" s="6"/>
      <c r="Y1801" s="6"/>
      <c r="Z1801" s="6"/>
      <c r="AA1801" s="6" t="s">
        <v>418</v>
      </c>
      <c r="AB1801" s="8"/>
    </row>
    <row r="1802" spans="1:28" s="4" customFormat="1" ht="42" customHeight="1">
      <c r="A1802" s="5">
        <v>0</v>
      </c>
      <c r="B1802" s="6" t="s">
        <v>11142</v>
      </c>
      <c r="C1802" s="13">
        <v>1024.9000000000001</v>
      </c>
      <c r="D1802" s="8" t="s">
        <v>11143</v>
      </c>
      <c r="E1802" s="8" t="s">
        <v>11144</v>
      </c>
      <c r="F1802" s="8" t="s">
        <v>11145</v>
      </c>
      <c r="G1802" s="6" t="s">
        <v>52</v>
      </c>
      <c r="H1802" s="6" t="s">
        <v>53</v>
      </c>
      <c r="I1802" s="8" t="s">
        <v>100</v>
      </c>
      <c r="J1802" s="9">
        <v>1</v>
      </c>
      <c r="K1802" s="9">
        <v>352</v>
      </c>
      <c r="L1802" s="9">
        <v>2018</v>
      </c>
      <c r="M1802" s="8" t="s">
        <v>11146</v>
      </c>
      <c r="N1802" s="8" t="s">
        <v>79</v>
      </c>
      <c r="O1802" s="8" t="s">
        <v>684</v>
      </c>
      <c r="P1802" s="6" t="s">
        <v>167</v>
      </c>
      <c r="Q1802" s="8" t="s">
        <v>102</v>
      </c>
      <c r="R1802" s="10" t="s">
        <v>11147</v>
      </c>
      <c r="S1802" s="11"/>
      <c r="T1802" s="6"/>
      <c r="U1802" s="24" t="str">
        <f>HYPERLINK("https://media.infra-m.ru/0940/0940812/cover/940812.jpg", "Обложка")</f>
        <v>Обложка</v>
      </c>
      <c r="V1802" s="24" t="str">
        <f>HYPERLINK("https://znanium.ru/catalog/product/2142821", "Ознакомиться")</f>
        <v>Ознакомиться</v>
      </c>
      <c r="W1802" s="8" t="s">
        <v>637</v>
      </c>
      <c r="X1802" s="6"/>
      <c r="Y1802" s="6"/>
      <c r="Z1802" s="6"/>
      <c r="AA1802" s="6" t="s">
        <v>111</v>
      </c>
      <c r="AB1802" s="8"/>
    </row>
    <row r="1803" spans="1:28" s="4" customFormat="1" ht="51.95" customHeight="1">
      <c r="A1803" s="5">
        <v>0</v>
      </c>
      <c r="B1803" s="6" t="s">
        <v>11148</v>
      </c>
      <c r="C1803" s="13">
        <v>1660</v>
      </c>
      <c r="D1803" s="8" t="s">
        <v>11149</v>
      </c>
      <c r="E1803" s="8" t="s">
        <v>11150</v>
      </c>
      <c r="F1803" s="8" t="s">
        <v>11151</v>
      </c>
      <c r="G1803" s="6" t="s">
        <v>89</v>
      </c>
      <c r="H1803" s="6" t="s">
        <v>53</v>
      </c>
      <c r="I1803" s="8" t="s">
        <v>100</v>
      </c>
      <c r="J1803" s="9">
        <v>1</v>
      </c>
      <c r="K1803" s="9">
        <v>352</v>
      </c>
      <c r="L1803" s="9">
        <v>2024</v>
      </c>
      <c r="M1803" s="8" t="s">
        <v>11146</v>
      </c>
      <c r="N1803" s="8" t="s">
        <v>79</v>
      </c>
      <c r="O1803" s="8" t="s">
        <v>684</v>
      </c>
      <c r="P1803" s="6" t="s">
        <v>167</v>
      </c>
      <c r="Q1803" s="8" t="s">
        <v>102</v>
      </c>
      <c r="R1803" s="10" t="s">
        <v>11147</v>
      </c>
      <c r="S1803" s="11" t="s">
        <v>11152</v>
      </c>
      <c r="T1803" s="6"/>
      <c r="U1803" s="24" t="str">
        <f>HYPERLINK("https://media.infra-m.ru/2142/2142821/cover/2142821.jpg", "Обложка")</f>
        <v>Обложка</v>
      </c>
      <c r="V1803" s="24" t="str">
        <f>HYPERLINK("https://znanium.ru/catalog/product/2142821", "Ознакомиться")</f>
        <v>Ознакомиться</v>
      </c>
      <c r="W1803" s="8" t="s">
        <v>637</v>
      </c>
      <c r="X1803" s="6"/>
      <c r="Y1803" s="6"/>
      <c r="Z1803" s="6"/>
      <c r="AA1803" s="6" t="s">
        <v>1374</v>
      </c>
      <c r="AB1803" s="8"/>
    </row>
    <row r="1804" spans="1:28" s="4" customFormat="1" ht="51.95" customHeight="1">
      <c r="A1804" s="5">
        <v>0</v>
      </c>
      <c r="B1804" s="6" t="s">
        <v>11153</v>
      </c>
      <c r="C1804" s="13">
        <v>1320</v>
      </c>
      <c r="D1804" s="8" t="s">
        <v>11154</v>
      </c>
      <c r="E1804" s="8" t="s">
        <v>11155</v>
      </c>
      <c r="F1804" s="8" t="s">
        <v>11156</v>
      </c>
      <c r="G1804" s="6" t="s">
        <v>89</v>
      </c>
      <c r="H1804" s="6" t="s">
        <v>53</v>
      </c>
      <c r="I1804" s="8" t="s">
        <v>116</v>
      </c>
      <c r="J1804" s="9">
        <v>1</v>
      </c>
      <c r="K1804" s="9">
        <v>288</v>
      </c>
      <c r="L1804" s="9">
        <v>2024</v>
      </c>
      <c r="M1804" s="8" t="s">
        <v>11157</v>
      </c>
      <c r="N1804" s="8" t="s">
        <v>79</v>
      </c>
      <c r="O1804" s="8" t="s">
        <v>684</v>
      </c>
      <c r="P1804" s="6" t="s">
        <v>43</v>
      </c>
      <c r="Q1804" s="8" t="s">
        <v>44</v>
      </c>
      <c r="R1804" s="10" t="s">
        <v>4062</v>
      </c>
      <c r="S1804" s="11" t="s">
        <v>11158</v>
      </c>
      <c r="T1804" s="6" t="s">
        <v>299</v>
      </c>
      <c r="U1804" s="24" t="str">
        <f>HYPERLINK("https://media.infra-m.ru/2134/2134468/cover/2134468.jpg", "Обложка")</f>
        <v>Обложка</v>
      </c>
      <c r="V1804" s="24" t="str">
        <f>HYPERLINK("https://znanium.ru/catalog/product/2134468", "Ознакомиться")</f>
        <v>Ознакомиться</v>
      </c>
      <c r="W1804" s="8" t="s">
        <v>637</v>
      </c>
      <c r="X1804" s="6"/>
      <c r="Y1804" s="6"/>
      <c r="Z1804" s="6"/>
      <c r="AA1804" s="6" t="s">
        <v>111</v>
      </c>
      <c r="AB1804" s="8"/>
    </row>
    <row r="1805" spans="1:28" s="4" customFormat="1" ht="51.95" customHeight="1">
      <c r="A1805" s="5">
        <v>0</v>
      </c>
      <c r="B1805" s="6" t="s">
        <v>11159</v>
      </c>
      <c r="C1805" s="13">
        <v>1090</v>
      </c>
      <c r="D1805" s="8" t="s">
        <v>11160</v>
      </c>
      <c r="E1805" s="8" t="s">
        <v>11161</v>
      </c>
      <c r="F1805" s="8" t="s">
        <v>11162</v>
      </c>
      <c r="G1805" s="6" t="s">
        <v>52</v>
      </c>
      <c r="H1805" s="6" t="s">
        <v>53</v>
      </c>
      <c r="I1805" s="8" t="s">
        <v>90</v>
      </c>
      <c r="J1805" s="9">
        <v>1</v>
      </c>
      <c r="K1805" s="9">
        <v>223</v>
      </c>
      <c r="L1805" s="9">
        <v>2022</v>
      </c>
      <c r="M1805" s="8" t="s">
        <v>11163</v>
      </c>
      <c r="N1805" s="8" t="s">
        <v>41</v>
      </c>
      <c r="O1805" s="8" t="s">
        <v>278</v>
      </c>
      <c r="P1805" s="6" t="s">
        <v>43</v>
      </c>
      <c r="Q1805" s="8" t="s">
        <v>44</v>
      </c>
      <c r="R1805" s="10" t="s">
        <v>8490</v>
      </c>
      <c r="S1805" s="11" t="s">
        <v>11164</v>
      </c>
      <c r="T1805" s="6"/>
      <c r="U1805" s="24" t="str">
        <f>HYPERLINK("https://media.infra-m.ru/1588/1588755/cover/1588755.jpg", "Обложка")</f>
        <v>Обложка</v>
      </c>
      <c r="V1805" s="24" t="str">
        <f>HYPERLINK("https://znanium.ru/catalog/product/1588755", "Ознакомиться")</f>
        <v>Ознакомиться</v>
      </c>
      <c r="W1805" s="8" t="s">
        <v>189</v>
      </c>
      <c r="X1805" s="6"/>
      <c r="Y1805" s="6"/>
      <c r="Z1805" s="6"/>
      <c r="AA1805" s="6" t="s">
        <v>235</v>
      </c>
      <c r="AB1805" s="8"/>
    </row>
    <row r="1806" spans="1:28" s="4" customFormat="1" ht="42" customHeight="1">
      <c r="A1806" s="5">
        <v>0</v>
      </c>
      <c r="B1806" s="6" t="s">
        <v>11165</v>
      </c>
      <c r="C1806" s="13">
        <v>1524</v>
      </c>
      <c r="D1806" s="8" t="s">
        <v>11166</v>
      </c>
      <c r="E1806" s="8" t="s">
        <v>11167</v>
      </c>
      <c r="F1806" s="8" t="s">
        <v>11168</v>
      </c>
      <c r="G1806" s="6" t="s">
        <v>52</v>
      </c>
      <c r="H1806" s="6" t="s">
        <v>53</v>
      </c>
      <c r="I1806" s="8" t="s">
        <v>90</v>
      </c>
      <c r="J1806" s="9">
        <v>1</v>
      </c>
      <c r="K1806" s="9">
        <v>304</v>
      </c>
      <c r="L1806" s="9">
        <v>2025</v>
      </c>
      <c r="M1806" s="8" t="s">
        <v>11169</v>
      </c>
      <c r="N1806" s="8" t="s">
        <v>41</v>
      </c>
      <c r="O1806" s="8" t="s">
        <v>118</v>
      </c>
      <c r="P1806" s="6" t="s">
        <v>43</v>
      </c>
      <c r="Q1806" s="8" t="s">
        <v>44</v>
      </c>
      <c r="R1806" s="10" t="s">
        <v>1371</v>
      </c>
      <c r="S1806" s="11"/>
      <c r="T1806" s="6" t="s">
        <v>299</v>
      </c>
      <c r="U1806" s="24" t="str">
        <f>HYPERLINK("https://media.infra-m.ru/2188/2188881/cover/2188881.jpg", "Обложка")</f>
        <v>Обложка</v>
      </c>
      <c r="V1806" s="24" t="str">
        <f>HYPERLINK("https://znanium.ru/catalog/product/1233664", "Ознакомиться")</f>
        <v>Ознакомиться</v>
      </c>
      <c r="W1806" s="8" t="s">
        <v>9314</v>
      </c>
      <c r="X1806" s="6"/>
      <c r="Y1806" s="6"/>
      <c r="Z1806" s="6"/>
      <c r="AA1806" s="6" t="s">
        <v>111</v>
      </c>
      <c r="AB1806" s="8"/>
    </row>
    <row r="1807" spans="1:28" s="4" customFormat="1" ht="51.95" customHeight="1">
      <c r="A1807" s="5">
        <v>0</v>
      </c>
      <c r="B1807" s="6" t="s">
        <v>11170</v>
      </c>
      <c r="C1807" s="7">
        <v>790</v>
      </c>
      <c r="D1807" s="8" t="s">
        <v>11171</v>
      </c>
      <c r="E1807" s="8" t="s">
        <v>11172</v>
      </c>
      <c r="F1807" s="8" t="s">
        <v>11173</v>
      </c>
      <c r="G1807" s="6" t="s">
        <v>89</v>
      </c>
      <c r="H1807" s="6" t="s">
        <v>53</v>
      </c>
      <c r="I1807" s="8" t="s">
        <v>165</v>
      </c>
      <c r="J1807" s="9">
        <v>1</v>
      </c>
      <c r="K1807" s="9">
        <v>160</v>
      </c>
      <c r="L1807" s="9">
        <v>2024</v>
      </c>
      <c r="M1807" s="8" t="s">
        <v>11174</v>
      </c>
      <c r="N1807" s="8" t="s">
        <v>41</v>
      </c>
      <c r="O1807" s="8" t="s">
        <v>676</v>
      </c>
      <c r="P1807" s="6" t="s">
        <v>43</v>
      </c>
      <c r="Q1807" s="8" t="s">
        <v>58</v>
      </c>
      <c r="R1807" s="10" t="s">
        <v>677</v>
      </c>
      <c r="S1807" s="11" t="s">
        <v>11175</v>
      </c>
      <c r="T1807" s="6"/>
      <c r="U1807" s="24" t="str">
        <f>HYPERLINK("https://media.infra-m.ru/2132/2132244/cover/2132244.jpg", "Обложка")</f>
        <v>Обложка</v>
      </c>
      <c r="V1807" s="24" t="str">
        <f>HYPERLINK("https://znanium.ru/catalog/product/2132244", "Ознакомиться")</f>
        <v>Ознакомиться</v>
      </c>
      <c r="W1807" s="8" t="s">
        <v>83</v>
      </c>
      <c r="X1807" s="6"/>
      <c r="Y1807" s="6"/>
      <c r="Z1807" s="6"/>
      <c r="AA1807" s="6" t="s">
        <v>258</v>
      </c>
      <c r="AB1807" s="8"/>
    </row>
    <row r="1808" spans="1:28" s="4" customFormat="1" ht="51.95" customHeight="1">
      <c r="A1808" s="5">
        <v>0</v>
      </c>
      <c r="B1808" s="6" t="s">
        <v>11176</v>
      </c>
      <c r="C1808" s="7">
        <v>590</v>
      </c>
      <c r="D1808" s="8" t="s">
        <v>11177</v>
      </c>
      <c r="E1808" s="8" t="s">
        <v>11178</v>
      </c>
      <c r="F1808" s="8" t="s">
        <v>11179</v>
      </c>
      <c r="G1808" s="6" t="s">
        <v>38</v>
      </c>
      <c r="H1808" s="6" t="s">
        <v>53</v>
      </c>
      <c r="I1808" s="8" t="s">
        <v>276</v>
      </c>
      <c r="J1808" s="9">
        <v>1</v>
      </c>
      <c r="K1808" s="9">
        <v>111</v>
      </c>
      <c r="L1808" s="9">
        <v>2024</v>
      </c>
      <c r="M1808" s="8" t="s">
        <v>11180</v>
      </c>
      <c r="N1808" s="8" t="s">
        <v>41</v>
      </c>
      <c r="O1808" s="8" t="s">
        <v>118</v>
      </c>
      <c r="P1808" s="6" t="s">
        <v>43</v>
      </c>
      <c r="Q1808" s="8" t="s">
        <v>279</v>
      </c>
      <c r="R1808" s="10" t="s">
        <v>7519</v>
      </c>
      <c r="S1808" s="11" t="s">
        <v>11181</v>
      </c>
      <c r="T1808" s="6"/>
      <c r="U1808" s="24" t="str">
        <f>HYPERLINK("https://media.infra-m.ru/2121/2121174/cover/2121174.jpg", "Обложка")</f>
        <v>Обложка</v>
      </c>
      <c r="V1808" s="24" t="str">
        <f>HYPERLINK("https://znanium.ru/catalog/product/2121174", "Ознакомиться")</f>
        <v>Ознакомиться</v>
      </c>
      <c r="W1808" s="8" t="s">
        <v>1826</v>
      </c>
      <c r="X1808" s="6"/>
      <c r="Y1808" s="6"/>
      <c r="Z1808" s="6"/>
      <c r="AA1808" s="6" t="s">
        <v>151</v>
      </c>
      <c r="AB1808" s="8"/>
    </row>
    <row r="1809" spans="1:28" s="4" customFormat="1" ht="42" customHeight="1">
      <c r="A1809" s="5">
        <v>0</v>
      </c>
      <c r="B1809" s="6" t="s">
        <v>11182</v>
      </c>
      <c r="C1809" s="7">
        <v>974.9</v>
      </c>
      <c r="D1809" s="8" t="s">
        <v>11183</v>
      </c>
      <c r="E1809" s="8" t="s">
        <v>11184</v>
      </c>
      <c r="F1809" s="8" t="s">
        <v>11185</v>
      </c>
      <c r="G1809" s="6" t="s">
        <v>89</v>
      </c>
      <c r="H1809" s="6" t="s">
        <v>53</v>
      </c>
      <c r="I1809" s="8" t="s">
        <v>276</v>
      </c>
      <c r="J1809" s="9">
        <v>1</v>
      </c>
      <c r="K1809" s="9">
        <v>216</v>
      </c>
      <c r="L1809" s="9">
        <v>2023</v>
      </c>
      <c r="M1809" s="8" t="s">
        <v>11186</v>
      </c>
      <c r="N1809" s="8" t="s">
        <v>41</v>
      </c>
      <c r="O1809" s="8" t="s">
        <v>118</v>
      </c>
      <c r="P1809" s="6" t="s">
        <v>167</v>
      </c>
      <c r="Q1809" s="8" t="s">
        <v>279</v>
      </c>
      <c r="R1809" s="10" t="s">
        <v>11187</v>
      </c>
      <c r="S1809" s="11"/>
      <c r="T1809" s="6"/>
      <c r="U1809" s="24" t="str">
        <f>HYPERLINK("https://media.infra-m.ru/2030/2030866/cover/2030866.jpg", "Обложка")</f>
        <v>Обложка</v>
      </c>
      <c r="V1809" s="24" t="str">
        <f>HYPERLINK("https://znanium.ru/catalog/product/2125015", "Ознакомиться")</f>
        <v>Ознакомиться</v>
      </c>
      <c r="W1809" s="8" t="s">
        <v>947</v>
      </c>
      <c r="X1809" s="6"/>
      <c r="Y1809" s="6"/>
      <c r="Z1809" s="6"/>
      <c r="AA1809" s="6" t="s">
        <v>151</v>
      </c>
      <c r="AB1809" s="8"/>
    </row>
    <row r="1810" spans="1:28" s="4" customFormat="1" ht="42" customHeight="1">
      <c r="A1810" s="5">
        <v>0</v>
      </c>
      <c r="B1810" s="6" t="s">
        <v>11188</v>
      </c>
      <c r="C1810" s="13">
        <v>1370</v>
      </c>
      <c r="D1810" s="8" t="s">
        <v>11189</v>
      </c>
      <c r="E1810" s="8" t="s">
        <v>11190</v>
      </c>
      <c r="F1810" s="8" t="s">
        <v>11191</v>
      </c>
      <c r="G1810" s="6" t="s">
        <v>52</v>
      </c>
      <c r="H1810" s="6" t="s">
        <v>53</v>
      </c>
      <c r="I1810" s="8" t="s">
        <v>116</v>
      </c>
      <c r="J1810" s="9">
        <v>1</v>
      </c>
      <c r="K1810" s="9">
        <v>291</v>
      </c>
      <c r="L1810" s="9">
        <v>2024</v>
      </c>
      <c r="M1810" s="8" t="s">
        <v>11192</v>
      </c>
      <c r="N1810" s="8" t="s">
        <v>41</v>
      </c>
      <c r="O1810" s="8" t="s">
        <v>118</v>
      </c>
      <c r="P1810" s="6" t="s">
        <v>167</v>
      </c>
      <c r="Q1810" s="8" t="s">
        <v>279</v>
      </c>
      <c r="R1810" s="10" t="s">
        <v>11187</v>
      </c>
      <c r="S1810" s="11"/>
      <c r="T1810" s="6"/>
      <c r="U1810" s="24" t="str">
        <f>HYPERLINK("https://media.infra-m.ru/2125/2125015/cover/2125015.jpg", "Обложка")</f>
        <v>Обложка</v>
      </c>
      <c r="V1810" s="24" t="str">
        <f>HYPERLINK("https://znanium.ru/catalog/product/2125015", "Ознакомиться")</f>
        <v>Ознакомиться</v>
      </c>
      <c r="W1810" s="8" t="s">
        <v>947</v>
      </c>
      <c r="X1810" s="6"/>
      <c r="Y1810" s="6"/>
      <c r="Z1810" s="6"/>
      <c r="AA1810" s="6" t="s">
        <v>105</v>
      </c>
      <c r="AB1810" s="8"/>
    </row>
    <row r="1811" spans="1:28" s="4" customFormat="1" ht="51.95" customHeight="1">
      <c r="A1811" s="5">
        <v>0</v>
      </c>
      <c r="B1811" s="6" t="s">
        <v>11193</v>
      </c>
      <c r="C1811" s="13">
        <v>2580</v>
      </c>
      <c r="D1811" s="8" t="s">
        <v>11194</v>
      </c>
      <c r="E1811" s="8" t="s">
        <v>11195</v>
      </c>
      <c r="F1811" s="8" t="s">
        <v>11196</v>
      </c>
      <c r="G1811" s="6" t="s">
        <v>52</v>
      </c>
      <c r="H1811" s="6" t="s">
        <v>952</v>
      </c>
      <c r="I1811" s="8" t="s">
        <v>2699</v>
      </c>
      <c r="J1811" s="9">
        <v>1</v>
      </c>
      <c r="K1811" s="9">
        <v>496</v>
      </c>
      <c r="L1811" s="9">
        <v>2025</v>
      </c>
      <c r="M1811" s="8" t="s">
        <v>11197</v>
      </c>
      <c r="N1811" s="8" t="s">
        <v>41</v>
      </c>
      <c r="O1811" s="8" t="s">
        <v>118</v>
      </c>
      <c r="P1811" s="6" t="s">
        <v>167</v>
      </c>
      <c r="Q1811" s="8" t="s">
        <v>279</v>
      </c>
      <c r="R1811" s="10" t="s">
        <v>11198</v>
      </c>
      <c r="S1811" s="11"/>
      <c r="T1811" s="6"/>
      <c r="U1811" s="24" t="str">
        <f>HYPERLINK("https://media.infra-m.ru/2200/2200767/cover/2200767.jpg", "Обложка")</f>
        <v>Обложка</v>
      </c>
      <c r="V1811" s="24" t="str">
        <f>HYPERLINK("https://znanium.ru/catalog/product/2096931", "Ознакомиться")</f>
        <v>Ознакомиться</v>
      </c>
      <c r="W1811" s="8" t="s">
        <v>3282</v>
      </c>
      <c r="X1811" s="6"/>
      <c r="Y1811" s="6"/>
      <c r="Z1811" s="6"/>
      <c r="AA1811" s="6" t="s">
        <v>418</v>
      </c>
      <c r="AB1811" s="8"/>
    </row>
    <row r="1812" spans="1:28" s="4" customFormat="1" ht="51.95" customHeight="1">
      <c r="A1812" s="5">
        <v>0</v>
      </c>
      <c r="B1812" s="6" t="s">
        <v>11199</v>
      </c>
      <c r="C1812" s="13">
        <v>1420</v>
      </c>
      <c r="D1812" s="8" t="s">
        <v>11200</v>
      </c>
      <c r="E1812" s="8" t="s">
        <v>11195</v>
      </c>
      <c r="F1812" s="8" t="s">
        <v>11201</v>
      </c>
      <c r="G1812" s="6" t="s">
        <v>89</v>
      </c>
      <c r="H1812" s="6" t="s">
        <v>53</v>
      </c>
      <c r="I1812" s="8" t="s">
        <v>116</v>
      </c>
      <c r="J1812" s="9">
        <v>1</v>
      </c>
      <c r="K1812" s="9">
        <v>272</v>
      </c>
      <c r="L1812" s="9">
        <v>2025</v>
      </c>
      <c r="M1812" s="8" t="s">
        <v>11202</v>
      </c>
      <c r="N1812" s="8" t="s">
        <v>41</v>
      </c>
      <c r="O1812" s="8" t="s">
        <v>118</v>
      </c>
      <c r="P1812" s="6" t="s">
        <v>167</v>
      </c>
      <c r="Q1812" s="8" t="s">
        <v>279</v>
      </c>
      <c r="R1812" s="10" t="s">
        <v>1278</v>
      </c>
      <c r="S1812" s="11" t="s">
        <v>11203</v>
      </c>
      <c r="T1812" s="6" t="s">
        <v>299</v>
      </c>
      <c r="U1812" s="24" t="str">
        <f>HYPERLINK("https://media.infra-m.ru/2192/2192242/cover/2192242.jpg", "Обложка")</f>
        <v>Обложка</v>
      </c>
      <c r="V1812" s="24" t="str">
        <f>HYPERLINK("https://znanium.ru/catalog/product/2192242", "Ознакомиться")</f>
        <v>Ознакомиться</v>
      </c>
      <c r="W1812" s="8" t="s">
        <v>189</v>
      </c>
      <c r="X1812" s="6"/>
      <c r="Y1812" s="6"/>
      <c r="Z1812" s="6"/>
      <c r="AA1812" s="6" t="s">
        <v>47</v>
      </c>
      <c r="AB1812" s="8"/>
    </row>
    <row r="1813" spans="1:28" s="4" customFormat="1" ht="51.95" customHeight="1">
      <c r="A1813" s="5">
        <v>0</v>
      </c>
      <c r="B1813" s="6" t="s">
        <v>11204</v>
      </c>
      <c r="C1813" s="13">
        <v>1820</v>
      </c>
      <c r="D1813" s="8" t="s">
        <v>11205</v>
      </c>
      <c r="E1813" s="8" t="s">
        <v>11206</v>
      </c>
      <c r="F1813" s="8" t="s">
        <v>11207</v>
      </c>
      <c r="G1813" s="6" t="s">
        <v>89</v>
      </c>
      <c r="H1813" s="6" t="s">
        <v>53</v>
      </c>
      <c r="I1813" s="8" t="s">
        <v>116</v>
      </c>
      <c r="J1813" s="9">
        <v>1</v>
      </c>
      <c r="K1813" s="9">
        <v>395</v>
      </c>
      <c r="L1813" s="9">
        <v>2024</v>
      </c>
      <c r="M1813" s="8" t="s">
        <v>11208</v>
      </c>
      <c r="N1813" s="8" t="s">
        <v>41</v>
      </c>
      <c r="O1813" s="8" t="s">
        <v>118</v>
      </c>
      <c r="P1813" s="6" t="s">
        <v>167</v>
      </c>
      <c r="Q1813" s="8" t="s">
        <v>44</v>
      </c>
      <c r="R1813" s="10" t="s">
        <v>11209</v>
      </c>
      <c r="S1813" s="11" t="s">
        <v>11210</v>
      </c>
      <c r="T1813" s="6"/>
      <c r="U1813" s="24" t="str">
        <f>HYPERLINK("https://media.infra-m.ru/2130/2130467/cover/2130467.jpg", "Обложка")</f>
        <v>Обложка</v>
      </c>
      <c r="V1813" s="24" t="str">
        <f>HYPERLINK("https://znanium.ru/catalog/product/2130467", "Ознакомиться")</f>
        <v>Ознакомиться</v>
      </c>
      <c r="W1813" s="8" t="s">
        <v>1826</v>
      </c>
      <c r="X1813" s="6"/>
      <c r="Y1813" s="6"/>
      <c r="Z1813" s="6"/>
      <c r="AA1813" s="6" t="s">
        <v>326</v>
      </c>
      <c r="AB1813" s="8"/>
    </row>
    <row r="1814" spans="1:28" s="4" customFormat="1" ht="51.95" customHeight="1">
      <c r="A1814" s="5">
        <v>0</v>
      </c>
      <c r="B1814" s="6" t="s">
        <v>11211</v>
      </c>
      <c r="C1814" s="7">
        <v>880</v>
      </c>
      <c r="D1814" s="8" t="s">
        <v>11212</v>
      </c>
      <c r="E1814" s="8" t="s">
        <v>11195</v>
      </c>
      <c r="F1814" s="8" t="s">
        <v>11213</v>
      </c>
      <c r="G1814" s="6" t="s">
        <v>52</v>
      </c>
      <c r="H1814" s="6" t="s">
        <v>53</v>
      </c>
      <c r="I1814" s="8" t="s">
        <v>90</v>
      </c>
      <c r="J1814" s="9">
        <v>1</v>
      </c>
      <c r="K1814" s="9">
        <v>368</v>
      </c>
      <c r="L1814" s="9">
        <v>2017</v>
      </c>
      <c r="M1814" s="8" t="s">
        <v>11214</v>
      </c>
      <c r="N1814" s="8" t="s">
        <v>41</v>
      </c>
      <c r="O1814" s="8" t="s">
        <v>118</v>
      </c>
      <c r="P1814" s="6" t="s">
        <v>167</v>
      </c>
      <c r="Q1814" s="8" t="s">
        <v>44</v>
      </c>
      <c r="R1814" s="10" t="s">
        <v>11209</v>
      </c>
      <c r="S1814" s="11" t="s">
        <v>11215</v>
      </c>
      <c r="T1814" s="6"/>
      <c r="U1814" s="24" t="str">
        <f>HYPERLINK("https://media.infra-m.ru/0661/0661782/cover/661782.jpg", "Обложка")</f>
        <v>Обложка</v>
      </c>
      <c r="V1814" s="24" t="str">
        <f>HYPERLINK("https://znanium.ru/catalog/product/2130467", "Ознакомиться")</f>
        <v>Ознакомиться</v>
      </c>
      <c r="W1814" s="8" t="s">
        <v>11216</v>
      </c>
      <c r="X1814" s="6"/>
      <c r="Y1814" s="6"/>
      <c r="Z1814" s="6"/>
      <c r="AA1814" s="6" t="s">
        <v>122</v>
      </c>
      <c r="AB1814" s="8"/>
    </row>
    <row r="1815" spans="1:28" s="4" customFormat="1" ht="51.95" customHeight="1">
      <c r="A1815" s="5">
        <v>0</v>
      </c>
      <c r="B1815" s="6" t="s">
        <v>11217</v>
      </c>
      <c r="C1815" s="13">
        <v>1534</v>
      </c>
      <c r="D1815" s="8" t="s">
        <v>11218</v>
      </c>
      <c r="E1815" s="8" t="s">
        <v>11195</v>
      </c>
      <c r="F1815" s="8" t="s">
        <v>11219</v>
      </c>
      <c r="G1815" s="6" t="s">
        <v>52</v>
      </c>
      <c r="H1815" s="6" t="s">
        <v>53</v>
      </c>
      <c r="I1815" s="8" t="s">
        <v>90</v>
      </c>
      <c r="J1815" s="9">
        <v>1</v>
      </c>
      <c r="K1815" s="9">
        <v>338</v>
      </c>
      <c r="L1815" s="9">
        <v>2023</v>
      </c>
      <c r="M1815" s="8" t="s">
        <v>11220</v>
      </c>
      <c r="N1815" s="8" t="s">
        <v>41</v>
      </c>
      <c r="O1815" s="8" t="s">
        <v>118</v>
      </c>
      <c r="P1815" s="6" t="s">
        <v>167</v>
      </c>
      <c r="Q1815" s="8" t="s">
        <v>44</v>
      </c>
      <c r="R1815" s="10" t="s">
        <v>5714</v>
      </c>
      <c r="S1815" s="11" t="s">
        <v>11221</v>
      </c>
      <c r="T1815" s="6"/>
      <c r="U1815" s="24" t="str">
        <f>HYPERLINK("https://media.infra-m.ru/2021/2021450/cover/2021450.jpg", "Обложка")</f>
        <v>Обложка</v>
      </c>
      <c r="V1815" s="24" t="str">
        <f>HYPERLINK("https://znanium.ru/catalog/product/2021450", "Ознакомиться")</f>
        <v>Ознакомиться</v>
      </c>
      <c r="W1815" s="8" t="s">
        <v>6124</v>
      </c>
      <c r="X1815" s="6"/>
      <c r="Y1815" s="6"/>
      <c r="Z1815" s="6"/>
      <c r="AA1815" s="6" t="s">
        <v>793</v>
      </c>
      <c r="AB1815" s="8"/>
    </row>
    <row r="1816" spans="1:28" s="4" customFormat="1" ht="51.95" customHeight="1">
      <c r="A1816" s="5">
        <v>0</v>
      </c>
      <c r="B1816" s="6" t="s">
        <v>11222</v>
      </c>
      <c r="C1816" s="13">
        <v>1494</v>
      </c>
      <c r="D1816" s="8" t="s">
        <v>11223</v>
      </c>
      <c r="E1816" s="8" t="s">
        <v>11206</v>
      </c>
      <c r="F1816" s="8" t="s">
        <v>11224</v>
      </c>
      <c r="G1816" s="6" t="s">
        <v>52</v>
      </c>
      <c r="H1816" s="6" t="s">
        <v>649</v>
      </c>
      <c r="I1816" s="8" t="s">
        <v>116</v>
      </c>
      <c r="J1816" s="9">
        <v>1</v>
      </c>
      <c r="K1816" s="9">
        <v>288</v>
      </c>
      <c r="L1816" s="9">
        <v>2025</v>
      </c>
      <c r="M1816" s="8" t="s">
        <v>11225</v>
      </c>
      <c r="N1816" s="8" t="s">
        <v>41</v>
      </c>
      <c r="O1816" s="8" t="s">
        <v>118</v>
      </c>
      <c r="P1816" s="6" t="s">
        <v>43</v>
      </c>
      <c r="Q1816" s="8" t="s">
        <v>44</v>
      </c>
      <c r="R1816" s="10" t="s">
        <v>4242</v>
      </c>
      <c r="S1816" s="11" t="s">
        <v>11226</v>
      </c>
      <c r="T1816" s="6"/>
      <c r="U1816" s="24" t="str">
        <f>HYPERLINK("https://media.infra-m.ru/2196/2196877/cover/2196877.jpg", "Обложка")</f>
        <v>Обложка</v>
      </c>
      <c r="V1816" s="12"/>
      <c r="W1816" s="8" t="s">
        <v>1345</v>
      </c>
      <c r="X1816" s="6"/>
      <c r="Y1816" s="6"/>
      <c r="Z1816" s="6"/>
      <c r="AA1816" s="6" t="s">
        <v>2193</v>
      </c>
      <c r="AB1816" s="8"/>
    </row>
    <row r="1817" spans="1:28" s="4" customFormat="1" ht="51.95" customHeight="1">
      <c r="A1817" s="5">
        <v>0</v>
      </c>
      <c r="B1817" s="6" t="s">
        <v>11227</v>
      </c>
      <c r="C1817" s="13">
        <v>1614</v>
      </c>
      <c r="D1817" s="8" t="s">
        <v>11228</v>
      </c>
      <c r="E1817" s="8" t="s">
        <v>11195</v>
      </c>
      <c r="F1817" s="8" t="s">
        <v>11229</v>
      </c>
      <c r="G1817" s="6" t="s">
        <v>52</v>
      </c>
      <c r="H1817" s="6" t="s">
        <v>952</v>
      </c>
      <c r="I1817" s="8" t="s">
        <v>1171</v>
      </c>
      <c r="J1817" s="9">
        <v>1</v>
      </c>
      <c r="K1817" s="9">
        <v>352</v>
      </c>
      <c r="L1817" s="9">
        <v>2024</v>
      </c>
      <c r="M1817" s="8" t="s">
        <v>11230</v>
      </c>
      <c r="N1817" s="8" t="s">
        <v>41</v>
      </c>
      <c r="O1817" s="8" t="s">
        <v>118</v>
      </c>
      <c r="P1817" s="6" t="s">
        <v>167</v>
      </c>
      <c r="Q1817" s="8" t="s">
        <v>44</v>
      </c>
      <c r="R1817" s="10" t="s">
        <v>11231</v>
      </c>
      <c r="S1817" s="11"/>
      <c r="T1817" s="6"/>
      <c r="U1817" s="24" t="str">
        <f>HYPERLINK("https://media.infra-m.ru/2087/2087284/cover/2087284.jpg", "Обложка")</f>
        <v>Обложка</v>
      </c>
      <c r="V1817" s="24" t="str">
        <f>HYPERLINK("https://znanium.ru/catalog/product/2087284", "Ознакомиться")</f>
        <v>Ознакомиться</v>
      </c>
      <c r="W1817" s="8" t="s">
        <v>2988</v>
      </c>
      <c r="X1817" s="6"/>
      <c r="Y1817" s="6"/>
      <c r="Z1817" s="6"/>
      <c r="AA1817" s="6" t="s">
        <v>84</v>
      </c>
      <c r="AB1817" s="8"/>
    </row>
    <row r="1818" spans="1:28" s="4" customFormat="1" ht="51.95" customHeight="1">
      <c r="A1818" s="5">
        <v>0</v>
      </c>
      <c r="B1818" s="6" t="s">
        <v>11232</v>
      </c>
      <c r="C1818" s="13">
        <v>1320</v>
      </c>
      <c r="D1818" s="8" t="s">
        <v>11233</v>
      </c>
      <c r="E1818" s="8" t="s">
        <v>11234</v>
      </c>
      <c r="F1818" s="8" t="s">
        <v>11235</v>
      </c>
      <c r="G1818" s="6" t="s">
        <v>52</v>
      </c>
      <c r="H1818" s="6" t="s">
        <v>53</v>
      </c>
      <c r="I1818" s="8" t="s">
        <v>2959</v>
      </c>
      <c r="J1818" s="9">
        <v>1</v>
      </c>
      <c r="K1818" s="9">
        <v>266</v>
      </c>
      <c r="L1818" s="9">
        <v>2024</v>
      </c>
      <c r="M1818" s="8" t="s">
        <v>11236</v>
      </c>
      <c r="N1818" s="8" t="s">
        <v>41</v>
      </c>
      <c r="O1818" s="8" t="s">
        <v>1007</v>
      </c>
      <c r="P1818" s="6" t="s">
        <v>167</v>
      </c>
      <c r="Q1818" s="8" t="s">
        <v>279</v>
      </c>
      <c r="R1818" s="10" t="s">
        <v>11237</v>
      </c>
      <c r="S1818" s="11"/>
      <c r="T1818" s="6"/>
      <c r="U1818" s="24" t="str">
        <f>HYPERLINK("https://media.infra-m.ru/1958/1958350/cover/1958350.jpg", "Обложка")</f>
        <v>Обложка</v>
      </c>
      <c r="V1818" s="24" t="str">
        <f>HYPERLINK("https://znanium.ru/catalog/product/1958350", "Ознакомиться")</f>
        <v>Ознакомиться</v>
      </c>
      <c r="W1818" s="8" t="s">
        <v>189</v>
      </c>
      <c r="X1818" s="6" t="s">
        <v>179</v>
      </c>
      <c r="Y1818" s="6"/>
      <c r="Z1818" s="6"/>
      <c r="AA1818" s="6" t="s">
        <v>133</v>
      </c>
      <c r="AB1818" s="8"/>
    </row>
    <row r="1819" spans="1:28" s="4" customFormat="1" ht="44.1" customHeight="1">
      <c r="A1819" s="5">
        <v>0</v>
      </c>
      <c r="B1819" s="6" t="s">
        <v>11238</v>
      </c>
      <c r="C1819" s="7">
        <v>750</v>
      </c>
      <c r="D1819" s="8" t="s">
        <v>11239</v>
      </c>
      <c r="E1819" s="8" t="s">
        <v>11240</v>
      </c>
      <c r="F1819" s="8" t="s">
        <v>11241</v>
      </c>
      <c r="G1819" s="6" t="s">
        <v>38</v>
      </c>
      <c r="H1819" s="6" t="s">
        <v>184</v>
      </c>
      <c r="I1819" s="8" t="s">
        <v>116</v>
      </c>
      <c r="J1819" s="9">
        <v>1</v>
      </c>
      <c r="K1819" s="9">
        <v>164</v>
      </c>
      <c r="L1819" s="9">
        <v>2024</v>
      </c>
      <c r="M1819" s="8" t="s">
        <v>11242</v>
      </c>
      <c r="N1819" s="8" t="s">
        <v>41</v>
      </c>
      <c r="O1819" s="8" t="s">
        <v>1007</v>
      </c>
      <c r="P1819" s="6" t="s">
        <v>43</v>
      </c>
      <c r="Q1819" s="8" t="s">
        <v>279</v>
      </c>
      <c r="R1819" s="10" t="s">
        <v>11243</v>
      </c>
      <c r="S1819" s="11"/>
      <c r="T1819" s="6" t="s">
        <v>299</v>
      </c>
      <c r="U1819" s="24" t="str">
        <f>HYPERLINK("https://media.infra-m.ru/2073/2073493/cover/2073493.jpg", "Обложка")</f>
        <v>Обложка</v>
      </c>
      <c r="V1819" s="24" t="str">
        <f>HYPERLINK("https://znanium.ru/catalog/product/2073493", "Ознакомиться")</f>
        <v>Ознакомиться</v>
      </c>
      <c r="W1819" s="8" t="s">
        <v>83</v>
      </c>
      <c r="X1819" s="6"/>
      <c r="Y1819" s="6"/>
      <c r="Z1819" s="6"/>
      <c r="AA1819" s="6" t="s">
        <v>95</v>
      </c>
      <c r="AB1819" s="8"/>
    </row>
    <row r="1820" spans="1:28" s="4" customFormat="1" ht="44.1" customHeight="1">
      <c r="A1820" s="5">
        <v>0</v>
      </c>
      <c r="B1820" s="6" t="s">
        <v>11244</v>
      </c>
      <c r="C1820" s="7">
        <v>824</v>
      </c>
      <c r="D1820" s="8" t="s">
        <v>11245</v>
      </c>
      <c r="E1820" s="8" t="s">
        <v>11246</v>
      </c>
      <c r="F1820" s="8" t="s">
        <v>11241</v>
      </c>
      <c r="G1820" s="6" t="s">
        <v>38</v>
      </c>
      <c r="H1820" s="6" t="s">
        <v>184</v>
      </c>
      <c r="I1820" s="8" t="s">
        <v>116</v>
      </c>
      <c r="J1820" s="9">
        <v>1</v>
      </c>
      <c r="K1820" s="9">
        <v>164</v>
      </c>
      <c r="L1820" s="9">
        <v>2025</v>
      </c>
      <c r="M1820" s="8" t="s">
        <v>11242</v>
      </c>
      <c r="N1820" s="8" t="s">
        <v>41</v>
      </c>
      <c r="O1820" s="8" t="s">
        <v>1007</v>
      </c>
      <c r="P1820" s="6" t="s">
        <v>43</v>
      </c>
      <c r="Q1820" s="8" t="s">
        <v>279</v>
      </c>
      <c r="R1820" s="10" t="s">
        <v>11243</v>
      </c>
      <c r="S1820" s="11"/>
      <c r="T1820" s="6"/>
      <c r="U1820" s="24" t="str">
        <f>HYPERLINK("https://media.infra-m.ru/2170/2170369/cover/2170369.jpg", "Обложка")</f>
        <v>Обложка</v>
      </c>
      <c r="V1820" s="24" t="str">
        <f>HYPERLINK("https://znanium.ru/catalog/product/2073493", "Ознакомиться")</f>
        <v>Ознакомиться</v>
      </c>
      <c r="W1820" s="8" t="s">
        <v>83</v>
      </c>
      <c r="X1820" s="6"/>
      <c r="Y1820" s="6"/>
      <c r="Z1820" s="6"/>
      <c r="AA1820" s="6" t="s">
        <v>151</v>
      </c>
      <c r="AB1820" s="8"/>
    </row>
    <row r="1821" spans="1:28" s="4" customFormat="1" ht="51.95" customHeight="1">
      <c r="A1821" s="5">
        <v>0</v>
      </c>
      <c r="B1821" s="6" t="s">
        <v>11247</v>
      </c>
      <c r="C1821" s="13">
        <v>2454</v>
      </c>
      <c r="D1821" s="8" t="s">
        <v>11248</v>
      </c>
      <c r="E1821" s="8" t="s">
        <v>11249</v>
      </c>
      <c r="F1821" s="8" t="s">
        <v>11250</v>
      </c>
      <c r="G1821" s="6" t="s">
        <v>52</v>
      </c>
      <c r="H1821" s="6" t="s">
        <v>53</v>
      </c>
      <c r="I1821" s="8" t="s">
        <v>90</v>
      </c>
      <c r="J1821" s="9">
        <v>1</v>
      </c>
      <c r="K1821" s="9">
        <v>472</v>
      </c>
      <c r="L1821" s="9">
        <v>2025</v>
      </c>
      <c r="M1821" s="8" t="s">
        <v>11251</v>
      </c>
      <c r="N1821" s="8" t="s">
        <v>41</v>
      </c>
      <c r="O1821" s="8" t="s">
        <v>1007</v>
      </c>
      <c r="P1821" s="6" t="s">
        <v>167</v>
      </c>
      <c r="Q1821" s="8" t="s">
        <v>44</v>
      </c>
      <c r="R1821" s="10" t="s">
        <v>11252</v>
      </c>
      <c r="S1821" s="11" t="s">
        <v>11253</v>
      </c>
      <c r="T1821" s="6"/>
      <c r="U1821" s="24" t="str">
        <f>HYPERLINK("https://media.infra-m.ru/2194/2194320/cover/2194320.jpg", "Обложка")</f>
        <v>Обложка</v>
      </c>
      <c r="V1821" s="24" t="str">
        <f>HYPERLINK("https://znanium.ru/catalog/product/1846445", "Ознакомиться")</f>
        <v>Ознакомиться</v>
      </c>
      <c r="W1821" s="8" t="s">
        <v>83</v>
      </c>
      <c r="X1821" s="6"/>
      <c r="Y1821" s="6"/>
      <c r="Z1821" s="6"/>
      <c r="AA1821" s="6" t="s">
        <v>84</v>
      </c>
      <c r="AB1821" s="8"/>
    </row>
    <row r="1822" spans="1:28" s="4" customFormat="1" ht="51.95" customHeight="1">
      <c r="A1822" s="5">
        <v>0</v>
      </c>
      <c r="B1822" s="6" t="s">
        <v>11254</v>
      </c>
      <c r="C1822" s="13">
        <v>1834</v>
      </c>
      <c r="D1822" s="8" t="s">
        <v>11255</v>
      </c>
      <c r="E1822" s="8" t="s">
        <v>11249</v>
      </c>
      <c r="F1822" s="8" t="s">
        <v>11256</v>
      </c>
      <c r="G1822" s="6" t="s">
        <v>89</v>
      </c>
      <c r="H1822" s="6" t="s">
        <v>53</v>
      </c>
      <c r="I1822" s="8" t="s">
        <v>1223</v>
      </c>
      <c r="J1822" s="9">
        <v>1</v>
      </c>
      <c r="K1822" s="9">
        <v>399</v>
      </c>
      <c r="L1822" s="9">
        <v>2024</v>
      </c>
      <c r="M1822" s="8" t="s">
        <v>11257</v>
      </c>
      <c r="N1822" s="8" t="s">
        <v>41</v>
      </c>
      <c r="O1822" s="8" t="s">
        <v>118</v>
      </c>
      <c r="P1822" s="6" t="s">
        <v>167</v>
      </c>
      <c r="Q1822" s="8" t="s">
        <v>44</v>
      </c>
      <c r="R1822" s="10" t="s">
        <v>1251</v>
      </c>
      <c r="S1822" s="11" t="s">
        <v>11258</v>
      </c>
      <c r="T1822" s="6"/>
      <c r="U1822" s="24" t="str">
        <f>HYPERLINK("https://media.infra-m.ru/2082/2082047/cover/2082047.jpg", "Обложка")</f>
        <v>Обложка</v>
      </c>
      <c r="V1822" s="24" t="str">
        <f>HYPERLINK("https://znanium.ru/catalog/product/2082009", "Ознакомиться")</f>
        <v>Ознакомиться</v>
      </c>
      <c r="W1822" s="8" t="s">
        <v>83</v>
      </c>
      <c r="X1822" s="6"/>
      <c r="Y1822" s="6"/>
      <c r="Z1822" s="6"/>
      <c r="AA1822" s="6" t="s">
        <v>793</v>
      </c>
      <c r="AB1822" s="8"/>
    </row>
    <row r="1823" spans="1:28" s="4" customFormat="1" ht="51.95" customHeight="1">
      <c r="A1823" s="5">
        <v>0</v>
      </c>
      <c r="B1823" s="6" t="s">
        <v>11259</v>
      </c>
      <c r="C1823" s="13">
        <v>1254.9000000000001</v>
      </c>
      <c r="D1823" s="8" t="s">
        <v>11260</v>
      </c>
      <c r="E1823" s="8" t="s">
        <v>11249</v>
      </c>
      <c r="F1823" s="8" t="s">
        <v>11261</v>
      </c>
      <c r="G1823" s="6" t="s">
        <v>52</v>
      </c>
      <c r="H1823" s="6" t="s">
        <v>184</v>
      </c>
      <c r="I1823" s="8" t="s">
        <v>90</v>
      </c>
      <c r="J1823" s="9">
        <v>1</v>
      </c>
      <c r="K1823" s="9">
        <v>369</v>
      </c>
      <c r="L1823" s="9">
        <v>2020</v>
      </c>
      <c r="M1823" s="8" t="s">
        <v>11262</v>
      </c>
      <c r="N1823" s="8" t="s">
        <v>41</v>
      </c>
      <c r="O1823" s="8" t="s">
        <v>1007</v>
      </c>
      <c r="P1823" s="6" t="s">
        <v>43</v>
      </c>
      <c r="Q1823" s="8" t="s">
        <v>44</v>
      </c>
      <c r="R1823" s="10" t="s">
        <v>11263</v>
      </c>
      <c r="S1823" s="11" t="s">
        <v>11264</v>
      </c>
      <c r="T1823" s="6"/>
      <c r="U1823" s="24" t="str">
        <f>HYPERLINK("https://media.infra-m.ru/1085/1085282/cover/1085282.jpg", "Обложка")</f>
        <v>Обложка</v>
      </c>
      <c r="V1823" s="24" t="str">
        <f>HYPERLINK("https://znanium.ru/catalog/product/959906", "Ознакомиться")</f>
        <v>Ознакомиться</v>
      </c>
      <c r="W1823" s="8"/>
      <c r="X1823" s="6"/>
      <c r="Y1823" s="6"/>
      <c r="Z1823" s="6"/>
      <c r="AA1823" s="6" t="s">
        <v>418</v>
      </c>
      <c r="AB1823" s="8"/>
    </row>
    <row r="1824" spans="1:28" s="4" customFormat="1" ht="51.95" customHeight="1">
      <c r="A1824" s="5">
        <v>0</v>
      </c>
      <c r="B1824" s="6" t="s">
        <v>11265</v>
      </c>
      <c r="C1824" s="13">
        <v>1940</v>
      </c>
      <c r="D1824" s="8" t="s">
        <v>11266</v>
      </c>
      <c r="E1824" s="8" t="s">
        <v>11267</v>
      </c>
      <c r="F1824" s="8" t="s">
        <v>11268</v>
      </c>
      <c r="G1824" s="6" t="s">
        <v>52</v>
      </c>
      <c r="H1824" s="6" t="s">
        <v>53</v>
      </c>
      <c r="I1824" s="8" t="s">
        <v>276</v>
      </c>
      <c r="J1824" s="9">
        <v>1</v>
      </c>
      <c r="K1824" s="9">
        <v>422</v>
      </c>
      <c r="L1824" s="9">
        <v>2023</v>
      </c>
      <c r="M1824" s="8" t="s">
        <v>11269</v>
      </c>
      <c r="N1824" s="8" t="s">
        <v>41</v>
      </c>
      <c r="O1824" s="8" t="s">
        <v>118</v>
      </c>
      <c r="P1824" s="6" t="s">
        <v>43</v>
      </c>
      <c r="Q1824" s="8" t="s">
        <v>279</v>
      </c>
      <c r="R1824" s="10" t="s">
        <v>2098</v>
      </c>
      <c r="S1824" s="11" t="s">
        <v>11270</v>
      </c>
      <c r="T1824" s="6"/>
      <c r="U1824" s="24" t="str">
        <f>HYPERLINK("https://media.infra-m.ru/0958/0958799/cover/958799.jpg", "Обложка")</f>
        <v>Обложка</v>
      </c>
      <c r="V1824" s="24" t="str">
        <f>HYPERLINK("https://znanium.ru/catalog/product/958799", "Ознакомиться")</f>
        <v>Ознакомиться</v>
      </c>
      <c r="W1824" s="8" t="s">
        <v>11271</v>
      </c>
      <c r="X1824" s="6"/>
      <c r="Y1824" s="6"/>
      <c r="Z1824" s="6"/>
      <c r="AA1824" s="6" t="s">
        <v>813</v>
      </c>
      <c r="AB1824" s="8"/>
    </row>
    <row r="1825" spans="1:28" s="4" customFormat="1" ht="51.95" customHeight="1">
      <c r="A1825" s="5">
        <v>0</v>
      </c>
      <c r="B1825" s="6" t="s">
        <v>11272</v>
      </c>
      <c r="C1825" s="13">
        <v>1284.9000000000001</v>
      </c>
      <c r="D1825" s="8" t="s">
        <v>11273</v>
      </c>
      <c r="E1825" s="8" t="s">
        <v>11249</v>
      </c>
      <c r="F1825" s="8" t="s">
        <v>7468</v>
      </c>
      <c r="G1825" s="6" t="s">
        <v>89</v>
      </c>
      <c r="H1825" s="6" t="s">
        <v>53</v>
      </c>
      <c r="I1825" s="8" t="s">
        <v>90</v>
      </c>
      <c r="J1825" s="9">
        <v>1</v>
      </c>
      <c r="K1825" s="9">
        <v>286</v>
      </c>
      <c r="L1825" s="9">
        <v>2023</v>
      </c>
      <c r="M1825" s="8" t="s">
        <v>11274</v>
      </c>
      <c r="N1825" s="8" t="s">
        <v>41</v>
      </c>
      <c r="O1825" s="8" t="s">
        <v>118</v>
      </c>
      <c r="P1825" s="6" t="s">
        <v>43</v>
      </c>
      <c r="Q1825" s="8" t="s">
        <v>44</v>
      </c>
      <c r="R1825" s="10" t="s">
        <v>11275</v>
      </c>
      <c r="S1825" s="11" t="s">
        <v>11276</v>
      </c>
      <c r="T1825" s="6"/>
      <c r="U1825" s="24" t="str">
        <f>HYPERLINK("https://media.infra-m.ru/1981/1981586/cover/1981586.jpg", "Обложка")</f>
        <v>Обложка</v>
      </c>
      <c r="V1825" s="24" t="str">
        <f>HYPERLINK("https://znanium.ru/catalog/product/2118067", "Ознакомиться")</f>
        <v>Ознакомиться</v>
      </c>
      <c r="W1825" s="8" t="s">
        <v>913</v>
      </c>
      <c r="X1825" s="6"/>
      <c r="Y1825" s="6"/>
      <c r="Z1825" s="6"/>
      <c r="AA1825" s="6" t="s">
        <v>442</v>
      </c>
      <c r="AB1825" s="8"/>
    </row>
    <row r="1826" spans="1:28" s="4" customFormat="1" ht="44.1" customHeight="1">
      <c r="A1826" s="5">
        <v>0</v>
      </c>
      <c r="B1826" s="6" t="s">
        <v>11277</v>
      </c>
      <c r="C1826" s="13">
        <v>1470</v>
      </c>
      <c r="D1826" s="8" t="s">
        <v>11278</v>
      </c>
      <c r="E1826" s="8" t="s">
        <v>11267</v>
      </c>
      <c r="F1826" s="8" t="s">
        <v>7468</v>
      </c>
      <c r="G1826" s="6" t="s">
        <v>52</v>
      </c>
      <c r="H1826" s="6" t="s">
        <v>53</v>
      </c>
      <c r="I1826" s="8" t="s">
        <v>116</v>
      </c>
      <c r="J1826" s="9">
        <v>1</v>
      </c>
      <c r="K1826" s="9">
        <v>294</v>
      </c>
      <c r="L1826" s="9">
        <v>2025</v>
      </c>
      <c r="M1826" s="8" t="s">
        <v>11279</v>
      </c>
      <c r="N1826" s="8" t="s">
        <v>41</v>
      </c>
      <c r="O1826" s="8" t="s">
        <v>118</v>
      </c>
      <c r="P1826" s="6" t="s">
        <v>43</v>
      </c>
      <c r="Q1826" s="8" t="s">
        <v>58</v>
      </c>
      <c r="R1826" s="10" t="s">
        <v>11275</v>
      </c>
      <c r="S1826" s="11"/>
      <c r="T1826" s="6"/>
      <c r="U1826" s="24" t="str">
        <f>HYPERLINK("https://media.infra-m.ru/2118/2118067/cover/2118067.jpg", "Обложка")</f>
        <v>Обложка</v>
      </c>
      <c r="V1826" s="24" t="str">
        <f>HYPERLINK("https://znanium.ru/catalog/product/2118067", "Ознакомиться")</f>
        <v>Ознакомиться</v>
      </c>
      <c r="W1826" s="8" t="s">
        <v>913</v>
      </c>
      <c r="X1826" s="6" t="s">
        <v>548</v>
      </c>
      <c r="Y1826" s="6"/>
      <c r="Z1826" s="6"/>
      <c r="AA1826" s="6" t="s">
        <v>549</v>
      </c>
      <c r="AB1826" s="8"/>
    </row>
    <row r="1827" spans="1:28" s="4" customFormat="1" ht="51.95" customHeight="1">
      <c r="A1827" s="5">
        <v>0</v>
      </c>
      <c r="B1827" s="6" t="s">
        <v>11280</v>
      </c>
      <c r="C1827" s="13">
        <v>1990</v>
      </c>
      <c r="D1827" s="8" t="s">
        <v>11281</v>
      </c>
      <c r="E1827" s="8" t="s">
        <v>11282</v>
      </c>
      <c r="F1827" s="8" t="s">
        <v>11283</v>
      </c>
      <c r="G1827" s="6" t="s">
        <v>52</v>
      </c>
      <c r="H1827" s="6" t="s">
        <v>53</v>
      </c>
      <c r="I1827" s="8" t="s">
        <v>116</v>
      </c>
      <c r="J1827" s="9">
        <v>1</v>
      </c>
      <c r="K1827" s="9">
        <v>472</v>
      </c>
      <c r="L1827" s="9">
        <v>2024</v>
      </c>
      <c r="M1827" s="8" t="s">
        <v>11284</v>
      </c>
      <c r="N1827" s="8" t="s">
        <v>41</v>
      </c>
      <c r="O1827" s="8" t="s">
        <v>118</v>
      </c>
      <c r="P1827" s="6" t="s">
        <v>167</v>
      </c>
      <c r="Q1827" s="8" t="s">
        <v>44</v>
      </c>
      <c r="R1827" s="10" t="s">
        <v>11285</v>
      </c>
      <c r="S1827" s="11" t="s">
        <v>11286</v>
      </c>
      <c r="T1827" s="6"/>
      <c r="U1827" s="24" t="str">
        <f>HYPERLINK("https://media.infra-m.ru/2073/2073486/cover/2073486.jpg", "Обложка")</f>
        <v>Обложка</v>
      </c>
      <c r="V1827" s="24" t="str">
        <f>HYPERLINK("https://znanium.ru/catalog/product/2073486", "Ознакомиться")</f>
        <v>Ознакомиться</v>
      </c>
      <c r="W1827" s="8" t="s">
        <v>83</v>
      </c>
      <c r="X1827" s="6"/>
      <c r="Y1827" s="6"/>
      <c r="Z1827" s="6"/>
      <c r="AA1827" s="6" t="s">
        <v>418</v>
      </c>
      <c r="AB1827" s="8"/>
    </row>
    <row r="1828" spans="1:28" s="4" customFormat="1" ht="42" customHeight="1">
      <c r="A1828" s="5">
        <v>0</v>
      </c>
      <c r="B1828" s="6" t="s">
        <v>11287</v>
      </c>
      <c r="C1828" s="13">
        <v>1760</v>
      </c>
      <c r="D1828" s="8" t="s">
        <v>11288</v>
      </c>
      <c r="E1828" s="8" t="s">
        <v>11289</v>
      </c>
      <c r="F1828" s="8" t="s">
        <v>11290</v>
      </c>
      <c r="G1828" s="6" t="s">
        <v>52</v>
      </c>
      <c r="H1828" s="6" t="s">
        <v>53</v>
      </c>
      <c r="I1828" s="8" t="s">
        <v>116</v>
      </c>
      <c r="J1828" s="9">
        <v>1</v>
      </c>
      <c r="K1828" s="9">
        <v>339</v>
      </c>
      <c r="L1828" s="9">
        <v>2025</v>
      </c>
      <c r="M1828" s="8" t="s">
        <v>11291</v>
      </c>
      <c r="N1828" s="8" t="s">
        <v>41</v>
      </c>
      <c r="O1828" s="8" t="s">
        <v>1007</v>
      </c>
      <c r="P1828" s="6" t="s">
        <v>167</v>
      </c>
      <c r="Q1828" s="8" t="s">
        <v>279</v>
      </c>
      <c r="R1828" s="10" t="s">
        <v>2701</v>
      </c>
      <c r="S1828" s="11"/>
      <c r="T1828" s="6"/>
      <c r="U1828" s="24" t="str">
        <f>HYPERLINK("https://media.infra-m.ru/2158/2158059/cover/2158059.jpg", "Обложка")</f>
        <v>Обложка</v>
      </c>
      <c r="V1828" s="24" t="str">
        <f>HYPERLINK("https://znanium.ru/catalog/product/2158059", "Ознакомиться")</f>
        <v>Ознакомиться</v>
      </c>
      <c r="W1828" s="8"/>
      <c r="X1828" s="6" t="s">
        <v>2790</v>
      </c>
      <c r="Y1828" s="6"/>
      <c r="Z1828" s="6"/>
      <c r="AA1828" s="6" t="s">
        <v>61</v>
      </c>
      <c r="AB1828" s="8"/>
    </row>
    <row r="1829" spans="1:28" s="4" customFormat="1" ht="51.95" customHeight="1">
      <c r="A1829" s="5">
        <v>0</v>
      </c>
      <c r="B1829" s="6" t="s">
        <v>11292</v>
      </c>
      <c r="C1829" s="7">
        <v>664</v>
      </c>
      <c r="D1829" s="8" t="s">
        <v>11293</v>
      </c>
      <c r="E1829" s="8" t="s">
        <v>11294</v>
      </c>
      <c r="F1829" s="8" t="s">
        <v>11295</v>
      </c>
      <c r="G1829" s="6" t="s">
        <v>38</v>
      </c>
      <c r="H1829" s="6" t="s">
        <v>53</v>
      </c>
      <c r="I1829" s="8" t="s">
        <v>100</v>
      </c>
      <c r="J1829" s="9">
        <v>1</v>
      </c>
      <c r="K1829" s="9">
        <v>128</v>
      </c>
      <c r="L1829" s="9">
        <v>2025</v>
      </c>
      <c r="M1829" s="8" t="s">
        <v>11296</v>
      </c>
      <c r="N1829" s="8" t="s">
        <v>997</v>
      </c>
      <c r="O1829" s="8" t="s">
        <v>998</v>
      </c>
      <c r="P1829" s="6" t="s">
        <v>6714</v>
      </c>
      <c r="Q1829" s="8" t="s">
        <v>102</v>
      </c>
      <c r="R1829" s="10" t="s">
        <v>4749</v>
      </c>
      <c r="S1829" s="11" t="s">
        <v>743</v>
      </c>
      <c r="T1829" s="6"/>
      <c r="U1829" s="24" t="str">
        <f>HYPERLINK("https://media.infra-m.ru/2170/2170390/cover/2170390.jpg", "Обложка")</f>
        <v>Обложка</v>
      </c>
      <c r="V1829" s="24" t="str">
        <f>HYPERLINK("https://znanium.ru/catalog/product/2080235", "Ознакомиться")</f>
        <v>Ознакомиться</v>
      </c>
      <c r="W1829" s="8" t="s">
        <v>7276</v>
      </c>
      <c r="X1829" s="6"/>
      <c r="Y1829" s="6"/>
      <c r="Z1829" s="6" t="s">
        <v>369</v>
      </c>
      <c r="AA1829" s="6" t="s">
        <v>1402</v>
      </c>
      <c r="AB1829" s="8"/>
    </row>
    <row r="1830" spans="1:28" s="4" customFormat="1" ht="51.95" customHeight="1">
      <c r="A1830" s="5">
        <v>0</v>
      </c>
      <c r="B1830" s="6" t="s">
        <v>11297</v>
      </c>
      <c r="C1830" s="13">
        <v>1540</v>
      </c>
      <c r="D1830" s="8" t="s">
        <v>11298</v>
      </c>
      <c r="E1830" s="8" t="s">
        <v>11299</v>
      </c>
      <c r="F1830" s="8" t="s">
        <v>11300</v>
      </c>
      <c r="G1830" s="6" t="s">
        <v>89</v>
      </c>
      <c r="H1830" s="6" t="s">
        <v>53</v>
      </c>
      <c r="I1830" s="8" t="s">
        <v>100</v>
      </c>
      <c r="J1830" s="9">
        <v>1</v>
      </c>
      <c r="K1830" s="9">
        <v>308</v>
      </c>
      <c r="L1830" s="9">
        <v>2025</v>
      </c>
      <c r="M1830" s="8" t="s">
        <v>11301</v>
      </c>
      <c r="N1830" s="8" t="s">
        <v>997</v>
      </c>
      <c r="O1830" s="8" t="s">
        <v>998</v>
      </c>
      <c r="P1830" s="6" t="s">
        <v>43</v>
      </c>
      <c r="Q1830" s="8" t="s">
        <v>102</v>
      </c>
      <c r="R1830" s="10" t="s">
        <v>11302</v>
      </c>
      <c r="S1830" s="11" t="s">
        <v>11303</v>
      </c>
      <c r="T1830" s="6"/>
      <c r="U1830" s="24" t="str">
        <f>HYPERLINK("https://media.infra-m.ru/2168/2168119/cover/2168119.jpg", "Обложка")</f>
        <v>Обложка</v>
      </c>
      <c r="V1830" s="12"/>
      <c r="W1830" s="8" t="s">
        <v>11304</v>
      </c>
      <c r="X1830" s="6"/>
      <c r="Y1830" s="6"/>
      <c r="Z1830" s="6" t="s">
        <v>502</v>
      </c>
      <c r="AA1830" s="6" t="s">
        <v>235</v>
      </c>
      <c r="AB1830" s="8"/>
    </row>
    <row r="1831" spans="1:28" s="4" customFormat="1" ht="51.95" customHeight="1">
      <c r="A1831" s="5">
        <v>0</v>
      </c>
      <c r="B1831" s="6" t="s">
        <v>11305</v>
      </c>
      <c r="C1831" s="13">
        <v>1604</v>
      </c>
      <c r="D1831" s="8" t="s">
        <v>11306</v>
      </c>
      <c r="E1831" s="8" t="s">
        <v>11299</v>
      </c>
      <c r="F1831" s="8" t="s">
        <v>11300</v>
      </c>
      <c r="G1831" s="6" t="s">
        <v>89</v>
      </c>
      <c r="H1831" s="6" t="s">
        <v>53</v>
      </c>
      <c r="I1831" s="8" t="s">
        <v>116</v>
      </c>
      <c r="J1831" s="9">
        <v>1</v>
      </c>
      <c r="K1831" s="9">
        <v>308</v>
      </c>
      <c r="L1831" s="9">
        <v>2025</v>
      </c>
      <c r="M1831" s="8" t="s">
        <v>11307</v>
      </c>
      <c r="N1831" s="8" t="s">
        <v>997</v>
      </c>
      <c r="O1831" s="8" t="s">
        <v>998</v>
      </c>
      <c r="P1831" s="6" t="s">
        <v>43</v>
      </c>
      <c r="Q1831" s="8" t="s">
        <v>58</v>
      </c>
      <c r="R1831" s="10" t="s">
        <v>6390</v>
      </c>
      <c r="S1831" s="11" t="s">
        <v>11308</v>
      </c>
      <c r="T1831" s="6"/>
      <c r="U1831" s="24" t="str">
        <f>HYPERLINK("https://media.infra-m.ru/2199/2199265/cover/2199265.jpg", "Обложка")</f>
        <v>Обложка</v>
      </c>
      <c r="V1831" s="24" t="str">
        <f>HYPERLINK("https://znanium.ru/catalog/product/2080477", "Ознакомиться")</f>
        <v>Ознакомиться</v>
      </c>
      <c r="W1831" s="8" t="s">
        <v>11304</v>
      </c>
      <c r="X1831" s="6"/>
      <c r="Y1831" s="6"/>
      <c r="Z1831" s="6" t="s">
        <v>11309</v>
      </c>
      <c r="AA1831" s="6" t="s">
        <v>219</v>
      </c>
      <c r="AB1831" s="8"/>
    </row>
    <row r="1832" spans="1:28" s="4" customFormat="1" ht="51.95" customHeight="1">
      <c r="A1832" s="5">
        <v>0</v>
      </c>
      <c r="B1832" s="6" t="s">
        <v>11310</v>
      </c>
      <c r="C1832" s="13">
        <v>1570</v>
      </c>
      <c r="D1832" s="8" t="s">
        <v>11311</v>
      </c>
      <c r="E1832" s="8" t="s">
        <v>11299</v>
      </c>
      <c r="F1832" s="8" t="s">
        <v>11300</v>
      </c>
      <c r="G1832" s="6" t="s">
        <v>89</v>
      </c>
      <c r="H1832" s="6" t="s">
        <v>53</v>
      </c>
      <c r="I1832" s="8" t="s">
        <v>4767</v>
      </c>
      <c r="J1832" s="9">
        <v>1</v>
      </c>
      <c r="K1832" s="9">
        <v>308</v>
      </c>
      <c r="L1832" s="9">
        <v>2025</v>
      </c>
      <c r="M1832" s="8" t="s">
        <v>11312</v>
      </c>
      <c r="N1832" s="8" t="s">
        <v>997</v>
      </c>
      <c r="O1832" s="8" t="s">
        <v>998</v>
      </c>
      <c r="P1832" s="6" t="s">
        <v>43</v>
      </c>
      <c r="Q1832" s="8" t="s">
        <v>58</v>
      </c>
      <c r="R1832" s="10" t="s">
        <v>11313</v>
      </c>
      <c r="S1832" s="11"/>
      <c r="T1832" s="6"/>
      <c r="U1832" s="24" t="str">
        <f>HYPERLINK("https://media.infra-m.ru/2184/2184932/cover/2184932.jpg", "Обложка")</f>
        <v>Обложка</v>
      </c>
      <c r="V1832" s="24" t="str">
        <f>HYPERLINK("https://znanium.ru/catalog/product/2184932", "Ознакомиться")</f>
        <v>Ознакомиться</v>
      </c>
      <c r="W1832" s="8" t="s">
        <v>11304</v>
      </c>
      <c r="X1832" s="6"/>
      <c r="Y1832" s="6"/>
      <c r="Z1832" s="6"/>
      <c r="AA1832" s="6" t="s">
        <v>219</v>
      </c>
      <c r="AB1832" s="8"/>
    </row>
    <row r="1833" spans="1:28" s="4" customFormat="1" ht="42" customHeight="1">
      <c r="A1833" s="5">
        <v>0</v>
      </c>
      <c r="B1833" s="6" t="s">
        <v>11314</v>
      </c>
      <c r="C1833" s="13">
        <v>1394</v>
      </c>
      <c r="D1833" s="8" t="s">
        <v>11315</v>
      </c>
      <c r="E1833" s="8" t="s">
        <v>11316</v>
      </c>
      <c r="F1833" s="8" t="s">
        <v>11317</v>
      </c>
      <c r="G1833" s="6" t="s">
        <v>52</v>
      </c>
      <c r="H1833" s="6" t="s">
        <v>39</v>
      </c>
      <c r="I1833" s="8"/>
      <c r="J1833" s="9">
        <v>1</v>
      </c>
      <c r="K1833" s="9">
        <v>272</v>
      </c>
      <c r="L1833" s="9">
        <v>2025</v>
      </c>
      <c r="M1833" s="8" t="s">
        <v>11318</v>
      </c>
      <c r="N1833" s="8" t="s">
        <v>997</v>
      </c>
      <c r="O1833" s="8" t="s">
        <v>998</v>
      </c>
      <c r="P1833" s="6" t="s">
        <v>175</v>
      </c>
      <c r="Q1833" s="8" t="s">
        <v>44</v>
      </c>
      <c r="R1833" s="10" t="s">
        <v>11319</v>
      </c>
      <c r="S1833" s="11"/>
      <c r="T1833" s="6"/>
      <c r="U1833" s="24" t="str">
        <f>HYPERLINK("https://media.infra-m.ru/2162/2162527/cover/2162527.jpg", "Обложка")</f>
        <v>Обложка</v>
      </c>
      <c r="V1833" s="12"/>
      <c r="W1833" s="8" t="s">
        <v>9167</v>
      </c>
      <c r="X1833" s="6"/>
      <c r="Y1833" s="6"/>
      <c r="Z1833" s="6"/>
      <c r="AA1833" s="6" t="s">
        <v>122</v>
      </c>
      <c r="AB1833" s="8"/>
    </row>
    <row r="1834" spans="1:28" s="4" customFormat="1" ht="51.95" customHeight="1">
      <c r="A1834" s="5">
        <v>0</v>
      </c>
      <c r="B1834" s="6" t="s">
        <v>11320</v>
      </c>
      <c r="C1834" s="7">
        <v>560</v>
      </c>
      <c r="D1834" s="8" t="s">
        <v>11321</v>
      </c>
      <c r="E1834" s="8" t="s">
        <v>11322</v>
      </c>
      <c r="F1834" s="8" t="s">
        <v>11323</v>
      </c>
      <c r="G1834" s="6" t="s">
        <v>38</v>
      </c>
      <c r="H1834" s="6" t="s">
        <v>53</v>
      </c>
      <c r="I1834" s="8" t="s">
        <v>11324</v>
      </c>
      <c r="J1834" s="9">
        <v>1</v>
      </c>
      <c r="K1834" s="9">
        <v>118</v>
      </c>
      <c r="L1834" s="9">
        <v>2023</v>
      </c>
      <c r="M1834" s="8" t="s">
        <v>11325</v>
      </c>
      <c r="N1834" s="8" t="s">
        <v>79</v>
      </c>
      <c r="O1834" s="8" t="s">
        <v>148</v>
      </c>
      <c r="P1834" s="6" t="s">
        <v>43</v>
      </c>
      <c r="Q1834" s="8" t="s">
        <v>44</v>
      </c>
      <c r="R1834" s="10" t="s">
        <v>11326</v>
      </c>
      <c r="S1834" s="11" t="s">
        <v>11327</v>
      </c>
      <c r="T1834" s="6"/>
      <c r="U1834" s="24" t="str">
        <f>HYPERLINK("https://media.infra-m.ru/2033/2033551/cover/2033551.jpg", "Обложка")</f>
        <v>Обложка</v>
      </c>
      <c r="V1834" s="24" t="str">
        <f>HYPERLINK("https://znanium.ru/catalog/product/2033551", "Ознакомиться")</f>
        <v>Ознакомиться</v>
      </c>
      <c r="W1834" s="8" t="s">
        <v>1514</v>
      </c>
      <c r="X1834" s="6"/>
      <c r="Y1834" s="6"/>
      <c r="Z1834" s="6"/>
      <c r="AA1834" s="6" t="s">
        <v>418</v>
      </c>
      <c r="AB1834" s="8"/>
    </row>
    <row r="1835" spans="1:28" s="4" customFormat="1" ht="42" customHeight="1">
      <c r="A1835" s="5">
        <v>0</v>
      </c>
      <c r="B1835" s="6" t="s">
        <v>11328</v>
      </c>
      <c r="C1835" s="7">
        <v>514</v>
      </c>
      <c r="D1835" s="8" t="s">
        <v>11329</v>
      </c>
      <c r="E1835" s="8" t="s">
        <v>11330</v>
      </c>
      <c r="F1835" s="8" t="s">
        <v>11331</v>
      </c>
      <c r="G1835" s="6" t="s">
        <v>38</v>
      </c>
      <c r="H1835" s="6" t="s">
        <v>53</v>
      </c>
      <c r="I1835" s="8" t="s">
        <v>116</v>
      </c>
      <c r="J1835" s="9">
        <v>1</v>
      </c>
      <c r="K1835" s="9">
        <v>112</v>
      </c>
      <c r="L1835" s="9">
        <v>2024</v>
      </c>
      <c r="M1835" s="8" t="s">
        <v>11332</v>
      </c>
      <c r="N1835" s="8" t="s">
        <v>41</v>
      </c>
      <c r="O1835" s="8" t="s">
        <v>676</v>
      </c>
      <c r="P1835" s="6" t="s">
        <v>175</v>
      </c>
      <c r="Q1835" s="8" t="s">
        <v>44</v>
      </c>
      <c r="R1835" s="10" t="s">
        <v>11333</v>
      </c>
      <c r="S1835" s="11"/>
      <c r="T1835" s="6"/>
      <c r="U1835" s="24" t="str">
        <f>HYPERLINK("https://media.infra-m.ru/2096/2096769/cover/2096769.jpg", "Обложка")</f>
        <v>Обложка</v>
      </c>
      <c r="V1835" s="24" t="str">
        <f>HYPERLINK("https://znanium.ru/catalog/product/959966", "Ознакомиться")</f>
        <v>Ознакомиться</v>
      </c>
      <c r="W1835" s="8" t="s">
        <v>3605</v>
      </c>
      <c r="X1835" s="6"/>
      <c r="Y1835" s="6"/>
      <c r="Z1835" s="6"/>
      <c r="AA1835" s="6" t="s">
        <v>47</v>
      </c>
      <c r="AB1835" s="8"/>
    </row>
    <row r="1836" spans="1:28" s="4" customFormat="1" ht="51.95" customHeight="1">
      <c r="A1836" s="5">
        <v>0</v>
      </c>
      <c r="B1836" s="6" t="s">
        <v>11334</v>
      </c>
      <c r="C1836" s="7">
        <v>880</v>
      </c>
      <c r="D1836" s="8" t="s">
        <v>11335</v>
      </c>
      <c r="E1836" s="8" t="s">
        <v>11336</v>
      </c>
      <c r="F1836" s="8" t="s">
        <v>11337</v>
      </c>
      <c r="G1836" s="6" t="s">
        <v>38</v>
      </c>
      <c r="H1836" s="6" t="s">
        <v>53</v>
      </c>
      <c r="I1836" s="8" t="s">
        <v>276</v>
      </c>
      <c r="J1836" s="9">
        <v>1</v>
      </c>
      <c r="K1836" s="9">
        <v>196</v>
      </c>
      <c r="L1836" s="9">
        <v>2023</v>
      </c>
      <c r="M1836" s="8" t="s">
        <v>11338</v>
      </c>
      <c r="N1836" s="8" t="s">
        <v>41</v>
      </c>
      <c r="O1836" s="8" t="s">
        <v>1007</v>
      </c>
      <c r="P1836" s="6" t="s">
        <v>43</v>
      </c>
      <c r="Q1836" s="8" t="s">
        <v>279</v>
      </c>
      <c r="R1836" s="10" t="s">
        <v>11339</v>
      </c>
      <c r="S1836" s="11" t="s">
        <v>11340</v>
      </c>
      <c r="T1836" s="6"/>
      <c r="U1836" s="24" t="str">
        <f>HYPERLINK("https://media.infra-m.ru/1920/1920336/cover/1920336.jpg", "Обложка")</f>
        <v>Обложка</v>
      </c>
      <c r="V1836" s="24" t="str">
        <f>HYPERLINK("https://znanium.ru/catalog/product/1920336", "Ознакомиться")</f>
        <v>Ознакомиться</v>
      </c>
      <c r="W1836" s="8" t="s">
        <v>347</v>
      </c>
      <c r="X1836" s="6"/>
      <c r="Y1836" s="6"/>
      <c r="Z1836" s="6"/>
      <c r="AA1836" s="6" t="s">
        <v>111</v>
      </c>
      <c r="AB1836" s="8"/>
    </row>
    <row r="1837" spans="1:28" s="4" customFormat="1" ht="51.95" customHeight="1">
      <c r="A1837" s="5">
        <v>0</v>
      </c>
      <c r="B1837" s="6" t="s">
        <v>11341</v>
      </c>
      <c r="C1837" s="13">
        <v>1114</v>
      </c>
      <c r="D1837" s="8" t="s">
        <v>11342</v>
      </c>
      <c r="E1837" s="8" t="s">
        <v>11343</v>
      </c>
      <c r="F1837" s="8" t="s">
        <v>11344</v>
      </c>
      <c r="G1837" s="6" t="s">
        <v>38</v>
      </c>
      <c r="H1837" s="6" t="s">
        <v>674</v>
      </c>
      <c r="I1837" s="8" t="s">
        <v>11345</v>
      </c>
      <c r="J1837" s="9">
        <v>1</v>
      </c>
      <c r="K1837" s="9">
        <v>288</v>
      </c>
      <c r="L1837" s="9">
        <v>2024</v>
      </c>
      <c r="M1837" s="8" t="s">
        <v>11346</v>
      </c>
      <c r="N1837" s="8" t="s">
        <v>41</v>
      </c>
      <c r="O1837" s="8" t="s">
        <v>676</v>
      </c>
      <c r="P1837" s="6" t="s">
        <v>43</v>
      </c>
      <c r="Q1837" s="8" t="s">
        <v>58</v>
      </c>
      <c r="R1837" s="10" t="s">
        <v>11347</v>
      </c>
      <c r="S1837" s="11"/>
      <c r="T1837" s="6"/>
      <c r="U1837" s="24" t="str">
        <f>HYPERLINK("https://media.infra-m.ru/1990/1990116/cover/1990116.jpg", "Обложка")</f>
        <v>Обложка</v>
      </c>
      <c r="V1837" s="24" t="str">
        <f>HYPERLINK("https://znanium.ru/catalog/product/1088070", "Ознакомиться")</f>
        <v>Ознакомиться</v>
      </c>
      <c r="W1837" s="8" t="s">
        <v>7139</v>
      </c>
      <c r="X1837" s="6"/>
      <c r="Y1837" s="6"/>
      <c r="Z1837" s="6"/>
      <c r="AA1837" s="6" t="s">
        <v>7663</v>
      </c>
      <c r="AB1837" s="8"/>
    </row>
    <row r="1838" spans="1:28" s="4" customFormat="1" ht="51.95" customHeight="1">
      <c r="A1838" s="5">
        <v>0</v>
      </c>
      <c r="B1838" s="6" t="s">
        <v>11348</v>
      </c>
      <c r="C1838" s="13">
        <v>2334</v>
      </c>
      <c r="D1838" s="8" t="s">
        <v>11349</v>
      </c>
      <c r="E1838" s="8" t="s">
        <v>11350</v>
      </c>
      <c r="F1838" s="8" t="s">
        <v>11351</v>
      </c>
      <c r="G1838" s="6" t="s">
        <v>52</v>
      </c>
      <c r="H1838" s="6" t="s">
        <v>53</v>
      </c>
      <c r="I1838" s="8" t="s">
        <v>100</v>
      </c>
      <c r="J1838" s="9">
        <v>1</v>
      </c>
      <c r="K1838" s="9">
        <v>449</v>
      </c>
      <c r="L1838" s="9">
        <v>2025</v>
      </c>
      <c r="M1838" s="8" t="s">
        <v>11352</v>
      </c>
      <c r="N1838" s="8" t="s">
        <v>41</v>
      </c>
      <c r="O1838" s="8" t="s">
        <v>676</v>
      </c>
      <c r="P1838" s="6" t="s">
        <v>167</v>
      </c>
      <c r="Q1838" s="8" t="s">
        <v>102</v>
      </c>
      <c r="R1838" s="10" t="s">
        <v>11353</v>
      </c>
      <c r="S1838" s="11" t="s">
        <v>11354</v>
      </c>
      <c r="T1838" s="6" t="s">
        <v>299</v>
      </c>
      <c r="U1838" s="24" t="str">
        <f>HYPERLINK("https://media.infra-m.ru/2186/2186858/cover/2186858.jpg", "Обложка")</f>
        <v>Обложка</v>
      </c>
      <c r="V1838" s="24" t="str">
        <f>HYPERLINK("https://znanium.ru/catalog/product/2179471", "Ознакомиться")</f>
        <v>Ознакомиться</v>
      </c>
      <c r="W1838" s="8" t="s">
        <v>11355</v>
      </c>
      <c r="X1838" s="6"/>
      <c r="Y1838" s="6"/>
      <c r="Z1838" s="6" t="s">
        <v>104</v>
      </c>
      <c r="AA1838" s="6" t="s">
        <v>2086</v>
      </c>
      <c r="AB1838" s="8"/>
    </row>
    <row r="1839" spans="1:28" s="4" customFormat="1" ht="51.95" customHeight="1">
      <c r="A1839" s="5">
        <v>0</v>
      </c>
      <c r="B1839" s="6" t="s">
        <v>11356</v>
      </c>
      <c r="C1839" s="13">
        <v>2244</v>
      </c>
      <c r="D1839" s="8" t="s">
        <v>11357</v>
      </c>
      <c r="E1839" s="8" t="s">
        <v>11350</v>
      </c>
      <c r="F1839" s="8" t="s">
        <v>11358</v>
      </c>
      <c r="G1839" s="6" t="s">
        <v>52</v>
      </c>
      <c r="H1839" s="6" t="s">
        <v>53</v>
      </c>
      <c r="I1839" s="8" t="s">
        <v>90</v>
      </c>
      <c r="J1839" s="9">
        <v>1</v>
      </c>
      <c r="K1839" s="9">
        <v>448</v>
      </c>
      <c r="L1839" s="9">
        <v>2025</v>
      </c>
      <c r="M1839" s="8" t="s">
        <v>11359</v>
      </c>
      <c r="N1839" s="8" t="s">
        <v>41</v>
      </c>
      <c r="O1839" s="8" t="s">
        <v>676</v>
      </c>
      <c r="P1839" s="6" t="s">
        <v>167</v>
      </c>
      <c r="Q1839" s="8" t="s">
        <v>44</v>
      </c>
      <c r="R1839" s="10" t="s">
        <v>806</v>
      </c>
      <c r="S1839" s="11" t="s">
        <v>11360</v>
      </c>
      <c r="T1839" s="6" t="s">
        <v>299</v>
      </c>
      <c r="U1839" s="24" t="str">
        <f>HYPERLINK("https://media.infra-m.ru/2194/2194509/cover/2194509.jpg", "Обложка")</f>
        <v>Обложка</v>
      </c>
      <c r="V1839" s="24" t="str">
        <f>HYPERLINK("https://znanium.ru/catalog/product/1216932", "Ознакомиться")</f>
        <v>Ознакомиться</v>
      </c>
      <c r="W1839" s="8" t="s">
        <v>11355</v>
      </c>
      <c r="X1839" s="6"/>
      <c r="Y1839" s="6"/>
      <c r="Z1839" s="6"/>
      <c r="AA1839" s="6" t="s">
        <v>644</v>
      </c>
      <c r="AB1839" s="8"/>
    </row>
    <row r="1840" spans="1:28" s="4" customFormat="1" ht="51.95" customHeight="1">
      <c r="A1840" s="5">
        <v>0</v>
      </c>
      <c r="B1840" s="6" t="s">
        <v>11361</v>
      </c>
      <c r="C1840" s="13">
        <v>2320</v>
      </c>
      <c r="D1840" s="8" t="s">
        <v>11362</v>
      </c>
      <c r="E1840" s="8" t="s">
        <v>11363</v>
      </c>
      <c r="F1840" s="8" t="s">
        <v>11364</v>
      </c>
      <c r="G1840" s="6" t="s">
        <v>52</v>
      </c>
      <c r="H1840" s="6" t="s">
        <v>674</v>
      </c>
      <c r="I1840" s="8"/>
      <c r="J1840" s="9">
        <v>1</v>
      </c>
      <c r="K1840" s="9">
        <v>464</v>
      </c>
      <c r="L1840" s="9">
        <v>2024</v>
      </c>
      <c r="M1840" s="8" t="s">
        <v>11365</v>
      </c>
      <c r="N1840" s="8" t="s">
        <v>41</v>
      </c>
      <c r="O1840" s="8" t="s">
        <v>676</v>
      </c>
      <c r="P1840" s="6" t="s">
        <v>167</v>
      </c>
      <c r="Q1840" s="8" t="s">
        <v>44</v>
      </c>
      <c r="R1840" s="10" t="s">
        <v>806</v>
      </c>
      <c r="S1840" s="11" t="s">
        <v>11366</v>
      </c>
      <c r="T1840" s="6"/>
      <c r="U1840" s="24" t="str">
        <f>HYPERLINK("https://media.infra-m.ru/2157/2157677/cover/2157677.jpg", "Обложка")</f>
        <v>Обложка</v>
      </c>
      <c r="V1840" s="24" t="str">
        <f>HYPERLINK("https://znanium.ru/catalog/product/2185763", "Ознакомиться")</f>
        <v>Ознакомиться</v>
      </c>
      <c r="W1840" s="8" t="s">
        <v>792</v>
      </c>
      <c r="X1840" s="6"/>
      <c r="Y1840" s="6"/>
      <c r="Z1840" s="6"/>
      <c r="AA1840" s="6" t="s">
        <v>122</v>
      </c>
      <c r="AB1840" s="8"/>
    </row>
    <row r="1841" spans="1:28" s="4" customFormat="1" ht="51.95" customHeight="1">
      <c r="A1841" s="5">
        <v>0</v>
      </c>
      <c r="B1841" s="6" t="s">
        <v>11367</v>
      </c>
      <c r="C1841" s="13">
        <v>2180</v>
      </c>
      <c r="D1841" s="8" t="s">
        <v>11368</v>
      </c>
      <c r="E1841" s="8" t="s">
        <v>11363</v>
      </c>
      <c r="F1841" s="8" t="s">
        <v>11369</v>
      </c>
      <c r="G1841" s="6" t="s">
        <v>52</v>
      </c>
      <c r="H1841" s="6" t="s">
        <v>674</v>
      </c>
      <c r="I1841" s="8" t="s">
        <v>100</v>
      </c>
      <c r="J1841" s="9">
        <v>1</v>
      </c>
      <c r="K1841" s="9">
        <v>464</v>
      </c>
      <c r="L1841" s="9">
        <v>2024</v>
      </c>
      <c r="M1841" s="8" t="s">
        <v>11370</v>
      </c>
      <c r="N1841" s="8" t="s">
        <v>41</v>
      </c>
      <c r="O1841" s="8" t="s">
        <v>676</v>
      </c>
      <c r="P1841" s="6" t="s">
        <v>167</v>
      </c>
      <c r="Q1841" s="8" t="s">
        <v>102</v>
      </c>
      <c r="R1841" s="10" t="s">
        <v>11353</v>
      </c>
      <c r="S1841" s="11" t="s">
        <v>11366</v>
      </c>
      <c r="T1841" s="6"/>
      <c r="U1841" s="24" t="str">
        <f>HYPERLINK("https://media.infra-m.ru/2132/2132499/cover/2132499.jpg", "Обложка")</f>
        <v>Обложка</v>
      </c>
      <c r="V1841" s="24" t="str">
        <f>HYPERLINK("https://znanium.ru/catalog/product/2185765", "Ознакомиться")</f>
        <v>Ознакомиться</v>
      </c>
      <c r="W1841" s="8" t="s">
        <v>792</v>
      </c>
      <c r="X1841" s="6"/>
      <c r="Y1841" s="6"/>
      <c r="Z1841" s="6" t="s">
        <v>104</v>
      </c>
      <c r="AA1841" s="6" t="s">
        <v>151</v>
      </c>
      <c r="AB1841" s="8"/>
    </row>
    <row r="1842" spans="1:28" s="4" customFormat="1" ht="51.95" customHeight="1">
      <c r="A1842" s="5">
        <v>0</v>
      </c>
      <c r="B1842" s="6" t="s">
        <v>11371</v>
      </c>
      <c r="C1842" s="13">
        <v>2720</v>
      </c>
      <c r="D1842" s="8" t="s">
        <v>11372</v>
      </c>
      <c r="E1842" s="8" t="s">
        <v>11373</v>
      </c>
      <c r="F1842" s="8" t="s">
        <v>11369</v>
      </c>
      <c r="G1842" s="6" t="s">
        <v>52</v>
      </c>
      <c r="H1842" s="6" t="s">
        <v>674</v>
      </c>
      <c r="I1842" s="8"/>
      <c r="J1842" s="9">
        <v>1</v>
      </c>
      <c r="K1842" s="9">
        <v>608</v>
      </c>
      <c r="L1842" s="9">
        <v>2025</v>
      </c>
      <c r="M1842" s="8" t="s">
        <v>11374</v>
      </c>
      <c r="N1842" s="8" t="s">
        <v>41</v>
      </c>
      <c r="O1842" s="8" t="s">
        <v>676</v>
      </c>
      <c r="P1842" s="6" t="s">
        <v>167</v>
      </c>
      <c r="Q1842" s="8" t="s">
        <v>44</v>
      </c>
      <c r="R1842" s="10" t="s">
        <v>806</v>
      </c>
      <c r="S1842" s="11" t="s">
        <v>11366</v>
      </c>
      <c r="T1842" s="6"/>
      <c r="U1842" s="24" t="str">
        <f>HYPERLINK("https://media.infra-m.ru/2185/2185763/cover/2185763.jpg", "Обложка")</f>
        <v>Обложка</v>
      </c>
      <c r="V1842" s="24" t="str">
        <f>HYPERLINK("https://znanium.ru/catalog/product/2185763", "Ознакомиться")</f>
        <v>Ознакомиться</v>
      </c>
      <c r="W1842" s="8" t="s">
        <v>792</v>
      </c>
      <c r="X1842" s="6" t="s">
        <v>1476</v>
      </c>
      <c r="Y1842" s="6"/>
      <c r="Z1842" s="6"/>
      <c r="AA1842" s="6" t="s">
        <v>549</v>
      </c>
      <c r="AB1842" s="8"/>
    </row>
    <row r="1843" spans="1:28" s="4" customFormat="1" ht="51.95" customHeight="1">
      <c r="A1843" s="5">
        <v>0</v>
      </c>
      <c r="B1843" s="6" t="s">
        <v>11375</v>
      </c>
      <c r="C1843" s="13">
        <v>2830</v>
      </c>
      <c r="D1843" s="8" t="s">
        <v>11376</v>
      </c>
      <c r="E1843" s="8" t="s">
        <v>11373</v>
      </c>
      <c r="F1843" s="8" t="s">
        <v>11369</v>
      </c>
      <c r="G1843" s="6" t="s">
        <v>52</v>
      </c>
      <c r="H1843" s="6" t="s">
        <v>674</v>
      </c>
      <c r="I1843" s="8" t="s">
        <v>100</v>
      </c>
      <c r="J1843" s="9">
        <v>1</v>
      </c>
      <c r="K1843" s="9">
        <v>608</v>
      </c>
      <c r="L1843" s="9">
        <v>2025</v>
      </c>
      <c r="M1843" s="8" t="s">
        <v>11377</v>
      </c>
      <c r="N1843" s="8" t="s">
        <v>41</v>
      </c>
      <c r="O1843" s="8" t="s">
        <v>676</v>
      </c>
      <c r="P1843" s="6" t="s">
        <v>167</v>
      </c>
      <c r="Q1843" s="8" t="s">
        <v>102</v>
      </c>
      <c r="R1843" s="10" t="s">
        <v>11353</v>
      </c>
      <c r="S1843" s="11" t="s">
        <v>11366</v>
      </c>
      <c r="T1843" s="6"/>
      <c r="U1843" s="24" t="str">
        <f>HYPERLINK("https://media.infra-m.ru/2185/2185765/cover/2185765.jpg", "Обложка")</f>
        <v>Обложка</v>
      </c>
      <c r="V1843" s="24" t="str">
        <f>HYPERLINK("https://znanium.ru/catalog/product/2185765", "Ознакомиться")</f>
        <v>Ознакомиться</v>
      </c>
      <c r="W1843" s="8" t="s">
        <v>792</v>
      </c>
      <c r="X1843" s="6" t="s">
        <v>60</v>
      </c>
      <c r="Y1843" s="6"/>
      <c r="Z1843" s="6" t="s">
        <v>104</v>
      </c>
      <c r="AA1843" s="6" t="s">
        <v>549</v>
      </c>
      <c r="AB1843" s="8"/>
    </row>
    <row r="1844" spans="1:28" s="4" customFormat="1" ht="51.95" customHeight="1">
      <c r="A1844" s="5">
        <v>0</v>
      </c>
      <c r="B1844" s="6" t="s">
        <v>11378</v>
      </c>
      <c r="C1844" s="13">
        <v>2004</v>
      </c>
      <c r="D1844" s="8" t="s">
        <v>11379</v>
      </c>
      <c r="E1844" s="8" t="s">
        <v>11373</v>
      </c>
      <c r="F1844" s="8" t="s">
        <v>11380</v>
      </c>
      <c r="G1844" s="6" t="s">
        <v>89</v>
      </c>
      <c r="H1844" s="6" t="s">
        <v>674</v>
      </c>
      <c r="I1844" s="8"/>
      <c r="J1844" s="9">
        <v>1</v>
      </c>
      <c r="K1844" s="9">
        <v>400</v>
      </c>
      <c r="L1844" s="9">
        <v>2025</v>
      </c>
      <c r="M1844" s="8" t="s">
        <v>11381</v>
      </c>
      <c r="N1844" s="8" t="s">
        <v>41</v>
      </c>
      <c r="O1844" s="8" t="s">
        <v>676</v>
      </c>
      <c r="P1844" s="6" t="s">
        <v>167</v>
      </c>
      <c r="Q1844" s="8" t="s">
        <v>58</v>
      </c>
      <c r="R1844" s="10" t="s">
        <v>11347</v>
      </c>
      <c r="S1844" s="11" t="s">
        <v>11382</v>
      </c>
      <c r="T1844" s="6"/>
      <c r="U1844" s="24" t="str">
        <f>HYPERLINK("https://media.infra-m.ru/2165/2165958/cover/2165958.jpg", "Обложка")</f>
        <v>Обложка</v>
      </c>
      <c r="V1844" s="24" t="str">
        <f>HYPERLINK("https://znanium.ru/catalog/product/2141398", "Ознакомиться")</f>
        <v>Ознакомиться</v>
      </c>
      <c r="W1844" s="8" t="s">
        <v>7139</v>
      </c>
      <c r="X1844" s="6"/>
      <c r="Y1844" s="6"/>
      <c r="Z1844" s="6"/>
      <c r="AA1844" s="6" t="s">
        <v>4504</v>
      </c>
      <c r="AB1844" s="8"/>
    </row>
    <row r="1845" spans="1:28" s="4" customFormat="1" ht="51.95" customHeight="1">
      <c r="A1845" s="5">
        <v>0</v>
      </c>
      <c r="B1845" s="6" t="s">
        <v>11383</v>
      </c>
      <c r="C1845" s="13">
        <v>3200</v>
      </c>
      <c r="D1845" s="8" t="s">
        <v>11384</v>
      </c>
      <c r="E1845" s="8" t="s">
        <v>11385</v>
      </c>
      <c r="F1845" s="8" t="s">
        <v>11344</v>
      </c>
      <c r="G1845" s="6" t="s">
        <v>52</v>
      </c>
      <c r="H1845" s="6" t="s">
        <v>674</v>
      </c>
      <c r="I1845" s="8"/>
      <c r="J1845" s="9">
        <v>1</v>
      </c>
      <c r="K1845" s="9">
        <v>752</v>
      </c>
      <c r="L1845" s="9">
        <v>2025</v>
      </c>
      <c r="M1845" s="8" t="s">
        <v>11386</v>
      </c>
      <c r="N1845" s="8" t="s">
        <v>41</v>
      </c>
      <c r="O1845" s="8" t="s">
        <v>676</v>
      </c>
      <c r="P1845" s="6" t="s">
        <v>167</v>
      </c>
      <c r="Q1845" s="8" t="s">
        <v>44</v>
      </c>
      <c r="R1845" s="10" t="s">
        <v>806</v>
      </c>
      <c r="S1845" s="11" t="s">
        <v>10459</v>
      </c>
      <c r="T1845" s="6"/>
      <c r="U1845" s="24" t="str">
        <f>HYPERLINK("https://media.infra-m.ru/2179/2179447/cover/2179447.jpg", "Обложка")</f>
        <v>Обложка</v>
      </c>
      <c r="V1845" s="24" t="str">
        <f>HYPERLINK("https://znanium.ru/catalog/product/2179447", "Ознакомиться")</f>
        <v>Ознакомиться</v>
      </c>
      <c r="W1845" s="8" t="s">
        <v>7139</v>
      </c>
      <c r="X1845" s="6"/>
      <c r="Y1845" s="6"/>
      <c r="Z1845" s="6"/>
      <c r="AA1845" s="6" t="s">
        <v>5878</v>
      </c>
      <c r="AB1845" s="8"/>
    </row>
    <row r="1846" spans="1:28" s="4" customFormat="1" ht="51.95" customHeight="1">
      <c r="A1846" s="5">
        <v>0</v>
      </c>
      <c r="B1846" s="6" t="s">
        <v>11387</v>
      </c>
      <c r="C1846" s="13">
        <v>3794</v>
      </c>
      <c r="D1846" s="8" t="s">
        <v>11388</v>
      </c>
      <c r="E1846" s="8" t="s">
        <v>11389</v>
      </c>
      <c r="F1846" s="8" t="s">
        <v>11390</v>
      </c>
      <c r="G1846" s="6" t="s">
        <v>52</v>
      </c>
      <c r="H1846" s="6" t="s">
        <v>674</v>
      </c>
      <c r="I1846" s="8"/>
      <c r="J1846" s="9">
        <v>1</v>
      </c>
      <c r="K1846" s="9">
        <v>928</v>
      </c>
      <c r="L1846" s="9">
        <v>2025</v>
      </c>
      <c r="M1846" s="8" t="s">
        <v>11391</v>
      </c>
      <c r="N1846" s="8" t="s">
        <v>41</v>
      </c>
      <c r="O1846" s="8" t="s">
        <v>676</v>
      </c>
      <c r="P1846" s="6" t="s">
        <v>167</v>
      </c>
      <c r="Q1846" s="8" t="s">
        <v>44</v>
      </c>
      <c r="R1846" s="10" t="s">
        <v>677</v>
      </c>
      <c r="S1846" s="11" t="s">
        <v>11392</v>
      </c>
      <c r="T1846" s="6"/>
      <c r="U1846" s="24" t="str">
        <f>HYPERLINK("https://media.infra-m.ru/2186/2186868/cover/2186868.jpg", "Обложка")</f>
        <v>Обложка</v>
      </c>
      <c r="V1846" s="24" t="str">
        <f>HYPERLINK("https://znanium.ru/catalog/product/1898960", "Ознакомиться")</f>
        <v>Ознакомиться</v>
      </c>
      <c r="W1846" s="8" t="s">
        <v>4309</v>
      </c>
      <c r="X1846" s="6"/>
      <c r="Y1846" s="6"/>
      <c r="Z1846" s="6"/>
      <c r="AA1846" s="6" t="s">
        <v>11034</v>
      </c>
      <c r="AB1846" s="8"/>
    </row>
    <row r="1847" spans="1:28" s="4" customFormat="1" ht="51.95" customHeight="1">
      <c r="A1847" s="5">
        <v>0</v>
      </c>
      <c r="B1847" s="6" t="s">
        <v>11393</v>
      </c>
      <c r="C1847" s="13">
        <v>1910</v>
      </c>
      <c r="D1847" s="8" t="s">
        <v>11394</v>
      </c>
      <c r="E1847" s="8" t="s">
        <v>11395</v>
      </c>
      <c r="F1847" s="8" t="s">
        <v>11396</v>
      </c>
      <c r="G1847" s="6" t="s">
        <v>38</v>
      </c>
      <c r="H1847" s="6" t="s">
        <v>674</v>
      </c>
      <c r="I1847" s="8" t="s">
        <v>5841</v>
      </c>
      <c r="J1847" s="9">
        <v>1</v>
      </c>
      <c r="K1847" s="9">
        <v>368</v>
      </c>
      <c r="L1847" s="9">
        <v>2025</v>
      </c>
      <c r="M1847" s="8" t="s">
        <v>11397</v>
      </c>
      <c r="N1847" s="8" t="s">
        <v>41</v>
      </c>
      <c r="O1847" s="8" t="s">
        <v>676</v>
      </c>
      <c r="P1847" s="6" t="s">
        <v>2134</v>
      </c>
      <c r="Q1847" s="8" t="s">
        <v>58</v>
      </c>
      <c r="R1847" s="10" t="s">
        <v>5025</v>
      </c>
      <c r="S1847" s="11"/>
      <c r="T1847" s="6"/>
      <c r="U1847" s="24" t="str">
        <f>HYPERLINK("https://media.infra-m.ru/2196/2196341/cover/2196341.jpg", "Обложка")</f>
        <v>Обложка</v>
      </c>
      <c r="V1847" s="24" t="str">
        <f>HYPERLINK("https://znanium.ru/catalog/product/2196341", "Ознакомиться")</f>
        <v>Ознакомиться</v>
      </c>
      <c r="W1847" s="8" t="s">
        <v>11398</v>
      </c>
      <c r="X1847" s="6"/>
      <c r="Y1847" s="6"/>
      <c r="Z1847" s="6"/>
      <c r="AA1847" s="6" t="s">
        <v>10384</v>
      </c>
      <c r="AB1847" s="8"/>
    </row>
    <row r="1848" spans="1:28" s="4" customFormat="1" ht="51.95" customHeight="1">
      <c r="A1848" s="5">
        <v>0</v>
      </c>
      <c r="B1848" s="6" t="s">
        <v>11399</v>
      </c>
      <c r="C1848" s="7">
        <v>654</v>
      </c>
      <c r="D1848" s="8" t="s">
        <v>11400</v>
      </c>
      <c r="E1848" s="8" t="s">
        <v>11401</v>
      </c>
      <c r="F1848" s="8" t="s">
        <v>11402</v>
      </c>
      <c r="G1848" s="6" t="s">
        <v>38</v>
      </c>
      <c r="H1848" s="6" t="s">
        <v>674</v>
      </c>
      <c r="I1848" s="8"/>
      <c r="J1848" s="9">
        <v>1</v>
      </c>
      <c r="K1848" s="9">
        <v>128</v>
      </c>
      <c r="L1848" s="9">
        <v>2024</v>
      </c>
      <c r="M1848" s="8" t="s">
        <v>11403</v>
      </c>
      <c r="N1848" s="8" t="s">
        <v>41</v>
      </c>
      <c r="O1848" s="8" t="s">
        <v>676</v>
      </c>
      <c r="P1848" s="6" t="s">
        <v>43</v>
      </c>
      <c r="Q1848" s="8" t="s">
        <v>44</v>
      </c>
      <c r="R1848" s="10" t="s">
        <v>806</v>
      </c>
      <c r="S1848" s="11"/>
      <c r="T1848" s="6"/>
      <c r="U1848" s="24" t="str">
        <f>HYPERLINK("https://media.infra-m.ru/2136/2136700/cover/2136700.jpg", "Обложка")</f>
        <v>Обложка</v>
      </c>
      <c r="V1848" s="24" t="str">
        <f>HYPERLINK("https://znanium.ru/catalog/product/2124746", "Ознакомиться")</f>
        <v>Ознакомиться</v>
      </c>
      <c r="W1848" s="8" t="s">
        <v>792</v>
      </c>
      <c r="X1848" s="6"/>
      <c r="Y1848" s="6"/>
      <c r="Z1848" s="6"/>
      <c r="AA1848" s="6" t="s">
        <v>442</v>
      </c>
      <c r="AB1848" s="8"/>
    </row>
    <row r="1849" spans="1:28" s="4" customFormat="1" ht="42" customHeight="1">
      <c r="A1849" s="5">
        <v>0</v>
      </c>
      <c r="B1849" s="6" t="s">
        <v>11404</v>
      </c>
      <c r="C1849" s="7">
        <v>620</v>
      </c>
      <c r="D1849" s="8" t="s">
        <v>11405</v>
      </c>
      <c r="E1849" s="8" t="s">
        <v>11401</v>
      </c>
      <c r="F1849" s="8" t="s">
        <v>11402</v>
      </c>
      <c r="G1849" s="6" t="s">
        <v>89</v>
      </c>
      <c r="H1849" s="6" t="s">
        <v>674</v>
      </c>
      <c r="I1849" s="8"/>
      <c r="J1849" s="9">
        <v>1</v>
      </c>
      <c r="K1849" s="9">
        <v>128</v>
      </c>
      <c r="L1849" s="9">
        <v>2024</v>
      </c>
      <c r="M1849" s="8" t="s">
        <v>11406</v>
      </c>
      <c r="N1849" s="8" t="s">
        <v>41</v>
      </c>
      <c r="O1849" s="8" t="s">
        <v>676</v>
      </c>
      <c r="P1849" s="6" t="s">
        <v>43</v>
      </c>
      <c r="Q1849" s="8" t="s">
        <v>102</v>
      </c>
      <c r="R1849" s="10" t="s">
        <v>256</v>
      </c>
      <c r="S1849" s="11"/>
      <c r="T1849" s="6"/>
      <c r="U1849" s="24" t="str">
        <f>HYPERLINK("https://media.infra-m.ru/2129/2129524/cover/2129524.jpg", "Обложка")</f>
        <v>Обложка</v>
      </c>
      <c r="V1849" s="24" t="str">
        <f>HYPERLINK("https://znanium.ru/catalog/product/1390783", "Ознакомиться")</f>
        <v>Ознакомиться</v>
      </c>
      <c r="W1849" s="8" t="s">
        <v>792</v>
      </c>
      <c r="X1849" s="6"/>
      <c r="Y1849" s="6"/>
      <c r="Z1849" s="6" t="s">
        <v>104</v>
      </c>
      <c r="AA1849" s="6" t="s">
        <v>219</v>
      </c>
      <c r="AB1849" s="8"/>
    </row>
    <row r="1850" spans="1:28" s="4" customFormat="1" ht="42" customHeight="1">
      <c r="A1850" s="5">
        <v>0</v>
      </c>
      <c r="B1850" s="6" t="s">
        <v>11407</v>
      </c>
      <c r="C1850" s="13">
        <v>1060</v>
      </c>
      <c r="D1850" s="8" t="s">
        <v>11408</v>
      </c>
      <c r="E1850" s="8" t="s">
        <v>11409</v>
      </c>
      <c r="F1850" s="8" t="s">
        <v>11410</v>
      </c>
      <c r="G1850" s="6" t="s">
        <v>52</v>
      </c>
      <c r="H1850" s="6" t="s">
        <v>53</v>
      </c>
      <c r="I1850" s="8" t="s">
        <v>100</v>
      </c>
      <c r="J1850" s="9">
        <v>1</v>
      </c>
      <c r="K1850" s="9">
        <v>222</v>
      </c>
      <c r="L1850" s="9">
        <v>2024</v>
      </c>
      <c r="M1850" s="8" t="s">
        <v>11411</v>
      </c>
      <c r="N1850" s="8" t="s">
        <v>41</v>
      </c>
      <c r="O1850" s="8" t="s">
        <v>676</v>
      </c>
      <c r="P1850" s="6" t="s">
        <v>167</v>
      </c>
      <c r="Q1850" s="8" t="s">
        <v>102</v>
      </c>
      <c r="R1850" s="10" t="s">
        <v>11353</v>
      </c>
      <c r="S1850" s="11"/>
      <c r="T1850" s="6"/>
      <c r="U1850" s="24" t="str">
        <f>HYPERLINK("https://media.infra-m.ru/1900/1900600/cover/1900600.jpg", "Обложка")</f>
        <v>Обложка</v>
      </c>
      <c r="V1850" s="24" t="str">
        <f>HYPERLINK("https://znanium.ru/catalog/product/1900600", "Ознакомиться")</f>
        <v>Ознакомиться</v>
      </c>
      <c r="W1850" s="8" t="s">
        <v>6464</v>
      </c>
      <c r="X1850" s="6"/>
      <c r="Y1850" s="6"/>
      <c r="Z1850" s="6"/>
      <c r="AA1850" s="6" t="s">
        <v>133</v>
      </c>
      <c r="AB1850" s="8" t="s">
        <v>11412</v>
      </c>
    </row>
    <row r="1851" spans="1:28" s="4" customFormat="1" ht="51.95" customHeight="1">
      <c r="A1851" s="5">
        <v>0</v>
      </c>
      <c r="B1851" s="6" t="s">
        <v>11413</v>
      </c>
      <c r="C1851" s="13">
        <v>1660</v>
      </c>
      <c r="D1851" s="8" t="s">
        <v>11414</v>
      </c>
      <c r="E1851" s="8" t="s">
        <v>11415</v>
      </c>
      <c r="F1851" s="8" t="s">
        <v>11416</v>
      </c>
      <c r="G1851" s="6" t="s">
        <v>89</v>
      </c>
      <c r="H1851" s="6" t="s">
        <v>674</v>
      </c>
      <c r="I1851" s="8"/>
      <c r="J1851" s="9">
        <v>1</v>
      </c>
      <c r="K1851" s="9">
        <v>352</v>
      </c>
      <c r="L1851" s="9">
        <v>2024</v>
      </c>
      <c r="M1851" s="8" t="s">
        <v>11417</v>
      </c>
      <c r="N1851" s="8" t="s">
        <v>41</v>
      </c>
      <c r="O1851" s="8" t="s">
        <v>676</v>
      </c>
      <c r="P1851" s="6" t="s">
        <v>167</v>
      </c>
      <c r="Q1851" s="8" t="s">
        <v>279</v>
      </c>
      <c r="R1851" s="10" t="s">
        <v>806</v>
      </c>
      <c r="S1851" s="11"/>
      <c r="T1851" s="6"/>
      <c r="U1851" s="24" t="str">
        <f>HYPERLINK("https://media.infra-m.ru/2138/2138286/cover/2138286.jpg", "Обложка")</f>
        <v>Обложка</v>
      </c>
      <c r="V1851" s="24" t="str">
        <f>HYPERLINK("https://znanium.ru/catalog/product/2138286", "Ознакомиться")</f>
        <v>Ознакомиться</v>
      </c>
      <c r="W1851" s="8" t="s">
        <v>6690</v>
      </c>
      <c r="X1851" s="6"/>
      <c r="Y1851" s="6"/>
      <c r="Z1851" s="6"/>
      <c r="AA1851" s="6" t="s">
        <v>151</v>
      </c>
      <c r="AB1851" s="8"/>
    </row>
    <row r="1852" spans="1:28" s="4" customFormat="1" ht="44.1" customHeight="1">
      <c r="A1852" s="5">
        <v>0</v>
      </c>
      <c r="B1852" s="6" t="s">
        <v>11418</v>
      </c>
      <c r="C1852" s="13">
        <v>1830</v>
      </c>
      <c r="D1852" s="8" t="s">
        <v>11419</v>
      </c>
      <c r="E1852" s="8" t="s">
        <v>11420</v>
      </c>
      <c r="F1852" s="8" t="s">
        <v>11421</v>
      </c>
      <c r="G1852" s="6" t="s">
        <v>52</v>
      </c>
      <c r="H1852" s="6" t="s">
        <v>53</v>
      </c>
      <c r="I1852" s="8" t="s">
        <v>212</v>
      </c>
      <c r="J1852" s="9">
        <v>1</v>
      </c>
      <c r="K1852" s="9">
        <v>390</v>
      </c>
      <c r="L1852" s="9">
        <v>2023</v>
      </c>
      <c r="M1852" s="8" t="s">
        <v>11422</v>
      </c>
      <c r="N1852" s="8" t="s">
        <v>41</v>
      </c>
      <c r="O1852" s="8" t="s">
        <v>676</v>
      </c>
      <c r="P1852" s="6" t="s">
        <v>167</v>
      </c>
      <c r="Q1852" s="8" t="s">
        <v>214</v>
      </c>
      <c r="R1852" s="10" t="s">
        <v>215</v>
      </c>
      <c r="S1852" s="11"/>
      <c r="T1852" s="6"/>
      <c r="U1852" s="24" t="str">
        <f>HYPERLINK("https://media.infra-m.ru/1899/1899602/cover/1899602.jpg", "Обложка")</f>
        <v>Обложка</v>
      </c>
      <c r="V1852" s="24" t="str">
        <f>HYPERLINK("https://znanium.ru/catalog/product/1899602", "Ознакомиться")</f>
        <v>Ознакомиться</v>
      </c>
      <c r="W1852" s="8" t="s">
        <v>3426</v>
      </c>
      <c r="X1852" s="6"/>
      <c r="Y1852" s="6"/>
      <c r="Z1852" s="6"/>
      <c r="AA1852" s="6" t="s">
        <v>207</v>
      </c>
      <c r="AB1852" s="8"/>
    </row>
    <row r="1853" spans="1:28" s="4" customFormat="1" ht="51.95" customHeight="1">
      <c r="A1853" s="5">
        <v>0</v>
      </c>
      <c r="B1853" s="6" t="s">
        <v>11423</v>
      </c>
      <c r="C1853" s="13">
        <v>1800</v>
      </c>
      <c r="D1853" s="8" t="s">
        <v>11424</v>
      </c>
      <c r="E1853" s="8" t="s">
        <v>11425</v>
      </c>
      <c r="F1853" s="8" t="s">
        <v>11426</v>
      </c>
      <c r="G1853" s="6" t="s">
        <v>89</v>
      </c>
      <c r="H1853" s="6" t="s">
        <v>674</v>
      </c>
      <c r="I1853" s="8"/>
      <c r="J1853" s="9">
        <v>1</v>
      </c>
      <c r="K1853" s="9">
        <v>400</v>
      </c>
      <c r="L1853" s="9">
        <v>2023</v>
      </c>
      <c r="M1853" s="8" t="s">
        <v>11427</v>
      </c>
      <c r="N1853" s="8" t="s">
        <v>41</v>
      </c>
      <c r="O1853" s="8" t="s">
        <v>676</v>
      </c>
      <c r="P1853" s="6" t="s">
        <v>167</v>
      </c>
      <c r="Q1853" s="8" t="s">
        <v>44</v>
      </c>
      <c r="R1853" s="10" t="s">
        <v>806</v>
      </c>
      <c r="S1853" s="11" t="s">
        <v>11428</v>
      </c>
      <c r="T1853" s="6"/>
      <c r="U1853" s="24" t="str">
        <f>HYPERLINK("https://media.infra-m.ru/1927/1927273/cover/1927273.jpg", "Обложка")</f>
        <v>Обложка</v>
      </c>
      <c r="V1853" s="24" t="str">
        <f>HYPERLINK("https://znanium.ru/catalog/product/2141099", "Ознакомиться")</f>
        <v>Ознакомиться</v>
      </c>
      <c r="W1853" s="8" t="s">
        <v>4109</v>
      </c>
      <c r="X1853" s="6"/>
      <c r="Y1853" s="6"/>
      <c r="Z1853" s="6"/>
      <c r="AA1853" s="6" t="s">
        <v>638</v>
      </c>
      <c r="AB1853" s="8"/>
    </row>
    <row r="1854" spans="1:28" s="4" customFormat="1" ht="51.95" customHeight="1">
      <c r="A1854" s="5">
        <v>0</v>
      </c>
      <c r="B1854" s="6" t="s">
        <v>11429</v>
      </c>
      <c r="C1854" s="13">
        <v>1960</v>
      </c>
      <c r="D1854" s="8" t="s">
        <v>11430</v>
      </c>
      <c r="E1854" s="8" t="s">
        <v>11395</v>
      </c>
      <c r="F1854" s="8" t="s">
        <v>11426</v>
      </c>
      <c r="G1854" s="6" t="s">
        <v>89</v>
      </c>
      <c r="H1854" s="6" t="s">
        <v>674</v>
      </c>
      <c r="I1854" s="8"/>
      <c r="J1854" s="9">
        <v>1</v>
      </c>
      <c r="K1854" s="9">
        <v>416</v>
      </c>
      <c r="L1854" s="9">
        <v>2024</v>
      </c>
      <c r="M1854" s="8" t="s">
        <v>11431</v>
      </c>
      <c r="N1854" s="8" t="s">
        <v>41</v>
      </c>
      <c r="O1854" s="8" t="s">
        <v>676</v>
      </c>
      <c r="P1854" s="6" t="s">
        <v>167</v>
      </c>
      <c r="Q1854" s="8" t="s">
        <v>44</v>
      </c>
      <c r="R1854" s="10" t="s">
        <v>806</v>
      </c>
      <c r="S1854" s="11" t="s">
        <v>11428</v>
      </c>
      <c r="T1854" s="6"/>
      <c r="U1854" s="24" t="str">
        <f>HYPERLINK("https://media.infra-m.ru/2141/2141099/cover/2141099.jpg", "Обложка")</f>
        <v>Обложка</v>
      </c>
      <c r="V1854" s="24" t="str">
        <f>HYPERLINK("https://znanium.ru/catalog/product/2141099", "Ознакомиться")</f>
        <v>Ознакомиться</v>
      </c>
      <c r="W1854" s="8" t="s">
        <v>4109</v>
      </c>
      <c r="X1854" s="6" t="s">
        <v>3761</v>
      </c>
      <c r="Y1854" s="6"/>
      <c r="Z1854" s="6"/>
      <c r="AA1854" s="6" t="s">
        <v>6038</v>
      </c>
      <c r="AB1854" s="8"/>
    </row>
    <row r="1855" spans="1:28" s="4" customFormat="1" ht="51.95" customHeight="1">
      <c r="A1855" s="5">
        <v>0</v>
      </c>
      <c r="B1855" s="6" t="s">
        <v>11432</v>
      </c>
      <c r="C1855" s="13">
        <v>1880</v>
      </c>
      <c r="D1855" s="8" t="s">
        <v>11433</v>
      </c>
      <c r="E1855" s="8" t="s">
        <v>11434</v>
      </c>
      <c r="F1855" s="8" t="s">
        <v>11435</v>
      </c>
      <c r="G1855" s="6" t="s">
        <v>89</v>
      </c>
      <c r="H1855" s="6" t="s">
        <v>674</v>
      </c>
      <c r="I1855" s="8" t="s">
        <v>100</v>
      </c>
      <c r="J1855" s="9">
        <v>1</v>
      </c>
      <c r="K1855" s="9">
        <v>400</v>
      </c>
      <c r="L1855" s="9">
        <v>2024</v>
      </c>
      <c r="M1855" s="8" t="s">
        <v>11436</v>
      </c>
      <c r="N1855" s="8" t="s">
        <v>41</v>
      </c>
      <c r="O1855" s="8" t="s">
        <v>676</v>
      </c>
      <c r="P1855" s="6" t="s">
        <v>167</v>
      </c>
      <c r="Q1855" s="8" t="s">
        <v>102</v>
      </c>
      <c r="R1855" s="10" t="s">
        <v>256</v>
      </c>
      <c r="S1855" s="11" t="s">
        <v>11428</v>
      </c>
      <c r="T1855" s="6"/>
      <c r="U1855" s="24" t="str">
        <f>HYPERLINK("https://media.infra-m.ru/2108/2108465/cover/2108465.jpg", "Обложка")</f>
        <v>Обложка</v>
      </c>
      <c r="V1855" s="24" t="str">
        <f>HYPERLINK("https://znanium.ru/catalog/product/2192907", "Ознакомиться")</f>
        <v>Ознакомиться</v>
      </c>
      <c r="W1855" s="8" t="s">
        <v>4109</v>
      </c>
      <c r="X1855" s="6"/>
      <c r="Y1855" s="6"/>
      <c r="Z1855" s="6" t="s">
        <v>104</v>
      </c>
      <c r="AA1855" s="6" t="s">
        <v>151</v>
      </c>
      <c r="AB1855" s="8"/>
    </row>
    <row r="1856" spans="1:28" s="4" customFormat="1" ht="51.95" customHeight="1">
      <c r="A1856" s="5">
        <v>0</v>
      </c>
      <c r="B1856" s="6" t="s">
        <v>11437</v>
      </c>
      <c r="C1856" s="13">
        <v>2544</v>
      </c>
      <c r="D1856" s="8" t="s">
        <v>11438</v>
      </c>
      <c r="E1856" s="8" t="s">
        <v>11439</v>
      </c>
      <c r="F1856" s="8" t="s">
        <v>11440</v>
      </c>
      <c r="G1856" s="6" t="s">
        <v>52</v>
      </c>
      <c r="H1856" s="6" t="s">
        <v>674</v>
      </c>
      <c r="I1856" s="8"/>
      <c r="J1856" s="9">
        <v>1</v>
      </c>
      <c r="K1856" s="9">
        <v>800</v>
      </c>
      <c r="L1856" s="9">
        <v>2025</v>
      </c>
      <c r="M1856" s="8" t="s">
        <v>11441</v>
      </c>
      <c r="N1856" s="8" t="s">
        <v>41</v>
      </c>
      <c r="O1856" s="8" t="s">
        <v>676</v>
      </c>
      <c r="P1856" s="6" t="s">
        <v>167</v>
      </c>
      <c r="Q1856" s="8" t="s">
        <v>44</v>
      </c>
      <c r="R1856" s="10" t="s">
        <v>11442</v>
      </c>
      <c r="S1856" s="11" t="s">
        <v>11443</v>
      </c>
      <c r="T1856" s="6"/>
      <c r="U1856" s="24" t="str">
        <f>HYPERLINK("https://media.infra-m.ru/2184/2184940/cover/2184940.jpg", "Обложка")</f>
        <v>Обложка</v>
      </c>
      <c r="V1856" s="24" t="str">
        <f>HYPERLINK("https://znanium.ru/catalog/product/1052213", "Ознакомиться")</f>
        <v>Ознакомиться</v>
      </c>
      <c r="W1856" s="8" t="s">
        <v>792</v>
      </c>
      <c r="X1856" s="6"/>
      <c r="Y1856" s="6"/>
      <c r="Z1856" s="6"/>
      <c r="AA1856" s="6" t="s">
        <v>2202</v>
      </c>
      <c r="AB1856" s="8"/>
    </row>
    <row r="1857" spans="1:28" s="4" customFormat="1" ht="51.95" customHeight="1">
      <c r="A1857" s="5">
        <v>0</v>
      </c>
      <c r="B1857" s="6" t="s">
        <v>11444</v>
      </c>
      <c r="C1857" s="13">
        <v>1550</v>
      </c>
      <c r="D1857" s="8" t="s">
        <v>11445</v>
      </c>
      <c r="E1857" s="8" t="s">
        <v>11434</v>
      </c>
      <c r="F1857" s="8" t="s">
        <v>11446</v>
      </c>
      <c r="G1857" s="6" t="s">
        <v>89</v>
      </c>
      <c r="H1857" s="6" t="s">
        <v>674</v>
      </c>
      <c r="I1857" s="8"/>
      <c r="J1857" s="9">
        <v>1</v>
      </c>
      <c r="K1857" s="9">
        <v>368</v>
      </c>
      <c r="L1857" s="9">
        <v>2022</v>
      </c>
      <c r="M1857" s="8" t="s">
        <v>11447</v>
      </c>
      <c r="N1857" s="8" t="s">
        <v>41</v>
      </c>
      <c r="O1857" s="8" t="s">
        <v>676</v>
      </c>
      <c r="P1857" s="6" t="s">
        <v>167</v>
      </c>
      <c r="Q1857" s="8" t="s">
        <v>1674</v>
      </c>
      <c r="R1857" s="10" t="s">
        <v>11448</v>
      </c>
      <c r="S1857" s="11"/>
      <c r="T1857" s="6" t="s">
        <v>299</v>
      </c>
      <c r="U1857" s="24" t="str">
        <f>HYPERLINK("https://media.infra-m.ru/1877/1877345/cover/1877345.jpg", "Обложка")</f>
        <v>Обложка</v>
      </c>
      <c r="V1857" s="24" t="str">
        <f>HYPERLINK("https://znanium.ru/catalog/product/1877345", "Ознакомиться")</f>
        <v>Ознакомиться</v>
      </c>
      <c r="W1857" s="8" t="s">
        <v>792</v>
      </c>
      <c r="X1857" s="6"/>
      <c r="Y1857" s="6"/>
      <c r="Z1857" s="6"/>
      <c r="AA1857" s="6" t="s">
        <v>442</v>
      </c>
      <c r="AB1857" s="8"/>
    </row>
    <row r="1858" spans="1:28" s="4" customFormat="1" ht="51.95" customHeight="1">
      <c r="A1858" s="5">
        <v>0</v>
      </c>
      <c r="B1858" s="6" t="s">
        <v>11449</v>
      </c>
      <c r="C1858" s="13">
        <v>2014</v>
      </c>
      <c r="D1858" s="8" t="s">
        <v>11450</v>
      </c>
      <c r="E1858" s="8" t="s">
        <v>11395</v>
      </c>
      <c r="F1858" s="8" t="s">
        <v>11451</v>
      </c>
      <c r="G1858" s="6" t="s">
        <v>52</v>
      </c>
      <c r="H1858" s="6" t="s">
        <v>674</v>
      </c>
      <c r="I1858" s="8"/>
      <c r="J1858" s="9">
        <v>1</v>
      </c>
      <c r="K1858" s="9">
        <v>1008</v>
      </c>
      <c r="L1858" s="9">
        <v>2024</v>
      </c>
      <c r="M1858" s="8" t="s">
        <v>11452</v>
      </c>
      <c r="N1858" s="8" t="s">
        <v>41</v>
      </c>
      <c r="O1858" s="8" t="s">
        <v>676</v>
      </c>
      <c r="P1858" s="6" t="s">
        <v>167</v>
      </c>
      <c r="Q1858" s="8" t="s">
        <v>44</v>
      </c>
      <c r="R1858" s="10" t="s">
        <v>677</v>
      </c>
      <c r="S1858" s="11" t="s">
        <v>11453</v>
      </c>
      <c r="T1858" s="6"/>
      <c r="U1858" s="24" t="str">
        <f>HYPERLINK("https://media.infra-m.ru/2129/2129527/cover/2129527.jpg", "Обложка")</f>
        <v>Обложка</v>
      </c>
      <c r="V1858" s="24" t="str">
        <f>HYPERLINK("https://znanium.ru/catalog/product/1710063", "Ознакомиться")</f>
        <v>Ознакомиться</v>
      </c>
      <c r="W1858" s="8" t="s">
        <v>11398</v>
      </c>
      <c r="X1858" s="6"/>
      <c r="Y1858" s="6"/>
      <c r="Z1858" s="6"/>
      <c r="AA1858" s="6" t="s">
        <v>11454</v>
      </c>
      <c r="AB1858" s="8"/>
    </row>
    <row r="1859" spans="1:28" s="4" customFormat="1" ht="51.95" customHeight="1">
      <c r="A1859" s="5">
        <v>0</v>
      </c>
      <c r="B1859" s="6" t="s">
        <v>11455</v>
      </c>
      <c r="C1859" s="13">
        <v>1670</v>
      </c>
      <c r="D1859" s="8" t="s">
        <v>11456</v>
      </c>
      <c r="E1859" s="8" t="s">
        <v>11457</v>
      </c>
      <c r="F1859" s="8" t="s">
        <v>11458</v>
      </c>
      <c r="G1859" s="6" t="s">
        <v>89</v>
      </c>
      <c r="H1859" s="6" t="s">
        <v>184</v>
      </c>
      <c r="I1859" s="8" t="s">
        <v>90</v>
      </c>
      <c r="J1859" s="9">
        <v>1</v>
      </c>
      <c r="K1859" s="9">
        <v>321</v>
      </c>
      <c r="L1859" s="9">
        <v>2025</v>
      </c>
      <c r="M1859" s="8" t="s">
        <v>11459</v>
      </c>
      <c r="N1859" s="8" t="s">
        <v>79</v>
      </c>
      <c r="O1859" s="8" t="s">
        <v>80</v>
      </c>
      <c r="P1859" s="6" t="s">
        <v>43</v>
      </c>
      <c r="Q1859" s="8" t="s">
        <v>44</v>
      </c>
      <c r="R1859" s="10" t="s">
        <v>11460</v>
      </c>
      <c r="S1859" s="11"/>
      <c r="T1859" s="6"/>
      <c r="U1859" s="24" t="str">
        <f>HYPERLINK("https://media.infra-m.ru/2169/2169480/cover/2169480.jpg", "Обложка")</f>
        <v>Обложка</v>
      </c>
      <c r="V1859" s="24" t="str">
        <f>HYPERLINK("https://znanium.ru/catalog/product/2169480", "Ознакомиться")</f>
        <v>Ознакомиться</v>
      </c>
      <c r="W1859" s="8" t="s">
        <v>8621</v>
      </c>
      <c r="X1859" s="6"/>
      <c r="Y1859" s="6"/>
      <c r="Z1859" s="6"/>
      <c r="AA1859" s="6" t="s">
        <v>151</v>
      </c>
      <c r="AB1859" s="8"/>
    </row>
    <row r="1860" spans="1:28" s="4" customFormat="1" ht="51.95" customHeight="1">
      <c r="A1860" s="5">
        <v>0</v>
      </c>
      <c r="B1860" s="6" t="s">
        <v>11461</v>
      </c>
      <c r="C1860" s="13">
        <v>2200</v>
      </c>
      <c r="D1860" s="8" t="s">
        <v>11462</v>
      </c>
      <c r="E1860" s="8" t="s">
        <v>11463</v>
      </c>
      <c r="F1860" s="8" t="s">
        <v>11464</v>
      </c>
      <c r="G1860" s="6" t="s">
        <v>38</v>
      </c>
      <c r="H1860" s="6" t="s">
        <v>184</v>
      </c>
      <c r="I1860" s="8" t="s">
        <v>90</v>
      </c>
      <c r="J1860" s="9">
        <v>1</v>
      </c>
      <c r="K1860" s="9">
        <v>413</v>
      </c>
      <c r="L1860" s="9">
        <v>2021</v>
      </c>
      <c r="M1860" s="8" t="s">
        <v>11465</v>
      </c>
      <c r="N1860" s="8" t="s">
        <v>79</v>
      </c>
      <c r="O1860" s="8" t="s">
        <v>80</v>
      </c>
      <c r="P1860" s="6" t="s">
        <v>175</v>
      </c>
      <c r="Q1860" s="8" t="s">
        <v>44</v>
      </c>
      <c r="R1860" s="10" t="s">
        <v>11466</v>
      </c>
      <c r="S1860" s="11" t="s">
        <v>11467</v>
      </c>
      <c r="T1860" s="6"/>
      <c r="U1860" s="24" t="str">
        <f>HYPERLINK("https://media.infra-m.ru/1215/1215714/cover/1215714.jpg", "Обложка")</f>
        <v>Обложка</v>
      </c>
      <c r="V1860" s="24" t="str">
        <f>HYPERLINK("https://znanium.ru/catalog/product/1215714", "Ознакомиться")</f>
        <v>Ознакомиться</v>
      </c>
      <c r="W1860" s="8" t="s">
        <v>347</v>
      </c>
      <c r="X1860" s="6"/>
      <c r="Y1860" s="6"/>
      <c r="Z1860" s="6"/>
      <c r="AA1860" s="6" t="s">
        <v>377</v>
      </c>
      <c r="AB1860" s="8"/>
    </row>
    <row r="1861" spans="1:28" s="4" customFormat="1" ht="51.95" customHeight="1">
      <c r="A1861" s="5">
        <v>0</v>
      </c>
      <c r="B1861" s="6" t="s">
        <v>11468</v>
      </c>
      <c r="C1861" s="7">
        <v>720</v>
      </c>
      <c r="D1861" s="8" t="s">
        <v>11469</v>
      </c>
      <c r="E1861" s="8" t="s">
        <v>11470</v>
      </c>
      <c r="F1861" s="8" t="s">
        <v>11471</v>
      </c>
      <c r="G1861" s="6" t="s">
        <v>89</v>
      </c>
      <c r="H1861" s="6" t="s">
        <v>53</v>
      </c>
      <c r="I1861" s="8" t="s">
        <v>4855</v>
      </c>
      <c r="J1861" s="9">
        <v>1</v>
      </c>
      <c r="K1861" s="9">
        <v>152</v>
      </c>
      <c r="L1861" s="9">
        <v>2024</v>
      </c>
      <c r="M1861" s="8" t="s">
        <v>11472</v>
      </c>
      <c r="N1861" s="8" t="s">
        <v>79</v>
      </c>
      <c r="O1861" s="8" t="s">
        <v>396</v>
      </c>
      <c r="P1861" s="6" t="s">
        <v>43</v>
      </c>
      <c r="Q1861" s="8" t="s">
        <v>44</v>
      </c>
      <c r="R1861" s="10" t="s">
        <v>11473</v>
      </c>
      <c r="S1861" s="11" t="s">
        <v>11474</v>
      </c>
      <c r="T1861" s="6"/>
      <c r="U1861" s="24" t="str">
        <f>HYPERLINK("https://media.infra-m.ru/2136/2136735/cover/2136735.jpg", "Обложка")</f>
        <v>Обложка</v>
      </c>
      <c r="V1861" s="12"/>
      <c r="W1861" s="8" t="s">
        <v>784</v>
      </c>
      <c r="X1861" s="6"/>
      <c r="Y1861" s="6"/>
      <c r="Z1861" s="6"/>
      <c r="AA1861" s="6" t="s">
        <v>151</v>
      </c>
      <c r="AB1861" s="8"/>
    </row>
    <row r="1862" spans="1:28" s="4" customFormat="1" ht="44.1" customHeight="1">
      <c r="A1862" s="5">
        <v>0</v>
      </c>
      <c r="B1862" s="6" t="s">
        <v>11475</v>
      </c>
      <c r="C1862" s="13">
        <v>1254</v>
      </c>
      <c r="D1862" s="8" t="s">
        <v>11476</v>
      </c>
      <c r="E1862" s="8" t="s">
        <v>11477</v>
      </c>
      <c r="F1862" s="8" t="s">
        <v>11478</v>
      </c>
      <c r="G1862" s="6" t="s">
        <v>89</v>
      </c>
      <c r="H1862" s="6" t="s">
        <v>53</v>
      </c>
      <c r="I1862" s="8" t="s">
        <v>116</v>
      </c>
      <c r="J1862" s="9">
        <v>1</v>
      </c>
      <c r="K1862" s="9">
        <v>241</v>
      </c>
      <c r="L1862" s="9">
        <v>2025</v>
      </c>
      <c r="M1862" s="8" t="s">
        <v>11479</v>
      </c>
      <c r="N1862" s="8" t="s">
        <v>41</v>
      </c>
      <c r="O1862" s="8" t="s">
        <v>42</v>
      </c>
      <c r="P1862" s="6" t="s">
        <v>43</v>
      </c>
      <c r="Q1862" s="8" t="s">
        <v>58</v>
      </c>
      <c r="R1862" s="10" t="s">
        <v>11480</v>
      </c>
      <c r="S1862" s="11"/>
      <c r="T1862" s="6"/>
      <c r="U1862" s="24" t="str">
        <f>HYPERLINK("https://media.infra-m.ru/2203/2203149/cover/2203149.jpg", "Обложка")</f>
        <v>Обложка</v>
      </c>
      <c r="V1862" s="24" t="str">
        <f>HYPERLINK("https://znanium.ru/catalog/product/2116743", "Ознакомиться")</f>
        <v>Ознакомиться</v>
      </c>
      <c r="W1862" s="8" t="s">
        <v>6124</v>
      </c>
      <c r="X1862" s="6"/>
      <c r="Y1862" s="6"/>
      <c r="Z1862" s="6"/>
      <c r="AA1862" s="6" t="s">
        <v>207</v>
      </c>
      <c r="AB1862" s="8"/>
    </row>
    <row r="1863" spans="1:28" s="4" customFormat="1" ht="51.95" customHeight="1">
      <c r="A1863" s="5">
        <v>0</v>
      </c>
      <c r="B1863" s="6" t="s">
        <v>11481</v>
      </c>
      <c r="C1863" s="7">
        <v>934.9</v>
      </c>
      <c r="D1863" s="8" t="s">
        <v>11482</v>
      </c>
      <c r="E1863" s="8" t="s">
        <v>11483</v>
      </c>
      <c r="F1863" s="8" t="s">
        <v>6485</v>
      </c>
      <c r="G1863" s="6" t="s">
        <v>38</v>
      </c>
      <c r="H1863" s="6" t="s">
        <v>39</v>
      </c>
      <c r="I1863" s="8" t="s">
        <v>90</v>
      </c>
      <c r="J1863" s="9">
        <v>1</v>
      </c>
      <c r="K1863" s="9">
        <v>208</v>
      </c>
      <c r="L1863" s="9">
        <v>2023</v>
      </c>
      <c r="M1863" s="8" t="s">
        <v>11484</v>
      </c>
      <c r="N1863" s="8" t="s">
        <v>79</v>
      </c>
      <c r="O1863" s="8" t="s">
        <v>396</v>
      </c>
      <c r="P1863" s="6" t="s">
        <v>43</v>
      </c>
      <c r="Q1863" s="8" t="s">
        <v>44</v>
      </c>
      <c r="R1863" s="10" t="s">
        <v>11485</v>
      </c>
      <c r="S1863" s="11" t="s">
        <v>11486</v>
      </c>
      <c r="T1863" s="6"/>
      <c r="U1863" s="24" t="str">
        <f>HYPERLINK("https://media.infra-m.ru/1160/1160966/cover/1160966.jpg", "Обложка")</f>
        <v>Обложка</v>
      </c>
      <c r="V1863" s="24" t="str">
        <f>HYPERLINK("https://znanium.ru/catalog/product/1052211", "Ознакомиться")</f>
        <v>Ознакомиться</v>
      </c>
      <c r="W1863" s="8" t="s">
        <v>6489</v>
      </c>
      <c r="X1863" s="6"/>
      <c r="Y1863" s="6"/>
      <c r="Z1863" s="6"/>
      <c r="AA1863" s="6" t="s">
        <v>160</v>
      </c>
      <c r="AB1863" s="8"/>
    </row>
    <row r="1864" spans="1:28" s="4" customFormat="1" ht="51.95" customHeight="1">
      <c r="A1864" s="5">
        <v>0</v>
      </c>
      <c r="B1864" s="6" t="s">
        <v>11487</v>
      </c>
      <c r="C1864" s="7">
        <v>790</v>
      </c>
      <c r="D1864" s="8" t="s">
        <v>11488</v>
      </c>
      <c r="E1864" s="8" t="s">
        <v>11489</v>
      </c>
      <c r="F1864" s="8" t="s">
        <v>11490</v>
      </c>
      <c r="G1864" s="6" t="s">
        <v>89</v>
      </c>
      <c r="H1864" s="6" t="s">
        <v>184</v>
      </c>
      <c r="I1864" s="8" t="s">
        <v>90</v>
      </c>
      <c r="J1864" s="9">
        <v>1</v>
      </c>
      <c r="K1864" s="9">
        <v>152</v>
      </c>
      <c r="L1864" s="9">
        <v>2025</v>
      </c>
      <c r="M1864" s="8" t="s">
        <v>11491</v>
      </c>
      <c r="N1864" s="8" t="s">
        <v>79</v>
      </c>
      <c r="O1864" s="8" t="s">
        <v>424</v>
      </c>
      <c r="P1864" s="6" t="s">
        <v>43</v>
      </c>
      <c r="Q1864" s="8" t="s">
        <v>44</v>
      </c>
      <c r="R1864" s="10" t="s">
        <v>4598</v>
      </c>
      <c r="S1864" s="11" t="s">
        <v>11492</v>
      </c>
      <c r="T1864" s="6"/>
      <c r="U1864" s="24" t="str">
        <f>HYPERLINK("https://media.infra-m.ru/2179/2179812/cover/2179812.jpg", "Обложка")</f>
        <v>Обложка</v>
      </c>
      <c r="V1864" s="24" t="str">
        <f>HYPERLINK("https://znanium.ru/catalog/product/2179812", "Ознакомиться")</f>
        <v>Ознакомиться</v>
      </c>
      <c r="W1864" s="8" t="s">
        <v>427</v>
      </c>
      <c r="X1864" s="6"/>
      <c r="Y1864" s="6"/>
      <c r="Z1864" s="6"/>
      <c r="AA1864" s="6" t="s">
        <v>84</v>
      </c>
      <c r="AB1864" s="8"/>
    </row>
    <row r="1865" spans="1:28" s="4" customFormat="1" ht="51.95" customHeight="1">
      <c r="A1865" s="5">
        <v>0</v>
      </c>
      <c r="B1865" s="6" t="s">
        <v>11493</v>
      </c>
      <c r="C1865" s="7">
        <v>544.9</v>
      </c>
      <c r="D1865" s="8" t="s">
        <v>11494</v>
      </c>
      <c r="E1865" s="8" t="s">
        <v>11495</v>
      </c>
      <c r="F1865" s="8" t="s">
        <v>11496</v>
      </c>
      <c r="G1865" s="6" t="s">
        <v>38</v>
      </c>
      <c r="H1865" s="6" t="s">
        <v>53</v>
      </c>
      <c r="I1865" s="8"/>
      <c r="J1865" s="9">
        <v>1</v>
      </c>
      <c r="K1865" s="9">
        <v>128</v>
      </c>
      <c r="L1865" s="9">
        <v>2019</v>
      </c>
      <c r="M1865" s="8" t="s">
        <v>11497</v>
      </c>
      <c r="N1865" s="8" t="s">
        <v>41</v>
      </c>
      <c r="O1865" s="8" t="s">
        <v>1204</v>
      </c>
      <c r="P1865" s="6" t="s">
        <v>397</v>
      </c>
      <c r="Q1865" s="8" t="s">
        <v>58</v>
      </c>
      <c r="R1865" s="10" t="s">
        <v>262</v>
      </c>
      <c r="S1865" s="11"/>
      <c r="T1865" s="6"/>
      <c r="U1865" s="12"/>
      <c r="V1865" s="24" t="str">
        <f>HYPERLINK("https://znanium.ru/catalog/product/2194979", "Ознакомиться")</f>
        <v>Ознакомиться</v>
      </c>
      <c r="W1865" s="8" t="s">
        <v>11498</v>
      </c>
      <c r="X1865" s="6"/>
      <c r="Y1865" s="6"/>
      <c r="Z1865" s="6"/>
      <c r="AA1865" s="6" t="s">
        <v>151</v>
      </c>
      <c r="AB1865" s="8"/>
    </row>
    <row r="1866" spans="1:28" s="4" customFormat="1" ht="51.95" customHeight="1">
      <c r="A1866" s="5">
        <v>0</v>
      </c>
      <c r="B1866" s="6" t="s">
        <v>11499</v>
      </c>
      <c r="C1866" s="13">
        <v>2414</v>
      </c>
      <c r="D1866" s="8" t="s">
        <v>11500</v>
      </c>
      <c r="E1866" s="8" t="s">
        <v>11501</v>
      </c>
      <c r="F1866" s="8" t="s">
        <v>11502</v>
      </c>
      <c r="G1866" s="6" t="s">
        <v>52</v>
      </c>
      <c r="H1866" s="6" t="s">
        <v>53</v>
      </c>
      <c r="I1866" s="8" t="s">
        <v>90</v>
      </c>
      <c r="J1866" s="9">
        <v>1</v>
      </c>
      <c r="K1866" s="9">
        <v>464</v>
      </c>
      <c r="L1866" s="9">
        <v>2025</v>
      </c>
      <c r="M1866" s="8" t="s">
        <v>11503</v>
      </c>
      <c r="N1866" s="8" t="s">
        <v>79</v>
      </c>
      <c r="O1866" s="8" t="s">
        <v>396</v>
      </c>
      <c r="P1866" s="6" t="s">
        <v>167</v>
      </c>
      <c r="Q1866" s="8" t="s">
        <v>44</v>
      </c>
      <c r="R1866" s="10" t="s">
        <v>11504</v>
      </c>
      <c r="S1866" s="11" t="s">
        <v>11505</v>
      </c>
      <c r="T1866" s="6"/>
      <c r="U1866" s="24" t="str">
        <f>HYPERLINK("https://media.infra-m.ru/2194/2194360/cover/2194360.jpg", "Обложка")</f>
        <v>Обложка</v>
      </c>
      <c r="V1866" s="24" t="str">
        <f>HYPERLINK("https://znanium.ru/catalog/product/1648558", "Ознакомиться")</f>
        <v>Ознакомиться</v>
      </c>
      <c r="W1866" s="8" t="s">
        <v>784</v>
      </c>
      <c r="X1866" s="6"/>
      <c r="Y1866" s="6"/>
      <c r="Z1866" s="6"/>
      <c r="AA1866" s="6" t="s">
        <v>479</v>
      </c>
      <c r="AB1866" s="8"/>
    </row>
    <row r="1867" spans="1:28" s="4" customFormat="1" ht="51.95" customHeight="1">
      <c r="A1867" s="5">
        <v>0</v>
      </c>
      <c r="B1867" s="6" t="s">
        <v>11506</v>
      </c>
      <c r="C1867" s="13">
        <v>2090</v>
      </c>
      <c r="D1867" s="8" t="s">
        <v>11507</v>
      </c>
      <c r="E1867" s="8" t="s">
        <v>11501</v>
      </c>
      <c r="F1867" s="8" t="s">
        <v>11508</v>
      </c>
      <c r="G1867" s="6" t="s">
        <v>52</v>
      </c>
      <c r="H1867" s="6" t="s">
        <v>53</v>
      </c>
      <c r="I1867" s="8" t="s">
        <v>100</v>
      </c>
      <c r="J1867" s="9">
        <v>1</v>
      </c>
      <c r="K1867" s="9">
        <v>464</v>
      </c>
      <c r="L1867" s="9">
        <v>2023</v>
      </c>
      <c r="M1867" s="8" t="s">
        <v>11509</v>
      </c>
      <c r="N1867" s="8" t="s">
        <v>79</v>
      </c>
      <c r="O1867" s="8" t="s">
        <v>396</v>
      </c>
      <c r="P1867" s="6" t="s">
        <v>167</v>
      </c>
      <c r="Q1867" s="8" t="s">
        <v>102</v>
      </c>
      <c r="R1867" s="10" t="s">
        <v>11510</v>
      </c>
      <c r="S1867" s="11" t="s">
        <v>11511</v>
      </c>
      <c r="T1867" s="6"/>
      <c r="U1867" s="24" t="str">
        <f>HYPERLINK("https://media.infra-m.ru/1021/1021726/cover/1021726.jpg", "Обложка")</f>
        <v>Обложка</v>
      </c>
      <c r="V1867" s="24" t="str">
        <f>HYPERLINK("https://znanium.ru/catalog/product/1021726", "Ознакомиться")</f>
        <v>Ознакомиться</v>
      </c>
      <c r="W1867" s="8" t="s">
        <v>784</v>
      </c>
      <c r="X1867" s="6"/>
      <c r="Y1867" s="6"/>
      <c r="Z1867" s="6" t="s">
        <v>104</v>
      </c>
      <c r="AA1867" s="6" t="s">
        <v>813</v>
      </c>
      <c r="AB1867" s="8"/>
    </row>
    <row r="1868" spans="1:28" s="4" customFormat="1" ht="44.1" customHeight="1">
      <c r="A1868" s="5">
        <v>0</v>
      </c>
      <c r="B1868" s="6" t="s">
        <v>11512</v>
      </c>
      <c r="C1868" s="7">
        <v>704.9</v>
      </c>
      <c r="D1868" s="8" t="s">
        <v>11513</v>
      </c>
      <c r="E1868" s="8" t="s">
        <v>11514</v>
      </c>
      <c r="F1868" s="8" t="s">
        <v>11515</v>
      </c>
      <c r="G1868" s="6" t="s">
        <v>52</v>
      </c>
      <c r="H1868" s="6" t="s">
        <v>77</v>
      </c>
      <c r="I1868" s="8" t="s">
        <v>7953</v>
      </c>
      <c r="J1868" s="9">
        <v>1</v>
      </c>
      <c r="K1868" s="9">
        <v>207</v>
      </c>
      <c r="L1868" s="9">
        <v>2019</v>
      </c>
      <c r="M1868" s="8" t="s">
        <v>11516</v>
      </c>
      <c r="N1868" s="8" t="s">
        <v>41</v>
      </c>
      <c r="O1868" s="8" t="s">
        <v>4035</v>
      </c>
      <c r="P1868" s="6" t="s">
        <v>1046</v>
      </c>
      <c r="Q1868" s="8" t="s">
        <v>279</v>
      </c>
      <c r="R1868" s="10" t="s">
        <v>11517</v>
      </c>
      <c r="S1868" s="11"/>
      <c r="T1868" s="6"/>
      <c r="U1868" s="24" t="str">
        <f>HYPERLINK("https://media.infra-m.ru/1007/1007934/cover/1007934.jpg", "Обложка")</f>
        <v>Обложка</v>
      </c>
      <c r="V1868" s="24" t="str">
        <f>HYPERLINK("https://znanium.ru/catalog/product/1914094", "Ознакомиться")</f>
        <v>Ознакомиться</v>
      </c>
      <c r="W1868" s="8" t="s">
        <v>83</v>
      </c>
      <c r="X1868" s="6"/>
      <c r="Y1868" s="6"/>
      <c r="Z1868" s="6"/>
      <c r="AA1868" s="6" t="s">
        <v>122</v>
      </c>
      <c r="AB1868" s="8"/>
    </row>
    <row r="1869" spans="1:28" s="4" customFormat="1" ht="51.95" customHeight="1">
      <c r="A1869" s="5">
        <v>0</v>
      </c>
      <c r="B1869" s="6" t="s">
        <v>11518</v>
      </c>
      <c r="C1869" s="7">
        <v>770</v>
      </c>
      <c r="D1869" s="8" t="s">
        <v>11519</v>
      </c>
      <c r="E1869" s="8" t="s">
        <v>11520</v>
      </c>
      <c r="F1869" s="8" t="s">
        <v>11521</v>
      </c>
      <c r="G1869" s="6" t="s">
        <v>89</v>
      </c>
      <c r="H1869" s="6" t="s">
        <v>53</v>
      </c>
      <c r="I1869" s="8" t="s">
        <v>116</v>
      </c>
      <c r="J1869" s="9">
        <v>1</v>
      </c>
      <c r="K1869" s="9">
        <v>163</v>
      </c>
      <c r="L1869" s="9">
        <v>2024</v>
      </c>
      <c r="M1869" s="8" t="s">
        <v>11522</v>
      </c>
      <c r="N1869" s="8" t="s">
        <v>41</v>
      </c>
      <c r="O1869" s="8" t="s">
        <v>42</v>
      </c>
      <c r="P1869" s="6" t="s">
        <v>43</v>
      </c>
      <c r="Q1869" s="8" t="s">
        <v>44</v>
      </c>
      <c r="R1869" s="10" t="s">
        <v>11523</v>
      </c>
      <c r="S1869" s="11" t="s">
        <v>11524</v>
      </c>
      <c r="T1869" s="6"/>
      <c r="U1869" s="24" t="str">
        <f>HYPERLINK("https://media.infra-m.ru/2083/2083896/cover/2083896.jpg", "Обложка")</f>
        <v>Обложка</v>
      </c>
      <c r="V1869" s="24" t="str">
        <f>HYPERLINK("https://znanium.ru/catalog/product/2083896", "Ознакомиться")</f>
        <v>Ознакомиться</v>
      </c>
      <c r="W1869" s="8" t="s">
        <v>1514</v>
      </c>
      <c r="X1869" s="6"/>
      <c r="Y1869" s="6"/>
      <c r="Z1869" s="6"/>
      <c r="AA1869" s="6" t="s">
        <v>151</v>
      </c>
      <c r="AB1869" s="8" t="s">
        <v>271</v>
      </c>
    </row>
    <row r="1870" spans="1:28" s="4" customFormat="1" ht="51.95" customHeight="1">
      <c r="A1870" s="5">
        <v>0</v>
      </c>
      <c r="B1870" s="6" t="s">
        <v>11525</v>
      </c>
      <c r="C1870" s="7">
        <v>450</v>
      </c>
      <c r="D1870" s="8" t="s">
        <v>11526</v>
      </c>
      <c r="E1870" s="8" t="s">
        <v>11527</v>
      </c>
      <c r="F1870" s="8" t="s">
        <v>11521</v>
      </c>
      <c r="G1870" s="6" t="s">
        <v>38</v>
      </c>
      <c r="H1870" s="6" t="s">
        <v>53</v>
      </c>
      <c r="I1870" s="8" t="s">
        <v>116</v>
      </c>
      <c r="J1870" s="9">
        <v>1</v>
      </c>
      <c r="K1870" s="9">
        <v>95</v>
      </c>
      <c r="L1870" s="9">
        <v>2024</v>
      </c>
      <c r="M1870" s="8" t="s">
        <v>11528</v>
      </c>
      <c r="N1870" s="8" t="s">
        <v>41</v>
      </c>
      <c r="O1870" s="8" t="s">
        <v>42</v>
      </c>
      <c r="P1870" s="6" t="s">
        <v>43</v>
      </c>
      <c r="Q1870" s="8" t="s">
        <v>44</v>
      </c>
      <c r="R1870" s="10" t="s">
        <v>11529</v>
      </c>
      <c r="S1870" s="11" t="s">
        <v>11530</v>
      </c>
      <c r="T1870" s="6"/>
      <c r="U1870" s="24" t="str">
        <f>HYPERLINK("https://media.infra-m.ru/2147/2147926/cover/2147926.jpg", "Обложка")</f>
        <v>Обложка</v>
      </c>
      <c r="V1870" s="24" t="str">
        <f>HYPERLINK("https://znanium.ru/catalog/product/2147926", "Ознакомиться")</f>
        <v>Ознакомиться</v>
      </c>
      <c r="W1870" s="8" t="s">
        <v>1514</v>
      </c>
      <c r="X1870" s="6"/>
      <c r="Y1870" s="6"/>
      <c r="Z1870" s="6"/>
      <c r="AA1870" s="6" t="s">
        <v>111</v>
      </c>
      <c r="AB1870" s="8"/>
    </row>
    <row r="1871" spans="1:28" s="4" customFormat="1" ht="51.95" customHeight="1">
      <c r="A1871" s="5">
        <v>0</v>
      </c>
      <c r="B1871" s="6" t="s">
        <v>11531</v>
      </c>
      <c r="C1871" s="13">
        <v>1034</v>
      </c>
      <c r="D1871" s="8" t="s">
        <v>11532</v>
      </c>
      <c r="E1871" s="8" t="s">
        <v>11533</v>
      </c>
      <c r="F1871" s="8" t="s">
        <v>11534</v>
      </c>
      <c r="G1871" s="6" t="s">
        <v>38</v>
      </c>
      <c r="H1871" s="6" t="s">
        <v>39</v>
      </c>
      <c r="I1871" s="8" t="s">
        <v>116</v>
      </c>
      <c r="J1871" s="9">
        <v>1</v>
      </c>
      <c r="K1871" s="9">
        <v>224</v>
      </c>
      <c r="L1871" s="9">
        <v>2023</v>
      </c>
      <c r="M1871" s="8" t="s">
        <v>11535</v>
      </c>
      <c r="N1871" s="8" t="s">
        <v>41</v>
      </c>
      <c r="O1871" s="8" t="s">
        <v>278</v>
      </c>
      <c r="P1871" s="6" t="s">
        <v>43</v>
      </c>
      <c r="Q1871" s="8" t="s">
        <v>58</v>
      </c>
      <c r="R1871" s="10" t="s">
        <v>11536</v>
      </c>
      <c r="S1871" s="11" t="s">
        <v>11537</v>
      </c>
      <c r="T1871" s="6"/>
      <c r="U1871" s="24" t="str">
        <f>HYPERLINK("https://media.infra-m.ru/2071/2071664/cover/2071664.jpg", "Обложка")</f>
        <v>Обложка</v>
      </c>
      <c r="V1871" s="12"/>
      <c r="W1871" s="8" t="s">
        <v>11538</v>
      </c>
      <c r="X1871" s="6"/>
      <c r="Y1871" s="6"/>
      <c r="Z1871" s="6"/>
      <c r="AA1871" s="6" t="s">
        <v>122</v>
      </c>
      <c r="AB1871" s="8"/>
    </row>
    <row r="1872" spans="1:28" s="4" customFormat="1" ht="42" customHeight="1">
      <c r="A1872" s="5">
        <v>0</v>
      </c>
      <c r="B1872" s="6" t="s">
        <v>11539</v>
      </c>
      <c r="C1872" s="13">
        <v>2084</v>
      </c>
      <c r="D1872" s="8" t="s">
        <v>11540</v>
      </c>
      <c r="E1872" s="8" t="s">
        <v>11541</v>
      </c>
      <c r="F1872" s="8" t="s">
        <v>11542</v>
      </c>
      <c r="G1872" s="6" t="s">
        <v>52</v>
      </c>
      <c r="H1872" s="6" t="s">
        <v>39</v>
      </c>
      <c r="I1872" s="8"/>
      <c r="J1872" s="9">
        <v>1</v>
      </c>
      <c r="K1872" s="9">
        <v>400</v>
      </c>
      <c r="L1872" s="9">
        <v>2025</v>
      </c>
      <c r="M1872" s="8" t="s">
        <v>11543</v>
      </c>
      <c r="N1872" s="8" t="s">
        <v>56</v>
      </c>
      <c r="O1872" s="8" t="s">
        <v>57</v>
      </c>
      <c r="P1872" s="6" t="s">
        <v>366</v>
      </c>
      <c r="Q1872" s="8" t="s">
        <v>44</v>
      </c>
      <c r="R1872" s="10" t="s">
        <v>45</v>
      </c>
      <c r="S1872" s="11"/>
      <c r="T1872" s="6"/>
      <c r="U1872" s="24" t="str">
        <f>HYPERLINK("https://media.infra-m.ru/2192/2192212/cover/2192212.jpg", "Обложка")</f>
        <v>Обложка</v>
      </c>
      <c r="V1872" s="12"/>
      <c r="W1872" s="8" t="s">
        <v>4343</v>
      </c>
      <c r="X1872" s="6"/>
      <c r="Y1872" s="6"/>
      <c r="Z1872" s="6"/>
      <c r="AA1872" s="6" t="s">
        <v>122</v>
      </c>
      <c r="AB1872" s="8"/>
    </row>
    <row r="1873" spans="1:28" s="4" customFormat="1" ht="51.95" customHeight="1">
      <c r="A1873" s="5">
        <v>0</v>
      </c>
      <c r="B1873" s="6" t="s">
        <v>11544</v>
      </c>
      <c r="C1873" s="13">
        <v>1480</v>
      </c>
      <c r="D1873" s="8" t="s">
        <v>11545</v>
      </c>
      <c r="E1873" s="8" t="s">
        <v>11541</v>
      </c>
      <c r="F1873" s="8" t="s">
        <v>11542</v>
      </c>
      <c r="G1873" s="6" t="s">
        <v>89</v>
      </c>
      <c r="H1873" s="6" t="s">
        <v>39</v>
      </c>
      <c r="I1873" s="8" t="s">
        <v>100</v>
      </c>
      <c r="J1873" s="9">
        <v>1</v>
      </c>
      <c r="K1873" s="9">
        <v>401</v>
      </c>
      <c r="L1873" s="9">
        <v>2021</v>
      </c>
      <c r="M1873" s="8" t="s">
        <v>11546</v>
      </c>
      <c r="N1873" s="8" t="s">
        <v>56</v>
      </c>
      <c r="O1873" s="8" t="s">
        <v>57</v>
      </c>
      <c r="P1873" s="6" t="s">
        <v>366</v>
      </c>
      <c r="Q1873" s="8" t="s">
        <v>102</v>
      </c>
      <c r="R1873" s="10" t="s">
        <v>11547</v>
      </c>
      <c r="S1873" s="11" t="s">
        <v>11548</v>
      </c>
      <c r="T1873" s="6"/>
      <c r="U1873" s="24" t="str">
        <f>HYPERLINK("https://media.infra-m.ru/1567/1567549/cover/1567549.jpg", "Обложка")</f>
        <v>Обложка</v>
      </c>
      <c r="V1873" s="24" t="str">
        <f>HYPERLINK("https://znanium.ru/catalog/product/1567549", "Ознакомиться")</f>
        <v>Ознакомиться</v>
      </c>
      <c r="W1873" s="8" t="s">
        <v>4343</v>
      </c>
      <c r="X1873" s="6"/>
      <c r="Y1873" s="6"/>
      <c r="Z1873" s="6" t="s">
        <v>104</v>
      </c>
      <c r="AA1873" s="6" t="s">
        <v>793</v>
      </c>
      <c r="AB1873" s="8"/>
    </row>
    <row r="1874" spans="1:28" s="4" customFormat="1" ht="51.95" customHeight="1">
      <c r="A1874" s="5">
        <v>0</v>
      </c>
      <c r="B1874" s="6" t="s">
        <v>11549</v>
      </c>
      <c r="C1874" s="13">
        <v>2494</v>
      </c>
      <c r="D1874" s="8" t="s">
        <v>11550</v>
      </c>
      <c r="E1874" s="8" t="s">
        <v>11551</v>
      </c>
      <c r="F1874" s="8" t="s">
        <v>11552</v>
      </c>
      <c r="G1874" s="6" t="s">
        <v>52</v>
      </c>
      <c r="H1874" s="6" t="s">
        <v>53</v>
      </c>
      <c r="I1874" s="8" t="s">
        <v>100</v>
      </c>
      <c r="J1874" s="9">
        <v>1</v>
      </c>
      <c r="K1874" s="9">
        <v>526</v>
      </c>
      <c r="L1874" s="9">
        <v>2025</v>
      </c>
      <c r="M1874" s="8" t="s">
        <v>11553</v>
      </c>
      <c r="N1874" s="8" t="s">
        <v>56</v>
      </c>
      <c r="O1874" s="8" t="s">
        <v>57</v>
      </c>
      <c r="P1874" s="6" t="s">
        <v>43</v>
      </c>
      <c r="Q1874" s="8" t="s">
        <v>102</v>
      </c>
      <c r="R1874" s="10" t="s">
        <v>11554</v>
      </c>
      <c r="S1874" s="11" t="s">
        <v>11555</v>
      </c>
      <c r="T1874" s="6"/>
      <c r="U1874" s="24" t="str">
        <f>HYPERLINK("https://media.infra-m.ru/2174/2174152/cover/2174152.jpg", "Обложка")</f>
        <v>Обложка</v>
      </c>
      <c r="V1874" s="24" t="str">
        <f>HYPERLINK("https://znanium.ru/catalog/product/1871923", "Ознакомиться")</f>
        <v>Ознакомиться</v>
      </c>
      <c r="W1874" s="8" t="s">
        <v>1345</v>
      </c>
      <c r="X1874" s="6"/>
      <c r="Y1874" s="6"/>
      <c r="Z1874" s="6" t="s">
        <v>104</v>
      </c>
      <c r="AA1874" s="6" t="s">
        <v>207</v>
      </c>
      <c r="AB1874" s="8"/>
    </row>
    <row r="1875" spans="1:28" s="4" customFormat="1" ht="51.95" customHeight="1">
      <c r="A1875" s="5">
        <v>0</v>
      </c>
      <c r="B1875" s="6" t="s">
        <v>11556</v>
      </c>
      <c r="C1875" s="13">
        <v>2420</v>
      </c>
      <c r="D1875" s="8" t="s">
        <v>11557</v>
      </c>
      <c r="E1875" s="8" t="s">
        <v>11551</v>
      </c>
      <c r="F1875" s="8" t="s">
        <v>11552</v>
      </c>
      <c r="G1875" s="6" t="s">
        <v>52</v>
      </c>
      <c r="H1875" s="6" t="s">
        <v>53</v>
      </c>
      <c r="I1875" s="8" t="s">
        <v>90</v>
      </c>
      <c r="J1875" s="9">
        <v>1</v>
      </c>
      <c r="K1875" s="9">
        <v>526</v>
      </c>
      <c r="L1875" s="9">
        <v>2023</v>
      </c>
      <c r="M1875" s="8" t="s">
        <v>11558</v>
      </c>
      <c r="N1875" s="8" t="s">
        <v>56</v>
      </c>
      <c r="O1875" s="8" t="s">
        <v>57</v>
      </c>
      <c r="P1875" s="6" t="s">
        <v>43</v>
      </c>
      <c r="Q1875" s="8" t="s">
        <v>44</v>
      </c>
      <c r="R1875" s="10" t="s">
        <v>11559</v>
      </c>
      <c r="S1875" s="11" t="s">
        <v>11560</v>
      </c>
      <c r="T1875" s="6"/>
      <c r="U1875" s="24" t="str">
        <f>HYPERLINK("https://media.infra-m.ru/1983/1983273/cover/1983273.jpg", "Обложка")</f>
        <v>Обложка</v>
      </c>
      <c r="V1875" s="24" t="str">
        <f>HYPERLINK("https://znanium.ru/catalog/product/1983273", "Ознакомиться")</f>
        <v>Ознакомиться</v>
      </c>
      <c r="W1875" s="8" t="s">
        <v>1345</v>
      </c>
      <c r="X1875" s="6"/>
      <c r="Y1875" s="6"/>
      <c r="Z1875" s="6"/>
      <c r="AA1875" s="6" t="s">
        <v>235</v>
      </c>
      <c r="AB1875" s="8"/>
    </row>
    <row r="1876" spans="1:28" s="4" customFormat="1" ht="51.95" customHeight="1">
      <c r="A1876" s="5">
        <v>0</v>
      </c>
      <c r="B1876" s="6" t="s">
        <v>11561</v>
      </c>
      <c r="C1876" s="13">
        <v>1170</v>
      </c>
      <c r="D1876" s="8" t="s">
        <v>11562</v>
      </c>
      <c r="E1876" s="8" t="s">
        <v>11563</v>
      </c>
      <c r="F1876" s="8" t="s">
        <v>11564</v>
      </c>
      <c r="G1876" s="6" t="s">
        <v>89</v>
      </c>
      <c r="H1876" s="6" t="s">
        <v>53</v>
      </c>
      <c r="I1876" s="8" t="s">
        <v>116</v>
      </c>
      <c r="J1876" s="9">
        <v>1</v>
      </c>
      <c r="K1876" s="9">
        <v>247</v>
      </c>
      <c r="L1876" s="9">
        <v>2024</v>
      </c>
      <c r="M1876" s="8" t="s">
        <v>11565</v>
      </c>
      <c r="N1876" s="8" t="s">
        <v>41</v>
      </c>
      <c r="O1876" s="8" t="s">
        <v>42</v>
      </c>
      <c r="P1876" s="6" t="s">
        <v>43</v>
      </c>
      <c r="Q1876" s="8" t="s">
        <v>44</v>
      </c>
      <c r="R1876" s="10" t="s">
        <v>11566</v>
      </c>
      <c r="S1876" s="11" t="s">
        <v>11567</v>
      </c>
      <c r="T1876" s="6" t="s">
        <v>299</v>
      </c>
      <c r="U1876" s="24" t="str">
        <f>HYPERLINK("https://media.infra-m.ru/2140/2140959/cover/2140959.jpg", "Обложка")</f>
        <v>Обложка</v>
      </c>
      <c r="V1876" s="24" t="str">
        <f>HYPERLINK("https://znanium.ru/catalog/product/2140959", "Ознакомиться")</f>
        <v>Ознакомиться</v>
      </c>
      <c r="W1876" s="8" t="s">
        <v>11568</v>
      </c>
      <c r="X1876" s="6"/>
      <c r="Y1876" s="6"/>
      <c r="Z1876" s="6"/>
      <c r="AA1876" s="6" t="s">
        <v>160</v>
      </c>
      <c r="AB1876" s="8"/>
    </row>
    <row r="1877" spans="1:28" s="4" customFormat="1" ht="33" customHeight="1">
      <c r="A1877" s="5">
        <v>0</v>
      </c>
      <c r="B1877" s="6" t="s">
        <v>11569</v>
      </c>
      <c r="C1877" s="13">
        <v>1694.9</v>
      </c>
      <c r="D1877" s="8" t="s">
        <v>11570</v>
      </c>
      <c r="E1877" s="8" t="s">
        <v>11571</v>
      </c>
      <c r="F1877" s="8" t="s">
        <v>11572</v>
      </c>
      <c r="G1877" s="6" t="s">
        <v>52</v>
      </c>
      <c r="H1877" s="6" t="s">
        <v>674</v>
      </c>
      <c r="I1877" s="8"/>
      <c r="J1877" s="9">
        <v>1</v>
      </c>
      <c r="K1877" s="9">
        <v>608</v>
      </c>
      <c r="L1877" s="9">
        <v>2020</v>
      </c>
      <c r="M1877" s="8" t="s">
        <v>11573</v>
      </c>
      <c r="N1877" s="8" t="s">
        <v>41</v>
      </c>
      <c r="O1877" s="8" t="s">
        <v>676</v>
      </c>
      <c r="P1877" s="6" t="s">
        <v>1046</v>
      </c>
      <c r="Q1877" s="8" t="s">
        <v>279</v>
      </c>
      <c r="R1877" s="10" t="s">
        <v>11574</v>
      </c>
      <c r="S1877" s="11"/>
      <c r="T1877" s="6"/>
      <c r="U1877" s="12"/>
      <c r="V1877" s="24" t="str">
        <f>HYPERLINK("https://znanium.ru/catalog/product/1896815", "Ознакомиться")</f>
        <v>Ознакомиться</v>
      </c>
      <c r="W1877" s="8" t="s">
        <v>354</v>
      </c>
      <c r="X1877" s="6"/>
      <c r="Y1877" s="6"/>
      <c r="Z1877" s="6"/>
      <c r="AA1877" s="6" t="s">
        <v>47</v>
      </c>
      <c r="AB1877" s="8"/>
    </row>
    <row r="1878" spans="1:28" s="4" customFormat="1" ht="42" customHeight="1">
      <c r="A1878" s="5">
        <v>0</v>
      </c>
      <c r="B1878" s="6" t="s">
        <v>11575</v>
      </c>
      <c r="C1878" s="13">
        <v>1680</v>
      </c>
      <c r="D1878" s="8" t="s">
        <v>11576</v>
      </c>
      <c r="E1878" s="8" t="s">
        <v>11577</v>
      </c>
      <c r="F1878" s="8" t="s">
        <v>11578</v>
      </c>
      <c r="G1878" s="6" t="s">
        <v>89</v>
      </c>
      <c r="H1878" s="6" t="s">
        <v>184</v>
      </c>
      <c r="I1878" s="8" t="s">
        <v>116</v>
      </c>
      <c r="J1878" s="9">
        <v>1</v>
      </c>
      <c r="K1878" s="9">
        <v>336</v>
      </c>
      <c r="L1878" s="9">
        <v>2025</v>
      </c>
      <c r="M1878" s="8" t="s">
        <v>11579</v>
      </c>
      <c r="N1878" s="8" t="s">
        <v>41</v>
      </c>
      <c r="O1878" s="8" t="s">
        <v>42</v>
      </c>
      <c r="P1878" s="6" t="s">
        <v>43</v>
      </c>
      <c r="Q1878" s="8" t="s">
        <v>58</v>
      </c>
      <c r="R1878" s="10" t="s">
        <v>11580</v>
      </c>
      <c r="S1878" s="11"/>
      <c r="T1878" s="6"/>
      <c r="U1878" s="24" t="str">
        <f>HYPERLINK("https://media.infra-m.ru/2185/2185316/cover/2185316.jpg", "Обложка")</f>
        <v>Обложка</v>
      </c>
      <c r="V1878" s="24" t="str">
        <f>HYPERLINK("https://znanium.ru/catalog/product/2185316", "Ознакомиться")</f>
        <v>Ознакомиться</v>
      </c>
      <c r="W1878" s="8" t="s">
        <v>8784</v>
      </c>
      <c r="X1878" s="6"/>
      <c r="Y1878" s="6"/>
      <c r="Z1878" s="6"/>
      <c r="AA1878" s="6" t="s">
        <v>151</v>
      </c>
      <c r="AB1878" s="8"/>
    </row>
    <row r="1879" spans="1:28" s="4" customFormat="1" ht="51.95" customHeight="1">
      <c r="A1879" s="5">
        <v>0</v>
      </c>
      <c r="B1879" s="6" t="s">
        <v>11581</v>
      </c>
      <c r="C1879" s="13">
        <v>2180</v>
      </c>
      <c r="D1879" s="8" t="s">
        <v>11582</v>
      </c>
      <c r="E1879" s="8" t="s">
        <v>11583</v>
      </c>
      <c r="F1879" s="8" t="s">
        <v>11584</v>
      </c>
      <c r="G1879" s="6" t="s">
        <v>52</v>
      </c>
      <c r="H1879" s="6" t="s">
        <v>77</v>
      </c>
      <c r="I1879" s="8" t="s">
        <v>116</v>
      </c>
      <c r="J1879" s="9">
        <v>1</v>
      </c>
      <c r="K1879" s="9">
        <v>435</v>
      </c>
      <c r="L1879" s="9">
        <v>2025</v>
      </c>
      <c r="M1879" s="8" t="s">
        <v>11585</v>
      </c>
      <c r="N1879" s="8" t="s">
        <v>41</v>
      </c>
      <c r="O1879" s="8" t="s">
        <v>42</v>
      </c>
      <c r="P1879" s="6" t="s">
        <v>167</v>
      </c>
      <c r="Q1879" s="8" t="s">
        <v>44</v>
      </c>
      <c r="R1879" s="10" t="s">
        <v>11580</v>
      </c>
      <c r="S1879" s="11" t="s">
        <v>11586</v>
      </c>
      <c r="T1879" s="6"/>
      <c r="U1879" s="24" t="str">
        <f>HYPERLINK("https://media.infra-m.ru/2163/2163186/cover/2163186.jpg", "Обложка")</f>
        <v>Обложка</v>
      </c>
      <c r="V1879" s="24" t="str">
        <f>HYPERLINK("https://znanium.ru/catalog/product/2163186", "Ознакомиться")</f>
        <v>Ознакомиться</v>
      </c>
      <c r="W1879" s="8" t="s">
        <v>83</v>
      </c>
      <c r="X1879" s="6"/>
      <c r="Y1879" s="6"/>
      <c r="Z1879" s="6"/>
      <c r="AA1879" s="6" t="s">
        <v>1374</v>
      </c>
      <c r="AB1879" s="8"/>
    </row>
    <row r="1880" spans="1:28" s="4" customFormat="1" ht="51.95" customHeight="1">
      <c r="A1880" s="5">
        <v>0</v>
      </c>
      <c r="B1880" s="6" t="s">
        <v>11587</v>
      </c>
      <c r="C1880" s="13">
        <v>1314.9</v>
      </c>
      <c r="D1880" s="8" t="s">
        <v>11588</v>
      </c>
      <c r="E1880" s="8" t="s">
        <v>11577</v>
      </c>
      <c r="F1880" s="8" t="s">
        <v>11515</v>
      </c>
      <c r="G1880" s="6" t="s">
        <v>52</v>
      </c>
      <c r="H1880" s="6" t="s">
        <v>77</v>
      </c>
      <c r="I1880" s="8" t="s">
        <v>77</v>
      </c>
      <c r="J1880" s="9">
        <v>1</v>
      </c>
      <c r="K1880" s="9">
        <v>411</v>
      </c>
      <c r="L1880" s="9">
        <v>2019</v>
      </c>
      <c r="M1880" s="8" t="s">
        <v>11589</v>
      </c>
      <c r="N1880" s="8" t="s">
        <v>41</v>
      </c>
      <c r="O1880" s="8" t="s">
        <v>42</v>
      </c>
      <c r="P1880" s="6" t="s">
        <v>167</v>
      </c>
      <c r="Q1880" s="8" t="s">
        <v>44</v>
      </c>
      <c r="R1880" s="10" t="s">
        <v>11580</v>
      </c>
      <c r="S1880" s="11" t="s">
        <v>11590</v>
      </c>
      <c r="T1880" s="6"/>
      <c r="U1880" s="24" t="str">
        <f>HYPERLINK("https://media.infra-m.ru/0991/0991847/cover/991847.jpg", "Обложка")</f>
        <v>Обложка</v>
      </c>
      <c r="V1880" s="24" t="str">
        <f>HYPERLINK("https://znanium.ru/catalog/product/2163186", "Ознакомиться")</f>
        <v>Ознакомиться</v>
      </c>
      <c r="W1880" s="8" t="s">
        <v>83</v>
      </c>
      <c r="X1880" s="6"/>
      <c r="Y1880" s="6"/>
      <c r="Z1880" s="6"/>
      <c r="AA1880" s="6" t="s">
        <v>1135</v>
      </c>
      <c r="AB1880" s="8"/>
    </row>
    <row r="1881" spans="1:28" s="4" customFormat="1" ht="42" customHeight="1">
      <c r="A1881" s="5">
        <v>0</v>
      </c>
      <c r="B1881" s="6" t="s">
        <v>11591</v>
      </c>
      <c r="C1881" s="13">
        <v>1130</v>
      </c>
      <c r="D1881" s="8" t="s">
        <v>11592</v>
      </c>
      <c r="E1881" s="8" t="s">
        <v>11583</v>
      </c>
      <c r="F1881" s="8" t="s">
        <v>11593</v>
      </c>
      <c r="G1881" s="6" t="s">
        <v>89</v>
      </c>
      <c r="H1881" s="6" t="s">
        <v>53</v>
      </c>
      <c r="I1881" s="8" t="s">
        <v>116</v>
      </c>
      <c r="J1881" s="9">
        <v>1</v>
      </c>
      <c r="K1881" s="9">
        <v>239</v>
      </c>
      <c r="L1881" s="9">
        <v>2024</v>
      </c>
      <c r="M1881" s="8" t="s">
        <v>11594</v>
      </c>
      <c r="N1881" s="8" t="s">
        <v>41</v>
      </c>
      <c r="O1881" s="8" t="s">
        <v>42</v>
      </c>
      <c r="P1881" s="6" t="s">
        <v>167</v>
      </c>
      <c r="Q1881" s="8" t="s">
        <v>44</v>
      </c>
      <c r="R1881" s="10" t="s">
        <v>11580</v>
      </c>
      <c r="S1881" s="11"/>
      <c r="T1881" s="6" t="s">
        <v>299</v>
      </c>
      <c r="U1881" s="24" t="str">
        <f>HYPERLINK("https://media.infra-m.ru/2141/2141106/cover/2141106.jpg", "Обложка")</f>
        <v>Обложка</v>
      </c>
      <c r="V1881" s="24" t="str">
        <f>HYPERLINK("https://znanium.ru/catalog/product/2141106", "Ознакомиться")</f>
        <v>Ознакомиться</v>
      </c>
      <c r="W1881" s="8" t="s">
        <v>11595</v>
      </c>
      <c r="X1881" s="6"/>
      <c r="Y1881" s="6"/>
      <c r="Z1881" s="6"/>
      <c r="AA1881" s="6" t="s">
        <v>377</v>
      </c>
      <c r="AB1881" s="8"/>
    </row>
    <row r="1882" spans="1:28" s="4" customFormat="1" ht="51.95" customHeight="1">
      <c r="A1882" s="5">
        <v>0</v>
      </c>
      <c r="B1882" s="6" t="s">
        <v>11596</v>
      </c>
      <c r="C1882" s="13">
        <v>1814</v>
      </c>
      <c r="D1882" s="8" t="s">
        <v>11597</v>
      </c>
      <c r="E1882" s="8" t="s">
        <v>11598</v>
      </c>
      <c r="F1882" s="8" t="s">
        <v>11599</v>
      </c>
      <c r="G1882" s="6" t="s">
        <v>52</v>
      </c>
      <c r="H1882" s="6" t="s">
        <v>77</v>
      </c>
      <c r="I1882" s="8"/>
      <c r="J1882" s="9">
        <v>1</v>
      </c>
      <c r="K1882" s="9">
        <v>393</v>
      </c>
      <c r="L1882" s="9">
        <v>2024</v>
      </c>
      <c r="M1882" s="8" t="s">
        <v>11600</v>
      </c>
      <c r="N1882" s="8" t="s">
        <v>41</v>
      </c>
      <c r="O1882" s="8" t="s">
        <v>42</v>
      </c>
      <c r="P1882" s="6" t="s">
        <v>43</v>
      </c>
      <c r="Q1882" s="8" t="s">
        <v>44</v>
      </c>
      <c r="R1882" s="10" t="s">
        <v>11580</v>
      </c>
      <c r="S1882" s="11" t="s">
        <v>11601</v>
      </c>
      <c r="T1882" s="6" t="s">
        <v>299</v>
      </c>
      <c r="U1882" s="24" t="str">
        <f>HYPERLINK("https://media.infra-m.ru/2079/2079171/cover/2079171.jpg", "Обложка")</f>
        <v>Обложка</v>
      </c>
      <c r="V1882" s="24" t="str">
        <f>HYPERLINK("https://znanium.ru/catalog/product/2079171", "Ознакомиться")</f>
        <v>Ознакомиться</v>
      </c>
      <c r="W1882" s="8" t="s">
        <v>83</v>
      </c>
      <c r="X1882" s="6"/>
      <c r="Y1882" s="6"/>
      <c r="Z1882" s="6"/>
      <c r="AA1882" s="6" t="s">
        <v>11602</v>
      </c>
      <c r="AB1882" s="8"/>
    </row>
    <row r="1883" spans="1:28" s="4" customFormat="1" ht="42" customHeight="1">
      <c r="A1883" s="5">
        <v>0</v>
      </c>
      <c r="B1883" s="6" t="s">
        <v>11603</v>
      </c>
      <c r="C1883" s="13">
        <v>1334</v>
      </c>
      <c r="D1883" s="8" t="s">
        <v>11604</v>
      </c>
      <c r="E1883" s="8" t="s">
        <v>11577</v>
      </c>
      <c r="F1883" s="8" t="s">
        <v>11605</v>
      </c>
      <c r="G1883" s="6" t="s">
        <v>52</v>
      </c>
      <c r="H1883" s="6" t="s">
        <v>649</v>
      </c>
      <c r="I1883" s="8" t="s">
        <v>116</v>
      </c>
      <c r="J1883" s="9">
        <v>1</v>
      </c>
      <c r="K1883" s="9">
        <v>256</v>
      </c>
      <c r="L1883" s="9">
        <v>2025</v>
      </c>
      <c r="M1883" s="8" t="s">
        <v>11606</v>
      </c>
      <c r="N1883" s="8" t="s">
        <v>41</v>
      </c>
      <c r="O1883" s="8" t="s">
        <v>42</v>
      </c>
      <c r="P1883" s="6" t="s">
        <v>43</v>
      </c>
      <c r="Q1883" s="8" t="s">
        <v>44</v>
      </c>
      <c r="R1883" s="10" t="s">
        <v>11580</v>
      </c>
      <c r="S1883" s="11"/>
      <c r="T1883" s="6"/>
      <c r="U1883" s="24" t="str">
        <f>HYPERLINK("https://media.infra-m.ru/2196/2196074/cover/2196074.jpg", "Обложка")</f>
        <v>Обложка</v>
      </c>
      <c r="V1883" s="24" t="str">
        <f>HYPERLINK("https://znanium.ru/catalog/product/1014753", "Ознакомиться")</f>
        <v>Ознакомиться</v>
      </c>
      <c r="W1883" s="8" t="s">
        <v>2216</v>
      </c>
      <c r="X1883" s="6"/>
      <c r="Y1883" s="6"/>
      <c r="Z1883" s="6"/>
      <c r="AA1883" s="6" t="s">
        <v>111</v>
      </c>
      <c r="AB1883" s="8"/>
    </row>
    <row r="1884" spans="1:28" s="4" customFormat="1" ht="51.95" customHeight="1">
      <c r="A1884" s="5">
        <v>0</v>
      </c>
      <c r="B1884" s="6" t="s">
        <v>11607</v>
      </c>
      <c r="C1884" s="13">
        <v>1560</v>
      </c>
      <c r="D1884" s="8" t="s">
        <v>11608</v>
      </c>
      <c r="E1884" s="8" t="s">
        <v>11583</v>
      </c>
      <c r="F1884" s="8" t="s">
        <v>11609</v>
      </c>
      <c r="G1884" s="6" t="s">
        <v>89</v>
      </c>
      <c r="H1884" s="6" t="s">
        <v>53</v>
      </c>
      <c r="I1884" s="8" t="s">
        <v>116</v>
      </c>
      <c r="J1884" s="9">
        <v>1</v>
      </c>
      <c r="K1884" s="9">
        <v>333</v>
      </c>
      <c r="L1884" s="9">
        <v>2024</v>
      </c>
      <c r="M1884" s="8" t="s">
        <v>11610</v>
      </c>
      <c r="N1884" s="8" t="s">
        <v>41</v>
      </c>
      <c r="O1884" s="8" t="s">
        <v>42</v>
      </c>
      <c r="P1884" s="6" t="s">
        <v>43</v>
      </c>
      <c r="Q1884" s="8" t="s">
        <v>44</v>
      </c>
      <c r="R1884" s="10" t="s">
        <v>11580</v>
      </c>
      <c r="S1884" s="11" t="s">
        <v>11611</v>
      </c>
      <c r="T1884" s="6"/>
      <c r="U1884" s="24" t="str">
        <f>HYPERLINK("https://media.infra-m.ru/2151/2151386/cover/2151386.jpg", "Обложка")</f>
        <v>Обложка</v>
      </c>
      <c r="V1884" s="24" t="str">
        <f>HYPERLINK("https://znanium.ru/catalog/product/2151386", "Ознакомиться")</f>
        <v>Ознакомиться</v>
      </c>
      <c r="W1884" s="8" t="s">
        <v>71</v>
      </c>
      <c r="X1884" s="6"/>
      <c r="Y1884" s="6"/>
      <c r="Z1884" s="6"/>
      <c r="AA1884" s="6" t="s">
        <v>11612</v>
      </c>
      <c r="AB1884" s="8"/>
    </row>
    <row r="1885" spans="1:28" s="4" customFormat="1" ht="51.95" customHeight="1">
      <c r="A1885" s="5">
        <v>0</v>
      </c>
      <c r="B1885" s="6" t="s">
        <v>11613</v>
      </c>
      <c r="C1885" s="7">
        <v>920</v>
      </c>
      <c r="D1885" s="8" t="s">
        <v>11614</v>
      </c>
      <c r="E1885" s="8" t="s">
        <v>11615</v>
      </c>
      <c r="F1885" s="8" t="s">
        <v>11616</v>
      </c>
      <c r="G1885" s="6" t="s">
        <v>89</v>
      </c>
      <c r="H1885" s="6" t="s">
        <v>53</v>
      </c>
      <c r="I1885" s="8" t="s">
        <v>276</v>
      </c>
      <c r="J1885" s="9">
        <v>1</v>
      </c>
      <c r="K1885" s="9">
        <v>204</v>
      </c>
      <c r="L1885" s="9">
        <v>2023</v>
      </c>
      <c r="M1885" s="8" t="s">
        <v>11617</v>
      </c>
      <c r="N1885" s="8" t="s">
        <v>41</v>
      </c>
      <c r="O1885" s="8" t="s">
        <v>42</v>
      </c>
      <c r="P1885" s="6" t="s">
        <v>43</v>
      </c>
      <c r="Q1885" s="8" t="s">
        <v>279</v>
      </c>
      <c r="R1885" s="10" t="s">
        <v>11618</v>
      </c>
      <c r="S1885" s="11" t="s">
        <v>11619</v>
      </c>
      <c r="T1885" s="6"/>
      <c r="U1885" s="24" t="str">
        <f>HYPERLINK("https://media.infra-m.ru/1914/1914096/cover/1914096.jpg", "Обложка")</f>
        <v>Обложка</v>
      </c>
      <c r="V1885" s="24" t="str">
        <f>HYPERLINK("https://znanium.ru/catalog/product/1002341", "Ознакомиться")</f>
        <v>Ознакомиться</v>
      </c>
      <c r="W1885" s="8" t="s">
        <v>11620</v>
      </c>
      <c r="X1885" s="6"/>
      <c r="Y1885" s="6"/>
      <c r="Z1885" s="6"/>
      <c r="AA1885" s="6" t="s">
        <v>258</v>
      </c>
      <c r="AB1885" s="8"/>
    </row>
    <row r="1886" spans="1:28" s="4" customFormat="1" ht="51.95" customHeight="1">
      <c r="A1886" s="5">
        <v>0</v>
      </c>
      <c r="B1886" s="6" t="s">
        <v>11621</v>
      </c>
      <c r="C1886" s="13">
        <v>2970</v>
      </c>
      <c r="D1886" s="8" t="s">
        <v>11622</v>
      </c>
      <c r="E1886" s="8" t="s">
        <v>11623</v>
      </c>
      <c r="F1886" s="8" t="s">
        <v>11624</v>
      </c>
      <c r="G1886" s="6" t="s">
        <v>52</v>
      </c>
      <c r="H1886" s="6" t="s">
        <v>53</v>
      </c>
      <c r="I1886" s="8" t="s">
        <v>116</v>
      </c>
      <c r="J1886" s="9">
        <v>1</v>
      </c>
      <c r="K1886" s="9">
        <v>647</v>
      </c>
      <c r="L1886" s="9">
        <v>2024</v>
      </c>
      <c r="M1886" s="8" t="s">
        <v>11625</v>
      </c>
      <c r="N1886" s="8" t="s">
        <v>413</v>
      </c>
      <c r="O1886" s="8" t="s">
        <v>1141</v>
      </c>
      <c r="P1886" s="6" t="s">
        <v>167</v>
      </c>
      <c r="Q1886" s="8" t="s">
        <v>44</v>
      </c>
      <c r="R1886" s="10" t="s">
        <v>11626</v>
      </c>
      <c r="S1886" s="11" t="s">
        <v>11627</v>
      </c>
      <c r="T1886" s="6"/>
      <c r="U1886" s="24" t="str">
        <f>HYPERLINK("https://media.infra-m.ru/2091/2091898/cover/2091898.jpg", "Обложка")</f>
        <v>Обложка</v>
      </c>
      <c r="V1886" s="24" t="str">
        <f>HYPERLINK("https://znanium.ru/catalog/product/2091898", "Ознакомиться")</f>
        <v>Ознакомиться</v>
      </c>
      <c r="W1886" s="8" t="s">
        <v>189</v>
      </c>
      <c r="X1886" s="6"/>
      <c r="Y1886" s="6"/>
      <c r="Z1886" s="6"/>
      <c r="AA1886" s="6" t="s">
        <v>418</v>
      </c>
      <c r="AB1886" s="8"/>
    </row>
    <row r="1887" spans="1:28" s="4" customFormat="1" ht="51.95" customHeight="1">
      <c r="A1887" s="5">
        <v>0</v>
      </c>
      <c r="B1887" s="6" t="s">
        <v>11628</v>
      </c>
      <c r="C1887" s="13">
        <v>1260</v>
      </c>
      <c r="D1887" s="8" t="s">
        <v>11629</v>
      </c>
      <c r="E1887" s="8" t="s">
        <v>11630</v>
      </c>
      <c r="F1887" s="8" t="s">
        <v>11631</v>
      </c>
      <c r="G1887" s="6" t="s">
        <v>89</v>
      </c>
      <c r="H1887" s="6" t="s">
        <v>39</v>
      </c>
      <c r="I1887" s="8" t="s">
        <v>90</v>
      </c>
      <c r="J1887" s="9">
        <v>1</v>
      </c>
      <c r="K1887" s="9">
        <v>272</v>
      </c>
      <c r="L1887" s="9">
        <v>2023</v>
      </c>
      <c r="M1887" s="8" t="s">
        <v>11632</v>
      </c>
      <c r="N1887" s="8" t="s">
        <v>413</v>
      </c>
      <c r="O1887" s="8" t="s">
        <v>414</v>
      </c>
      <c r="P1887" s="6" t="s">
        <v>167</v>
      </c>
      <c r="Q1887" s="8" t="s">
        <v>44</v>
      </c>
      <c r="R1887" s="10" t="s">
        <v>11633</v>
      </c>
      <c r="S1887" s="11"/>
      <c r="T1887" s="6"/>
      <c r="U1887" s="24" t="str">
        <f>HYPERLINK("https://media.infra-m.ru/2124/2124360/cover/2124360.jpg", "Обложка")</f>
        <v>Обложка</v>
      </c>
      <c r="V1887" s="24" t="str">
        <f>HYPERLINK("https://znanium.ru/catalog/product/2124360", "Ознакомиться")</f>
        <v>Ознакомиться</v>
      </c>
      <c r="W1887" s="8" t="s">
        <v>9739</v>
      </c>
      <c r="X1887" s="6"/>
      <c r="Y1887" s="6"/>
      <c r="Z1887" s="6"/>
      <c r="AA1887" s="6" t="s">
        <v>479</v>
      </c>
      <c r="AB1887" s="8"/>
    </row>
    <row r="1888" spans="1:28" s="4" customFormat="1" ht="51.95" customHeight="1">
      <c r="A1888" s="5">
        <v>0</v>
      </c>
      <c r="B1888" s="6" t="s">
        <v>11634</v>
      </c>
      <c r="C1888" s="13">
        <v>1224</v>
      </c>
      <c r="D1888" s="8" t="s">
        <v>11635</v>
      </c>
      <c r="E1888" s="8" t="s">
        <v>11630</v>
      </c>
      <c r="F1888" s="8" t="s">
        <v>11636</v>
      </c>
      <c r="G1888" s="6" t="s">
        <v>89</v>
      </c>
      <c r="H1888" s="6" t="s">
        <v>39</v>
      </c>
      <c r="I1888" s="8" t="s">
        <v>100</v>
      </c>
      <c r="J1888" s="9">
        <v>1</v>
      </c>
      <c r="K1888" s="9">
        <v>272</v>
      </c>
      <c r="L1888" s="9">
        <v>2023</v>
      </c>
      <c r="M1888" s="8" t="s">
        <v>11637</v>
      </c>
      <c r="N1888" s="8" t="s">
        <v>413</v>
      </c>
      <c r="O1888" s="8" t="s">
        <v>414</v>
      </c>
      <c r="P1888" s="6" t="s">
        <v>167</v>
      </c>
      <c r="Q1888" s="8" t="s">
        <v>102</v>
      </c>
      <c r="R1888" s="10" t="s">
        <v>11638</v>
      </c>
      <c r="S1888" s="11" t="s">
        <v>11639</v>
      </c>
      <c r="T1888" s="6"/>
      <c r="U1888" s="24" t="str">
        <f>HYPERLINK("https://media.infra-m.ru/2021/2021426/cover/2021426.jpg", "Обложка")</f>
        <v>Обложка</v>
      </c>
      <c r="V1888" s="24" t="str">
        <f>HYPERLINK("https://znanium.ru/catalog/product/2184263", "Ознакомиться")</f>
        <v>Ознакомиться</v>
      </c>
      <c r="W1888" s="8" t="s">
        <v>9739</v>
      </c>
      <c r="X1888" s="6"/>
      <c r="Y1888" s="6"/>
      <c r="Z1888" s="6" t="s">
        <v>104</v>
      </c>
      <c r="AA1888" s="6" t="s">
        <v>196</v>
      </c>
      <c r="AB1888" s="8"/>
    </row>
    <row r="1889" spans="1:28" s="4" customFormat="1" ht="51.95" customHeight="1">
      <c r="A1889" s="5">
        <v>0</v>
      </c>
      <c r="B1889" s="6" t="s">
        <v>11640</v>
      </c>
      <c r="C1889" s="13">
        <v>1300</v>
      </c>
      <c r="D1889" s="8" t="s">
        <v>11641</v>
      </c>
      <c r="E1889" s="8" t="s">
        <v>11642</v>
      </c>
      <c r="F1889" s="8" t="s">
        <v>11636</v>
      </c>
      <c r="G1889" s="6" t="s">
        <v>89</v>
      </c>
      <c r="H1889" s="6" t="s">
        <v>39</v>
      </c>
      <c r="I1889" s="8" t="s">
        <v>100</v>
      </c>
      <c r="J1889" s="9">
        <v>1</v>
      </c>
      <c r="K1889" s="9">
        <v>244</v>
      </c>
      <c r="L1889" s="9">
        <v>2025</v>
      </c>
      <c r="M1889" s="8" t="s">
        <v>11643</v>
      </c>
      <c r="N1889" s="8" t="s">
        <v>413</v>
      </c>
      <c r="O1889" s="8" t="s">
        <v>414</v>
      </c>
      <c r="P1889" s="6" t="s">
        <v>167</v>
      </c>
      <c r="Q1889" s="8" t="s">
        <v>102</v>
      </c>
      <c r="R1889" s="10" t="s">
        <v>11638</v>
      </c>
      <c r="S1889" s="11"/>
      <c r="T1889" s="6"/>
      <c r="U1889" s="24" t="str">
        <f>HYPERLINK("https://media.infra-m.ru/2184/2184263/cover/2184263.jpg", "Обложка")</f>
        <v>Обложка</v>
      </c>
      <c r="V1889" s="24" t="str">
        <f>HYPERLINK("https://znanium.ru/catalog/product/2184263", "Ознакомиться")</f>
        <v>Ознакомиться</v>
      </c>
      <c r="W1889" s="8" t="s">
        <v>9739</v>
      </c>
      <c r="X1889" s="6"/>
      <c r="Y1889" s="6"/>
      <c r="Z1889" s="6" t="s">
        <v>104</v>
      </c>
      <c r="AA1889" s="6" t="s">
        <v>3787</v>
      </c>
      <c r="AB1889" s="8"/>
    </row>
    <row r="1890" spans="1:28" s="4" customFormat="1" ht="51.95" customHeight="1">
      <c r="A1890" s="5">
        <v>0</v>
      </c>
      <c r="B1890" s="6" t="s">
        <v>11644</v>
      </c>
      <c r="C1890" s="13">
        <v>1300</v>
      </c>
      <c r="D1890" s="8" t="s">
        <v>11645</v>
      </c>
      <c r="E1890" s="8" t="s">
        <v>11642</v>
      </c>
      <c r="F1890" s="8" t="s">
        <v>11646</v>
      </c>
      <c r="G1890" s="6" t="s">
        <v>52</v>
      </c>
      <c r="H1890" s="6" t="s">
        <v>39</v>
      </c>
      <c r="I1890" s="8" t="s">
        <v>116</v>
      </c>
      <c r="J1890" s="9">
        <v>1</v>
      </c>
      <c r="K1890" s="9">
        <v>244</v>
      </c>
      <c r="L1890" s="9">
        <v>2024</v>
      </c>
      <c r="M1890" s="8" t="s">
        <v>11647</v>
      </c>
      <c r="N1890" s="8" t="s">
        <v>413</v>
      </c>
      <c r="O1890" s="8" t="s">
        <v>414</v>
      </c>
      <c r="P1890" s="6" t="s">
        <v>167</v>
      </c>
      <c r="Q1890" s="8" t="s">
        <v>44</v>
      </c>
      <c r="R1890" s="10" t="s">
        <v>11633</v>
      </c>
      <c r="S1890" s="11"/>
      <c r="T1890" s="6"/>
      <c r="U1890" s="24" t="str">
        <f>HYPERLINK("https://media.infra-m.ru/1085/1085322/cover/1085322.jpg", "Обложка")</f>
        <v>Обложка</v>
      </c>
      <c r="V1890" s="24" t="str">
        <f>HYPERLINK("https://znanium.ru/catalog/product/2124360", "Ознакомиться")</f>
        <v>Ознакомиться</v>
      </c>
      <c r="W1890" s="8" t="s">
        <v>9739</v>
      </c>
      <c r="X1890" s="6"/>
      <c r="Y1890" s="6"/>
      <c r="Z1890" s="6"/>
      <c r="AA1890" s="6" t="s">
        <v>3787</v>
      </c>
      <c r="AB1890" s="8"/>
    </row>
    <row r="1891" spans="1:28" s="4" customFormat="1" ht="51.95" customHeight="1">
      <c r="A1891" s="5">
        <v>0</v>
      </c>
      <c r="B1891" s="6" t="s">
        <v>11648</v>
      </c>
      <c r="C1891" s="13">
        <v>1204.9000000000001</v>
      </c>
      <c r="D1891" s="8" t="s">
        <v>11649</v>
      </c>
      <c r="E1891" s="8" t="s">
        <v>11650</v>
      </c>
      <c r="F1891" s="8" t="s">
        <v>11651</v>
      </c>
      <c r="G1891" s="6" t="s">
        <v>52</v>
      </c>
      <c r="H1891" s="6" t="s">
        <v>53</v>
      </c>
      <c r="I1891" s="8" t="s">
        <v>90</v>
      </c>
      <c r="J1891" s="9">
        <v>1</v>
      </c>
      <c r="K1891" s="9">
        <v>268</v>
      </c>
      <c r="L1891" s="9">
        <v>2023</v>
      </c>
      <c r="M1891" s="8" t="s">
        <v>11652</v>
      </c>
      <c r="N1891" s="8" t="s">
        <v>413</v>
      </c>
      <c r="O1891" s="8" t="s">
        <v>1141</v>
      </c>
      <c r="P1891" s="6" t="s">
        <v>43</v>
      </c>
      <c r="Q1891" s="8" t="s">
        <v>44</v>
      </c>
      <c r="R1891" s="10" t="s">
        <v>11653</v>
      </c>
      <c r="S1891" s="11" t="s">
        <v>11654</v>
      </c>
      <c r="T1891" s="6"/>
      <c r="U1891" s="24" t="str">
        <f>HYPERLINK("https://media.infra-m.ru/2006/2006903/cover/2006903.jpg", "Обложка")</f>
        <v>Обложка</v>
      </c>
      <c r="V1891" s="24" t="str">
        <f>HYPERLINK("https://znanium.ru/catalog/product/1013010", "Ознакомиться")</f>
        <v>Ознакомиться</v>
      </c>
      <c r="W1891" s="8" t="s">
        <v>347</v>
      </c>
      <c r="X1891" s="6"/>
      <c r="Y1891" s="6"/>
      <c r="Z1891" s="6"/>
      <c r="AA1891" s="6" t="s">
        <v>219</v>
      </c>
      <c r="AB1891" s="8"/>
    </row>
    <row r="1892" spans="1:28" s="4" customFormat="1" ht="51.95" customHeight="1">
      <c r="A1892" s="5">
        <v>0</v>
      </c>
      <c r="B1892" s="6" t="s">
        <v>11655</v>
      </c>
      <c r="C1892" s="13">
        <v>3130</v>
      </c>
      <c r="D1892" s="8" t="s">
        <v>11656</v>
      </c>
      <c r="E1892" s="8" t="s">
        <v>11657</v>
      </c>
      <c r="F1892" s="8" t="s">
        <v>11658</v>
      </c>
      <c r="G1892" s="6" t="s">
        <v>52</v>
      </c>
      <c r="H1892" s="6" t="s">
        <v>674</v>
      </c>
      <c r="I1892" s="8"/>
      <c r="J1892" s="9">
        <v>1</v>
      </c>
      <c r="K1892" s="9">
        <v>624</v>
      </c>
      <c r="L1892" s="9">
        <v>2025</v>
      </c>
      <c r="M1892" s="8" t="s">
        <v>11659</v>
      </c>
      <c r="N1892" s="8" t="s">
        <v>41</v>
      </c>
      <c r="O1892" s="8" t="s">
        <v>1007</v>
      </c>
      <c r="P1892" s="6" t="s">
        <v>167</v>
      </c>
      <c r="Q1892" s="8" t="s">
        <v>44</v>
      </c>
      <c r="R1892" s="10" t="s">
        <v>11660</v>
      </c>
      <c r="S1892" s="11"/>
      <c r="T1892" s="6"/>
      <c r="U1892" s="24" t="str">
        <f>HYPERLINK("https://media.infra-m.ru/2181/2181627/cover/2181627.jpg", "Обложка")</f>
        <v>Обложка</v>
      </c>
      <c r="V1892" s="24" t="str">
        <f>HYPERLINK("https://znanium.ru/catalog/product/2181627", "Ознакомиться")</f>
        <v>Ознакомиться</v>
      </c>
      <c r="W1892" s="8" t="s">
        <v>947</v>
      </c>
      <c r="X1892" s="6"/>
      <c r="Y1892" s="6"/>
      <c r="Z1892" s="6"/>
      <c r="AA1892" s="6" t="s">
        <v>644</v>
      </c>
      <c r="AB1892" s="8"/>
    </row>
    <row r="1893" spans="1:28" s="4" customFormat="1" ht="51.95" customHeight="1">
      <c r="A1893" s="5">
        <v>0</v>
      </c>
      <c r="B1893" s="6" t="s">
        <v>11661</v>
      </c>
      <c r="C1893" s="13">
        <v>1794</v>
      </c>
      <c r="D1893" s="8" t="s">
        <v>11662</v>
      </c>
      <c r="E1893" s="8" t="s">
        <v>11663</v>
      </c>
      <c r="F1893" s="8" t="s">
        <v>11664</v>
      </c>
      <c r="G1893" s="6" t="s">
        <v>89</v>
      </c>
      <c r="H1893" s="6" t="s">
        <v>438</v>
      </c>
      <c r="I1893" s="8"/>
      <c r="J1893" s="9">
        <v>1</v>
      </c>
      <c r="K1893" s="9">
        <v>360</v>
      </c>
      <c r="L1893" s="9">
        <v>2025</v>
      </c>
      <c r="M1893" s="8" t="s">
        <v>11665</v>
      </c>
      <c r="N1893" s="8" t="s">
        <v>413</v>
      </c>
      <c r="O1893" s="8" t="s">
        <v>1141</v>
      </c>
      <c r="P1893" s="6" t="s">
        <v>167</v>
      </c>
      <c r="Q1893" s="8" t="s">
        <v>44</v>
      </c>
      <c r="R1893" s="10" t="s">
        <v>11666</v>
      </c>
      <c r="S1893" s="11" t="s">
        <v>11667</v>
      </c>
      <c r="T1893" s="6"/>
      <c r="U1893" s="24" t="str">
        <f>HYPERLINK("https://media.infra-m.ru/2179/2179105/cover/2179105.jpg", "Обложка")</f>
        <v>Обложка</v>
      </c>
      <c r="V1893" s="24" t="str">
        <f>HYPERLINK("https://znanium.ru/catalog/product/1094750", "Ознакомиться")</f>
        <v>Ознакомиться</v>
      </c>
      <c r="W1893" s="8" t="s">
        <v>8824</v>
      </c>
      <c r="X1893" s="6"/>
      <c r="Y1893" s="6"/>
      <c r="Z1893" s="6"/>
      <c r="AA1893" s="6" t="s">
        <v>84</v>
      </c>
      <c r="AB1893" s="8"/>
    </row>
    <row r="1894" spans="1:28" s="4" customFormat="1" ht="51.95" customHeight="1">
      <c r="A1894" s="5">
        <v>0</v>
      </c>
      <c r="B1894" s="6" t="s">
        <v>11668</v>
      </c>
      <c r="C1894" s="13">
        <v>2350</v>
      </c>
      <c r="D1894" s="8" t="s">
        <v>11669</v>
      </c>
      <c r="E1894" s="8" t="s">
        <v>11670</v>
      </c>
      <c r="F1894" s="8" t="s">
        <v>11671</v>
      </c>
      <c r="G1894" s="6" t="s">
        <v>52</v>
      </c>
      <c r="H1894" s="6" t="s">
        <v>674</v>
      </c>
      <c r="I1894" s="8"/>
      <c r="J1894" s="9">
        <v>1</v>
      </c>
      <c r="K1894" s="9">
        <v>464</v>
      </c>
      <c r="L1894" s="9">
        <v>2025</v>
      </c>
      <c r="M1894" s="8" t="s">
        <v>11672</v>
      </c>
      <c r="N1894" s="8" t="s">
        <v>41</v>
      </c>
      <c r="O1894" s="8" t="s">
        <v>676</v>
      </c>
      <c r="P1894" s="6" t="s">
        <v>167</v>
      </c>
      <c r="Q1894" s="8" t="s">
        <v>44</v>
      </c>
      <c r="R1894" s="10" t="s">
        <v>2736</v>
      </c>
      <c r="S1894" s="11"/>
      <c r="T1894" s="6"/>
      <c r="U1894" s="24" t="str">
        <f>HYPERLINK("https://media.infra-m.ru/2179/2179209/cover/2179209.jpg", "Обложка")</f>
        <v>Обложка</v>
      </c>
      <c r="V1894" s="24" t="str">
        <f>HYPERLINK("https://znanium.ru/catalog/product/2179209", "Ознакомиться")</f>
        <v>Ознакомиться</v>
      </c>
      <c r="W1894" s="8" t="s">
        <v>11673</v>
      </c>
      <c r="X1894" s="6"/>
      <c r="Y1894" s="6"/>
      <c r="Z1894" s="6"/>
      <c r="AA1894" s="6" t="s">
        <v>1135</v>
      </c>
      <c r="AB1894" s="8"/>
    </row>
    <row r="1895" spans="1:28" s="4" customFormat="1" ht="44.1" customHeight="1">
      <c r="A1895" s="5">
        <v>0</v>
      </c>
      <c r="B1895" s="6" t="s">
        <v>11674</v>
      </c>
      <c r="C1895" s="13">
        <v>2834</v>
      </c>
      <c r="D1895" s="8" t="s">
        <v>11675</v>
      </c>
      <c r="E1895" s="8" t="s">
        <v>11676</v>
      </c>
      <c r="F1895" s="8" t="s">
        <v>11677</v>
      </c>
      <c r="G1895" s="6" t="s">
        <v>52</v>
      </c>
      <c r="H1895" s="6" t="s">
        <v>39</v>
      </c>
      <c r="I1895" s="8" t="s">
        <v>90</v>
      </c>
      <c r="J1895" s="9">
        <v>1</v>
      </c>
      <c r="K1895" s="9">
        <v>544</v>
      </c>
      <c r="L1895" s="9">
        <v>2025</v>
      </c>
      <c r="M1895" s="8" t="s">
        <v>11678</v>
      </c>
      <c r="N1895" s="8" t="s">
        <v>56</v>
      </c>
      <c r="O1895" s="8" t="s">
        <v>57</v>
      </c>
      <c r="P1895" s="6" t="s">
        <v>43</v>
      </c>
      <c r="Q1895" s="8" t="s">
        <v>44</v>
      </c>
      <c r="R1895" s="10" t="s">
        <v>11679</v>
      </c>
      <c r="S1895" s="11"/>
      <c r="T1895" s="6"/>
      <c r="U1895" s="24" t="str">
        <f>HYPERLINK("https://media.infra-m.ru/2197/2197843/cover/2197843.jpg", "Обложка")</f>
        <v>Обложка</v>
      </c>
      <c r="V1895" s="24" t="str">
        <f>HYPERLINK("https://znanium.ru/catalog/product/1189334", "Ознакомиться")</f>
        <v>Ознакомиться</v>
      </c>
      <c r="W1895" s="8" t="s">
        <v>4293</v>
      </c>
      <c r="X1895" s="6"/>
      <c r="Y1895" s="6"/>
      <c r="Z1895" s="6"/>
      <c r="AA1895" s="6" t="s">
        <v>111</v>
      </c>
      <c r="AB1895" s="8"/>
    </row>
    <row r="1896" spans="1:28" s="4" customFormat="1" ht="51.95" customHeight="1">
      <c r="A1896" s="5">
        <v>0</v>
      </c>
      <c r="B1896" s="6" t="s">
        <v>11680</v>
      </c>
      <c r="C1896" s="13">
        <v>1844</v>
      </c>
      <c r="D1896" s="8" t="s">
        <v>11681</v>
      </c>
      <c r="E1896" s="8" t="s">
        <v>11682</v>
      </c>
      <c r="F1896" s="8" t="s">
        <v>11683</v>
      </c>
      <c r="G1896" s="6" t="s">
        <v>52</v>
      </c>
      <c r="H1896" s="6" t="s">
        <v>53</v>
      </c>
      <c r="I1896" s="8" t="s">
        <v>90</v>
      </c>
      <c r="J1896" s="9">
        <v>1</v>
      </c>
      <c r="K1896" s="9">
        <v>400</v>
      </c>
      <c r="L1896" s="9">
        <v>2024</v>
      </c>
      <c r="M1896" s="8" t="s">
        <v>11684</v>
      </c>
      <c r="N1896" s="8" t="s">
        <v>413</v>
      </c>
      <c r="O1896" s="8" t="s">
        <v>1141</v>
      </c>
      <c r="P1896" s="6" t="s">
        <v>167</v>
      </c>
      <c r="Q1896" s="8" t="s">
        <v>44</v>
      </c>
      <c r="R1896" s="10" t="s">
        <v>11685</v>
      </c>
      <c r="S1896" s="11" t="s">
        <v>11686</v>
      </c>
      <c r="T1896" s="6"/>
      <c r="U1896" s="24" t="str">
        <f>HYPERLINK("https://media.infra-m.ru/1894/1894479/cover/1894479.jpg", "Обложка")</f>
        <v>Обложка</v>
      </c>
      <c r="V1896" s="24" t="str">
        <f>HYPERLINK("https://znanium.ru/catalog/product/1149108", "Ознакомиться")</f>
        <v>Ознакомиться</v>
      </c>
      <c r="W1896" s="8" t="s">
        <v>189</v>
      </c>
      <c r="X1896" s="6"/>
      <c r="Y1896" s="6"/>
      <c r="Z1896" s="6"/>
      <c r="AA1896" s="6" t="s">
        <v>84</v>
      </c>
      <c r="AB1896" s="8"/>
    </row>
    <row r="1897" spans="1:28" s="4" customFormat="1" ht="51.95" customHeight="1">
      <c r="A1897" s="5">
        <v>0</v>
      </c>
      <c r="B1897" s="6" t="s">
        <v>11687</v>
      </c>
      <c r="C1897" s="13">
        <v>2200</v>
      </c>
      <c r="D1897" s="8" t="s">
        <v>11688</v>
      </c>
      <c r="E1897" s="8" t="s">
        <v>11689</v>
      </c>
      <c r="F1897" s="8" t="s">
        <v>11690</v>
      </c>
      <c r="G1897" s="6" t="s">
        <v>52</v>
      </c>
      <c r="H1897" s="6" t="s">
        <v>53</v>
      </c>
      <c r="I1897" s="8" t="s">
        <v>116</v>
      </c>
      <c r="J1897" s="9">
        <v>1</v>
      </c>
      <c r="K1897" s="9">
        <v>686</v>
      </c>
      <c r="L1897" s="9">
        <v>2023</v>
      </c>
      <c r="M1897" s="8" t="s">
        <v>11691</v>
      </c>
      <c r="N1897" s="8" t="s">
        <v>41</v>
      </c>
      <c r="O1897" s="8" t="s">
        <v>1007</v>
      </c>
      <c r="P1897" s="6" t="s">
        <v>167</v>
      </c>
      <c r="Q1897" s="8" t="s">
        <v>44</v>
      </c>
      <c r="R1897" s="10" t="s">
        <v>11692</v>
      </c>
      <c r="S1897" s="11" t="s">
        <v>11693</v>
      </c>
      <c r="T1897" s="6" t="s">
        <v>299</v>
      </c>
      <c r="U1897" s="24" t="str">
        <f>HYPERLINK("https://media.infra-m.ru/2110/2110931/cover/2110931.jpg", "Обложка")</f>
        <v>Обложка</v>
      </c>
      <c r="V1897" s="24" t="str">
        <f>HYPERLINK("https://znanium.ru/catalog/product/2096939", "Ознакомиться")</f>
        <v>Ознакомиться</v>
      </c>
      <c r="W1897" s="8" t="s">
        <v>5716</v>
      </c>
      <c r="X1897" s="6"/>
      <c r="Y1897" s="6"/>
      <c r="Z1897" s="6"/>
      <c r="AA1897" s="6" t="s">
        <v>11694</v>
      </c>
      <c r="AB1897" s="8"/>
    </row>
    <row r="1898" spans="1:28" s="4" customFormat="1" ht="42" customHeight="1">
      <c r="A1898" s="5">
        <v>0</v>
      </c>
      <c r="B1898" s="6" t="s">
        <v>11695</v>
      </c>
      <c r="C1898" s="7">
        <v>597</v>
      </c>
      <c r="D1898" s="8" t="s">
        <v>11696</v>
      </c>
      <c r="E1898" s="8" t="s">
        <v>11697</v>
      </c>
      <c r="F1898" s="8" t="s">
        <v>11698</v>
      </c>
      <c r="G1898" s="6" t="s">
        <v>38</v>
      </c>
      <c r="H1898" s="6" t="s">
        <v>39</v>
      </c>
      <c r="I1898" s="8"/>
      <c r="J1898" s="9">
        <v>5</v>
      </c>
      <c r="K1898" s="9">
        <v>88</v>
      </c>
      <c r="L1898" s="9">
        <v>2025</v>
      </c>
      <c r="M1898" s="8" t="s">
        <v>11699</v>
      </c>
      <c r="N1898" s="8" t="s">
        <v>56</v>
      </c>
      <c r="O1898" s="8" t="s">
        <v>57</v>
      </c>
      <c r="P1898" s="6" t="s">
        <v>43</v>
      </c>
      <c r="Q1898" s="8" t="s">
        <v>44</v>
      </c>
      <c r="R1898" s="10" t="s">
        <v>292</v>
      </c>
      <c r="S1898" s="11"/>
      <c r="T1898" s="6"/>
      <c r="U1898" s="24" t="str">
        <f>HYPERLINK("https://media.infra-m.ru/2196/2196093/cover/2196093.jpg", "Обложка")</f>
        <v>Обложка</v>
      </c>
      <c r="V1898" s="24" t="str">
        <f>HYPERLINK("https://znanium.ru/catalog/product/1840451", "Ознакомиться")</f>
        <v>Ознакомиться</v>
      </c>
      <c r="W1898" s="8" t="s">
        <v>6558</v>
      </c>
      <c r="X1898" s="6"/>
      <c r="Y1898" s="6"/>
      <c r="Z1898" s="6"/>
      <c r="AA1898" s="6" t="s">
        <v>111</v>
      </c>
      <c r="AB1898" s="8"/>
    </row>
    <row r="1899" spans="1:28" s="4" customFormat="1" ht="51.95" customHeight="1">
      <c r="A1899" s="5">
        <v>0</v>
      </c>
      <c r="B1899" s="6" t="s">
        <v>11700</v>
      </c>
      <c r="C1899" s="13">
        <v>1730</v>
      </c>
      <c r="D1899" s="8" t="s">
        <v>11701</v>
      </c>
      <c r="E1899" s="8" t="s">
        <v>11702</v>
      </c>
      <c r="F1899" s="8" t="s">
        <v>4875</v>
      </c>
      <c r="G1899" s="6" t="s">
        <v>89</v>
      </c>
      <c r="H1899" s="6" t="s">
        <v>53</v>
      </c>
      <c r="I1899" s="8" t="s">
        <v>100</v>
      </c>
      <c r="J1899" s="9">
        <v>1</v>
      </c>
      <c r="K1899" s="9">
        <v>345</v>
      </c>
      <c r="L1899" s="9">
        <v>2025</v>
      </c>
      <c r="M1899" s="8" t="s">
        <v>11703</v>
      </c>
      <c r="N1899" s="8" t="s">
        <v>997</v>
      </c>
      <c r="O1899" s="8" t="s">
        <v>998</v>
      </c>
      <c r="P1899" s="6" t="s">
        <v>175</v>
      </c>
      <c r="Q1899" s="8" t="s">
        <v>102</v>
      </c>
      <c r="R1899" s="10" t="s">
        <v>11704</v>
      </c>
      <c r="S1899" s="11" t="s">
        <v>11705</v>
      </c>
      <c r="T1899" s="6"/>
      <c r="U1899" s="24" t="str">
        <f>HYPERLINK("https://media.infra-m.ru/2180/2180536/cover/2180536.jpg", "Обложка")</f>
        <v>Обложка</v>
      </c>
      <c r="V1899" s="24" t="str">
        <f>HYPERLINK("https://znanium.ru/catalog/product/2180536", "Ознакомиться")</f>
        <v>Ознакомиться</v>
      </c>
      <c r="W1899" s="8" t="s">
        <v>71</v>
      </c>
      <c r="X1899" s="6"/>
      <c r="Y1899" s="6"/>
      <c r="Z1899" s="6"/>
      <c r="AA1899" s="6" t="s">
        <v>793</v>
      </c>
      <c r="AB1899" s="8"/>
    </row>
    <row r="1900" spans="1:28" s="4" customFormat="1" ht="51.95" customHeight="1">
      <c r="A1900" s="5">
        <v>0</v>
      </c>
      <c r="B1900" s="6" t="s">
        <v>11706</v>
      </c>
      <c r="C1900" s="7">
        <v>600</v>
      </c>
      <c r="D1900" s="8" t="s">
        <v>11707</v>
      </c>
      <c r="E1900" s="8" t="s">
        <v>11708</v>
      </c>
      <c r="F1900" s="8" t="s">
        <v>11709</v>
      </c>
      <c r="G1900" s="6" t="s">
        <v>38</v>
      </c>
      <c r="H1900" s="6" t="s">
        <v>39</v>
      </c>
      <c r="I1900" s="8" t="s">
        <v>100</v>
      </c>
      <c r="J1900" s="9">
        <v>1</v>
      </c>
      <c r="K1900" s="9">
        <v>88</v>
      </c>
      <c r="L1900" s="9">
        <v>2025</v>
      </c>
      <c r="M1900" s="8" t="s">
        <v>11710</v>
      </c>
      <c r="N1900" s="8" t="s">
        <v>997</v>
      </c>
      <c r="O1900" s="8" t="s">
        <v>998</v>
      </c>
      <c r="P1900" s="6" t="s">
        <v>43</v>
      </c>
      <c r="Q1900" s="8" t="s">
        <v>102</v>
      </c>
      <c r="R1900" s="10" t="s">
        <v>11711</v>
      </c>
      <c r="S1900" s="11" t="s">
        <v>11712</v>
      </c>
      <c r="T1900" s="6"/>
      <c r="U1900" s="24" t="str">
        <f>HYPERLINK("https://media.infra-m.ru/2170/2170452/cover/2170452.jpg", "Обложка")</f>
        <v>Обложка</v>
      </c>
      <c r="V1900" s="24" t="str">
        <f>HYPERLINK("https://znanium.ru/catalog/product/2170452", "Ознакомиться")</f>
        <v>Ознакомиться</v>
      </c>
      <c r="W1900" s="8" t="s">
        <v>605</v>
      </c>
      <c r="X1900" s="6"/>
      <c r="Y1900" s="6"/>
      <c r="Z1900" s="6"/>
      <c r="AA1900" s="6" t="s">
        <v>72</v>
      </c>
      <c r="AB1900" s="8"/>
    </row>
    <row r="1901" spans="1:28" s="4" customFormat="1" ht="51.95" customHeight="1">
      <c r="A1901" s="5">
        <v>0</v>
      </c>
      <c r="B1901" s="6" t="s">
        <v>11713</v>
      </c>
      <c r="C1901" s="13">
        <v>2070</v>
      </c>
      <c r="D1901" s="8" t="s">
        <v>11714</v>
      </c>
      <c r="E1901" s="8" t="s">
        <v>11715</v>
      </c>
      <c r="F1901" s="8" t="s">
        <v>11716</v>
      </c>
      <c r="G1901" s="6" t="s">
        <v>52</v>
      </c>
      <c r="H1901" s="6" t="s">
        <v>53</v>
      </c>
      <c r="I1901" s="8" t="s">
        <v>116</v>
      </c>
      <c r="J1901" s="9">
        <v>1</v>
      </c>
      <c r="K1901" s="9">
        <v>414</v>
      </c>
      <c r="L1901" s="9">
        <v>2025</v>
      </c>
      <c r="M1901" s="8" t="s">
        <v>11717</v>
      </c>
      <c r="N1901" s="8" t="s">
        <v>79</v>
      </c>
      <c r="O1901" s="8" t="s">
        <v>396</v>
      </c>
      <c r="P1901" s="6" t="s">
        <v>43</v>
      </c>
      <c r="Q1901" s="8" t="s">
        <v>44</v>
      </c>
      <c r="R1901" s="10" t="s">
        <v>11718</v>
      </c>
      <c r="S1901" s="11" t="s">
        <v>11719</v>
      </c>
      <c r="T1901" s="6"/>
      <c r="U1901" s="24" t="str">
        <f>HYPERLINK("https://media.infra-m.ru/2185/2185162/cover/2185162.jpg", "Обложка")</f>
        <v>Обложка</v>
      </c>
      <c r="V1901" s="24" t="str">
        <f>HYPERLINK("https://znanium.ru/catalog/product/2185162", "Ознакомиться")</f>
        <v>Ознакомиться</v>
      </c>
      <c r="W1901" s="8" t="s">
        <v>637</v>
      </c>
      <c r="X1901" s="6"/>
      <c r="Y1901" s="6"/>
      <c r="Z1901" s="6" t="s">
        <v>335</v>
      </c>
      <c r="AA1901" s="6" t="s">
        <v>707</v>
      </c>
      <c r="AB1901" s="8"/>
    </row>
    <row r="1902" spans="1:28" s="4" customFormat="1" ht="51.95" customHeight="1">
      <c r="A1902" s="5">
        <v>0</v>
      </c>
      <c r="B1902" s="6" t="s">
        <v>11720</v>
      </c>
      <c r="C1902" s="13">
        <v>1124</v>
      </c>
      <c r="D1902" s="8" t="s">
        <v>11721</v>
      </c>
      <c r="E1902" s="8" t="s">
        <v>11722</v>
      </c>
      <c r="F1902" s="8" t="s">
        <v>11723</v>
      </c>
      <c r="G1902" s="6" t="s">
        <v>52</v>
      </c>
      <c r="H1902" s="6" t="s">
        <v>53</v>
      </c>
      <c r="I1902" s="8" t="s">
        <v>90</v>
      </c>
      <c r="J1902" s="9">
        <v>1</v>
      </c>
      <c r="K1902" s="9">
        <v>244</v>
      </c>
      <c r="L1902" s="9">
        <v>2023</v>
      </c>
      <c r="M1902" s="8" t="s">
        <v>11724</v>
      </c>
      <c r="N1902" s="8" t="s">
        <v>79</v>
      </c>
      <c r="O1902" s="8" t="s">
        <v>396</v>
      </c>
      <c r="P1902" s="6" t="s">
        <v>43</v>
      </c>
      <c r="Q1902" s="8" t="s">
        <v>44</v>
      </c>
      <c r="R1902" s="10" t="s">
        <v>7643</v>
      </c>
      <c r="S1902" s="11" t="s">
        <v>11725</v>
      </c>
      <c r="T1902" s="6"/>
      <c r="U1902" s="24" t="str">
        <f>HYPERLINK("https://media.infra-m.ru/2006/2006077/cover/2006077.jpg", "Обложка")</f>
        <v>Обложка</v>
      </c>
      <c r="V1902" s="24" t="str">
        <f>HYPERLINK("https://znanium.ru/catalog/product/1022070", "Ознакомиться")</f>
        <v>Ознакомиться</v>
      </c>
      <c r="W1902" s="8" t="s">
        <v>462</v>
      </c>
      <c r="X1902" s="6"/>
      <c r="Y1902" s="6"/>
      <c r="Z1902" s="6"/>
      <c r="AA1902" s="6" t="s">
        <v>638</v>
      </c>
      <c r="AB1902" s="8"/>
    </row>
    <row r="1903" spans="1:28" s="4" customFormat="1" ht="51.95" customHeight="1">
      <c r="A1903" s="5">
        <v>0</v>
      </c>
      <c r="B1903" s="6" t="s">
        <v>11726</v>
      </c>
      <c r="C1903" s="13">
        <v>2074</v>
      </c>
      <c r="D1903" s="8" t="s">
        <v>11727</v>
      </c>
      <c r="E1903" s="8" t="s">
        <v>11715</v>
      </c>
      <c r="F1903" s="8" t="s">
        <v>11728</v>
      </c>
      <c r="G1903" s="6" t="s">
        <v>89</v>
      </c>
      <c r="H1903" s="6" t="s">
        <v>53</v>
      </c>
      <c r="I1903" s="8" t="s">
        <v>100</v>
      </c>
      <c r="J1903" s="9">
        <v>1</v>
      </c>
      <c r="K1903" s="9">
        <v>414</v>
      </c>
      <c r="L1903" s="9">
        <v>2025</v>
      </c>
      <c r="M1903" s="8" t="s">
        <v>11729</v>
      </c>
      <c r="N1903" s="8" t="s">
        <v>79</v>
      </c>
      <c r="O1903" s="8" t="s">
        <v>396</v>
      </c>
      <c r="P1903" s="6" t="s">
        <v>43</v>
      </c>
      <c r="Q1903" s="8" t="s">
        <v>102</v>
      </c>
      <c r="R1903" s="10" t="s">
        <v>11730</v>
      </c>
      <c r="S1903" s="11" t="s">
        <v>11731</v>
      </c>
      <c r="T1903" s="6"/>
      <c r="U1903" s="24" t="str">
        <f>HYPERLINK("https://media.infra-m.ru/2187/2187226/cover/2187226.jpg", "Обложка")</f>
        <v>Обложка</v>
      </c>
      <c r="V1903" s="24" t="str">
        <f>HYPERLINK("https://znanium.ru/catalog/product/1906706", "Ознакомиться")</f>
        <v>Ознакомиться</v>
      </c>
      <c r="W1903" s="8" t="s">
        <v>637</v>
      </c>
      <c r="X1903" s="6"/>
      <c r="Y1903" s="6"/>
      <c r="Z1903" s="6"/>
      <c r="AA1903" s="6" t="s">
        <v>7663</v>
      </c>
      <c r="AB1903" s="8"/>
    </row>
    <row r="1904" spans="1:28" s="4" customFormat="1" ht="51.95" customHeight="1">
      <c r="A1904" s="5">
        <v>0</v>
      </c>
      <c r="B1904" s="6" t="s">
        <v>11732</v>
      </c>
      <c r="C1904" s="13">
        <v>1260</v>
      </c>
      <c r="D1904" s="8" t="s">
        <v>11733</v>
      </c>
      <c r="E1904" s="8" t="s">
        <v>11734</v>
      </c>
      <c r="F1904" s="8" t="s">
        <v>711</v>
      </c>
      <c r="G1904" s="6" t="s">
        <v>52</v>
      </c>
      <c r="H1904" s="6" t="s">
        <v>53</v>
      </c>
      <c r="I1904" s="8" t="s">
        <v>712</v>
      </c>
      <c r="J1904" s="9">
        <v>1</v>
      </c>
      <c r="K1904" s="9">
        <v>259</v>
      </c>
      <c r="L1904" s="9">
        <v>2024</v>
      </c>
      <c r="M1904" s="8" t="s">
        <v>11735</v>
      </c>
      <c r="N1904" s="8" t="s">
        <v>79</v>
      </c>
      <c r="O1904" s="8" t="s">
        <v>684</v>
      </c>
      <c r="P1904" s="6" t="s">
        <v>43</v>
      </c>
      <c r="Q1904" s="8" t="s">
        <v>44</v>
      </c>
      <c r="R1904" s="10" t="s">
        <v>11736</v>
      </c>
      <c r="S1904" s="11" t="s">
        <v>11737</v>
      </c>
      <c r="T1904" s="6"/>
      <c r="U1904" s="24" t="str">
        <f>HYPERLINK("https://media.infra-m.ru/2116/2116152/cover/2116152.jpg", "Обложка")</f>
        <v>Обложка</v>
      </c>
      <c r="V1904" s="24" t="str">
        <f>HYPERLINK("https://znanium.ru/catalog/product/2116152", "Ознакомиться")</f>
        <v>Ознакомиться</v>
      </c>
      <c r="W1904" s="8" t="s">
        <v>716</v>
      </c>
      <c r="X1904" s="6"/>
      <c r="Y1904" s="6"/>
      <c r="Z1904" s="6"/>
      <c r="AA1904" s="6" t="s">
        <v>133</v>
      </c>
      <c r="AB1904" s="8"/>
    </row>
    <row r="1905" spans="1:28" s="4" customFormat="1" ht="42" customHeight="1">
      <c r="A1905" s="5">
        <v>0</v>
      </c>
      <c r="B1905" s="6" t="s">
        <v>11738</v>
      </c>
      <c r="C1905" s="13">
        <v>1390</v>
      </c>
      <c r="D1905" s="8" t="s">
        <v>11739</v>
      </c>
      <c r="E1905" s="8" t="s">
        <v>11740</v>
      </c>
      <c r="F1905" s="8" t="s">
        <v>11741</v>
      </c>
      <c r="G1905" s="6" t="s">
        <v>89</v>
      </c>
      <c r="H1905" s="6" t="s">
        <v>184</v>
      </c>
      <c r="I1905" s="8" t="s">
        <v>276</v>
      </c>
      <c r="J1905" s="9">
        <v>1</v>
      </c>
      <c r="K1905" s="9">
        <v>302</v>
      </c>
      <c r="L1905" s="9">
        <v>2024</v>
      </c>
      <c r="M1905" s="8" t="s">
        <v>11742</v>
      </c>
      <c r="N1905" s="8" t="s">
        <v>997</v>
      </c>
      <c r="O1905" s="8" t="s">
        <v>998</v>
      </c>
      <c r="P1905" s="6" t="s">
        <v>43</v>
      </c>
      <c r="Q1905" s="8" t="s">
        <v>1047</v>
      </c>
      <c r="R1905" s="10" t="s">
        <v>11743</v>
      </c>
      <c r="S1905" s="11"/>
      <c r="T1905" s="6"/>
      <c r="U1905" s="24" t="str">
        <f>HYPERLINK("https://media.infra-m.ru/2074/2074328/cover/2074328.jpg", "Обложка")</f>
        <v>Обложка</v>
      </c>
      <c r="V1905" s="24" t="str">
        <f>HYPERLINK("https://znanium.ru/catalog/product/2074328", "Ознакомиться")</f>
        <v>Ознакомиться</v>
      </c>
      <c r="W1905" s="8" t="s">
        <v>399</v>
      </c>
      <c r="X1905" s="6"/>
      <c r="Y1905" s="6"/>
      <c r="Z1905" s="6"/>
      <c r="AA1905" s="6" t="s">
        <v>442</v>
      </c>
      <c r="AB1905" s="8"/>
    </row>
    <row r="1906" spans="1:28" s="4" customFormat="1" ht="51.95" customHeight="1">
      <c r="A1906" s="5">
        <v>0</v>
      </c>
      <c r="B1906" s="6" t="s">
        <v>11744</v>
      </c>
      <c r="C1906" s="13">
        <v>1094.9000000000001</v>
      </c>
      <c r="D1906" s="8" t="s">
        <v>11745</v>
      </c>
      <c r="E1906" s="8" t="s">
        <v>11746</v>
      </c>
      <c r="F1906" s="8" t="s">
        <v>3386</v>
      </c>
      <c r="G1906" s="6" t="s">
        <v>52</v>
      </c>
      <c r="H1906" s="6" t="s">
        <v>77</v>
      </c>
      <c r="I1906" s="8"/>
      <c r="J1906" s="9">
        <v>1</v>
      </c>
      <c r="K1906" s="9">
        <v>287</v>
      </c>
      <c r="L1906" s="9">
        <v>2022</v>
      </c>
      <c r="M1906" s="8" t="s">
        <v>11747</v>
      </c>
      <c r="N1906" s="8" t="s">
        <v>41</v>
      </c>
      <c r="O1906" s="8" t="s">
        <v>1007</v>
      </c>
      <c r="P1906" s="6" t="s">
        <v>43</v>
      </c>
      <c r="Q1906" s="8" t="s">
        <v>44</v>
      </c>
      <c r="R1906" s="10" t="s">
        <v>2461</v>
      </c>
      <c r="S1906" s="11" t="s">
        <v>11748</v>
      </c>
      <c r="T1906" s="6"/>
      <c r="U1906" s="24" t="str">
        <f>HYPERLINK("https://media.infra-m.ru/1853/1853928/cover/1853928.jpg", "Обложка")</f>
        <v>Обложка</v>
      </c>
      <c r="V1906" s="24" t="str">
        <f>HYPERLINK("https://znanium.ru/catalog/product/1000116", "Ознакомиться")</f>
        <v>Ознакомиться</v>
      </c>
      <c r="W1906" s="8" t="s">
        <v>3389</v>
      </c>
      <c r="X1906" s="6"/>
      <c r="Y1906" s="6"/>
      <c r="Z1906" s="6"/>
      <c r="AA1906" s="6" t="s">
        <v>418</v>
      </c>
      <c r="AB1906" s="8"/>
    </row>
    <row r="1907" spans="1:28" s="4" customFormat="1" ht="42" customHeight="1">
      <c r="A1907" s="5">
        <v>0</v>
      </c>
      <c r="B1907" s="6" t="s">
        <v>11749</v>
      </c>
      <c r="C1907" s="13">
        <v>1054</v>
      </c>
      <c r="D1907" s="8" t="s">
        <v>11750</v>
      </c>
      <c r="E1907" s="8" t="s">
        <v>11751</v>
      </c>
      <c r="F1907" s="8" t="s">
        <v>3392</v>
      </c>
      <c r="G1907" s="6" t="s">
        <v>38</v>
      </c>
      <c r="H1907" s="6" t="s">
        <v>77</v>
      </c>
      <c r="I1907" s="8"/>
      <c r="J1907" s="9">
        <v>1</v>
      </c>
      <c r="K1907" s="9">
        <v>228</v>
      </c>
      <c r="L1907" s="9">
        <v>2024</v>
      </c>
      <c r="M1907" s="8" t="s">
        <v>11752</v>
      </c>
      <c r="N1907" s="8" t="s">
        <v>41</v>
      </c>
      <c r="O1907" s="8" t="s">
        <v>1007</v>
      </c>
      <c r="P1907" s="6" t="s">
        <v>43</v>
      </c>
      <c r="Q1907" s="8" t="s">
        <v>44</v>
      </c>
      <c r="R1907" s="10" t="s">
        <v>1008</v>
      </c>
      <c r="S1907" s="11"/>
      <c r="T1907" s="6"/>
      <c r="U1907" s="24" t="str">
        <f>HYPERLINK("https://media.infra-m.ru/2053/2053253/cover/2053253.jpg", "Обложка")</f>
        <v>Обложка</v>
      </c>
      <c r="V1907" s="24" t="str">
        <f>HYPERLINK("https://znanium.ru/catalog/product/1836580", "Ознакомиться")</f>
        <v>Ознакомиться</v>
      </c>
      <c r="W1907" s="8" t="s">
        <v>3389</v>
      </c>
      <c r="X1907" s="6"/>
      <c r="Y1907" s="6"/>
      <c r="Z1907" s="6"/>
      <c r="AA1907" s="6" t="s">
        <v>887</v>
      </c>
      <c r="AB1907" s="8"/>
    </row>
    <row r="1908" spans="1:28" s="4" customFormat="1" ht="51.95" customHeight="1">
      <c r="A1908" s="5">
        <v>0</v>
      </c>
      <c r="B1908" s="6" t="s">
        <v>11753</v>
      </c>
      <c r="C1908" s="7">
        <v>484</v>
      </c>
      <c r="D1908" s="8" t="s">
        <v>11754</v>
      </c>
      <c r="E1908" s="8" t="s">
        <v>11755</v>
      </c>
      <c r="F1908" s="8" t="s">
        <v>11756</v>
      </c>
      <c r="G1908" s="6" t="s">
        <v>38</v>
      </c>
      <c r="H1908" s="6" t="s">
        <v>39</v>
      </c>
      <c r="I1908" s="8" t="s">
        <v>185</v>
      </c>
      <c r="J1908" s="9">
        <v>1</v>
      </c>
      <c r="K1908" s="9">
        <v>97</v>
      </c>
      <c r="L1908" s="9">
        <v>2025</v>
      </c>
      <c r="M1908" s="8" t="s">
        <v>11757</v>
      </c>
      <c r="N1908" s="8" t="s">
        <v>413</v>
      </c>
      <c r="O1908" s="8" t="s">
        <v>414</v>
      </c>
      <c r="P1908" s="6" t="s">
        <v>43</v>
      </c>
      <c r="Q1908" s="8" t="s">
        <v>102</v>
      </c>
      <c r="R1908" s="10" t="s">
        <v>11758</v>
      </c>
      <c r="S1908" s="11" t="s">
        <v>11759</v>
      </c>
      <c r="T1908" s="6"/>
      <c r="U1908" s="24" t="str">
        <f>HYPERLINK("https://media.infra-m.ru/2184/2184955/cover/2184955.jpg", "Обложка")</f>
        <v>Обложка</v>
      </c>
      <c r="V1908" s="24" t="str">
        <f>HYPERLINK("https://znanium.ru/catalog/product/1807365", "Ознакомиться")</f>
        <v>Ознакомиться</v>
      </c>
      <c r="W1908" s="8" t="s">
        <v>11760</v>
      </c>
      <c r="X1908" s="6"/>
      <c r="Y1908" s="6"/>
      <c r="Z1908" s="6"/>
      <c r="AA1908" s="6" t="s">
        <v>6283</v>
      </c>
      <c r="AB1908" s="8"/>
    </row>
    <row r="1909" spans="1:28" s="4" customFormat="1" ht="51.95" customHeight="1">
      <c r="A1909" s="5">
        <v>0</v>
      </c>
      <c r="B1909" s="6" t="s">
        <v>11761</v>
      </c>
      <c r="C1909" s="13">
        <v>2199</v>
      </c>
      <c r="D1909" s="8" t="s">
        <v>11762</v>
      </c>
      <c r="E1909" s="8" t="s">
        <v>11763</v>
      </c>
      <c r="F1909" s="8" t="s">
        <v>5829</v>
      </c>
      <c r="G1909" s="6" t="s">
        <v>89</v>
      </c>
      <c r="H1909" s="6" t="s">
        <v>39</v>
      </c>
      <c r="I1909" s="8" t="s">
        <v>100</v>
      </c>
      <c r="J1909" s="9">
        <v>1</v>
      </c>
      <c r="K1909" s="9">
        <v>368</v>
      </c>
      <c r="L1909" s="9">
        <v>2023</v>
      </c>
      <c r="M1909" s="8" t="s">
        <v>11764</v>
      </c>
      <c r="N1909" s="8" t="s">
        <v>56</v>
      </c>
      <c r="O1909" s="8" t="s">
        <v>2183</v>
      </c>
      <c r="P1909" s="6" t="s">
        <v>43</v>
      </c>
      <c r="Q1909" s="8" t="s">
        <v>102</v>
      </c>
      <c r="R1909" s="10" t="s">
        <v>11765</v>
      </c>
      <c r="S1909" s="11" t="s">
        <v>11766</v>
      </c>
      <c r="T1909" s="6"/>
      <c r="U1909" s="24" t="str">
        <f>HYPERLINK("https://media.infra-m.ru/1995/1995330/cover/1995330.jpg", "Обложка")</f>
        <v>Обложка</v>
      </c>
      <c r="V1909" s="24" t="str">
        <f>HYPERLINK("https://znanium.ru/catalog/product/1995330", "Ознакомиться")</f>
        <v>Ознакомиться</v>
      </c>
      <c r="W1909" s="8" t="s">
        <v>5825</v>
      </c>
      <c r="X1909" s="6"/>
      <c r="Y1909" s="6"/>
      <c r="Z1909" s="6" t="s">
        <v>104</v>
      </c>
      <c r="AA1909" s="6" t="s">
        <v>258</v>
      </c>
      <c r="AB1909" s="8"/>
    </row>
    <row r="1910" spans="1:28" s="4" customFormat="1" ht="51.95" customHeight="1">
      <c r="A1910" s="5">
        <v>0</v>
      </c>
      <c r="B1910" s="6" t="s">
        <v>11767</v>
      </c>
      <c r="C1910" s="13">
        <v>1464.9</v>
      </c>
      <c r="D1910" s="8" t="s">
        <v>11768</v>
      </c>
      <c r="E1910" s="8" t="s">
        <v>11769</v>
      </c>
      <c r="F1910" s="8" t="s">
        <v>11770</v>
      </c>
      <c r="G1910" s="6" t="s">
        <v>89</v>
      </c>
      <c r="H1910" s="6" t="s">
        <v>39</v>
      </c>
      <c r="I1910" s="8" t="s">
        <v>90</v>
      </c>
      <c r="J1910" s="9">
        <v>1</v>
      </c>
      <c r="K1910" s="9">
        <v>304</v>
      </c>
      <c r="L1910" s="9">
        <v>2022</v>
      </c>
      <c r="M1910" s="8" t="s">
        <v>11771</v>
      </c>
      <c r="N1910" s="8" t="s">
        <v>56</v>
      </c>
      <c r="O1910" s="8" t="s">
        <v>2183</v>
      </c>
      <c r="P1910" s="6" t="s">
        <v>43</v>
      </c>
      <c r="Q1910" s="8" t="s">
        <v>44</v>
      </c>
      <c r="R1910" s="10" t="s">
        <v>11772</v>
      </c>
      <c r="S1910" s="11" t="s">
        <v>11773</v>
      </c>
      <c r="T1910" s="6"/>
      <c r="U1910" s="24" t="str">
        <f>HYPERLINK("https://media.infra-m.ru/1514/1514894/cover/1514894.jpg", "Обложка")</f>
        <v>Обложка</v>
      </c>
      <c r="V1910" s="24" t="str">
        <f>HYPERLINK("https://znanium.ru/catalog/product/2162418", "Ознакомиться")</f>
        <v>Ознакомиться</v>
      </c>
      <c r="W1910" s="8" t="s">
        <v>1703</v>
      </c>
      <c r="X1910" s="6"/>
      <c r="Y1910" s="6"/>
      <c r="Z1910" s="6"/>
      <c r="AA1910" s="6" t="s">
        <v>160</v>
      </c>
      <c r="AB1910" s="8"/>
    </row>
    <row r="1911" spans="1:28" s="4" customFormat="1" ht="51.95" customHeight="1">
      <c r="A1911" s="5">
        <v>0</v>
      </c>
      <c r="B1911" s="6" t="s">
        <v>11774</v>
      </c>
      <c r="C1911" s="13">
        <v>1500</v>
      </c>
      <c r="D1911" s="8" t="s">
        <v>11775</v>
      </c>
      <c r="E1911" s="8" t="s">
        <v>11769</v>
      </c>
      <c r="F1911" s="8" t="s">
        <v>11770</v>
      </c>
      <c r="G1911" s="6" t="s">
        <v>89</v>
      </c>
      <c r="H1911" s="6" t="s">
        <v>39</v>
      </c>
      <c r="I1911" s="8" t="s">
        <v>100</v>
      </c>
      <c r="J1911" s="9">
        <v>1</v>
      </c>
      <c r="K1911" s="9">
        <v>304</v>
      </c>
      <c r="L1911" s="9">
        <v>2022</v>
      </c>
      <c r="M1911" s="8" t="s">
        <v>11776</v>
      </c>
      <c r="N1911" s="8" t="s">
        <v>56</v>
      </c>
      <c r="O1911" s="8" t="s">
        <v>2183</v>
      </c>
      <c r="P1911" s="6" t="s">
        <v>43</v>
      </c>
      <c r="Q1911" s="8" t="s">
        <v>102</v>
      </c>
      <c r="R1911" s="10" t="s">
        <v>6023</v>
      </c>
      <c r="S1911" s="11" t="s">
        <v>11777</v>
      </c>
      <c r="T1911" s="6"/>
      <c r="U1911" s="24" t="str">
        <f>HYPERLINK("https://media.infra-m.ru/1860/1860078/cover/1860078.jpg", "Обложка")</f>
        <v>Обложка</v>
      </c>
      <c r="V1911" s="24" t="str">
        <f>HYPERLINK("https://znanium.ru/catalog/product/2186405", "Ознакомиться")</f>
        <v>Ознакомиться</v>
      </c>
      <c r="W1911" s="8" t="s">
        <v>1703</v>
      </c>
      <c r="X1911" s="6"/>
      <c r="Y1911" s="6"/>
      <c r="Z1911" s="6" t="s">
        <v>104</v>
      </c>
      <c r="AA1911" s="6" t="s">
        <v>1259</v>
      </c>
      <c r="AB1911" s="8"/>
    </row>
    <row r="1912" spans="1:28" s="4" customFormat="1" ht="42" customHeight="1">
      <c r="A1912" s="5">
        <v>0</v>
      </c>
      <c r="B1912" s="6" t="s">
        <v>11778</v>
      </c>
      <c r="C1912" s="13">
        <v>1970</v>
      </c>
      <c r="D1912" s="8" t="s">
        <v>11779</v>
      </c>
      <c r="E1912" s="8" t="s">
        <v>11780</v>
      </c>
      <c r="F1912" s="8" t="s">
        <v>11770</v>
      </c>
      <c r="G1912" s="6" t="s">
        <v>89</v>
      </c>
      <c r="H1912" s="6" t="s">
        <v>53</v>
      </c>
      <c r="I1912" s="8" t="s">
        <v>100</v>
      </c>
      <c r="J1912" s="9">
        <v>1</v>
      </c>
      <c r="K1912" s="9">
        <v>389</v>
      </c>
      <c r="L1912" s="9">
        <v>2025</v>
      </c>
      <c r="M1912" s="8" t="s">
        <v>11781</v>
      </c>
      <c r="N1912" s="8" t="s">
        <v>56</v>
      </c>
      <c r="O1912" s="8" t="s">
        <v>2183</v>
      </c>
      <c r="P1912" s="6" t="s">
        <v>43</v>
      </c>
      <c r="Q1912" s="8" t="s">
        <v>102</v>
      </c>
      <c r="R1912" s="10" t="s">
        <v>6023</v>
      </c>
      <c r="S1912" s="11"/>
      <c r="T1912" s="6"/>
      <c r="U1912" s="24" t="str">
        <f>HYPERLINK("https://media.infra-m.ru/2186/2186405/cover/2186405.jpg", "Обложка")</f>
        <v>Обложка</v>
      </c>
      <c r="V1912" s="24" t="str">
        <f>HYPERLINK("https://znanium.ru/catalog/product/2186405", "Ознакомиться")</f>
        <v>Ознакомиться</v>
      </c>
      <c r="W1912" s="8" t="s">
        <v>1703</v>
      </c>
      <c r="X1912" s="6"/>
      <c r="Y1912" s="6"/>
      <c r="Z1912" s="6" t="s">
        <v>104</v>
      </c>
      <c r="AA1912" s="6" t="s">
        <v>3787</v>
      </c>
      <c r="AB1912" s="8"/>
    </row>
    <row r="1913" spans="1:28" s="4" customFormat="1" ht="51.95" customHeight="1">
      <c r="A1913" s="5">
        <v>0</v>
      </c>
      <c r="B1913" s="6" t="s">
        <v>11782</v>
      </c>
      <c r="C1913" s="13">
        <v>1940</v>
      </c>
      <c r="D1913" s="8" t="s">
        <v>11783</v>
      </c>
      <c r="E1913" s="8" t="s">
        <v>11784</v>
      </c>
      <c r="F1913" s="8" t="s">
        <v>11785</v>
      </c>
      <c r="G1913" s="6" t="s">
        <v>89</v>
      </c>
      <c r="H1913" s="6" t="s">
        <v>53</v>
      </c>
      <c r="I1913" s="8" t="s">
        <v>116</v>
      </c>
      <c r="J1913" s="9">
        <v>1</v>
      </c>
      <c r="K1913" s="9">
        <v>389</v>
      </c>
      <c r="L1913" s="9">
        <v>2025</v>
      </c>
      <c r="M1913" s="8" t="s">
        <v>11786</v>
      </c>
      <c r="N1913" s="8" t="s">
        <v>56</v>
      </c>
      <c r="O1913" s="8" t="s">
        <v>2183</v>
      </c>
      <c r="P1913" s="6" t="s">
        <v>43</v>
      </c>
      <c r="Q1913" s="8" t="s">
        <v>44</v>
      </c>
      <c r="R1913" s="10" t="s">
        <v>11772</v>
      </c>
      <c r="S1913" s="11" t="s">
        <v>11787</v>
      </c>
      <c r="T1913" s="6"/>
      <c r="U1913" s="24" t="str">
        <f>HYPERLINK("https://media.infra-m.ru/2162/2162418/cover/2162418.jpg", "Обложка")</f>
        <v>Обложка</v>
      </c>
      <c r="V1913" s="24" t="str">
        <f>HYPERLINK("https://znanium.ru/catalog/product/2162418", "Ознакомиться")</f>
        <v>Ознакомиться</v>
      </c>
      <c r="W1913" s="8" t="s">
        <v>1703</v>
      </c>
      <c r="X1913" s="6"/>
      <c r="Y1913" s="6"/>
      <c r="Z1913" s="6"/>
      <c r="AA1913" s="6" t="s">
        <v>2086</v>
      </c>
      <c r="AB1913" s="8"/>
    </row>
    <row r="1914" spans="1:28" s="4" customFormat="1" ht="51.95" customHeight="1">
      <c r="A1914" s="5">
        <v>0</v>
      </c>
      <c r="B1914" s="6" t="s">
        <v>11788</v>
      </c>
      <c r="C1914" s="13">
        <v>1022</v>
      </c>
      <c r="D1914" s="8" t="s">
        <v>11789</v>
      </c>
      <c r="E1914" s="8" t="s">
        <v>11790</v>
      </c>
      <c r="F1914" s="8" t="s">
        <v>11791</v>
      </c>
      <c r="G1914" s="6" t="s">
        <v>89</v>
      </c>
      <c r="H1914" s="6" t="s">
        <v>53</v>
      </c>
      <c r="I1914" s="8" t="s">
        <v>100</v>
      </c>
      <c r="J1914" s="9">
        <v>1</v>
      </c>
      <c r="K1914" s="9">
        <v>140</v>
      </c>
      <c r="L1914" s="9">
        <v>2025</v>
      </c>
      <c r="M1914" s="8" t="s">
        <v>11792</v>
      </c>
      <c r="N1914" s="8" t="s">
        <v>56</v>
      </c>
      <c r="O1914" s="8" t="s">
        <v>2183</v>
      </c>
      <c r="P1914" s="6" t="s">
        <v>43</v>
      </c>
      <c r="Q1914" s="8" t="s">
        <v>102</v>
      </c>
      <c r="R1914" s="10" t="s">
        <v>6023</v>
      </c>
      <c r="S1914" s="11" t="s">
        <v>11766</v>
      </c>
      <c r="T1914" s="6"/>
      <c r="U1914" s="24" t="str">
        <f>HYPERLINK("https://media.infra-m.ru/2174/2174111/cover/2174111.jpg", "Обложка")</f>
        <v>Обложка</v>
      </c>
      <c r="V1914" s="24" t="str">
        <f>HYPERLINK("https://znanium.ru/catalog/product/2174111", "Ознакомиться")</f>
        <v>Ознакомиться</v>
      </c>
      <c r="W1914" s="8" t="s">
        <v>1703</v>
      </c>
      <c r="X1914" s="6"/>
      <c r="Y1914" s="6"/>
      <c r="Z1914" s="6" t="s">
        <v>502</v>
      </c>
      <c r="AA1914" s="6" t="s">
        <v>1374</v>
      </c>
      <c r="AB1914" s="8"/>
    </row>
    <row r="1915" spans="1:28" s="4" customFormat="1" ht="51.95" customHeight="1">
      <c r="A1915" s="5">
        <v>0</v>
      </c>
      <c r="B1915" s="6" t="s">
        <v>11793</v>
      </c>
      <c r="C1915" s="13">
        <v>1349</v>
      </c>
      <c r="D1915" s="8" t="s">
        <v>11794</v>
      </c>
      <c r="E1915" s="8" t="s">
        <v>11790</v>
      </c>
      <c r="F1915" s="8" t="s">
        <v>11791</v>
      </c>
      <c r="G1915" s="6" t="s">
        <v>89</v>
      </c>
      <c r="H1915" s="6" t="s">
        <v>53</v>
      </c>
      <c r="I1915" s="8" t="s">
        <v>116</v>
      </c>
      <c r="J1915" s="9">
        <v>1</v>
      </c>
      <c r="K1915" s="9">
        <v>140</v>
      </c>
      <c r="L1915" s="9">
        <v>2024</v>
      </c>
      <c r="M1915" s="8" t="s">
        <v>11795</v>
      </c>
      <c r="N1915" s="8" t="s">
        <v>56</v>
      </c>
      <c r="O1915" s="8" t="s">
        <v>2183</v>
      </c>
      <c r="P1915" s="6" t="s">
        <v>43</v>
      </c>
      <c r="Q1915" s="8" t="s">
        <v>58</v>
      </c>
      <c r="R1915" s="10" t="s">
        <v>11772</v>
      </c>
      <c r="S1915" s="11" t="s">
        <v>11796</v>
      </c>
      <c r="T1915" s="6"/>
      <c r="U1915" s="24" t="str">
        <f>HYPERLINK("https://media.infra-m.ru/2125/2125280/cover/2125280.jpg", "Обложка")</f>
        <v>Обложка</v>
      </c>
      <c r="V1915" s="24" t="str">
        <f>HYPERLINK("https://znanium.ru/catalog/product/2125280", "Ознакомиться")</f>
        <v>Ознакомиться</v>
      </c>
      <c r="W1915" s="8" t="s">
        <v>1703</v>
      </c>
      <c r="X1915" s="6"/>
      <c r="Y1915" s="6"/>
      <c r="Z1915" s="6"/>
      <c r="AA1915" s="6" t="s">
        <v>160</v>
      </c>
      <c r="AB1915" s="8"/>
    </row>
    <row r="1916" spans="1:28" s="4" customFormat="1" ht="42" customHeight="1">
      <c r="A1916" s="5">
        <v>0</v>
      </c>
      <c r="B1916" s="6" t="s">
        <v>11797</v>
      </c>
      <c r="C1916" s="7">
        <v>780</v>
      </c>
      <c r="D1916" s="8" t="s">
        <v>11798</v>
      </c>
      <c r="E1916" s="8" t="s">
        <v>11799</v>
      </c>
      <c r="F1916" s="8" t="s">
        <v>11800</v>
      </c>
      <c r="G1916" s="6" t="s">
        <v>52</v>
      </c>
      <c r="H1916" s="6" t="s">
        <v>53</v>
      </c>
      <c r="I1916" s="8" t="s">
        <v>712</v>
      </c>
      <c r="J1916" s="9">
        <v>1</v>
      </c>
      <c r="K1916" s="9">
        <v>156</v>
      </c>
      <c r="L1916" s="9">
        <v>2024</v>
      </c>
      <c r="M1916" s="8" t="s">
        <v>11801</v>
      </c>
      <c r="N1916" s="8" t="s">
        <v>56</v>
      </c>
      <c r="O1916" s="8" t="s">
        <v>2183</v>
      </c>
      <c r="P1916" s="6" t="s">
        <v>43</v>
      </c>
      <c r="Q1916" s="8" t="s">
        <v>44</v>
      </c>
      <c r="R1916" s="10" t="s">
        <v>11802</v>
      </c>
      <c r="S1916" s="11"/>
      <c r="T1916" s="6"/>
      <c r="U1916" s="24" t="str">
        <f>HYPERLINK("https://media.infra-m.ru/2136/2136016/cover/2136016.jpg", "Обложка")</f>
        <v>Обложка</v>
      </c>
      <c r="V1916" s="24" t="str">
        <f>HYPERLINK("https://znanium.ru/catalog/product/2136016", "Ознакомиться")</f>
        <v>Ознакомиться</v>
      </c>
      <c r="W1916" s="8" t="s">
        <v>716</v>
      </c>
      <c r="X1916" s="6" t="s">
        <v>772</v>
      </c>
      <c r="Y1916" s="6"/>
      <c r="Z1916" s="6"/>
      <c r="AA1916" s="6" t="s">
        <v>133</v>
      </c>
      <c r="AB1916" s="8"/>
    </row>
    <row r="1917" spans="1:28" s="4" customFormat="1" ht="51.95" customHeight="1">
      <c r="A1917" s="5">
        <v>0</v>
      </c>
      <c r="B1917" s="6" t="s">
        <v>11803</v>
      </c>
      <c r="C1917" s="13">
        <v>1244</v>
      </c>
      <c r="D1917" s="8" t="s">
        <v>11804</v>
      </c>
      <c r="E1917" s="8" t="s">
        <v>11805</v>
      </c>
      <c r="F1917" s="8" t="s">
        <v>11806</v>
      </c>
      <c r="G1917" s="6" t="s">
        <v>52</v>
      </c>
      <c r="H1917" s="6" t="s">
        <v>53</v>
      </c>
      <c r="I1917" s="8" t="s">
        <v>90</v>
      </c>
      <c r="J1917" s="9">
        <v>1</v>
      </c>
      <c r="K1917" s="9">
        <v>240</v>
      </c>
      <c r="L1917" s="9">
        <v>2025</v>
      </c>
      <c r="M1917" s="8" t="s">
        <v>11807</v>
      </c>
      <c r="N1917" s="8" t="s">
        <v>79</v>
      </c>
      <c r="O1917" s="8" t="s">
        <v>684</v>
      </c>
      <c r="P1917" s="6" t="s">
        <v>167</v>
      </c>
      <c r="Q1917" s="8" t="s">
        <v>44</v>
      </c>
      <c r="R1917" s="10" t="s">
        <v>11808</v>
      </c>
      <c r="S1917" s="11" t="s">
        <v>11809</v>
      </c>
      <c r="T1917" s="6"/>
      <c r="U1917" s="24" t="str">
        <f>HYPERLINK("https://media.infra-m.ru/2199/2199661/cover/2199661.jpg", "Обложка")</f>
        <v>Обложка</v>
      </c>
      <c r="V1917" s="24" t="str">
        <f>HYPERLINK("https://znanium.ru/catalog/product/2199632", "Ознакомиться")</f>
        <v>Ознакомиться</v>
      </c>
      <c r="W1917" s="8" t="s">
        <v>637</v>
      </c>
      <c r="X1917" s="6"/>
      <c r="Y1917" s="6"/>
      <c r="Z1917" s="6"/>
      <c r="AA1917" s="6" t="s">
        <v>377</v>
      </c>
      <c r="AB1917" s="8"/>
    </row>
    <row r="1918" spans="1:28" s="4" customFormat="1" ht="42" customHeight="1">
      <c r="A1918" s="5">
        <v>0</v>
      </c>
      <c r="B1918" s="6" t="s">
        <v>11810</v>
      </c>
      <c r="C1918" s="13">
        <v>1150</v>
      </c>
      <c r="D1918" s="8" t="s">
        <v>11811</v>
      </c>
      <c r="E1918" s="8" t="s">
        <v>11812</v>
      </c>
      <c r="F1918" s="8" t="s">
        <v>11813</v>
      </c>
      <c r="G1918" s="6" t="s">
        <v>89</v>
      </c>
      <c r="H1918" s="6" t="s">
        <v>53</v>
      </c>
      <c r="I1918" s="8" t="s">
        <v>116</v>
      </c>
      <c r="J1918" s="9">
        <v>1</v>
      </c>
      <c r="K1918" s="9">
        <v>223</v>
      </c>
      <c r="L1918" s="9">
        <v>2024</v>
      </c>
      <c r="M1918" s="8" t="s">
        <v>11814</v>
      </c>
      <c r="N1918" s="8" t="s">
        <v>56</v>
      </c>
      <c r="O1918" s="8" t="s">
        <v>57</v>
      </c>
      <c r="P1918" s="6" t="s">
        <v>43</v>
      </c>
      <c r="Q1918" s="8" t="s">
        <v>58</v>
      </c>
      <c r="R1918" s="10" t="s">
        <v>4401</v>
      </c>
      <c r="S1918" s="11"/>
      <c r="T1918" s="6"/>
      <c r="U1918" s="24" t="str">
        <f>HYPERLINK("https://media.infra-m.ru/2148/2148520/cover/2148520.jpg", "Обложка")</f>
        <v>Обложка</v>
      </c>
      <c r="V1918" s="24" t="str">
        <f>HYPERLINK("https://znanium.ru/catalog/product/2148520", "Ознакомиться")</f>
        <v>Ознакомиться</v>
      </c>
      <c r="W1918" s="8" t="s">
        <v>10544</v>
      </c>
      <c r="X1918" s="6"/>
      <c r="Y1918" s="6"/>
      <c r="Z1918" s="6"/>
      <c r="AA1918" s="6" t="s">
        <v>133</v>
      </c>
      <c r="AB1918" s="8"/>
    </row>
    <row r="1919" spans="1:28" s="4" customFormat="1" ht="51.95" customHeight="1">
      <c r="A1919" s="5">
        <v>0</v>
      </c>
      <c r="B1919" s="6" t="s">
        <v>11815</v>
      </c>
      <c r="C1919" s="13">
        <v>1920</v>
      </c>
      <c r="D1919" s="8" t="s">
        <v>11816</v>
      </c>
      <c r="E1919" s="8" t="s">
        <v>11817</v>
      </c>
      <c r="F1919" s="8" t="s">
        <v>11818</v>
      </c>
      <c r="G1919" s="6" t="s">
        <v>52</v>
      </c>
      <c r="H1919" s="6" t="s">
        <v>53</v>
      </c>
      <c r="I1919" s="8" t="s">
        <v>116</v>
      </c>
      <c r="J1919" s="9">
        <v>1</v>
      </c>
      <c r="K1919" s="9">
        <v>408</v>
      </c>
      <c r="L1919" s="9">
        <v>2024</v>
      </c>
      <c r="M1919" s="8" t="s">
        <v>11819</v>
      </c>
      <c r="N1919" s="8" t="s">
        <v>56</v>
      </c>
      <c r="O1919" s="8" t="s">
        <v>57</v>
      </c>
      <c r="P1919" s="6" t="s">
        <v>167</v>
      </c>
      <c r="Q1919" s="8" t="s">
        <v>44</v>
      </c>
      <c r="R1919" s="10" t="s">
        <v>11820</v>
      </c>
      <c r="S1919" s="11" t="s">
        <v>11821</v>
      </c>
      <c r="T1919" s="6"/>
      <c r="U1919" s="24" t="str">
        <f>HYPERLINK("https://media.infra-m.ru/2140/2140253/cover/2140253.jpg", "Обложка")</f>
        <v>Обложка</v>
      </c>
      <c r="V1919" s="24" t="str">
        <f>HYPERLINK("https://znanium.ru/catalog/product/2140253", "Ознакомиться")</f>
        <v>Ознакомиться</v>
      </c>
      <c r="W1919" s="8" t="s">
        <v>4343</v>
      </c>
      <c r="X1919" s="6"/>
      <c r="Y1919" s="6"/>
      <c r="Z1919" s="6"/>
      <c r="AA1919" s="6" t="s">
        <v>11602</v>
      </c>
      <c r="AB1919" s="8"/>
    </row>
    <row r="1920" spans="1:28" s="4" customFormat="1" ht="51.95" customHeight="1">
      <c r="A1920" s="5">
        <v>0</v>
      </c>
      <c r="B1920" s="6" t="s">
        <v>11822</v>
      </c>
      <c r="C1920" s="13">
        <v>1354</v>
      </c>
      <c r="D1920" s="8" t="s">
        <v>11823</v>
      </c>
      <c r="E1920" s="8" t="s">
        <v>11824</v>
      </c>
      <c r="F1920" s="8" t="s">
        <v>11825</v>
      </c>
      <c r="G1920" s="6" t="s">
        <v>89</v>
      </c>
      <c r="H1920" s="6" t="s">
        <v>674</v>
      </c>
      <c r="I1920" s="8"/>
      <c r="J1920" s="9">
        <v>1</v>
      </c>
      <c r="K1920" s="9">
        <v>288</v>
      </c>
      <c r="L1920" s="9">
        <v>2024</v>
      </c>
      <c r="M1920" s="8" t="s">
        <v>11826</v>
      </c>
      <c r="N1920" s="8" t="s">
        <v>56</v>
      </c>
      <c r="O1920" s="8" t="s">
        <v>57</v>
      </c>
      <c r="P1920" s="6" t="s">
        <v>167</v>
      </c>
      <c r="Q1920" s="8" t="s">
        <v>44</v>
      </c>
      <c r="R1920" s="10" t="s">
        <v>262</v>
      </c>
      <c r="S1920" s="11"/>
      <c r="T1920" s="6"/>
      <c r="U1920" s="24" t="str">
        <f>HYPERLINK("https://media.infra-m.ru/2141/2141773/cover/2141773.jpg", "Обложка")</f>
        <v>Обложка</v>
      </c>
      <c r="V1920" s="24" t="str">
        <f>HYPERLINK("https://znanium.ru/catalog/product/1221072", "Ознакомиться")</f>
        <v>Ознакомиться</v>
      </c>
      <c r="W1920" s="8" t="s">
        <v>234</v>
      </c>
      <c r="X1920" s="6"/>
      <c r="Y1920" s="6"/>
      <c r="Z1920" s="6"/>
      <c r="AA1920" s="6" t="s">
        <v>258</v>
      </c>
      <c r="AB1920" s="8"/>
    </row>
    <row r="1921" spans="1:28" s="4" customFormat="1" ht="51.95" customHeight="1">
      <c r="A1921" s="5">
        <v>0</v>
      </c>
      <c r="B1921" s="6" t="s">
        <v>11827</v>
      </c>
      <c r="C1921" s="13">
        <v>1730</v>
      </c>
      <c r="D1921" s="8" t="s">
        <v>11828</v>
      </c>
      <c r="E1921" s="8" t="s">
        <v>11829</v>
      </c>
      <c r="F1921" s="8" t="s">
        <v>11830</v>
      </c>
      <c r="G1921" s="6" t="s">
        <v>89</v>
      </c>
      <c r="H1921" s="6" t="s">
        <v>53</v>
      </c>
      <c r="I1921" s="8" t="s">
        <v>116</v>
      </c>
      <c r="J1921" s="9">
        <v>1</v>
      </c>
      <c r="K1921" s="9">
        <v>368</v>
      </c>
      <c r="L1921" s="9">
        <v>2024</v>
      </c>
      <c r="M1921" s="8" t="s">
        <v>11831</v>
      </c>
      <c r="N1921" s="8" t="s">
        <v>79</v>
      </c>
      <c r="O1921" s="8" t="s">
        <v>684</v>
      </c>
      <c r="P1921" s="6" t="s">
        <v>167</v>
      </c>
      <c r="Q1921" s="8" t="s">
        <v>58</v>
      </c>
      <c r="R1921" s="10" t="s">
        <v>6018</v>
      </c>
      <c r="S1921" s="11" t="s">
        <v>11832</v>
      </c>
      <c r="T1921" s="6" t="s">
        <v>299</v>
      </c>
      <c r="U1921" s="24" t="str">
        <f>HYPERLINK("https://media.infra-m.ru/2061/2061332/cover/2061332.jpg", "Обложка")</f>
        <v>Обложка</v>
      </c>
      <c r="V1921" s="24" t="str">
        <f>HYPERLINK("https://znanium.ru/catalog/product/2061332", "Ознакомиться")</f>
        <v>Ознакомиться</v>
      </c>
      <c r="W1921" s="8" t="s">
        <v>637</v>
      </c>
      <c r="X1921" s="6"/>
      <c r="Y1921" s="6"/>
      <c r="Z1921" s="6"/>
      <c r="AA1921" s="6" t="s">
        <v>418</v>
      </c>
      <c r="AB1921" s="8"/>
    </row>
    <row r="1922" spans="1:28" s="4" customFormat="1" ht="51.95" customHeight="1">
      <c r="A1922" s="5">
        <v>0</v>
      </c>
      <c r="B1922" s="6" t="s">
        <v>11833</v>
      </c>
      <c r="C1922" s="13">
        <v>1200</v>
      </c>
      <c r="D1922" s="8" t="s">
        <v>11834</v>
      </c>
      <c r="E1922" s="8" t="s">
        <v>11835</v>
      </c>
      <c r="F1922" s="8" t="s">
        <v>11836</v>
      </c>
      <c r="G1922" s="6" t="s">
        <v>89</v>
      </c>
      <c r="H1922" s="6" t="s">
        <v>53</v>
      </c>
      <c r="I1922" s="8" t="s">
        <v>100</v>
      </c>
      <c r="J1922" s="9">
        <v>1</v>
      </c>
      <c r="K1922" s="9">
        <v>240</v>
      </c>
      <c r="L1922" s="9">
        <v>2025</v>
      </c>
      <c r="M1922" s="8" t="s">
        <v>11837</v>
      </c>
      <c r="N1922" s="8" t="s">
        <v>79</v>
      </c>
      <c r="O1922" s="8" t="s">
        <v>684</v>
      </c>
      <c r="P1922" s="6" t="s">
        <v>43</v>
      </c>
      <c r="Q1922" s="8" t="s">
        <v>102</v>
      </c>
      <c r="R1922" s="10" t="s">
        <v>11838</v>
      </c>
      <c r="S1922" s="11" t="s">
        <v>11766</v>
      </c>
      <c r="T1922" s="6" t="s">
        <v>299</v>
      </c>
      <c r="U1922" s="24" t="str">
        <f>HYPERLINK("https://media.infra-m.ru/2178/2178918/cover/2178918.jpg", "Обложка")</f>
        <v>Обложка</v>
      </c>
      <c r="V1922" s="24" t="str">
        <f>HYPERLINK("https://znanium.ru/catalog/product/2178918", "Ознакомиться")</f>
        <v>Ознакомиться</v>
      </c>
      <c r="W1922" s="8" t="s">
        <v>637</v>
      </c>
      <c r="X1922" s="6"/>
      <c r="Y1922" s="6"/>
      <c r="Z1922" s="6" t="s">
        <v>104</v>
      </c>
      <c r="AA1922" s="6" t="s">
        <v>258</v>
      </c>
      <c r="AB1922" s="8"/>
    </row>
    <row r="1923" spans="1:28" s="4" customFormat="1" ht="51.95" customHeight="1">
      <c r="A1923" s="5">
        <v>0</v>
      </c>
      <c r="B1923" s="6" t="s">
        <v>11839</v>
      </c>
      <c r="C1923" s="13">
        <v>1244</v>
      </c>
      <c r="D1923" s="8" t="s">
        <v>11840</v>
      </c>
      <c r="E1923" s="8" t="s">
        <v>11835</v>
      </c>
      <c r="F1923" s="8" t="s">
        <v>11836</v>
      </c>
      <c r="G1923" s="6" t="s">
        <v>89</v>
      </c>
      <c r="H1923" s="6" t="s">
        <v>53</v>
      </c>
      <c r="I1923" s="8" t="s">
        <v>90</v>
      </c>
      <c r="J1923" s="9">
        <v>1</v>
      </c>
      <c r="K1923" s="9">
        <v>240</v>
      </c>
      <c r="L1923" s="9">
        <v>2025</v>
      </c>
      <c r="M1923" s="8" t="s">
        <v>11841</v>
      </c>
      <c r="N1923" s="8" t="s">
        <v>79</v>
      </c>
      <c r="O1923" s="8" t="s">
        <v>684</v>
      </c>
      <c r="P1923" s="6" t="s">
        <v>43</v>
      </c>
      <c r="Q1923" s="8" t="s">
        <v>44</v>
      </c>
      <c r="R1923" s="10" t="s">
        <v>6018</v>
      </c>
      <c r="S1923" s="11" t="s">
        <v>11842</v>
      </c>
      <c r="T1923" s="6" t="s">
        <v>299</v>
      </c>
      <c r="U1923" s="24" t="str">
        <f>HYPERLINK("https://media.infra-m.ru/2202/2202277/cover/2202277.jpg", "Обложка")</f>
        <v>Обложка</v>
      </c>
      <c r="V1923" s="24" t="str">
        <f>HYPERLINK("https://znanium.ru/catalog/product/1896412", "Ознакомиться")</f>
        <v>Ознакомиться</v>
      </c>
      <c r="W1923" s="8" t="s">
        <v>637</v>
      </c>
      <c r="X1923" s="6"/>
      <c r="Y1923" s="6"/>
      <c r="Z1923" s="6"/>
      <c r="AA1923" s="6" t="s">
        <v>111</v>
      </c>
      <c r="AB1923" s="8"/>
    </row>
    <row r="1924" spans="1:28" s="4" customFormat="1" ht="51.95" customHeight="1">
      <c r="A1924" s="5">
        <v>0</v>
      </c>
      <c r="B1924" s="6" t="s">
        <v>11843</v>
      </c>
      <c r="C1924" s="7">
        <v>864</v>
      </c>
      <c r="D1924" s="8" t="s">
        <v>11844</v>
      </c>
      <c r="E1924" s="8" t="s">
        <v>11845</v>
      </c>
      <c r="F1924" s="8" t="s">
        <v>11846</v>
      </c>
      <c r="G1924" s="6" t="s">
        <v>89</v>
      </c>
      <c r="H1924" s="6" t="s">
        <v>53</v>
      </c>
      <c r="I1924" s="8" t="s">
        <v>276</v>
      </c>
      <c r="J1924" s="9">
        <v>1</v>
      </c>
      <c r="K1924" s="9">
        <v>172</v>
      </c>
      <c r="L1924" s="9">
        <v>2025</v>
      </c>
      <c r="M1924" s="8" t="s">
        <v>11847</v>
      </c>
      <c r="N1924" s="8" t="s">
        <v>56</v>
      </c>
      <c r="O1924" s="8" t="s">
        <v>57</v>
      </c>
      <c r="P1924" s="6" t="s">
        <v>43</v>
      </c>
      <c r="Q1924" s="8" t="s">
        <v>279</v>
      </c>
      <c r="R1924" s="10" t="s">
        <v>11848</v>
      </c>
      <c r="S1924" s="11" t="s">
        <v>11849</v>
      </c>
      <c r="T1924" s="6"/>
      <c r="U1924" s="24" t="str">
        <f>HYPERLINK("https://media.infra-m.ru/2191/2191600/cover/2191600.jpg", "Обложка")</f>
        <v>Обложка</v>
      </c>
      <c r="V1924" s="24" t="str">
        <f>HYPERLINK("https://znanium.ru/catalog/product/2128078", "Ознакомиться")</f>
        <v>Ознакомиться</v>
      </c>
      <c r="W1924" s="8" t="s">
        <v>11850</v>
      </c>
      <c r="X1924" s="6"/>
      <c r="Y1924" s="6"/>
      <c r="Z1924" s="6"/>
      <c r="AA1924" s="6" t="s">
        <v>151</v>
      </c>
      <c r="AB1924" s="8"/>
    </row>
    <row r="1925" spans="1:28" s="4" customFormat="1" ht="51.95" customHeight="1">
      <c r="A1925" s="5">
        <v>0</v>
      </c>
      <c r="B1925" s="6" t="s">
        <v>11851</v>
      </c>
      <c r="C1925" s="7">
        <v>870</v>
      </c>
      <c r="D1925" s="8" t="s">
        <v>11852</v>
      </c>
      <c r="E1925" s="8" t="s">
        <v>11853</v>
      </c>
      <c r="F1925" s="8" t="s">
        <v>11854</v>
      </c>
      <c r="G1925" s="6" t="s">
        <v>89</v>
      </c>
      <c r="H1925" s="6" t="s">
        <v>674</v>
      </c>
      <c r="I1925" s="8"/>
      <c r="J1925" s="9">
        <v>1</v>
      </c>
      <c r="K1925" s="9">
        <v>188</v>
      </c>
      <c r="L1925" s="9">
        <v>2024</v>
      </c>
      <c r="M1925" s="8" t="s">
        <v>11855</v>
      </c>
      <c r="N1925" s="8" t="s">
        <v>41</v>
      </c>
      <c r="O1925" s="8" t="s">
        <v>676</v>
      </c>
      <c r="P1925" s="6" t="s">
        <v>43</v>
      </c>
      <c r="Q1925" s="8" t="s">
        <v>58</v>
      </c>
      <c r="R1925" s="10" t="s">
        <v>5025</v>
      </c>
      <c r="S1925" s="11"/>
      <c r="T1925" s="6"/>
      <c r="U1925" s="24" t="str">
        <f>HYPERLINK("https://media.infra-m.ru/2119/2119924/cover/2119924.jpg", "Обложка")</f>
        <v>Обложка</v>
      </c>
      <c r="V1925" s="24" t="str">
        <f>HYPERLINK("https://znanium.ru/catalog/product/2119924", "Ознакомиться")</f>
        <v>Ознакомиться</v>
      </c>
      <c r="W1925" s="8" t="s">
        <v>792</v>
      </c>
      <c r="X1925" s="6"/>
      <c r="Y1925" s="6"/>
      <c r="Z1925" s="6"/>
      <c r="AA1925" s="6" t="s">
        <v>442</v>
      </c>
      <c r="AB1925" s="8"/>
    </row>
    <row r="1926" spans="1:28" s="4" customFormat="1" ht="42" customHeight="1">
      <c r="A1926" s="5">
        <v>0</v>
      </c>
      <c r="B1926" s="6" t="s">
        <v>11856</v>
      </c>
      <c r="C1926" s="13">
        <v>1770</v>
      </c>
      <c r="D1926" s="8" t="s">
        <v>11857</v>
      </c>
      <c r="E1926" s="8" t="s">
        <v>11858</v>
      </c>
      <c r="F1926" s="8" t="s">
        <v>11859</v>
      </c>
      <c r="G1926" s="6" t="s">
        <v>52</v>
      </c>
      <c r="H1926" s="6" t="s">
        <v>674</v>
      </c>
      <c r="I1926" s="8"/>
      <c r="J1926" s="9">
        <v>1</v>
      </c>
      <c r="K1926" s="9">
        <v>392</v>
      </c>
      <c r="L1926" s="9">
        <v>2023</v>
      </c>
      <c r="M1926" s="8" t="s">
        <v>11860</v>
      </c>
      <c r="N1926" s="8" t="s">
        <v>56</v>
      </c>
      <c r="O1926" s="8" t="s">
        <v>4042</v>
      </c>
      <c r="P1926" s="6" t="s">
        <v>11861</v>
      </c>
      <c r="Q1926" s="8" t="s">
        <v>44</v>
      </c>
      <c r="R1926" s="10" t="s">
        <v>11862</v>
      </c>
      <c r="S1926" s="11"/>
      <c r="T1926" s="6"/>
      <c r="U1926" s="24" t="str">
        <f>HYPERLINK("https://media.infra-m.ru/1926/1926404/cover/1926404.jpg", "Обложка")</f>
        <v>Обложка</v>
      </c>
      <c r="V1926" s="24" t="str">
        <f>HYPERLINK("https://znanium.ru/catalog/product/1926404", "Ознакомиться")</f>
        <v>Ознакомиться</v>
      </c>
      <c r="W1926" s="8" t="s">
        <v>792</v>
      </c>
      <c r="X1926" s="6"/>
      <c r="Y1926" s="6"/>
      <c r="Z1926" s="6"/>
      <c r="AA1926" s="6" t="s">
        <v>207</v>
      </c>
      <c r="AB1926" s="8"/>
    </row>
    <row r="1927" spans="1:28" s="4" customFormat="1" ht="51.95" customHeight="1">
      <c r="A1927" s="5">
        <v>0</v>
      </c>
      <c r="B1927" s="6" t="s">
        <v>11863</v>
      </c>
      <c r="C1927" s="7">
        <v>744</v>
      </c>
      <c r="D1927" s="8" t="s">
        <v>11864</v>
      </c>
      <c r="E1927" s="8" t="s">
        <v>11865</v>
      </c>
      <c r="F1927" s="8" t="s">
        <v>11866</v>
      </c>
      <c r="G1927" s="6" t="s">
        <v>38</v>
      </c>
      <c r="H1927" s="6" t="s">
        <v>53</v>
      </c>
      <c r="I1927" s="8" t="s">
        <v>90</v>
      </c>
      <c r="J1927" s="9">
        <v>1</v>
      </c>
      <c r="K1927" s="9">
        <v>158</v>
      </c>
      <c r="L1927" s="9">
        <v>2024</v>
      </c>
      <c r="M1927" s="8" t="s">
        <v>11867</v>
      </c>
      <c r="N1927" s="8" t="s">
        <v>413</v>
      </c>
      <c r="O1927" s="8" t="s">
        <v>1141</v>
      </c>
      <c r="P1927" s="6" t="s">
        <v>43</v>
      </c>
      <c r="Q1927" s="8" t="s">
        <v>44</v>
      </c>
      <c r="R1927" s="10" t="s">
        <v>11868</v>
      </c>
      <c r="S1927" s="11" t="s">
        <v>4292</v>
      </c>
      <c r="T1927" s="6"/>
      <c r="U1927" s="24" t="str">
        <f>HYPERLINK("https://media.infra-m.ru/2084/2084550/cover/2084550.jpg", "Обложка")</f>
        <v>Обложка</v>
      </c>
      <c r="V1927" s="24" t="str">
        <f>HYPERLINK("https://znanium.ru/catalog/product/925774", "Ознакомиться")</f>
        <v>Ознакомиться</v>
      </c>
      <c r="W1927" s="8" t="s">
        <v>4274</v>
      </c>
      <c r="X1927" s="6"/>
      <c r="Y1927" s="6"/>
      <c r="Z1927" s="6"/>
      <c r="AA1927" s="6" t="s">
        <v>47</v>
      </c>
      <c r="AB1927" s="8"/>
    </row>
    <row r="1928" spans="1:28" s="4" customFormat="1" ht="51.95" customHeight="1">
      <c r="A1928" s="5">
        <v>0</v>
      </c>
      <c r="B1928" s="6" t="s">
        <v>11869</v>
      </c>
      <c r="C1928" s="13">
        <v>1384</v>
      </c>
      <c r="D1928" s="8" t="s">
        <v>11870</v>
      </c>
      <c r="E1928" s="8" t="s">
        <v>11871</v>
      </c>
      <c r="F1928" s="8" t="s">
        <v>11872</v>
      </c>
      <c r="G1928" s="6" t="s">
        <v>52</v>
      </c>
      <c r="H1928" s="6" t="s">
        <v>53</v>
      </c>
      <c r="I1928" s="8" t="s">
        <v>712</v>
      </c>
      <c r="J1928" s="9">
        <v>1</v>
      </c>
      <c r="K1928" s="9">
        <v>277</v>
      </c>
      <c r="L1928" s="9">
        <v>2025</v>
      </c>
      <c r="M1928" s="8" t="s">
        <v>11873</v>
      </c>
      <c r="N1928" s="8" t="s">
        <v>79</v>
      </c>
      <c r="O1928" s="8" t="s">
        <v>684</v>
      </c>
      <c r="P1928" s="6" t="s">
        <v>43</v>
      </c>
      <c r="Q1928" s="8" t="s">
        <v>58</v>
      </c>
      <c r="R1928" s="10" t="s">
        <v>11874</v>
      </c>
      <c r="S1928" s="11" t="s">
        <v>11875</v>
      </c>
      <c r="T1928" s="6"/>
      <c r="U1928" s="24" t="str">
        <f>HYPERLINK("https://media.infra-m.ru/2181/2181902/cover/2181902.jpg", "Обложка")</f>
        <v>Обложка</v>
      </c>
      <c r="V1928" s="24" t="str">
        <f>HYPERLINK("https://znanium.ru/catalog/product/2001721", "Ознакомиться")</f>
        <v>Ознакомиться</v>
      </c>
      <c r="W1928" s="8" t="s">
        <v>716</v>
      </c>
      <c r="X1928" s="6"/>
      <c r="Y1928" s="6"/>
      <c r="Z1928" s="6"/>
      <c r="AA1928" s="6" t="s">
        <v>207</v>
      </c>
      <c r="AB1928" s="8"/>
    </row>
    <row r="1929" spans="1:28" s="4" customFormat="1" ht="51.95" customHeight="1">
      <c r="A1929" s="5">
        <v>0</v>
      </c>
      <c r="B1929" s="6" t="s">
        <v>11876</v>
      </c>
      <c r="C1929" s="13">
        <v>1640</v>
      </c>
      <c r="D1929" s="8" t="s">
        <v>11877</v>
      </c>
      <c r="E1929" s="8" t="s">
        <v>11878</v>
      </c>
      <c r="F1929" s="8" t="s">
        <v>9073</v>
      </c>
      <c r="G1929" s="6" t="s">
        <v>89</v>
      </c>
      <c r="H1929" s="6" t="s">
        <v>53</v>
      </c>
      <c r="I1929" s="8" t="s">
        <v>116</v>
      </c>
      <c r="J1929" s="9">
        <v>1</v>
      </c>
      <c r="K1929" s="9">
        <v>348</v>
      </c>
      <c r="L1929" s="9">
        <v>2024</v>
      </c>
      <c r="M1929" s="8" t="s">
        <v>11879</v>
      </c>
      <c r="N1929" s="8" t="s">
        <v>79</v>
      </c>
      <c r="O1929" s="8" t="s">
        <v>684</v>
      </c>
      <c r="P1929" s="6" t="s">
        <v>167</v>
      </c>
      <c r="Q1929" s="8" t="s">
        <v>58</v>
      </c>
      <c r="R1929" s="10" t="s">
        <v>11880</v>
      </c>
      <c r="S1929" s="11" t="s">
        <v>11881</v>
      </c>
      <c r="T1929" s="6"/>
      <c r="U1929" s="24" t="str">
        <f>HYPERLINK("https://media.infra-m.ru/2076/2076005/cover/2076005.jpg", "Обложка")</f>
        <v>Обложка</v>
      </c>
      <c r="V1929" s="24" t="str">
        <f>HYPERLINK("https://znanium.ru/catalog/product/2076005", "Ознакомиться")</f>
        <v>Ознакомиться</v>
      </c>
      <c r="W1929" s="8" t="s">
        <v>9077</v>
      </c>
      <c r="X1929" s="6"/>
      <c r="Y1929" s="6"/>
      <c r="Z1929" s="6"/>
      <c r="AA1929" s="6" t="s">
        <v>442</v>
      </c>
      <c r="AB1929" s="8"/>
    </row>
    <row r="1930" spans="1:28" s="4" customFormat="1" ht="51.95" customHeight="1">
      <c r="A1930" s="5">
        <v>0</v>
      </c>
      <c r="B1930" s="6" t="s">
        <v>11882</v>
      </c>
      <c r="C1930" s="13">
        <v>1744</v>
      </c>
      <c r="D1930" s="8" t="s">
        <v>11883</v>
      </c>
      <c r="E1930" s="8" t="s">
        <v>11878</v>
      </c>
      <c r="F1930" s="8" t="s">
        <v>9073</v>
      </c>
      <c r="G1930" s="6" t="s">
        <v>89</v>
      </c>
      <c r="H1930" s="6" t="s">
        <v>53</v>
      </c>
      <c r="I1930" s="8" t="s">
        <v>100</v>
      </c>
      <c r="J1930" s="9">
        <v>1</v>
      </c>
      <c r="K1930" s="9">
        <v>348</v>
      </c>
      <c r="L1930" s="9">
        <v>2025</v>
      </c>
      <c r="M1930" s="8" t="s">
        <v>11884</v>
      </c>
      <c r="N1930" s="8" t="s">
        <v>79</v>
      </c>
      <c r="O1930" s="8" t="s">
        <v>684</v>
      </c>
      <c r="P1930" s="6" t="s">
        <v>167</v>
      </c>
      <c r="Q1930" s="8" t="s">
        <v>102</v>
      </c>
      <c r="R1930" s="10" t="s">
        <v>11885</v>
      </c>
      <c r="S1930" s="11" t="s">
        <v>11886</v>
      </c>
      <c r="T1930" s="6"/>
      <c r="U1930" s="24" t="str">
        <f>HYPERLINK("https://media.infra-m.ru/2188/2188493/cover/2188493.jpg", "Обложка")</f>
        <v>Обложка</v>
      </c>
      <c r="V1930" s="24" t="str">
        <f>HYPERLINK("https://znanium.ru/catalog/product/1227657", "Ознакомиться")</f>
        <v>Ознакомиться</v>
      </c>
      <c r="W1930" s="8" t="s">
        <v>9077</v>
      </c>
      <c r="X1930" s="6"/>
      <c r="Y1930" s="6"/>
      <c r="Z1930" s="6" t="s">
        <v>502</v>
      </c>
      <c r="AA1930" s="6" t="s">
        <v>793</v>
      </c>
      <c r="AB1930" s="8"/>
    </row>
    <row r="1931" spans="1:28" s="4" customFormat="1" ht="51.95" customHeight="1">
      <c r="A1931" s="5">
        <v>0</v>
      </c>
      <c r="B1931" s="6" t="s">
        <v>11887</v>
      </c>
      <c r="C1931" s="13">
        <v>1260</v>
      </c>
      <c r="D1931" s="8" t="s">
        <v>11888</v>
      </c>
      <c r="E1931" s="8" t="s">
        <v>11889</v>
      </c>
      <c r="F1931" s="8" t="s">
        <v>6251</v>
      </c>
      <c r="G1931" s="6" t="s">
        <v>89</v>
      </c>
      <c r="H1931" s="6" t="s">
        <v>53</v>
      </c>
      <c r="I1931" s="8" t="s">
        <v>90</v>
      </c>
      <c r="J1931" s="9">
        <v>1</v>
      </c>
      <c r="K1931" s="9">
        <v>280</v>
      </c>
      <c r="L1931" s="9">
        <v>2022</v>
      </c>
      <c r="M1931" s="8" t="s">
        <v>11890</v>
      </c>
      <c r="N1931" s="8" t="s">
        <v>79</v>
      </c>
      <c r="O1931" s="8" t="s">
        <v>684</v>
      </c>
      <c r="P1931" s="6" t="s">
        <v>43</v>
      </c>
      <c r="Q1931" s="8" t="s">
        <v>44</v>
      </c>
      <c r="R1931" s="10" t="s">
        <v>11874</v>
      </c>
      <c r="S1931" s="11" t="s">
        <v>11891</v>
      </c>
      <c r="T1931" s="6"/>
      <c r="U1931" s="24" t="str">
        <f>HYPERLINK("https://media.infra-m.ru/1948/1948186/cover/1948186.jpg", "Обложка")</f>
        <v>Обложка</v>
      </c>
      <c r="V1931" s="24" t="str">
        <f>HYPERLINK("https://znanium.ru/catalog/product/1058986", "Ознакомиться")</f>
        <v>Ознакомиться</v>
      </c>
      <c r="W1931" s="8" t="s">
        <v>2878</v>
      </c>
      <c r="X1931" s="6"/>
      <c r="Y1931" s="6"/>
      <c r="Z1931" s="6"/>
      <c r="AA1931" s="6" t="s">
        <v>235</v>
      </c>
      <c r="AB1931" s="8"/>
    </row>
    <row r="1932" spans="1:28" s="4" customFormat="1" ht="51.95" customHeight="1">
      <c r="A1932" s="5">
        <v>0</v>
      </c>
      <c r="B1932" s="6" t="s">
        <v>11892</v>
      </c>
      <c r="C1932" s="13">
        <v>1404</v>
      </c>
      <c r="D1932" s="8" t="s">
        <v>11893</v>
      </c>
      <c r="E1932" s="8" t="s">
        <v>11889</v>
      </c>
      <c r="F1932" s="8" t="s">
        <v>6251</v>
      </c>
      <c r="G1932" s="6" t="s">
        <v>52</v>
      </c>
      <c r="H1932" s="6" t="s">
        <v>53</v>
      </c>
      <c r="I1932" s="8" t="s">
        <v>100</v>
      </c>
      <c r="J1932" s="9">
        <v>1</v>
      </c>
      <c r="K1932" s="9">
        <v>280</v>
      </c>
      <c r="L1932" s="9">
        <v>2025</v>
      </c>
      <c r="M1932" s="8" t="s">
        <v>11894</v>
      </c>
      <c r="N1932" s="8" t="s">
        <v>79</v>
      </c>
      <c r="O1932" s="8" t="s">
        <v>684</v>
      </c>
      <c r="P1932" s="6" t="s">
        <v>43</v>
      </c>
      <c r="Q1932" s="8" t="s">
        <v>102</v>
      </c>
      <c r="R1932" s="10" t="s">
        <v>11895</v>
      </c>
      <c r="S1932" s="11" t="s">
        <v>11896</v>
      </c>
      <c r="T1932" s="6"/>
      <c r="U1932" s="24" t="str">
        <f>HYPERLINK("https://media.infra-m.ru/2163/2163830/cover/2163830.jpg", "Обложка")</f>
        <v>Обложка</v>
      </c>
      <c r="V1932" s="24" t="str">
        <f>HYPERLINK("https://znanium.ru/catalog/product/1850708", "Ознакомиться")</f>
        <v>Ознакомиться</v>
      </c>
      <c r="W1932" s="8" t="s">
        <v>2878</v>
      </c>
      <c r="X1932" s="6"/>
      <c r="Y1932" s="6"/>
      <c r="Z1932" s="6" t="s">
        <v>104</v>
      </c>
      <c r="AA1932" s="6" t="s">
        <v>235</v>
      </c>
      <c r="AB1932" s="8"/>
    </row>
    <row r="1933" spans="1:28" s="4" customFormat="1" ht="51.95" customHeight="1">
      <c r="A1933" s="5">
        <v>0</v>
      </c>
      <c r="B1933" s="6" t="s">
        <v>11897</v>
      </c>
      <c r="C1933" s="13">
        <v>2300</v>
      </c>
      <c r="D1933" s="8" t="s">
        <v>11898</v>
      </c>
      <c r="E1933" s="8" t="s">
        <v>11899</v>
      </c>
      <c r="F1933" s="8" t="s">
        <v>11900</v>
      </c>
      <c r="G1933" s="6" t="s">
        <v>52</v>
      </c>
      <c r="H1933" s="6" t="s">
        <v>53</v>
      </c>
      <c r="I1933" s="8" t="s">
        <v>90</v>
      </c>
      <c r="J1933" s="9">
        <v>1</v>
      </c>
      <c r="K1933" s="9">
        <v>601</v>
      </c>
      <c r="L1933" s="9">
        <v>2022</v>
      </c>
      <c r="M1933" s="8" t="s">
        <v>11901</v>
      </c>
      <c r="N1933" s="8" t="s">
        <v>79</v>
      </c>
      <c r="O1933" s="8" t="s">
        <v>396</v>
      </c>
      <c r="P1933" s="6" t="s">
        <v>43</v>
      </c>
      <c r="Q1933" s="8" t="s">
        <v>44</v>
      </c>
      <c r="R1933" s="10" t="s">
        <v>9042</v>
      </c>
      <c r="S1933" s="11" t="s">
        <v>11902</v>
      </c>
      <c r="T1933" s="6"/>
      <c r="U1933" s="24" t="str">
        <f>HYPERLINK("https://media.infra-m.ru/1851/1851516/cover/1851516.jpg", "Обложка")</f>
        <v>Обложка</v>
      </c>
      <c r="V1933" s="24" t="str">
        <f>HYPERLINK("https://znanium.ru/catalog/product/1851516", "Ознакомиться")</f>
        <v>Ознакомиться</v>
      </c>
      <c r="W1933" s="8" t="s">
        <v>7020</v>
      </c>
      <c r="X1933" s="6"/>
      <c r="Y1933" s="6"/>
      <c r="Z1933" s="6"/>
      <c r="AA1933" s="6" t="s">
        <v>513</v>
      </c>
      <c r="AB1933" s="8"/>
    </row>
    <row r="1934" spans="1:28" s="4" customFormat="1" ht="51.95" customHeight="1">
      <c r="A1934" s="5">
        <v>0</v>
      </c>
      <c r="B1934" s="6" t="s">
        <v>11903</v>
      </c>
      <c r="C1934" s="13">
        <v>1140</v>
      </c>
      <c r="D1934" s="8" t="s">
        <v>11904</v>
      </c>
      <c r="E1934" s="8" t="s">
        <v>11905</v>
      </c>
      <c r="F1934" s="8" t="s">
        <v>11906</v>
      </c>
      <c r="G1934" s="6" t="s">
        <v>89</v>
      </c>
      <c r="H1934" s="6" t="s">
        <v>53</v>
      </c>
      <c r="I1934" s="8" t="s">
        <v>116</v>
      </c>
      <c r="J1934" s="9">
        <v>1</v>
      </c>
      <c r="K1934" s="9">
        <v>219</v>
      </c>
      <c r="L1934" s="9">
        <v>2025</v>
      </c>
      <c r="M1934" s="8" t="s">
        <v>11907</v>
      </c>
      <c r="N1934" s="8" t="s">
        <v>79</v>
      </c>
      <c r="O1934" s="8" t="s">
        <v>174</v>
      </c>
      <c r="P1934" s="6" t="s">
        <v>43</v>
      </c>
      <c r="Q1934" s="8" t="s">
        <v>58</v>
      </c>
      <c r="R1934" s="10" t="s">
        <v>11908</v>
      </c>
      <c r="S1934" s="11" t="s">
        <v>11909</v>
      </c>
      <c r="T1934" s="6"/>
      <c r="U1934" s="24" t="str">
        <f>HYPERLINK("https://media.infra-m.ru/2197/2197590/cover/2197590.jpg", "Обложка")</f>
        <v>Обложка</v>
      </c>
      <c r="V1934" s="24" t="str">
        <f>HYPERLINK("https://znanium.ru/catalog/product/2197590", "Ознакомиться")</f>
        <v>Ознакомиться</v>
      </c>
      <c r="W1934" s="8" t="s">
        <v>2672</v>
      </c>
      <c r="X1934" s="6"/>
      <c r="Y1934" s="6"/>
      <c r="Z1934" s="6"/>
      <c r="AA1934" s="6" t="s">
        <v>793</v>
      </c>
      <c r="AB1934" s="8" t="s">
        <v>11910</v>
      </c>
    </row>
    <row r="1935" spans="1:28" s="4" customFormat="1" ht="51.95" customHeight="1">
      <c r="A1935" s="5">
        <v>0</v>
      </c>
      <c r="B1935" s="6" t="s">
        <v>11911</v>
      </c>
      <c r="C1935" s="13">
        <v>1100</v>
      </c>
      <c r="D1935" s="8" t="s">
        <v>11912</v>
      </c>
      <c r="E1935" s="8" t="s">
        <v>11905</v>
      </c>
      <c r="F1935" s="8" t="s">
        <v>11906</v>
      </c>
      <c r="G1935" s="6" t="s">
        <v>89</v>
      </c>
      <c r="H1935" s="6" t="s">
        <v>53</v>
      </c>
      <c r="I1935" s="8" t="s">
        <v>100</v>
      </c>
      <c r="J1935" s="9">
        <v>1</v>
      </c>
      <c r="K1935" s="9">
        <v>219</v>
      </c>
      <c r="L1935" s="9">
        <v>2024</v>
      </c>
      <c r="M1935" s="8" t="s">
        <v>11913</v>
      </c>
      <c r="N1935" s="8" t="s">
        <v>79</v>
      </c>
      <c r="O1935" s="8" t="s">
        <v>174</v>
      </c>
      <c r="P1935" s="6" t="s">
        <v>43</v>
      </c>
      <c r="Q1935" s="8" t="s">
        <v>102</v>
      </c>
      <c r="R1935" s="10" t="s">
        <v>11914</v>
      </c>
      <c r="S1935" s="11" t="s">
        <v>11915</v>
      </c>
      <c r="T1935" s="6"/>
      <c r="U1935" s="24" t="str">
        <f>HYPERLINK("https://media.infra-m.ru/2156/2156894/cover/2156894.jpg", "Обложка")</f>
        <v>Обложка</v>
      </c>
      <c r="V1935" s="24" t="str">
        <f>HYPERLINK("https://znanium.ru/catalog/product/2156894", "Ознакомиться")</f>
        <v>Ознакомиться</v>
      </c>
      <c r="W1935" s="8" t="s">
        <v>2672</v>
      </c>
      <c r="X1935" s="6"/>
      <c r="Y1935" s="6"/>
      <c r="Z1935" s="6" t="s">
        <v>502</v>
      </c>
      <c r="AA1935" s="6" t="s">
        <v>219</v>
      </c>
      <c r="AB1935" s="8"/>
    </row>
    <row r="1936" spans="1:28" s="4" customFormat="1" ht="51.95" customHeight="1">
      <c r="A1936" s="5">
        <v>0</v>
      </c>
      <c r="B1936" s="6" t="s">
        <v>11916</v>
      </c>
      <c r="C1936" s="7">
        <v>774</v>
      </c>
      <c r="D1936" s="8" t="s">
        <v>11917</v>
      </c>
      <c r="E1936" s="8" t="s">
        <v>11918</v>
      </c>
      <c r="F1936" s="8" t="s">
        <v>11919</v>
      </c>
      <c r="G1936" s="6" t="s">
        <v>89</v>
      </c>
      <c r="H1936" s="6" t="s">
        <v>53</v>
      </c>
      <c r="I1936" s="8" t="s">
        <v>100</v>
      </c>
      <c r="J1936" s="9">
        <v>1</v>
      </c>
      <c r="K1936" s="9">
        <v>164</v>
      </c>
      <c r="L1936" s="9">
        <v>2024</v>
      </c>
      <c r="M1936" s="8" t="s">
        <v>11920</v>
      </c>
      <c r="N1936" s="8" t="s">
        <v>79</v>
      </c>
      <c r="O1936" s="8" t="s">
        <v>174</v>
      </c>
      <c r="P1936" s="6" t="s">
        <v>43</v>
      </c>
      <c r="Q1936" s="8" t="s">
        <v>102</v>
      </c>
      <c r="R1936" s="10" t="s">
        <v>11921</v>
      </c>
      <c r="S1936" s="11" t="s">
        <v>11922</v>
      </c>
      <c r="T1936" s="6"/>
      <c r="U1936" s="24" t="str">
        <f>HYPERLINK("https://media.infra-m.ru/2146/2146817/cover/2146817.jpg", "Обложка")</f>
        <v>Обложка</v>
      </c>
      <c r="V1936" s="24" t="str">
        <f>HYPERLINK("https://znanium.ru/catalog/product/1896446", "Ознакомиться")</f>
        <v>Ознакомиться</v>
      </c>
      <c r="W1936" s="8" t="s">
        <v>2672</v>
      </c>
      <c r="X1936" s="6"/>
      <c r="Y1936" s="6"/>
      <c r="Z1936" s="6" t="s">
        <v>104</v>
      </c>
      <c r="AA1936" s="6" t="s">
        <v>219</v>
      </c>
      <c r="AB1936" s="8"/>
    </row>
    <row r="1937" spans="1:28" s="4" customFormat="1" ht="51.95" customHeight="1">
      <c r="A1937" s="5">
        <v>0</v>
      </c>
      <c r="B1937" s="6" t="s">
        <v>11923</v>
      </c>
      <c r="C1937" s="13">
        <v>1160</v>
      </c>
      <c r="D1937" s="8" t="s">
        <v>11924</v>
      </c>
      <c r="E1937" s="8" t="s">
        <v>11925</v>
      </c>
      <c r="F1937" s="8" t="s">
        <v>11906</v>
      </c>
      <c r="G1937" s="6" t="s">
        <v>89</v>
      </c>
      <c r="H1937" s="6" t="s">
        <v>53</v>
      </c>
      <c r="I1937" s="8" t="s">
        <v>116</v>
      </c>
      <c r="J1937" s="9">
        <v>1</v>
      </c>
      <c r="K1937" s="9">
        <v>223</v>
      </c>
      <c r="L1937" s="9">
        <v>2025</v>
      </c>
      <c r="M1937" s="8" t="s">
        <v>11926</v>
      </c>
      <c r="N1937" s="8" t="s">
        <v>79</v>
      </c>
      <c r="O1937" s="8" t="s">
        <v>174</v>
      </c>
      <c r="P1937" s="6" t="s">
        <v>43</v>
      </c>
      <c r="Q1937" s="8" t="s">
        <v>44</v>
      </c>
      <c r="R1937" s="10" t="s">
        <v>11908</v>
      </c>
      <c r="S1937" s="11" t="s">
        <v>11927</v>
      </c>
      <c r="T1937" s="6"/>
      <c r="U1937" s="24" t="str">
        <f>HYPERLINK("https://media.infra-m.ru/2198/2198507/cover/2198507.jpg", "Обложка")</f>
        <v>Обложка</v>
      </c>
      <c r="V1937" s="24" t="str">
        <f>HYPERLINK("https://znanium.ru/catalog/product/2198507", "Ознакомиться")</f>
        <v>Ознакомиться</v>
      </c>
      <c r="W1937" s="8" t="s">
        <v>2672</v>
      </c>
      <c r="X1937" s="6"/>
      <c r="Y1937" s="6"/>
      <c r="Z1937" s="6"/>
      <c r="AA1937" s="6" t="s">
        <v>219</v>
      </c>
      <c r="AB1937" s="8"/>
    </row>
    <row r="1938" spans="1:28" s="4" customFormat="1" ht="51.95" customHeight="1">
      <c r="A1938" s="5">
        <v>0</v>
      </c>
      <c r="B1938" s="6" t="s">
        <v>11928</v>
      </c>
      <c r="C1938" s="13">
        <v>1064</v>
      </c>
      <c r="D1938" s="8" t="s">
        <v>11929</v>
      </c>
      <c r="E1938" s="8" t="s">
        <v>11925</v>
      </c>
      <c r="F1938" s="8" t="s">
        <v>11906</v>
      </c>
      <c r="G1938" s="6" t="s">
        <v>89</v>
      </c>
      <c r="H1938" s="6" t="s">
        <v>53</v>
      </c>
      <c r="I1938" s="8" t="s">
        <v>100</v>
      </c>
      <c r="J1938" s="9">
        <v>1</v>
      </c>
      <c r="K1938" s="9">
        <v>223</v>
      </c>
      <c r="L1938" s="9">
        <v>2024</v>
      </c>
      <c r="M1938" s="8" t="s">
        <v>11930</v>
      </c>
      <c r="N1938" s="8" t="s">
        <v>79</v>
      </c>
      <c r="O1938" s="8" t="s">
        <v>174</v>
      </c>
      <c r="P1938" s="6" t="s">
        <v>43</v>
      </c>
      <c r="Q1938" s="8" t="s">
        <v>102</v>
      </c>
      <c r="R1938" s="10" t="s">
        <v>11931</v>
      </c>
      <c r="S1938" s="11" t="s">
        <v>11932</v>
      </c>
      <c r="T1938" s="6"/>
      <c r="U1938" s="24" t="str">
        <f>HYPERLINK("https://media.infra-m.ru/2146/2146895/cover/2146895.jpg", "Обложка")</f>
        <v>Обложка</v>
      </c>
      <c r="V1938" s="24" t="str">
        <f>HYPERLINK("https://znanium.ru/catalog/product/1919426", "Ознакомиться")</f>
        <v>Ознакомиться</v>
      </c>
      <c r="W1938" s="8" t="s">
        <v>2672</v>
      </c>
      <c r="X1938" s="6"/>
      <c r="Y1938" s="6"/>
      <c r="Z1938" s="6" t="s">
        <v>104</v>
      </c>
      <c r="AA1938" s="6" t="s">
        <v>219</v>
      </c>
      <c r="AB1938" s="8"/>
    </row>
    <row r="1939" spans="1:28" s="4" customFormat="1" ht="51.95" customHeight="1">
      <c r="A1939" s="5">
        <v>0</v>
      </c>
      <c r="B1939" s="6" t="s">
        <v>11933</v>
      </c>
      <c r="C1939" s="7">
        <v>744</v>
      </c>
      <c r="D1939" s="8" t="s">
        <v>11934</v>
      </c>
      <c r="E1939" s="8" t="s">
        <v>11935</v>
      </c>
      <c r="F1939" s="8" t="s">
        <v>11906</v>
      </c>
      <c r="G1939" s="6" t="s">
        <v>89</v>
      </c>
      <c r="H1939" s="6" t="s">
        <v>53</v>
      </c>
      <c r="I1939" s="8" t="s">
        <v>100</v>
      </c>
      <c r="J1939" s="9">
        <v>1</v>
      </c>
      <c r="K1939" s="9">
        <v>158</v>
      </c>
      <c r="L1939" s="9">
        <v>2024</v>
      </c>
      <c r="M1939" s="8" t="s">
        <v>11936</v>
      </c>
      <c r="N1939" s="8" t="s">
        <v>79</v>
      </c>
      <c r="O1939" s="8" t="s">
        <v>174</v>
      </c>
      <c r="P1939" s="6" t="s">
        <v>43</v>
      </c>
      <c r="Q1939" s="8" t="s">
        <v>102</v>
      </c>
      <c r="R1939" s="10" t="s">
        <v>11914</v>
      </c>
      <c r="S1939" s="11" t="s">
        <v>11932</v>
      </c>
      <c r="T1939" s="6"/>
      <c r="U1939" s="24" t="str">
        <f>HYPERLINK("https://media.infra-m.ru/2146/2146899/cover/2146899.jpg", "Обложка")</f>
        <v>Обложка</v>
      </c>
      <c r="V1939" s="24" t="str">
        <f>HYPERLINK("https://znanium.ru/catalog/product/1934005", "Ознакомиться")</f>
        <v>Ознакомиться</v>
      </c>
      <c r="W1939" s="8" t="s">
        <v>2672</v>
      </c>
      <c r="X1939" s="6"/>
      <c r="Y1939" s="6"/>
      <c r="Z1939" s="6" t="s">
        <v>104</v>
      </c>
      <c r="AA1939" s="6" t="s">
        <v>219</v>
      </c>
      <c r="AB1939" s="8"/>
    </row>
    <row r="1940" spans="1:28" s="4" customFormat="1" ht="51.95" customHeight="1">
      <c r="A1940" s="5">
        <v>0</v>
      </c>
      <c r="B1940" s="6" t="s">
        <v>11937</v>
      </c>
      <c r="C1940" s="7">
        <v>790</v>
      </c>
      <c r="D1940" s="8" t="s">
        <v>11938</v>
      </c>
      <c r="E1940" s="8" t="s">
        <v>11935</v>
      </c>
      <c r="F1940" s="8" t="s">
        <v>11906</v>
      </c>
      <c r="G1940" s="6" t="s">
        <v>89</v>
      </c>
      <c r="H1940" s="6" t="s">
        <v>53</v>
      </c>
      <c r="I1940" s="8" t="s">
        <v>116</v>
      </c>
      <c r="J1940" s="9">
        <v>1</v>
      </c>
      <c r="K1940" s="9">
        <v>158</v>
      </c>
      <c r="L1940" s="9">
        <v>2025</v>
      </c>
      <c r="M1940" s="8" t="s">
        <v>11939</v>
      </c>
      <c r="N1940" s="8" t="s">
        <v>79</v>
      </c>
      <c r="O1940" s="8" t="s">
        <v>174</v>
      </c>
      <c r="P1940" s="6" t="s">
        <v>43</v>
      </c>
      <c r="Q1940" s="8" t="s">
        <v>44</v>
      </c>
      <c r="R1940" s="10" t="s">
        <v>11908</v>
      </c>
      <c r="S1940" s="11" t="s">
        <v>11940</v>
      </c>
      <c r="T1940" s="6"/>
      <c r="U1940" s="24" t="str">
        <f>HYPERLINK("https://media.infra-m.ru/2173/2173440/cover/2173440.jpg", "Обложка")</f>
        <v>Обложка</v>
      </c>
      <c r="V1940" s="24" t="str">
        <f>HYPERLINK("https://znanium.ru/catalog/product/2173440", "Ознакомиться")</f>
        <v>Ознакомиться</v>
      </c>
      <c r="W1940" s="8" t="s">
        <v>2672</v>
      </c>
      <c r="X1940" s="6"/>
      <c r="Y1940" s="6"/>
      <c r="Z1940" s="6"/>
      <c r="AA1940" s="6" t="s">
        <v>219</v>
      </c>
      <c r="AB1940" s="8"/>
    </row>
    <row r="1941" spans="1:28" s="4" customFormat="1" ht="51.95" customHeight="1">
      <c r="A1941" s="5">
        <v>0</v>
      </c>
      <c r="B1941" s="6" t="s">
        <v>11941</v>
      </c>
      <c r="C1941" s="7">
        <v>740</v>
      </c>
      <c r="D1941" s="8" t="s">
        <v>11942</v>
      </c>
      <c r="E1941" s="8" t="s">
        <v>11918</v>
      </c>
      <c r="F1941" s="8" t="s">
        <v>11919</v>
      </c>
      <c r="G1941" s="6" t="s">
        <v>89</v>
      </c>
      <c r="H1941" s="6" t="s">
        <v>53</v>
      </c>
      <c r="I1941" s="8" t="s">
        <v>90</v>
      </c>
      <c r="J1941" s="9">
        <v>1</v>
      </c>
      <c r="K1941" s="9">
        <v>164</v>
      </c>
      <c r="L1941" s="9">
        <v>2023</v>
      </c>
      <c r="M1941" s="8" t="s">
        <v>11943</v>
      </c>
      <c r="N1941" s="8" t="s">
        <v>79</v>
      </c>
      <c r="O1941" s="8" t="s">
        <v>174</v>
      </c>
      <c r="P1941" s="6" t="s">
        <v>43</v>
      </c>
      <c r="Q1941" s="8" t="s">
        <v>44</v>
      </c>
      <c r="R1941" s="10" t="s">
        <v>11908</v>
      </c>
      <c r="S1941" s="11" t="s">
        <v>11944</v>
      </c>
      <c r="T1941" s="6"/>
      <c r="U1941" s="24" t="str">
        <f>HYPERLINK("https://media.infra-m.ru/1915/1915404/cover/1915404.jpg", "Обложка")</f>
        <v>Обложка</v>
      </c>
      <c r="V1941" s="24" t="str">
        <f>HYPERLINK("https://znanium.ru/catalog/product/1915404", "Ознакомиться")</f>
        <v>Ознакомиться</v>
      </c>
      <c r="W1941" s="8" t="s">
        <v>2672</v>
      </c>
      <c r="X1941" s="6"/>
      <c r="Y1941" s="6"/>
      <c r="Z1941" s="6"/>
      <c r="AA1941" s="6" t="s">
        <v>219</v>
      </c>
      <c r="AB1941" s="8"/>
    </row>
    <row r="1942" spans="1:28" s="4" customFormat="1" ht="51.95" customHeight="1">
      <c r="A1942" s="5">
        <v>0</v>
      </c>
      <c r="B1942" s="6" t="s">
        <v>11945</v>
      </c>
      <c r="C1942" s="7">
        <v>760</v>
      </c>
      <c r="D1942" s="8" t="s">
        <v>11946</v>
      </c>
      <c r="E1942" s="8" t="s">
        <v>11947</v>
      </c>
      <c r="F1942" s="8" t="s">
        <v>11906</v>
      </c>
      <c r="G1942" s="6" t="s">
        <v>89</v>
      </c>
      <c r="H1942" s="6" t="s">
        <v>53</v>
      </c>
      <c r="I1942" s="8" t="s">
        <v>100</v>
      </c>
      <c r="J1942" s="9">
        <v>1</v>
      </c>
      <c r="K1942" s="9">
        <v>140</v>
      </c>
      <c r="L1942" s="9">
        <v>2025</v>
      </c>
      <c r="M1942" s="8" t="s">
        <v>11948</v>
      </c>
      <c r="N1942" s="8" t="s">
        <v>79</v>
      </c>
      <c r="O1942" s="8" t="s">
        <v>174</v>
      </c>
      <c r="P1942" s="6" t="s">
        <v>43</v>
      </c>
      <c r="Q1942" s="8" t="s">
        <v>102</v>
      </c>
      <c r="R1942" s="10" t="s">
        <v>11921</v>
      </c>
      <c r="S1942" s="11" t="s">
        <v>11932</v>
      </c>
      <c r="T1942" s="6"/>
      <c r="U1942" s="24" t="str">
        <f>HYPERLINK("https://media.infra-m.ru/2172/2172556/cover/2172556.jpg", "Обложка")</f>
        <v>Обложка</v>
      </c>
      <c r="V1942" s="24" t="str">
        <f>HYPERLINK("https://znanium.ru/catalog/product/2172556", "Ознакомиться")</f>
        <v>Ознакомиться</v>
      </c>
      <c r="W1942" s="8" t="s">
        <v>2672</v>
      </c>
      <c r="X1942" s="6"/>
      <c r="Y1942" s="6"/>
      <c r="Z1942" s="6" t="s">
        <v>104</v>
      </c>
      <c r="AA1942" s="6" t="s">
        <v>219</v>
      </c>
      <c r="AB1942" s="8"/>
    </row>
    <row r="1943" spans="1:28" s="4" customFormat="1" ht="51.95" customHeight="1">
      <c r="A1943" s="5">
        <v>0</v>
      </c>
      <c r="B1943" s="6" t="s">
        <v>11949</v>
      </c>
      <c r="C1943" s="7">
        <v>714</v>
      </c>
      <c r="D1943" s="8" t="s">
        <v>11950</v>
      </c>
      <c r="E1943" s="8" t="s">
        <v>11947</v>
      </c>
      <c r="F1943" s="8" t="s">
        <v>11906</v>
      </c>
      <c r="G1943" s="6" t="s">
        <v>38</v>
      </c>
      <c r="H1943" s="6" t="s">
        <v>53</v>
      </c>
      <c r="I1943" s="8" t="s">
        <v>90</v>
      </c>
      <c r="J1943" s="9">
        <v>1</v>
      </c>
      <c r="K1943" s="9">
        <v>140</v>
      </c>
      <c r="L1943" s="9">
        <v>2025</v>
      </c>
      <c r="M1943" s="8" t="s">
        <v>11951</v>
      </c>
      <c r="N1943" s="8" t="s">
        <v>79</v>
      </c>
      <c r="O1943" s="8" t="s">
        <v>174</v>
      </c>
      <c r="P1943" s="6" t="s">
        <v>43</v>
      </c>
      <c r="Q1943" s="8" t="s">
        <v>44</v>
      </c>
      <c r="R1943" s="10" t="s">
        <v>11908</v>
      </c>
      <c r="S1943" s="11" t="s">
        <v>11909</v>
      </c>
      <c r="T1943" s="6"/>
      <c r="U1943" s="24" t="str">
        <f>HYPERLINK("https://media.infra-m.ru/2184/2184345/cover/2184345.jpg", "Обложка")</f>
        <v>Обложка</v>
      </c>
      <c r="V1943" s="24" t="str">
        <f>HYPERLINK("https://znanium.ru/catalog/product/2142855", "Ознакомиться")</f>
        <v>Ознакомиться</v>
      </c>
      <c r="W1943" s="8" t="s">
        <v>2672</v>
      </c>
      <c r="X1943" s="6"/>
      <c r="Y1943" s="6"/>
      <c r="Z1943" s="6"/>
      <c r="AA1943" s="6" t="s">
        <v>219</v>
      </c>
      <c r="AB1943" s="8"/>
    </row>
    <row r="1944" spans="1:28" s="4" customFormat="1" ht="51.95" customHeight="1">
      <c r="A1944" s="5">
        <v>0</v>
      </c>
      <c r="B1944" s="6" t="s">
        <v>11952</v>
      </c>
      <c r="C1944" s="13">
        <v>2400</v>
      </c>
      <c r="D1944" s="8" t="s">
        <v>11953</v>
      </c>
      <c r="E1944" s="8" t="s">
        <v>11954</v>
      </c>
      <c r="F1944" s="8" t="s">
        <v>11955</v>
      </c>
      <c r="G1944" s="6" t="s">
        <v>89</v>
      </c>
      <c r="H1944" s="6" t="s">
        <v>39</v>
      </c>
      <c r="I1944" s="8" t="s">
        <v>185</v>
      </c>
      <c r="J1944" s="9">
        <v>1</v>
      </c>
      <c r="K1944" s="9">
        <v>400</v>
      </c>
      <c r="L1944" s="9">
        <v>2024</v>
      </c>
      <c r="M1944" s="8" t="s">
        <v>11956</v>
      </c>
      <c r="N1944" s="8" t="s">
        <v>79</v>
      </c>
      <c r="O1944" s="8" t="s">
        <v>174</v>
      </c>
      <c r="P1944" s="6" t="s">
        <v>43</v>
      </c>
      <c r="Q1944" s="8" t="s">
        <v>102</v>
      </c>
      <c r="R1944" s="10" t="s">
        <v>11957</v>
      </c>
      <c r="S1944" s="11" t="s">
        <v>11958</v>
      </c>
      <c r="T1944" s="6"/>
      <c r="U1944" s="24" t="str">
        <f>HYPERLINK("https://media.infra-m.ru/2146/2146898/cover/2146898.jpg", "Обложка")</f>
        <v>Обложка</v>
      </c>
      <c r="V1944" s="24" t="str">
        <f>HYPERLINK("https://znanium.ru/catalog/product/2146898", "Ознакомиться")</f>
        <v>Ознакомиться</v>
      </c>
      <c r="W1944" s="8" t="s">
        <v>5284</v>
      </c>
      <c r="X1944" s="6"/>
      <c r="Y1944" s="6"/>
      <c r="Z1944" s="6"/>
      <c r="AA1944" s="6" t="s">
        <v>111</v>
      </c>
      <c r="AB1944" s="8"/>
    </row>
    <row r="1945" spans="1:28" s="4" customFormat="1" ht="42" customHeight="1">
      <c r="A1945" s="5">
        <v>0</v>
      </c>
      <c r="B1945" s="6" t="s">
        <v>11959</v>
      </c>
      <c r="C1945" s="13">
        <v>1274.9000000000001</v>
      </c>
      <c r="D1945" s="8" t="s">
        <v>11960</v>
      </c>
      <c r="E1945" s="8" t="s">
        <v>11961</v>
      </c>
      <c r="F1945" s="8" t="s">
        <v>11962</v>
      </c>
      <c r="G1945" s="6" t="s">
        <v>52</v>
      </c>
      <c r="H1945" s="6" t="s">
        <v>53</v>
      </c>
      <c r="I1945" s="8" t="s">
        <v>116</v>
      </c>
      <c r="J1945" s="9">
        <v>1</v>
      </c>
      <c r="K1945" s="9">
        <v>284</v>
      </c>
      <c r="L1945" s="9">
        <v>2023</v>
      </c>
      <c r="M1945" s="8" t="s">
        <v>11963</v>
      </c>
      <c r="N1945" s="8" t="s">
        <v>79</v>
      </c>
      <c r="O1945" s="8" t="s">
        <v>174</v>
      </c>
      <c r="P1945" s="6" t="s">
        <v>43</v>
      </c>
      <c r="Q1945" s="8" t="s">
        <v>44</v>
      </c>
      <c r="R1945" s="10" t="s">
        <v>1134</v>
      </c>
      <c r="S1945" s="11"/>
      <c r="T1945" s="6"/>
      <c r="U1945" s="24" t="str">
        <f>HYPERLINK("https://media.infra-m.ru/1911/1911750/cover/1911750.jpg", "Обложка")</f>
        <v>Обложка</v>
      </c>
      <c r="V1945" s="12"/>
      <c r="W1945" s="8" t="s">
        <v>947</v>
      </c>
      <c r="X1945" s="6"/>
      <c r="Y1945" s="6"/>
      <c r="Z1945" s="6"/>
      <c r="AA1945" s="6" t="s">
        <v>47</v>
      </c>
      <c r="AB1945" s="8"/>
    </row>
    <row r="1946" spans="1:28" s="4" customFormat="1" ht="51.95" customHeight="1">
      <c r="A1946" s="5">
        <v>0</v>
      </c>
      <c r="B1946" s="6" t="s">
        <v>11964</v>
      </c>
      <c r="C1946" s="13">
        <v>1694</v>
      </c>
      <c r="D1946" s="8" t="s">
        <v>11965</v>
      </c>
      <c r="E1946" s="8" t="s">
        <v>11966</v>
      </c>
      <c r="F1946" s="8" t="s">
        <v>9124</v>
      </c>
      <c r="G1946" s="6" t="s">
        <v>89</v>
      </c>
      <c r="H1946" s="6" t="s">
        <v>53</v>
      </c>
      <c r="I1946" s="8" t="s">
        <v>90</v>
      </c>
      <c r="J1946" s="9">
        <v>1</v>
      </c>
      <c r="K1946" s="9">
        <v>339</v>
      </c>
      <c r="L1946" s="9">
        <v>2025</v>
      </c>
      <c r="M1946" s="8" t="s">
        <v>11967</v>
      </c>
      <c r="N1946" s="8" t="s">
        <v>41</v>
      </c>
      <c r="O1946" s="8" t="s">
        <v>1204</v>
      </c>
      <c r="P1946" s="6" t="s">
        <v>167</v>
      </c>
      <c r="Q1946" s="8" t="s">
        <v>44</v>
      </c>
      <c r="R1946" s="10" t="s">
        <v>11968</v>
      </c>
      <c r="S1946" s="11" t="s">
        <v>11969</v>
      </c>
      <c r="T1946" s="6"/>
      <c r="U1946" s="24" t="str">
        <f>HYPERLINK("https://media.infra-m.ru/2186/2186905/cover/2186905.jpg", "Обложка")</f>
        <v>Обложка</v>
      </c>
      <c r="V1946" s="24" t="str">
        <f>HYPERLINK("https://znanium.ru/catalog/product/2116859", "Ознакомиться")</f>
        <v>Ознакомиться</v>
      </c>
      <c r="W1946" s="8" t="s">
        <v>2122</v>
      </c>
      <c r="X1946" s="6"/>
      <c r="Y1946" s="6"/>
      <c r="Z1946" s="6"/>
      <c r="AA1946" s="6" t="s">
        <v>219</v>
      </c>
      <c r="AB1946" s="8"/>
    </row>
    <row r="1947" spans="1:28" s="4" customFormat="1" ht="51.95" customHeight="1">
      <c r="A1947" s="5">
        <v>0</v>
      </c>
      <c r="B1947" s="6" t="s">
        <v>11970</v>
      </c>
      <c r="C1947" s="7">
        <v>610</v>
      </c>
      <c r="D1947" s="8" t="s">
        <v>11971</v>
      </c>
      <c r="E1947" s="8" t="s">
        <v>11972</v>
      </c>
      <c r="F1947" s="8" t="s">
        <v>11973</v>
      </c>
      <c r="G1947" s="6" t="s">
        <v>38</v>
      </c>
      <c r="H1947" s="6" t="s">
        <v>53</v>
      </c>
      <c r="I1947" s="8" t="s">
        <v>212</v>
      </c>
      <c r="J1947" s="9">
        <v>1</v>
      </c>
      <c r="K1947" s="9">
        <v>110</v>
      </c>
      <c r="L1947" s="9">
        <v>2023</v>
      </c>
      <c r="M1947" s="8" t="s">
        <v>11974</v>
      </c>
      <c r="N1947" s="8" t="s">
        <v>79</v>
      </c>
      <c r="O1947" s="8" t="s">
        <v>174</v>
      </c>
      <c r="P1947" s="6" t="s">
        <v>43</v>
      </c>
      <c r="Q1947" s="8" t="s">
        <v>214</v>
      </c>
      <c r="R1947" s="10" t="s">
        <v>11975</v>
      </c>
      <c r="S1947" s="11" t="s">
        <v>11976</v>
      </c>
      <c r="T1947" s="6" t="s">
        <v>299</v>
      </c>
      <c r="U1947" s="24" t="str">
        <f>HYPERLINK("https://media.infra-m.ru/2122/2122939/cover/2122939.jpg", "Обложка")</f>
        <v>Обложка</v>
      </c>
      <c r="V1947" s="24" t="str">
        <f>HYPERLINK("https://znanium.ru/catalog/product/1926395", "Ознакомиться")</f>
        <v>Ознакомиться</v>
      </c>
      <c r="W1947" s="8" t="s">
        <v>5973</v>
      </c>
      <c r="X1947" s="6"/>
      <c r="Y1947" s="6"/>
      <c r="Z1947" s="6"/>
      <c r="AA1947" s="6" t="s">
        <v>813</v>
      </c>
      <c r="AB1947" s="8"/>
    </row>
    <row r="1948" spans="1:28" s="4" customFormat="1" ht="51.95" customHeight="1">
      <c r="A1948" s="5">
        <v>0</v>
      </c>
      <c r="B1948" s="6" t="s">
        <v>11977</v>
      </c>
      <c r="C1948" s="7">
        <v>570</v>
      </c>
      <c r="D1948" s="8" t="s">
        <v>11978</v>
      </c>
      <c r="E1948" s="8" t="s">
        <v>11979</v>
      </c>
      <c r="F1948" s="8" t="s">
        <v>11980</v>
      </c>
      <c r="G1948" s="6" t="s">
        <v>38</v>
      </c>
      <c r="H1948" s="6" t="s">
        <v>39</v>
      </c>
      <c r="I1948" s="8" t="s">
        <v>116</v>
      </c>
      <c r="J1948" s="9">
        <v>1</v>
      </c>
      <c r="K1948" s="9">
        <v>103</v>
      </c>
      <c r="L1948" s="9">
        <v>2022</v>
      </c>
      <c r="M1948" s="8" t="s">
        <v>11981</v>
      </c>
      <c r="N1948" s="8" t="s">
        <v>79</v>
      </c>
      <c r="O1948" s="8" t="s">
        <v>174</v>
      </c>
      <c r="P1948" s="6" t="s">
        <v>43</v>
      </c>
      <c r="Q1948" s="8" t="s">
        <v>58</v>
      </c>
      <c r="R1948" s="10" t="s">
        <v>11975</v>
      </c>
      <c r="S1948" s="11" t="s">
        <v>11976</v>
      </c>
      <c r="T1948" s="6" t="s">
        <v>299</v>
      </c>
      <c r="U1948" s="24" t="str">
        <f>HYPERLINK("https://media.infra-m.ru/1841/1841028/cover/1841028.jpg", "Обложка")</f>
        <v>Обложка</v>
      </c>
      <c r="V1948" s="24" t="str">
        <f>HYPERLINK("https://znanium.ru/catalog/product/1926395", "Ознакомиться")</f>
        <v>Ознакомиться</v>
      </c>
      <c r="W1948" s="8" t="s">
        <v>5973</v>
      </c>
      <c r="X1948" s="6"/>
      <c r="Y1948" s="6"/>
      <c r="Z1948" s="6"/>
      <c r="AA1948" s="6" t="s">
        <v>442</v>
      </c>
      <c r="AB1948" s="8"/>
    </row>
    <row r="1949" spans="1:28" s="4" customFormat="1" ht="51.95" customHeight="1">
      <c r="A1949" s="5">
        <v>0</v>
      </c>
      <c r="B1949" s="6" t="s">
        <v>11982</v>
      </c>
      <c r="C1949" s="13">
        <v>1140</v>
      </c>
      <c r="D1949" s="8" t="s">
        <v>11983</v>
      </c>
      <c r="E1949" s="8" t="s">
        <v>11984</v>
      </c>
      <c r="F1949" s="8" t="s">
        <v>11985</v>
      </c>
      <c r="G1949" s="6" t="s">
        <v>89</v>
      </c>
      <c r="H1949" s="6" t="s">
        <v>53</v>
      </c>
      <c r="I1949" s="8" t="s">
        <v>116</v>
      </c>
      <c r="J1949" s="9">
        <v>1</v>
      </c>
      <c r="K1949" s="9">
        <v>248</v>
      </c>
      <c r="L1949" s="9">
        <v>2024</v>
      </c>
      <c r="M1949" s="8" t="s">
        <v>11986</v>
      </c>
      <c r="N1949" s="8" t="s">
        <v>56</v>
      </c>
      <c r="O1949" s="8" t="s">
        <v>57</v>
      </c>
      <c r="P1949" s="6" t="s">
        <v>167</v>
      </c>
      <c r="Q1949" s="8" t="s">
        <v>58</v>
      </c>
      <c r="R1949" s="10" t="s">
        <v>168</v>
      </c>
      <c r="S1949" s="11" t="s">
        <v>11987</v>
      </c>
      <c r="T1949" s="6"/>
      <c r="U1949" s="24" t="str">
        <f>HYPERLINK("https://media.infra-m.ru/2074/2074337/cover/2074337.jpg", "Обложка")</f>
        <v>Обложка</v>
      </c>
      <c r="V1949" s="24" t="str">
        <f>HYPERLINK("https://znanium.ru/catalog/product/2074337", "Ознакомиться")</f>
        <v>Ознакомиться</v>
      </c>
      <c r="W1949" s="8" t="s">
        <v>11988</v>
      </c>
      <c r="X1949" s="6"/>
      <c r="Y1949" s="6"/>
      <c r="Z1949" s="6"/>
      <c r="AA1949" s="6" t="s">
        <v>219</v>
      </c>
      <c r="AB1949" s="8"/>
    </row>
    <row r="1950" spans="1:28" s="4" customFormat="1" ht="51.95" customHeight="1">
      <c r="A1950" s="5">
        <v>0</v>
      </c>
      <c r="B1950" s="6" t="s">
        <v>11989</v>
      </c>
      <c r="C1950" s="13">
        <v>2654</v>
      </c>
      <c r="D1950" s="8" t="s">
        <v>11990</v>
      </c>
      <c r="E1950" s="8" t="s">
        <v>11991</v>
      </c>
      <c r="F1950" s="8" t="s">
        <v>1510</v>
      </c>
      <c r="G1950" s="6" t="s">
        <v>52</v>
      </c>
      <c r="H1950" s="6" t="s">
        <v>53</v>
      </c>
      <c r="I1950" s="8" t="s">
        <v>90</v>
      </c>
      <c r="J1950" s="9">
        <v>1</v>
      </c>
      <c r="K1950" s="9">
        <v>592</v>
      </c>
      <c r="L1950" s="9">
        <v>2025</v>
      </c>
      <c r="M1950" s="8" t="s">
        <v>11992</v>
      </c>
      <c r="N1950" s="8" t="s">
        <v>413</v>
      </c>
      <c r="O1950" s="8" t="s">
        <v>1141</v>
      </c>
      <c r="P1950" s="6" t="s">
        <v>43</v>
      </c>
      <c r="Q1950" s="8" t="s">
        <v>44</v>
      </c>
      <c r="R1950" s="10" t="s">
        <v>11993</v>
      </c>
      <c r="S1950" s="11"/>
      <c r="T1950" s="6"/>
      <c r="U1950" s="24" t="str">
        <f>HYPERLINK("https://media.infra-m.ru/2196/2196092/cover/2196092.jpg", "Обложка")</f>
        <v>Обложка</v>
      </c>
      <c r="V1950" s="24" t="str">
        <f>HYPERLINK("https://znanium.ru/catalog/product/1907364", "Ознакомиться")</f>
        <v>Ознакомиться</v>
      </c>
      <c r="W1950" s="8" t="s">
        <v>1514</v>
      </c>
      <c r="X1950" s="6"/>
      <c r="Y1950" s="6"/>
      <c r="Z1950" s="6"/>
      <c r="AA1950" s="6" t="s">
        <v>701</v>
      </c>
      <c r="AB1950" s="8"/>
    </row>
    <row r="1951" spans="1:28" s="4" customFormat="1" ht="51.95" customHeight="1">
      <c r="A1951" s="5">
        <v>0</v>
      </c>
      <c r="B1951" s="6" t="s">
        <v>11994</v>
      </c>
      <c r="C1951" s="13">
        <v>1834</v>
      </c>
      <c r="D1951" s="8" t="s">
        <v>11995</v>
      </c>
      <c r="E1951" s="8" t="s">
        <v>11996</v>
      </c>
      <c r="F1951" s="8" t="s">
        <v>11997</v>
      </c>
      <c r="G1951" s="6" t="s">
        <v>52</v>
      </c>
      <c r="H1951" s="6" t="s">
        <v>53</v>
      </c>
      <c r="I1951" s="8" t="s">
        <v>90</v>
      </c>
      <c r="J1951" s="9">
        <v>1</v>
      </c>
      <c r="K1951" s="9">
        <v>352</v>
      </c>
      <c r="L1951" s="9">
        <v>2025</v>
      </c>
      <c r="M1951" s="8" t="s">
        <v>11998</v>
      </c>
      <c r="N1951" s="8" t="s">
        <v>413</v>
      </c>
      <c r="O1951" s="8" t="s">
        <v>1141</v>
      </c>
      <c r="P1951" s="6" t="s">
        <v>43</v>
      </c>
      <c r="Q1951" s="8" t="s">
        <v>44</v>
      </c>
      <c r="R1951" s="10" t="s">
        <v>11999</v>
      </c>
      <c r="S1951" s="11"/>
      <c r="T1951" s="6"/>
      <c r="U1951" s="24" t="str">
        <f>HYPERLINK("https://media.infra-m.ru/2196/2196080/cover/2196080.jpg", "Обложка")</f>
        <v>Обложка</v>
      </c>
      <c r="V1951" s="24" t="str">
        <f>HYPERLINK("https://znanium.ru/catalog/product/1981598", "Ознакомиться")</f>
        <v>Ознакомиться</v>
      </c>
      <c r="W1951" s="8" t="s">
        <v>1514</v>
      </c>
      <c r="X1951" s="6"/>
      <c r="Y1951" s="6"/>
      <c r="Z1951" s="6"/>
      <c r="AA1951" s="6" t="s">
        <v>111</v>
      </c>
      <c r="AB1951" s="8"/>
    </row>
    <row r="1952" spans="1:28" s="4" customFormat="1" ht="51.95" customHeight="1">
      <c r="A1952" s="5">
        <v>0</v>
      </c>
      <c r="B1952" s="6" t="s">
        <v>12000</v>
      </c>
      <c r="C1952" s="13">
        <v>2294</v>
      </c>
      <c r="D1952" s="8" t="s">
        <v>12001</v>
      </c>
      <c r="E1952" s="8" t="s">
        <v>12002</v>
      </c>
      <c r="F1952" s="8" t="s">
        <v>12003</v>
      </c>
      <c r="G1952" s="6" t="s">
        <v>52</v>
      </c>
      <c r="H1952" s="6" t="s">
        <v>952</v>
      </c>
      <c r="I1952" s="8"/>
      <c r="J1952" s="9">
        <v>1</v>
      </c>
      <c r="K1952" s="9">
        <v>544</v>
      </c>
      <c r="L1952" s="9">
        <v>2025</v>
      </c>
      <c r="M1952" s="8" t="s">
        <v>12004</v>
      </c>
      <c r="N1952" s="8" t="s">
        <v>413</v>
      </c>
      <c r="O1952" s="8" t="s">
        <v>1141</v>
      </c>
      <c r="P1952" s="6" t="s">
        <v>43</v>
      </c>
      <c r="Q1952" s="8" t="s">
        <v>44</v>
      </c>
      <c r="R1952" s="10" t="s">
        <v>12005</v>
      </c>
      <c r="S1952" s="11" t="s">
        <v>12006</v>
      </c>
      <c r="T1952" s="6"/>
      <c r="U1952" s="24" t="str">
        <f>HYPERLINK("https://media.infra-m.ru/2184/2184346/cover/2184346.jpg", "Обложка")</f>
        <v>Обложка</v>
      </c>
      <c r="V1952" s="24" t="str">
        <f>HYPERLINK("https://znanium.ru/catalog/product/1910872", "Ознакомиться")</f>
        <v>Ознакомиться</v>
      </c>
      <c r="W1952" s="8" t="s">
        <v>4433</v>
      </c>
      <c r="X1952" s="6"/>
      <c r="Y1952" s="6"/>
      <c r="Z1952" s="6"/>
      <c r="AA1952" s="6" t="s">
        <v>644</v>
      </c>
      <c r="AB1952" s="8"/>
    </row>
    <row r="1953" spans="1:28" s="4" customFormat="1" ht="51.95" customHeight="1">
      <c r="A1953" s="5">
        <v>0</v>
      </c>
      <c r="B1953" s="6" t="s">
        <v>12007</v>
      </c>
      <c r="C1953" s="13">
        <v>1434</v>
      </c>
      <c r="D1953" s="8" t="s">
        <v>12008</v>
      </c>
      <c r="E1953" s="8" t="s">
        <v>12009</v>
      </c>
      <c r="F1953" s="8" t="s">
        <v>12010</v>
      </c>
      <c r="G1953" s="6" t="s">
        <v>52</v>
      </c>
      <c r="H1953" s="6" t="s">
        <v>53</v>
      </c>
      <c r="I1953" s="8" t="s">
        <v>90</v>
      </c>
      <c r="J1953" s="9">
        <v>1</v>
      </c>
      <c r="K1953" s="9">
        <v>318</v>
      </c>
      <c r="L1953" s="9">
        <v>2023</v>
      </c>
      <c r="M1953" s="8" t="s">
        <v>12011</v>
      </c>
      <c r="N1953" s="8" t="s">
        <v>413</v>
      </c>
      <c r="O1953" s="8" t="s">
        <v>1141</v>
      </c>
      <c r="P1953" s="6" t="s">
        <v>43</v>
      </c>
      <c r="Q1953" s="8" t="s">
        <v>44</v>
      </c>
      <c r="R1953" s="10" t="s">
        <v>12012</v>
      </c>
      <c r="S1953" s="11" t="s">
        <v>12013</v>
      </c>
      <c r="T1953" s="6"/>
      <c r="U1953" s="24" t="str">
        <f>HYPERLINK("https://media.infra-m.ru/2045/2045820/cover/2045820.jpg", "Обложка")</f>
        <v>Обложка</v>
      </c>
      <c r="V1953" s="24" t="str">
        <f>HYPERLINK("https://znanium.ru/catalog/product/2045820", "Ознакомиться")</f>
        <v>Ознакомиться</v>
      </c>
      <c r="W1953" s="8" t="s">
        <v>189</v>
      </c>
      <c r="X1953" s="6"/>
      <c r="Y1953" s="6"/>
      <c r="Z1953" s="6"/>
      <c r="AA1953" s="6" t="s">
        <v>122</v>
      </c>
      <c r="AB1953" s="8"/>
    </row>
    <row r="1954" spans="1:28" s="4" customFormat="1" ht="44.1" customHeight="1">
      <c r="A1954" s="5">
        <v>0</v>
      </c>
      <c r="B1954" s="6" t="s">
        <v>12014</v>
      </c>
      <c r="C1954" s="13">
        <v>1150</v>
      </c>
      <c r="D1954" s="8" t="s">
        <v>12015</v>
      </c>
      <c r="E1954" s="8" t="s">
        <v>12009</v>
      </c>
      <c r="F1954" s="8" t="s">
        <v>12016</v>
      </c>
      <c r="G1954" s="6" t="s">
        <v>52</v>
      </c>
      <c r="H1954" s="6" t="s">
        <v>53</v>
      </c>
      <c r="I1954" s="8" t="s">
        <v>782</v>
      </c>
      <c r="J1954" s="9">
        <v>1</v>
      </c>
      <c r="K1954" s="9">
        <v>241</v>
      </c>
      <c r="L1954" s="9">
        <v>2024</v>
      </c>
      <c r="M1954" s="8" t="s">
        <v>12017</v>
      </c>
      <c r="N1954" s="8" t="s">
        <v>413</v>
      </c>
      <c r="O1954" s="8" t="s">
        <v>1141</v>
      </c>
      <c r="P1954" s="6" t="s">
        <v>43</v>
      </c>
      <c r="Q1954" s="8" t="s">
        <v>58</v>
      </c>
      <c r="R1954" s="10" t="s">
        <v>12018</v>
      </c>
      <c r="S1954" s="11"/>
      <c r="T1954" s="6"/>
      <c r="U1954" s="24" t="str">
        <f>HYPERLINK("https://media.infra-m.ru/2130/2130572/cover/2130572.jpg", "Обложка")</f>
        <v>Обложка</v>
      </c>
      <c r="V1954" s="12"/>
      <c r="W1954" s="8" t="s">
        <v>784</v>
      </c>
      <c r="X1954" s="6"/>
      <c r="Y1954" s="6"/>
      <c r="Z1954" s="6"/>
      <c r="AA1954" s="6" t="s">
        <v>133</v>
      </c>
      <c r="AB1954" s="8"/>
    </row>
    <row r="1955" spans="1:28" s="4" customFormat="1" ht="51.95" customHeight="1">
      <c r="A1955" s="5">
        <v>0</v>
      </c>
      <c r="B1955" s="6" t="s">
        <v>12019</v>
      </c>
      <c r="C1955" s="13">
        <v>1240</v>
      </c>
      <c r="D1955" s="8" t="s">
        <v>12020</v>
      </c>
      <c r="E1955" s="8" t="s">
        <v>12021</v>
      </c>
      <c r="F1955" s="8" t="s">
        <v>12022</v>
      </c>
      <c r="G1955" s="6" t="s">
        <v>52</v>
      </c>
      <c r="H1955" s="6" t="s">
        <v>53</v>
      </c>
      <c r="I1955" s="8" t="s">
        <v>100</v>
      </c>
      <c r="J1955" s="9">
        <v>1</v>
      </c>
      <c r="K1955" s="9">
        <v>253</v>
      </c>
      <c r="L1955" s="9">
        <v>2024</v>
      </c>
      <c r="M1955" s="8" t="s">
        <v>12023</v>
      </c>
      <c r="N1955" s="8" t="s">
        <v>79</v>
      </c>
      <c r="O1955" s="8" t="s">
        <v>80</v>
      </c>
      <c r="P1955" s="6" t="s">
        <v>43</v>
      </c>
      <c r="Q1955" s="8" t="s">
        <v>102</v>
      </c>
      <c r="R1955" s="10" t="s">
        <v>12024</v>
      </c>
      <c r="S1955" s="11"/>
      <c r="T1955" s="6"/>
      <c r="U1955" s="24" t="str">
        <f>HYPERLINK("https://media.infra-m.ru/1899/1899098/cover/1899098.jpg", "Обложка")</f>
        <v>Обложка</v>
      </c>
      <c r="V1955" s="24" t="str">
        <f>HYPERLINK("https://znanium.ru/catalog/product/1899098", "Ознакомиться")</f>
        <v>Ознакомиться</v>
      </c>
      <c r="W1955" s="8" t="s">
        <v>12025</v>
      </c>
      <c r="X1955" s="6"/>
      <c r="Y1955" s="6"/>
      <c r="Z1955" s="6"/>
      <c r="AA1955" s="6" t="s">
        <v>133</v>
      </c>
      <c r="AB1955" s="8" t="s">
        <v>12026</v>
      </c>
    </row>
    <row r="1956" spans="1:28" s="4" customFormat="1" ht="51.95" customHeight="1">
      <c r="A1956" s="5">
        <v>0</v>
      </c>
      <c r="B1956" s="6" t="s">
        <v>12027</v>
      </c>
      <c r="C1956" s="7">
        <v>690</v>
      </c>
      <c r="D1956" s="8" t="s">
        <v>12028</v>
      </c>
      <c r="E1956" s="8" t="s">
        <v>12029</v>
      </c>
      <c r="F1956" s="8" t="s">
        <v>12030</v>
      </c>
      <c r="G1956" s="6" t="s">
        <v>38</v>
      </c>
      <c r="H1956" s="6" t="s">
        <v>53</v>
      </c>
      <c r="I1956" s="8" t="s">
        <v>116</v>
      </c>
      <c r="J1956" s="9">
        <v>1</v>
      </c>
      <c r="K1956" s="9">
        <v>132</v>
      </c>
      <c r="L1956" s="9">
        <v>2024</v>
      </c>
      <c r="M1956" s="8" t="s">
        <v>12031</v>
      </c>
      <c r="N1956" s="8" t="s">
        <v>413</v>
      </c>
      <c r="O1956" s="8" t="s">
        <v>1141</v>
      </c>
      <c r="P1956" s="6" t="s">
        <v>43</v>
      </c>
      <c r="Q1956" s="8" t="s">
        <v>44</v>
      </c>
      <c r="R1956" s="10" t="s">
        <v>12032</v>
      </c>
      <c r="S1956" s="11" t="s">
        <v>12033</v>
      </c>
      <c r="T1956" s="6"/>
      <c r="U1956" s="24" t="str">
        <f>HYPERLINK("https://media.infra-m.ru/2082/2082848/cover/2082848.jpg", "Обложка")</f>
        <v>Обложка</v>
      </c>
      <c r="V1956" s="24" t="str">
        <f>HYPERLINK("https://znanium.ru/catalog/product/2082848", "Ознакомиться")</f>
        <v>Ознакомиться</v>
      </c>
      <c r="W1956" s="8" t="s">
        <v>4228</v>
      </c>
      <c r="X1956" s="6"/>
      <c r="Y1956" s="6"/>
      <c r="Z1956" s="6"/>
      <c r="AA1956" s="6" t="s">
        <v>442</v>
      </c>
      <c r="AB1956" s="8"/>
    </row>
    <row r="1957" spans="1:28" s="4" customFormat="1" ht="51.95" customHeight="1">
      <c r="A1957" s="5">
        <v>0</v>
      </c>
      <c r="B1957" s="6" t="s">
        <v>12034</v>
      </c>
      <c r="C1957" s="7">
        <v>920</v>
      </c>
      <c r="D1957" s="8" t="s">
        <v>12035</v>
      </c>
      <c r="E1957" s="8" t="s">
        <v>12036</v>
      </c>
      <c r="F1957" s="8" t="s">
        <v>2510</v>
      </c>
      <c r="G1957" s="6" t="s">
        <v>52</v>
      </c>
      <c r="H1957" s="6" t="s">
        <v>53</v>
      </c>
      <c r="I1957" s="8" t="s">
        <v>90</v>
      </c>
      <c r="J1957" s="9">
        <v>1</v>
      </c>
      <c r="K1957" s="9">
        <v>315</v>
      </c>
      <c r="L1957" s="9">
        <v>2017</v>
      </c>
      <c r="M1957" s="8" t="s">
        <v>12037</v>
      </c>
      <c r="N1957" s="8" t="s">
        <v>41</v>
      </c>
      <c r="O1957" s="8" t="s">
        <v>42</v>
      </c>
      <c r="P1957" s="6" t="s">
        <v>43</v>
      </c>
      <c r="Q1957" s="8" t="s">
        <v>44</v>
      </c>
      <c r="R1957" s="10" t="s">
        <v>12038</v>
      </c>
      <c r="S1957" s="11" t="s">
        <v>12039</v>
      </c>
      <c r="T1957" s="6"/>
      <c r="U1957" s="24" t="str">
        <f>HYPERLINK("https://media.infra-m.ru/0762/0762501/cover/762501.jpg", "Обложка")</f>
        <v>Обложка</v>
      </c>
      <c r="V1957" s="24" t="str">
        <f>HYPERLINK("https://znanium.ru/catalog/product/1542154", "Ознакомиться")</f>
        <v>Ознакомиться</v>
      </c>
      <c r="W1957" s="8" t="s">
        <v>2514</v>
      </c>
      <c r="X1957" s="6"/>
      <c r="Y1957" s="6"/>
      <c r="Z1957" s="6"/>
      <c r="AA1957" s="6" t="s">
        <v>442</v>
      </c>
      <c r="AB1957" s="8"/>
    </row>
    <row r="1958" spans="1:28" s="4" customFormat="1" ht="51.95" customHeight="1">
      <c r="A1958" s="5">
        <v>0</v>
      </c>
      <c r="B1958" s="6" t="s">
        <v>12040</v>
      </c>
      <c r="C1958" s="13">
        <v>1444</v>
      </c>
      <c r="D1958" s="8" t="s">
        <v>12041</v>
      </c>
      <c r="E1958" s="8" t="s">
        <v>12042</v>
      </c>
      <c r="F1958" s="8" t="s">
        <v>2510</v>
      </c>
      <c r="G1958" s="6" t="s">
        <v>89</v>
      </c>
      <c r="H1958" s="6" t="s">
        <v>53</v>
      </c>
      <c r="I1958" s="8" t="s">
        <v>90</v>
      </c>
      <c r="J1958" s="9">
        <v>1</v>
      </c>
      <c r="K1958" s="9">
        <v>315</v>
      </c>
      <c r="L1958" s="9">
        <v>2024</v>
      </c>
      <c r="M1958" s="8" t="s">
        <v>12043</v>
      </c>
      <c r="N1958" s="8" t="s">
        <v>41</v>
      </c>
      <c r="O1958" s="8" t="s">
        <v>42</v>
      </c>
      <c r="P1958" s="6" t="s">
        <v>43</v>
      </c>
      <c r="Q1958" s="8" t="s">
        <v>44</v>
      </c>
      <c r="R1958" s="10" t="s">
        <v>12038</v>
      </c>
      <c r="S1958" s="11" t="s">
        <v>12044</v>
      </c>
      <c r="T1958" s="6"/>
      <c r="U1958" s="24" t="str">
        <f>HYPERLINK("https://media.infra-m.ru/2112/2112516/cover/2112516.jpg", "Обложка")</f>
        <v>Обложка</v>
      </c>
      <c r="V1958" s="24" t="str">
        <f>HYPERLINK("https://znanium.ru/catalog/product/1542154", "Ознакомиться")</f>
        <v>Ознакомиться</v>
      </c>
      <c r="W1958" s="8" t="s">
        <v>2514</v>
      </c>
      <c r="X1958" s="6"/>
      <c r="Y1958" s="6"/>
      <c r="Z1958" s="6"/>
      <c r="AA1958" s="6" t="s">
        <v>1259</v>
      </c>
      <c r="AB1958" s="8"/>
    </row>
    <row r="1959" spans="1:28" s="4" customFormat="1" ht="42" customHeight="1">
      <c r="A1959" s="5">
        <v>0</v>
      </c>
      <c r="B1959" s="6" t="s">
        <v>12045</v>
      </c>
      <c r="C1959" s="7">
        <v>540</v>
      </c>
      <c r="D1959" s="8" t="s">
        <v>12046</v>
      </c>
      <c r="E1959" s="8" t="s">
        <v>12047</v>
      </c>
      <c r="F1959" s="8" t="s">
        <v>12048</v>
      </c>
      <c r="G1959" s="6" t="s">
        <v>38</v>
      </c>
      <c r="H1959" s="6" t="s">
        <v>53</v>
      </c>
      <c r="I1959" s="8" t="s">
        <v>782</v>
      </c>
      <c r="J1959" s="9">
        <v>1</v>
      </c>
      <c r="K1959" s="9">
        <v>110</v>
      </c>
      <c r="L1959" s="9">
        <v>2024</v>
      </c>
      <c r="M1959" s="8" t="s">
        <v>12049</v>
      </c>
      <c r="N1959" s="8" t="s">
        <v>56</v>
      </c>
      <c r="O1959" s="8" t="s">
        <v>57</v>
      </c>
      <c r="P1959" s="6" t="s">
        <v>43</v>
      </c>
      <c r="Q1959" s="8" t="s">
        <v>58</v>
      </c>
      <c r="R1959" s="10" t="s">
        <v>12050</v>
      </c>
      <c r="S1959" s="11"/>
      <c r="T1959" s="6"/>
      <c r="U1959" s="24" t="str">
        <f>HYPERLINK("https://media.infra-m.ru/2130/2130483/cover/2130483.jpg", "Обложка")</f>
        <v>Обложка</v>
      </c>
      <c r="V1959" s="12"/>
      <c r="W1959" s="8" t="s">
        <v>784</v>
      </c>
      <c r="X1959" s="6"/>
      <c r="Y1959" s="6"/>
      <c r="Z1959" s="6"/>
      <c r="AA1959" s="6" t="s">
        <v>133</v>
      </c>
      <c r="AB1959" s="8"/>
    </row>
    <row r="1960" spans="1:28" s="4" customFormat="1" ht="51.95" customHeight="1">
      <c r="A1960" s="5">
        <v>0</v>
      </c>
      <c r="B1960" s="6" t="s">
        <v>12051</v>
      </c>
      <c r="C1960" s="13">
        <v>1660</v>
      </c>
      <c r="D1960" s="8" t="s">
        <v>12052</v>
      </c>
      <c r="E1960" s="8" t="s">
        <v>12053</v>
      </c>
      <c r="F1960" s="8" t="s">
        <v>12054</v>
      </c>
      <c r="G1960" s="6" t="s">
        <v>89</v>
      </c>
      <c r="H1960" s="6" t="s">
        <v>53</v>
      </c>
      <c r="I1960" s="8" t="s">
        <v>100</v>
      </c>
      <c r="J1960" s="9">
        <v>1</v>
      </c>
      <c r="K1960" s="9">
        <v>395</v>
      </c>
      <c r="L1960" s="9">
        <v>2022</v>
      </c>
      <c r="M1960" s="8" t="s">
        <v>12055</v>
      </c>
      <c r="N1960" s="8" t="s">
        <v>56</v>
      </c>
      <c r="O1960" s="8" t="s">
        <v>57</v>
      </c>
      <c r="P1960" s="6" t="s">
        <v>43</v>
      </c>
      <c r="Q1960" s="8" t="s">
        <v>102</v>
      </c>
      <c r="R1960" s="10" t="s">
        <v>12056</v>
      </c>
      <c r="S1960" s="11" t="s">
        <v>12057</v>
      </c>
      <c r="T1960" s="6" t="s">
        <v>299</v>
      </c>
      <c r="U1960" s="24" t="str">
        <f>HYPERLINK("https://media.infra-m.ru/1863/1863925/cover/1863925.jpg", "Обложка")</f>
        <v>Обложка</v>
      </c>
      <c r="V1960" s="24" t="str">
        <f>HYPERLINK("https://znanium.ru/catalog/product/1863925", "Ознакомиться")</f>
        <v>Ознакомиться</v>
      </c>
      <c r="W1960" s="8" t="s">
        <v>3010</v>
      </c>
      <c r="X1960" s="6"/>
      <c r="Y1960" s="6"/>
      <c r="Z1960" s="6" t="s">
        <v>104</v>
      </c>
      <c r="AA1960" s="6" t="s">
        <v>258</v>
      </c>
      <c r="AB1960" s="8"/>
    </row>
    <row r="1961" spans="1:28" s="4" customFormat="1" ht="51.95" customHeight="1">
      <c r="A1961" s="5">
        <v>0</v>
      </c>
      <c r="B1961" s="6" t="s">
        <v>12058</v>
      </c>
      <c r="C1961" s="13">
        <v>1780</v>
      </c>
      <c r="D1961" s="8" t="s">
        <v>12059</v>
      </c>
      <c r="E1961" s="8" t="s">
        <v>12053</v>
      </c>
      <c r="F1961" s="8" t="s">
        <v>12054</v>
      </c>
      <c r="G1961" s="6" t="s">
        <v>89</v>
      </c>
      <c r="H1961" s="6" t="s">
        <v>53</v>
      </c>
      <c r="I1961" s="8" t="s">
        <v>90</v>
      </c>
      <c r="J1961" s="9">
        <v>1</v>
      </c>
      <c r="K1961" s="9">
        <v>396</v>
      </c>
      <c r="L1961" s="9">
        <v>2023</v>
      </c>
      <c r="M1961" s="8" t="s">
        <v>12060</v>
      </c>
      <c r="N1961" s="8" t="s">
        <v>56</v>
      </c>
      <c r="O1961" s="8" t="s">
        <v>57</v>
      </c>
      <c r="P1961" s="6" t="s">
        <v>43</v>
      </c>
      <c r="Q1961" s="8" t="s">
        <v>44</v>
      </c>
      <c r="R1961" s="10" t="s">
        <v>9120</v>
      </c>
      <c r="S1961" s="11" t="s">
        <v>9678</v>
      </c>
      <c r="T1961" s="6" t="s">
        <v>299</v>
      </c>
      <c r="U1961" s="24" t="str">
        <f>HYPERLINK("https://media.infra-m.ru/1893/1893813/cover/1893813.jpg", "Обложка")</f>
        <v>Обложка</v>
      </c>
      <c r="V1961" s="24" t="str">
        <f>HYPERLINK("https://znanium.ru/catalog/product/1893813", "Ознакомиться")</f>
        <v>Ознакомиться</v>
      </c>
      <c r="W1961" s="8" t="s">
        <v>3010</v>
      </c>
      <c r="X1961" s="6"/>
      <c r="Y1961" s="6"/>
      <c r="Z1961" s="6"/>
      <c r="AA1961" s="6" t="s">
        <v>418</v>
      </c>
      <c r="AB1961" s="8"/>
    </row>
    <row r="1962" spans="1:28" s="4" customFormat="1" ht="44.1" customHeight="1">
      <c r="A1962" s="5">
        <v>0</v>
      </c>
      <c r="B1962" s="6" t="s">
        <v>12061</v>
      </c>
      <c r="C1962" s="13">
        <v>1994</v>
      </c>
      <c r="D1962" s="8" t="s">
        <v>12062</v>
      </c>
      <c r="E1962" s="8" t="s">
        <v>12063</v>
      </c>
      <c r="F1962" s="8" t="s">
        <v>12064</v>
      </c>
      <c r="G1962" s="6" t="s">
        <v>89</v>
      </c>
      <c r="H1962" s="6" t="s">
        <v>53</v>
      </c>
      <c r="I1962" s="8" t="s">
        <v>116</v>
      </c>
      <c r="J1962" s="9">
        <v>1</v>
      </c>
      <c r="K1962" s="9">
        <v>384</v>
      </c>
      <c r="L1962" s="9">
        <v>2025</v>
      </c>
      <c r="M1962" s="8" t="s">
        <v>12065</v>
      </c>
      <c r="N1962" s="8" t="s">
        <v>56</v>
      </c>
      <c r="O1962" s="8" t="s">
        <v>57</v>
      </c>
      <c r="P1962" s="6" t="s">
        <v>43</v>
      </c>
      <c r="Q1962" s="8" t="s">
        <v>44</v>
      </c>
      <c r="R1962" s="10" t="s">
        <v>12066</v>
      </c>
      <c r="S1962" s="11"/>
      <c r="T1962" s="6"/>
      <c r="U1962" s="24" t="str">
        <f>HYPERLINK("https://media.infra-m.ru/2198/2198381/cover/2198381.jpg", "Обложка")</f>
        <v>Обложка</v>
      </c>
      <c r="V1962" s="24" t="str">
        <f>HYPERLINK("https://znanium.ru/catalog/product/2113424", "Ознакомиться")</f>
        <v>Ознакомиться</v>
      </c>
      <c r="W1962" s="8" t="s">
        <v>3010</v>
      </c>
      <c r="X1962" s="6"/>
      <c r="Y1962" s="6"/>
      <c r="Z1962" s="6"/>
      <c r="AA1962" s="6" t="s">
        <v>235</v>
      </c>
      <c r="AB1962" s="8" t="s">
        <v>12067</v>
      </c>
    </row>
    <row r="1963" spans="1:28" s="4" customFormat="1" ht="42" customHeight="1">
      <c r="A1963" s="5">
        <v>0</v>
      </c>
      <c r="B1963" s="6" t="s">
        <v>12068</v>
      </c>
      <c r="C1963" s="13">
        <v>1810</v>
      </c>
      <c r="D1963" s="8" t="s">
        <v>12069</v>
      </c>
      <c r="E1963" s="8" t="s">
        <v>12070</v>
      </c>
      <c r="F1963" s="8" t="s">
        <v>11846</v>
      </c>
      <c r="G1963" s="6" t="s">
        <v>89</v>
      </c>
      <c r="H1963" s="6" t="s">
        <v>53</v>
      </c>
      <c r="I1963" s="8" t="s">
        <v>116</v>
      </c>
      <c r="J1963" s="9">
        <v>1</v>
      </c>
      <c r="K1963" s="9">
        <v>347</v>
      </c>
      <c r="L1963" s="9">
        <v>2025</v>
      </c>
      <c r="M1963" s="8" t="s">
        <v>12071</v>
      </c>
      <c r="N1963" s="8" t="s">
        <v>56</v>
      </c>
      <c r="O1963" s="8" t="s">
        <v>57</v>
      </c>
      <c r="P1963" s="6" t="s">
        <v>167</v>
      </c>
      <c r="Q1963" s="8" t="s">
        <v>214</v>
      </c>
      <c r="R1963" s="10" t="s">
        <v>12072</v>
      </c>
      <c r="S1963" s="11"/>
      <c r="T1963" s="6"/>
      <c r="U1963" s="24" t="str">
        <f>HYPERLINK("https://media.infra-m.ru/2168/2168188/cover/2168188.jpg", "Обложка")</f>
        <v>Обложка</v>
      </c>
      <c r="V1963" s="24" t="str">
        <f>HYPERLINK("https://znanium.ru/catalog/product/2168188", "Ознакомиться")</f>
        <v>Ознакомиться</v>
      </c>
      <c r="W1963" s="8" t="s">
        <v>11850</v>
      </c>
      <c r="X1963" s="6"/>
      <c r="Y1963" s="6"/>
      <c r="Z1963" s="6"/>
      <c r="AA1963" s="6" t="s">
        <v>258</v>
      </c>
      <c r="AB1963" s="8"/>
    </row>
    <row r="1964" spans="1:28" s="4" customFormat="1" ht="51.95" customHeight="1">
      <c r="A1964" s="5">
        <v>0</v>
      </c>
      <c r="B1964" s="6" t="s">
        <v>12073</v>
      </c>
      <c r="C1964" s="7">
        <v>794</v>
      </c>
      <c r="D1964" s="8" t="s">
        <v>12074</v>
      </c>
      <c r="E1964" s="8" t="s">
        <v>12075</v>
      </c>
      <c r="F1964" s="8" t="s">
        <v>12076</v>
      </c>
      <c r="G1964" s="6" t="s">
        <v>89</v>
      </c>
      <c r="H1964" s="6" t="s">
        <v>53</v>
      </c>
      <c r="I1964" s="8" t="s">
        <v>90</v>
      </c>
      <c r="J1964" s="9">
        <v>1</v>
      </c>
      <c r="K1964" s="9">
        <v>152</v>
      </c>
      <c r="L1964" s="9">
        <v>2025</v>
      </c>
      <c r="M1964" s="8" t="s">
        <v>12077</v>
      </c>
      <c r="N1964" s="8" t="s">
        <v>56</v>
      </c>
      <c r="O1964" s="8" t="s">
        <v>57</v>
      </c>
      <c r="P1964" s="6" t="s">
        <v>43</v>
      </c>
      <c r="Q1964" s="8" t="s">
        <v>44</v>
      </c>
      <c r="R1964" s="10" t="s">
        <v>10063</v>
      </c>
      <c r="S1964" s="11" t="s">
        <v>12078</v>
      </c>
      <c r="T1964" s="6"/>
      <c r="U1964" s="24" t="str">
        <f>HYPERLINK("https://media.infra-m.ru/2194/2194981/cover/2194981.jpg", "Обложка")</f>
        <v>Обложка</v>
      </c>
      <c r="V1964" s="24" t="str">
        <f>HYPERLINK("https://znanium.ru/catalog/product/2096820", "Ознакомиться")</f>
        <v>Ознакомиться</v>
      </c>
      <c r="W1964" s="8" t="s">
        <v>11988</v>
      </c>
      <c r="X1964" s="6"/>
      <c r="Y1964" s="6"/>
      <c r="Z1964" s="6"/>
      <c r="AA1964" s="6" t="s">
        <v>442</v>
      </c>
      <c r="AB1964" s="8" t="s">
        <v>271</v>
      </c>
    </row>
    <row r="1965" spans="1:28" s="4" customFormat="1" ht="51.95" customHeight="1">
      <c r="A1965" s="5">
        <v>0</v>
      </c>
      <c r="B1965" s="6" t="s">
        <v>12079</v>
      </c>
      <c r="C1965" s="13">
        <v>1360</v>
      </c>
      <c r="D1965" s="8" t="s">
        <v>12080</v>
      </c>
      <c r="E1965" s="8" t="s">
        <v>12081</v>
      </c>
      <c r="F1965" s="8" t="s">
        <v>1699</v>
      </c>
      <c r="G1965" s="6" t="s">
        <v>89</v>
      </c>
      <c r="H1965" s="6" t="s">
        <v>53</v>
      </c>
      <c r="I1965" s="8" t="s">
        <v>90</v>
      </c>
      <c r="J1965" s="9">
        <v>1</v>
      </c>
      <c r="K1965" s="9">
        <v>295</v>
      </c>
      <c r="L1965" s="9">
        <v>2023</v>
      </c>
      <c r="M1965" s="8" t="s">
        <v>12082</v>
      </c>
      <c r="N1965" s="8" t="s">
        <v>56</v>
      </c>
      <c r="O1965" s="8" t="s">
        <v>57</v>
      </c>
      <c r="P1965" s="6" t="s">
        <v>43</v>
      </c>
      <c r="Q1965" s="8" t="s">
        <v>44</v>
      </c>
      <c r="R1965" s="10" t="s">
        <v>12083</v>
      </c>
      <c r="S1965" s="11" t="s">
        <v>12084</v>
      </c>
      <c r="T1965" s="6"/>
      <c r="U1965" s="24" t="str">
        <f>HYPERLINK("https://media.infra-m.ru/1933/1933173/cover/1933173.jpg", "Обложка")</f>
        <v>Обложка</v>
      </c>
      <c r="V1965" s="24" t="str">
        <f>HYPERLINK("https://znanium.ru/catalog/product/1933173", "Ознакомиться")</f>
        <v>Ознакомиться</v>
      </c>
      <c r="W1965" s="8" t="s">
        <v>1703</v>
      </c>
      <c r="X1965" s="6"/>
      <c r="Y1965" s="6"/>
      <c r="Z1965" s="6"/>
      <c r="AA1965" s="6" t="s">
        <v>235</v>
      </c>
      <c r="AB1965" s="8"/>
    </row>
    <row r="1966" spans="1:28" s="4" customFormat="1" ht="51.95" customHeight="1">
      <c r="A1966" s="5">
        <v>0</v>
      </c>
      <c r="B1966" s="6" t="s">
        <v>12085</v>
      </c>
      <c r="C1966" s="13">
        <v>1200</v>
      </c>
      <c r="D1966" s="8" t="s">
        <v>12086</v>
      </c>
      <c r="E1966" s="8" t="s">
        <v>12087</v>
      </c>
      <c r="F1966" s="8" t="s">
        <v>12088</v>
      </c>
      <c r="G1966" s="6" t="s">
        <v>52</v>
      </c>
      <c r="H1966" s="6" t="s">
        <v>53</v>
      </c>
      <c r="I1966" s="8" t="s">
        <v>90</v>
      </c>
      <c r="J1966" s="9">
        <v>1</v>
      </c>
      <c r="K1966" s="9">
        <v>284</v>
      </c>
      <c r="L1966" s="9">
        <v>2022</v>
      </c>
      <c r="M1966" s="8" t="s">
        <v>12089</v>
      </c>
      <c r="N1966" s="8" t="s">
        <v>413</v>
      </c>
      <c r="O1966" s="8" t="s">
        <v>414</v>
      </c>
      <c r="P1966" s="6" t="s">
        <v>167</v>
      </c>
      <c r="Q1966" s="8" t="s">
        <v>44</v>
      </c>
      <c r="R1966" s="10" t="s">
        <v>12090</v>
      </c>
      <c r="S1966" s="11" t="s">
        <v>12091</v>
      </c>
      <c r="T1966" s="6"/>
      <c r="U1966" s="24" t="str">
        <f>HYPERLINK("https://media.infra-m.ru/0973/0973603/cover/973603.jpg", "Обложка")</f>
        <v>Обложка</v>
      </c>
      <c r="V1966" s="24" t="str">
        <f>HYPERLINK("https://znanium.ru/catalog/product/973603", "Ознакомиться")</f>
        <v>Ознакомиться</v>
      </c>
      <c r="W1966" s="8" t="s">
        <v>5142</v>
      </c>
      <c r="X1966" s="6"/>
      <c r="Y1966" s="6"/>
      <c r="Z1966" s="6"/>
      <c r="AA1966" s="6" t="s">
        <v>235</v>
      </c>
      <c r="AB1966" s="8"/>
    </row>
    <row r="1967" spans="1:28" s="4" customFormat="1" ht="51.95" customHeight="1">
      <c r="A1967" s="5">
        <v>0</v>
      </c>
      <c r="B1967" s="6" t="s">
        <v>12092</v>
      </c>
      <c r="C1967" s="13">
        <v>1620</v>
      </c>
      <c r="D1967" s="8" t="s">
        <v>12093</v>
      </c>
      <c r="E1967" s="8" t="s">
        <v>12094</v>
      </c>
      <c r="F1967" s="8" t="s">
        <v>5015</v>
      </c>
      <c r="G1967" s="6" t="s">
        <v>89</v>
      </c>
      <c r="H1967" s="6" t="s">
        <v>53</v>
      </c>
      <c r="I1967" s="8" t="s">
        <v>90</v>
      </c>
      <c r="J1967" s="9">
        <v>1</v>
      </c>
      <c r="K1967" s="9">
        <v>359</v>
      </c>
      <c r="L1967" s="9">
        <v>2023</v>
      </c>
      <c r="M1967" s="8" t="s">
        <v>12095</v>
      </c>
      <c r="N1967" s="8" t="s">
        <v>413</v>
      </c>
      <c r="O1967" s="8" t="s">
        <v>414</v>
      </c>
      <c r="P1967" s="6" t="s">
        <v>167</v>
      </c>
      <c r="Q1967" s="8" t="s">
        <v>44</v>
      </c>
      <c r="R1967" s="10" t="s">
        <v>12090</v>
      </c>
      <c r="S1967" s="11" t="s">
        <v>12096</v>
      </c>
      <c r="T1967" s="6"/>
      <c r="U1967" s="24" t="str">
        <f>HYPERLINK("https://media.infra-m.ru/1873/1873976/cover/1873976.jpg", "Обложка")</f>
        <v>Обложка</v>
      </c>
      <c r="V1967" s="24" t="str">
        <f>HYPERLINK("https://znanium.ru/catalog/product/1873976", "Ознакомиться")</f>
        <v>Ознакомиться</v>
      </c>
      <c r="W1967" s="8" t="s">
        <v>5019</v>
      </c>
      <c r="X1967" s="6"/>
      <c r="Y1967" s="6"/>
      <c r="Z1967" s="6"/>
      <c r="AA1967" s="6" t="s">
        <v>160</v>
      </c>
      <c r="AB1967" s="8"/>
    </row>
    <row r="1968" spans="1:28" s="4" customFormat="1" ht="42" customHeight="1">
      <c r="A1968" s="5">
        <v>0</v>
      </c>
      <c r="B1968" s="6" t="s">
        <v>12097</v>
      </c>
      <c r="C1968" s="7">
        <v>980</v>
      </c>
      <c r="D1968" s="8" t="s">
        <v>12098</v>
      </c>
      <c r="E1968" s="8" t="s">
        <v>12099</v>
      </c>
      <c r="F1968" s="8" t="s">
        <v>12100</v>
      </c>
      <c r="G1968" s="6" t="s">
        <v>52</v>
      </c>
      <c r="H1968" s="6" t="s">
        <v>53</v>
      </c>
      <c r="I1968" s="8" t="s">
        <v>116</v>
      </c>
      <c r="J1968" s="9">
        <v>1</v>
      </c>
      <c r="K1968" s="9">
        <v>194</v>
      </c>
      <c r="L1968" s="9">
        <v>2024</v>
      </c>
      <c r="M1968" s="8" t="s">
        <v>12101</v>
      </c>
      <c r="N1968" s="8" t="s">
        <v>41</v>
      </c>
      <c r="O1968" s="8" t="s">
        <v>1007</v>
      </c>
      <c r="P1968" s="6" t="s">
        <v>43</v>
      </c>
      <c r="Q1968" s="8" t="s">
        <v>58</v>
      </c>
      <c r="R1968" s="10" t="s">
        <v>6360</v>
      </c>
      <c r="S1968" s="11"/>
      <c r="T1968" s="6"/>
      <c r="U1968" s="24" t="str">
        <f>HYPERLINK("https://media.infra-m.ru/2010/2010446/cover/2010446.jpg", "Обложка")</f>
        <v>Обложка</v>
      </c>
      <c r="V1968" s="24" t="str">
        <f>HYPERLINK("https://znanium.ru/catalog/product/2010446", "Ознакомиться")</f>
        <v>Ознакомиться</v>
      </c>
      <c r="W1968" s="8" t="s">
        <v>9720</v>
      </c>
      <c r="X1968" s="6"/>
      <c r="Y1968" s="6"/>
      <c r="Z1968" s="6"/>
      <c r="AA1968" s="6" t="s">
        <v>133</v>
      </c>
      <c r="AB1968" s="8"/>
    </row>
    <row r="1969" spans="1:28" s="4" customFormat="1" ht="51.95" customHeight="1">
      <c r="A1969" s="5">
        <v>0</v>
      </c>
      <c r="B1969" s="6" t="s">
        <v>12102</v>
      </c>
      <c r="C1969" s="13">
        <v>1560</v>
      </c>
      <c r="D1969" s="8" t="s">
        <v>12103</v>
      </c>
      <c r="E1969" s="8" t="s">
        <v>12104</v>
      </c>
      <c r="F1969" s="8" t="s">
        <v>12105</v>
      </c>
      <c r="G1969" s="6" t="s">
        <v>89</v>
      </c>
      <c r="H1969" s="6" t="s">
        <v>53</v>
      </c>
      <c r="I1969" s="8" t="s">
        <v>7693</v>
      </c>
      <c r="J1969" s="9">
        <v>1</v>
      </c>
      <c r="K1969" s="9">
        <v>312</v>
      </c>
      <c r="L1969" s="9">
        <v>2025</v>
      </c>
      <c r="M1969" s="8" t="s">
        <v>12106</v>
      </c>
      <c r="N1969" s="8" t="s">
        <v>997</v>
      </c>
      <c r="O1969" s="8" t="s">
        <v>998</v>
      </c>
      <c r="P1969" s="6" t="s">
        <v>43</v>
      </c>
      <c r="Q1969" s="8" t="s">
        <v>1047</v>
      </c>
      <c r="R1969" s="10" t="s">
        <v>12107</v>
      </c>
      <c r="S1969" s="11"/>
      <c r="T1969" s="6"/>
      <c r="U1969" s="24" t="str">
        <f>HYPERLINK("https://media.infra-m.ru/2160/2160667/cover/2160667.jpg", "Обложка")</f>
        <v>Обложка</v>
      </c>
      <c r="V1969" s="24" t="str">
        <f>HYPERLINK("https://znanium.ru/catalog/product/2173831", "Ознакомиться")</f>
        <v>Ознакомиться</v>
      </c>
      <c r="W1969" s="8" t="s">
        <v>12108</v>
      </c>
      <c r="X1969" s="6"/>
      <c r="Y1969" s="6"/>
      <c r="Z1969" s="6"/>
      <c r="AA1969" s="6" t="s">
        <v>244</v>
      </c>
      <c r="AB1969" s="8"/>
    </row>
    <row r="1970" spans="1:28" s="4" customFormat="1" ht="51.95" customHeight="1">
      <c r="A1970" s="5">
        <v>0</v>
      </c>
      <c r="B1970" s="6" t="s">
        <v>12109</v>
      </c>
      <c r="C1970" s="7">
        <v>740</v>
      </c>
      <c r="D1970" s="8" t="s">
        <v>12110</v>
      </c>
      <c r="E1970" s="8" t="s">
        <v>12111</v>
      </c>
      <c r="F1970" s="8" t="s">
        <v>12112</v>
      </c>
      <c r="G1970" s="6" t="s">
        <v>38</v>
      </c>
      <c r="H1970" s="6" t="s">
        <v>184</v>
      </c>
      <c r="I1970" s="8" t="s">
        <v>90</v>
      </c>
      <c r="J1970" s="9">
        <v>1</v>
      </c>
      <c r="K1970" s="9">
        <v>159</v>
      </c>
      <c r="L1970" s="9">
        <v>2023</v>
      </c>
      <c r="M1970" s="8" t="s">
        <v>12113</v>
      </c>
      <c r="N1970" s="8" t="s">
        <v>56</v>
      </c>
      <c r="O1970" s="8" t="s">
        <v>4042</v>
      </c>
      <c r="P1970" s="6" t="s">
        <v>43</v>
      </c>
      <c r="Q1970" s="8" t="s">
        <v>44</v>
      </c>
      <c r="R1970" s="10" t="s">
        <v>12114</v>
      </c>
      <c r="S1970" s="11"/>
      <c r="T1970" s="6"/>
      <c r="U1970" s="24" t="str">
        <f>HYPERLINK("https://media.infra-m.ru/2125/2125178/cover/2125178.jpg", "Обложка")</f>
        <v>Обложка</v>
      </c>
      <c r="V1970" s="24" t="str">
        <f>HYPERLINK("https://znanium.ru/catalog/product/2129120", "Ознакомиться")</f>
        <v>Ознакомиться</v>
      </c>
      <c r="W1970" s="8" t="s">
        <v>4083</v>
      </c>
      <c r="X1970" s="6"/>
      <c r="Y1970" s="6"/>
      <c r="Z1970" s="6"/>
      <c r="AA1970" s="6" t="s">
        <v>418</v>
      </c>
      <c r="AB1970" s="8"/>
    </row>
    <row r="1971" spans="1:28" s="4" customFormat="1" ht="51.95" customHeight="1">
      <c r="A1971" s="5">
        <v>0</v>
      </c>
      <c r="B1971" s="6" t="s">
        <v>12115</v>
      </c>
      <c r="C1971" s="13">
        <v>1050</v>
      </c>
      <c r="D1971" s="8" t="s">
        <v>12116</v>
      </c>
      <c r="E1971" s="8" t="s">
        <v>12117</v>
      </c>
      <c r="F1971" s="8" t="s">
        <v>12118</v>
      </c>
      <c r="G1971" s="6" t="s">
        <v>89</v>
      </c>
      <c r="H1971" s="6" t="s">
        <v>53</v>
      </c>
      <c r="I1971" s="8" t="s">
        <v>100</v>
      </c>
      <c r="J1971" s="9">
        <v>1</v>
      </c>
      <c r="K1971" s="9">
        <v>210</v>
      </c>
      <c r="L1971" s="9">
        <v>2025</v>
      </c>
      <c r="M1971" s="8" t="s">
        <v>12119</v>
      </c>
      <c r="N1971" s="8" t="s">
        <v>41</v>
      </c>
      <c r="O1971" s="8" t="s">
        <v>676</v>
      </c>
      <c r="P1971" s="6" t="s">
        <v>167</v>
      </c>
      <c r="Q1971" s="8" t="s">
        <v>102</v>
      </c>
      <c r="R1971" s="10" t="s">
        <v>256</v>
      </c>
      <c r="S1971" s="11" t="s">
        <v>12120</v>
      </c>
      <c r="T1971" s="6"/>
      <c r="U1971" s="24" t="str">
        <f>HYPERLINK("https://media.infra-m.ru/2167/2167690/cover/2167690.jpg", "Обложка")</f>
        <v>Обложка</v>
      </c>
      <c r="V1971" s="24" t="str">
        <f>HYPERLINK("https://znanium.ru/catalog/product/2167690", "Ознакомиться")</f>
        <v>Ознакомиться</v>
      </c>
      <c r="W1971" s="8" t="s">
        <v>8824</v>
      </c>
      <c r="X1971" s="6"/>
      <c r="Y1971" s="6"/>
      <c r="Z1971" s="6" t="s">
        <v>104</v>
      </c>
      <c r="AA1971" s="6" t="s">
        <v>793</v>
      </c>
      <c r="AB1971" s="8"/>
    </row>
    <row r="1972" spans="1:28" s="4" customFormat="1" ht="51.95" customHeight="1">
      <c r="A1972" s="5">
        <v>0</v>
      </c>
      <c r="B1972" s="6" t="s">
        <v>12121</v>
      </c>
      <c r="C1972" s="13">
        <v>1050</v>
      </c>
      <c r="D1972" s="8" t="s">
        <v>12122</v>
      </c>
      <c r="E1972" s="8" t="s">
        <v>12117</v>
      </c>
      <c r="F1972" s="8" t="s">
        <v>12118</v>
      </c>
      <c r="G1972" s="6" t="s">
        <v>89</v>
      </c>
      <c r="H1972" s="6" t="s">
        <v>53</v>
      </c>
      <c r="I1972" s="8" t="s">
        <v>116</v>
      </c>
      <c r="J1972" s="9">
        <v>1</v>
      </c>
      <c r="K1972" s="9">
        <v>210</v>
      </c>
      <c r="L1972" s="9">
        <v>2025</v>
      </c>
      <c r="M1972" s="8" t="s">
        <v>12123</v>
      </c>
      <c r="N1972" s="8" t="s">
        <v>41</v>
      </c>
      <c r="O1972" s="8" t="s">
        <v>676</v>
      </c>
      <c r="P1972" s="6" t="s">
        <v>167</v>
      </c>
      <c r="Q1972" s="8" t="s">
        <v>44</v>
      </c>
      <c r="R1972" s="10" t="s">
        <v>677</v>
      </c>
      <c r="S1972" s="11" t="s">
        <v>12124</v>
      </c>
      <c r="T1972" s="6"/>
      <c r="U1972" s="24" t="str">
        <f>HYPERLINK("https://media.infra-m.ru/2157/2157924/cover/2157924.jpg", "Обложка")</f>
        <v>Обложка</v>
      </c>
      <c r="V1972" s="24" t="str">
        <f>HYPERLINK("https://znanium.ru/catalog/product/2157924", "Ознакомиться")</f>
        <v>Ознакомиться</v>
      </c>
      <c r="W1972" s="8" t="s">
        <v>8824</v>
      </c>
      <c r="X1972" s="6"/>
      <c r="Y1972" s="6"/>
      <c r="Z1972" s="6"/>
      <c r="AA1972" s="6" t="s">
        <v>258</v>
      </c>
      <c r="AB1972" s="8"/>
    </row>
    <row r="1973" spans="1:28" s="4" customFormat="1" ht="51.95" customHeight="1">
      <c r="A1973" s="5">
        <v>0</v>
      </c>
      <c r="B1973" s="6" t="s">
        <v>12125</v>
      </c>
      <c r="C1973" s="7">
        <v>830</v>
      </c>
      <c r="D1973" s="8" t="s">
        <v>12126</v>
      </c>
      <c r="E1973" s="8" t="s">
        <v>12127</v>
      </c>
      <c r="F1973" s="8" t="s">
        <v>12128</v>
      </c>
      <c r="G1973" s="6" t="s">
        <v>89</v>
      </c>
      <c r="H1973" s="6" t="s">
        <v>53</v>
      </c>
      <c r="I1973" s="8" t="s">
        <v>116</v>
      </c>
      <c r="J1973" s="9">
        <v>1</v>
      </c>
      <c r="K1973" s="9">
        <v>179</v>
      </c>
      <c r="L1973" s="9">
        <v>2024</v>
      </c>
      <c r="M1973" s="8" t="s">
        <v>12129</v>
      </c>
      <c r="N1973" s="8" t="s">
        <v>41</v>
      </c>
      <c r="O1973" s="8" t="s">
        <v>676</v>
      </c>
      <c r="P1973" s="6" t="s">
        <v>43</v>
      </c>
      <c r="Q1973" s="8" t="s">
        <v>44</v>
      </c>
      <c r="R1973" s="10" t="s">
        <v>12130</v>
      </c>
      <c r="S1973" s="11" t="s">
        <v>8817</v>
      </c>
      <c r="T1973" s="6"/>
      <c r="U1973" s="24" t="str">
        <f>HYPERLINK("https://media.infra-m.ru/2105/2105797/cover/2105797.jpg", "Обложка")</f>
        <v>Обложка</v>
      </c>
      <c r="V1973" s="24" t="str">
        <f>HYPERLINK("https://znanium.ru/catalog/product/2105797", "Ознакомиться")</f>
        <v>Ознакомиться</v>
      </c>
      <c r="W1973" s="8" t="s">
        <v>6076</v>
      </c>
      <c r="X1973" s="6"/>
      <c r="Y1973" s="6"/>
      <c r="Z1973" s="6"/>
      <c r="AA1973" s="6" t="s">
        <v>326</v>
      </c>
      <c r="AB1973" s="8"/>
    </row>
    <row r="1974" spans="1:28" s="4" customFormat="1" ht="42" customHeight="1">
      <c r="A1974" s="5">
        <v>0</v>
      </c>
      <c r="B1974" s="6" t="s">
        <v>12131</v>
      </c>
      <c r="C1974" s="7">
        <v>930</v>
      </c>
      <c r="D1974" s="8" t="s">
        <v>12132</v>
      </c>
      <c r="E1974" s="8" t="s">
        <v>12127</v>
      </c>
      <c r="F1974" s="8" t="s">
        <v>12128</v>
      </c>
      <c r="G1974" s="6" t="s">
        <v>52</v>
      </c>
      <c r="H1974" s="6" t="s">
        <v>53</v>
      </c>
      <c r="I1974" s="8" t="s">
        <v>100</v>
      </c>
      <c r="J1974" s="9">
        <v>1</v>
      </c>
      <c r="K1974" s="9">
        <v>179</v>
      </c>
      <c r="L1974" s="9">
        <v>2025</v>
      </c>
      <c r="M1974" s="8" t="s">
        <v>12133</v>
      </c>
      <c r="N1974" s="8" t="s">
        <v>41</v>
      </c>
      <c r="O1974" s="8" t="s">
        <v>676</v>
      </c>
      <c r="P1974" s="6" t="s">
        <v>43</v>
      </c>
      <c r="Q1974" s="8" t="s">
        <v>102</v>
      </c>
      <c r="R1974" s="10" t="s">
        <v>256</v>
      </c>
      <c r="S1974" s="11"/>
      <c r="T1974" s="6"/>
      <c r="U1974" s="24" t="str">
        <f>HYPERLINK("https://media.infra-m.ru/2174/2174943/cover/2174943.jpg", "Обложка")</f>
        <v>Обложка</v>
      </c>
      <c r="V1974" s="24" t="str">
        <f>HYPERLINK("https://znanium.ru/catalog/product/2174943", "Ознакомиться")</f>
        <v>Ознакомиться</v>
      </c>
      <c r="W1974" s="8" t="s">
        <v>6076</v>
      </c>
      <c r="X1974" s="6" t="s">
        <v>785</v>
      </c>
      <c r="Y1974" s="6"/>
      <c r="Z1974" s="6" t="s">
        <v>104</v>
      </c>
      <c r="AA1974" s="6" t="s">
        <v>549</v>
      </c>
      <c r="AB1974" s="8"/>
    </row>
    <row r="1975" spans="1:28" s="4" customFormat="1" ht="51.95" customHeight="1">
      <c r="A1975" s="5">
        <v>0</v>
      </c>
      <c r="B1975" s="6" t="s">
        <v>12134</v>
      </c>
      <c r="C1975" s="7">
        <v>780</v>
      </c>
      <c r="D1975" s="8" t="s">
        <v>12135</v>
      </c>
      <c r="E1975" s="8" t="s">
        <v>12136</v>
      </c>
      <c r="F1975" s="8" t="s">
        <v>12137</v>
      </c>
      <c r="G1975" s="6" t="s">
        <v>89</v>
      </c>
      <c r="H1975" s="6" t="s">
        <v>53</v>
      </c>
      <c r="I1975" s="8" t="s">
        <v>6796</v>
      </c>
      <c r="J1975" s="9">
        <v>1</v>
      </c>
      <c r="K1975" s="9">
        <v>168</v>
      </c>
      <c r="L1975" s="9">
        <v>2023</v>
      </c>
      <c r="M1975" s="8" t="s">
        <v>12138</v>
      </c>
      <c r="N1975" s="8" t="s">
        <v>79</v>
      </c>
      <c r="O1975" s="8" t="s">
        <v>148</v>
      </c>
      <c r="P1975" s="6" t="s">
        <v>43</v>
      </c>
      <c r="Q1975" s="8" t="s">
        <v>279</v>
      </c>
      <c r="R1975" s="10" t="s">
        <v>12139</v>
      </c>
      <c r="S1975" s="11" t="s">
        <v>12140</v>
      </c>
      <c r="T1975" s="6"/>
      <c r="U1975" s="24" t="str">
        <f>HYPERLINK("https://media.infra-m.ru/1900/1900922/cover/1900922.jpg", "Обложка")</f>
        <v>Обложка</v>
      </c>
      <c r="V1975" s="12"/>
      <c r="W1975" s="8" t="s">
        <v>784</v>
      </c>
      <c r="X1975" s="6"/>
      <c r="Y1975" s="6"/>
      <c r="Z1975" s="6"/>
      <c r="AA1975" s="6" t="s">
        <v>151</v>
      </c>
      <c r="AB1975" s="8"/>
    </row>
    <row r="1976" spans="1:28" s="4" customFormat="1" ht="42" customHeight="1">
      <c r="A1976" s="5">
        <v>0</v>
      </c>
      <c r="B1976" s="6" t="s">
        <v>12141</v>
      </c>
      <c r="C1976" s="13">
        <v>2100</v>
      </c>
      <c r="D1976" s="8" t="s">
        <v>12142</v>
      </c>
      <c r="E1976" s="8" t="s">
        <v>12143</v>
      </c>
      <c r="F1976" s="8" t="s">
        <v>12144</v>
      </c>
      <c r="G1976" s="6" t="s">
        <v>52</v>
      </c>
      <c r="H1976" s="6" t="s">
        <v>53</v>
      </c>
      <c r="I1976" s="8" t="s">
        <v>116</v>
      </c>
      <c r="J1976" s="9">
        <v>1</v>
      </c>
      <c r="K1976" s="9">
        <v>418</v>
      </c>
      <c r="L1976" s="9">
        <v>2025</v>
      </c>
      <c r="M1976" s="8" t="s">
        <v>12145</v>
      </c>
      <c r="N1976" s="8" t="s">
        <v>413</v>
      </c>
      <c r="O1976" s="8" t="s">
        <v>1141</v>
      </c>
      <c r="P1976" s="6" t="s">
        <v>167</v>
      </c>
      <c r="Q1976" s="8" t="s">
        <v>44</v>
      </c>
      <c r="R1976" s="10" t="s">
        <v>12146</v>
      </c>
      <c r="S1976" s="11"/>
      <c r="T1976" s="6"/>
      <c r="U1976" s="24" t="str">
        <f>HYPERLINK("https://media.infra-m.ru/2179/2179234/cover/2179234.jpg", "Обложка")</f>
        <v>Обложка</v>
      </c>
      <c r="V1976" s="24" t="str">
        <f>HYPERLINK("https://znanium.ru/catalog/product/2179234", "Ознакомиться")</f>
        <v>Ознакомиться</v>
      </c>
      <c r="W1976" s="8" t="s">
        <v>4331</v>
      </c>
      <c r="X1976" s="6"/>
      <c r="Y1976" s="6"/>
      <c r="Z1976" s="6"/>
      <c r="AA1976" s="6" t="s">
        <v>207</v>
      </c>
      <c r="AB1976" s="8"/>
    </row>
    <row r="1977" spans="1:28" s="4" customFormat="1" ht="51.95" customHeight="1">
      <c r="A1977" s="5">
        <v>0</v>
      </c>
      <c r="B1977" s="6" t="s">
        <v>12147</v>
      </c>
      <c r="C1977" s="7">
        <v>690</v>
      </c>
      <c r="D1977" s="8" t="s">
        <v>12148</v>
      </c>
      <c r="E1977" s="8" t="s">
        <v>12149</v>
      </c>
      <c r="F1977" s="8" t="s">
        <v>12150</v>
      </c>
      <c r="G1977" s="6" t="s">
        <v>89</v>
      </c>
      <c r="H1977" s="6" t="s">
        <v>53</v>
      </c>
      <c r="I1977" s="8" t="s">
        <v>276</v>
      </c>
      <c r="J1977" s="9">
        <v>1</v>
      </c>
      <c r="K1977" s="9">
        <v>142</v>
      </c>
      <c r="L1977" s="9">
        <v>2024</v>
      </c>
      <c r="M1977" s="8" t="s">
        <v>12151</v>
      </c>
      <c r="N1977" s="8" t="s">
        <v>41</v>
      </c>
      <c r="O1977" s="8" t="s">
        <v>676</v>
      </c>
      <c r="P1977" s="6" t="s">
        <v>43</v>
      </c>
      <c r="Q1977" s="8" t="s">
        <v>279</v>
      </c>
      <c r="R1977" s="10" t="s">
        <v>806</v>
      </c>
      <c r="S1977" s="11" t="s">
        <v>12152</v>
      </c>
      <c r="T1977" s="6"/>
      <c r="U1977" s="24" t="str">
        <f>HYPERLINK("https://media.infra-m.ru/2111/2111339/cover/2111339.jpg", "Обложка")</f>
        <v>Обложка</v>
      </c>
      <c r="V1977" s="24" t="str">
        <f>HYPERLINK("https://znanium.ru/catalog/product/2111339", "Ознакомиться")</f>
        <v>Ознакомиться</v>
      </c>
      <c r="W1977" s="8" t="s">
        <v>6076</v>
      </c>
      <c r="X1977" s="6"/>
      <c r="Y1977" s="6"/>
      <c r="Z1977" s="6"/>
      <c r="AA1977" s="6" t="s">
        <v>442</v>
      </c>
      <c r="AB1977" s="8"/>
    </row>
    <row r="1978" spans="1:28" s="4" customFormat="1" ht="42" customHeight="1">
      <c r="A1978" s="5">
        <v>0</v>
      </c>
      <c r="B1978" s="6" t="s">
        <v>12153</v>
      </c>
      <c r="C1978" s="13">
        <v>2590</v>
      </c>
      <c r="D1978" s="8" t="s">
        <v>12154</v>
      </c>
      <c r="E1978" s="8" t="s">
        <v>12155</v>
      </c>
      <c r="F1978" s="8" t="s">
        <v>12156</v>
      </c>
      <c r="G1978" s="6" t="s">
        <v>52</v>
      </c>
      <c r="H1978" s="6" t="s">
        <v>53</v>
      </c>
      <c r="I1978" s="8" t="s">
        <v>1772</v>
      </c>
      <c r="J1978" s="9">
        <v>1</v>
      </c>
      <c r="K1978" s="9">
        <v>521</v>
      </c>
      <c r="L1978" s="9">
        <v>2024</v>
      </c>
      <c r="M1978" s="8" t="s">
        <v>12157</v>
      </c>
      <c r="N1978" s="8" t="s">
        <v>56</v>
      </c>
      <c r="O1978" s="8" t="s">
        <v>57</v>
      </c>
      <c r="P1978" s="6" t="s">
        <v>167</v>
      </c>
      <c r="Q1978" s="8" t="s">
        <v>44</v>
      </c>
      <c r="R1978" s="10" t="s">
        <v>12158</v>
      </c>
      <c r="S1978" s="11"/>
      <c r="T1978" s="6"/>
      <c r="U1978" s="24" t="str">
        <f>HYPERLINK("https://media.infra-m.ru/2169/2169267/cover/2169267.jpg", "Обложка")</f>
        <v>Обложка</v>
      </c>
      <c r="V1978" s="24" t="str">
        <f>HYPERLINK("https://znanium.ru/catalog/product/2203211", "Ознакомиться")</f>
        <v>Ознакомиться</v>
      </c>
      <c r="W1978" s="8" t="s">
        <v>4293</v>
      </c>
      <c r="X1978" s="6" t="s">
        <v>1049</v>
      </c>
      <c r="Y1978" s="6"/>
      <c r="Z1978" s="6"/>
      <c r="AA1978" s="6" t="s">
        <v>133</v>
      </c>
      <c r="AB1978" s="8"/>
    </row>
    <row r="1979" spans="1:28" s="4" customFormat="1" ht="51.95" customHeight="1">
      <c r="A1979" s="5">
        <v>0</v>
      </c>
      <c r="B1979" s="6" t="s">
        <v>12159</v>
      </c>
      <c r="C1979" s="7">
        <v>870</v>
      </c>
      <c r="D1979" s="8" t="s">
        <v>12160</v>
      </c>
      <c r="E1979" s="8" t="s">
        <v>12161</v>
      </c>
      <c r="F1979" s="8" t="s">
        <v>12162</v>
      </c>
      <c r="G1979" s="6" t="s">
        <v>89</v>
      </c>
      <c r="H1979" s="6" t="s">
        <v>53</v>
      </c>
      <c r="I1979" s="8" t="s">
        <v>1223</v>
      </c>
      <c r="J1979" s="9">
        <v>1</v>
      </c>
      <c r="K1979" s="9">
        <v>192</v>
      </c>
      <c r="L1979" s="9">
        <v>2023</v>
      </c>
      <c r="M1979" s="8" t="s">
        <v>12163</v>
      </c>
      <c r="N1979" s="8" t="s">
        <v>56</v>
      </c>
      <c r="O1979" s="8" t="s">
        <v>4042</v>
      </c>
      <c r="P1979" s="6" t="s">
        <v>43</v>
      </c>
      <c r="Q1979" s="8" t="s">
        <v>44</v>
      </c>
      <c r="R1979" s="10" t="s">
        <v>7083</v>
      </c>
      <c r="S1979" s="11" t="s">
        <v>12164</v>
      </c>
      <c r="T1979" s="6"/>
      <c r="U1979" s="24" t="str">
        <f>HYPERLINK("https://media.infra-m.ru/1939/1939091/cover/1939091.jpg", "Обложка")</f>
        <v>Обложка</v>
      </c>
      <c r="V1979" s="24" t="str">
        <f>HYPERLINK("https://znanium.ru/catalog/product/1939091", "Ознакомиться")</f>
        <v>Ознакомиться</v>
      </c>
      <c r="W1979" s="8" t="s">
        <v>83</v>
      </c>
      <c r="X1979" s="6"/>
      <c r="Y1979" s="6"/>
      <c r="Z1979" s="6"/>
      <c r="AA1979" s="6" t="s">
        <v>219</v>
      </c>
      <c r="AB1979" s="8"/>
    </row>
    <row r="1980" spans="1:28" s="4" customFormat="1" ht="51.95" customHeight="1">
      <c r="A1980" s="5">
        <v>0</v>
      </c>
      <c r="B1980" s="6" t="s">
        <v>12165</v>
      </c>
      <c r="C1980" s="13">
        <v>1340</v>
      </c>
      <c r="D1980" s="8" t="s">
        <v>12166</v>
      </c>
      <c r="E1980" s="8" t="s">
        <v>12167</v>
      </c>
      <c r="F1980" s="8" t="s">
        <v>12168</v>
      </c>
      <c r="G1980" s="6" t="s">
        <v>89</v>
      </c>
      <c r="H1980" s="6" t="s">
        <v>53</v>
      </c>
      <c r="I1980" s="8" t="s">
        <v>116</v>
      </c>
      <c r="J1980" s="9">
        <v>1</v>
      </c>
      <c r="K1980" s="9">
        <v>290</v>
      </c>
      <c r="L1980" s="9">
        <v>2024</v>
      </c>
      <c r="M1980" s="8" t="s">
        <v>12169</v>
      </c>
      <c r="N1980" s="8" t="s">
        <v>56</v>
      </c>
      <c r="O1980" s="8" t="s">
        <v>4042</v>
      </c>
      <c r="P1980" s="6" t="s">
        <v>43</v>
      </c>
      <c r="Q1980" s="8" t="s">
        <v>44</v>
      </c>
      <c r="R1980" s="10" t="s">
        <v>12170</v>
      </c>
      <c r="S1980" s="11" t="s">
        <v>12171</v>
      </c>
      <c r="T1980" s="6"/>
      <c r="U1980" s="24" t="str">
        <f>HYPERLINK("https://media.infra-m.ru/2103/2103733/cover/2103733.jpg", "Обложка")</f>
        <v>Обложка</v>
      </c>
      <c r="V1980" s="24" t="str">
        <f>HYPERLINK("https://znanium.ru/catalog/product/2103733", "Ознакомиться")</f>
        <v>Ознакомиться</v>
      </c>
      <c r="W1980" s="8" t="s">
        <v>12172</v>
      </c>
      <c r="X1980" s="6"/>
      <c r="Y1980" s="6"/>
      <c r="Z1980" s="6"/>
      <c r="AA1980" s="6" t="s">
        <v>151</v>
      </c>
      <c r="AB1980" s="8"/>
    </row>
    <row r="1981" spans="1:28" s="4" customFormat="1" ht="51.95" customHeight="1">
      <c r="A1981" s="5">
        <v>0</v>
      </c>
      <c r="B1981" s="6" t="s">
        <v>12173</v>
      </c>
      <c r="C1981" s="13">
        <v>1130</v>
      </c>
      <c r="D1981" s="8" t="s">
        <v>12174</v>
      </c>
      <c r="E1981" s="8" t="s">
        <v>12175</v>
      </c>
      <c r="F1981" s="8" t="s">
        <v>12176</v>
      </c>
      <c r="G1981" s="6" t="s">
        <v>89</v>
      </c>
      <c r="H1981" s="6" t="s">
        <v>674</v>
      </c>
      <c r="I1981" s="8"/>
      <c r="J1981" s="9">
        <v>1</v>
      </c>
      <c r="K1981" s="9">
        <v>240</v>
      </c>
      <c r="L1981" s="9">
        <v>2024</v>
      </c>
      <c r="M1981" s="8" t="s">
        <v>12177</v>
      </c>
      <c r="N1981" s="8" t="s">
        <v>56</v>
      </c>
      <c r="O1981" s="8" t="s">
        <v>4042</v>
      </c>
      <c r="P1981" s="6" t="s">
        <v>167</v>
      </c>
      <c r="Q1981" s="8" t="s">
        <v>44</v>
      </c>
      <c r="R1981" s="10" t="s">
        <v>12114</v>
      </c>
      <c r="S1981" s="11"/>
      <c r="T1981" s="6"/>
      <c r="U1981" s="24" t="str">
        <f>HYPERLINK("https://media.infra-m.ru/2151/2151387/cover/2151387.jpg", "Обложка")</f>
        <v>Обложка</v>
      </c>
      <c r="V1981" s="24" t="str">
        <f>HYPERLINK("https://znanium.ru/catalog/product/2151387", "Ознакомиться")</f>
        <v>Ознакомиться</v>
      </c>
      <c r="W1981" s="8" t="s">
        <v>4776</v>
      </c>
      <c r="X1981" s="6"/>
      <c r="Y1981" s="6"/>
      <c r="Z1981" s="6"/>
      <c r="AA1981" s="6" t="s">
        <v>1365</v>
      </c>
      <c r="AB1981" s="8"/>
    </row>
    <row r="1982" spans="1:28" s="4" customFormat="1" ht="42" customHeight="1">
      <c r="A1982" s="5">
        <v>0</v>
      </c>
      <c r="B1982" s="6" t="s">
        <v>12178</v>
      </c>
      <c r="C1982" s="13">
        <v>1130</v>
      </c>
      <c r="D1982" s="8" t="s">
        <v>12179</v>
      </c>
      <c r="E1982" s="8" t="s">
        <v>12175</v>
      </c>
      <c r="F1982" s="8" t="s">
        <v>12176</v>
      </c>
      <c r="G1982" s="6" t="s">
        <v>52</v>
      </c>
      <c r="H1982" s="6" t="s">
        <v>674</v>
      </c>
      <c r="I1982" s="8" t="s">
        <v>100</v>
      </c>
      <c r="J1982" s="9">
        <v>1</v>
      </c>
      <c r="K1982" s="9">
        <v>240</v>
      </c>
      <c r="L1982" s="9">
        <v>2024</v>
      </c>
      <c r="M1982" s="8" t="s">
        <v>12180</v>
      </c>
      <c r="N1982" s="8" t="s">
        <v>56</v>
      </c>
      <c r="O1982" s="8" t="s">
        <v>4042</v>
      </c>
      <c r="P1982" s="6" t="s">
        <v>167</v>
      </c>
      <c r="Q1982" s="8" t="s">
        <v>102</v>
      </c>
      <c r="R1982" s="10" t="s">
        <v>256</v>
      </c>
      <c r="S1982" s="11"/>
      <c r="T1982" s="6"/>
      <c r="U1982" s="24" t="str">
        <f>HYPERLINK("https://media.infra-m.ru/0972/0972715/cover/972715.jpg", "Обложка")</f>
        <v>Обложка</v>
      </c>
      <c r="V1982" s="24" t="str">
        <f>HYPERLINK("https://znanium.ru/catalog/product/972715", "Ознакомиться")</f>
        <v>Ознакомиться</v>
      </c>
      <c r="W1982" s="8" t="s">
        <v>4776</v>
      </c>
      <c r="X1982" s="6" t="s">
        <v>179</v>
      </c>
      <c r="Y1982" s="6"/>
      <c r="Z1982" s="6" t="s">
        <v>104</v>
      </c>
      <c r="AA1982" s="6" t="s">
        <v>3787</v>
      </c>
      <c r="AB1982" s="8"/>
    </row>
    <row r="1983" spans="1:28" s="4" customFormat="1" ht="51.95" customHeight="1">
      <c r="A1983" s="5">
        <v>0</v>
      </c>
      <c r="B1983" s="6" t="s">
        <v>12181</v>
      </c>
      <c r="C1983" s="7">
        <v>920</v>
      </c>
      <c r="D1983" s="8" t="s">
        <v>12182</v>
      </c>
      <c r="E1983" s="8" t="s">
        <v>12183</v>
      </c>
      <c r="F1983" s="8" t="s">
        <v>12112</v>
      </c>
      <c r="G1983" s="6" t="s">
        <v>38</v>
      </c>
      <c r="H1983" s="6" t="s">
        <v>184</v>
      </c>
      <c r="I1983" s="8" t="s">
        <v>116</v>
      </c>
      <c r="J1983" s="9">
        <v>1</v>
      </c>
      <c r="K1983" s="9">
        <v>178</v>
      </c>
      <c r="L1983" s="9">
        <v>2025</v>
      </c>
      <c r="M1983" s="8" t="s">
        <v>12184</v>
      </c>
      <c r="N1983" s="8" t="s">
        <v>56</v>
      </c>
      <c r="O1983" s="8" t="s">
        <v>4042</v>
      </c>
      <c r="P1983" s="6" t="s">
        <v>167</v>
      </c>
      <c r="Q1983" s="8" t="s">
        <v>58</v>
      </c>
      <c r="R1983" s="10" t="s">
        <v>12114</v>
      </c>
      <c r="S1983" s="11"/>
      <c r="T1983" s="6"/>
      <c r="U1983" s="24" t="str">
        <f>HYPERLINK("https://media.infra-m.ru/2129/2129120/cover/2129120.jpg", "Обложка")</f>
        <v>Обложка</v>
      </c>
      <c r="V1983" s="24" t="str">
        <f>HYPERLINK("https://znanium.ru/catalog/product/2129120", "Ознакомиться")</f>
        <v>Ознакомиться</v>
      </c>
      <c r="W1983" s="8" t="s">
        <v>4083</v>
      </c>
      <c r="X1983" s="6" t="s">
        <v>2790</v>
      </c>
      <c r="Y1983" s="6"/>
      <c r="Z1983" s="6"/>
      <c r="AA1983" s="6" t="s">
        <v>549</v>
      </c>
      <c r="AB1983" s="8"/>
    </row>
    <row r="1984" spans="1:28" s="4" customFormat="1" ht="51.95" customHeight="1">
      <c r="A1984" s="5">
        <v>0</v>
      </c>
      <c r="B1984" s="6" t="s">
        <v>12185</v>
      </c>
      <c r="C1984" s="13">
        <v>1124</v>
      </c>
      <c r="D1984" s="8" t="s">
        <v>12186</v>
      </c>
      <c r="E1984" s="8" t="s">
        <v>12187</v>
      </c>
      <c r="F1984" s="8" t="s">
        <v>12188</v>
      </c>
      <c r="G1984" s="6" t="s">
        <v>89</v>
      </c>
      <c r="H1984" s="6" t="s">
        <v>674</v>
      </c>
      <c r="I1984" s="8"/>
      <c r="J1984" s="9">
        <v>1</v>
      </c>
      <c r="K1984" s="9">
        <v>224</v>
      </c>
      <c r="L1984" s="9">
        <v>2025</v>
      </c>
      <c r="M1984" s="8" t="s">
        <v>12189</v>
      </c>
      <c r="N1984" s="8" t="s">
        <v>56</v>
      </c>
      <c r="O1984" s="8" t="s">
        <v>4042</v>
      </c>
      <c r="P1984" s="6" t="s">
        <v>167</v>
      </c>
      <c r="Q1984" s="8" t="s">
        <v>44</v>
      </c>
      <c r="R1984" s="10" t="s">
        <v>12190</v>
      </c>
      <c r="S1984" s="11"/>
      <c r="T1984" s="6"/>
      <c r="U1984" s="24" t="str">
        <f>HYPERLINK("https://media.infra-m.ru/2161/2161568/cover/2161568.jpg", "Обложка")</f>
        <v>Обложка</v>
      </c>
      <c r="V1984" s="24" t="str">
        <f>HYPERLINK("https://znanium.ru/catalog/product/2141383", "Ознакомиться")</f>
        <v>Ознакомиться</v>
      </c>
      <c r="W1984" s="8" t="s">
        <v>792</v>
      </c>
      <c r="X1984" s="6"/>
      <c r="Y1984" s="6"/>
      <c r="Z1984" s="6"/>
      <c r="AA1984" s="6" t="s">
        <v>258</v>
      </c>
      <c r="AB1984" s="8"/>
    </row>
    <row r="1985" spans="1:28" s="4" customFormat="1" ht="51.95" customHeight="1">
      <c r="A1985" s="5">
        <v>0</v>
      </c>
      <c r="B1985" s="6" t="s">
        <v>12191</v>
      </c>
      <c r="C1985" s="7">
        <v>454</v>
      </c>
      <c r="D1985" s="8" t="s">
        <v>12192</v>
      </c>
      <c r="E1985" s="8" t="s">
        <v>12187</v>
      </c>
      <c r="F1985" s="8" t="s">
        <v>12193</v>
      </c>
      <c r="G1985" s="6" t="s">
        <v>38</v>
      </c>
      <c r="H1985" s="6" t="s">
        <v>438</v>
      </c>
      <c r="I1985" s="8" t="s">
        <v>90</v>
      </c>
      <c r="J1985" s="9">
        <v>1</v>
      </c>
      <c r="K1985" s="9">
        <v>96</v>
      </c>
      <c r="L1985" s="9">
        <v>2024</v>
      </c>
      <c r="M1985" s="8" t="s">
        <v>12194</v>
      </c>
      <c r="N1985" s="8" t="s">
        <v>56</v>
      </c>
      <c r="O1985" s="8" t="s">
        <v>4042</v>
      </c>
      <c r="P1985" s="6" t="s">
        <v>43</v>
      </c>
      <c r="Q1985" s="8" t="s">
        <v>44</v>
      </c>
      <c r="R1985" s="10" t="s">
        <v>12195</v>
      </c>
      <c r="S1985" s="11"/>
      <c r="T1985" s="6"/>
      <c r="U1985" s="24" t="str">
        <f>HYPERLINK("https://media.infra-m.ru/2110/2110938/cover/2110938.jpg", "Обложка")</f>
        <v>Обложка</v>
      </c>
      <c r="V1985" s="24" t="str">
        <f>HYPERLINK("https://znanium.ru/catalog/product/2110938", "Ознакомиться")</f>
        <v>Ознакомиться</v>
      </c>
      <c r="W1985" s="8" t="s">
        <v>12196</v>
      </c>
      <c r="X1985" s="6"/>
      <c r="Y1985" s="6"/>
      <c r="Z1985" s="6"/>
      <c r="AA1985" s="6" t="s">
        <v>122</v>
      </c>
      <c r="AB1985" s="8"/>
    </row>
    <row r="1986" spans="1:28" s="4" customFormat="1" ht="51.95" customHeight="1">
      <c r="A1986" s="5">
        <v>0</v>
      </c>
      <c r="B1986" s="6" t="s">
        <v>12197</v>
      </c>
      <c r="C1986" s="7">
        <v>630</v>
      </c>
      <c r="D1986" s="8" t="s">
        <v>12198</v>
      </c>
      <c r="E1986" s="8" t="s">
        <v>12187</v>
      </c>
      <c r="F1986" s="8" t="s">
        <v>4040</v>
      </c>
      <c r="G1986" s="6" t="s">
        <v>38</v>
      </c>
      <c r="H1986" s="6" t="s">
        <v>53</v>
      </c>
      <c r="I1986" s="8" t="s">
        <v>90</v>
      </c>
      <c r="J1986" s="9">
        <v>1</v>
      </c>
      <c r="K1986" s="9">
        <v>134</v>
      </c>
      <c r="L1986" s="9">
        <v>2023</v>
      </c>
      <c r="M1986" s="8" t="s">
        <v>12199</v>
      </c>
      <c r="N1986" s="8" t="s">
        <v>56</v>
      </c>
      <c r="O1986" s="8" t="s">
        <v>4042</v>
      </c>
      <c r="P1986" s="6" t="s">
        <v>43</v>
      </c>
      <c r="Q1986" s="8" t="s">
        <v>44</v>
      </c>
      <c r="R1986" s="10" t="s">
        <v>12200</v>
      </c>
      <c r="S1986" s="11" t="s">
        <v>12201</v>
      </c>
      <c r="T1986" s="6"/>
      <c r="U1986" s="24" t="str">
        <f>HYPERLINK("https://media.infra-m.ru/1876/1876884/cover/1876884.jpg", "Обложка")</f>
        <v>Обложка</v>
      </c>
      <c r="V1986" s="24" t="str">
        <f>HYPERLINK("https://znanium.ru/catalog/product/1876884", "Ознакомиться")</f>
        <v>Ознакомиться</v>
      </c>
      <c r="W1986" s="8" t="s">
        <v>4045</v>
      </c>
      <c r="X1986" s="6"/>
      <c r="Y1986" s="6"/>
      <c r="Z1986" s="6"/>
      <c r="AA1986" s="6" t="s">
        <v>258</v>
      </c>
      <c r="AB1986" s="8"/>
    </row>
    <row r="1987" spans="1:28" s="4" customFormat="1" ht="51.95" customHeight="1">
      <c r="A1987" s="5">
        <v>0</v>
      </c>
      <c r="B1987" s="6" t="s">
        <v>12202</v>
      </c>
      <c r="C1987" s="7">
        <v>610</v>
      </c>
      <c r="D1987" s="8" t="s">
        <v>12203</v>
      </c>
      <c r="E1987" s="8" t="s">
        <v>12187</v>
      </c>
      <c r="F1987" s="8" t="s">
        <v>4040</v>
      </c>
      <c r="G1987" s="6" t="s">
        <v>38</v>
      </c>
      <c r="H1987" s="6" t="s">
        <v>53</v>
      </c>
      <c r="I1987" s="8" t="s">
        <v>212</v>
      </c>
      <c r="J1987" s="9">
        <v>1</v>
      </c>
      <c r="K1987" s="9">
        <v>134</v>
      </c>
      <c r="L1987" s="9">
        <v>2023</v>
      </c>
      <c r="M1987" s="8" t="s">
        <v>12204</v>
      </c>
      <c r="N1987" s="8" t="s">
        <v>56</v>
      </c>
      <c r="O1987" s="8" t="s">
        <v>4042</v>
      </c>
      <c r="P1987" s="6" t="s">
        <v>43</v>
      </c>
      <c r="Q1987" s="8" t="s">
        <v>214</v>
      </c>
      <c r="R1987" s="10" t="s">
        <v>215</v>
      </c>
      <c r="S1987" s="11" t="s">
        <v>12205</v>
      </c>
      <c r="T1987" s="6"/>
      <c r="U1987" s="24" t="str">
        <f>HYPERLINK("https://media.infra-m.ru/1846/1846372/cover/1846372.jpg", "Обложка")</f>
        <v>Обложка</v>
      </c>
      <c r="V1987" s="24" t="str">
        <f>HYPERLINK("https://znanium.ru/catalog/product/1846372", "Ознакомиться")</f>
        <v>Ознакомиться</v>
      </c>
      <c r="W1987" s="8" t="s">
        <v>4045</v>
      </c>
      <c r="X1987" s="6"/>
      <c r="Y1987" s="6"/>
      <c r="Z1987" s="6" t="s">
        <v>218</v>
      </c>
      <c r="AA1987" s="6" t="s">
        <v>219</v>
      </c>
      <c r="AB1987" s="8"/>
    </row>
    <row r="1988" spans="1:28" s="4" customFormat="1" ht="44.1" customHeight="1">
      <c r="A1988" s="5">
        <v>0</v>
      </c>
      <c r="B1988" s="6" t="s">
        <v>12206</v>
      </c>
      <c r="C1988" s="13">
        <v>1454.9</v>
      </c>
      <c r="D1988" s="8" t="s">
        <v>12207</v>
      </c>
      <c r="E1988" s="8" t="s">
        <v>12208</v>
      </c>
      <c r="F1988" s="8" t="s">
        <v>12209</v>
      </c>
      <c r="G1988" s="6" t="s">
        <v>52</v>
      </c>
      <c r="H1988" s="6" t="s">
        <v>77</v>
      </c>
      <c r="I1988" s="8"/>
      <c r="J1988" s="9">
        <v>1</v>
      </c>
      <c r="K1988" s="9">
        <v>323</v>
      </c>
      <c r="L1988" s="9">
        <v>2023</v>
      </c>
      <c r="M1988" s="8" t="s">
        <v>12210</v>
      </c>
      <c r="N1988" s="8" t="s">
        <v>41</v>
      </c>
      <c r="O1988" s="8" t="s">
        <v>118</v>
      </c>
      <c r="P1988" s="6" t="s">
        <v>167</v>
      </c>
      <c r="Q1988" s="8" t="s">
        <v>44</v>
      </c>
      <c r="R1988" s="10" t="s">
        <v>10070</v>
      </c>
      <c r="S1988" s="11"/>
      <c r="T1988" s="6" t="s">
        <v>299</v>
      </c>
      <c r="U1988" s="24" t="str">
        <f>HYPERLINK("https://media.infra-m.ru/1900/1900820/cover/1900820.jpg", "Обложка")</f>
        <v>Обложка</v>
      </c>
      <c r="V1988" s="24" t="str">
        <f>HYPERLINK("https://znanium.ru/catalog/product/2138109", "Ознакомиться")</f>
        <v>Ознакомиться</v>
      </c>
      <c r="W1988" s="8" t="s">
        <v>83</v>
      </c>
      <c r="X1988" s="6"/>
      <c r="Y1988" s="6"/>
      <c r="Z1988" s="6"/>
      <c r="AA1988" s="6" t="s">
        <v>418</v>
      </c>
      <c r="AB1988" s="8"/>
    </row>
    <row r="1989" spans="1:28" s="4" customFormat="1" ht="44.1" customHeight="1">
      <c r="A1989" s="5">
        <v>0</v>
      </c>
      <c r="B1989" s="6" t="s">
        <v>12211</v>
      </c>
      <c r="C1989" s="13">
        <v>1030</v>
      </c>
      <c r="D1989" s="8" t="s">
        <v>12212</v>
      </c>
      <c r="E1989" s="8" t="s">
        <v>12213</v>
      </c>
      <c r="F1989" s="8" t="s">
        <v>12214</v>
      </c>
      <c r="G1989" s="6" t="s">
        <v>52</v>
      </c>
      <c r="H1989" s="6" t="s">
        <v>53</v>
      </c>
      <c r="I1989" s="8" t="s">
        <v>100</v>
      </c>
      <c r="J1989" s="9">
        <v>1</v>
      </c>
      <c r="K1989" s="9">
        <v>200</v>
      </c>
      <c r="L1989" s="9">
        <v>2025</v>
      </c>
      <c r="M1989" s="8" t="s">
        <v>12215</v>
      </c>
      <c r="N1989" s="8" t="s">
        <v>41</v>
      </c>
      <c r="O1989" s="8" t="s">
        <v>118</v>
      </c>
      <c r="P1989" s="6" t="s">
        <v>43</v>
      </c>
      <c r="Q1989" s="8" t="s">
        <v>102</v>
      </c>
      <c r="R1989" s="10" t="s">
        <v>12216</v>
      </c>
      <c r="S1989" s="11"/>
      <c r="T1989" s="6"/>
      <c r="U1989" s="24" t="str">
        <f>HYPERLINK("https://media.infra-m.ru/2169/2169776/cover/2169776.jpg", "Обложка")</f>
        <v>Обложка</v>
      </c>
      <c r="V1989" s="24" t="str">
        <f>HYPERLINK("https://znanium.ru/catalog/product/2169776", "Ознакомиться")</f>
        <v>Ознакомиться</v>
      </c>
      <c r="W1989" s="8" t="s">
        <v>189</v>
      </c>
      <c r="X1989" s="6" t="s">
        <v>785</v>
      </c>
      <c r="Y1989" s="6"/>
      <c r="Z1989" s="6" t="s">
        <v>104</v>
      </c>
      <c r="AA1989" s="6" t="s">
        <v>61</v>
      </c>
      <c r="AB1989" s="8"/>
    </row>
    <row r="1990" spans="1:28" s="4" customFormat="1" ht="51.95" customHeight="1">
      <c r="A1990" s="5">
        <v>0</v>
      </c>
      <c r="B1990" s="6" t="s">
        <v>12217</v>
      </c>
      <c r="C1990" s="7">
        <v>924</v>
      </c>
      <c r="D1990" s="8" t="s">
        <v>12218</v>
      </c>
      <c r="E1990" s="8" t="s">
        <v>12213</v>
      </c>
      <c r="F1990" s="8" t="s">
        <v>12214</v>
      </c>
      <c r="G1990" s="6" t="s">
        <v>52</v>
      </c>
      <c r="H1990" s="6" t="s">
        <v>53</v>
      </c>
      <c r="I1990" s="8" t="s">
        <v>90</v>
      </c>
      <c r="J1990" s="9">
        <v>1</v>
      </c>
      <c r="K1990" s="9">
        <v>200</v>
      </c>
      <c r="L1990" s="9">
        <v>2024</v>
      </c>
      <c r="M1990" s="8" t="s">
        <v>12219</v>
      </c>
      <c r="N1990" s="8" t="s">
        <v>41</v>
      </c>
      <c r="O1990" s="8" t="s">
        <v>118</v>
      </c>
      <c r="P1990" s="6" t="s">
        <v>43</v>
      </c>
      <c r="Q1990" s="8" t="s">
        <v>44</v>
      </c>
      <c r="R1990" s="10" t="s">
        <v>2461</v>
      </c>
      <c r="S1990" s="11" t="s">
        <v>12220</v>
      </c>
      <c r="T1990" s="6"/>
      <c r="U1990" s="24" t="str">
        <f>HYPERLINK("https://media.infra-m.ru/2084/2084755/cover/2084755.jpg", "Обложка")</f>
        <v>Обложка</v>
      </c>
      <c r="V1990" s="24" t="str">
        <f>HYPERLINK("https://znanium.ru/catalog/product/1216919", "Ознакомиться")</f>
        <v>Ознакомиться</v>
      </c>
      <c r="W1990" s="8" t="s">
        <v>189</v>
      </c>
      <c r="X1990" s="6"/>
      <c r="Y1990" s="6"/>
      <c r="Z1990" s="6"/>
      <c r="AA1990" s="6" t="s">
        <v>122</v>
      </c>
      <c r="AB1990" s="8"/>
    </row>
    <row r="1991" spans="1:28" s="4" customFormat="1" ht="51.95" customHeight="1">
      <c r="A1991" s="5">
        <v>0</v>
      </c>
      <c r="B1991" s="6" t="s">
        <v>12221</v>
      </c>
      <c r="C1991" s="13">
        <v>2800</v>
      </c>
      <c r="D1991" s="8" t="s">
        <v>12222</v>
      </c>
      <c r="E1991" s="8" t="s">
        <v>12223</v>
      </c>
      <c r="F1991" s="8" t="s">
        <v>12224</v>
      </c>
      <c r="G1991" s="6" t="s">
        <v>52</v>
      </c>
      <c r="H1991" s="6" t="s">
        <v>53</v>
      </c>
      <c r="I1991" s="8" t="s">
        <v>116</v>
      </c>
      <c r="J1991" s="9">
        <v>1</v>
      </c>
      <c r="K1991" s="9">
        <v>559</v>
      </c>
      <c r="L1991" s="9">
        <v>2025</v>
      </c>
      <c r="M1991" s="8" t="s">
        <v>12225</v>
      </c>
      <c r="N1991" s="8" t="s">
        <v>41</v>
      </c>
      <c r="O1991" s="8" t="s">
        <v>118</v>
      </c>
      <c r="P1991" s="6" t="s">
        <v>167</v>
      </c>
      <c r="Q1991" s="8" t="s">
        <v>44</v>
      </c>
      <c r="R1991" s="10" t="s">
        <v>12226</v>
      </c>
      <c r="S1991" s="11" t="s">
        <v>12227</v>
      </c>
      <c r="T1991" s="6" t="s">
        <v>299</v>
      </c>
      <c r="U1991" s="24" t="str">
        <f>HYPERLINK("https://media.infra-m.ru/2170/2170997/cover/2170997.jpg", "Обложка")</f>
        <v>Обложка</v>
      </c>
      <c r="V1991" s="24" t="str">
        <f>HYPERLINK("https://znanium.ru/catalog/product/2170997", "Ознакомиться")</f>
        <v>Ознакомиться</v>
      </c>
      <c r="W1991" s="8" t="s">
        <v>347</v>
      </c>
      <c r="X1991" s="6"/>
      <c r="Y1991" s="6"/>
      <c r="Z1991" s="6"/>
      <c r="AA1991" s="6" t="s">
        <v>72</v>
      </c>
      <c r="AB1991" s="8"/>
    </row>
    <row r="1992" spans="1:28" s="4" customFormat="1" ht="51.95" customHeight="1">
      <c r="A1992" s="5">
        <v>0</v>
      </c>
      <c r="B1992" s="6" t="s">
        <v>12228</v>
      </c>
      <c r="C1992" s="13">
        <v>1290</v>
      </c>
      <c r="D1992" s="8" t="s">
        <v>12229</v>
      </c>
      <c r="E1992" s="8" t="s">
        <v>12230</v>
      </c>
      <c r="F1992" s="8" t="s">
        <v>12231</v>
      </c>
      <c r="G1992" s="6" t="s">
        <v>89</v>
      </c>
      <c r="H1992" s="6" t="s">
        <v>53</v>
      </c>
      <c r="I1992" s="8" t="s">
        <v>276</v>
      </c>
      <c r="J1992" s="9">
        <v>1</v>
      </c>
      <c r="K1992" s="9">
        <v>272</v>
      </c>
      <c r="L1992" s="9">
        <v>2023</v>
      </c>
      <c r="M1992" s="8" t="s">
        <v>12232</v>
      </c>
      <c r="N1992" s="8" t="s">
        <v>41</v>
      </c>
      <c r="O1992" s="8" t="s">
        <v>118</v>
      </c>
      <c r="P1992" s="6" t="s">
        <v>43</v>
      </c>
      <c r="Q1992" s="8" t="s">
        <v>279</v>
      </c>
      <c r="R1992" s="10" t="s">
        <v>1251</v>
      </c>
      <c r="S1992" s="11" t="s">
        <v>12233</v>
      </c>
      <c r="T1992" s="6"/>
      <c r="U1992" s="24" t="str">
        <f>HYPERLINK("https://media.infra-m.ru/1899/1899839/cover/1899839.jpg", "Обложка")</f>
        <v>Обложка</v>
      </c>
      <c r="V1992" s="24" t="str">
        <f>HYPERLINK("https://znanium.ru/catalog/product/1899839", "Ознакомиться")</f>
        <v>Ознакомиться</v>
      </c>
      <c r="W1992" s="8" t="s">
        <v>12234</v>
      </c>
      <c r="X1992" s="6"/>
      <c r="Y1992" s="6"/>
      <c r="Z1992" s="6"/>
      <c r="AA1992" s="6" t="s">
        <v>442</v>
      </c>
      <c r="AB1992" s="8"/>
    </row>
    <row r="1993" spans="1:28" s="4" customFormat="1" ht="51.95" customHeight="1">
      <c r="A1993" s="5">
        <v>0</v>
      </c>
      <c r="B1993" s="6" t="s">
        <v>12235</v>
      </c>
      <c r="C1993" s="7">
        <v>634</v>
      </c>
      <c r="D1993" s="8" t="s">
        <v>12236</v>
      </c>
      <c r="E1993" s="8" t="s">
        <v>12237</v>
      </c>
      <c r="F1993" s="8" t="s">
        <v>12238</v>
      </c>
      <c r="G1993" s="6" t="s">
        <v>38</v>
      </c>
      <c r="H1993" s="6" t="s">
        <v>77</v>
      </c>
      <c r="I1993" s="8"/>
      <c r="J1993" s="9">
        <v>1</v>
      </c>
      <c r="K1993" s="9">
        <v>139</v>
      </c>
      <c r="L1993" s="9">
        <v>2023</v>
      </c>
      <c r="M1993" s="8" t="s">
        <v>12239</v>
      </c>
      <c r="N1993" s="8" t="s">
        <v>41</v>
      </c>
      <c r="O1993" s="8" t="s">
        <v>118</v>
      </c>
      <c r="P1993" s="6" t="s">
        <v>43</v>
      </c>
      <c r="Q1993" s="8" t="s">
        <v>44</v>
      </c>
      <c r="R1993" s="10" t="s">
        <v>12240</v>
      </c>
      <c r="S1993" s="11"/>
      <c r="T1993" s="6"/>
      <c r="U1993" s="24" t="str">
        <f>HYPERLINK("https://media.infra-m.ru/2006/2006027/cover/2006027.jpg", "Обложка")</f>
        <v>Обложка</v>
      </c>
      <c r="V1993" s="24" t="str">
        <f>HYPERLINK("https://znanium.ru/catalog/product/1840087", "Ознакомиться")</f>
        <v>Ознакомиться</v>
      </c>
      <c r="W1993" s="8" t="s">
        <v>83</v>
      </c>
      <c r="X1993" s="6"/>
      <c r="Y1993" s="6"/>
      <c r="Z1993" s="6"/>
      <c r="AA1993" s="6" t="s">
        <v>442</v>
      </c>
      <c r="AB1993" s="8"/>
    </row>
    <row r="1994" spans="1:28" s="4" customFormat="1" ht="51.95" customHeight="1">
      <c r="A1994" s="5">
        <v>0</v>
      </c>
      <c r="B1994" s="6" t="s">
        <v>12241</v>
      </c>
      <c r="C1994" s="13">
        <v>1364</v>
      </c>
      <c r="D1994" s="8" t="s">
        <v>12242</v>
      </c>
      <c r="E1994" s="8" t="s">
        <v>12243</v>
      </c>
      <c r="F1994" s="8" t="s">
        <v>12244</v>
      </c>
      <c r="G1994" s="6" t="s">
        <v>38</v>
      </c>
      <c r="H1994" s="6" t="s">
        <v>39</v>
      </c>
      <c r="I1994" s="8" t="s">
        <v>185</v>
      </c>
      <c r="J1994" s="9">
        <v>1</v>
      </c>
      <c r="K1994" s="9">
        <v>272</v>
      </c>
      <c r="L1994" s="9">
        <v>2025</v>
      </c>
      <c r="M1994" s="8" t="s">
        <v>12245</v>
      </c>
      <c r="N1994" s="8" t="s">
        <v>41</v>
      </c>
      <c r="O1994" s="8" t="s">
        <v>118</v>
      </c>
      <c r="P1994" s="6" t="s">
        <v>167</v>
      </c>
      <c r="Q1994" s="8" t="s">
        <v>102</v>
      </c>
      <c r="R1994" s="10" t="s">
        <v>12246</v>
      </c>
      <c r="S1994" s="11" t="s">
        <v>12247</v>
      </c>
      <c r="T1994" s="6"/>
      <c r="U1994" s="24" t="str">
        <f>HYPERLINK("https://media.infra-m.ru/2188/2188777/cover/2188777.jpg", "Обложка")</f>
        <v>Обложка</v>
      </c>
      <c r="V1994" s="24" t="str">
        <f>HYPERLINK("https://znanium.ru/catalog/product/1141794", "Ознакомиться")</f>
        <v>Ознакомиться</v>
      </c>
      <c r="W1994" s="8" t="s">
        <v>189</v>
      </c>
      <c r="X1994" s="6"/>
      <c r="Y1994" s="6"/>
      <c r="Z1994" s="6"/>
      <c r="AA1994" s="6" t="s">
        <v>494</v>
      </c>
      <c r="AB1994" s="8"/>
    </row>
    <row r="1995" spans="1:28" s="4" customFormat="1" ht="42" customHeight="1">
      <c r="A1995" s="5">
        <v>0</v>
      </c>
      <c r="B1995" s="6" t="s">
        <v>12248</v>
      </c>
      <c r="C1995" s="13">
        <v>1179.9000000000001</v>
      </c>
      <c r="D1995" s="8" t="s">
        <v>12249</v>
      </c>
      <c r="E1995" s="8" t="s">
        <v>12250</v>
      </c>
      <c r="F1995" s="8" t="s">
        <v>12251</v>
      </c>
      <c r="G1995" s="6" t="s">
        <v>52</v>
      </c>
      <c r="H1995" s="6" t="s">
        <v>184</v>
      </c>
      <c r="I1995" s="8" t="s">
        <v>116</v>
      </c>
      <c r="J1995" s="9">
        <v>8</v>
      </c>
      <c r="K1995" s="9">
        <v>404</v>
      </c>
      <c r="L1995" s="9">
        <v>2017</v>
      </c>
      <c r="M1995" s="8" t="s">
        <v>12252</v>
      </c>
      <c r="N1995" s="8" t="s">
        <v>41</v>
      </c>
      <c r="O1995" s="8" t="s">
        <v>118</v>
      </c>
      <c r="P1995" s="6" t="s">
        <v>167</v>
      </c>
      <c r="Q1995" s="8" t="s">
        <v>44</v>
      </c>
      <c r="R1995" s="10" t="s">
        <v>12253</v>
      </c>
      <c r="S1995" s="11"/>
      <c r="T1995" s="6"/>
      <c r="U1995" s="24" t="str">
        <f>HYPERLINK("https://media.infra-m.ru/0752/0752442/cover/752442.jpg", "Обложка")</f>
        <v>Обложка</v>
      </c>
      <c r="V1995" s="24" t="str">
        <f>HYPERLINK("https://znanium.ru/catalog/product/548632", "Ознакомиться")</f>
        <v>Ознакомиться</v>
      </c>
      <c r="W1995" s="8" t="s">
        <v>234</v>
      </c>
      <c r="X1995" s="6"/>
      <c r="Y1995" s="6"/>
      <c r="Z1995" s="6"/>
      <c r="AA1995" s="6" t="s">
        <v>418</v>
      </c>
      <c r="AB1995" s="8"/>
    </row>
    <row r="1996" spans="1:28" s="4" customFormat="1" ht="51.95" customHeight="1">
      <c r="A1996" s="5">
        <v>0</v>
      </c>
      <c r="B1996" s="6" t="s">
        <v>12254</v>
      </c>
      <c r="C1996" s="13">
        <v>1604</v>
      </c>
      <c r="D1996" s="8" t="s">
        <v>12255</v>
      </c>
      <c r="E1996" s="8" t="s">
        <v>12256</v>
      </c>
      <c r="F1996" s="8" t="s">
        <v>12257</v>
      </c>
      <c r="G1996" s="6" t="s">
        <v>52</v>
      </c>
      <c r="H1996" s="6" t="s">
        <v>53</v>
      </c>
      <c r="I1996" s="8" t="s">
        <v>90</v>
      </c>
      <c r="J1996" s="9">
        <v>1</v>
      </c>
      <c r="K1996" s="9">
        <v>320</v>
      </c>
      <c r="L1996" s="9">
        <v>2025</v>
      </c>
      <c r="M1996" s="8" t="s">
        <v>12258</v>
      </c>
      <c r="N1996" s="8" t="s">
        <v>41</v>
      </c>
      <c r="O1996" s="8" t="s">
        <v>118</v>
      </c>
      <c r="P1996" s="6" t="s">
        <v>167</v>
      </c>
      <c r="Q1996" s="8" t="s">
        <v>44</v>
      </c>
      <c r="R1996" s="10" t="s">
        <v>7881</v>
      </c>
      <c r="S1996" s="11" t="s">
        <v>12259</v>
      </c>
      <c r="T1996" s="6"/>
      <c r="U1996" s="24" t="str">
        <f>HYPERLINK("https://media.infra-m.ru/2187/2187826/cover/2187826.jpg", "Обложка")</f>
        <v>Обложка</v>
      </c>
      <c r="V1996" s="24" t="str">
        <f>HYPERLINK("https://znanium.ru/catalog/product/2187826", "Ознакомиться")</f>
        <v>Ознакомиться</v>
      </c>
      <c r="W1996" s="8" t="s">
        <v>1345</v>
      </c>
      <c r="X1996" s="6"/>
      <c r="Y1996" s="6"/>
      <c r="Z1996" s="6"/>
      <c r="AA1996" s="6" t="s">
        <v>244</v>
      </c>
      <c r="AB1996" s="8"/>
    </row>
    <row r="1997" spans="1:28" s="4" customFormat="1" ht="44.1" customHeight="1">
      <c r="A1997" s="5">
        <v>0</v>
      </c>
      <c r="B1997" s="6" t="s">
        <v>12260</v>
      </c>
      <c r="C1997" s="13">
        <v>1550</v>
      </c>
      <c r="D1997" s="8" t="s">
        <v>12261</v>
      </c>
      <c r="E1997" s="8" t="s">
        <v>12243</v>
      </c>
      <c r="F1997" s="8" t="s">
        <v>12262</v>
      </c>
      <c r="G1997" s="6" t="s">
        <v>52</v>
      </c>
      <c r="H1997" s="6" t="s">
        <v>53</v>
      </c>
      <c r="I1997" s="8" t="s">
        <v>165</v>
      </c>
      <c r="J1997" s="9">
        <v>1</v>
      </c>
      <c r="K1997" s="9">
        <v>292</v>
      </c>
      <c r="L1997" s="9">
        <v>2025</v>
      </c>
      <c r="M1997" s="8" t="s">
        <v>12263</v>
      </c>
      <c r="N1997" s="8" t="s">
        <v>41</v>
      </c>
      <c r="O1997" s="8" t="s">
        <v>118</v>
      </c>
      <c r="P1997" s="6" t="s">
        <v>167</v>
      </c>
      <c r="Q1997" s="8" t="s">
        <v>44</v>
      </c>
      <c r="R1997" s="10" t="s">
        <v>10070</v>
      </c>
      <c r="S1997" s="11"/>
      <c r="T1997" s="6" t="s">
        <v>299</v>
      </c>
      <c r="U1997" s="24" t="str">
        <f>HYPERLINK("https://media.infra-m.ru/2138/2138109/cover/2138109.jpg", "Обложка")</f>
        <v>Обложка</v>
      </c>
      <c r="V1997" s="24" t="str">
        <f>HYPERLINK("https://znanium.ru/catalog/product/2138109", "Ознакомиться")</f>
        <v>Ознакомиться</v>
      </c>
      <c r="W1997" s="8" t="s">
        <v>83</v>
      </c>
      <c r="X1997" s="6" t="s">
        <v>60</v>
      </c>
      <c r="Y1997" s="6"/>
      <c r="Z1997" s="6"/>
      <c r="AA1997" s="6" t="s">
        <v>549</v>
      </c>
      <c r="AB1997" s="8"/>
    </row>
    <row r="1998" spans="1:28" s="4" customFormat="1" ht="51.95" customHeight="1">
      <c r="A1998" s="5">
        <v>0</v>
      </c>
      <c r="B1998" s="6" t="s">
        <v>12264</v>
      </c>
      <c r="C1998" s="7">
        <v>994</v>
      </c>
      <c r="D1998" s="8" t="s">
        <v>12265</v>
      </c>
      <c r="E1998" s="8" t="s">
        <v>12250</v>
      </c>
      <c r="F1998" s="8" t="s">
        <v>12266</v>
      </c>
      <c r="G1998" s="6" t="s">
        <v>52</v>
      </c>
      <c r="H1998" s="6" t="s">
        <v>53</v>
      </c>
      <c r="I1998" s="8" t="s">
        <v>90</v>
      </c>
      <c r="J1998" s="9">
        <v>1</v>
      </c>
      <c r="K1998" s="9">
        <v>217</v>
      </c>
      <c r="L1998" s="9">
        <v>2022</v>
      </c>
      <c r="M1998" s="8" t="s">
        <v>12267</v>
      </c>
      <c r="N1998" s="8" t="s">
        <v>41</v>
      </c>
      <c r="O1998" s="8" t="s">
        <v>118</v>
      </c>
      <c r="P1998" s="6" t="s">
        <v>167</v>
      </c>
      <c r="Q1998" s="8" t="s">
        <v>44</v>
      </c>
      <c r="R1998" s="10" t="s">
        <v>1291</v>
      </c>
      <c r="S1998" s="11" t="s">
        <v>12268</v>
      </c>
      <c r="T1998" s="6"/>
      <c r="U1998" s="24" t="str">
        <f>HYPERLINK("https://media.infra-m.ru/1852/1852226/cover/1852226.jpg", "Обложка")</f>
        <v>Обложка</v>
      </c>
      <c r="V1998" s="24" t="str">
        <f>HYPERLINK("https://znanium.ru/catalog/product/1081403", "Ознакомиться")</f>
        <v>Ознакомиться</v>
      </c>
      <c r="W1998" s="8" t="s">
        <v>12269</v>
      </c>
      <c r="X1998" s="6"/>
      <c r="Y1998" s="6"/>
      <c r="Z1998" s="6"/>
      <c r="AA1998" s="6" t="s">
        <v>111</v>
      </c>
      <c r="AB1998" s="8"/>
    </row>
    <row r="1999" spans="1:28" s="4" customFormat="1" ht="42" customHeight="1">
      <c r="A1999" s="5">
        <v>0</v>
      </c>
      <c r="B1999" s="6" t="s">
        <v>12270</v>
      </c>
      <c r="C1999" s="7">
        <v>824.9</v>
      </c>
      <c r="D1999" s="8" t="s">
        <v>12271</v>
      </c>
      <c r="E1999" s="8" t="s">
        <v>12250</v>
      </c>
      <c r="F1999" s="8" t="s">
        <v>12272</v>
      </c>
      <c r="G1999" s="6" t="s">
        <v>38</v>
      </c>
      <c r="H1999" s="6" t="s">
        <v>952</v>
      </c>
      <c r="I1999" s="8" t="s">
        <v>1171</v>
      </c>
      <c r="J1999" s="9">
        <v>1</v>
      </c>
      <c r="K1999" s="9">
        <v>184</v>
      </c>
      <c r="L1999" s="9">
        <v>2023</v>
      </c>
      <c r="M1999" s="8" t="s">
        <v>12273</v>
      </c>
      <c r="N1999" s="8" t="s">
        <v>41</v>
      </c>
      <c r="O1999" s="8" t="s">
        <v>118</v>
      </c>
      <c r="P1999" s="6" t="s">
        <v>43</v>
      </c>
      <c r="Q1999" s="8" t="s">
        <v>44</v>
      </c>
      <c r="R1999" s="10" t="s">
        <v>1291</v>
      </c>
      <c r="S1999" s="11"/>
      <c r="T1999" s="6"/>
      <c r="U1999" s="24" t="str">
        <f>HYPERLINK("https://media.infra-m.ru/1911/1911198/cover/1911198.jpg", "Обложка")</f>
        <v>Обложка</v>
      </c>
      <c r="V1999" s="24" t="str">
        <f>HYPERLINK("https://znanium.ru/catalog/product/1181040", "Ознакомиться")</f>
        <v>Ознакомиться</v>
      </c>
      <c r="W1999" s="8" t="s">
        <v>9720</v>
      </c>
      <c r="X1999" s="6"/>
      <c r="Y1999" s="6"/>
      <c r="Z1999" s="6"/>
      <c r="AA1999" s="6" t="s">
        <v>84</v>
      </c>
      <c r="AB1999" s="8"/>
    </row>
    <row r="2000" spans="1:28" s="4" customFormat="1" ht="51.95" customHeight="1">
      <c r="A2000" s="5">
        <v>0</v>
      </c>
      <c r="B2000" s="6" t="s">
        <v>12274</v>
      </c>
      <c r="C2000" s="13">
        <v>1924</v>
      </c>
      <c r="D2000" s="8" t="s">
        <v>12275</v>
      </c>
      <c r="E2000" s="8" t="s">
        <v>12243</v>
      </c>
      <c r="F2000" s="8" t="s">
        <v>12276</v>
      </c>
      <c r="G2000" s="6" t="s">
        <v>89</v>
      </c>
      <c r="H2000" s="6" t="s">
        <v>649</v>
      </c>
      <c r="I2000" s="8" t="s">
        <v>185</v>
      </c>
      <c r="J2000" s="9">
        <v>1</v>
      </c>
      <c r="K2000" s="9">
        <v>384</v>
      </c>
      <c r="L2000" s="9">
        <v>2024</v>
      </c>
      <c r="M2000" s="8" t="s">
        <v>12277</v>
      </c>
      <c r="N2000" s="8" t="s">
        <v>41</v>
      </c>
      <c r="O2000" s="8" t="s">
        <v>118</v>
      </c>
      <c r="P2000" s="6" t="s">
        <v>43</v>
      </c>
      <c r="Q2000" s="8" t="s">
        <v>102</v>
      </c>
      <c r="R2000" s="10" t="s">
        <v>12278</v>
      </c>
      <c r="S2000" s="11" t="s">
        <v>12279</v>
      </c>
      <c r="T2000" s="6"/>
      <c r="U2000" s="24" t="str">
        <f>HYPERLINK("https://media.infra-m.ru/2157/2157337/cover/2157337.jpg", "Обложка")</f>
        <v>Обложка</v>
      </c>
      <c r="V2000" s="24" t="str">
        <f>HYPERLINK("https://znanium.ru/catalog/product/1946209", "Ознакомиться")</f>
        <v>Ознакомиться</v>
      </c>
      <c r="W2000" s="8" t="s">
        <v>83</v>
      </c>
      <c r="X2000" s="6"/>
      <c r="Y2000" s="6"/>
      <c r="Z2000" s="6"/>
      <c r="AA2000" s="6" t="s">
        <v>4236</v>
      </c>
      <c r="AB2000" s="8"/>
    </row>
    <row r="2001" spans="1:28" s="4" customFormat="1" ht="51.95" customHeight="1">
      <c r="A2001" s="5">
        <v>0</v>
      </c>
      <c r="B2001" s="6" t="s">
        <v>12280</v>
      </c>
      <c r="C2001" s="13">
        <v>2460</v>
      </c>
      <c r="D2001" s="8" t="s">
        <v>12281</v>
      </c>
      <c r="E2001" s="8" t="s">
        <v>12282</v>
      </c>
      <c r="F2001" s="8" t="s">
        <v>12283</v>
      </c>
      <c r="G2001" s="6" t="s">
        <v>52</v>
      </c>
      <c r="H2001" s="6" t="s">
        <v>53</v>
      </c>
      <c r="I2001" s="8" t="s">
        <v>100</v>
      </c>
      <c r="J2001" s="9">
        <v>1</v>
      </c>
      <c r="K2001" s="9">
        <v>493</v>
      </c>
      <c r="L2001" s="9">
        <v>2025</v>
      </c>
      <c r="M2001" s="8" t="s">
        <v>12284</v>
      </c>
      <c r="N2001" s="8" t="s">
        <v>41</v>
      </c>
      <c r="O2001" s="8" t="s">
        <v>118</v>
      </c>
      <c r="P2001" s="6" t="s">
        <v>43</v>
      </c>
      <c r="Q2001" s="8" t="s">
        <v>102</v>
      </c>
      <c r="R2001" s="10" t="s">
        <v>12278</v>
      </c>
      <c r="S2001" s="11"/>
      <c r="T2001" s="6"/>
      <c r="U2001" s="24" t="str">
        <f>HYPERLINK("https://media.infra-m.ru/1946/1946209/cover/1946209.jpg", "Обложка")</f>
        <v>Обложка</v>
      </c>
      <c r="V2001" s="24" t="str">
        <f>HYPERLINK("https://znanium.ru/catalog/product/1946209", "Ознакомиться")</f>
        <v>Ознакомиться</v>
      </c>
      <c r="W2001" s="8" t="s">
        <v>83</v>
      </c>
      <c r="X2001" s="6" t="s">
        <v>548</v>
      </c>
      <c r="Y2001" s="6"/>
      <c r="Z2001" s="6"/>
      <c r="AA2001" s="6" t="s">
        <v>818</v>
      </c>
      <c r="AB2001" s="8"/>
    </row>
    <row r="2002" spans="1:28" s="4" customFormat="1" ht="51.95" customHeight="1">
      <c r="A2002" s="5">
        <v>0</v>
      </c>
      <c r="B2002" s="6" t="s">
        <v>12285</v>
      </c>
      <c r="C2002" s="7">
        <v>974.9</v>
      </c>
      <c r="D2002" s="8" t="s">
        <v>12286</v>
      </c>
      <c r="E2002" s="8" t="s">
        <v>12250</v>
      </c>
      <c r="F2002" s="8" t="s">
        <v>12287</v>
      </c>
      <c r="G2002" s="6" t="s">
        <v>89</v>
      </c>
      <c r="H2002" s="6" t="s">
        <v>53</v>
      </c>
      <c r="I2002" s="8" t="s">
        <v>100</v>
      </c>
      <c r="J2002" s="9">
        <v>1</v>
      </c>
      <c r="K2002" s="9">
        <v>217</v>
      </c>
      <c r="L2002" s="9">
        <v>2023</v>
      </c>
      <c r="M2002" s="8" t="s">
        <v>12288</v>
      </c>
      <c r="N2002" s="8" t="s">
        <v>41</v>
      </c>
      <c r="O2002" s="8" t="s">
        <v>118</v>
      </c>
      <c r="P2002" s="6" t="s">
        <v>43</v>
      </c>
      <c r="Q2002" s="8" t="s">
        <v>102</v>
      </c>
      <c r="R2002" s="10" t="s">
        <v>12246</v>
      </c>
      <c r="S2002" s="11" t="s">
        <v>12289</v>
      </c>
      <c r="T2002" s="6"/>
      <c r="U2002" s="24" t="str">
        <f>HYPERLINK("https://media.infra-m.ru/1976/1976159/cover/1976159.jpg", "Обложка")</f>
        <v>Обложка</v>
      </c>
      <c r="V2002" s="24" t="str">
        <f>HYPERLINK("https://znanium.ru/catalog/product/1018905", "Ознакомиться")</f>
        <v>Ознакомиться</v>
      </c>
      <c r="W2002" s="8" t="s">
        <v>12269</v>
      </c>
      <c r="X2002" s="6"/>
      <c r="Y2002" s="6"/>
      <c r="Z2002" s="6" t="s">
        <v>104</v>
      </c>
      <c r="AA2002" s="6" t="s">
        <v>258</v>
      </c>
      <c r="AB2002" s="8"/>
    </row>
    <row r="2003" spans="1:28" s="4" customFormat="1" ht="51.95" customHeight="1">
      <c r="A2003" s="5">
        <v>0</v>
      </c>
      <c r="B2003" s="6" t="s">
        <v>12290</v>
      </c>
      <c r="C2003" s="13">
        <v>1180</v>
      </c>
      <c r="D2003" s="8" t="s">
        <v>12291</v>
      </c>
      <c r="E2003" s="8" t="s">
        <v>12250</v>
      </c>
      <c r="F2003" s="8" t="s">
        <v>12292</v>
      </c>
      <c r="G2003" s="6" t="s">
        <v>89</v>
      </c>
      <c r="H2003" s="6" t="s">
        <v>53</v>
      </c>
      <c r="I2003" s="8" t="s">
        <v>116</v>
      </c>
      <c r="J2003" s="9">
        <v>1</v>
      </c>
      <c r="K2003" s="9">
        <v>256</v>
      </c>
      <c r="L2003" s="9">
        <v>2024</v>
      </c>
      <c r="M2003" s="8" t="s">
        <v>12293</v>
      </c>
      <c r="N2003" s="8" t="s">
        <v>41</v>
      </c>
      <c r="O2003" s="8" t="s">
        <v>118</v>
      </c>
      <c r="P2003" s="6" t="s">
        <v>43</v>
      </c>
      <c r="Q2003" s="8" t="s">
        <v>58</v>
      </c>
      <c r="R2003" s="10" t="s">
        <v>157</v>
      </c>
      <c r="S2003" s="11" t="s">
        <v>12294</v>
      </c>
      <c r="T2003" s="6" t="s">
        <v>299</v>
      </c>
      <c r="U2003" s="24" t="str">
        <f>HYPERLINK("https://media.infra-m.ru/2065/2065555/cover/2065555.jpg", "Обложка")</f>
        <v>Обложка</v>
      </c>
      <c r="V2003" s="24" t="str">
        <f>HYPERLINK("https://znanium.ru/catalog/product/2065555", "Ознакомиться")</f>
        <v>Ознакомиться</v>
      </c>
      <c r="W2003" s="8" t="s">
        <v>12269</v>
      </c>
      <c r="X2003" s="6"/>
      <c r="Y2003" s="6"/>
      <c r="Z2003" s="6"/>
      <c r="AA2003" s="6" t="s">
        <v>418</v>
      </c>
      <c r="AB2003" s="8"/>
    </row>
    <row r="2004" spans="1:28" s="4" customFormat="1" ht="51.95" customHeight="1">
      <c r="A2004" s="5">
        <v>0</v>
      </c>
      <c r="B2004" s="6" t="s">
        <v>12295</v>
      </c>
      <c r="C2004" s="13">
        <v>1840</v>
      </c>
      <c r="D2004" s="8" t="s">
        <v>12296</v>
      </c>
      <c r="E2004" s="8" t="s">
        <v>12297</v>
      </c>
      <c r="F2004" s="8" t="s">
        <v>12298</v>
      </c>
      <c r="G2004" s="6" t="s">
        <v>89</v>
      </c>
      <c r="H2004" s="6" t="s">
        <v>53</v>
      </c>
      <c r="I2004" s="8" t="s">
        <v>116</v>
      </c>
      <c r="J2004" s="9">
        <v>1</v>
      </c>
      <c r="K2004" s="9">
        <v>399</v>
      </c>
      <c r="L2004" s="9">
        <v>2024</v>
      </c>
      <c r="M2004" s="8" t="s">
        <v>12299</v>
      </c>
      <c r="N2004" s="8" t="s">
        <v>41</v>
      </c>
      <c r="O2004" s="8" t="s">
        <v>118</v>
      </c>
      <c r="P2004" s="6" t="s">
        <v>167</v>
      </c>
      <c r="Q2004" s="8" t="s">
        <v>44</v>
      </c>
      <c r="R2004" s="10" t="s">
        <v>4242</v>
      </c>
      <c r="S2004" s="11" t="s">
        <v>12300</v>
      </c>
      <c r="T2004" s="6"/>
      <c r="U2004" s="24" t="str">
        <f>HYPERLINK("https://media.infra-m.ru/2062/2062327/cover/2062327.jpg", "Обложка")</f>
        <v>Обложка</v>
      </c>
      <c r="V2004" s="24" t="str">
        <f>HYPERLINK("https://znanium.ru/catalog/product/2062327", "Ознакомиться")</f>
        <v>Ознакомиться</v>
      </c>
      <c r="W2004" s="8" t="s">
        <v>12301</v>
      </c>
      <c r="X2004" s="6"/>
      <c r="Y2004" s="6"/>
      <c r="Z2004" s="6"/>
      <c r="AA2004" s="6" t="s">
        <v>219</v>
      </c>
      <c r="AB2004" s="8"/>
    </row>
    <row r="2005" spans="1:28" s="4" customFormat="1" ht="51.95" customHeight="1">
      <c r="A2005" s="5">
        <v>0</v>
      </c>
      <c r="B2005" s="6" t="s">
        <v>12302</v>
      </c>
      <c r="C2005" s="13">
        <v>1150</v>
      </c>
      <c r="D2005" s="8" t="s">
        <v>12303</v>
      </c>
      <c r="E2005" s="8" t="s">
        <v>12304</v>
      </c>
      <c r="F2005" s="8" t="s">
        <v>12305</v>
      </c>
      <c r="G2005" s="6" t="s">
        <v>52</v>
      </c>
      <c r="H2005" s="6" t="s">
        <v>53</v>
      </c>
      <c r="I2005" s="8" t="s">
        <v>116</v>
      </c>
      <c r="J2005" s="9">
        <v>1</v>
      </c>
      <c r="K2005" s="9">
        <v>221</v>
      </c>
      <c r="L2005" s="9">
        <v>2025</v>
      </c>
      <c r="M2005" s="8" t="s">
        <v>12306</v>
      </c>
      <c r="N2005" s="8" t="s">
        <v>79</v>
      </c>
      <c r="O2005" s="8" t="s">
        <v>80</v>
      </c>
      <c r="P2005" s="6" t="s">
        <v>167</v>
      </c>
      <c r="Q2005" s="8" t="s">
        <v>58</v>
      </c>
      <c r="R2005" s="10" t="s">
        <v>12307</v>
      </c>
      <c r="S2005" s="11"/>
      <c r="T2005" s="6"/>
      <c r="U2005" s="24" t="str">
        <f>HYPERLINK("https://media.infra-m.ru/2056/2056738/cover/2056738.jpg", "Обложка")</f>
        <v>Обложка</v>
      </c>
      <c r="V2005" s="24" t="str">
        <f>HYPERLINK("https://znanium.ru/catalog/product/2056738", "Ознакомиться")</f>
        <v>Ознакомиться</v>
      </c>
      <c r="W2005" s="8" t="s">
        <v>12308</v>
      </c>
      <c r="X2005" s="6" t="s">
        <v>548</v>
      </c>
      <c r="Y2005" s="6"/>
      <c r="Z2005" s="6"/>
      <c r="AA2005" s="6" t="s">
        <v>61</v>
      </c>
      <c r="AB2005" s="8"/>
    </row>
    <row r="2006" spans="1:28" s="4" customFormat="1" ht="51.95" customHeight="1">
      <c r="A2006" s="5">
        <v>0</v>
      </c>
      <c r="B2006" s="6" t="s">
        <v>12309</v>
      </c>
      <c r="C2006" s="7">
        <v>314</v>
      </c>
      <c r="D2006" s="8" t="s">
        <v>12310</v>
      </c>
      <c r="E2006" s="8" t="s">
        <v>12311</v>
      </c>
      <c r="F2006" s="8" t="s">
        <v>12312</v>
      </c>
      <c r="G2006" s="6" t="s">
        <v>38</v>
      </c>
      <c r="H2006" s="6" t="s">
        <v>53</v>
      </c>
      <c r="I2006" s="8" t="s">
        <v>100</v>
      </c>
      <c r="J2006" s="9">
        <v>1</v>
      </c>
      <c r="K2006" s="9">
        <v>48</v>
      </c>
      <c r="L2006" s="9">
        <v>2024</v>
      </c>
      <c r="M2006" s="8" t="s">
        <v>12313</v>
      </c>
      <c r="N2006" s="8" t="s">
        <v>997</v>
      </c>
      <c r="O2006" s="8" t="s">
        <v>998</v>
      </c>
      <c r="P2006" s="6" t="s">
        <v>175</v>
      </c>
      <c r="Q2006" s="8" t="s">
        <v>102</v>
      </c>
      <c r="R2006" s="10" t="s">
        <v>7253</v>
      </c>
      <c r="S2006" s="11" t="s">
        <v>12314</v>
      </c>
      <c r="T2006" s="6"/>
      <c r="U2006" s="24" t="str">
        <f>HYPERLINK("https://media.infra-m.ru/2168/2168271/cover/2168271.jpg", "Обложка")</f>
        <v>Обложка</v>
      </c>
      <c r="V2006" s="24" t="str">
        <f>HYPERLINK("https://znanium.ru/catalog/product/2136983", "Ознакомиться")</f>
        <v>Ознакомиться</v>
      </c>
      <c r="W2006" s="8" t="s">
        <v>6648</v>
      </c>
      <c r="X2006" s="6"/>
      <c r="Y2006" s="6"/>
      <c r="Z2006" s="6" t="s">
        <v>104</v>
      </c>
      <c r="AA2006" s="6" t="s">
        <v>793</v>
      </c>
      <c r="AB2006" s="8"/>
    </row>
    <row r="2007" spans="1:28" s="4" customFormat="1" ht="42" customHeight="1">
      <c r="A2007" s="5">
        <v>0</v>
      </c>
      <c r="B2007" s="6" t="s">
        <v>12315</v>
      </c>
      <c r="C2007" s="7">
        <v>590</v>
      </c>
      <c r="D2007" s="8" t="s">
        <v>12316</v>
      </c>
      <c r="E2007" s="8" t="s">
        <v>12317</v>
      </c>
      <c r="F2007" s="8" t="s">
        <v>12312</v>
      </c>
      <c r="G2007" s="6" t="s">
        <v>38</v>
      </c>
      <c r="H2007" s="6" t="s">
        <v>53</v>
      </c>
      <c r="I2007" s="8" t="s">
        <v>116</v>
      </c>
      <c r="J2007" s="9">
        <v>1</v>
      </c>
      <c r="K2007" s="9">
        <v>102</v>
      </c>
      <c r="L2007" s="9">
        <v>2025</v>
      </c>
      <c r="M2007" s="8" t="s">
        <v>12318</v>
      </c>
      <c r="N2007" s="8" t="s">
        <v>997</v>
      </c>
      <c r="O2007" s="8" t="s">
        <v>998</v>
      </c>
      <c r="P2007" s="6" t="s">
        <v>175</v>
      </c>
      <c r="Q2007" s="8" t="s">
        <v>44</v>
      </c>
      <c r="R2007" s="10" t="s">
        <v>12319</v>
      </c>
      <c r="S2007" s="11"/>
      <c r="T2007" s="6"/>
      <c r="U2007" s="24" t="str">
        <f>HYPERLINK("https://media.infra-m.ru/2167/2167511/cover/2167511.jpg", "Обложка")</f>
        <v>Обложка</v>
      </c>
      <c r="V2007" s="24" t="str">
        <f>HYPERLINK("https://znanium.ru/catalog/product/2167511", "Ознакомиться")</f>
        <v>Ознакомиться</v>
      </c>
      <c r="W2007" s="8" t="s">
        <v>6648</v>
      </c>
      <c r="X2007" s="6" t="s">
        <v>1476</v>
      </c>
      <c r="Y2007" s="6"/>
      <c r="Z2007" s="6"/>
      <c r="AA2007" s="6" t="s">
        <v>61</v>
      </c>
      <c r="AB2007" s="8"/>
    </row>
    <row r="2008" spans="1:28" s="4" customFormat="1" ht="51.95" customHeight="1">
      <c r="A2008" s="5">
        <v>0</v>
      </c>
      <c r="B2008" s="6" t="s">
        <v>12320</v>
      </c>
      <c r="C2008" s="7">
        <v>410</v>
      </c>
      <c r="D2008" s="8" t="s">
        <v>12321</v>
      </c>
      <c r="E2008" s="8" t="s">
        <v>12322</v>
      </c>
      <c r="F2008" s="8" t="s">
        <v>12323</v>
      </c>
      <c r="G2008" s="6" t="s">
        <v>38</v>
      </c>
      <c r="H2008" s="6" t="s">
        <v>53</v>
      </c>
      <c r="I2008" s="8" t="s">
        <v>116</v>
      </c>
      <c r="J2008" s="9">
        <v>1</v>
      </c>
      <c r="K2008" s="9">
        <v>48</v>
      </c>
      <c r="L2008" s="9">
        <v>2025</v>
      </c>
      <c r="M2008" s="8" t="s">
        <v>12324</v>
      </c>
      <c r="N2008" s="8" t="s">
        <v>997</v>
      </c>
      <c r="O2008" s="8" t="s">
        <v>998</v>
      </c>
      <c r="P2008" s="6" t="s">
        <v>175</v>
      </c>
      <c r="Q2008" s="8" t="s">
        <v>44</v>
      </c>
      <c r="R2008" s="10" t="s">
        <v>6390</v>
      </c>
      <c r="S2008" s="11" t="s">
        <v>12325</v>
      </c>
      <c r="T2008" s="6"/>
      <c r="U2008" s="24" t="str">
        <f>HYPERLINK("https://media.infra-m.ru/2161/2161293/cover/2161293.jpg", "Обложка")</f>
        <v>Обложка</v>
      </c>
      <c r="V2008" s="24" t="str">
        <f>HYPERLINK("https://znanium.ru/catalog/product/2161293", "Ознакомиться")</f>
        <v>Ознакомиться</v>
      </c>
      <c r="W2008" s="8" t="s">
        <v>6648</v>
      </c>
      <c r="X2008" s="6"/>
      <c r="Y2008" s="6"/>
      <c r="Z2008" s="6"/>
      <c r="AA2008" s="6" t="s">
        <v>111</v>
      </c>
      <c r="AB2008" s="8"/>
    </row>
    <row r="2009" spans="1:28" s="4" customFormat="1" ht="42" customHeight="1">
      <c r="A2009" s="5">
        <v>0</v>
      </c>
      <c r="B2009" s="6" t="s">
        <v>12326</v>
      </c>
      <c r="C2009" s="13">
        <v>1610</v>
      </c>
      <c r="D2009" s="8" t="s">
        <v>12327</v>
      </c>
      <c r="E2009" s="8" t="s">
        <v>12328</v>
      </c>
      <c r="F2009" s="8" t="s">
        <v>12329</v>
      </c>
      <c r="G2009" s="6" t="s">
        <v>52</v>
      </c>
      <c r="H2009" s="6" t="s">
        <v>53</v>
      </c>
      <c r="I2009" s="8" t="s">
        <v>276</v>
      </c>
      <c r="J2009" s="9">
        <v>1</v>
      </c>
      <c r="K2009" s="9">
        <v>304</v>
      </c>
      <c r="L2009" s="9">
        <v>2025</v>
      </c>
      <c r="M2009" s="8" t="s">
        <v>12330</v>
      </c>
      <c r="N2009" s="8" t="s">
        <v>997</v>
      </c>
      <c r="O2009" s="8" t="s">
        <v>998</v>
      </c>
      <c r="P2009" s="6" t="s">
        <v>167</v>
      </c>
      <c r="Q2009" s="8" t="s">
        <v>279</v>
      </c>
      <c r="R2009" s="10" t="s">
        <v>12319</v>
      </c>
      <c r="S2009" s="11"/>
      <c r="T2009" s="6"/>
      <c r="U2009" s="24" t="str">
        <f>HYPERLINK("https://media.infra-m.ru/2148/2148837/cover/2148837.jpg", "Обложка")</f>
        <v>Обложка</v>
      </c>
      <c r="V2009" s="24" t="str">
        <f>HYPERLINK("https://znanium.ru/catalog/product/2148837", "Ознакомиться")</f>
        <v>Ознакомиться</v>
      </c>
      <c r="W2009" s="8" t="s">
        <v>2514</v>
      </c>
      <c r="X2009" s="6" t="s">
        <v>60</v>
      </c>
      <c r="Y2009" s="6"/>
      <c r="Z2009" s="6"/>
      <c r="AA2009" s="6" t="s">
        <v>61</v>
      </c>
      <c r="AB2009" s="8"/>
    </row>
    <row r="2010" spans="1:28" s="4" customFormat="1" ht="51.95" customHeight="1">
      <c r="A2010" s="5">
        <v>0</v>
      </c>
      <c r="B2010" s="6" t="s">
        <v>12331</v>
      </c>
      <c r="C2010" s="13">
        <v>1030</v>
      </c>
      <c r="D2010" s="8" t="s">
        <v>12332</v>
      </c>
      <c r="E2010" s="8" t="s">
        <v>12333</v>
      </c>
      <c r="F2010" s="8" t="s">
        <v>6388</v>
      </c>
      <c r="G2010" s="6" t="s">
        <v>89</v>
      </c>
      <c r="H2010" s="6" t="s">
        <v>53</v>
      </c>
      <c r="I2010" s="8" t="s">
        <v>116</v>
      </c>
      <c r="J2010" s="9">
        <v>1</v>
      </c>
      <c r="K2010" s="9">
        <v>219</v>
      </c>
      <c r="L2010" s="9">
        <v>2024</v>
      </c>
      <c r="M2010" s="8" t="s">
        <v>12334</v>
      </c>
      <c r="N2010" s="8" t="s">
        <v>997</v>
      </c>
      <c r="O2010" s="8" t="s">
        <v>998</v>
      </c>
      <c r="P2010" s="6" t="s">
        <v>43</v>
      </c>
      <c r="Q2010" s="8" t="s">
        <v>58</v>
      </c>
      <c r="R2010" s="10" t="s">
        <v>12335</v>
      </c>
      <c r="S2010" s="11" t="s">
        <v>12336</v>
      </c>
      <c r="T2010" s="6"/>
      <c r="U2010" s="24" t="str">
        <f>HYPERLINK("https://media.infra-m.ru/2116/2116871/cover/2116871.jpg", "Обложка")</f>
        <v>Обложка</v>
      </c>
      <c r="V2010" s="24" t="str">
        <f>HYPERLINK("https://znanium.ru/catalog/product/2116871", "Ознакомиться")</f>
        <v>Ознакомиться</v>
      </c>
      <c r="W2010" s="8" t="s">
        <v>2514</v>
      </c>
      <c r="X2010" s="6"/>
      <c r="Y2010" s="6"/>
      <c r="Z2010" s="6"/>
      <c r="AA2010" s="6" t="s">
        <v>235</v>
      </c>
      <c r="AB2010" s="8"/>
    </row>
    <row r="2011" spans="1:28" s="4" customFormat="1" ht="51.95" customHeight="1">
      <c r="A2011" s="5">
        <v>0</v>
      </c>
      <c r="B2011" s="6" t="s">
        <v>12337</v>
      </c>
      <c r="C2011" s="13">
        <v>1190</v>
      </c>
      <c r="D2011" s="8" t="s">
        <v>12338</v>
      </c>
      <c r="E2011" s="8" t="s">
        <v>12333</v>
      </c>
      <c r="F2011" s="8" t="s">
        <v>6388</v>
      </c>
      <c r="G2011" s="6" t="s">
        <v>89</v>
      </c>
      <c r="H2011" s="6" t="s">
        <v>53</v>
      </c>
      <c r="I2011" s="8" t="s">
        <v>276</v>
      </c>
      <c r="J2011" s="9">
        <v>1</v>
      </c>
      <c r="K2011" s="9">
        <v>238</v>
      </c>
      <c r="L2011" s="9">
        <v>2025</v>
      </c>
      <c r="M2011" s="8" t="s">
        <v>12339</v>
      </c>
      <c r="N2011" s="8" t="s">
        <v>997</v>
      </c>
      <c r="O2011" s="8" t="s">
        <v>998</v>
      </c>
      <c r="P2011" s="6" t="s">
        <v>43</v>
      </c>
      <c r="Q2011" s="8" t="s">
        <v>279</v>
      </c>
      <c r="R2011" s="10" t="s">
        <v>6390</v>
      </c>
      <c r="S2011" s="11" t="s">
        <v>12340</v>
      </c>
      <c r="T2011" s="6"/>
      <c r="U2011" s="24" t="str">
        <f>HYPERLINK("https://media.infra-m.ru/2161/2161462/cover/2161462.jpg", "Обложка")</f>
        <v>Обложка</v>
      </c>
      <c r="V2011" s="24" t="str">
        <f>HYPERLINK("https://znanium.ru/catalog/product/2094376", "Ознакомиться")</f>
        <v>Ознакомиться</v>
      </c>
      <c r="W2011" s="8" t="s">
        <v>2514</v>
      </c>
      <c r="X2011" s="6"/>
      <c r="Y2011" s="6"/>
      <c r="Z2011" s="6"/>
      <c r="AA2011" s="6" t="s">
        <v>235</v>
      </c>
      <c r="AB2011" s="8"/>
    </row>
    <row r="2012" spans="1:28" s="4" customFormat="1" ht="51.95" customHeight="1">
      <c r="A2012" s="5">
        <v>0</v>
      </c>
      <c r="B2012" s="6" t="s">
        <v>12341</v>
      </c>
      <c r="C2012" s="13">
        <v>1220</v>
      </c>
      <c r="D2012" s="8" t="s">
        <v>12342</v>
      </c>
      <c r="E2012" s="8" t="s">
        <v>12343</v>
      </c>
      <c r="F2012" s="8" t="s">
        <v>12344</v>
      </c>
      <c r="G2012" s="6" t="s">
        <v>89</v>
      </c>
      <c r="H2012" s="6" t="s">
        <v>53</v>
      </c>
      <c r="I2012" s="8" t="s">
        <v>116</v>
      </c>
      <c r="J2012" s="9">
        <v>1</v>
      </c>
      <c r="K2012" s="9">
        <v>243</v>
      </c>
      <c r="L2012" s="9">
        <v>2025</v>
      </c>
      <c r="M2012" s="8" t="s">
        <v>12345</v>
      </c>
      <c r="N2012" s="8" t="s">
        <v>997</v>
      </c>
      <c r="O2012" s="8" t="s">
        <v>998</v>
      </c>
      <c r="P2012" s="6" t="s">
        <v>167</v>
      </c>
      <c r="Q2012" s="8" t="s">
        <v>58</v>
      </c>
      <c r="R2012" s="10" t="s">
        <v>6390</v>
      </c>
      <c r="S2012" s="11" t="s">
        <v>12346</v>
      </c>
      <c r="T2012" s="6"/>
      <c r="U2012" s="24" t="str">
        <f>HYPERLINK("https://media.infra-m.ru/2161/2161295/cover/2161295.jpg", "Обложка")</f>
        <v>Обложка</v>
      </c>
      <c r="V2012" s="24" t="str">
        <f>HYPERLINK("https://znanium.ru/catalog/product/2161295", "Ознакомиться")</f>
        <v>Ознакомиться</v>
      </c>
      <c r="W2012" s="8" t="s">
        <v>12347</v>
      </c>
      <c r="X2012" s="6"/>
      <c r="Y2012" s="6"/>
      <c r="Z2012" s="6"/>
      <c r="AA2012" s="6" t="s">
        <v>219</v>
      </c>
      <c r="AB2012" s="8"/>
    </row>
    <row r="2013" spans="1:28" s="4" customFormat="1" ht="51.95" customHeight="1">
      <c r="A2013" s="5">
        <v>0</v>
      </c>
      <c r="B2013" s="6" t="s">
        <v>12348</v>
      </c>
      <c r="C2013" s="7">
        <v>900</v>
      </c>
      <c r="D2013" s="8" t="s">
        <v>12349</v>
      </c>
      <c r="E2013" s="8" t="s">
        <v>12350</v>
      </c>
      <c r="F2013" s="8" t="s">
        <v>12351</v>
      </c>
      <c r="G2013" s="6" t="s">
        <v>38</v>
      </c>
      <c r="H2013" s="6" t="s">
        <v>53</v>
      </c>
      <c r="I2013" s="8" t="s">
        <v>116</v>
      </c>
      <c r="J2013" s="9">
        <v>1</v>
      </c>
      <c r="K2013" s="9">
        <v>180</v>
      </c>
      <c r="L2013" s="9">
        <v>2025</v>
      </c>
      <c r="M2013" s="8" t="s">
        <v>12352</v>
      </c>
      <c r="N2013" s="8" t="s">
        <v>997</v>
      </c>
      <c r="O2013" s="8" t="s">
        <v>998</v>
      </c>
      <c r="P2013" s="6" t="s">
        <v>43</v>
      </c>
      <c r="Q2013" s="8" t="s">
        <v>58</v>
      </c>
      <c r="R2013" s="10" t="s">
        <v>12353</v>
      </c>
      <c r="S2013" s="11" t="s">
        <v>12354</v>
      </c>
      <c r="T2013" s="6"/>
      <c r="U2013" s="24" t="str">
        <f>HYPERLINK("https://media.infra-m.ru/2161/2161474/cover/2161474.jpg", "Обложка")</f>
        <v>Обложка</v>
      </c>
      <c r="V2013" s="24" t="str">
        <f>HYPERLINK("https://znanium.ru/catalog/product/2161474", "Ознакомиться")</f>
        <v>Ознакомиться</v>
      </c>
      <c r="W2013" s="8" t="s">
        <v>12347</v>
      </c>
      <c r="X2013" s="6"/>
      <c r="Y2013" s="6"/>
      <c r="Z2013" s="6"/>
      <c r="AA2013" s="6" t="s">
        <v>418</v>
      </c>
      <c r="AB2013" s="8"/>
    </row>
    <row r="2014" spans="1:28" s="4" customFormat="1" ht="51.95" customHeight="1">
      <c r="A2014" s="5">
        <v>0</v>
      </c>
      <c r="B2014" s="6" t="s">
        <v>12355</v>
      </c>
      <c r="C2014" s="7">
        <v>930</v>
      </c>
      <c r="D2014" s="8" t="s">
        <v>12356</v>
      </c>
      <c r="E2014" s="8" t="s">
        <v>12350</v>
      </c>
      <c r="F2014" s="8" t="s">
        <v>12351</v>
      </c>
      <c r="G2014" s="6" t="s">
        <v>38</v>
      </c>
      <c r="H2014" s="6" t="s">
        <v>53</v>
      </c>
      <c r="I2014" s="8" t="s">
        <v>100</v>
      </c>
      <c r="J2014" s="9">
        <v>1</v>
      </c>
      <c r="K2014" s="9">
        <v>180</v>
      </c>
      <c r="L2014" s="9">
        <v>2025</v>
      </c>
      <c r="M2014" s="8" t="s">
        <v>12357</v>
      </c>
      <c r="N2014" s="8" t="s">
        <v>997</v>
      </c>
      <c r="O2014" s="8" t="s">
        <v>998</v>
      </c>
      <c r="P2014" s="6" t="s">
        <v>43</v>
      </c>
      <c r="Q2014" s="8" t="s">
        <v>102</v>
      </c>
      <c r="R2014" s="10" t="s">
        <v>7253</v>
      </c>
      <c r="S2014" s="11" t="s">
        <v>12358</v>
      </c>
      <c r="T2014" s="6"/>
      <c r="U2014" s="24" t="str">
        <f>HYPERLINK("https://media.infra-m.ru/2179/2179076/cover/2179076.jpg", "Обложка")</f>
        <v>Обложка</v>
      </c>
      <c r="V2014" s="24" t="str">
        <f>HYPERLINK("https://znanium.ru/catalog/product/2179076", "Ознакомиться")</f>
        <v>Ознакомиться</v>
      </c>
      <c r="W2014" s="8" t="s">
        <v>12347</v>
      </c>
      <c r="X2014" s="6"/>
      <c r="Y2014" s="6"/>
      <c r="Z2014" s="6" t="s">
        <v>502</v>
      </c>
      <c r="AA2014" s="6" t="s">
        <v>219</v>
      </c>
      <c r="AB2014" s="8"/>
    </row>
    <row r="2015" spans="1:28" s="4" customFormat="1" ht="51.95" customHeight="1">
      <c r="A2015" s="5">
        <v>0</v>
      </c>
      <c r="B2015" s="6" t="s">
        <v>12359</v>
      </c>
      <c r="C2015" s="13">
        <v>1630</v>
      </c>
      <c r="D2015" s="8" t="s">
        <v>12360</v>
      </c>
      <c r="E2015" s="8" t="s">
        <v>12361</v>
      </c>
      <c r="F2015" s="8" t="s">
        <v>12362</v>
      </c>
      <c r="G2015" s="6" t="s">
        <v>89</v>
      </c>
      <c r="H2015" s="6" t="s">
        <v>53</v>
      </c>
      <c r="I2015" s="8" t="s">
        <v>116</v>
      </c>
      <c r="J2015" s="9">
        <v>1</v>
      </c>
      <c r="K2015" s="9">
        <v>313</v>
      </c>
      <c r="L2015" s="9">
        <v>2025</v>
      </c>
      <c r="M2015" s="8" t="s">
        <v>12363</v>
      </c>
      <c r="N2015" s="8" t="s">
        <v>997</v>
      </c>
      <c r="O2015" s="8" t="s">
        <v>998</v>
      </c>
      <c r="P2015" s="6" t="s">
        <v>167</v>
      </c>
      <c r="Q2015" s="8" t="s">
        <v>44</v>
      </c>
      <c r="R2015" s="10" t="s">
        <v>12353</v>
      </c>
      <c r="S2015" s="11" t="s">
        <v>12364</v>
      </c>
      <c r="T2015" s="6"/>
      <c r="U2015" s="24" t="str">
        <f>HYPERLINK("https://media.infra-m.ru/2161/2161296/cover/2161296.jpg", "Обложка")</f>
        <v>Обложка</v>
      </c>
      <c r="V2015" s="24" t="str">
        <f>HYPERLINK("https://znanium.ru/catalog/product/2161296", "Ознакомиться")</f>
        <v>Ознакомиться</v>
      </c>
      <c r="W2015" s="8" t="s">
        <v>12347</v>
      </c>
      <c r="X2015" s="6"/>
      <c r="Y2015" s="6"/>
      <c r="Z2015" s="6"/>
      <c r="AA2015" s="6" t="s">
        <v>418</v>
      </c>
      <c r="AB2015" s="8"/>
    </row>
    <row r="2016" spans="1:28" s="4" customFormat="1" ht="51.95" customHeight="1">
      <c r="A2016" s="5">
        <v>0</v>
      </c>
      <c r="B2016" s="6" t="s">
        <v>12365</v>
      </c>
      <c r="C2016" s="13">
        <v>1570</v>
      </c>
      <c r="D2016" s="8" t="s">
        <v>12366</v>
      </c>
      <c r="E2016" s="8" t="s">
        <v>12361</v>
      </c>
      <c r="F2016" s="8" t="s">
        <v>12362</v>
      </c>
      <c r="G2016" s="6" t="s">
        <v>89</v>
      </c>
      <c r="H2016" s="6" t="s">
        <v>53</v>
      </c>
      <c r="I2016" s="8" t="s">
        <v>100</v>
      </c>
      <c r="J2016" s="9">
        <v>1</v>
      </c>
      <c r="K2016" s="9">
        <v>313</v>
      </c>
      <c r="L2016" s="9">
        <v>2025</v>
      </c>
      <c r="M2016" s="8" t="s">
        <v>12367</v>
      </c>
      <c r="N2016" s="8" t="s">
        <v>997</v>
      </c>
      <c r="O2016" s="8" t="s">
        <v>998</v>
      </c>
      <c r="P2016" s="6" t="s">
        <v>167</v>
      </c>
      <c r="Q2016" s="8" t="s">
        <v>102</v>
      </c>
      <c r="R2016" s="10" t="s">
        <v>6837</v>
      </c>
      <c r="S2016" s="11" t="s">
        <v>12368</v>
      </c>
      <c r="T2016" s="6"/>
      <c r="U2016" s="24" t="str">
        <f>HYPERLINK("https://media.infra-m.ru/1003/1003629/cover/1003629.jpg", "Обложка")</f>
        <v>Обложка</v>
      </c>
      <c r="V2016" s="24" t="str">
        <f>HYPERLINK("https://znanium.ru/catalog/product/1003629", "Ознакомиться")</f>
        <v>Ознакомиться</v>
      </c>
      <c r="W2016" s="8" t="s">
        <v>12347</v>
      </c>
      <c r="X2016" s="6" t="s">
        <v>1049</v>
      </c>
      <c r="Y2016" s="6"/>
      <c r="Z2016" s="6" t="s">
        <v>104</v>
      </c>
      <c r="AA2016" s="6" t="s">
        <v>61</v>
      </c>
      <c r="AB2016" s="8"/>
    </row>
    <row r="2017" spans="1:28" s="4" customFormat="1" ht="42" customHeight="1">
      <c r="A2017" s="5">
        <v>0</v>
      </c>
      <c r="B2017" s="6" t="s">
        <v>12369</v>
      </c>
      <c r="C2017" s="13">
        <v>1200</v>
      </c>
      <c r="D2017" s="8" t="s">
        <v>12370</v>
      </c>
      <c r="E2017" s="8" t="s">
        <v>12371</v>
      </c>
      <c r="F2017" s="8" t="s">
        <v>12372</v>
      </c>
      <c r="G2017" s="6" t="s">
        <v>52</v>
      </c>
      <c r="H2017" s="6" t="s">
        <v>53</v>
      </c>
      <c r="I2017" s="8" t="s">
        <v>116</v>
      </c>
      <c r="J2017" s="9">
        <v>1</v>
      </c>
      <c r="K2017" s="9">
        <v>228</v>
      </c>
      <c r="L2017" s="9">
        <v>2025</v>
      </c>
      <c r="M2017" s="8" t="s">
        <v>12373</v>
      </c>
      <c r="N2017" s="8" t="s">
        <v>997</v>
      </c>
      <c r="O2017" s="8" t="s">
        <v>998</v>
      </c>
      <c r="P2017" s="6" t="s">
        <v>43</v>
      </c>
      <c r="Q2017" s="8" t="s">
        <v>58</v>
      </c>
      <c r="R2017" s="10" t="s">
        <v>6390</v>
      </c>
      <c r="S2017" s="11"/>
      <c r="T2017" s="6"/>
      <c r="U2017" s="24" t="str">
        <f>HYPERLINK("https://media.infra-m.ru/2001/2001690/cover/2001690.jpg", "Обложка")</f>
        <v>Обложка</v>
      </c>
      <c r="V2017" s="24" t="str">
        <f>HYPERLINK("https://znanium.ru/catalog/product/2001690", "Ознакомиться")</f>
        <v>Ознакомиться</v>
      </c>
      <c r="W2017" s="8" t="s">
        <v>8369</v>
      </c>
      <c r="X2017" s="6" t="s">
        <v>389</v>
      </c>
      <c r="Y2017" s="6"/>
      <c r="Z2017" s="6"/>
      <c r="AA2017" s="6" t="s">
        <v>61</v>
      </c>
      <c r="AB2017" s="8"/>
    </row>
    <row r="2018" spans="1:28" s="4" customFormat="1" ht="42" customHeight="1">
      <c r="A2018" s="5">
        <v>0</v>
      </c>
      <c r="B2018" s="6" t="s">
        <v>12374</v>
      </c>
      <c r="C2018" s="13">
        <v>1090</v>
      </c>
      <c r="D2018" s="8" t="s">
        <v>12375</v>
      </c>
      <c r="E2018" s="8" t="s">
        <v>12376</v>
      </c>
      <c r="F2018" s="8" t="s">
        <v>12377</v>
      </c>
      <c r="G2018" s="6" t="s">
        <v>52</v>
      </c>
      <c r="H2018" s="6" t="s">
        <v>53</v>
      </c>
      <c r="I2018" s="8" t="s">
        <v>1325</v>
      </c>
      <c r="J2018" s="9">
        <v>1</v>
      </c>
      <c r="K2018" s="9">
        <v>211</v>
      </c>
      <c r="L2018" s="9">
        <v>2024</v>
      </c>
      <c r="M2018" s="8" t="s">
        <v>12378</v>
      </c>
      <c r="N2018" s="8" t="s">
        <v>79</v>
      </c>
      <c r="O2018" s="8" t="s">
        <v>570</v>
      </c>
      <c r="P2018" s="6" t="s">
        <v>43</v>
      </c>
      <c r="Q2018" s="8" t="s">
        <v>58</v>
      </c>
      <c r="R2018" s="10" t="s">
        <v>5423</v>
      </c>
      <c r="S2018" s="11"/>
      <c r="T2018" s="6"/>
      <c r="U2018" s="24" t="str">
        <f>HYPERLINK("https://media.infra-m.ru/2151/2151103/cover/2151103.jpg", "Обложка")</f>
        <v>Обложка</v>
      </c>
      <c r="V2018" s="24" t="str">
        <f>HYPERLINK("https://znanium.ru/catalog/product/2151103", "Ознакомиться")</f>
        <v>Ознакомиться</v>
      </c>
      <c r="W2018" s="8" t="s">
        <v>1329</v>
      </c>
      <c r="X2018" s="6" t="s">
        <v>785</v>
      </c>
      <c r="Y2018" s="6"/>
      <c r="Z2018" s="6"/>
      <c r="AA2018" s="6" t="s">
        <v>133</v>
      </c>
      <c r="AB2018" s="8"/>
    </row>
    <row r="2019" spans="1:28" s="4" customFormat="1" ht="51.95" customHeight="1">
      <c r="A2019" s="5">
        <v>0</v>
      </c>
      <c r="B2019" s="6" t="s">
        <v>12379</v>
      </c>
      <c r="C2019" s="7">
        <v>574</v>
      </c>
      <c r="D2019" s="8" t="s">
        <v>12380</v>
      </c>
      <c r="E2019" s="8" t="s">
        <v>12381</v>
      </c>
      <c r="F2019" s="8" t="s">
        <v>12382</v>
      </c>
      <c r="G2019" s="6" t="s">
        <v>38</v>
      </c>
      <c r="H2019" s="6" t="s">
        <v>53</v>
      </c>
      <c r="I2019" s="8" t="s">
        <v>90</v>
      </c>
      <c r="J2019" s="9">
        <v>1</v>
      </c>
      <c r="K2019" s="9">
        <v>110</v>
      </c>
      <c r="L2019" s="9">
        <v>2025</v>
      </c>
      <c r="M2019" s="8" t="s">
        <v>12383</v>
      </c>
      <c r="N2019" s="8" t="s">
        <v>41</v>
      </c>
      <c r="O2019" s="8" t="s">
        <v>1007</v>
      </c>
      <c r="P2019" s="6" t="s">
        <v>43</v>
      </c>
      <c r="Q2019" s="8" t="s">
        <v>44</v>
      </c>
      <c r="R2019" s="10" t="s">
        <v>12384</v>
      </c>
      <c r="S2019" s="11" t="s">
        <v>12385</v>
      </c>
      <c r="T2019" s="6"/>
      <c r="U2019" s="24" t="str">
        <f>HYPERLINK("https://media.infra-m.ru/2192/2192165/cover/2192165.jpg", "Обложка")</f>
        <v>Обложка</v>
      </c>
      <c r="V2019" s="24" t="str">
        <f>HYPERLINK("https://znanium.ru/catalog/product/2082888", "Ознакомиться")</f>
        <v>Ознакомиться</v>
      </c>
      <c r="W2019" s="8" t="s">
        <v>1826</v>
      </c>
      <c r="X2019" s="6"/>
      <c r="Y2019" s="6"/>
      <c r="Z2019" s="6"/>
      <c r="AA2019" s="6" t="s">
        <v>122</v>
      </c>
      <c r="AB2019" s="8"/>
    </row>
    <row r="2020" spans="1:28" s="4" customFormat="1" ht="51.95" customHeight="1">
      <c r="A2020" s="5">
        <v>0</v>
      </c>
      <c r="B2020" s="6" t="s">
        <v>12386</v>
      </c>
      <c r="C2020" s="13">
        <v>1214</v>
      </c>
      <c r="D2020" s="8" t="s">
        <v>12387</v>
      </c>
      <c r="E2020" s="8" t="s">
        <v>12388</v>
      </c>
      <c r="F2020" s="8" t="s">
        <v>12389</v>
      </c>
      <c r="G2020" s="6" t="s">
        <v>52</v>
      </c>
      <c r="H2020" s="6" t="s">
        <v>53</v>
      </c>
      <c r="I2020" s="8" t="s">
        <v>90</v>
      </c>
      <c r="J2020" s="9">
        <v>1</v>
      </c>
      <c r="K2020" s="9">
        <v>264</v>
      </c>
      <c r="L2020" s="9">
        <v>2024</v>
      </c>
      <c r="M2020" s="8" t="s">
        <v>12390</v>
      </c>
      <c r="N2020" s="8" t="s">
        <v>41</v>
      </c>
      <c r="O2020" s="8" t="s">
        <v>1007</v>
      </c>
      <c r="P2020" s="6" t="s">
        <v>43</v>
      </c>
      <c r="Q2020" s="8" t="s">
        <v>44</v>
      </c>
      <c r="R2020" s="10" t="s">
        <v>168</v>
      </c>
      <c r="S2020" s="11"/>
      <c r="T2020" s="6"/>
      <c r="U2020" s="24" t="str">
        <f>HYPERLINK("https://media.infra-m.ru/2087/2087310/cover/2087310.jpg", "Обложка")</f>
        <v>Обложка</v>
      </c>
      <c r="V2020" s="24" t="str">
        <f>HYPERLINK("https://znanium.ru/catalog/product/2087310", "Ознакомиться")</f>
        <v>Ознакомиться</v>
      </c>
      <c r="W2020" s="8" t="s">
        <v>1272</v>
      </c>
      <c r="X2020" s="6"/>
      <c r="Y2020" s="6"/>
      <c r="Z2020" s="6"/>
      <c r="AA2020" s="6" t="s">
        <v>111</v>
      </c>
      <c r="AB2020" s="8"/>
    </row>
    <row r="2021" spans="1:28" s="4" customFormat="1" ht="44.1" customHeight="1">
      <c r="A2021" s="5">
        <v>0</v>
      </c>
      <c r="B2021" s="6" t="s">
        <v>12391</v>
      </c>
      <c r="C2021" s="13">
        <v>2784</v>
      </c>
      <c r="D2021" s="8" t="s">
        <v>12392</v>
      </c>
      <c r="E2021" s="8" t="s">
        <v>12393</v>
      </c>
      <c r="F2021" s="8" t="s">
        <v>12394</v>
      </c>
      <c r="G2021" s="6" t="s">
        <v>52</v>
      </c>
      <c r="H2021" s="6" t="s">
        <v>53</v>
      </c>
      <c r="I2021" s="8" t="s">
        <v>116</v>
      </c>
      <c r="J2021" s="9">
        <v>1</v>
      </c>
      <c r="K2021" s="9">
        <v>552</v>
      </c>
      <c r="L2021" s="9">
        <v>2025</v>
      </c>
      <c r="M2021" s="8" t="s">
        <v>12395</v>
      </c>
      <c r="N2021" s="8" t="s">
        <v>41</v>
      </c>
      <c r="O2021" s="8" t="s">
        <v>1007</v>
      </c>
      <c r="P2021" s="6" t="s">
        <v>43</v>
      </c>
      <c r="Q2021" s="8" t="s">
        <v>58</v>
      </c>
      <c r="R2021" s="10" t="s">
        <v>12396</v>
      </c>
      <c r="S2021" s="11"/>
      <c r="T2021" s="6"/>
      <c r="U2021" s="24" t="str">
        <f>HYPERLINK("https://media.infra-m.ru/2174/2174220/cover/2174220.jpg", "Обложка")</f>
        <v>Обложка</v>
      </c>
      <c r="V2021" s="24" t="str">
        <f>HYPERLINK("https://znanium.ru/catalog/product/2135822", "Ознакомиться")</f>
        <v>Ознакомиться</v>
      </c>
      <c r="W2021" s="8" t="s">
        <v>347</v>
      </c>
      <c r="X2021" s="6"/>
      <c r="Y2021" s="6"/>
      <c r="Z2021" s="6"/>
      <c r="AA2021" s="6" t="s">
        <v>61</v>
      </c>
      <c r="AB2021" s="8" t="s">
        <v>12397</v>
      </c>
    </row>
    <row r="2022" spans="1:28" s="4" customFormat="1" ht="51.95" customHeight="1">
      <c r="A2022" s="5">
        <v>0</v>
      </c>
      <c r="B2022" s="6" t="s">
        <v>12398</v>
      </c>
      <c r="C2022" s="13">
        <v>1924</v>
      </c>
      <c r="D2022" s="8" t="s">
        <v>12399</v>
      </c>
      <c r="E2022" s="8" t="s">
        <v>12388</v>
      </c>
      <c r="F2022" s="8" t="s">
        <v>12400</v>
      </c>
      <c r="G2022" s="6" t="s">
        <v>52</v>
      </c>
      <c r="H2022" s="6" t="s">
        <v>674</v>
      </c>
      <c r="I2022" s="8"/>
      <c r="J2022" s="9">
        <v>1</v>
      </c>
      <c r="K2022" s="9">
        <v>384</v>
      </c>
      <c r="L2022" s="9">
        <v>2024</v>
      </c>
      <c r="M2022" s="8" t="s">
        <v>12401</v>
      </c>
      <c r="N2022" s="8" t="s">
        <v>41</v>
      </c>
      <c r="O2022" s="8" t="s">
        <v>1007</v>
      </c>
      <c r="P2022" s="6" t="s">
        <v>6714</v>
      </c>
      <c r="Q2022" s="8" t="s">
        <v>44</v>
      </c>
      <c r="R2022" s="10" t="s">
        <v>12402</v>
      </c>
      <c r="S2022" s="11"/>
      <c r="T2022" s="6"/>
      <c r="U2022" s="24" t="str">
        <f>HYPERLINK("https://media.infra-m.ru/2045/2045933/cover/2045933.jpg", "Обложка")</f>
        <v>Обложка</v>
      </c>
      <c r="V2022" s="24" t="str">
        <f>HYPERLINK("https://znanium.ru/catalog/product/1219412", "Ознакомиться")</f>
        <v>Ознакомиться</v>
      </c>
      <c r="W2022" s="8" t="s">
        <v>947</v>
      </c>
      <c r="X2022" s="6"/>
      <c r="Y2022" s="6"/>
      <c r="Z2022" s="6"/>
      <c r="AA2022" s="6" t="s">
        <v>418</v>
      </c>
      <c r="AB2022" s="8"/>
    </row>
    <row r="2023" spans="1:28" s="4" customFormat="1" ht="44.1" customHeight="1">
      <c r="A2023" s="5">
        <v>0</v>
      </c>
      <c r="B2023" s="6" t="s">
        <v>12403</v>
      </c>
      <c r="C2023" s="13">
        <v>1844</v>
      </c>
      <c r="D2023" s="8" t="s">
        <v>12404</v>
      </c>
      <c r="E2023" s="8" t="s">
        <v>12388</v>
      </c>
      <c r="F2023" s="8" t="s">
        <v>12405</v>
      </c>
      <c r="G2023" s="6" t="s">
        <v>52</v>
      </c>
      <c r="H2023" s="6" t="s">
        <v>674</v>
      </c>
      <c r="I2023" s="8"/>
      <c r="J2023" s="9">
        <v>1</v>
      </c>
      <c r="K2023" s="9">
        <v>400</v>
      </c>
      <c r="L2023" s="9">
        <v>2024</v>
      </c>
      <c r="M2023" s="8" t="s">
        <v>12406</v>
      </c>
      <c r="N2023" s="8" t="s">
        <v>41</v>
      </c>
      <c r="O2023" s="8" t="s">
        <v>1007</v>
      </c>
      <c r="P2023" s="6" t="s">
        <v>187</v>
      </c>
      <c r="Q2023" s="8" t="s">
        <v>44</v>
      </c>
      <c r="R2023" s="10" t="s">
        <v>12407</v>
      </c>
      <c r="S2023" s="11"/>
      <c r="T2023" s="6"/>
      <c r="U2023" s="24" t="str">
        <f>HYPERLINK("https://media.infra-m.ru/2121/2121208/cover/2121208.jpg", "Обложка")</f>
        <v>Обложка</v>
      </c>
      <c r="V2023" s="24" t="str">
        <f>HYPERLINK("https://znanium.ru/catalog/product/2121208", "Ознакомиться")</f>
        <v>Ознакомиться</v>
      </c>
      <c r="W2023" s="8" t="s">
        <v>947</v>
      </c>
      <c r="X2023" s="6"/>
      <c r="Y2023" s="6"/>
      <c r="Z2023" s="6"/>
      <c r="AA2023" s="6" t="s">
        <v>84</v>
      </c>
      <c r="AB2023" s="8"/>
    </row>
    <row r="2024" spans="1:28" s="4" customFormat="1" ht="51.95" customHeight="1">
      <c r="A2024" s="5">
        <v>0</v>
      </c>
      <c r="B2024" s="6" t="s">
        <v>12408</v>
      </c>
      <c r="C2024" s="13">
        <v>2184</v>
      </c>
      <c r="D2024" s="8" t="s">
        <v>12409</v>
      </c>
      <c r="E2024" s="8" t="s">
        <v>12410</v>
      </c>
      <c r="F2024" s="8" t="s">
        <v>12411</v>
      </c>
      <c r="G2024" s="6" t="s">
        <v>89</v>
      </c>
      <c r="H2024" s="6" t="s">
        <v>952</v>
      </c>
      <c r="I2024" s="8" t="s">
        <v>2699</v>
      </c>
      <c r="J2024" s="9">
        <v>1</v>
      </c>
      <c r="K2024" s="9">
        <v>336</v>
      </c>
      <c r="L2024" s="9">
        <v>2024</v>
      </c>
      <c r="M2024" s="8" t="s">
        <v>12412</v>
      </c>
      <c r="N2024" s="8" t="s">
        <v>41</v>
      </c>
      <c r="O2024" s="8" t="s">
        <v>1007</v>
      </c>
      <c r="P2024" s="6" t="s">
        <v>822</v>
      </c>
      <c r="Q2024" s="8" t="s">
        <v>44</v>
      </c>
      <c r="R2024" s="10" t="s">
        <v>12402</v>
      </c>
      <c r="S2024" s="11"/>
      <c r="T2024" s="6"/>
      <c r="U2024" s="24" t="str">
        <f>HYPERLINK("https://media.infra-m.ru/2113/2113869/cover/2113869.jpg", "Обложка")</f>
        <v>Обложка</v>
      </c>
      <c r="V2024" s="24" t="str">
        <f>HYPERLINK("https://znanium.ru/catalog/product/2113869", "Ознакомиться")</f>
        <v>Ознакомиться</v>
      </c>
      <c r="W2024" s="8" t="s">
        <v>347</v>
      </c>
      <c r="X2024" s="6"/>
      <c r="Y2024" s="6"/>
      <c r="Z2024" s="6"/>
      <c r="AA2024" s="6" t="s">
        <v>122</v>
      </c>
      <c r="AB2024" s="8"/>
    </row>
    <row r="2025" spans="1:28" s="4" customFormat="1" ht="51.95" customHeight="1">
      <c r="A2025" s="5">
        <v>0</v>
      </c>
      <c r="B2025" s="6" t="s">
        <v>12413</v>
      </c>
      <c r="C2025" s="13">
        <v>2284</v>
      </c>
      <c r="D2025" s="8" t="s">
        <v>12414</v>
      </c>
      <c r="E2025" s="8" t="s">
        <v>12415</v>
      </c>
      <c r="F2025" s="8" t="s">
        <v>12416</v>
      </c>
      <c r="G2025" s="6" t="s">
        <v>52</v>
      </c>
      <c r="H2025" s="6" t="s">
        <v>53</v>
      </c>
      <c r="I2025" s="8" t="s">
        <v>116</v>
      </c>
      <c r="J2025" s="9">
        <v>1</v>
      </c>
      <c r="K2025" s="9">
        <v>537</v>
      </c>
      <c r="L2025" s="9">
        <v>2025</v>
      </c>
      <c r="M2025" s="8" t="s">
        <v>12417</v>
      </c>
      <c r="N2025" s="8" t="s">
        <v>41</v>
      </c>
      <c r="O2025" s="8" t="s">
        <v>1007</v>
      </c>
      <c r="P2025" s="6" t="s">
        <v>167</v>
      </c>
      <c r="Q2025" s="8" t="s">
        <v>58</v>
      </c>
      <c r="R2025" s="10" t="s">
        <v>12418</v>
      </c>
      <c r="S2025" s="11" t="s">
        <v>12419</v>
      </c>
      <c r="T2025" s="6" t="s">
        <v>299</v>
      </c>
      <c r="U2025" s="24" t="str">
        <f>HYPERLINK("https://media.infra-m.ru/2188/2188739/cover/2188739.jpg", "Обложка")</f>
        <v>Обложка</v>
      </c>
      <c r="V2025" s="24" t="str">
        <f>HYPERLINK("https://znanium.ru/catalog/product/2033426", "Ознакомиться")</f>
        <v>Ознакомиться</v>
      </c>
      <c r="W2025" s="8" t="s">
        <v>3986</v>
      </c>
      <c r="X2025" s="6"/>
      <c r="Y2025" s="6"/>
      <c r="Z2025" s="6"/>
      <c r="AA2025" s="6" t="s">
        <v>494</v>
      </c>
      <c r="AB2025" s="8"/>
    </row>
    <row r="2026" spans="1:28" s="4" customFormat="1" ht="51.95" customHeight="1">
      <c r="A2026" s="5">
        <v>0</v>
      </c>
      <c r="B2026" s="6" t="s">
        <v>12420</v>
      </c>
      <c r="C2026" s="7">
        <v>910</v>
      </c>
      <c r="D2026" s="8" t="s">
        <v>12421</v>
      </c>
      <c r="E2026" s="8" t="s">
        <v>12388</v>
      </c>
      <c r="F2026" s="8" t="s">
        <v>12422</v>
      </c>
      <c r="G2026" s="6" t="s">
        <v>89</v>
      </c>
      <c r="H2026" s="6" t="s">
        <v>53</v>
      </c>
      <c r="I2026" s="8" t="s">
        <v>90</v>
      </c>
      <c r="J2026" s="9">
        <v>1</v>
      </c>
      <c r="K2026" s="9">
        <v>202</v>
      </c>
      <c r="L2026" s="9">
        <v>2023</v>
      </c>
      <c r="M2026" s="8" t="s">
        <v>12423</v>
      </c>
      <c r="N2026" s="8" t="s">
        <v>41</v>
      </c>
      <c r="O2026" s="8" t="s">
        <v>1007</v>
      </c>
      <c r="P2026" s="6" t="s">
        <v>167</v>
      </c>
      <c r="Q2026" s="8" t="s">
        <v>44</v>
      </c>
      <c r="R2026" s="10" t="s">
        <v>12424</v>
      </c>
      <c r="S2026" s="11" t="s">
        <v>12425</v>
      </c>
      <c r="T2026" s="6"/>
      <c r="U2026" s="24" t="str">
        <f>HYPERLINK("https://media.infra-m.ru/1903/1903403/cover/1903403.jpg", "Обложка")</f>
        <v>Обложка</v>
      </c>
      <c r="V2026" s="24" t="str">
        <f>HYPERLINK("https://znanium.ru/catalog/product/1903403", "Ознакомиться")</f>
        <v>Ознакомиться</v>
      </c>
      <c r="W2026" s="8" t="s">
        <v>4161</v>
      </c>
      <c r="X2026" s="6"/>
      <c r="Y2026" s="6"/>
      <c r="Z2026" s="6"/>
      <c r="AA2026" s="6" t="s">
        <v>72</v>
      </c>
      <c r="AB2026" s="8"/>
    </row>
    <row r="2027" spans="1:28" s="4" customFormat="1" ht="51.95" customHeight="1">
      <c r="A2027" s="5">
        <v>0</v>
      </c>
      <c r="B2027" s="6" t="s">
        <v>12426</v>
      </c>
      <c r="C2027" s="13">
        <v>1159.9000000000001</v>
      </c>
      <c r="D2027" s="8" t="s">
        <v>12427</v>
      </c>
      <c r="E2027" s="8" t="s">
        <v>12388</v>
      </c>
      <c r="F2027" s="8" t="s">
        <v>12428</v>
      </c>
      <c r="G2027" s="6" t="s">
        <v>52</v>
      </c>
      <c r="H2027" s="6" t="s">
        <v>53</v>
      </c>
      <c r="I2027" s="8" t="s">
        <v>90</v>
      </c>
      <c r="J2027" s="9">
        <v>1</v>
      </c>
      <c r="K2027" s="9">
        <v>394</v>
      </c>
      <c r="L2027" s="9">
        <v>2017</v>
      </c>
      <c r="M2027" s="8" t="s">
        <v>12429</v>
      </c>
      <c r="N2027" s="8" t="s">
        <v>41</v>
      </c>
      <c r="O2027" s="8" t="s">
        <v>1007</v>
      </c>
      <c r="P2027" s="6" t="s">
        <v>167</v>
      </c>
      <c r="Q2027" s="8" t="s">
        <v>44</v>
      </c>
      <c r="R2027" s="10" t="s">
        <v>10253</v>
      </c>
      <c r="S2027" s="11" t="s">
        <v>406</v>
      </c>
      <c r="T2027" s="6" t="s">
        <v>299</v>
      </c>
      <c r="U2027" s="24" t="str">
        <f>HYPERLINK("https://media.infra-m.ru/0894/0894721/cover/894721.jpg", "Обложка")</f>
        <v>Обложка</v>
      </c>
      <c r="V2027" s="24" t="str">
        <f>HYPERLINK("https://znanium.ru/catalog/product/2103135", "Ознакомиться")</f>
        <v>Ознакомиться</v>
      </c>
      <c r="W2027" s="8" t="s">
        <v>189</v>
      </c>
      <c r="X2027" s="6"/>
      <c r="Y2027" s="6"/>
      <c r="Z2027" s="6"/>
      <c r="AA2027" s="6" t="s">
        <v>418</v>
      </c>
      <c r="AB2027" s="8"/>
    </row>
    <row r="2028" spans="1:28" s="4" customFormat="1" ht="51.95" customHeight="1">
      <c r="A2028" s="5">
        <v>0</v>
      </c>
      <c r="B2028" s="6" t="s">
        <v>12430</v>
      </c>
      <c r="C2028" s="13">
        <v>1780</v>
      </c>
      <c r="D2028" s="8" t="s">
        <v>12431</v>
      </c>
      <c r="E2028" s="8" t="s">
        <v>12415</v>
      </c>
      <c r="F2028" s="8" t="s">
        <v>12432</v>
      </c>
      <c r="G2028" s="6" t="s">
        <v>89</v>
      </c>
      <c r="H2028" s="6" t="s">
        <v>53</v>
      </c>
      <c r="I2028" s="8" t="s">
        <v>12433</v>
      </c>
      <c r="J2028" s="9">
        <v>1</v>
      </c>
      <c r="K2028" s="9">
        <v>385</v>
      </c>
      <c r="L2028" s="9">
        <v>2024</v>
      </c>
      <c r="M2028" s="8" t="s">
        <v>12434</v>
      </c>
      <c r="N2028" s="8" t="s">
        <v>41</v>
      </c>
      <c r="O2028" s="8" t="s">
        <v>1007</v>
      </c>
      <c r="P2028" s="6" t="s">
        <v>167</v>
      </c>
      <c r="Q2028" s="8" t="s">
        <v>44</v>
      </c>
      <c r="R2028" s="10" t="s">
        <v>10253</v>
      </c>
      <c r="S2028" s="11" t="s">
        <v>12435</v>
      </c>
      <c r="T2028" s="6" t="s">
        <v>299</v>
      </c>
      <c r="U2028" s="24" t="str">
        <f>HYPERLINK("https://media.infra-m.ru/2103/2103135/cover/2103135.jpg", "Обложка")</f>
        <v>Обложка</v>
      </c>
      <c r="V2028" s="24" t="str">
        <f>HYPERLINK("https://znanium.ru/catalog/product/2103135", "Ознакомиться")</f>
        <v>Ознакомиться</v>
      </c>
      <c r="W2028" s="8" t="s">
        <v>189</v>
      </c>
      <c r="X2028" s="6"/>
      <c r="Y2028" s="6"/>
      <c r="Z2028" s="6"/>
      <c r="AA2028" s="6" t="s">
        <v>1374</v>
      </c>
      <c r="AB2028" s="8"/>
    </row>
    <row r="2029" spans="1:28" s="4" customFormat="1" ht="42" customHeight="1">
      <c r="A2029" s="5">
        <v>0</v>
      </c>
      <c r="B2029" s="6" t="s">
        <v>12436</v>
      </c>
      <c r="C2029" s="13">
        <v>1159.9000000000001</v>
      </c>
      <c r="D2029" s="8" t="s">
        <v>12437</v>
      </c>
      <c r="E2029" s="8" t="s">
        <v>12438</v>
      </c>
      <c r="F2029" s="8" t="s">
        <v>12439</v>
      </c>
      <c r="G2029" s="6" t="s">
        <v>52</v>
      </c>
      <c r="H2029" s="6" t="s">
        <v>184</v>
      </c>
      <c r="I2029" s="8" t="s">
        <v>116</v>
      </c>
      <c r="J2029" s="9">
        <v>1</v>
      </c>
      <c r="K2029" s="9">
        <v>304</v>
      </c>
      <c r="L2029" s="9">
        <v>2022</v>
      </c>
      <c r="M2029" s="8" t="s">
        <v>12440</v>
      </c>
      <c r="N2029" s="8" t="s">
        <v>41</v>
      </c>
      <c r="O2029" s="8" t="s">
        <v>1007</v>
      </c>
      <c r="P2029" s="6" t="s">
        <v>43</v>
      </c>
      <c r="Q2029" s="8" t="s">
        <v>279</v>
      </c>
      <c r="R2029" s="10" t="s">
        <v>1356</v>
      </c>
      <c r="S2029" s="11"/>
      <c r="T2029" s="6"/>
      <c r="U2029" s="24" t="str">
        <f>HYPERLINK("https://media.infra-m.ru/1839/1839691/cover/1839691.jpg", "Обложка")</f>
        <v>Обложка</v>
      </c>
      <c r="V2029" s="24" t="str">
        <f>HYPERLINK("https://znanium.ru/catalog/product/1839691", "Ознакомиться")</f>
        <v>Ознакомиться</v>
      </c>
      <c r="W2029" s="8" t="s">
        <v>1563</v>
      </c>
      <c r="X2029" s="6"/>
      <c r="Y2029" s="6"/>
      <c r="Z2029" s="6"/>
      <c r="AA2029" s="6" t="s">
        <v>235</v>
      </c>
      <c r="AB2029" s="8"/>
    </row>
    <row r="2030" spans="1:28" s="4" customFormat="1" ht="44.1" customHeight="1">
      <c r="A2030" s="5">
        <v>0</v>
      </c>
      <c r="B2030" s="6" t="s">
        <v>12441</v>
      </c>
      <c r="C2030" s="13">
        <v>1534</v>
      </c>
      <c r="D2030" s="8" t="s">
        <v>12442</v>
      </c>
      <c r="E2030" s="8" t="s">
        <v>12443</v>
      </c>
      <c r="F2030" s="8" t="s">
        <v>12444</v>
      </c>
      <c r="G2030" s="6" t="s">
        <v>89</v>
      </c>
      <c r="H2030" s="6" t="s">
        <v>53</v>
      </c>
      <c r="I2030" s="8" t="s">
        <v>1325</v>
      </c>
      <c r="J2030" s="9">
        <v>1</v>
      </c>
      <c r="K2030" s="9">
        <v>304</v>
      </c>
      <c r="L2030" s="9">
        <v>2023</v>
      </c>
      <c r="M2030" s="8" t="s">
        <v>12445</v>
      </c>
      <c r="N2030" s="8" t="s">
        <v>79</v>
      </c>
      <c r="O2030" s="8" t="s">
        <v>570</v>
      </c>
      <c r="P2030" s="6" t="s">
        <v>175</v>
      </c>
      <c r="Q2030" s="8" t="s">
        <v>214</v>
      </c>
      <c r="R2030" s="10" t="s">
        <v>12446</v>
      </c>
      <c r="S2030" s="11"/>
      <c r="T2030" s="6"/>
      <c r="U2030" s="24" t="str">
        <f>HYPERLINK("https://media.infra-m.ru/1976/1976162/cover/1976162.jpg", "Обложка")</f>
        <v>Обложка</v>
      </c>
      <c r="V2030" s="24" t="str">
        <f>HYPERLINK("https://znanium.ru/catalog/product/1150295", "Ознакомиться")</f>
        <v>Ознакомиться</v>
      </c>
      <c r="W2030" s="8" t="s">
        <v>1329</v>
      </c>
      <c r="X2030" s="6"/>
      <c r="Y2030" s="6"/>
      <c r="Z2030" s="6"/>
      <c r="AA2030" s="6" t="s">
        <v>258</v>
      </c>
      <c r="AB2030" s="8"/>
    </row>
    <row r="2031" spans="1:28" s="4" customFormat="1" ht="51.95" customHeight="1">
      <c r="A2031" s="5">
        <v>0</v>
      </c>
      <c r="B2031" s="6" t="s">
        <v>12447</v>
      </c>
      <c r="C2031" s="13">
        <v>1230</v>
      </c>
      <c r="D2031" s="8" t="s">
        <v>12448</v>
      </c>
      <c r="E2031" s="8" t="s">
        <v>12449</v>
      </c>
      <c r="F2031" s="8" t="s">
        <v>12444</v>
      </c>
      <c r="G2031" s="6" t="s">
        <v>89</v>
      </c>
      <c r="H2031" s="6" t="s">
        <v>53</v>
      </c>
      <c r="I2031" s="8" t="s">
        <v>4013</v>
      </c>
      <c r="J2031" s="9">
        <v>1</v>
      </c>
      <c r="K2031" s="9">
        <v>240</v>
      </c>
      <c r="L2031" s="9">
        <v>2025</v>
      </c>
      <c r="M2031" s="8" t="s">
        <v>12450</v>
      </c>
      <c r="N2031" s="8" t="s">
        <v>79</v>
      </c>
      <c r="O2031" s="8" t="s">
        <v>570</v>
      </c>
      <c r="P2031" s="6" t="s">
        <v>175</v>
      </c>
      <c r="Q2031" s="8" t="s">
        <v>102</v>
      </c>
      <c r="R2031" s="10" t="s">
        <v>12451</v>
      </c>
      <c r="S2031" s="11" t="s">
        <v>12452</v>
      </c>
      <c r="T2031" s="6"/>
      <c r="U2031" s="24" t="str">
        <f>HYPERLINK("https://media.infra-m.ru/2185/2185373/cover/2185373.jpg", "Обложка")</f>
        <v>Обложка</v>
      </c>
      <c r="V2031" s="24" t="str">
        <f>HYPERLINK("https://znanium.ru/catalog/product/2185373", "Ознакомиться")</f>
        <v>Ознакомиться</v>
      </c>
      <c r="W2031" s="8" t="s">
        <v>1329</v>
      </c>
      <c r="X2031" s="6"/>
      <c r="Y2031" s="6"/>
      <c r="Z2031" s="6" t="s">
        <v>2565</v>
      </c>
      <c r="AA2031" s="6" t="s">
        <v>219</v>
      </c>
      <c r="AB2031" s="8"/>
    </row>
    <row r="2032" spans="1:28" s="4" customFormat="1" ht="51.95" customHeight="1">
      <c r="A2032" s="5">
        <v>0</v>
      </c>
      <c r="B2032" s="6" t="s">
        <v>12453</v>
      </c>
      <c r="C2032" s="13">
        <v>1574</v>
      </c>
      <c r="D2032" s="8" t="s">
        <v>12454</v>
      </c>
      <c r="E2032" s="8" t="s">
        <v>12443</v>
      </c>
      <c r="F2032" s="8" t="s">
        <v>12444</v>
      </c>
      <c r="G2032" s="6" t="s">
        <v>89</v>
      </c>
      <c r="H2032" s="6" t="s">
        <v>53</v>
      </c>
      <c r="I2032" s="8" t="s">
        <v>4013</v>
      </c>
      <c r="J2032" s="9">
        <v>1</v>
      </c>
      <c r="K2032" s="9">
        <v>304</v>
      </c>
      <c r="L2032" s="9">
        <v>2025</v>
      </c>
      <c r="M2032" s="8" t="s">
        <v>12455</v>
      </c>
      <c r="N2032" s="8" t="s">
        <v>79</v>
      </c>
      <c r="O2032" s="8" t="s">
        <v>570</v>
      </c>
      <c r="P2032" s="6" t="s">
        <v>175</v>
      </c>
      <c r="Q2032" s="8" t="s">
        <v>102</v>
      </c>
      <c r="R2032" s="10" t="s">
        <v>12456</v>
      </c>
      <c r="S2032" s="11" t="s">
        <v>12452</v>
      </c>
      <c r="T2032" s="6"/>
      <c r="U2032" s="24" t="str">
        <f>HYPERLINK("https://media.infra-m.ru/2180/2180539/cover/2180539.jpg", "Обложка")</f>
        <v>Обложка</v>
      </c>
      <c r="V2032" s="24" t="str">
        <f>HYPERLINK("https://znanium.ru/catalog/product/2037391", "Ознакомиться")</f>
        <v>Ознакомиться</v>
      </c>
      <c r="W2032" s="8" t="s">
        <v>1329</v>
      </c>
      <c r="X2032" s="6"/>
      <c r="Y2032" s="6"/>
      <c r="Z2032" s="6" t="s">
        <v>2565</v>
      </c>
      <c r="AA2032" s="6" t="s">
        <v>219</v>
      </c>
      <c r="AB2032" s="8"/>
    </row>
    <row r="2033" spans="1:28" s="4" customFormat="1" ht="51.95" customHeight="1">
      <c r="A2033" s="5">
        <v>0</v>
      </c>
      <c r="B2033" s="6" t="s">
        <v>12457</v>
      </c>
      <c r="C2033" s="13">
        <v>1200</v>
      </c>
      <c r="D2033" s="8" t="s">
        <v>12458</v>
      </c>
      <c r="E2033" s="8" t="s">
        <v>12449</v>
      </c>
      <c r="F2033" s="8" t="s">
        <v>12444</v>
      </c>
      <c r="G2033" s="6" t="s">
        <v>89</v>
      </c>
      <c r="H2033" s="6" t="s">
        <v>53</v>
      </c>
      <c r="I2033" s="8" t="s">
        <v>1325</v>
      </c>
      <c r="J2033" s="9">
        <v>1</v>
      </c>
      <c r="K2033" s="9">
        <v>240</v>
      </c>
      <c r="L2033" s="9">
        <v>2023</v>
      </c>
      <c r="M2033" s="8" t="s">
        <v>12459</v>
      </c>
      <c r="N2033" s="8" t="s">
        <v>79</v>
      </c>
      <c r="O2033" s="8" t="s">
        <v>570</v>
      </c>
      <c r="P2033" s="6" t="s">
        <v>175</v>
      </c>
      <c r="Q2033" s="8" t="s">
        <v>214</v>
      </c>
      <c r="R2033" s="10" t="s">
        <v>12460</v>
      </c>
      <c r="S2033" s="11"/>
      <c r="T2033" s="6"/>
      <c r="U2033" s="24" t="str">
        <f>HYPERLINK("https://media.infra-m.ru/1976/1976163/cover/1976163.jpg", "Обложка")</f>
        <v>Обложка</v>
      </c>
      <c r="V2033" s="24" t="str">
        <f>HYPERLINK("https://znanium.ru/catalog/product/1150296", "Ознакомиться")</f>
        <v>Ознакомиться</v>
      </c>
      <c r="W2033" s="8" t="s">
        <v>1329</v>
      </c>
      <c r="X2033" s="6"/>
      <c r="Y2033" s="6"/>
      <c r="Z2033" s="6"/>
      <c r="AA2033" s="6" t="s">
        <v>258</v>
      </c>
      <c r="AB2033" s="8"/>
    </row>
    <row r="2034" spans="1:28" s="4" customFormat="1" ht="42" customHeight="1">
      <c r="A2034" s="5">
        <v>0</v>
      </c>
      <c r="B2034" s="6" t="s">
        <v>12461</v>
      </c>
      <c r="C2034" s="13">
        <v>1760</v>
      </c>
      <c r="D2034" s="8" t="s">
        <v>12462</v>
      </c>
      <c r="E2034" s="8" t="s">
        <v>12463</v>
      </c>
      <c r="F2034" s="8" t="s">
        <v>12464</v>
      </c>
      <c r="G2034" s="6" t="s">
        <v>89</v>
      </c>
      <c r="H2034" s="6" t="s">
        <v>53</v>
      </c>
      <c r="I2034" s="8" t="s">
        <v>100</v>
      </c>
      <c r="J2034" s="9">
        <v>1</v>
      </c>
      <c r="K2034" s="9">
        <v>352</v>
      </c>
      <c r="L2034" s="9">
        <v>2025</v>
      </c>
      <c r="M2034" s="8" t="s">
        <v>12465</v>
      </c>
      <c r="N2034" s="8" t="s">
        <v>41</v>
      </c>
      <c r="O2034" s="8" t="s">
        <v>278</v>
      </c>
      <c r="P2034" s="6" t="s">
        <v>167</v>
      </c>
      <c r="Q2034" s="8" t="s">
        <v>102</v>
      </c>
      <c r="R2034" s="10" t="s">
        <v>12466</v>
      </c>
      <c r="S2034" s="11"/>
      <c r="T2034" s="6"/>
      <c r="U2034" s="24" t="str">
        <f>HYPERLINK("https://media.infra-m.ru/2169/2169666/cover/2169666.jpg", "Обложка")</f>
        <v>Обложка</v>
      </c>
      <c r="V2034" s="24" t="str">
        <f>HYPERLINK("https://znanium.ru/catalog/product/2169666", "Ознакомиться")</f>
        <v>Ознакомиться</v>
      </c>
      <c r="W2034" s="8" t="s">
        <v>12467</v>
      </c>
      <c r="X2034" s="6" t="s">
        <v>785</v>
      </c>
      <c r="Y2034" s="6"/>
      <c r="Z2034" s="6" t="s">
        <v>104</v>
      </c>
      <c r="AA2034" s="6" t="s">
        <v>61</v>
      </c>
      <c r="AB2034" s="8"/>
    </row>
    <row r="2035" spans="1:28" s="4" customFormat="1" ht="51.95" customHeight="1">
      <c r="A2035" s="5">
        <v>0</v>
      </c>
      <c r="B2035" s="6" t="s">
        <v>12468</v>
      </c>
      <c r="C2035" s="13">
        <v>1614</v>
      </c>
      <c r="D2035" s="8" t="s">
        <v>12469</v>
      </c>
      <c r="E2035" s="8" t="s">
        <v>12463</v>
      </c>
      <c r="F2035" s="8" t="s">
        <v>12464</v>
      </c>
      <c r="G2035" s="6" t="s">
        <v>52</v>
      </c>
      <c r="H2035" s="6" t="s">
        <v>53</v>
      </c>
      <c r="I2035" s="8" t="s">
        <v>90</v>
      </c>
      <c r="J2035" s="9">
        <v>1</v>
      </c>
      <c r="K2035" s="9">
        <v>352</v>
      </c>
      <c r="L2035" s="9">
        <v>2021</v>
      </c>
      <c r="M2035" s="8" t="s">
        <v>12470</v>
      </c>
      <c r="N2035" s="8" t="s">
        <v>41</v>
      </c>
      <c r="O2035" s="8" t="s">
        <v>278</v>
      </c>
      <c r="P2035" s="6" t="s">
        <v>167</v>
      </c>
      <c r="Q2035" s="8" t="s">
        <v>44</v>
      </c>
      <c r="R2035" s="10" t="s">
        <v>5574</v>
      </c>
      <c r="S2035" s="11" t="s">
        <v>12471</v>
      </c>
      <c r="T2035" s="6"/>
      <c r="U2035" s="24" t="str">
        <f>HYPERLINK("https://media.infra-m.ru/2101/2101548/cover/2101548.jpg", "Обложка")</f>
        <v>Обложка</v>
      </c>
      <c r="V2035" s="24" t="str">
        <f>HYPERLINK("https://znanium.ru/catalog/product/2098501", "Ознакомиться")</f>
        <v>Ознакомиться</v>
      </c>
      <c r="W2035" s="8" t="s">
        <v>12467</v>
      </c>
      <c r="X2035" s="6"/>
      <c r="Y2035" s="6"/>
      <c r="Z2035" s="6"/>
      <c r="AA2035" s="6" t="s">
        <v>219</v>
      </c>
      <c r="AB2035" s="8"/>
    </row>
    <row r="2036" spans="1:28" s="4" customFormat="1" ht="51.95" customHeight="1">
      <c r="A2036" s="5">
        <v>0</v>
      </c>
      <c r="B2036" s="6" t="s">
        <v>12472</v>
      </c>
      <c r="C2036" s="13">
        <v>1360</v>
      </c>
      <c r="D2036" s="8" t="s">
        <v>12473</v>
      </c>
      <c r="E2036" s="8" t="s">
        <v>12474</v>
      </c>
      <c r="F2036" s="8" t="s">
        <v>12475</v>
      </c>
      <c r="G2036" s="6" t="s">
        <v>89</v>
      </c>
      <c r="H2036" s="6" t="s">
        <v>77</v>
      </c>
      <c r="I2036" s="8" t="s">
        <v>77</v>
      </c>
      <c r="J2036" s="9">
        <v>1</v>
      </c>
      <c r="K2036" s="9">
        <v>282</v>
      </c>
      <c r="L2036" s="9">
        <v>2024</v>
      </c>
      <c r="M2036" s="8" t="s">
        <v>12476</v>
      </c>
      <c r="N2036" s="8" t="s">
        <v>41</v>
      </c>
      <c r="O2036" s="8" t="s">
        <v>278</v>
      </c>
      <c r="P2036" s="6" t="s">
        <v>43</v>
      </c>
      <c r="Q2036" s="8" t="s">
        <v>44</v>
      </c>
      <c r="R2036" s="10" t="s">
        <v>3432</v>
      </c>
      <c r="S2036" s="11" t="s">
        <v>12477</v>
      </c>
      <c r="T2036" s="6"/>
      <c r="U2036" s="24" t="str">
        <f>HYPERLINK("https://media.infra-m.ru/2079/2079503/cover/2079503.jpg", "Обложка")</f>
        <v>Обложка</v>
      </c>
      <c r="V2036" s="24" t="str">
        <f>HYPERLINK("https://znanium.ru/catalog/product/2079503", "Ознакомиться")</f>
        <v>Ознакомиться</v>
      </c>
      <c r="W2036" s="8" t="s">
        <v>83</v>
      </c>
      <c r="X2036" s="6"/>
      <c r="Y2036" s="6"/>
      <c r="Z2036" s="6"/>
      <c r="AA2036" s="6" t="s">
        <v>2193</v>
      </c>
      <c r="AB2036" s="8"/>
    </row>
    <row r="2037" spans="1:28" s="4" customFormat="1" ht="51.95" customHeight="1">
      <c r="A2037" s="5">
        <v>0</v>
      </c>
      <c r="B2037" s="6" t="s">
        <v>12478</v>
      </c>
      <c r="C2037" s="7">
        <v>994</v>
      </c>
      <c r="D2037" s="8" t="s">
        <v>12479</v>
      </c>
      <c r="E2037" s="8" t="s">
        <v>12480</v>
      </c>
      <c r="F2037" s="8" t="s">
        <v>1575</v>
      </c>
      <c r="G2037" s="6" t="s">
        <v>52</v>
      </c>
      <c r="H2037" s="6" t="s">
        <v>53</v>
      </c>
      <c r="I2037" s="8" t="s">
        <v>90</v>
      </c>
      <c r="J2037" s="9">
        <v>1</v>
      </c>
      <c r="K2037" s="9">
        <v>201</v>
      </c>
      <c r="L2037" s="9">
        <v>2025</v>
      </c>
      <c r="M2037" s="8" t="s">
        <v>12481</v>
      </c>
      <c r="N2037" s="8" t="s">
        <v>41</v>
      </c>
      <c r="O2037" s="8" t="s">
        <v>278</v>
      </c>
      <c r="P2037" s="6" t="s">
        <v>43</v>
      </c>
      <c r="Q2037" s="8" t="s">
        <v>279</v>
      </c>
      <c r="R2037" s="10" t="s">
        <v>12482</v>
      </c>
      <c r="S2037" s="11" t="s">
        <v>12483</v>
      </c>
      <c r="T2037" s="6"/>
      <c r="U2037" s="24" t="str">
        <f>HYPERLINK("https://media.infra-m.ru/2178/2178195/cover/2178195.jpg", "Обложка")</f>
        <v>Обложка</v>
      </c>
      <c r="V2037" s="24" t="str">
        <f>HYPERLINK("https://znanium.ru/catalog/product/1003199", "Ознакомиться")</f>
        <v>Ознакомиться</v>
      </c>
      <c r="W2037" s="8" t="s">
        <v>399</v>
      </c>
      <c r="X2037" s="6"/>
      <c r="Y2037" s="6"/>
      <c r="Z2037" s="6"/>
      <c r="AA2037" s="6" t="s">
        <v>793</v>
      </c>
      <c r="AB2037" s="8"/>
    </row>
    <row r="2038" spans="1:28" s="4" customFormat="1" ht="42" customHeight="1">
      <c r="A2038" s="5">
        <v>0</v>
      </c>
      <c r="B2038" s="6" t="s">
        <v>12484</v>
      </c>
      <c r="C2038" s="13">
        <v>1074</v>
      </c>
      <c r="D2038" s="8" t="s">
        <v>12485</v>
      </c>
      <c r="E2038" s="8" t="s">
        <v>12486</v>
      </c>
      <c r="F2038" s="8" t="s">
        <v>12487</v>
      </c>
      <c r="G2038" s="6" t="s">
        <v>89</v>
      </c>
      <c r="H2038" s="6" t="s">
        <v>53</v>
      </c>
      <c r="I2038" s="8" t="s">
        <v>116</v>
      </c>
      <c r="J2038" s="9">
        <v>1</v>
      </c>
      <c r="K2038" s="9">
        <v>214</v>
      </c>
      <c r="L2038" s="9">
        <v>2025</v>
      </c>
      <c r="M2038" s="8" t="s">
        <v>12488</v>
      </c>
      <c r="N2038" s="8" t="s">
        <v>41</v>
      </c>
      <c r="O2038" s="8" t="s">
        <v>278</v>
      </c>
      <c r="P2038" s="6" t="s">
        <v>167</v>
      </c>
      <c r="Q2038" s="8" t="s">
        <v>44</v>
      </c>
      <c r="R2038" s="10" t="s">
        <v>8386</v>
      </c>
      <c r="S2038" s="11"/>
      <c r="T2038" s="6"/>
      <c r="U2038" s="24" t="str">
        <f>HYPERLINK("https://media.infra-m.ru/2191/2191253/cover/2191253.jpg", "Обложка")</f>
        <v>Обложка</v>
      </c>
      <c r="V2038" s="24" t="str">
        <f>HYPERLINK("https://znanium.ru/catalog/product/2134041", "Ознакомиться")</f>
        <v>Ознакомиться</v>
      </c>
      <c r="W2038" s="8"/>
      <c r="X2038" s="6"/>
      <c r="Y2038" s="6"/>
      <c r="Z2038" s="6"/>
      <c r="AA2038" s="6" t="s">
        <v>72</v>
      </c>
      <c r="AB2038" s="8"/>
    </row>
    <row r="2039" spans="1:28" s="4" customFormat="1" ht="51.95" customHeight="1">
      <c r="A2039" s="5">
        <v>0</v>
      </c>
      <c r="B2039" s="6" t="s">
        <v>12489</v>
      </c>
      <c r="C2039" s="13">
        <v>1070</v>
      </c>
      <c r="D2039" s="8" t="s">
        <v>12490</v>
      </c>
      <c r="E2039" s="8" t="s">
        <v>12486</v>
      </c>
      <c r="F2039" s="8" t="s">
        <v>12487</v>
      </c>
      <c r="G2039" s="6" t="s">
        <v>89</v>
      </c>
      <c r="H2039" s="6" t="s">
        <v>53</v>
      </c>
      <c r="I2039" s="8" t="s">
        <v>100</v>
      </c>
      <c r="J2039" s="9">
        <v>1</v>
      </c>
      <c r="K2039" s="9">
        <v>214</v>
      </c>
      <c r="L2039" s="9">
        <v>2025</v>
      </c>
      <c r="M2039" s="8" t="s">
        <v>12491</v>
      </c>
      <c r="N2039" s="8" t="s">
        <v>41</v>
      </c>
      <c r="O2039" s="8" t="s">
        <v>278</v>
      </c>
      <c r="P2039" s="6" t="s">
        <v>167</v>
      </c>
      <c r="Q2039" s="8" t="s">
        <v>102</v>
      </c>
      <c r="R2039" s="10" t="s">
        <v>2779</v>
      </c>
      <c r="S2039" s="11" t="s">
        <v>5058</v>
      </c>
      <c r="T2039" s="6"/>
      <c r="U2039" s="24" t="str">
        <f>HYPERLINK("https://media.infra-m.ru/2071/2071639/cover/2071639.jpg", "Обложка")</f>
        <v>Обложка</v>
      </c>
      <c r="V2039" s="24" t="str">
        <f>HYPERLINK("https://znanium.ru/catalog/product/2071639", "Ознакомиться")</f>
        <v>Ознакомиться</v>
      </c>
      <c r="W2039" s="8"/>
      <c r="X2039" s="6"/>
      <c r="Y2039" s="6"/>
      <c r="Z2039" s="6" t="s">
        <v>104</v>
      </c>
      <c r="AA2039" s="6" t="s">
        <v>151</v>
      </c>
      <c r="AB2039" s="8"/>
    </row>
    <row r="2040" spans="1:28" s="4" customFormat="1" ht="51.95" customHeight="1">
      <c r="A2040" s="5">
        <v>0</v>
      </c>
      <c r="B2040" s="6" t="s">
        <v>12492</v>
      </c>
      <c r="C2040" s="13">
        <v>1644</v>
      </c>
      <c r="D2040" s="8" t="s">
        <v>12493</v>
      </c>
      <c r="E2040" s="8" t="s">
        <v>12486</v>
      </c>
      <c r="F2040" s="8" t="s">
        <v>12494</v>
      </c>
      <c r="G2040" s="6" t="s">
        <v>52</v>
      </c>
      <c r="H2040" s="6" t="s">
        <v>53</v>
      </c>
      <c r="I2040" s="8" t="s">
        <v>90</v>
      </c>
      <c r="J2040" s="9">
        <v>1</v>
      </c>
      <c r="K2040" s="9">
        <v>316</v>
      </c>
      <c r="L2040" s="9">
        <v>2025</v>
      </c>
      <c r="M2040" s="8" t="s">
        <v>12495</v>
      </c>
      <c r="N2040" s="8" t="s">
        <v>41</v>
      </c>
      <c r="O2040" s="8" t="s">
        <v>278</v>
      </c>
      <c r="P2040" s="6" t="s">
        <v>43</v>
      </c>
      <c r="Q2040" s="8" t="s">
        <v>44</v>
      </c>
      <c r="R2040" s="10" t="s">
        <v>8386</v>
      </c>
      <c r="S2040" s="11" t="s">
        <v>12496</v>
      </c>
      <c r="T2040" s="6"/>
      <c r="U2040" s="24" t="str">
        <f>HYPERLINK("https://media.infra-m.ru/2193/2193172/cover/2193172.jpg", "Обложка")</f>
        <v>Обложка</v>
      </c>
      <c r="V2040" s="24" t="str">
        <f>HYPERLINK("https://znanium.ru/catalog/product/1838405", "Ознакомиться")</f>
        <v>Ознакомиться</v>
      </c>
      <c r="W2040" s="8" t="s">
        <v>71</v>
      </c>
      <c r="X2040" s="6"/>
      <c r="Y2040" s="6"/>
      <c r="Z2040" s="6"/>
      <c r="AA2040" s="6" t="s">
        <v>622</v>
      </c>
      <c r="AB2040" s="8"/>
    </row>
    <row r="2041" spans="1:28" s="4" customFormat="1" ht="42" customHeight="1">
      <c r="A2041" s="5">
        <v>0</v>
      </c>
      <c r="B2041" s="6" t="s">
        <v>12497</v>
      </c>
      <c r="C2041" s="13">
        <v>1844</v>
      </c>
      <c r="D2041" s="8" t="s">
        <v>12498</v>
      </c>
      <c r="E2041" s="8" t="s">
        <v>12499</v>
      </c>
      <c r="F2041" s="8" t="s">
        <v>12500</v>
      </c>
      <c r="G2041" s="6" t="s">
        <v>52</v>
      </c>
      <c r="H2041" s="6" t="s">
        <v>53</v>
      </c>
      <c r="I2041" s="8" t="s">
        <v>276</v>
      </c>
      <c r="J2041" s="9">
        <v>1</v>
      </c>
      <c r="K2041" s="9">
        <v>392</v>
      </c>
      <c r="L2041" s="9">
        <v>2024</v>
      </c>
      <c r="M2041" s="8" t="s">
        <v>12501</v>
      </c>
      <c r="N2041" s="8" t="s">
        <v>41</v>
      </c>
      <c r="O2041" s="8" t="s">
        <v>278</v>
      </c>
      <c r="P2041" s="6" t="s">
        <v>43</v>
      </c>
      <c r="Q2041" s="8" t="s">
        <v>279</v>
      </c>
      <c r="R2041" s="10" t="s">
        <v>12502</v>
      </c>
      <c r="S2041" s="11"/>
      <c r="T2041" s="6"/>
      <c r="U2041" s="24" t="str">
        <f>HYPERLINK("https://media.infra-m.ru/2152/2152119/cover/2152119.jpg", "Обложка")</f>
        <v>Обложка</v>
      </c>
      <c r="V2041" s="24" t="str">
        <f>HYPERLINK("https://znanium.ru/catalog/product/2149198", "Ознакомиться")</f>
        <v>Ознакомиться</v>
      </c>
      <c r="W2041" s="8"/>
      <c r="X2041" s="6"/>
      <c r="Y2041" s="6"/>
      <c r="Z2041" s="6"/>
      <c r="AA2041" s="6" t="s">
        <v>95</v>
      </c>
      <c r="AB2041" s="8"/>
    </row>
    <row r="2042" spans="1:28" s="4" customFormat="1" ht="42" customHeight="1">
      <c r="A2042" s="5">
        <v>0</v>
      </c>
      <c r="B2042" s="6" t="s">
        <v>12503</v>
      </c>
      <c r="C2042" s="13">
        <v>1000</v>
      </c>
      <c r="D2042" s="8" t="s">
        <v>12504</v>
      </c>
      <c r="E2042" s="8" t="s">
        <v>12505</v>
      </c>
      <c r="F2042" s="8" t="s">
        <v>12506</v>
      </c>
      <c r="G2042" s="6" t="s">
        <v>89</v>
      </c>
      <c r="H2042" s="6" t="s">
        <v>77</v>
      </c>
      <c r="I2042" s="8"/>
      <c r="J2042" s="9">
        <v>1</v>
      </c>
      <c r="K2042" s="9">
        <v>216</v>
      </c>
      <c r="L2042" s="9">
        <v>2024</v>
      </c>
      <c r="M2042" s="8" t="s">
        <v>12507</v>
      </c>
      <c r="N2042" s="8" t="s">
        <v>41</v>
      </c>
      <c r="O2042" s="8" t="s">
        <v>278</v>
      </c>
      <c r="P2042" s="6" t="s">
        <v>187</v>
      </c>
      <c r="Q2042" s="8" t="s">
        <v>44</v>
      </c>
      <c r="R2042" s="10" t="s">
        <v>7543</v>
      </c>
      <c r="S2042" s="11"/>
      <c r="T2042" s="6"/>
      <c r="U2042" s="24" t="str">
        <f>HYPERLINK("https://media.infra-m.ru/2124/2124356/cover/2124356.jpg", "Обложка")</f>
        <v>Обложка</v>
      </c>
      <c r="V2042" s="24" t="str">
        <f>HYPERLINK("https://znanium.ru/catalog/product/2124356", "Ознакомиться")</f>
        <v>Ознакомиться</v>
      </c>
      <c r="W2042" s="8" t="s">
        <v>4503</v>
      </c>
      <c r="X2042" s="6"/>
      <c r="Y2042" s="6"/>
      <c r="Z2042" s="6"/>
      <c r="AA2042" s="6" t="s">
        <v>418</v>
      </c>
      <c r="AB2042" s="8"/>
    </row>
    <row r="2043" spans="1:28" s="4" customFormat="1" ht="51.95" customHeight="1">
      <c r="A2043" s="5">
        <v>0</v>
      </c>
      <c r="B2043" s="6" t="s">
        <v>12508</v>
      </c>
      <c r="C2043" s="7">
        <v>900</v>
      </c>
      <c r="D2043" s="8" t="s">
        <v>12509</v>
      </c>
      <c r="E2043" s="8" t="s">
        <v>12510</v>
      </c>
      <c r="F2043" s="8" t="s">
        <v>12511</v>
      </c>
      <c r="G2043" s="6" t="s">
        <v>89</v>
      </c>
      <c r="H2043" s="6" t="s">
        <v>53</v>
      </c>
      <c r="I2043" s="8" t="s">
        <v>100</v>
      </c>
      <c r="J2043" s="9">
        <v>1</v>
      </c>
      <c r="K2043" s="9">
        <v>236</v>
      </c>
      <c r="L2043" s="9">
        <v>2022</v>
      </c>
      <c r="M2043" s="8" t="s">
        <v>12512</v>
      </c>
      <c r="N2043" s="8" t="s">
        <v>41</v>
      </c>
      <c r="O2043" s="8" t="s">
        <v>278</v>
      </c>
      <c r="P2043" s="6" t="s">
        <v>43</v>
      </c>
      <c r="Q2043" s="8" t="s">
        <v>102</v>
      </c>
      <c r="R2043" s="10" t="s">
        <v>1801</v>
      </c>
      <c r="S2043" s="11" t="s">
        <v>12513</v>
      </c>
      <c r="T2043" s="6"/>
      <c r="U2043" s="24" t="str">
        <f>HYPERLINK("https://media.infra-m.ru/1855/1855778/cover/1855778.jpg", "Обложка")</f>
        <v>Обложка</v>
      </c>
      <c r="V2043" s="24" t="str">
        <f>HYPERLINK("https://znanium.ru/catalog/product/1855778", "Ознакомиться")</f>
        <v>Ознакомиться</v>
      </c>
      <c r="W2043" s="8" t="s">
        <v>243</v>
      </c>
      <c r="X2043" s="6"/>
      <c r="Y2043" s="6"/>
      <c r="Z2043" s="6" t="s">
        <v>104</v>
      </c>
      <c r="AA2043" s="6" t="s">
        <v>793</v>
      </c>
      <c r="AB2043" s="8"/>
    </row>
    <row r="2044" spans="1:28" s="4" customFormat="1" ht="51.95" customHeight="1">
      <c r="A2044" s="5">
        <v>0</v>
      </c>
      <c r="B2044" s="6" t="s">
        <v>12514</v>
      </c>
      <c r="C2044" s="13">
        <v>1184</v>
      </c>
      <c r="D2044" s="8" t="s">
        <v>12515</v>
      </c>
      <c r="E2044" s="8" t="s">
        <v>12510</v>
      </c>
      <c r="F2044" s="8" t="s">
        <v>12511</v>
      </c>
      <c r="G2044" s="6" t="s">
        <v>52</v>
      </c>
      <c r="H2044" s="6" t="s">
        <v>53</v>
      </c>
      <c r="I2044" s="8" t="s">
        <v>90</v>
      </c>
      <c r="J2044" s="9">
        <v>1</v>
      </c>
      <c r="K2044" s="9">
        <v>236</v>
      </c>
      <c r="L2044" s="9">
        <v>2025</v>
      </c>
      <c r="M2044" s="8" t="s">
        <v>12516</v>
      </c>
      <c r="N2044" s="8" t="s">
        <v>41</v>
      </c>
      <c r="O2044" s="8" t="s">
        <v>278</v>
      </c>
      <c r="P2044" s="6" t="s">
        <v>43</v>
      </c>
      <c r="Q2044" s="8" t="s">
        <v>44</v>
      </c>
      <c r="R2044" s="10" t="s">
        <v>5581</v>
      </c>
      <c r="S2044" s="11" t="s">
        <v>12517</v>
      </c>
      <c r="T2044" s="6"/>
      <c r="U2044" s="24" t="str">
        <f>HYPERLINK("https://media.infra-m.ru/2182/2182621/cover/2182621.jpg", "Обложка")</f>
        <v>Обложка</v>
      </c>
      <c r="V2044" s="24" t="str">
        <f>HYPERLINK("https://znanium.ru/catalog/product/1855502", "Ознакомиться")</f>
        <v>Ознакомиться</v>
      </c>
      <c r="W2044" s="8" t="s">
        <v>243</v>
      </c>
      <c r="X2044" s="6"/>
      <c r="Y2044" s="6"/>
      <c r="Z2044" s="6"/>
      <c r="AA2044" s="6" t="s">
        <v>258</v>
      </c>
      <c r="AB2044" s="8"/>
    </row>
    <row r="2045" spans="1:28" s="4" customFormat="1" ht="51.95" customHeight="1">
      <c r="A2045" s="5">
        <v>0</v>
      </c>
      <c r="B2045" s="6" t="s">
        <v>12518</v>
      </c>
      <c r="C2045" s="7">
        <v>634</v>
      </c>
      <c r="D2045" s="8" t="s">
        <v>12519</v>
      </c>
      <c r="E2045" s="8" t="s">
        <v>12520</v>
      </c>
      <c r="F2045" s="8" t="s">
        <v>12521</v>
      </c>
      <c r="G2045" s="6" t="s">
        <v>52</v>
      </c>
      <c r="H2045" s="6" t="s">
        <v>184</v>
      </c>
      <c r="I2045" s="8" t="s">
        <v>90</v>
      </c>
      <c r="J2045" s="9">
        <v>1</v>
      </c>
      <c r="K2045" s="9">
        <v>133</v>
      </c>
      <c r="L2045" s="9">
        <v>2024</v>
      </c>
      <c r="M2045" s="8" t="s">
        <v>12522</v>
      </c>
      <c r="N2045" s="8" t="s">
        <v>41</v>
      </c>
      <c r="O2045" s="8" t="s">
        <v>278</v>
      </c>
      <c r="P2045" s="6" t="s">
        <v>43</v>
      </c>
      <c r="Q2045" s="8" t="s">
        <v>44</v>
      </c>
      <c r="R2045" s="10" t="s">
        <v>12523</v>
      </c>
      <c r="S2045" s="11"/>
      <c r="T2045" s="6"/>
      <c r="U2045" s="24" t="str">
        <f>HYPERLINK("https://media.infra-m.ru/2096/2096796/cover/2096796.jpg", "Обложка")</f>
        <v>Обложка</v>
      </c>
      <c r="V2045" s="24" t="str">
        <f>HYPERLINK("https://znanium.ru/catalog/product/1012418", "Ознакомиться")</f>
        <v>Ознакомиться</v>
      </c>
      <c r="W2045" s="8" t="s">
        <v>6489</v>
      </c>
      <c r="X2045" s="6"/>
      <c r="Y2045" s="6"/>
      <c r="Z2045" s="6"/>
      <c r="AA2045" s="6" t="s">
        <v>47</v>
      </c>
      <c r="AB2045" s="8"/>
    </row>
    <row r="2046" spans="1:28" s="4" customFormat="1" ht="42" customHeight="1">
      <c r="A2046" s="5">
        <v>0</v>
      </c>
      <c r="B2046" s="6" t="s">
        <v>12524</v>
      </c>
      <c r="C2046" s="13">
        <v>1694</v>
      </c>
      <c r="D2046" s="8" t="s">
        <v>12525</v>
      </c>
      <c r="E2046" s="8" t="s">
        <v>12526</v>
      </c>
      <c r="F2046" s="8" t="s">
        <v>309</v>
      </c>
      <c r="G2046" s="6" t="s">
        <v>52</v>
      </c>
      <c r="H2046" s="6" t="s">
        <v>77</v>
      </c>
      <c r="I2046" s="8"/>
      <c r="J2046" s="9">
        <v>1</v>
      </c>
      <c r="K2046" s="9">
        <v>368</v>
      </c>
      <c r="L2046" s="9">
        <v>2024</v>
      </c>
      <c r="M2046" s="8" t="s">
        <v>12527</v>
      </c>
      <c r="N2046" s="8" t="s">
        <v>41</v>
      </c>
      <c r="O2046" s="8" t="s">
        <v>278</v>
      </c>
      <c r="P2046" s="6" t="s">
        <v>167</v>
      </c>
      <c r="Q2046" s="8" t="s">
        <v>279</v>
      </c>
      <c r="R2046" s="10" t="s">
        <v>12528</v>
      </c>
      <c r="S2046" s="11"/>
      <c r="T2046" s="6" t="s">
        <v>299</v>
      </c>
      <c r="U2046" s="24" t="str">
        <f>HYPERLINK("https://media.infra-m.ru/2084/2084405/cover/2084405.jpg", "Обложка")</f>
        <v>Обложка</v>
      </c>
      <c r="V2046" s="24" t="str">
        <f>HYPERLINK("https://znanium.ru/catalog/product/937984", "Ознакомиться")</f>
        <v>Ознакомиться</v>
      </c>
      <c r="W2046" s="8" t="s">
        <v>83</v>
      </c>
      <c r="X2046" s="6"/>
      <c r="Y2046" s="6"/>
      <c r="Z2046" s="6"/>
      <c r="AA2046" s="6" t="s">
        <v>418</v>
      </c>
      <c r="AB2046" s="8"/>
    </row>
    <row r="2047" spans="1:28" s="4" customFormat="1" ht="51.95" customHeight="1">
      <c r="A2047" s="5">
        <v>0</v>
      </c>
      <c r="B2047" s="6" t="s">
        <v>12529</v>
      </c>
      <c r="C2047" s="7">
        <v>920</v>
      </c>
      <c r="D2047" s="8" t="s">
        <v>12530</v>
      </c>
      <c r="E2047" s="8" t="s">
        <v>12531</v>
      </c>
      <c r="F2047" s="8" t="s">
        <v>12532</v>
      </c>
      <c r="G2047" s="6" t="s">
        <v>52</v>
      </c>
      <c r="H2047" s="6" t="s">
        <v>53</v>
      </c>
      <c r="I2047" s="8" t="s">
        <v>276</v>
      </c>
      <c r="J2047" s="9">
        <v>1</v>
      </c>
      <c r="K2047" s="9">
        <v>181</v>
      </c>
      <c r="L2047" s="9">
        <v>2025</v>
      </c>
      <c r="M2047" s="8" t="s">
        <v>12533</v>
      </c>
      <c r="N2047" s="8" t="s">
        <v>41</v>
      </c>
      <c r="O2047" s="8" t="s">
        <v>278</v>
      </c>
      <c r="P2047" s="6" t="s">
        <v>167</v>
      </c>
      <c r="Q2047" s="8" t="s">
        <v>279</v>
      </c>
      <c r="R2047" s="10" t="s">
        <v>12534</v>
      </c>
      <c r="S2047" s="11"/>
      <c r="T2047" s="6"/>
      <c r="U2047" s="24" t="str">
        <f>HYPERLINK("https://media.infra-m.ru/2049/2049715/cover/2049715.jpg", "Обложка")</f>
        <v>Обложка</v>
      </c>
      <c r="V2047" s="24" t="str">
        <f>HYPERLINK("https://znanium.ru/catalog/product/2049715", "Ознакомиться")</f>
        <v>Ознакомиться</v>
      </c>
      <c r="W2047" s="8" t="s">
        <v>12535</v>
      </c>
      <c r="X2047" s="6" t="s">
        <v>389</v>
      </c>
      <c r="Y2047" s="6"/>
      <c r="Z2047" s="6"/>
      <c r="AA2047" s="6" t="s">
        <v>61</v>
      </c>
      <c r="AB2047" s="8"/>
    </row>
    <row r="2048" spans="1:28" s="4" customFormat="1" ht="51.95" customHeight="1">
      <c r="A2048" s="5">
        <v>0</v>
      </c>
      <c r="B2048" s="6" t="s">
        <v>12536</v>
      </c>
      <c r="C2048" s="7">
        <v>934.9</v>
      </c>
      <c r="D2048" s="8" t="s">
        <v>12537</v>
      </c>
      <c r="E2048" s="8" t="s">
        <v>12538</v>
      </c>
      <c r="F2048" s="8" t="s">
        <v>12539</v>
      </c>
      <c r="G2048" s="6" t="s">
        <v>52</v>
      </c>
      <c r="H2048" s="6" t="s">
        <v>53</v>
      </c>
      <c r="I2048" s="8" t="s">
        <v>90</v>
      </c>
      <c r="J2048" s="9">
        <v>1</v>
      </c>
      <c r="K2048" s="9">
        <v>207</v>
      </c>
      <c r="L2048" s="9">
        <v>2023</v>
      </c>
      <c r="M2048" s="8" t="s">
        <v>12540</v>
      </c>
      <c r="N2048" s="8" t="s">
        <v>41</v>
      </c>
      <c r="O2048" s="8" t="s">
        <v>278</v>
      </c>
      <c r="P2048" s="6" t="s">
        <v>43</v>
      </c>
      <c r="Q2048" s="8" t="s">
        <v>44</v>
      </c>
      <c r="R2048" s="10" t="s">
        <v>12541</v>
      </c>
      <c r="S2048" s="11" t="s">
        <v>12542</v>
      </c>
      <c r="T2048" s="6"/>
      <c r="U2048" s="24" t="str">
        <f>HYPERLINK("https://media.infra-m.ru/2044/2044351/cover/2044351.jpg", "Обложка")</f>
        <v>Обложка</v>
      </c>
      <c r="V2048" s="24" t="str">
        <f>HYPERLINK("https://znanium.ru/catalog/product/1010090", "Ознакомиться")</f>
        <v>Ознакомиться</v>
      </c>
      <c r="W2048" s="8" t="s">
        <v>12543</v>
      </c>
      <c r="X2048" s="6"/>
      <c r="Y2048" s="6"/>
      <c r="Z2048" s="6"/>
      <c r="AA2048" s="6" t="s">
        <v>122</v>
      </c>
      <c r="AB2048" s="8"/>
    </row>
    <row r="2049" spans="1:28" s="4" customFormat="1" ht="51.95" customHeight="1">
      <c r="A2049" s="5">
        <v>0</v>
      </c>
      <c r="B2049" s="6" t="s">
        <v>12544</v>
      </c>
      <c r="C2049" s="7">
        <v>680</v>
      </c>
      <c r="D2049" s="8" t="s">
        <v>12545</v>
      </c>
      <c r="E2049" s="8" t="s">
        <v>12546</v>
      </c>
      <c r="F2049" s="8" t="s">
        <v>12547</v>
      </c>
      <c r="G2049" s="6" t="s">
        <v>38</v>
      </c>
      <c r="H2049" s="6" t="s">
        <v>39</v>
      </c>
      <c r="I2049" s="8" t="s">
        <v>185</v>
      </c>
      <c r="J2049" s="9">
        <v>1</v>
      </c>
      <c r="K2049" s="9">
        <v>144</v>
      </c>
      <c r="L2049" s="9">
        <v>2024</v>
      </c>
      <c r="M2049" s="8" t="s">
        <v>12548</v>
      </c>
      <c r="N2049" s="8" t="s">
        <v>41</v>
      </c>
      <c r="O2049" s="8" t="s">
        <v>278</v>
      </c>
      <c r="P2049" s="6" t="s">
        <v>43</v>
      </c>
      <c r="Q2049" s="8" t="s">
        <v>102</v>
      </c>
      <c r="R2049" s="10" t="s">
        <v>1763</v>
      </c>
      <c r="S2049" s="11" t="s">
        <v>4480</v>
      </c>
      <c r="T2049" s="6"/>
      <c r="U2049" s="24" t="str">
        <f>HYPERLINK("https://media.infra-m.ru/1853/1853642/cover/1853642.jpg", "Обложка")</f>
        <v>Обложка</v>
      </c>
      <c r="V2049" s="24" t="str">
        <f>HYPERLINK("https://znanium.ru/catalog/product/1853642", "Ознакомиться")</f>
        <v>Ознакомиться</v>
      </c>
      <c r="W2049" s="8" t="s">
        <v>159</v>
      </c>
      <c r="X2049" s="6"/>
      <c r="Y2049" s="6"/>
      <c r="Z2049" s="6"/>
      <c r="AA2049" s="6" t="s">
        <v>494</v>
      </c>
      <c r="AB2049" s="8"/>
    </row>
    <row r="2050" spans="1:28" s="4" customFormat="1" ht="42" customHeight="1">
      <c r="A2050" s="5">
        <v>0</v>
      </c>
      <c r="B2050" s="6" t="s">
        <v>12549</v>
      </c>
      <c r="C2050" s="7">
        <v>730</v>
      </c>
      <c r="D2050" s="8" t="s">
        <v>12550</v>
      </c>
      <c r="E2050" s="8" t="s">
        <v>12551</v>
      </c>
      <c r="F2050" s="8" t="s">
        <v>12552</v>
      </c>
      <c r="G2050" s="6" t="s">
        <v>89</v>
      </c>
      <c r="H2050" s="6" t="s">
        <v>77</v>
      </c>
      <c r="I2050" s="8" t="s">
        <v>116</v>
      </c>
      <c r="J2050" s="9">
        <v>1</v>
      </c>
      <c r="K2050" s="9">
        <v>159</v>
      </c>
      <c r="L2050" s="9">
        <v>2024</v>
      </c>
      <c r="M2050" s="8" t="s">
        <v>12553</v>
      </c>
      <c r="N2050" s="8" t="s">
        <v>41</v>
      </c>
      <c r="O2050" s="8" t="s">
        <v>278</v>
      </c>
      <c r="P2050" s="6" t="s">
        <v>43</v>
      </c>
      <c r="Q2050" s="8" t="s">
        <v>58</v>
      </c>
      <c r="R2050" s="10" t="s">
        <v>12554</v>
      </c>
      <c r="S2050" s="11"/>
      <c r="T2050" s="6"/>
      <c r="U2050" s="24" t="str">
        <f>HYPERLINK("https://media.infra-m.ru/2078/2078370/cover/2078370.jpg", "Обложка")</f>
        <v>Обложка</v>
      </c>
      <c r="V2050" s="24" t="str">
        <f>HYPERLINK("https://znanium.ru/catalog/product/2078370", "Ознакомиться")</f>
        <v>Ознакомиться</v>
      </c>
      <c r="W2050" s="8" t="s">
        <v>189</v>
      </c>
      <c r="X2050" s="6"/>
      <c r="Y2050" s="6"/>
      <c r="Z2050" s="6"/>
      <c r="AA2050" s="6" t="s">
        <v>622</v>
      </c>
      <c r="AB2050" s="8"/>
    </row>
    <row r="2051" spans="1:28" s="4" customFormat="1" ht="51.95" customHeight="1">
      <c r="A2051" s="5">
        <v>0</v>
      </c>
      <c r="B2051" s="6" t="s">
        <v>12555</v>
      </c>
      <c r="C2051" s="7">
        <v>804</v>
      </c>
      <c r="D2051" s="8" t="s">
        <v>12556</v>
      </c>
      <c r="E2051" s="8" t="s">
        <v>12551</v>
      </c>
      <c r="F2051" s="8" t="s">
        <v>12557</v>
      </c>
      <c r="G2051" s="6" t="s">
        <v>52</v>
      </c>
      <c r="H2051" s="6" t="s">
        <v>77</v>
      </c>
      <c r="I2051" s="8" t="s">
        <v>100</v>
      </c>
      <c r="J2051" s="9">
        <v>1</v>
      </c>
      <c r="K2051" s="9">
        <v>159</v>
      </c>
      <c r="L2051" s="9">
        <v>2025</v>
      </c>
      <c r="M2051" s="8" t="s">
        <v>12558</v>
      </c>
      <c r="N2051" s="8" t="s">
        <v>41</v>
      </c>
      <c r="O2051" s="8" t="s">
        <v>278</v>
      </c>
      <c r="P2051" s="6" t="s">
        <v>43</v>
      </c>
      <c r="Q2051" s="8" t="s">
        <v>102</v>
      </c>
      <c r="R2051" s="10" t="s">
        <v>9516</v>
      </c>
      <c r="S2051" s="11" t="s">
        <v>12559</v>
      </c>
      <c r="T2051" s="6"/>
      <c r="U2051" s="24" t="str">
        <f>HYPERLINK("https://media.infra-m.ru/2187/2187246/cover/2187246.jpg", "Обложка")</f>
        <v>Обложка</v>
      </c>
      <c r="V2051" s="24" t="str">
        <f>HYPERLINK("https://znanium.ru/catalog/product/2183864", "Ознакомиться")</f>
        <v>Ознакомиться</v>
      </c>
      <c r="W2051" s="8" t="s">
        <v>189</v>
      </c>
      <c r="X2051" s="6"/>
      <c r="Y2051" s="6"/>
      <c r="Z2051" s="6" t="s">
        <v>502</v>
      </c>
      <c r="AA2051" s="6" t="s">
        <v>235</v>
      </c>
      <c r="AB2051" s="8"/>
    </row>
    <row r="2052" spans="1:28" s="4" customFormat="1" ht="44.1" customHeight="1">
      <c r="A2052" s="5">
        <v>0</v>
      </c>
      <c r="B2052" s="6" t="s">
        <v>12560</v>
      </c>
      <c r="C2052" s="7">
        <v>644</v>
      </c>
      <c r="D2052" s="8" t="s">
        <v>12561</v>
      </c>
      <c r="E2052" s="8" t="s">
        <v>12562</v>
      </c>
      <c r="F2052" s="8" t="s">
        <v>12563</v>
      </c>
      <c r="G2052" s="6" t="s">
        <v>52</v>
      </c>
      <c r="H2052" s="6" t="s">
        <v>952</v>
      </c>
      <c r="I2052" s="8"/>
      <c r="J2052" s="9">
        <v>1</v>
      </c>
      <c r="K2052" s="9">
        <v>124</v>
      </c>
      <c r="L2052" s="9">
        <v>2025</v>
      </c>
      <c r="M2052" s="8" t="s">
        <v>12564</v>
      </c>
      <c r="N2052" s="8" t="s">
        <v>41</v>
      </c>
      <c r="O2052" s="8" t="s">
        <v>278</v>
      </c>
      <c r="P2052" s="6" t="s">
        <v>43</v>
      </c>
      <c r="Q2052" s="8" t="s">
        <v>58</v>
      </c>
      <c r="R2052" s="10" t="s">
        <v>1251</v>
      </c>
      <c r="S2052" s="11"/>
      <c r="T2052" s="6"/>
      <c r="U2052" s="24" t="str">
        <f>HYPERLINK("https://media.infra-m.ru/2192/2192780/cover/2192780.jpg", "Обложка")</f>
        <v>Обложка</v>
      </c>
      <c r="V2052" s="24" t="str">
        <f>HYPERLINK("https://znanium.ru/catalog/product/2023951", "Ознакомиться")</f>
        <v>Ознакомиться</v>
      </c>
      <c r="W2052" s="8" t="s">
        <v>1345</v>
      </c>
      <c r="X2052" s="6"/>
      <c r="Y2052" s="6"/>
      <c r="Z2052" s="6"/>
      <c r="AA2052" s="6" t="s">
        <v>207</v>
      </c>
      <c r="AB2052" s="8"/>
    </row>
    <row r="2053" spans="1:28" s="4" customFormat="1" ht="51.95" customHeight="1">
      <c r="A2053" s="5">
        <v>0</v>
      </c>
      <c r="B2053" s="6" t="s">
        <v>12565</v>
      </c>
      <c r="C2053" s="7">
        <v>864.9</v>
      </c>
      <c r="D2053" s="8" t="s">
        <v>12566</v>
      </c>
      <c r="E2053" s="8" t="s">
        <v>12567</v>
      </c>
      <c r="F2053" s="8" t="s">
        <v>12568</v>
      </c>
      <c r="G2053" s="6" t="s">
        <v>38</v>
      </c>
      <c r="H2053" s="6" t="s">
        <v>952</v>
      </c>
      <c r="I2053" s="8"/>
      <c r="J2053" s="9">
        <v>1</v>
      </c>
      <c r="K2053" s="9">
        <v>192</v>
      </c>
      <c r="L2053" s="9">
        <v>2023</v>
      </c>
      <c r="M2053" s="8" t="s">
        <v>12569</v>
      </c>
      <c r="N2053" s="8" t="s">
        <v>41</v>
      </c>
      <c r="O2053" s="8" t="s">
        <v>278</v>
      </c>
      <c r="P2053" s="6" t="s">
        <v>43</v>
      </c>
      <c r="Q2053" s="8" t="s">
        <v>44</v>
      </c>
      <c r="R2053" s="10" t="s">
        <v>12570</v>
      </c>
      <c r="S2053" s="11"/>
      <c r="T2053" s="6"/>
      <c r="U2053" s="24" t="str">
        <f>HYPERLINK("https://media.infra-m.ru/2044/2044342/cover/2044342.jpg", "Обложка")</f>
        <v>Обложка</v>
      </c>
      <c r="V2053" s="24" t="str">
        <f>HYPERLINK("https://znanium.ru/catalog/product/999987", "Ознакомиться")</f>
        <v>Ознакомиться</v>
      </c>
      <c r="W2053" s="8" t="s">
        <v>2463</v>
      </c>
      <c r="X2053" s="6"/>
      <c r="Y2053" s="6"/>
      <c r="Z2053" s="6"/>
      <c r="AA2053" s="6" t="s">
        <v>122</v>
      </c>
      <c r="AB2053" s="8"/>
    </row>
    <row r="2054" spans="1:28" s="4" customFormat="1" ht="51.95" customHeight="1">
      <c r="A2054" s="5">
        <v>0</v>
      </c>
      <c r="B2054" s="6" t="s">
        <v>12571</v>
      </c>
      <c r="C2054" s="13">
        <v>1124</v>
      </c>
      <c r="D2054" s="8" t="s">
        <v>12572</v>
      </c>
      <c r="E2054" s="8" t="s">
        <v>12573</v>
      </c>
      <c r="F2054" s="8" t="s">
        <v>12574</v>
      </c>
      <c r="G2054" s="6" t="s">
        <v>89</v>
      </c>
      <c r="H2054" s="6" t="s">
        <v>39</v>
      </c>
      <c r="I2054" s="8" t="s">
        <v>100</v>
      </c>
      <c r="J2054" s="9">
        <v>1</v>
      </c>
      <c r="K2054" s="9">
        <v>239</v>
      </c>
      <c r="L2054" s="9">
        <v>2024</v>
      </c>
      <c r="M2054" s="8" t="s">
        <v>12575</v>
      </c>
      <c r="N2054" s="8" t="s">
        <v>41</v>
      </c>
      <c r="O2054" s="8" t="s">
        <v>278</v>
      </c>
      <c r="P2054" s="6" t="s">
        <v>43</v>
      </c>
      <c r="Q2054" s="8" t="s">
        <v>102</v>
      </c>
      <c r="R2054" s="10" t="s">
        <v>12576</v>
      </c>
      <c r="S2054" s="11" t="s">
        <v>12577</v>
      </c>
      <c r="T2054" s="6"/>
      <c r="U2054" s="24" t="str">
        <f>HYPERLINK("https://media.infra-m.ru/2139/2139200/cover/2139200.jpg", "Обложка")</f>
        <v>Обложка</v>
      </c>
      <c r="V2054" s="24" t="str">
        <f>HYPERLINK("https://znanium.ru/catalog/product/1371939", "Ознакомиться")</f>
        <v>Ознакомиться</v>
      </c>
      <c r="W2054" s="8" t="s">
        <v>189</v>
      </c>
      <c r="X2054" s="6"/>
      <c r="Y2054" s="6"/>
      <c r="Z2054" s="6"/>
      <c r="AA2054" s="6" t="s">
        <v>377</v>
      </c>
      <c r="AB2054" s="8"/>
    </row>
    <row r="2055" spans="1:28" s="4" customFormat="1" ht="51.95" customHeight="1">
      <c r="A2055" s="5">
        <v>0</v>
      </c>
      <c r="B2055" s="6" t="s">
        <v>12578</v>
      </c>
      <c r="C2055" s="13">
        <v>1834</v>
      </c>
      <c r="D2055" s="8" t="s">
        <v>12579</v>
      </c>
      <c r="E2055" s="8" t="s">
        <v>12580</v>
      </c>
      <c r="F2055" s="8" t="s">
        <v>12581</v>
      </c>
      <c r="G2055" s="6" t="s">
        <v>52</v>
      </c>
      <c r="H2055" s="6" t="s">
        <v>649</v>
      </c>
      <c r="I2055" s="8" t="s">
        <v>185</v>
      </c>
      <c r="J2055" s="9">
        <v>1</v>
      </c>
      <c r="K2055" s="9">
        <v>352</v>
      </c>
      <c r="L2055" s="9">
        <v>2025</v>
      </c>
      <c r="M2055" s="8" t="s">
        <v>12582</v>
      </c>
      <c r="N2055" s="8" t="s">
        <v>41</v>
      </c>
      <c r="O2055" s="8" t="s">
        <v>278</v>
      </c>
      <c r="P2055" s="6" t="s">
        <v>43</v>
      </c>
      <c r="Q2055" s="8" t="s">
        <v>102</v>
      </c>
      <c r="R2055" s="10" t="s">
        <v>2779</v>
      </c>
      <c r="S2055" s="11" t="s">
        <v>12583</v>
      </c>
      <c r="T2055" s="6"/>
      <c r="U2055" s="24" t="str">
        <f>HYPERLINK("https://media.infra-m.ru/2193/2193160/cover/2193160.jpg", "Обложка")</f>
        <v>Обложка</v>
      </c>
      <c r="V2055" s="12"/>
      <c r="W2055" s="8" t="s">
        <v>1345</v>
      </c>
      <c r="X2055" s="6"/>
      <c r="Y2055" s="6"/>
      <c r="Z2055" s="6"/>
      <c r="AA2055" s="6" t="s">
        <v>622</v>
      </c>
      <c r="AB2055" s="8"/>
    </row>
    <row r="2056" spans="1:28" s="4" customFormat="1" ht="51.95" customHeight="1">
      <c r="A2056" s="5">
        <v>0</v>
      </c>
      <c r="B2056" s="6" t="s">
        <v>12584</v>
      </c>
      <c r="C2056" s="13">
        <v>1084</v>
      </c>
      <c r="D2056" s="8" t="s">
        <v>12585</v>
      </c>
      <c r="E2056" s="8" t="s">
        <v>12586</v>
      </c>
      <c r="F2056" s="8" t="s">
        <v>12587</v>
      </c>
      <c r="G2056" s="6" t="s">
        <v>52</v>
      </c>
      <c r="H2056" s="6" t="s">
        <v>53</v>
      </c>
      <c r="I2056" s="8" t="s">
        <v>116</v>
      </c>
      <c r="J2056" s="9">
        <v>1</v>
      </c>
      <c r="K2056" s="9">
        <v>208</v>
      </c>
      <c r="L2056" s="9">
        <v>2025</v>
      </c>
      <c r="M2056" s="8" t="s">
        <v>12588</v>
      </c>
      <c r="N2056" s="8" t="s">
        <v>41</v>
      </c>
      <c r="O2056" s="8" t="s">
        <v>278</v>
      </c>
      <c r="P2056" s="6" t="s">
        <v>167</v>
      </c>
      <c r="Q2056" s="8" t="s">
        <v>44</v>
      </c>
      <c r="R2056" s="10" t="s">
        <v>12589</v>
      </c>
      <c r="S2056" s="11" t="s">
        <v>12590</v>
      </c>
      <c r="T2056" s="6"/>
      <c r="U2056" s="24" t="str">
        <f>HYPERLINK("https://media.infra-m.ru/2192/2192210/cover/2192210.jpg", "Обложка")</f>
        <v>Обложка</v>
      </c>
      <c r="V2056" s="24" t="str">
        <f>HYPERLINK("https://znanium.ru/catalog/product/1070534", "Ознакомиться")</f>
        <v>Ознакомиться</v>
      </c>
      <c r="W2056" s="8" t="s">
        <v>189</v>
      </c>
      <c r="X2056" s="6"/>
      <c r="Y2056" s="6"/>
      <c r="Z2056" s="6"/>
      <c r="AA2056" s="6" t="s">
        <v>122</v>
      </c>
      <c r="AB2056" s="8"/>
    </row>
    <row r="2057" spans="1:28" s="4" customFormat="1" ht="51.95" customHeight="1">
      <c r="A2057" s="5">
        <v>0</v>
      </c>
      <c r="B2057" s="6" t="s">
        <v>12591</v>
      </c>
      <c r="C2057" s="13">
        <v>1880</v>
      </c>
      <c r="D2057" s="8" t="s">
        <v>12592</v>
      </c>
      <c r="E2057" s="8" t="s">
        <v>12586</v>
      </c>
      <c r="F2057" s="8" t="s">
        <v>6057</v>
      </c>
      <c r="G2057" s="6" t="s">
        <v>52</v>
      </c>
      <c r="H2057" s="6" t="s">
        <v>53</v>
      </c>
      <c r="I2057" s="8" t="s">
        <v>116</v>
      </c>
      <c r="J2057" s="9">
        <v>1</v>
      </c>
      <c r="K2057" s="9">
        <v>364</v>
      </c>
      <c r="L2057" s="9">
        <v>2025</v>
      </c>
      <c r="M2057" s="8" t="s">
        <v>12593</v>
      </c>
      <c r="N2057" s="8" t="s">
        <v>41</v>
      </c>
      <c r="O2057" s="8" t="s">
        <v>278</v>
      </c>
      <c r="P2057" s="6" t="s">
        <v>43</v>
      </c>
      <c r="Q2057" s="8" t="s">
        <v>58</v>
      </c>
      <c r="R2057" s="10" t="s">
        <v>12594</v>
      </c>
      <c r="S2057" s="11"/>
      <c r="T2057" s="6"/>
      <c r="U2057" s="24" t="str">
        <f>HYPERLINK("https://media.infra-m.ru/2125/2125940/cover/2125940.jpg", "Обложка")</f>
        <v>Обложка</v>
      </c>
      <c r="V2057" s="24" t="str">
        <f>HYPERLINK("https://znanium.ru/catalog/product/2125940", "Ознакомиться")</f>
        <v>Ознакомиться</v>
      </c>
      <c r="W2057" s="8" t="s">
        <v>1245</v>
      </c>
      <c r="X2057" s="6" t="s">
        <v>1049</v>
      </c>
      <c r="Y2057" s="6"/>
      <c r="Z2057" s="6"/>
      <c r="AA2057" s="6" t="s">
        <v>61</v>
      </c>
      <c r="AB2057" s="8" t="s">
        <v>1159</v>
      </c>
    </row>
    <row r="2058" spans="1:28" s="4" customFormat="1" ht="51.95" customHeight="1">
      <c r="A2058" s="5">
        <v>0</v>
      </c>
      <c r="B2058" s="6" t="s">
        <v>12595</v>
      </c>
      <c r="C2058" s="13">
        <v>1010</v>
      </c>
      <c r="D2058" s="8" t="s">
        <v>12596</v>
      </c>
      <c r="E2058" s="8" t="s">
        <v>12597</v>
      </c>
      <c r="F2058" s="8" t="s">
        <v>12598</v>
      </c>
      <c r="G2058" s="6" t="s">
        <v>38</v>
      </c>
      <c r="H2058" s="6" t="s">
        <v>53</v>
      </c>
      <c r="I2058" s="8" t="s">
        <v>116</v>
      </c>
      <c r="J2058" s="9">
        <v>1</v>
      </c>
      <c r="K2058" s="9">
        <v>219</v>
      </c>
      <c r="L2058" s="9">
        <v>2024</v>
      </c>
      <c r="M2058" s="8" t="s">
        <v>12599</v>
      </c>
      <c r="N2058" s="8" t="s">
        <v>41</v>
      </c>
      <c r="O2058" s="8" t="s">
        <v>278</v>
      </c>
      <c r="P2058" s="6" t="s">
        <v>43</v>
      </c>
      <c r="Q2058" s="8" t="s">
        <v>44</v>
      </c>
      <c r="R2058" s="10" t="s">
        <v>12600</v>
      </c>
      <c r="S2058" s="11" t="s">
        <v>11276</v>
      </c>
      <c r="T2058" s="6"/>
      <c r="U2058" s="24" t="str">
        <f>HYPERLINK("https://media.infra-m.ru/2093/2093905/cover/2093905.jpg", "Обложка")</f>
        <v>Обложка</v>
      </c>
      <c r="V2058" s="24" t="str">
        <f>HYPERLINK("https://znanium.ru/catalog/product/2093905", "Ознакомиться")</f>
        <v>Ознакомиться</v>
      </c>
      <c r="W2058" s="8" t="s">
        <v>4161</v>
      </c>
      <c r="X2058" s="6"/>
      <c r="Y2058" s="6"/>
      <c r="Z2058" s="6"/>
      <c r="AA2058" s="6" t="s">
        <v>12601</v>
      </c>
      <c r="AB2058" s="8"/>
    </row>
    <row r="2059" spans="1:28" s="4" customFormat="1" ht="42" customHeight="1">
      <c r="A2059" s="5">
        <v>0</v>
      </c>
      <c r="B2059" s="6" t="s">
        <v>12602</v>
      </c>
      <c r="C2059" s="13">
        <v>2290</v>
      </c>
      <c r="D2059" s="8" t="s">
        <v>12603</v>
      </c>
      <c r="E2059" s="8" t="s">
        <v>12604</v>
      </c>
      <c r="F2059" s="8" t="s">
        <v>12605</v>
      </c>
      <c r="G2059" s="6" t="s">
        <v>89</v>
      </c>
      <c r="H2059" s="6" t="s">
        <v>952</v>
      </c>
      <c r="I2059" s="8"/>
      <c r="J2059" s="9">
        <v>1</v>
      </c>
      <c r="K2059" s="9">
        <v>512</v>
      </c>
      <c r="L2059" s="9">
        <v>2023</v>
      </c>
      <c r="M2059" s="8" t="s">
        <v>12606</v>
      </c>
      <c r="N2059" s="8" t="s">
        <v>41</v>
      </c>
      <c r="O2059" s="8" t="s">
        <v>278</v>
      </c>
      <c r="P2059" s="6" t="s">
        <v>187</v>
      </c>
      <c r="Q2059" s="8" t="s">
        <v>44</v>
      </c>
      <c r="R2059" s="10" t="s">
        <v>157</v>
      </c>
      <c r="S2059" s="11"/>
      <c r="T2059" s="6"/>
      <c r="U2059" s="24" t="str">
        <f>HYPERLINK("https://media.infra-m.ru/1898/1898167/cover/1898167.jpg", "Обложка")</f>
        <v>Обложка</v>
      </c>
      <c r="V2059" s="24" t="str">
        <f>HYPERLINK("https://znanium.ru/catalog/product/1898167", "Ознакомиться")</f>
        <v>Ознакомиться</v>
      </c>
      <c r="W2059" s="8" t="s">
        <v>12607</v>
      </c>
      <c r="X2059" s="6"/>
      <c r="Y2059" s="6"/>
      <c r="Z2059" s="6"/>
      <c r="AA2059" s="6" t="s">
        <v>793</v>
      </c>
      <c r="AB2059" s="8"/>
    </row>
    <row r="2060" spans="1:28" s="4" customFormat="1" ht="51.95" customHeight="1">
      <c r="A2060" s="5">
        <v>0</v>
      </c>
      <c r="B2060" s="6" t="s">
        <v>12608</v>
      </c>
      <c r="C2060" s="13">
        <v>2944</v>
      </c>
      <c r="D2060" s="8" t="s">
        <v>12609</v>
      </c>
      <c r="E2060" s="8" t="s">
        <v>12610</v>
      </c>
      <c r="F2060" s="8" t="s">
        <v>12611</v>
      </c>
      <c r="G2060" s="6" t="s">
        <v>52</v>
      </c>
      <c r="H2060" s="6" t="s">
        <v>53</v>
      </c>
      <c r="I2060" s="8" t="s">
        <v>116</v>
      </c>
      <c r="J2060" s="9">
        <v>1</v>
      </c>
      <c r="K2060" s="9">
        <v>589</v>
      </c>
      <c r="L2060" s="9">
        <v>2025</v>
      </c>
      <c r="M2060" s="8" t="s">
        <v>12612</v>
      </c>
      <c r="N2060" s="8" t="s">
        <v>41</v>
      </c>
      <c r="O2060" s="8" t="s">
        <v>278</v>
      </c>
      <c r="P2060" s="6" t="s">
        <v>167</v>
      </c>
      <c r="Q2060" s="8" t="s">
        <v>44</v>
      </c>
      <c r="R2060" s="10" t="s">
        <v>1251</v>
      </c>
      <c r="S2060" s="11" t="s">
        <v>12613</v>
      </c>
      <c r="T2060" s="6"/>
      <c r="U2060" s="24" t="str">
        <f>HYPERLINK("https://media.infra-m.ru/2191/2191615/cover/2191615.jpg", "Обложка")</f>
        <v>Обложка</v>
      </c>
      <c r="V2060" s="24" t="str">
        <f>HYPERLINK("https://znanium.ru/catalog/product/2084406", "Ознакомиться")</f>
        <v>Ознакомиться</v>
      </c>
      <c r="W2060" s="8" t="s">
        <v>189</v>
      </c>
      <c r="X2060" s="6"/>
      <c r="Y2060" s="6"/>
      <c r="Z2060" s="6"/>
      <c r="AA2060" s="6" t="s">
        <v>793</v>
      </c>
      <c r="AB2060" s="8"/>
    </row>
    <row r="2061" spans="1:28" s="4" customFormat="1" ht="51.95" customHeight="1">
      <c r="A2061" s="5">
        <v>0</v>
      </c>
      <c r="B2061" s="6" t="s">
        <v>12614</v>
      </c>
      <c r="C2061" s="13">
        <v>1550</v>
      </c>
      <c r="D2061" s="8" t="s">
        <v>12615</v>
      </c>
      <c r="E2061" s="8" t="s">
        <v>12604</v>
      </c>
      <c r="F2061" s="8" t="s">
        <v>12616</v>
      </c>
      <c r="G2061" s="6" t="s">
        <v>89</v>
      </c>
      <c r="H2061" s="6" t="s">
        <v>53</v>
      </c>
      <c r="I2061" s="8" t="s">
        <v>116</v>
      </c>
      <c r="J2061" s="9">
        <v>1</v>
      </c>
      <c r="K2061" s="9">
        <v>337</v>
      </c>
      <c r="L2061" s="9">
        <v>2024</v>
      </c>
      <c r="M2061" s="8" t="s">
        <v>12617</v>
      </c>
      <c r="N2061" s="8" t="s">
        <v>41</v>
      </c>
      <c r="O2061" s="8" t="s">
        <v>278</v>
      </c>
      <c r="P2061" s="6" t="s">
        <v>167</v>
      </c>
      <c r="Q2061" s="8" t="s">
        <v>44</v>
      </c>
      <c r="R2061" s="10" t="s">
        <v>3378</v>
      </c>
      <c r="S2061" s="11" t="s">
        <v>12618</v>
      </c>
      <c r="T2061" s="6"/>
      <c r="U2061" s="24" t="str">
        <f>HYPERLINK("https://media.infra-m.ru/2084/2084408/cover/2084408.jpg", "Обложка")</f>
        <v>Обложка</v>
      </c>
      <c r="V2061" s="24" t="str">
        <f>HYPERLINK("https://znanium.ru/catalog/product/2084408", "Ознакомиться")</f>
        <v>Ознакомиться</v>
      </c>
      <c r="W2061" s="8" t="s">
        <v>189</v>
      </c>
      <c r="X2061" s="6"/>
      <c r="Y2061" s="6"/>
      <c r="Z2061" s="6"/>
      <c r="AA2061" s="6" t="s">
        <v>2217</v>
      </c>
      <c r="AB2061" s="8"/>
    </row>
    <row r="2062" spans="1:28" s="4" customFormat="1" ht="51.95" customHeight="1">
      <c r="A2062" s="5">
        <v>0</v>
      </c>
      <c r="B2062" s="6" t="s">
        <v>12619</v>
      </c>
      <c r="C2062" s="13">
        <v>1114.9000000000001</v>
      </c>
      <c r="D2062" s="8" t="s">
        <v>12620</v>
      </c>
      <c r="E2062" s="8" t="s">
        <v>12604</v>
      </c>
      <c r="F2062" s="8" t="s">
        <v>12621</v>
      </c>
      <c r="G2062" s="6" t="s">
        <v>52</v>
      </c>
      <c r="H2062" s="6" t="s">
        <v>66</v>
      </c>
      <c r="I2062" s="8" t="s">
        <v>12622</v>
      </c>
      <c r="J2062" s="9">
        <v>1</v>
      </c>
      <c r="K2062" s="9">
        <v>383</v>
      </c>
      <c r="L2062" s="9">
        <v>2018</v>
      </c>
      <c r="M2062" s="8" t="s">
        <v>12623</v>
      </c>
      <c r="N2062" s="8" t="s">
        <v>41</v>
      </c>
      <c r="O2062" s="8" t="s">
        <v>278</v>
      </c>
      <c r="P2062" s="6" t="s">
        <v>167</v>
      </c>
      <c r="Q2062" s="8" t="s">
        <v>1047</v>
      </c>
      <c r="R2062" s="10" t="s">
        <v>12624</v>
      </c>
      <c r="S2062" s="11" t="s">
        <v>12625</v>
      </c>
      <c r="T2062" s="6"/>
      <c r="U2062" s="12"/>
      <c r="V2062" s="24" t="str">
        <f>HYPERLINK("https://znanium.ru/catalog/product/1058466", "Ознакомиться")</f>
        <v>Ознакомиться</v>
      </c>
      <c r="W2062" s="8" t="s">
        <v>189</v>
      </c>
      <c r="X2062" s="6"/>
      <c r="Y2062" s="6"/>
      <c r="Z2062" s="6"/>
      <c r="AA2062" s="6" t="s">
        <v>3065</v>
      </c>
      <c r="AB2062" s="8"/>
    </row>
    <row r="2063" spans="1:28" s="4" customFormat="1" ht="51.95" customHeight="1">
      <c r="A2063" s="5">
        <v>0</v>
      </c>
      <c r="B2063" s="6" t="s">
        <v>12626</v>
      </c>
      <c r="C2063" s="13">
        <v>2180</v>
      </c>
      <c r="D2063" s="8" t="s">
        <v>12627</v>
      </c>
      <c r="E2063" s="8" t="s">
        <v>12604</v>
      </c>
      <c r="F2063" s="8" t="s">
        <v>12628</v>
      </c>
      <c r="G2063" s="6" t="s">
        <v>52</v>
      </c>
      <c r="H2063" s="6" t="s">
        <v>649</v>
      </c>
      <c r="I2063" s="8" t="s">
        <v>116</v>
      </c>
      <c r="J2063" s="9">
        <v>1</v>
      </c>
      <c r="K2063" s="9">
        <v>464</v>
      </c>
      <c r="L2063" s="9">
        <v>2024</v>
      </c>
      <c r="M2063" s="8" t="s">
        <v>12629</v>
      </c>
      <c r="N2063" s="8" t="s">
        <v>41</v>
      </c>
      <c r="O2063" s="8" t="s">
        <v>278</v>
      </c>
      <c r="P2063" s="6" t="s">
        <v>167</v>
      </c>
      <c r="Q2063" s="8" t="s">
        <v>44</v>
      </c>
      <c r="R2063" s="10" t="s">
        <v>12630</v>
      </c>
      <c r="S2063" s="11"/>
      <c r="T2063" s="6"/>
      <c r="U2063" s="24" t="str">
        <f>HYPERLINK("https://media.infra-m.ru/2103/2103739/cover/2103739.jpg", "Обложка")</f>
        <v>Обложка</v>
      </c>
      <c r="V2063" s="24" t="str">
        <f>HYPERLINK("https://znanium.ru/catalog/product/2103739", "Ознакомиться")</f>
        <v>Ознакомиться</v>
      </c>
      <c r="W2063" s="8" t="s">
        <v>9720</v>
      </c>
      <c r="X2063" s="6"/>
      <c r="Y2063" s="6"/>
      <c r="Z2063" s="6"/>
      <c r="AA2063" s="6" t="s">
        <v>122</v>
      </c>
      <c r="AB2063" s="8"/>
    </row>
    <row r="2064" spans="1:28" s="4" customFormat="1" ht="51.95" customHeight="1">
      <c r="A2064" s="5">
        <v>0</v>
      </c>
      <c r="B2064" s="6" t="s">
        <v>12631</v>
      </c>
      <c r="C2064" s="13">
        <v>1094.9000000000001</v>
      </c>
      <c r="D2064" s="8" t="s">
        <v>12632</v>
      </c>
      <c r="E2064" s="8" t="s">
        <v>12604</v>
      </c>
      <c r="F2064" s="8" t="s">
        <v>12633</v>
      </c>
      <c r="G2064" s="6" t="s">
        <v>52</v>
      </c>
      <c r="H2064" s="6" t="s">
        <v>53</v>
      </c>
      <c r="I2064" s="8" t="s">
        <v>90</v>
      </c>
      <c r="J2064" s="9">
        <v>1</v>
      </c>
      <c r="K2064" s="9">
        <v>320</v>
      </c>
      <c r="L2064" s="9">
        <v>2020</v>
      </c>
      <c r="M2064" s="8" t="s">
        <v>12634</v>
      </c>
      <c r="N2064" s="8" t="s">
        <v>41</v>
      </c>
      <c r="O2064" s="8" t="s">
        <v>278</v>
      </c>
      <c r="P2064" s="6" t="s">
        <v>167</v>
      </c>
      <c r="Q2064" s="8" t="s">
        <v>44</v>
      </c>
      <c r="R2064" s="10" t="s">
        <v>12635</v>
      </c>
      <c r="S2064" s="11" t="s">
        <v>12636</v>
      </c>
      <c r="T2064" s="6" t="s">
        <v>299</v>
      </c>
      <c r="U2064" s="24" t="str">
        <f>HYPERLINK("https://media.infra-m.ru/1081/1081913/cover/1081913.jpg", "Обложка")</f>
        <v>Обложка</v>
      </c>
      <c r="V2064" s="24" t="str">
        <f>HYPERLINK("https://znanium.ru/catalog/product/2156773", "Ознакомиться")</f>
        <v>Ознакомиться</v>
      </c>
      <c r="W2064" s="8" t="s">
        <v>1076</v>
      </c>
      <c r="X2064" s="6"/>
      <c r="Y2064" s="6"/>
      <c r="Z2064" s="6"/>
      <c r="AA2064" s="6" t="s">
        <v>418</v>
      </c>
      <c r="AB2064" s="8"/>
    </row>
    <row r="2065" spans="1:28" s="4" customFormat="1" ht="51.95" customHeight="1">
      <c r="A2065" s="5">
        <v>0</v>
      </c>
      <c r="B2065" s="6" t="s">
        <v>12637</v>
      </c>
      <c r="C2065" s="13">
        <v>2050</v>
      </c>
      <c r="D2065" s="8" t="s">
        <v>12638</v>
      </c>
      <c r="E2065" s="8" t="s">
        <v>12639</v>
      </c>
      <c r="F2065" s="8" t="s">
        <v>12633</v>
      </c>
      <c r="G2065" s="6" t="s">
        <v>52</v>
      </c>
      <c r="H2065" s="6" t="s">
        <v>53</v>
      </c>
      <c r="I2065" s="8" t="s">
        <v>116</v>
      </c>
      <c r="J2065" s="9">
        <v>1</v>
      </c>
      <c r="K2065" s="9">
        <v>410</v>
      </c>
      <c r="L2065" s="9">
        <v>2024</v>
      </c>
      <c r="M2065" s="8" t="s">
        <v>12640</v>
      </c>
      <c r="N2065" s="8" t="s">
        <v>41</v>
      </c>
      <c r="O2065" s="8" t="s">
        <v>278</v>
      </c>
      <c r="P2065" s="6" t="s">
        <v>167</v>
      </c>
      <c r="Q2065" s="8" t="s">
        <v>44</v>
      </c>
      <c r="R2065" s="10" t="s">
        <v>12635</v>
      </c>
      <c r="S2065" s="11" t="s">
        <v>12641</v>
      </c>
      <c r="T2065" s="6" t="s">
        <v>299</v>
      </c>
      <c r="U2065" s="24" t="str">
        <f>HYPERLINK("https://media.infra-m.ru/2156/2156773/cover/2156773.jpg", "Обложка")</f>
        <v>Обложка</v>
      </c>
      <c r="V2065" s="24" t="str">
        <f>HYPERLINK("https://znanium.ru/catalog/product/2156773", "Ознакомиться")</f>
        <v>Ознакомиться</v>
      </c>
      <c r="W2065" s="8" t="s">
        <v>1076</v>
      </c>
      <c r="X2065" s="6"/>
      <c r="Y2065" s="6"/>
      <c r="Z2065" s="6"/>
      <c r="AA2065" s="6" t="s">
        <v>513</v>
      </c>
      <c r="AB2065" s="8"/>
    </row>
    <row r="2066" spans="1:28" s="4" customFormat="1" ht="42" customHeight="1">
      <c r="A2066" s="5">
        <v>0</v>
      </c>
      <c r="B2066" s="6" t="s">
        <v>12642</v>
      </c>
      <c r="C2066" s="13">
        <v>1080</v>
      </c>
      <c r="D2066" s="8" t="s">
        <v>12643</v>
      </c>
      <c r="E2066" s="8" t="s">
        <v>12604</v>
      </c>
      <c r="F2066" s="8" t="s">
        <v>12644</v>
      </c>
      <c r="G2066" s="6" t="s">
        <v>89</v>
      </c>
      <c r="H2066" s="6" t="s">
        <v>184</v>
      </c>
      <c r="I2066" s="8" t="s">
        <v>185</v>
      </c>
      <c r="J2066" s="9">
        <v>1</v>
      </c>
      <c r="K2066" s="9">
        <v>240</v>
      </c>
      <c r="L2066" s="9">
        <v>2023</v>
      </c>
      <c r="M2066" s="8" t="s">
        <v>12645</v>
      </c>
      <c r="N2066" s="8" t="s">
        <v>41</v>
      </c>
      <c r="O2066" s="8" t="s">
        <v>278</v>
      </c>
      <c r="P2066" s="6" t="s">
        <v>167</v>
      </c>
      <c r="Q2066" s="8" t="s">
        <v>102</v>
      </c>
      <c r="R2066" s="10" t="s">
        <v>12646</v>
      </c>
      <c r="S2066" s="11"/>
      <c r="T2066" s="6"/>
      <c r="U2066" s="24" t="str">
        <f>HYPERLINK("https://media.infra-m.ru/1976/1976161/cover/1976161.jpg", "Обложка")</f>
        <v>Обложка</v>
      </c>
      <c r="V2066" s="12"/>
      <c r="W2066" s="8"/>
      <c r="X2066" s="6"/>
      <c r="Y2066" s="6"/>
      <c r="Z2066" s="6" t="s">
        <v>104</v>
      </c>
      <c r="AA2066" s="6" t="s">
        <v>258</v>
      </c>
      <c r="AB2066" s="8"/>
    </row>
    <row r="2067" spans="1:28" s="4" customFormat="1" ht="51.95" customHeight="1">
      <c r="A2067" s="5">
        <v>0</v>
      </c>
      <c r="B2067" s="6" t="s">
        <v>12647</v>
      </c>
      <c r="C2067" s="13">
        <v>1694</v>
      </c>
      <c r="D2067" s="8" t="s">
        <v>12648</v>
      </c>
      <c r="E2067" s="8" t="s">
        <v>12604</v>
      </c>
      <c r="F2067" s="8" t="s">
        <v>12649</v>
      </c>
      <c r="G2067" s="6" t="s">
        <v>52</v>
      </c>
      <c r="H2067" s="6" t="s">
        <v>952</v>
      </c>
      <c r="I2067" s="8" t="s">
        <v>1171</v>
      </c>
      <c r="J2067" s="9">
        <v>1</v>
      </c>
      <c r="K2067" s="9">
        <v>368</v>
      </c>
      <c r="L2067" s="9">
        <v>2024</v>
      </c>
      <c r="M2067" s="8" t="s">
        <v>12650</v>
      </c>
      <c r="N2067" s="8" t="s">
        <v>41</v>
      </c>
      <c r="O2067" s="8" t="s">
        <v>278</v>
      </c>
      <c r="P2067" s="6" t="s">
        <v>167</v>
      </c>
      <c r="Q2067" s="8" t="s">
        <v>44</v>
      </c>
      <c r="R2067" s="10" t="s">
        <v>12651</v>
      </c>
      <c r="S2067" s="11" t="s">
        <v>12652</v>
      </c>
      <c r="T2067" s="6"/>
      <c r="U2067" s="24" t="str">
        <f>HYPERLINK("https://media.infra-m.ru/2083/2083312/cover/2083312.jpg", "Обложка")</f>
        <v>Обложка</v>
      </c>
      <c r="V2067" s="24" t="str">
        <f>HYPERLINK("https://znanium.ru/catalog/product/1843641", "Ознакомиться")</f>
        <v>Ознакомиться</v>
      </c>
      <c r="W2067" s="8"/>
      <c r="X2067" s="6"/>
      <c r="Y2067" s="6"/>
      <c r="Z2067" s="6"/>
      <c r="AA2067" s="6" t="s">
        <v>122</v>
      </c>
      <c r="AB2067" s="8"/>
    </row>
    <row r="2068" spans="1:28" s="4" customFormat="1" ht="51.95" customHeight="1">
      <c r="A2068" s="5">
        <v>0</v>
      </c>
      <c r="B2068" s="6" t="s">
        <v>12653</v>
      </c>
      <c r="C2068" s="13">
        <v>1404</v>
      </c>
      <c r="D2068" s="8" t="s">
        <v>12654</v>
      </c>
      <c r="E2068" s="8" t="s">
        <v>12604</v>
      </c>
      <c r="F2068" s="8" t="s">
        <v>12655</v>
      </c>
      <c r="G2068" s="6" t="s">
        <v>89</v>
      </c>
      <c r="H2068" s="6" t="s">
        <v>53</v>
      </c>
      <c r="I2068" s="8" t="s">
        <v>90</v>
      </c>
      <c r="J2068" s="9">
        <v>1</v>
      </c>
      <c r="K2068" s="9">
        <v>305</v>
      </c>
      <c r="L2068" s="9">
        <v>2024</v>
      </c>
      <c r="M2068" s="8" t="s">
        <v>12656</v>
      </c>
      <c r="N2068" s="8" t="s">
        <v>41</v>
      </c>
      <c r="O2068" s="8" t="s">
        <v>278</v>
      </c>
      <c r="P2068" s="6" t="s">
        <v>167</v>
      </c>
      <c r="Q2068" s="8" t="s">
        <v>44</v>
      </c>
      <c r="R2068" s="10" t="s">
        <v>12657</v>
      </c>
      <c r="S2068" s="11" t="s">
        <v>12658</v>
      </c>
      <c r="T2068" s="6"/>
      <c r="U2068" s="24" t="str">
        <f>HYPERLINK("https://media.infra-m.ru/2103/2103695/cover/2103695.jpg", "Обложка")</f>
        <v>Обложка</v>
      </c>
      <c r="V2068" s="24" t="str">
        <f>HYPERLINK("https://znanium.ru/catalog/product/1673158", "Ознакомиться")</f>
        <v>Ознакомиться</v>
      </c>
      <c r="W2068" s="8" t="s">
        <v>12659</v>
      </c>
      <c r="X2068" s="6"/>
      <c r="Y2068" s="6"/>
      <c r="Z2068" s="6"/>
      <c r="AA2068" s="6" t="s">
        <v>151</v>
      </c>
      <c r="AB2068" s="8"/>
    </row>
    <row r="2069" spans="1:28" s="4" customFormat="1" ht="51.95" customHeight="1">
      <c r="A2069" s="5">
        <v>0</v>
      </c>
      <c r="B2069" s="6" t="s">
        <v>12660</v>
      </c>
      <c r="C2069" s="13">
        <v>1764</v>
      </c>
      <c r="D2069" s="8" t="s">
        <v>12661</v>
      </c>
      <c r="E2069" s="8" t="s">
        <v>12604</v>
      </c>
      <c r="F2069" s="8" t="s">
        <v>12662</v>
      </c>
      <c r="G2069" s="6" t="s">
        <v>52</v>
      </c>
      <c r="H2069" s="6" t="s">
        <v>77</v>
      </c>
      <c r="I2069" s="8"/>
      <c r="J2069" s="9">
        <v>1</v>
      </c>
      <c r="K2069" s="9">
        <v>384</v>
      </c>
      <c r="L2069" s="9">
        <v>2024</v>
      </c>
      <c r="M2069" s="8" t="s">
        <v>12663</v>
      </c>
      <c r="N2069" s="8" t="s">
        <v>41</v>
      </c>
      <c r="O2069" s="8" t="s">
        <v>278</v>
      </c>
      <c r="P2069" s="6" t="s">
        <v>43</v>
      </c>
      <c r="Q2069" s="8" t="s">
        <v>44</v>
      </c>
      <c r="R2069" s="10" t="s">
        <v>12664</v>
      </c>
      <c r="S2069" s="11" t="s">
        <v>12665</v>
      </c>
      <c r="T2069" s="6"/>
      <c r="U2069" s="24" t="str">
        <f>HYPERLINK("https://media.infra-m.ru/2108/2108454/cover/2108454.jpg", "Обложка")</f>
        <v>Обложка</v>
      </c>
      <c r="V2069" s="24" t="str">
        <f>HYPERLINK("https://znanium.ru/catalog/product/929685", "Ознакомиться")</f>
        <v>Ознакомиться</v>
      </c>
      <c r="W2069" s="8" t="s">
        <v>83</v>
      </c>
      <c r="X2069" s="6"/>
      <c r="Y2069" s="6"/>
      <c r="Z2069" s="6"/>
      <c r="AA2069" s="6" t="s">
        <v>72</v>
      </c>
      <c r="AB2069" s="8"/>
    </row>
    <row r="2070" spans="1:28" s="4" customFormat="1" ht="51.95" customHeight="1">
      <c r="A2070" s="5">
        <v>0</v>
      </c>
      <c r="B2070" s="6" t="s">
        <v>12666</v>
      </c>
      <c r="C2070" s="13">
        <v>1100</v>
      </c>
      <c r="D2070" s="8" t="s">
        <v>12667</v>
      </c>
      <c r="E2070" s="8" t="s">
        <v>12668</v>
      </c>
      <c r="F2070" s="8" t="s">
        <v>12669</v>
      </c>
      <c r="G2070" s="6" t="s">
        <v>89</v>
      </c>
      <c r="H2070" s="6" t="s">
        <v>39</v>
      </c>
      <c r="I2070" s="8" t="s">
        <v>100</v>
      </c>
      <c r="J2070" s="9">
        <v>1</v>
      </c>
      <c r="K2070" s="9">
        <v>238</v>
      </c>
      <c r="L2070" s="9">
        <v>2024</v>
      </c>
      <c r="M2070" s="8" t="s">
        <v>12670</v>
      </c>
      <c r="N2070" s="8" t="s">
        <v>41</v>
      </c>
      <c r="O2070" s="8" t="s">
        <v>278</v>
      </c>
      <c r="P2070" s="6" t="s">
        <v>43</v>
      </c>
      <c r="Q2070" s="8" t="s">
        <v>102</v>
      </c>
      <c r="R2070" s="10" t="s">
        <v>12576</v>
      </c>
      <c r="S2070" s="11" t="s">
        <v>12671</v>
      </c>
      <c r="T2070" s="6"/>
      <c r="U2070" s="24" t="str">
        <f>HYPERLINK("https://media.infra-m.ru/2110/2110941/cover/2110941.jpg", "Обложка")</f>
        <v>Обложка</v>
      </c>
      <c r="V2070" s="24" t="str">
        <f>HYPERLINK("https://znanium.ru/catalog/product/2110941", "Ознакомиться")</f>
        <v>Ознакомиться</v>
      </c>
      <c r="W2070" s="8" t="s">
        <v>189</v>
      </c>
      <c r="X2070" s="6"/>
      <c r="Y2070" s="6"/>
      <c r="Z2070" s="6"/>
      <c r="AA2070" s="6" t="s">
        <v>2414</v>
      </c>
      <c r="AB2070" s="8"/>
    </row>
    <row r="2071" spans="1:28" s="4" customFormat="1" ht="51.95" customHeight="1">
      <c r="A2071" s="5">
        <v>0</v>
      </c>
      <c r="B2071" s="6" t="s">
        <v>12672</v>
      </c>
      <c r="C2071" s="13">
        <v>1470</v>
      </c>
      <c r="D2071" s="8" t="s">
        <v>12673</v>
      </c>
      <c r="E2071" s="8" t="s">
        <v>12639</v>
      </c>
      <c r="F2071" s="8" t="s">
        <v>12674</v>
      </c>
      <c r="G2071" s="6" t="s">
        <v>89</v>
      </c>
      <c r="H2071" s="6" t="s">
        <v>53</v>
      </c>
      <c r="I2071" s="8" t="s">
        <v>100</v>
      </c>
      <c r="J2071" s="9">
        <v>1</v>
      </c>
      <c r="K2071" s="9">
        <v>320</v>
      </c>
      <c r="L2071" s="9">
        <v>2024</v>
      </c>
      <c r="M2071" s="8" t="s">
        <v>12675</v>
      </c>
      <c r="N2071" s="8" t="s">
        <v>41</v>
      </c>
      <c r="O2071" s="8" t="s">
        <v>278</v>
      </c>
      <c r="P2071" s="6" t="s">
        <v>43</v>
      </c>
      <c r="Q2071" s="8" t="s">
        <v>102</v>
      </c>
      <c r="R2071" s="10" t="s">
        <v>12676</v>
      </c>
      <c r="S2071" s="11" t="s">
        <v>12677</v>
      </c>
      <c r="T2071" s="6"/>
      <c r="U2071" s="24" t="str">
        <f>HYPERLINK("https://media.infra-m.ru/2056/2056806/cover/2056806.jpg", "Обложка")</f>
        <v>Обложка</v>
      </c>
      <c r="V2071" s="24" t="str">
        <f>HYPERLINK("https://znanium.ru/catalog/product/2056806", "Ознакомиться")</f>
        <v>Ознакомиться</v>
      </c>
      <c r="W2071" s="8" t="s">
        <v>159</v>
      </c>
      <c r="X2071" s="6"/>
      <c r="Y2071" s="6"/>
      <c r="Z2071" s="6"/>
      <c r="AA2071" s="6" t="s">
        <v>160</v>
      </c>
      <c r="AB2071" s="8"/>
    </row>
    <row r="2072" spans="1:28" s="4" customFormat="1" ht="51.95" customHeight="1">
      <c r="A2072" s="5">
        <v>0</v>
      </c>
      <c r="B2072" s="6" t="s">
        <v>12678</v>
      </c>
      <c r="C2072" s="13">
        <v>1624</v>
      </c>
      <c r="D2072" s="8" t="s">
        <v>12679</v>
      </c>
      <c r="E2072" s="8" t="s">
        <v>12604</v>
      </c>
      <c r="F2072" s="8" t="s">
        <v>12680</v>
      </c>
      <c r="G2072" s="6" t="s">
        <v>52</v>
      </c>
      <c r="H2072" s="6" t="s">
        <v>39</v>
      </c>
      <c r="I2072" s="8" t="s">
        <v>185</v>
      </c>
      <c r="J2072" s="9">
        <v>1</v>
      </c>
      <c r="K2072" s="9">
        <v>352</v>
      </c>
      <c r="L2072" s="9">
        <v>2024</v>
      </c>
      <c r="M2072" s="8" t="s">
        <v>12681</v>
      </c>
      <c r="N2072" s="8" t="s">
        <v>41</v>
      </c>
      <c r="O2072" s="8" t="s">
        <v>278</v>
      </c>
      <c r="P2072" s="6" t="s">
        <v>43</v>
      </c>
      <c r="Q2072" s="8" t="s">
        <v>102</v>
      </c>
      <c r="R2072" s="10" t="s">
        <v>12576</v>
      </c>
      <c r="S2072" s="11" t="s">
        <v>12682</v>
      </c>
      <c r="T2072" s="6"/>
      <c r="U2072" s="24" t="str">
        <f>HYPERLINK("https://media.infra-m.ru/2079/2079170/cover/2079170.jpg", "Обложка")</f>
        <v>Обложка</v>
      </c>
      <c r="V2072" s="24" t="str">
        <f>HYPERLINK("https://znanium.ru/catalog/product/1072282", "Ознакомиться")</f>
        <v>Ознакомиться</v>
      </c>
      <c r="W2072" s="8"/>
      <c r="X2072" s="6"/>
      <c r="Y2072" s="6"/>
      <c r="Z2072" s="6"/>
      <c r="AA2072" s="6" t="s">
        <v>72</v>
      </c>
      <c r="AB2072" s="8"/>
    </row>
    <row r="2073" spans="1:28" s="4" customFormat="1" ht="51.95" customHeight="1">
      <c r="A2073" s="5">
        <v>0</v>
      </c>
      <c r="B2073" s="6" t="s">
        <v>12683</v>
      </c>
      <c r="C2073" s="7">
        <v>920</v>
      </c>
      <c r="D2073" s="8" t="s">
        <v>12684</v>
      </c>
      <c r="E2073" s="8" t="s">
        <v>12685</v>
      </c>
      <c r="F2073" s="8" t="s">
        <v>12686</v>
      </c>
      <c r="G2073" s="6" t="s">
        <v>89</v>
      </c>
      <c r="H2073" s="6" t="s">
        <v>53</v>
      </c>
      <c r="I2073" s="8" t="s">
        <v>100</v>
      </c>
      <c r="J2073" s="9">
        <v>1</v>
      </c>
      <c r="K2073" s="9">
        <v>199</v>
      </c>
      <c r="L2073" s="9">
        <v>2023</v>
      </c>
      <c r="M2073" s="8" t="s">
        <v>12687</v>
      </c>
      <c r="N2073" s="8" t="s">
        <v>41</v>
      </c>
      <c r="O2073" s="8" t="s">
        <v>278</v>
      </c>
      <c r="P2073" s="6" t="s">
        <v>43</v>
      </c>
      <c r="Q2073" s="8" t="s">
        <v>102</v>
      </c>
      <c r="R2073" s="10" t="s">
        <v>12688</v>
      </c>
      <c r="S2073" s="11" t="s">
        <v>12689</v>
      </c>
      <c r="T2073" s="6"/>
      <c r="U2073" s="24" t="str">
        <f>HYPERLINK("https://media.infra-m.ru/2067/2067373/cover/2067373.jpg", "Обложка")</f>
        <v>Обложка</v>
      </c>
      <c r="V2073" s="24" t="str">
        <f>HYPERLINK("https://znanium.ru/catalog/product/2067373", "Ознакомиться")</f>
        <v>Ознакомиться</v>
      </c>
      <c r="W2073" s="8" t="s">
        <v>2080</v>
      </c>
      <c r="X2073" s="6"/>
      <c r="Y2073" s="6"/>
      <c r="Z2073" s="6" t="s">
        <v>104</v>
      </c>
      <c r="AA2073" s="6" t="s">
        <v>3922</v>
      </c>
      <c r="AB2073" s="8"/>
    </row>
    <row r="2074" spans="1:28" s="4" customFormat="1" ht="51.95" customHeight="1">
      <c r="A2074" s="5">
        <v>0</v>
      </c>
      <c r="B2074" s="6" t="s">
        <v>12690</v>
      </c>
      <c r="C2074" s="7">
        <v>994</v>
      </c>
      <c r="D2074" s="8" t="s">
        <v>12691</v>
      </c>
      <c r="E2074" s="8" t="s">
        <v>12685</v>
      </c>
      <c r="F2074" s="8" t="s">
        <v>12686</v>
      </c>
      <c r="G2074" s="6" t="s">
        <v>89</v>
      </c>
      <c r="H2074" s="6" t="s">
        <v>53</v>
      </c>
      <c r="I2074" s="8" t="s">
        <v>90</v>
      </c>
      <c r="J2074" s="9">
        <v>1</v>
      </c>
      <c r="K2074" s="9">
        <v>199</v>
      </c>
      <c r="L2074" s="9">
        <v>2025</v>
      </c>
      <c r="M2074" s="8" t="s">
        <v>12692</v>
      </c>
      <c r="N2074" s="8" t="s">
        <v>41</v>
      </c>
      <c r="O2074" s="8" t="s">
        <v>278</v>
      </c>
      <c r="P2074" s="6" t="s">
        <v>43</v>
      </c>
      <c r="Q2074" s="8" t="s">
        <v>44</v>
      </c>
      <c r="R2074" s="10" t="s">
        <v>4122</v>
      </c>
      <c r="S2074" s="11" t="s">
        <v>12693</v>
      </c>
      <c r="T2074" s="6"/>
      <c r="U2074" s="24" t="str">
        <f>HYPERLINK("https://media.infra-m.ru/2186/2186407/cover/2186407.jpg", "Обложка")</f>
        <v>Обложка</v>
      </c>
      <c r="V2074" s="24" t="str">
        <f>HYPERLINK("https://znanium.ru/catalog/product/1903657", "Ознакомиться")</f>
        <v>Ознакомиться</v>
      </c>
      <c r="W2074" s="8" t="s">
        <v>2080</v>
      </c>
      <c r="X2074" s="6"/>
      <c r="Y2074" s="6"/>
      <c r="Z2074" s="6"/>
      <c r="AA2074" s="6" t="s">
        <v>867</v>
      </c>
      <c r="AB2074" s="8"/>
    </row>
    <row r="2075" spans="1:28" s="4" customFormat="1" ht="51.95" customHeight="1">
      <c r="A2075" s="5">
        <v>0</v>
      </c>
      <c r="B2075" s="6" t="s">
        <v>12694</v>
      </c>
      <c r="C2075" s="7">
        <v>760</v>
      </c>
      <c r="D2075" s="8" t="s">
        <v>12695</v>
      </c>
      <c r="E2075" s="8" t="s">
        <v>12604</v>
      </c>
      <c r="F2075" s="8" t="s">
        <v>12686</v>
      </c>
      <c r="G2075" s="6" t="s">
        <v>52</v>
      </c>
      <c r="H2075" s="6" t="s">
        <v>53</v>
      </c>
      <c r="I2075" s="8" t="s">
        <v>100</v>
      </c>
      <c r="J2075" s="9">
        <v>1</v>
      </c>
      <c r="K2075" s="9">
        <v>199</v>
      </c>
      <c r="L2075" s="9">
        <v>2021</v>
      </c>
      <c r="M2075" s="8" t="s">
        <v>12696</v>
      </c>
      <c r="N2075" s="8" t="s">
        <v>41</v>
      </c>
      <c r="O2075" s="8" t="s">
        <v>278</v>
      </c>
      <c r="P2075" s="6" t="s">
        <v>43</v>
      </c>
      <c r="Q2075" s="8" t="s">
        <v>102</v>
      </c>
      <c r="R2075" s="10" t="s">
        <v>12688</v>
      </c>
      <c r="S2075" s="11" t="s">
        <v>12689</v>
      </c>
      <c r="T2075" s="6"/>
      <c r="U2075" s="24" t="str">
        <f>HYPERLINK("https://media.infra-m.ru/1242/1242890/cover/1242890.jpg", "Обложка")</f>
        <v>Обложка</v>
      </c>
      <c r="V2075" s="24" t="str">
        <f>HYPERLINK("https://znanium.ru/catalog/product/2067373", "Ознакомиться")</f>
        <v>Ознакомиться</v>
      </c>
      <c r="W2075" s="8" t="s">
        <v>2080</v>
      </c>
      <c r="X2075" s="6"/>
      <c r="Y2075" s="6"/>
      <c r="Z2075" s="6" t="s">
        <v>104</v>
      </c>
      <c r="AA2075" s="6" t="s">
        <v>219</v>
      </c>
      <c r="AB2075" s="8"/>
    </row>
    <row r="2076" spans="1:28" s="4" customFormat="1" ht="51.95" customHeight="1">
      <c r="A2076" s="5">
        <v>0</v>
      </c>
      <c r="B2076" s="6" t="s">
        <v>12697</v>
      </c>
      <c r="C2076" s="13">
        <v>1080</v>
      </c>
      <c r="D2076" s="8" t="s">
        <v>12698</v>
      </c>
      <c r="E2076" s="8" t="s">
        <v>12668</v>
      </c>
      <c r="F2076" s="8" t="s">
        <v>12422</v>
      </c>
      <c r="G2076" s="6" t="s">
        <v>89</v>
      </c>
      <c r="H2076" s="6" t="s">
        <v>53</v>
      </c>
      <c r="I2076" s="8" t="s">
        <v>116</v>
      </c>
      <c r="J2076" s="9">
        <v>1</v>
      </c>
      <c r="K2076" s="9">
        <v>233</v>
      </c>
      <c r="L2076" s="9">
        <v>2024</v>
      </c>
      <c r="M2076" s="8" t="s">
        <v>12699</v>
      </c>
      <c r="N2076" s="8" t="s">
        <v>41</v>
      </c>
      <c r="O2076" s="8" t="s">
        <v>278</v>
      </c>
      <c r="P2076" s="6" t="s">
        <v>43</v>
      </c>
      <c r="Q2076" s="8" t="s">
        <v>44</v>
      </c>
      <c r="R2076" s="10" t="s">
        <v>12700</v>
      </c>
      <c r="S2076" s="11" t="s">
        <v>12701</v>
      </c>
      <c r="T2076" s="6" t="s">
        <v>299</v>
      </c>
      <c r="U2076" s="24" t="str">
        <f>HYPERLINK("https://media.infra-m.ru/1913/1913238/cover/1913238.jpg", "Обложка")</f>
        <v>Обложка</v>
      </c>
      <c r="V2076" s="24" t="str">
        <f>HYPERLINK("https://znanium.ru/catalog/product/1913238", "Ознакомиться")</f>
        <v>Ознакомиться</v>
      </c>
      <c r="W2076" s="8" t="s">
        <v>4161</v>
      </c>
      <c r="X2076" s="6"/>
      <c r="Y2076" s="6"/>
      <c r="Z2076" s="6"/>
      <c r="AA2076" s="6" t="s">
        <v>2001</v>
      </c>
      <c r="AB2076" s="8"/>
    </row>
    <row r="2077" spans="1:28" s="4" customFormat="1" ht="51.95" customHeight="1">
      <c r="A2077" s="5">
        <v>0</v>
      </c>
      <c r="B2077" s="6" t="s">
        <v>12702</v>
      </c>
      <c r="C2077" s="13">
        <v>1190</v>
      </c>
      <c r="D2077" s="8" t="s">
        <v>12703</v>
      </c>
      <c r="E2077" s="8" t="s">
        <v>12668</v>
      </c>
      <c r="F2077" s="8" t="s">
        <v>12422</v>
      </c>
      <c r="G2077" s="6" t="s">
        <v>89</v>
      </c>
      <c r="H2077" s="6" t="s">
        <v>53</v>
      </c>
      <c r="I2077" s="8" t="s">
        <v>100</v>
      </c>
      <c r="J2077" s="9">
        <v>1</v>
      </c>
      <c r="K2077" s="9">
        <v>233</v>
      </c>
      <c r="L2077" s="9">
        <v>2025</v>
      </c>
      <c r="M2077" s="8" t="s">
        <v>12704</v>
      </c>
      <c r="N2077" s="8" t="s">
        <v>41</v>
      </c>
      <c r="O2077" s="8" t="s">
        <v>278</v>
      </c>
      <c r="P2077" s="6" t="s">
        <v>43</v>
      </c>
      <c r="Q2077" s="8" t="s">
        <v>102</v>
      </c>
      <c r="R2077" s="10" t="s">
        <v>12705</v>
      </c>
      <c r="S2077" s="11"/>
      <c r="T2077" s="6" t="s">
        <v>299</v>
      </c>
      <c r="U2077" s="24" t="str">
        <f>HYPERLINK("https://media.infra-m.ru/2173/2173216/cover/2173216.jpg", "Обложка")</f>
        <v>Обложка</v>
      </c>
      <c r="V2077" s="24" t="str">
        <f>HYPERLINK("https://znanium.ru/catalog/product/2173216", "Ознакомиться")</f>
        <v>Ознакомиться</v>
      </c>
      <c r="W2077" s="8" t="s">
        <v>4161</v>
      </c>
      <c r="X2077" s="6" t="s">
        <v>785</v>
      </c>
      <c r="Y2077" s="6"/>
      <c r="Z2077" s="6" t="s">
        <v>104</v>
      </c>
      <c r="AA2077" s="6" t="s">
        <v>818</v>
      </c>
      <c r="AB2077" s="8"/>
    </row>
    <row r="2078" spans="1:28" s="4" customFormat="1" ht="42" customHeight="1">
      <c r="A2078" s="5">
        <v>0</v>
      </c>
      <c r="B2078" s="6" t="s">
        <v>12706</v>
      </c>
      <c r="C2078" s="7">
        <v>434.9</v>
      </c>
      <c r="D2078" s="8" t="s">
        <v>12707</v>
      </c>
      <c r="E2078" s="8" t="s">
        <v>12668</v>
      </c>
      <c r="F2078" s="8" t="s">
        <v>12708</v>
      </c>
      <c r="G2078" s="6" t="s">
        <v>38</v>
      </c>
      <c r="H2078" s="6" t="s">
        <v>184</v>
      </c>
      <c r="I2078" s="8" t="s">
        <v>10476</v>
      </c>
      <c r="J2078" s="9">
        <v>1</v>
      </c>
      <c r="K2078" s="9">
        <v>223</v>
      </c>
      <c r="L2078" s="9">
        <v>2018</v>
      </c>
      <c r="M2078" s="8" t="s">
        <v>12709</v>
      </c>
      <c r="N2078" s="8" t="s">
        <v>41</v>
      </c>
      <c r="O2078" s="8" t="s">
        <v>278</v>
      </c>
      <c r="P2078" s="6" t="s">
        <v>43</v>
      </c>
      <c r="Q2078" s="8" t="s">
        <v>44</v>
      </c>
      <c r="R2078" s="10" t="s">
        <v>1291</v>
      </c>
      <c r="S2078" s="11"/>
      <c r="T2078" s="6"/>
      <c r="U2078" s="24" t="str">
        <f>HYPERLINK("https://media.infra-m.ru/0982/0982633/cover/982633.jpg", "Обложка")</f>
        <v>Обложка</v>
      </c>
      <c r="V2078" s="24" t="str">
        <f>HYPERLINK("https://znanium.ru/catalog/product/982633", "Ознакомиться")</f>
        <v>Ознакомиться</v>
      </c>
      <c r="W2078" s="8" t="s">
        <v>12710</v>
      </c>
      <c r="X2078" s="6"/>
      <c r="Y2078" s="6"/>
      <c r="Z2078" s="6"/>
      <c r="AA2078" s="6" t="s">
        <v>9218</v>
      </c>
      <c r="AB2078" s="8"/>
    </row>
    <row r="2079" spans="1:28" s="4" customFormat="1" ht="51.95" customHeight="1">
      <c r="A2079" s="5">
        <v>0</v>
      </c>
      <c r="B2079" s="6" t="s">
        <v>12711</v>
      </c>
      <c r="C2079" s="13">
        <v>1770</v>
      </c>
      <c r="D2079" s="8" t="s">
        <v>12712</v>
      </c>
      <c r="E2079" s="8" t="s">
        <v>12604</v>
      </c>
      <c r="F2079" s="8" t="s">
        <v>12713</v>
      </c>
      <c r="G2079" s="6" t="s">
        <v>52</v>
      </c>
      <c r="H2079" s="6" t="s">
        <v>53</v>
      </c>
      <c r="I2079" s="8" t="s">
        <v>116</v>
      </c>
      <c r="J2079" s="9">
        <v>1</v>
      </c>
      <c r="K2079" s="9">
        <v>376</v>
      </c>
      <c r="L2079" s="9">
        <v>2024</v>
      </c>
      <c r="M2079" s="8" t="s">
        <v>12714</v>
      </c>
      <c r="N2079" s="8" t="s">
        <v>41</v>
      </c>
      <c r="O2079" s="8" t="s">
        <v>278</v>
      </c>
      <c r="P2079" s="6" t="s">
        <v>43</v>
      </c>
      <c r="Q2079" s="8" t="s">
        <v>58</v>
      </c>
      <c r="R2079" s="10" t="s">
        <v>12715</v>
      </c>
      <c r="S2079" s="11"/>
      <c r="T2079" s="6"/>
      <c r="U2079" s="24" t="str">
        <f>HYPERLINK("https://media.infra-m.ru/2038/2038207/cover/2038207.jpg", "Обложка")</f>
        <v>Обложка</v>
      </c>
      <c r="V2079" s="24" t="str">
        <f>HYPERLINK("https://znanium.ru/catalog/product/2038207", "Ознакомиться")</f>
        <v>Ознакомиться</v>
      </c>
      <c r="W2079" s="8" t="s">
        <v>947</v>
      </c>
      <c r="X2079" s="6" t="s">
        <v>3761</v>
      </c>
      <c r="Y2079" s="6"/>
      <c r="Z2079" s="6"/>
      <c r="AA2079" s="6" t="s">
        <v>133</v>
      </c>
      <c r="AB2079" s="8"/>
    </row>
    <row r="2080" spans="1:28" s="4" customFormat="1" ht="51.95" customHeight="1">
      <c r="A2080" s="5">
        <v>0</v>
      </c>
      <c r="B2080" s="6" t="s">
        <v>12716</v>
      </c>
      <c r="C2080" s="13">
        <v>1130</v>
      </c>
      <c r="D2080" s="8" t="s">
        <v>12717</v>
      </c>
      <c r="E2080" s="8" t="s">
        <v>12604</v>
      </c>
      <c r="F2080" s="8" t="s">
        <v>12644</v>
      </c>
      <c r="G2080" s="6" t="s">
        <v>89</v>
      </c>
      <c r="H2080" s="6" t="s">
        <v>184</v>
      </c>
      <c r="I2080" s="8" t="s">
        <v>185</v>
      </c>
      <c r="J2080" s="9">
        <v>1</v>
      </c>
      <c r="K2080" s="9">
        <v>240</v>
      </c>
      <c r="L2080" s="9">
        <v>2024</v>
      </c>
      <c r="M2080" s="8" t="s">
        <v>12718</v>
      </c>
      <c r="N2080" s="8" t="s">
        <v>41</v>
      </c>
      <c r="O2080" s="8" t="s">
        <v>278</v>
      </c>
      <c r="P2080" s="6" t="s">
        <v>43</v>
      </c>
      <c r="Q2080" s="8" t="s">
        <v>44</v>
      </c>
      <c r="R2080" s="10" t="s">
        <v>12719</v>
      </c>
      <c r="S2080" s="11"/>
      <c r="T2080" s="6"/>
      <c r="U2080" s="24" t="str">
        <f>HYPERLINK("https://media.infra-m.ru/2136/2136001/cover/2136001.jpg", "Обложка")</f>
        <v>Обложка</v>
      </c>
      <c r="V2080" s="12"/>
      <c r="W2080" s="8"/>
      <c r="X2080" s="6"/>
      <c r="Y2080" s="6"/>
      <c r="Z2080" s="6"/>
      <c r="AA2080" s="6" t="s">
        <v>258</v>
      </c>
      <c r="AB2080" s="8"/>
    </row>
    <row r="2081" spans="1:28" s="4" customFormat="1" ht="51.95" customHeight="1">
      <c r="A2081" s="5">
        <v>0</v>
      </c>
      <c r="B2081" s="6" t="s">
        <v>12720</v>
      </c>
      <c r="C2081" s="13">
        <v>1064</v>
      </c>
      <c r="D2081" s="8" t="s">
        <v>12721</v>
      </c>
      <c r="E2081" s="8" t="s">
        <v>12722</v>
      </c>
      <c r="F2081" s="8" t="s">
        <v>1575</v>
      </c>
      <c r="G2081" s="6" t="s">
        <v>89</v>
      </c>
      <c r="H2081" s="6" t="s">
        <v>53</v>
      </c>
      <c r="I2081" s="8" t="s">
        <v>90</v>
      </c>
      <c r="J2081" s="9">
        <v>1</v>
      </c>
      <c r="K2081" s="9">
        <v>225</v>
      </c>
      <c r="L2081" s="9">
        <v>2024</v>
      </c>
      <c r="M2081" s="8" t="s">
        <v>12723</v>
      </c>
      <c r="N2081" s="8" t="s">
        <v>41</v>
      </c>
      <c r="O2081" s="8" t="s">
        <v>278</v>
      </c>
      <c r="P2081" s="6" t="s">
        <v>43</v>
      </c>
      <c r="Q2081" s="8" t="s">
        <v>44</v>
      </c>
      <c r="R2081" s="10" t="s">
        <v>12630</v>
      </c>
      <c r="S2081" s="11" t="s">
        <v>120</v>
      </c>
      <c r="T2081" s="6"/>
      <c r="U2081" s="24" t="str">
        <f>HYPERLINK("https://media.infra-m.ru/2135/2135871/cover/2135871.jpg", "Обложка")</f>
        <v>Обложка</v>
      </c>
      <c r="V2081" s="24" t="str">
        <f>HYPERLINK("https://znanium.ru/catalog/product/1893652", "Ознакомиться")</f>
        <v>Ознакомиться</v>
      </c>
      <c r="W2081" s="8" t="s">
        <v>399</v>
      </c>
      <c r="X2081" s="6"/>
      <c r="Y2081" s="6"/>
      <c r="Z2081" s="6"/>
      <c r="AA2081" s="6" t="s">
        <v>442</v>
      </c>
      <c r="AB2081" s="8"/>
    </row>
    <row r="2082" spans="1:28" s="4" customFormat="1" ht="44.1" customHeight="1">
      <c r="A2082" s="5">
        <v>0</v>
      </c>
      <c r="B2082" s="6" t="s">
        <v>12724</v>
      </c>
      <c r="C2082" s="13">
        <v>1390</v>
      </c>
      <c r="D2082" s="8" t="s">
        <v>12725</v>
      </c>
      <c r="E2082" s="8" t="s">
        <v>12726</v>
      </c>
      <c r="F2082" s="8" t="s">
        <v>12727</v>
      </c>
      <c r="G2082" s="6" t="s">
        <v>52</v>
      </c>
      <c r="H2082" s="6" t="s">
        <v>53</v>
      </c>
      <c r="I2082" s="8" t="s">
        <v>276</v>
      </c>
      <c r="J2082" s="9">
        <v>1</v>
      </c>
      <c r="K2082" s="9">
        <v>290</v>
      </c>
      <c r="L2082" s="9">
        <v>2023</v>
      </c>
      <c r="M2082" s="8" t="s">
        <v>12728</v>
      </c>
      <c r="N2082" s="8" t="s">
        <v>56</v>
      </c>
      <c r="O2082" s="8" t="s">
        <v>57</v>
      </c>
      <c r="P2082" s="6" t="s">
        <v>167</v>
      </c>
      <c r="Q2082" s="8" t="s">
        <v>279</v>
      </c>
      <c r="R2082" s="10" t="s">
        <v>12729</v>
      </c>
      <c r="S2082" s="11"/>
      <c r="T2082" s="6"/>
      <c r="U2082" s="24" t="str">
        <f>HYPERLINK("https://media.infra-m.ru/1862/1862771/cover/1862771.jpg", "Обложка")</f>
        <v>Обложка</v>
      </c>
      <c r="V2082" s="24" t="str">
        <f>HYPERLINK("https://znanium.ru/catalog/product/1862771", "Ознакомиться")</f>
        <v>Ознакомиться</v>
      </c>
      <c r="W2082" s="8" t="s">
        <v>12730</v>
      </c>
      <c r="X2082" s="6"/>
      <c r="Y2082" s="6"/>
      <c r="Z2082" s="6"/>
      <c r="AA2082" s="6" t="s">
        <v>207</v>
      </c>
      <c r="AB2082" s="8"/>
    </row>
    <row r="2083" spans="1:28" s="4" customFormat="1" ht="51.95" customHeight="1">
      <c r="A2083" s="5">
        <v>0</v>
      </c>
      <c r="B2083" s="6" t="s">
        <v>12731</v>
      </c>
      <c r="C2083" s="7">
        <v>930</v>
      </c>
      <c r="D2083" s="8" t="s">
        <v>12732</v>
      </c>
      <c r="E2083" s="8" t="s">
        <v>12733</v>
      </c>
      <c r="F2083" s="8" t="s">
        <v>12734</v>
      </c>
      <c r="G2083" s="6" t="s">
        <v>38</v>
      </c>
      <c r="H2083" s="6" t="s">
        <v>53</v>
      </c>
      <c r="I2083" s="8" t="s">
        <v>116</v>
      </c>
      <c r="J2083" s="9">
        <v>1</v>
      </c>
      <c r="K2083" s="9">
        <v>200</v>
      </c>
      <c r="L2083" s="9">
        <v>2024</v>
      </c>
      <c r="M2083" s="8" t="s">
        <v>12735</v>
      </c>
      <c r="N2083" s="8" t="s">
        <v>41</v>
      </c>
      <c r="O2083" s="8" t="s">
        <v>278</v>
      </c>
      <c r="P2083" s="6" t="s">
        <v>43</v>
      </c>
      <c r="Q2083" s="8" t="s">
        <v>44</v>
      </c>
      <c r="R2083" s="10" t="s">
        <v>12736</v>
      </c>
      <c r="S2083" s="11" t="s">
        <v>12737</v>
      </c>
      <c r="T2083" s="6"/>
      <c r="U2083" s="24" t="str">
        <f>HYPERLINK("https://media.infra-m.ru/2054/2054987/cover/2054987.jpg", "Обложка")</f>
        <v>Обложка</v>
      </c>
      <c r="V2083" s="24" t="str">
        <f>HYPERLINK("https://znanium.ru/catalog/product/2157610", "Ознакомиться")</f>
        <v>Ознакомиться</v>
      </c>
      <c r="W2083" s="8" t="s">
        <v>1345</v>
      </c>
      <c r="X2083" s="6"/>
      <c r="Y2083" s="6"/>
      <c r="Z2083" s="6"/>
      <c r="AA2083" s="6" t="s">
        <v>1461</v>
      </c>
      <c r="AB2083" s="8"/>
    </row>
    <row r="2084" spans="1:28" s="4" customFormat="1" ht="51.95" customHeight="1">
      <c r="A2084" s="5">
        <v>0</v>
      </c>
      <c r="B2084" s="6" t="s">
        <v>12738</v>
      </c>
      <c r="C2084" s="13">
        <v>1554</v>
      </c>
      <c r="D2084" s="8" t="s">
        <v>12739</v>
      </c>
      <c r="E2084" s="8" t="s">
        <v>12740</v>
      </c>
      <c r="F2084" s="8" t="s">
        <v>12741</v>
      </c>
      <c r="G2084" s="6" t="s">
        <v>38</v>
      </c>
      <c r="H2084" s="6" t="s">
        <v>39</v>
      </c>
      <c r="I2084" s="8" t="s">
        <v>185</v>
      </c>
      <c r="J2084" s="9">
        <v>1</v>
      </c>
      <c r="K2084" s="9">
        <v>336</v>
      </c>
      <c r="L2084" s="9">
        <v>2024</v>
      </c>
      <c r="M2084" s="8" t="s">
        <v>12742</v>
      </c>
      <c r="N2084" s="8" t="s">
        <v>41</v>
      </c>
      <c r="O2084" s="8" t="s">
        <v>278</v>
      </c>
      <c r="P2084" s="6" t="s">
        <v>43</v>
      </c>
      <c r="Q2084" s="8" t="s">
        <v>102</v>
      </c>
      <c r="R2084" s="10" t="s">
        <v>12743</v>
      </c>
      <c r="S2084" s="11" t="s">
        <v>12744</v>
      </c>
      <c r="T2084" s="6"/>
      <c r="U2084" s="24" t="str">
        <f>HYPERLINK("https://media.infra-m.ru/2058/2058763/cover/2058763.jpg", "Обложка")</f>
        <v>Обложка</v>
      </c>
      <c r="V2084" s="24" t="str">
        <f>HYPERLINK("https://znanium.ru/catalog/product/1068858", "Ознакомиться")</f>
        <v>Ознакомиться</v>
      </c>
      <c r="W2084" s="8" t="s">
        <v>159</v>
      </c>
      <c r="X2084" s="6"/>
      <c r="Y2084" s="6"/>
      <c r="Z2084" s="6"/>
      <c r="AA2084" s="6" t="s">
        <v>479</v>
      </c>
      <c r="AB2084" s="8"/>
    </row>
    <row r="2085" spans="1:28" s="4" customFormat="1" ht="51.95" customHeight="1">
      <c r="A2085" s="5">
        <v>0</v>
      </c>
      <c r="B2085" s="6" t="s">
        <v>12745</v>
      </c>
      <c r="C2085" s="13">
        <v>1130</v>
      </c>
      <c r="D2085" s="8" t="s">
        <v>12746</v>
      </c>
      <c r="E2085" s="8" t="s">
        <v>12747</v>
      </c>
      <c r="F2085" s="8" t="s">
        <v>12748</v>
      </c>
      <c r="G2085" s="6" t="s">
        <v>52</v>
      </c>
      <c r="H2085" s="6" t="s">
        <v>53</v>
      </c>
      <c r="I2085" s="8" t="s">
        <v>116</v>
      </c>
      <c r="J2085" s="9">
        <v>1</v>
      </c>
      <c r="K2085" s="9">
        <v>218</v>
      </c>
      <c r="L2085" s="9">
        <v>2025</v>
      </c>
      <c r="M2085" s="8" t="s">
        <v>12749</v>
      </c>
      <c r="N2085" s="8" t="s">
        <v>41</v>
      </c>
      <c r="O2085" s="8" t="s">
        <v>278</v>
      </c>
      <c r="P2085" s="6" t="s">
        <v>43</v>
      </c>
      <c r="Q2085" s="8" t="s">
        <v>44</v>
      </c>
      <c r="R2085" s="10" t="s">
        <v>12736</v>
      </c>
      <c r="S2085" s="11"/>
      <c r="T2085" s="6"/>
      <c r="U2085" s="24" t="str">
        <f>HYPERLINK("https://media.infra-m.ru/2157/2157610/cover/2157610.jpg", "Обложка")</f>
        <v>Обложка</v>
      </c>
      <c r="V2085" s="24" t="str">
        <f>HYPERLINK("https://znanium.ru/catalog/product/2157610", "Ознакомиться")</f>
        <v>Ознакомиться</v>
      </c>
      <c r="W2085" s="8" t="s">
        <v>1345</v>
      </c>
      <c r="X2085" s="6" t="s">
        <v>1049</v>
      </c>
      <c r="Y2085" s="6"/>
      <c r="Z2085" s="6"/>
      <c r="AA2085" s="6" t="s">
        <v>818</v>
      </c>
      <c r="AB2085" s="8"/>
    </row>
    <row r="2086" spans="1:28" s="4" customFormat="1" ht="51.95" customHeight="1">
      <c r="A2086" s="5">
        <v>0</v>
      </c>
      <c r="B2086" s="6" t="s">
        <v>12750</v>
      </c>
      <c r="C2086" s="7">
        <v>254.9</v>
      </c>
      <c r="D2086" s="8" t="s">
        <v>12751</v>
      </c>
      <c r="E2086" s="8" t="s">
        <v>12752</v>
      </c>
      <c r="F2086" s="8" t="s">
        <v>12753</v>
      </c>
      <c r="G2086" s="6" t="s">
        <v>38</v>
      </c>
      <c r="H2086" s="6" t="s">
        <v>77</v>
      </c>
      <c r="I2086" s="8"/>
      <c r="J2086" s="9">
        <v>1</v>
      </c>
      <c r="K2086" s="9">
        <v>58</v>
      </c>
      <c r="L2086" s="9">
        <v>2021</v>
      </c>
      <c r="M2086" s="8" t="s">
        <v>12754</v>
      </c>
      <c r="N2086" s="8" t="s">
        <v>41</v>
      </c>
      <c r="O2086" s="8" t="s">
        <v>278</v>
      </c>
      <c r="P2086" s="6" t="s">
        <v>43</v>
      </c>
      <c r="Q2086" s="8" t="s">
        <v>44</v>
      </c>
      <c r="R2086" s="10" t="s">
        <v>1278</v>
      </c>
      <c r="S2086" s="11"/>
      <c r="T2086" s="6"/>
      <c r="U2086" s="24" t="str">
        <f>HYPERLINK("https://media.infra-m.ru/1290/1290482/cover/1290482.jpg", "Обложка")</f>
        <v>Обложка</v>
      </c>
      <c r="V2086" s="24" t="str">
        <f>HYPERLINK("https://znanium.ru/catalog/product/1290482", "Ознакомиться")</f>
        <v>Ознакомиться</v>
      </c>
      <c r="W2086" s="8" t="s">
        <v>3570</v>
      </c>
      <c r="X2086" s="6"/>
      <c r="Y2086" s="6"/>
      <c r="Z2086" s="6"/>
      <c r="AA2086" s="6" t="s">
        <v>84</v>
      </c>
      <c r="AB2086" s="8"/>
    </row>
    <row r="2087" spans="1:28" s="4" customFormat="1" ht="51.95" customHeight="1">
      <c r="A2087" s="5">
        <v>0</v>
      </c>
      <c r="B2087" s="6" t="s">
        <v>12755</v>
      </c>
      <c r="C2087" s="13">
        <v>2294</v>
      </c>
      <c r="D2087" s="8" t="s">
        <v>12756</v>
      </c>
      <c r="E2087" s="8" t="s">
        <v>12757</v>
      </c>
      <c r="F2087" s="8" t="s">
        <v>12758</v>
      </c>
      <c r="G2087" s="6" t="s">
        <v>52</v>
      </c>
      <c r="H2087" s="6" t="s">
        <v>952</v>
      </c>
      <c r="I2087" s="8"/>
      <c r="J2087" s="9">
        <v>1</v>
      </c>
      <c r="K2087" s="9">
        <v>512</v>
      </c>
      <c r="L2087" s="9">
        <v>2024</v>
      </c>
      <c r="M2087" s="8" t="s">
        <v>12759</v>
      </c>
      <c r="N2087" s="8" t="s">
        <v>41</v>
      </c>
      <c r="O2087" s="8" t="s">
        <v>1007</v>
      </c>
      <c r="P2087" s="6" t="s">
        <v>167</v>
      </c>
      <c r="Q2087" s="8" t="s">
        <v>44</v>
      </c>
      <c r="R2087" s="10" t="s">
        <v>12736</v>
      </c>
      <c r="S2087" s="11" t="s">
        <v>12760</v>
      </c>
      <c r="T2087" s="6"/>
      <c r="U2087" s="24" t="str">
        <f>HYPERLINK("https://media.infra-m.ru/2054/2054961/cover/2054961.jpg", "Обложка")</f>
        <v>Обложка</v>
      </c>
      <c r="V2087" s="24" t="str">
        <f>HYPERLINK("https://znanium.ru/catalog/product/1818642", "Ознакомиться")</f>
        <v>Ознакомиться</v>
      </c>
      <c r="W2087" s="8" t="s">
        <v>1345</v>
      </c>
      <c r="X2087" s="6"/>
      <c r="Y2087" s="6"/>
      <c r="Z2087" s="6"/>
      <c r="AA2087" s="6" t="s">
        <v>1461</v>
      </c>
      <c r="AB2087" s="8"/>
    </row>
    <row r="2088" spans="1:28" s="4" customFormat="1" ht="51.95" customHeight="1">
      <c r="A2088" s="5">
        <v>0</v>
      </c>
      <c r="B2088" s="6" t="s">
        <v>12761</v>
      </c>
      <c r="C2088" s="13">
        <v>1660</v>
      </c>
      <c r="D2088" s="8" t="s">
        <v>12762</v>
      </c>
      <c r="E2088" s="8" t="s">
        <v>12757</v>
      </c>
      <c r="F2088" s="8" t="s">
        <v>12763</v>
      </c>
      <c r="G2088" s="6" t="s">
        <v>89</v>
      </c>
      <c r="H2088" s="6" t="s">
        <v>77</v>
      </c>
      <c r="I2088" s="8"/>
      <c r="J2088" s="9">
        <v>1</v>
      </c>
      <c r="K2088" s="9">
        <v>368</v>
      </c>
      <c r="L2088" s="9">
        <v>2024</v>
      </c>
      <c r="M2088" s="8" t="s">
        <v>12764</v>
      </c>
      <c r="N2088" s="8" t="s">
        <v>41</v>
      </c>
      <c r="O2088" s="8" t="s">
        <v>278</v>
      </c>
      <c r="P2088" s="6" t="s">
        <v>43</v>
      </c>
      <c r="Q2088" s="8" t="s">
        <v>44</v>
      </c>
      <c r="R2088" s="10" t="s">
        <v>8490</v>
      </c>
      <c r="S2088" s="11" t="s">
        <v>12765</v>
      </c>
      <c r="T2088" s="6"/>
      <c r="U2088" s="24" t="str">
        <f>HYPERLINK("https://media.infra-m.ru/2055/2055828/cover/2055828.jpg", "Обложка")</f>
        <v>Обложка</v>
      </c>
      <c r="V2088" s="24" t="str">
        <f>HYPERLINK("https://znanium.ru/catalog/product/1058467", "Ознакомиться")</f>
        <v>Ознакомиться</v>
      </c>
      <c r="W2088" s="8" t="s">
        <v>1514</v>
      </c>
      <c r="X2088" s="6"/>
      <c r="Y2088" s="6"/>
      <c r="Z2088" s="6"/>
      <c r="AA2088" s="6" t="s">
        <v>407</v>
      </c>
      <c r="AB2088" s="8"/>
    </row>
    <row r="2089" spans="1:28" s="4" customFormat="1" ht="51.95" customHeight="1">
      <c r="A2089" s="5">
        <v>0</v>
      </c>
      <c r="B2089" s="6" t="s">
        <v>12766</v>
      </c>
      <c r="C2089" s="7">
        <v>414</v>
      </c>
      <c r="D2089" s="8" t="s">
        <v>12767</v>
      </c>
      <c r="E2089" s="8" t="s">
        <v>12768</v>
      </c>
      <c r="F2089" s="8" t="s">
        <v>12769</v>
      </c>
      <c r="G2089" s="6" t="s">
        <v>26</v>
      </c>
      <c r="H2089" s="6" t="s">
        <v>184</v>
      </c>
      <c r="I2089" s="8" t="s">
        <v>276</v>
      </c>
      <c r="J2089" s="9">
        <v>1</v>
      </c>
      <c r="K2089" s="9">
        <v>88</v>
      </c>
      <c r="L2089" s="9">
        <v>2024</v>
      </c>
      <c r="M2089" s="8" t="s">
        <v>12770</v>
      </c>
      <c r="N2089" s="8" t="s">
        <v>41</v>
      </c>
      <c r="O2089" s="8" t="s">
        <v>278</v>
      </c>
      <c r="P2089" s="6" t="s">
        <v>43</v>
      </c>
      <c r="Q2089" s="8" t="s">
        <v>44</v>
      </c>
      <c r="R2089" s="10" t="s">
        <v>12771</v>
      </c>
      <c r="S2089" s="11" t="s">
        <v>12772</v>
      </c>
      <c r="T2089" s="6"/>
      <c r="U2089" s="24" t="str">
        <f>HYPERLINK("https://media.infra-m.ru/2147/2147927/cover/2147927.jpg", "Обложка")</f>
        <v>Обложка</v>
      </c>
      <c r="V2089" s="24" t="str">
        <f>HYPERLINK("https://znanium.ru/catalog/product/925815", "Ознакомиться")</f>
        <v>Ознакомиться</v>
      </c>
      <c r="W2089" s="8" t="s">
        <v>94</v>
      </c>
      <c r="X2089" s="6"/>
      <c r="Y2089" s="6"/>
      <c r="Z2089" s="6"/>
      <c r="AA2089" s="6" t="s">
        <v>111</v>
      </c>
      <c r="AB2089" s="8"/>
    </row>
    <row r="2090" spans="1:28" s="4" customFormat="1" ht="51.95" customHeight="1">
      <c r="A2090" s="5">
        <v>0</v>
      </c>
      <c r="B2090" s="6" t="s">
        <v>12773</v>
      </c>
      <c r="C2090" s="13">
        <v>1764</v>
      </c>
      <c r="D2090" s="8" t="s">
        <v>12774</v>
      </c>
      <c r="E2090" s="8" t="s">
        <v>12775</v>
      </c>
      <c r="F2090" s="8" t="s">
        <v>12776</v>
      </c>
      <c r="G2090" s="6" t="s">
        <v>52</v>
      </c>
      <c r="H2090" s="6" t="s">
        <v>77</v>
      </c>
      <c r="I2090" s="8"/>
      <c r="J2090" s="9">
        <v>1</v>
      </c>
      <c r="K2090" s="9">
        <v>384</v>
      </c>
      <c r="L2090" s="9">
        <v>2023</v>
      </c>
      <c r="M2090" s="8" t="s">
        <v>12777</v>
      </c>
      <c r="N2090" s="8" t="s">
        <v>41</v>
      </c>
      <c r="O2090" s="8" t="s">
        <v>278</v>
      </c>
      <c r="P2090" s="6" t="s">
        <v>167</v>
      </c>
      <c r="Q2090" s="8" t="s">
        <v>44</v>
      </c>
      <c r="R2090" s="10" t="s">
        <v>12778</v>
      </c>
      <c r="S2090" s="11" t="s">
        <v>12779</v>
      </c>
      <c r="T2090" s="6"/>
      <c r="U2090" s="24" t="str">
        <f>HYPERLINK("https://media.infra-m.ru/1913/1913845/cover/1913845.jpg", "Обложка")</f>
        <v>Обложка</v>
      </c>
      <c r="V2090" s="24" t="str">
        <f>HYPERLINK("https://znanium.ru/catalog/product/1839949", "Ознакомиться")</f>
        <v>Ознакомиться</v>
      </c>
      <c r="W2090" s="8" t="s">
        <v>189</v>
      </c>
      <c r="X2090" s="6"/>
      <c r="Y2090" s="6"/>
      <c r="Z2090" s="6"/>
      <c r="AA2090" s="6" t="s">
        <v>72</v>
      </c>
      <c r="AB2090" s="8"/>
    </row>
    <row r="2091" spans="1:28" s="4" customFormat="1" ht="51.95" customHeight="1">
      <c r="A2091" s="5">
        <v>0</v>
      </c>
      <c r="B2091" s="6" t="s">
        <v>12780</v>
      </c>
      <c r="C2091" s="13">
        <v>1060</v>
      </c>
      <c r="D2091" s="8" t="s">
        <v>12781</v>
      </c>
      <c r="E2091" s="8" t="s">
        <v>12775</v>
      </c>
      <c r="F2091" s="8" t="s">
        <v>12782</v>
      </c>
      <c r="G2091" s="6" t="s">
        <v>52</v>
      </c>
      <c r="H2091" s="6" t="s">
        <v>53</v>
      </c>
      <c r="I2091" s="8" t="s">
        <v>100</v>
      </c>
      <c r="J2091" s="9">
        <v>1</v>
      </c>
      <c r="K2091" s="9">
        <v>294</v>
      </c>
      <c r="L2091" s="9">
        <v>2021</v>
      </c>
      <c r="M2091" s="8" t="s">
        <v>12783</v>
      </c>
      <c r="N2091" s="8" t="s">
        <v>41</v>
      </c>
      <c r="O2091" s="8" t="s">
        <v>278</v>
      </c>
      <c r="P2091" s="6" t="s">
        <v>167</v>
      </c>
      <c r="Q2091" s="8" t="s">
        <v>102</v>
      </c>
      <c r="R2091" s="10" t="s">
        <v>12784</v>
      </c>
      <c r="S2091" s="11" t="s">
        <v>12785</v>
      </c>
      <c r="T2091" s="6"/>
      <c r="U2091" s="24" t="str">
        <f>HYPERLINK("https://media.infra-m.ru/1127/1127684/cover/1127684.jpg", "Обложка")</f>
        <v>Обложка</v>
      </c>
      <c r="V2091" s="24" t="str">
        <f>HYPERLINK("https://znanium.ru/catalog/product/1127684", "Ознакомиться")</f>
        <v>Ознакомиться</v>
      </c>
      <c r="W2091" s="8" t="s">
        <v>12467</v>
      </c>
      <c r="X2091" s="6"/>
      <c r="Y2091" s="6"/>
      <c r="Z2091" s="6" t="s">
        <v>104</v>
      </c>
      <c r="AA2091" s="6" t="s">
        <v>219</v>
      </c>
      <c r="AB2091" s="8"/>
    </row>
    <row r="2092" spans="1:28" s="4" customFormat="1" ht="51.95" customHeight="1">
      <c r="A2092" s="5">
        <v>0</v>
      </c>
      <c r="B2092" s="6" t="s">
        <v>12786</v>
      </c>
      <c r="C2092" s="13">
        <v>1320</v>
      </c>
      <c r="D2092" s="8" t="s">
        <v>12787</v>
      </c>
      <c r="E2092" s="8" t="s">
        <v>12775</v>
      </c>
      <c r="F2092" s="8" t="s">
        <v>12782</v>
      </c>
      <c r="G2092" s="6" t="s">
        <v>89</v>
      </c>
      <c r="H2092" s="6" t="s">
        <v>53</v>
      </c>
      <c r="I2092" s="8" t="s">
        <v>90</v>
      </c>
      <c r="J2092" s="9">
        <v>1</v>
      </c>
      <c r="K2092" s="9">
        <v>294</v>
      </c>
      <c r="L2092" s="9">
        <v>2023</v>
      </c>
      <c r="M2092" s="8" t="s">
        <v>12788</v>
      </c>
      <c r="N2092" s="8" t="s">
        <v>41</v>
      </c>
      <c r="O2092" s="8" t="s">
        <v>278</v>
      </c>
      <c r="P2092" s="6" t="s">
        <v>167</v>
      </c>
      <c r="Q2092" s="8" t="s">
        <v>44</v>
      </c>
      <c r="R2092" s="10" t="s">
        <v>1270</v>
      </c>
      <c r="S2092" s="11" t="s">
        <v>12789</v>
      </c>
      <c r="T2092" s="6"/>
      <c r="U2092" s="24" t="str">
        <f>HYPERLINK("https://media.infra-m.ru/1933/1933163/cover/1933163.jpg", "Обложка")</f>
        <v>Обложка</v>
      </c>
      <c r="V2092" s="24" t="str">
        <f>HYPERLINK("https://znanium.ru/catalog/product/1933163", "Ознакомиться")</f>
        <v>Ознакомиться</v>
      </c>
      <c r="W2092" s="8" t="s">
        <v>12467</v>
      </c>
      <c r="X2092" s="6"/>
      <c r="Y2092" s="6"/>
      <c r="Z2092" s="6"/>
      <c r="AA2092" s="6" t="s">
        <v>793</v>
      </c>
      <c r="AB2092" s="8"/>
    </row>
    <row r="2093" spans="1:28" s="4" customFormat="1" ht="51.95" customHeight="1">
      <c r="A2093" s="5">
        <v>0</v>
      </c>
      <c r="B2093" s="6" t="s">
        <v>12790</v>
      </c>
      <c r="C2093" s="13">
        <v>1204</v>
      </c>
      <c r="D2093" s="8" t="s">
        <v>12791</v>
      </c>
      <c r="E2093" s="8" t="s">
        <v>12792</v>
      </c>
      <c r="F2093" s="8" t="s">
        <v>12793</v>
      </c>
      <c r="G2093" s="6" t="s">
        <v>52</v>
      </c>
      <c r="H2093" s="6" t="s">
        <v>53</v>
      </c>
      <c r="I2093" s="8" t="s">
        <v>90</v>
      </c>
      <c r="J2093" s="9">
        <v>1</v>
      </c>
      <c r="K2093" s="9">
        <v>240</v>
      </c>
      <c r="L2093" s="9">
        <v>2025</v>
      </c>
      <c r="M2093" s="8" t="s">
        <v>12794</v>
      </c>
      <c r="N2093" s="8" t="s">
        <v>41</v>
      </c>
      <c r="O2093" s="8" t="s">
        <v>278</v>
      </c>
      <c r="P2093" s="6" t="s">
        <v>43</v>
      </c>
      <c r="Q2093" s="8" t="s">
        <v>44</v>
      </c>
      <c r="R2093" s="10" t="s">
        <v>12795</v>
      </c>
      <c r="S2093" s="11" t="s">
        <v>12796</v>
      </c>
      <c r="T2093" s="6"/>
      <c r="U2093" s="24" t="str">
        <f>HYPERLINK("https://media.infra-m.ru/2186/2186895/cover/2186895.jpg", "Обложка")</f>
        <v>Обложка</v>
      </c>
      <c r="V2093" s="24" t="str">
        <f>HYPERLINK("https://znanium.ru/catalog/product/1903241", "Ознакомиться")</f>
        <v>Ознакомиться</v>
      </c>
      <c r="W2093" s="8" t="s">
        <v>189</v>
      </c>
      <c r="X2093" s="6"/>
      <c r="Y2093" s="6"/>
      <c r="Z2093" s="6"/>
      <c r="AA2093" s="6" t="s">
        <v>122</v>
      </c>
      <c r="AB2093" s="8"/>
    </row>
    <row r="2094" spans="1:28" s="4" customFormat="1" ht="51.95" customHeight="1">
      <c r="A2094" s="5">
        <v>0</v>
      </c>
      <c r="B2094" s="6" t="s">
        <v>12797</v>
      </c>
      <c r="C2094" s="13">
        <v>1484</v>
      </c>
      <c r="D2094" s="8" t="s">
        <v>12798</v>
      </c>
      <c r="E2094" s="8" t="s">
        <v>12799</v>
      </c>
      <c r="F2094" s="8" t="s">
        <v>12800</v>
      </c>
      <c r="G2094" s="6" t="s">
        <v>52</v>
      </c>
      <c r="H2094" s="6" t="s">
        <v>53</v>
      </c>
      <c r="I2094" s="8" t="s">
        <v>90</v>
      </c>
      <c r="J2094" s="9">
        <v>1</v>
      </c>
      <c r="K2094" s="9">
        <v>285</v>
      </c>
      <c r="L2094" s="9">
        <v>2025</v>
      </c>
      <c r="M2094" s="8" t="s">
        <v>12801</v>
      </c>
      <c r="N2094" s="8" t="s">
        <v>41</v>
      </c>
      <c r="O2094" s="8" t="s">
        <v>278</v>
      </c>
      <c r="P2094" s="6" t="s">
        <v>167</v>
      </c>
      <c r="Q2094" s="8" t="s">
        <v>44</v>
      </c>
      <c r="R2094" s="10" t="s">
        <v>12802</v>
      </c>
      <c r="S2094" s="11" t="s">
        <v>12803</v>
      </c>
      <c r="T2094" s="6"/>
      <c r="U2094" s="24" t="str">
        <f>HYPERLINK("https://media.infra-m.ru/2192/2192227/cover/2192227.jpg", "Обложка")</f>
        <v>Обложка</v>
      </c>
      <c r="V2094" s="24" t="str">
        <f>HYPERLINK("https://znanium.ru/catalog/product/1843634", "Ознакомиться")</f>
        <v>Ознакомиться</v>
      </c>
      <c r="W2094" s="8" t="s">
        <v>83</v>
      </c>
      <c r="X2094" s="6"/>
      <c r="Y2094" s="6"/>
      <c r="Z2094" s="6"/>
      <c r="AA2094" s="6" t="s">
        <v>479</v>
      </c>
      <c r="AB2094" s="8"/>
    </row>
    <row r="2095" spans="1:28" s="4" customFormat="1" ht="51.95" customHeight="1">
      <c r="A2095" s="5">
        <v>0</v>
      </c>
      <c r="B2095" s="6" t="s">
        <v>12804</v>
      </c>
      <c r="C2095" s="13">
        <v>1559</v>
      </c>
      <c r="D2095" s="8" t="s">
        <v>12805</v>
      </c>
      <c r="E2095" s="8" t="s">
        <v>12806</v>
      </c>
      <c r="F2095" s="8" t="s">
        <v>12807</v>
      </c>
      <c r="G2095" s="6" t="s">
        <v>89</v>
      </c>
      <c r="H2095" s="6" t="s">
        <v>39</v>
      </c>
      <c r="I2095" s="8" t="s">
        <v>100</v>
      </c>
      <c r="J2095" s="9">
        <v>1</v>
      </c>
      <c r="K2095" s="9">
        <v>223</v>
      </c>
      <c r="L2095" s="9">
        <v>2025</v>
      </c>
      <c r="M2095" s="8" t="s">
        <v>12808</v>
      </c>
      <c r="N2095" s="8" t="s">
        <v>56</v>
      </c>
      <c r="O2095" s="8" t="s">
        <v>2183</v>
      </c>
      <c r="P2095" s="6" t="s">
        <v>43</v>
      </c>
      <c r="Q2095" s="8" t="s">
        <v>102</v>
      </c>
      <c r="R2095" s="10" t="s">
        <v>12809</v>
      </c>
      <c r="S2095" s="11" t="s">
        <v>12810</v>
      </c>
      <c r="T2095" s="6"/>
      <c r="U2095" s="24" t="str">
        <f>HYPERLINK("https://media.infra-m.ru/2184/2184933/cover/2184933.jpg", "Обложка")</f>
        <v>Обложка</v>
      </c>
      <c r="V2095" s="24" t="str">
        <f>HYPERLINK("https://znanium.ru/catalog/product/2125931", "Ознакомиться")</f>
        <v>Ознакомиться</v>
      </c>
      <c r="W2095" s="8" t="s">
        <v>94</v>
      </c>
      <c r="X2095" s="6"/>
      <c r="Y2095" s="6"/>
      <c r="Z2095" s="6" t="s">
        <v>104</v>
      </c>
      <c r="AA2095" s="6" t="s">
        <v>793</v>
      </c>
      <c r="AB2095" s="8"/>
    </row>
    <row r="2096" spans="1:28" s="4" customFormat="1" ht="51.95" customHeight="1">
      <c r="A2096" s="5">
        <v>0</v>
      </c>
      <c r="B2096" s="6" t="s">
        <v>12811</v>
      </c>
      <c r="C2096" s="13">
        <v>1367</v>
      </c>
      <c r="D2096" s="8" t="s">
        <v>12812</v>
      </c>
      <c r="E2096" s="8" t="s">
        <v>12806</v>
      </c>
      <c r="F2096" s="8" t="s">
        <v>12807</v>
      </c>
      <c r="G2096" s="6" t="s">
        <v>38</v>
      </c>
      <c r="H2096" s="6" t="s">
        <v>39</v>
      </c>
      <c r="I2096" s="8" t="s">
        <v>116</v>
      </c>
      <c r="J2096" s="9">
        <v>1</v>
      </c>
      <c r="K2096" s="9">
        <v>224</v>
      </c>
      <c r="L2096" s="9">
        <v>2024</v>
      </c>
      <c r="M2096" s="8" t="s">
        <v>12813</v>
      </c>
      <c r="N2096" s="8" t="s">
        <v>56</v>
      </c>
      <c r="O2096" s="8" t="s">
        <v>2183</v>
      </c>
      <c r="P2096" s="6" t="s">
        <v>43</v>
      </c>
      <c r="Q2096" s="8" t="s">
        <v>44</v>
      </c>
      <c r="R2096" s="10" t="s">
        <v>12814</v>
      </c>
      <c r="S2096" s="11"/>
      <c r="T2096" s="6"/>
      <c r="U2096" s="24" t="str">
        <f>HYPERLINK("https://media.infra-m.ru/2085/2085054/cover/2085054.jpg", "Обложка")</f>
        <v>Обложка</v>
      </c>
      <c r="V2096" s="12"/>
      <c r="W2096" s="8" t="s">
        <v>94</v>
      </c>
      <c r="X2096" s="6"/>
      <c r="Y2096" s="6"/>
      <c r="Z2096" s="6"/>
      <c r="AA2096" s="6" t="s">
        <v>84</v>
      </c>
      <c r="AB2096" s="8"/>
    </row>
    <row r="2097" spans="1:28" s="4" customFormat="1" ht="51.95" customHeight="1">
      <c r="A2097" s="5">
        <v>0</v>
      </c>
      <c r="B2097" s="6" t="s">
        <v>12815</v>
      </c>
      <c r="C2097" s="13">
        <v>2060</v>
      </c>
      <c r="D2097" s="8" t="s">
        <v>12816</v>
      </c>
      <c r="E2097" s="8" t="s">
        <v>12817</v>
      </c>
      <c r="F2097" s="8" t="s">
        <v>12818</v>
      </c>
      <c r="G2097" s="6" t="s">
        <v>52</v>
      </c>
      <c r="H2097" s="6" t="s">
        <v>53</v>
      </c>
      <c r="I2097" s="8" t="s">
        <v>116</v>
      </c>
      <c r="J2097" s="9">
        <v>1</v>
      </c>
      <c r="K2097" s="9">
        <v>412</v>
      </c>
      <c r="L2097" s="9">
        <v>2025</v>
      </c>
      <c r="M2097" s="8" t="s">
        <v>12819</v>
      </c>
      <c r="N2097" s="8" t="s">
        <v>79</v>
      </c>
      <c r="O2097" s="8" t="s">
        <v>396</v>
      </c>
      <c r="P2097" s="6" t="s">
        <v>43</v>
      </c>
      <c r="Q2097" s="8" t="s">
        <v>58</v>
      </c>
      <c r="R2097" s="10" t="s">
        <v>12820</v>
      </c>
      <c r="S2097" s="11" t="s">
        <v>12821</v>
      </c>
      <c r="T2097" s="6"/>
      <c r="U2097" s="24" t="str">
        <f>HYPERLINK("https://media.infra-m.ru/2172/2172251/cover/2172251.jpg", "Обложка")</f>
        <v>Обложка</v>
      </c>
      <c r="V2097" s="24" t="str">
        <f>HYPERLINK("https://znanium.ru/catalog/product/2172251", "Ознакомиться")</f>
        <v>Ознакомиться</v>
      </c>
      <c r="W2097" s="8" t="s">
        <v>5825</v>
      </c>
      <c r="X2097" s="6"/>
      <c r="Y2097" s="6"/>
      <c r="Z2097" s="6"/>
      <c r="AA2097" s="6" t="s">
        <v>72</v>
      </c>
      <c r="AB2097" s="8"/>
    </row>
    <row r="2098" spans="1:28" s="4" customFormat="1" ht="51.95" customHeight="1">
      <c r="A2098" s="5">
        <v>0</v>
      </c>
      <c r="B2098" s="6" t="s">
        <v>12822</v>
      </c>
      <c r="C2098" s="13">
        <v>1320</v>
      </c>
      <c r="D2098" s="8" t="s">
        <v>12823</v>
      </c>
      <c r="E2098" s="8" t="s">
        <v>12824</v>
      </c>
      <c r="F2098" s="8" t="s">
        <v>12825</v>
      </c>
      <c r="G2098" s="6" t="s">
        <v>89</v>
      </c>
      <c r="H2098" s="6" t="s">
        <v>53</v>
      </c>
      <c r="I2098" s="8" t="s">
        <v>3356</v>
      </c>
      <c r="J2098" s="9">
        <v>1</v>
      </c>
      <c r="K2098" s="9">
        <v>287</v>
      </c>
      <c r="L2098" s="9">
        <v>2024</v>
      </c>
      <c r="M2098" s="8" t="s">
        <v>12826</v>
      </c>
      <c r="N2098" s="8" t="s">
        <v>79</v>
      </c>
      <c r="O2098" s="8" t="s">
        <v>148</v>
      </c>
      <c r="P2098" s="6" t="s">
        <v>43</v>
      </c>
      <c r="Q2098" s="8" t="s">
        <v>214</v>
      </c>
      <c r="R2098" s="10" t="s">
        <v>12827</v>
      </c>
      <c r="S2098" s="11" t="s">
        <v>5238</v>
      </c>
      <c r="T2098" s="6"/>
      <c r="U2098" s="24" t="str">
        <f>HYPERLINK("https://media.infra-m.ru/2059/2059573/cover/2059573.jpg", "Обложка")</f>
        <v>Обложка</v>
      </c>
      <c r="V2098" s="12"/>
      <c r="W2098" s="8" t="s">
        <v>784</v>
      </c>
      <c r="X2098" s="6"/>
      <c r="Y2098" s="6"/>
      <c r="Z2098" s="6"/>
      <c r="AA2098" s="6" t="s">
        <v>151</v>
      </c>
      <c r="AB2098" s="8"/>
    </row>
    <row r="2099" spans="1:28" s="4" customFormat="1" ht="51.95" customHeight="1">
      <c r="A2099" s="5">
        <v>0</v>
      </c>
      <c r="B2099" s="6" t="s">
        <v>12828</v>
      </c>
      <c r="C2099" s="13">
        <v>1040</v>
      </c>
      <c r="D2099" s="8" t="s">
        <v>12829</v>
      </c>
      <c r="E2099" s="8" t="s">
        <v>12830</v>
      </c>
      <c r="F2099" s="8" t="s">
        <v>12831</v>
      </c>
      <c r="G2099" s="6" t="s">
        <v>89</v>
      </c>
      <c r="H2099" s="6" t="s">
        <v>53</v>
      </c>
      <c r="I2099" s="8" t="s">
        <v>276</v>
      </c>
      <c r="J2099" s="9">
        <v>1</v>
      </c>
      <c r="K2099" s="9">
        <v>224</v>
      </c>
      <c r="L2099" s="9">
        <v>2024</v>
      </c>
      <c r="M2099" s="8" t="s">
        <v>12832</v>
      </c>
      <c r="N2099" s="8" t="s">
        <v>41</v>
      </c>
      <c r="O2099" s="8" t="s">
        <v>42</v>
      </c>
      <c r="P2099" s="6" t="s">
        <v>43</v>
      </c>
      <c r="Q2099" s="8" t="s">
        <v>279</v>
      </c>
      <c r="R2099" s="10" t="s">
        <v>12833</v>
      </c>
      <c r="S2099" s="11" t="s">
        <v>12834</v>
      </c>
      <c r="T2099" s="6"/>
      <c r="U2099" s="24" t="str">
        <f>HYPERLINK("https://media.infra-m.ru/2119/2119933/cover/2119933.jpg", "Обложка")</f>
        <v>Обложка</v>
      </c>
      <c r="V2099" s="24" t="str">
        <f>HYPERLINK("https://znanium.ru/catalog/product/2119933", "Ознакомиться")</f>
        <v>Ознакомиться</v>
      </c>
      <c r="W2099" s="8" t="s">
        <v>12835</v>
      </c>
      <c r="X2099" s="6"/>
      <c r="Y2099" s="6"/>
      <c r="Z2099" s="6"/>
      <c r="AA2099" s="6" t="s">
        <v>84</v>
      </c>
      <c r="AB2099" s="8"/>
    </row>
    <row r="2100" spans="1:28" s="4" customFormat="1" ht="51.95" customHeight="1">
      <c r="A2100" s="5">
        <v>0</v>
      </c>
      <c r="B2100" s="6" t="s">
        <v>12836</v>
      </c>
      <c r="C2100" s="13">
        <v>1154</v>
      </c>
      <c r="D2100" s="8" t="s">
        <v>12837</v>
      </c>
      <c r="E2100" s="8" t="s">
        <v>12838</v>
      </c>
      <c r="F2100" s="8" t="s">
        <v>12839</v>
      </c>
      <c r="G2100" s="6" t="s">
        <v>89</v>
      </c>
      <c r="H2100" s="6" t="s">
        <v>53</v>
      </c>
      <c r="I2100" s="8" t="s">
        <v>90</v>
      </c>
      <c r="J2100" s="9">
        <v>1</v>
      </c>
      <c r="K2100" s="9">
        <v>230</v>
      </c>
      <c r="L2100" s="9">
        <v>2025</v>
      </c>
      <c r="M2100" s="8" t="s">
        <v>12840</v>
      </c>
      <c r="N2100" s="8" t="s">
        <v>41</v>
      </c>
      <c r="O2100" s="8" t="s">
        <v>42</v>
      </c>
      <c r="P2100" s="6" t="s">
        <v>43</v>
      </c>
      <c r="Q2100" s="8" t="s">
        <v>44</v>
      </c>
      <c r="R2100" s="10" t="s">
        <v>12841</v>
      </c>
      <c r="S2100" s="11" t="s">
        <v>12078</v>
      </c>
      <c r="T2100" s="6"/>
      <c r="U2100" s="24" t="str">
        <f>HYPERLINK("https://media.infra-m.ru/2192/2192153/cover/2192153.jpg", "Обложка")</f>
        <v>Обложка</v>
      </c>
      <c r="V2100" s="24" t="str">
        <f>HYPERLINK("https://znanium.ru/catalog/product/1898107", "Ознакомиться")</f>
        <v>Ознакомиться</v>
      </c>
      <c r="W2100" s="8" t="s">
        <v>12835</v>
      </c>
      <c r="X2100" s="6"/>
      <c r="Y2100" s="6"/>
      <c r="Z2100" s="6"/>
      <c r="AA2100" s="6" t="s">
        <v>151</v>
      </c>
      <c r="AB2100" s="8"/>
    </row>
    <row r="2101" spans="1:28" s="4" customFormat="1" ht="51.95" customHeight="1">
      <c r="A2101" s="5">
        <v>0</v>
      </c>
      <c r="B2101" s="6" t="s">
        <v>12842</v>
      </c>
      <c r="C2101" s="13">
        <v>1580</v>
      </c>
      <c r="D2101" s="8" t="s">
        <v>12843</v>
      </c>
      <c r="E2101" s="8" t="s">
        <v>12844</v>
      </c>
      <c r="F2101" s="8" t="s">
        <v>12845</v>
      </c>
      <c r="G2101" s="6" t="s">
        <v>89</v>
      </c>
      <c r="H2101" s="6" t="s">
        <v>53</v>
      </c>
      <c r="I2101" s="8" t="s">
        <v>100</v>
      </c>
      <c r="J2101" s="9">
        <v>1</v>
      </c>
      <c r="K2101" s="9">
        <v>316</v>
      </c>
      <c r="L2101" s="9">
        <v>2025</v>
      </c>
      <c r="M2101" s="8" t="s">
        <v>12846</v>
      </c>
      <c r="N2101" s="8" t="s">
        <v>997</v>
      </c>
      <c r="O2101" s="8" t="s">
        <v>998</v>
      </c>
      <c r="P2101" s="6" t="s">
        <v>167</v>
      </c>
      <c r="Q2101" s="8" t="s">
        <v>102</v>
      </c>
      <c r="R2101" s="10" t="s">
        <v>12847</v>
      </c>
      <c r="S2101" s="11" t="s">
        <v>12848</v>
      </c>
      <c r="T2101" s="6"/>
      <c r="U2101" s="24" t="str">
        <f>HYPERLINK("https://media.infra-m.ru/2163/2163910/cover/2163910.jpg", "Обложка")</f>
        <v>Обложка</v>
      </c>
      <c r="V2101" s="24" t="str">
        <f>HYPERLINK("https://znanium.ru/catalog/product/2163910", "Ознакомиться")</f>
        <v>Ознакомиться</v>
      </c>
      <c r="W2101" s="8" t="s">
        <v>12849</v>
      </c>
      <c r="X2101" s="6"/>
      <c r="Y2101" s="6"/>
      <c r="Z2101" s="6"/>
      <c r="AA2101" s="6" t="s">
        <v>219</v>
      </c>
      <c r="AB2101" s="8"/>
    </row>
    <row r="2102" spans="1:28" s="4" customFormat="1" ht="51.95" customHeight="1">
      <c r="A2102" s="5">
        <v>0</v>
      </c>
      <c r="B2102" s="6" t="s">
        <v>12850</v>
      </c>
      <c r="C2102" s="13">
        <v>1934</v>
      </c>
      <c r="D2102" s="8" t="s">
        <v>12851</v>
      </c>
      <c r="E2102" s="8" t="s">
        <v>12852</v>
      </c>
      <c r="F2102" s="8" t="s">
        <v>12853</v>
      </c>
      <c r="G2102" s="6" t="s">
        <v>52</v>
      </c>
      <c r="H2102" s="6" t="s">
        <v>53</v>
      </c>
      <c r="I2102" s="8" t="s">
        <v>90</v>
      </c>
      <c r="J2102" s="9">
        <v>1</v>
      </c>
      <c r="K2102" s="9">
        <v>372</v>
      </c>
      <c r="L2102" s="9">
        <v>2025</v>
      </c>
      <c r="M2102" s="8" t="s">
        <v>12854</v>
      </c>
      <c r="N2102" s="8" t="s">
        <v>413</v>
      </c>
      <c r="O2102" s="8" t="s">
        <v>1141</v>
      </c>
      <c r="P2102" s="6" t="s">
        <v>43</v>
      </c>
      <c r="Q2102" s="8" t="s">
        <v>44</v>
      </c>
      <c r="R2102" s="10" t="s">
        <v>4931</v>
      </c>
      <c r="S2102" s="11" t="s">
        <v>12855</v>
      </c>
      <c r="T2102" s="6"/>
      <c r="U2102" s="24" t="str">
        <f>HYPERLINK("https://media.infra-m.ru/2193/2193088/cover/2193088.jpg", "Обложка")</f>
        <v>Обложка</v>
      </c>
      <c r="V2102" s="24" t="str">
        <f>HYPERLINK("https://znanium.ru/catalog/product/1588756", "Ознакомиться")</f>
        <v>Ознакомиться</v>
      </c>
      <c r="W2102" s="8" t="s">
        <v>1544</v>
      </c>
      <c r="X2102" s="6"/>
      <c r="Y2102" s="6"/>
      <c r="Z2102" s="6"/>
      <c r="AA2102" s="6" t="s">
        <v>2217</v>
      </c>
      <c r="AB2102" s="8"/>
    </row>
    <row r="2103" spans="1:28" s="4" customFormat="1" ht="51.95" customHeight="1">
      <c r="A2103" s="5">
        <v>0</v>
      </c>
      <c r="B2103" s="6" t="s">
        <v>12856</v>
      </c>
      <c r="C2103" s="7">
        <v>740</v>
      </c>
      <c r="D2103" s="8" t="s">
        <v>12857</v>
      </c>
      <c r="E2103" s="8" t="s">
        <v>12858</v>
      </c>
      <c r="F2103" s="8" t="s">
        <v>12859</v>
      </c>
      <c r="G2103" s="6" t="s">
        <v>38</v>
      </c>
      <c r="H2103" s="6" t="s">
        <v>53</v>
      </c>
      <c r="I2103" s="8" t="s">
        <v>100</v>
      </c>
      <c r="J2103" s="9">
        <v>1</v>
      </c>
      <c r="K2103" s="9">
        <v>136</v>
      </c>
      <c r="L2103" s="9">
        <v>2025</v>
      </c>
      <c r="M2103" s="8" t="s">
        <v>12860</v>
      </c>
      <c r="N2103" s="8" t="s">
        <v>413</v>
      </c>
      <c r="O2103" s="8" t="s">
        <v>1141</v>
      </c>
      <c r="P2103" s="6" t="s">
        <v>167</v>
      </c>
      <c r="Q2103" s="8" t="s">
        <v>102</v>
      </c>
      <c r="R2103" s="10" t="s">
        <v>12861</v>
      </c>
      <c r="S2103" s="11" t="s">
        <v>12862</v>
      </c>
      <c r="T2103" s="6"/>
      <c r="U2103" s="24" t="str">
        <f>HYPERLINK("https://media.infra-m.ru/2184/2184921/cover/2184921.jpg", "Обложка")</f>
        <v>Обложка</v>
      </c>
      <c r="V2103" s="24" t="str">
        <f>HYPERLINK("https://znanium.ru/catalog/product/2184921", "Ознакомиться")</f>
        <v>Ознакомиться</v>
      </c>
      <c r="W2103" s="8" t="s">
        <v>2514</v>
      </c>
      <c r="X2103" s="6"/>
      <c r="Y2103" s="6"/>
      <c r="Z2103" s="6"/>
      <c r="AA2103" s="6" t="s">
        <v>494</v>
      </c>
      <c r="AB2103" s="8"/>
    </row>
    <row r="2104" spans="1:28" s="4" customFormat="1" ht="51.95" customHeight="1">
      <c r="A2104" s="5">
        <v>0</v>
      </c>
      <c r="B2104" s="6" t="s">
        <v>12863</v>
      </c>
      <c r="C2104" s="13">
        <v>2444</v>
      </c>
      <c r="D2104" s="8" t="s">
        <v>12864</v>
      </c>
      <c r="E2104" s="8" t="s">
        <v>12865</v>
      </c>
      <c r="F2104" s="8" t="s">
        <v>12866</v>
      </c>
      <c r="G2104" s="6" t="s">
        <v>52</v>
      </c>
      <c r="H2104" s="6" t="s">
        <v>77</v>
      </c>
      <c r="I2104" s="8" t="s">
        <v>150</v>
      </c>
      <c r="J2104" s="9">
        <v>1</v>
      </c>
      <c r="K2104" s="9">
        <v>520</v>
      </c>
      <c r="L2104" s="9">
        <v>2024</v>
      </c>
      <c r="M2104" s="8" t="s">
        <v>12867</v>
      </c>
      <c r="N2104" s="8" t="s">
        <v>413</v>
      </c>
      <c r="O2104" s="8" t="s">
        <v>1141</v>
      </c>
      <c r="P2104" s="6" t="s">
        <v>43</v>
      </c>
      <c r="Q2104" s="8" t="s">
        <v>44</v>
      </c>
      <c r="R2104" s="10" t="s">
        <v>168</v>
      </c>
      <c r="S2104" s="11" t="s">
        <v>12868</v>
      </c>
      <c r="T2104" s="6"/>
      <c r="U2104" s="24" t="str">
        <f>HYPERLINK("https://media.infra-m.ru/2139/2139905/cover/2139905.jpg", "Обложка")</f>
        <v>Обложка</v>
      </c>
      <c r="V2104" s="24" t="str">
        <f>HYPERLINK("https://znanium.ru/catalog/product/1839696", "Ознакомиться")</f>
        <v>Ознакомиться</v>
      </c>
      <c r="W2104" s="8" t="s">
        <v>150</v>
      </c>
      <c r="X2104" s="6"/>
      <c r="Y2104" s="6"/>
      <c r="Z2104" s="6"/>
      <c r="AA2104" s="6" t="s">
        <v>418</v>
      </c>
      <c r="AB2104" s="8"/>
    </row>
    <row r="2105" spans="1:28" s="4" customFormat="1" ht="51.95" customHeight="1">
      <c r="A2105" s="5">
        <v>0</v>
      </c>
      <c r="B2105" s="6" t="s">
        <v>12869</v>
      </c>
      <c r="C2105" s="13">
        <v>2180</v>
      </c>
      <c r="D2105" s="8" t="s">
        <v>12870</v>
      </c>
      <c r="E2105" s="8" t="s">
        <v>12871</v>
      </c>
      <c r="F2105" s="8" t="s">
        <v>12872</v>
      </c>
      <c r="G2105" s="6" t="s">
        <v>52</v>
      </c>
      <c r="H2105" s="6" t="s">
        <v>53</v>
      </c>
      <c r="I2105" s="8" t="s">
        <v>116</v>
      </c>
      <c r="J2105" s="9">
        <v>1</v>
      </c>
      <c r="K2105" s="9">
        <v>472</v>
      </c>
      <c r="L2105" s="9">
        <v>2024</v>
      </c>
      <c r="M2105" s="8" t="s">
        <v>12873</v>
      </c>
      <c r="N2105" s="8" t="s">
        <v>413</v>
      </c>
      <c r="O2105" s="8" t="s">
        <v>1141</v>
      </c>
      <c r="P2105" s="6" t="s">
        <v>167</v>
      </c>
      <c r="Q2105" s="8" t="s">
        <v>44</v>
      </c>
      <c r="R2105" s="10" t="s">
        <v>2461</v>
      </c>
      <c r="S2105" s="11" t="s">
        <v>12874</v>
      </c>
      <c r="T2105" s="6"/>
      <c r="U2105" s="24" t="str">
        <f>HYPERLINK("https://media.infra-m.ru/2079/2079248/cover/2079248.jpg", "Обложка")</f>
        <v>Обложка</v>
      </c>
      <c r="V2105" s="24" t="str">
        <f>HYPERLINK("https://znanium.ru/catalog/product/2079248", "Ознакомиться")</f>
        <v>Ознакомиться</v>
      </c>
      <c r="W2105" s="8" t="s">
        <v>83</v>
      </c>
      <c r="X2105" s="6"/>
      <c r="Y2105" s="6"/>
      <c r="Z2105" s="6"/>
      <c r="AA2105" s="6" t="s">
        <v>72</v>
      </c>
      <c r="AB2105" s="8"/>
    </row>
    <row r="2106" spans="1:28" s="4" customFormat="1" ht="51.95" customHeight="1">
      <c r="A2106" s="5">
        <v>0</v>
      </c>
      <c r="B2106" s="6" t="s">
        <v>12875</v>
      </c>
      <c r="C2106" s="13">
        <v>2704</v>
      </c>
      <c r="D2106" s="8" t="s">
        <v>12876</v>
      </c>
      <c r="E2106" s="8" t="s">
        <v>12877</v>
      </c>
      <c r="F2106" s="8" t="s">
        <v>12878</v>
      </c>
      <c r="G2106" s="6" t="s">
        <v>52</v>
      </c>
      <c r="H2106" s="6" t="s">
        <v>66</v>
      </c>
      <c r="I2106" s="8" t="s">
        <v>116</v>
      </c>
      <c r="J2106" s="9">
        <v>1</v>
      </c>
      <c r="K2106" s="9">
        <v>558</v>
      </c>
      <c r="L2106" s="9">
        <v>2025</v>
      </c>
      <c r="M2106" s="8" t="s">
        <v>12879</v>
      </c>
      <c r="N2106" s="8" t="s">
        <v>413</v>
      </c>
      <c r="O2106" s="8" t="s">
        <v>1141</v>
      </c>
      <c r="P2106" s="6" t="s">
        <v>167</v>
      </c>
      <c r="Q2106" s="8" t="s">
        <v>44</v>
      </c>
      <c r="R2106" s="10" t="s">
        <v>12880</v>
      </c>
      <c r="S2106" s="11" t="s">
        <v>12881</v>
      </c>
      <c r="T2106" s="6"/>
      <c r="U2106" s="24" t="str">
        <f>HYPERLINK("https://media.infra-m.ru/2186/2186870/cover/2186870.jpg", "Обложка")</f>
        <v>Обложка</v>
      </c>
      <c r="V2106" s="24" t="str">
        <f>HYPERLINK("https://znanium.ru/catalog/product/1052226", "Ознакомиться")</f>
        <v>Ознакомиться</v>
      </c>
      <c r="W2106" s="8" t="s">
        <v>71</v>
      </c>
      <c r="X2106" s="6"/>
      <c r="Y2106" s="6"/>
      <c r="Z2106" s="6"/>
      <c r="AA2106" s="6" t="s">
        <v>12882</v>
      </c>
      <c r="AB2106" s="8"/>
    </row>
    <row r="2107" spans="1:28" s="4" customFormat="1" ht="51.95" customHeight="1">
      <c r="A2107" s="5">
        <v>0</v>
      </c>
      <c r="B2107" s="6" t="s">
        <v>12883</v>
      </c>
      <c r="C2107" s="13">
        <v>1574.9</v>
      </c>
      <c r="D2107" s="8" t="s">
        <v>12884</v>
      </c>
      <c r="E2107" s="8" t="s">
        <v>12885</v>
      </c>
      <c r="F2107" s="8" t="s">
        <v>12886</v>
      </c>
      <c r="G2107" s="6" t="s">
        <v>52</v>
      </c>
      <c r="H2107" s="6" t="s">
        <v>184</v>
      </c>
      <c r="I2107" s="8" t="s">
        <v>90</v>
      </c>
      <c r="J2107" s="9">
        <v>1</v>
      </c>
      <c r="K2107" s="9">
        <v>374</v>
      </c>
      <c r="L2107" s="9">
        <v>2022</v>
      </c>
      <c r="M2107" s="8" t="s">
        <v>12887</v>
      </c>
      <c r="N2107" s="8" t="s">
        <v>413</v>
      </c>
      <c r="O2107" s="8" t="s">
        <v>1141</v>
      </c>
      <c r="P2107" s="6" t="s">
        <v>167</v>
      </c>
      <c r="Q2107" s="8" t="s">
        <v>44</v>
      </c>
      <c r="R2107" s="10" t="s">
        <v>168</v>
      </c>
      <c r="S2107" s="11" t="s">
        <v>12888</v>
      </c>
      <c r="T2107" s="6"/>
      <c r="U2107" s="24" t="str">
        <f>HYPERLINK("https://media.infra-m.ru/1873/1873257/cover/1873257.jpg", "Обложка")</f>
        <v>Обложка</v>
      </c>
      <c r="V2107" s="24" t="str">
        <f>HYPERLINK("https://znanium.ru/catalog/product/937964", "Ознакомиться")</f>
        <v>Ознакомиться</v>
      </c>
      <c r="W2107" s="8" t="s">
        <v>12889</v>
      </c>
      <c r="X2107" s="6"/>
      <c r="Y2107" s="6"/>
      <c r="Z2107" s="6"/>
      <c r="AA2107" s="6" t="s">
        <v>418</v>
      </c>
      <c r="AB2107" s="8"/>
    </row>
    <row r="2108" spans="1:28" s="4" customFormat="1" ht="51.95" customHeight="1">
      <c r="A2108" s="5">
        <v>0</v>
      </c>
      <c r="B2108" s="6" t="s">
        <v>12890</v>
      </c>
      <c r="C2108" s="7">
        <v>754</v>
      </c>
      <c r="D2108" s="8" t="s">
        <v>12891</v>
      </c>
      <c r="E2108" s="8" t="s">
        <v>12892</v>
      </c>
      <c r="F2108" s="8" t="s">
        <v>12893</v>
      </c>
      <c r="G2108" s="6" t="s">
        <v>38</v>
      </c>
      <c r="H2108" s="6" t="s">
        <v>39</v>
      </c>
      <c r="I2108" s="8" t="s">
        <v>185</v>
      </c>
      <c r="J2108" s="9">
        <v>1</v>
      </c>
      <c r="K2108" s="9">
        <v>144</v>
      </c>
      <c r="L2108" s="9">
        <v>2025</v>
      </c>
      <c r="M2108" s="8" t="s">
        <v>12894</v>
      </c>
      <c r="N2108" s="8" t="s">
        <v>413</v>
      </c>
      <c r="O2108" s="8" t="s">
        <v>1141</v>
      </c>
      <c r="P2108" s="6" t="s">
        <v>43</v>
      </c>
      <c r="Q2108" s="8" t="s">
        <v>102</v>
      </c>
      <c r="R2108" s="10" t="s">
        <v>12895</v>
      </c>
      <c r="S2108" s="11"/>
      <c r="T2108" s="6"/>
      <c r="U2108" s="24" t="str">
        <f>HYPERLINK("https://media.infra-m.ru/2187/2187034/cover/2187034.jpg", "Обложка")</f>
        <v>Обложка</v>
      </c>
      <c r="V2108" s="24" t="str">
        <f>HYPERLINK("https://znanium.ru/catalog/product/1081982", "Ознакомиться")</f>
        <v>Ознакомиться</v>
      </c>
      <c r="W2108" s="8" t="s">
        <v>12896</v>
      </c>
      <c r="X2108" s="6"/>
      <c r="Y2108" s="6"/>
      <c r="Z2108" s="6"/>
      <c r="AA2108" s="6" t="s">
        <v>47</v>
      </c>
      <c r="AB2108" s="8"/>
    </row>
    <row r="2109" spans="1:28" s="4" customFormat="1" ht="51.95" customHeight="1">
      <c r="A2109" s="5">
        <v>0</v>
      </c>
      <c r="B2109" s="6" t="s">
        <v>12897</v>
      </c>
      <c r="C2109" s="13">
        <v>1524</v>
      </c>
      <c r="D2109" s="8" t="s">
        <v>12898</v>
      </c>
      <c r="E2109" s="8" t="s">
        <v>12899</v>
      </c>
      <c r="F2109" s="8" t="s">
        <v>12900</v>
      </c>
      <c r="G2109" s="6" t="s">
        <v>89</v>
      </c>
      <c r="H2109" s="6" t="s">
        <v>438</v>
      </c>
      <c r="I2109" s="8" t="s">
        <v>100</v>
      </c>
      <c r="J2109" s="9">
        <v>1</v>
      </c>
      <c r="K2109" s="9">
        <v>304</v>
      </c>
      <c r="L2109" s="9">
        <v>2025</v>
      </c>
      <c r="M2109" s="8" t="s">
        <v>12901</v>
      </c>
      <c r="N2109" s="8" t="s">
        <v>413</v>
      </c>
      <c r="O2109" s="8" t="s">
        <v>1141</v>
      </c>
      <c r="P2109" s="6" t="s">
        <v>167</v>
      </c>
      <c r="Q2109" s="8" t="s">
        <v>102</v>
      </c>
      <c r="R2109" s="10" t="s">
        <v>12902</v>
      </c>
      <c r="S2109" s="11"/>
      <c r="T2109" s="6"/>
      <c r="U2109" s="24" t="str">
        <f>HYPERLINK("https://media.infra-m.ru/2187/2187035/cover/2187035.jpg", "Обложка")</f>
        <v>Обложка</v>
      </c>
      <c r="V2109" s="24" t="str">
        <f>HYPERLINK("https://znanium.ru/catalog/product/2135282", "Ознакомиться")</f>
        <v>Ознакомиться</v>
      </c>
      <c r="W2109" s="8" t="s">
        <v>2216</v>
      </c>
      <c r="X2109" s="6"/>
      <c r="Y2109" s="6"/>
      <c r="Z2109" s="6"/>
      <c r="AA2109" s="6" t="s">
        <v>442</v>
      </c>
      <c r="AB2109" s="8"/>
    </row>
    <row r="2110" spans="1:28" s="4" customFormat="1" ht="51.95" customHeight="1">
      <c r="A2110" s="5">
        <v>0</v>
      </c>
      <c r="B2110" s="6" t="s">
        <v>12903</v>
      </c>
      <c r="C2110" s="13">
        <v>1730</v>
      </c>
      <c r="D2110" s="8" t="s">
        <v>12904</v>
      </c>
      <c r="E2110" s="8" t="s">
        <v>12905</v>
      </c>
      <c r="F2110" s="8" t="s">
        <v>12900</v>
      </c>
      <c r="G2110" s="6" t="s">
        <v>89</v>
      </c>
      <c r="H2110" s="6" t="s">
        <v>438</v>
      </c>
      <c r="I2110" s="8" t="s">
        <v>100</v>
      </c>
      <c r="J2110" s="9">
        <v>1</v>
      </c>
      <c r="K2110" s="9">
        <v>368</v>
      </c>
      <c r="L2110" s="9">
        <v>2024</v>
      </c>
      <c r="M2110" s="8" t="s">
        <v>12906</v>
      </c>
      <c r="N2110" s="8" t="s">
        <v>413</v>
      </c>
      <c r="O2110" s="8" t="s">
        <v>1141</v>
      </c>
      <c r="P2110" s="6" t="s">
        <v>167</v>
      </c>
      <c r="Q2110" s="8" t="s">
        <v>102</v>
      </c>
      <c r="R2110" s="10" t="s">
        <v>12907</v>
      </c>
      <c r="S2110" s="11"/>
      <c r="T2110" s="6"/>
      <c r="U2110" s="24" t="str">
        <f>HYPERLINK("https://media.infra-m.ru/2145/2145214/cover/2145214.jpg", "Обложка")</f>
        <v>Обложка</v>
      </c>
      <c r="V2110" s="24" t="str">
        <f>HYPERLINK("https://znanium.ru/catalog/product/2145214", "Ознакомиться")</f>
        <v>Ознакомиться</v>
      </c>
      <c r="W2110" s="8" t="s">
        <v>2216</v>
      </c>
      <c r="X2110" s="6"/>
      <c r="Y2110" s="6"/>
      <c r="Z2110" s="6"/>
      <c r="AA2110" s="6" t="s">
        <v>442</v>
      </c>
      <c r="AB2110" s="8"/>
    </row>
    <row r="2111" spans="1:28" s="4" customFormat="1" ht="51.95" customHeight="1">
      <c r="A2111" s="5">
        <v>0</v>
      </c>
      <c r="B2111" s="6" t="s">
        <v>12908</v>
      </c>
      <c r="C2111" s="13">
        <v>2500</v>
      </c>
      <c r="D2111" s="8" t="s">
        <v>12909</v>
      </c>
      <c r="E2111" s="8" t="s">
        <v>12910</v>
      </c>
      <c r="F2111" s="8" t="s">
        <v>12911</v>
      </c>
      <c r="G2111" s="6" t="s">
        <v>52</v>
      </c>
      <c r="H2111" s="6" t="s">
        <v>53</v>
      </c>
      <c r="I2111" s="8" t="s">
        <v>100</v>
      </c>
      <c r="J2111" s="9">
        <v>1</v>
      </c>
      <c r="K2111" s="9">
        <v>544</v>
      </c>
      <c r="L2111" s="9">
        <v>2024</v>
      </c>
      <c r="M2111" s="8" t="s">
        <v>12912</v>
      </c>
      <c r="N2111" s="8" t="s">
        <v>413</v>
      </c>
      <c r="O2111" s="8" t="s">
        <v>1141</v>
      </c>
      <c r="P2111" s="6" t="s">
        <v>167</v>
      </c>
      <c r="Q2111" s="8" t="s">
        <v>102</v>
      </c>
      <c r="R2111" s="10" t="s">
        <v>12913</v>
      </c>
      <c r="S2111" s="11" t="s">
        <v>12914</v>
      </c>
      <c r="T2111" s="6"/>
      <c r="U2111" s="24" t="str">
        <f>HYPERLINK("https://media.infra-m.ru/2132/2132236/cover/2132236.jpg", "Обложка")</f>
        <v>Обложка</v>
      </c>
      <c r="V2111" s="24" t="str">
        <f>HYPERLINK("https://znanium.ru/catalog/product/2132236", "Ознакомиться")</f>
        <v>Ознакомиться</v>
      </c>
      <c r="W2111" s="8" t="s">
        <v>4343</v>
      </c>
      <c r="X2111" s="6"/>
      <c r="Y2111" s="6"/>
      <c r="Z2111" s="6"/>
      <c r="AA2111" s="6" t="s">
        <v>4822</v>
      </c>
      <c r="AB2111" s="8"/>
    </row>
    <row r="2112" spans="1:28" s="4" customFormat="1" ht="51.95" customHeight="1">
      <c r="A2112" s="5">
        <v>0</v>
      </c>
      <c r="B2112" s="6" t="s">
        <v>12915</v>
      </c>
      <c r="C2112" s="13">
        <v>1814</v>
      </c>
      <c r="D2112" s="8" t="s">
        <v>12916</v>
      </c>
      <c r="E2112" s="8" t="s">
        <v>12917</v>
      </c>
      <c r="F2112" s="8" t="s">
        <v>12918</v>
      </c>
      <c r="G2112" s="6" t="s">
        <v>52</v>
      </c>
      <c r="H2112" s="6" t="s">
        <v>53</v>
      </c>
      <c r="I2112" s="8" t="s">
        <v>100</v>
      </c>
      <c r="J2112" s="9">
        <v>1</v>
      </c>
      <c r="K2112" s="9">
        <v>349</v>
      </c>
      <c r="L2112" s="9">
        <v>2025</v>
      </c>
      <c r="M2112" s="8" t="s">
        <v>12919</v>
      </c>
      <c r="N2112" s="8" t="s">
        <v>413</v>
      </c>
      <c r="O2112" s="8" t="s">
        <v>1141</v>
      </c>
      <c r="P2112" s="6" t="s">
        <v>167</v>
      </c>
      <c r="Q2112" s="8" t="s">
        <v>102</v>
      </c>
      <c r="R2112" s="10" t="s">
        <v>12920</v>
      </c>
      <c r="S2112" s="11" t="s">
        <v>12921</v>
      </c>
      <c r="T2112" s="6"/>
      <c r="U2112" s="24" t="str">
        <f>HYPERLINK("https://media.infra-m.ru/2199/2199958/cover/2199958.jpg", "Обложка")</f>
        <v>Обложка</v>
      </c>
      <c r="V2112" s="24" t="str">
        <f>HYPERLINK("https://znanium.ru/catalog/product/2085068", "Ознакомиться")</f>
        <v>Ознакомиться</v>
      </c>
      <c r="W2112" s="8" t="s">
        <v>2343</v>
      </c>
      <c r="X2112" s="6"/>
      <c r="Y2112" s="6"/>
      <c r="Z2112" s="6"/>
      <c r="AA2112" s="6" t="s">
        <v>235</v>
      </c>
      <c r="AB2112" s="8"/>
    </row>
    <row r="2113" spans="1:28" s="4" customFormat="1" ht="51.95" customHeight="1">
      <c r="A2113" s="5">
        <v>0</v>
      </c>
      <c r="B2113" s="6" t="s">
        <v>12922</v>
      </c>
      <c r="C2113" s="7">
        <v>960</v>
      </c>
      <c r="D2113" s="8" t="s">
        <v>12923</v>
      </c>
      <c r="E2113" s="8" t="s">
        <v>12917</v>
      </c>
      <c r="F2113" s="8" t="s">
        <v>12924</v>
      </c>
      <c r="G2113" s="6" t="s">
        <v>89</v>
      </c>
      <c r="H2113" s="6" t="s">
        <v>53</v>
      </c>
      <c r="I2113" s="8" t="s">
        <v>100</v>
      </c>
      <c r="J2113" s="9">
        <v>1</v>
      </c>
      <c r="K2113" s="9">
        <v>204</v>
      </c>
      <c r="L2113" s="9">
        <v>2024</v>
      </c>
      <c r="M2113" s="8" t="s">
        <v>12925</v>
      </c>
      <c r="N2113" s="8" t="s">
        <v>413</v>
      </c>
      <c r="O2113" s="8" t="s">
        <v>1141</v>
      </c>
      <c r="P2113" s="6" t="s">
        <v>167</v>
      </c>
      <c r="Q2113" s="8" t="s">
        <v>102</v>
      </c>
      <c r="R2113" s="10" t="s">
        <v>12926</v>
      </c>
      <c r="S2113" s="11" t="s">
        <v>12927</v>
      </c>
      <c r="T2113" s="6"/>
      <c r="U2113" s="24" t="str">
        <f>HYPERLINK("https://media.infra-m.ru/2136/2136718/cover/2136718.jpg", "Обложка")</f>
        <v>Обложка</v>
      </c>
      <c r="V2113" s="24" t="str">
        <f>HYPERLINK("https://znanium.ru/catalog/product/2136718", "Ознакомиться")</f>
        <v>Ознакомиться</v>
      </c>
      <c r="W2113" s="8" t="s">
        <v>1919</v>
      </c>
      <c r="X2113" s="6"/>
      <c r="Y2113" s="6"/>
      <c r="Z2113" s="6"/>
      <c r="AA2113" s="6" t="s">
        <v>219</v>
      </c>
      <c r="AB2113" s="8" t="s">
        <v>906</v>
      </c>
    </row>
    <row r="2114" spans="1:28" s="4" customFormat="1" ht="51.95" customHeight="1">
      <c r="A2114" s="5">
        <v>0</v>
      </c>
      <c r="B2114" s="6" t="s">
        <v>12928</v>
      </c>
      <c r="C2114" s="7">
        <v>799.9</v>
      </c>
      <c r="D2114" s="8" t="s">
        <v>12929</v>
      </c>
      <c r="E2114" s="8" t="s">
        <v>12917</v>
      </c>
      <c r="F2114" s="8" t="s">
        <v>12930</v>
      </c>
      <c r="G2114" s="6" t="s">
        <v>52</v>
      </c>
      <c r="H2114" s="6" t="s">
        <v>53</v>
      </c>
      <c r="I2114" s="8" t="s">
        <v>100</v>
      </c>
      <c r="J2114" s="9">
        <v>1</v>
      </c>
      <c r="K2114" s="9">
        <v>238</v>
      </c>
      <c r="L2114" s="9">
        <v>2019</v>
      </c>
      <c r="M2114" s="8" t="s">
        <v>12931</v>
      </c>
      <c r="N2114" s="8" t="s">
        <v>413</v>
      </c>
      <c r="O2114" s="8" t="s">
        <v>1141</v>
      </c>
      <c r="P2114" s="6" t="s">
        <v>43</v>
      </c>
      <c r="Q2114" s="8" t="s">
        <v>102</v>
      </c>
      <c r="R2114" s="10" t="s">
        <v>12932</v>
      </c>
      <c r="S2114" s="11" t="s">
        <v>12933</v>
      </c>
      <c r="T2114" s="6"/>
      <c r="U2114" s="24" t="str">
        <f>HYPERLINK("https://media.infra-m.ru/2081/2081755/cover/2081755.jpg", "Обложка")</f>
        <v>Обложка</v>
      </c>
      <c r="V2114" s="24" t="str">
        <f>HYPERLINK("https://znanium.ru/catalog/product/1127760", "Ознакомиться")</f>
        <v>Ознакомиться</v>
      </c>
      <c r="W2114" s="8" t="s">
        <v>12934</v>
      </c>
      <c r="X2114" s="6"/>
      <c r="Y2114" s="6"/>
      <c r="Z2114" s="6"/>
      <c r="AA2114" s="6" t="s">
        <v>258</v>
      </c>
      <c r="AB2114" s="8"/>
    </row>
    <row r="2115" spans="1:28" s="4" customFormat="1" ht="42" customHeight="1">
      <c r="A2115" s="5">
        <v>0</v>
      </c>
      <c r="B2115" s="6" t="s">
        <v>12935</v>
      </c>
      <c r="C2115" s="13">
        <v>2550</v>
      </c>
      <c r="D2115" s="8" t="s">
        <v>12936</v>
      </c>
      <c r="E2115" s="8" t="s">
        <v>12917</v>
      </c>
      <c r="F2115" s="8" t="s">
        <v>12937</v>
      </c>
      <c r="G2115" s="6" t="s">
        <v>52</v>
      </c>
      <c r="H2115" s="6" t="s">
        <v>53</v>
      </c>
      <c r="I2115" s="8" t="s">
        <v>165</v>
      </c>
      <c r="J2115" s="9">
        <v>1</v>
      </c>
      <c r="K2115" s="9">
        <v>543</v>
      </c>
      <c r="L2115" s="9">
        <v>2024</v>
      </c>
      <c r="M2115" s="8" t="s">
        <v>12938</v>
      </c>
      <c r="N2115" s="8" t="s">
        <v>413</v>
      </c>
      <c r="O2115" s="8" t="s">
        <v>1141</v>
      </c>
      <c r="P2115" s="6" t="s">
        <v>43</v>
      </c>
      <c r="Q2115" s="8" t="s">
        <v>58</v>
      </c>
      <c r="R2115" s="10" t="s">
        <v>12939</v>
      </c>
      <c r="S2115" s="11"/>
      <c r="T2115" s="6"/>
      <c r="U2115" s="24" t="str">
        <f>HYPERLINK("https://media.infra-m.ru/2150/2150464/cover/2150464.jpg", "Обложка")</f>
        <v>Обложка</v>
      </c>
      <c r="V2115" s="24" t="str">
        <f>HYPERLINK("https://znanium.ru/catalog/product/2150464", "Ознакомиться")</f>
        <v>Ознакомиться</v>
      </c>
      <c r="W2115" s="8" t="s">
        <v>83</v>
      </c>
      <c r="X2115" s="6"/>
      <c r="Y2115" s="6"/>
      <c r="Z2115" s="6"/>
      <c r="AA2115" s="6" t="s">
        <v>133</v>
      </c>
      <c r="AB2115" s="8"/>
    </row>
    <row r="2116" spans="1:28" s="4" customFormat="1" ht="51.95" customHeight="1">
      <c r="A2116" s="5">
        <v>0</v>
      </c>
      <c r="B2116" s="6" t="s">
        <v>12940</v>
      </c>
      <c r="C2116" s="13">
        <v>1884.9</v>
      </c>
      <c r="D2116" s="8" t="s">
        <v>12941</v>
      </c>
      <c r="E2116" s="8" t="s">
        <v>12917</v>
      </c>
      <c r="F2116" s="8" t="s">
        <v>12942</v>
      </c>
      <c r="G2116" s="6" t="s">
        <v>89</v>
      </c>
      <c r="H2116" s="6" t="s">
        <v>53</v>
      </c>
      <c r="I2116" s="8" t="s">
        <v>90</v>
      </c>
      <c r="J2116" s="9">
        <v>1</v>
      </c>
      <c r="K2116" s="9">
        <v>496</v>
      </c>
      <c r="L2116" s="9">
        <v>2022</v>
      </c>
      <c r="M2116" s="8" t="s">
        <v>12943</v>
      </c>
      <c r="N2116" s="8" t="s">
        <v>413</v>
      </c>
      <c r="O2116" s="8" t="s">
        <v>1141</v>
      </c>
      <c r="P2116" s="6" t="s">
        <v>43</v>
      </c>
      <c r="Q2116" s="8" t="s">
        <v>44</v>
      </c>
      <c r="R2116" s="10" t="s">
        <v>4931</v>
      </c>
      <c r="S2116" s="11" t="s">
        <v>12855</v>
      </c>
      <c r="T2116" s="6"/>
      <c r="U2116" s="24" t="str">
        <f>HYPERLINK("https://media.infra-m.ru/1818/1818645/cover/1818645.jpg", "Обложка")</f>
        <v>Обложка</v>
      </c>
      <c r="V2116" s="24" t="str">
        <f>HYPERLINK("https://znanium.ru/catalog/product/1818645", "Ознакомиться")</f>
        <v>Ознакомиться</v>
      </c>
      <c r="W2116" s="8" t="s">
        <v>1544</v>
      </c>
      <c r="X2116" s="6"/>
      <c r="Y2116" s="6"/>
      <c r="Z2116" s="6"/>
      <c r="AA2116" s="6" t="s">
        <v>555</v>
      </c>
      <c r="AB2116" s="8"/>
    </row>
    <row r="2117" spans="1:28" s="4" customFormat="1" ht="51.95" customHeight="1">
      <c r="A2117" s="5">
        <v>0</v>
      </c>
      <c r="B2117" s="6" t="s">
        <v>12944</v>
      </c>
      <c r="C2117" s="7">
        <v>690</v>
      </c>
      <c r="D2117" s="8" t="s">
        <v>12945</v>
      </c>
      <c r="E2117" s="8" t="s">
        <v>12946</v>
      </c>
      <c r="F2117" s="8" t="s">
        <v>12947</v>
      </c>
      <c r="G2117" s="6" t="s">
        <v>89</v>
      </c>
      <c r="H2117" s="6" t="s">
        <v>438</v>
      </c>
      <c r="I2117" s="8" t="s">
        <v>1171</v>
      </c>
      <c r="J2117" s="9">
        <v>1</v>
      </c>
      <c r="K2117" s="9">
        <v>152</v>
      </c>
      <c r="L2117" s="9">
        <v>2023</v>
      </c>
      <c r="M2117" s="8" t="s">
        <v>12948</v>
      </c>
      <c r="N2117" s="8" t="s">
        <v>413</v>
      </c>
      <c r="O2117" s="8" t="s">
        <v>1141</v>
      </c>
      <c r="P2117" s="6" t="s">
        <v>167</v>
      </c>
      <c r="Q2117" s="8" t="s">
        <v>44</v>
      </c>
      <c r="R2117" s="10" t="s">
        <v>4194</v>
      </c>
      <c r="S2117" s="11" t="s">
        <v>12949</v>
      </c>
      <c r="T2117" s="6"/>
      <c r="U2117" s="24" t="str">
        <f>HYPERLINK("https://media.infra-m.ru/2038/2038241/cover/2038241.jpg", "Обложка")</f>
        <v>Обложка</v>
      </c>
      <c r="V2117" s="24" t="str">
        <f>HYPERLINK("https://znanium.ru/catalog/product/2038241", "Ознакомиться")</f>
        <v>Ознакомиться</v>
      </c>
      <c r="W2117" s="8" t="s">
        <v>1175</v>
      </c>
      <c r="X2117" s="6"/>
      <c r="Y2117" s="6"/>
      <c r="Z2117" s="6"/>
      <c r="AA2117" s="6" t="s">
        <v>418</v>
      </c>
      <c r="AB2117" s="8"/>
    </row>
    <row r="2118" spans="1:28" s="4" customFormat="1" ht="51.95" customHeight="1">
      <c r="A2118" s="5">
        <v>0</v>
      </c>
      <c r="B2118" s="6" t="s">
        <v>12950</v>
      </c>
      <c r="C2118" s="13">
        <v>1800</v>
      </c>
      <c r="D2118" s="8" t="s">
        <v>12951</v>
      </c>
      <c r="E2118" s="8" t="s">
        <v>12952</v>
      </c>
      <c r="F2118" s="8" t="s">
        <v>12144</v>
      </c>
      <c r="G2118" s="6" t="s">
        <v>89</v>
      </c>
      <c r="H2118" s="6" t="s">
        <v>53</v>
      </c>
      <c r="I2118" s="8" t="s">
        <v>100</v>
      </c>
      <c r="J2118" s="9">
        <v>1</v>
      </c>
      <c r="K2118" s="9">
        <v>399</v>
      </c>
      <c r="L2118" s="9">
        <v>2023</v>
      </c>
      <c r="M2118" s="8" t="s">
        <v>12953</v>
      </c>
      <c r="N2118" s="8" t="s">
        <v>413</v>
      </c>
      <c r="O2118" s="8" t="s">
        <v>1141</v>
      </c>
      <c r="P2118" s="6" t="s">
        <v>43</v>
      </c>
      <c r="Q2118" s="8" t="s">
        <v>102</v>
      </c>
      <c r="R2118" s="10" t="s">
        <v>12954</v>
      </c>
      <c r="S2118" s="11" t="s">
        <v>12955</v>
      </c>
      <c r="T2118" s="6" t="s">
        <v>299</v>
      </c>
      <c r="U2118" s="24" t="str">
        <f>HYPERLINK("https://media.infra-m.ru/1960/1960027/cover/1960027.jpg", "Обложка")</f>
        <v>Обложка</v>
      </c>
      <c r="V2118" s="24" t="str">
        <f>HYPERLINK("https://znanium.ru/catalog/product/1960027", "Ознакомиться")</f>
        <v>Ознакомиться</v>
      </c>
      <c r="W2118" s="8" t="s">
        <v>4331</v>
      </c>
      <c r="X2118" s="6"/>
      <c r="Y2118" s="6"/>
      <c r="Z2118" s="6" t="s">
        <v>104</v>
      </c>
      <c r="AA2118" s="6" t="s">
        <v>793</v>
      </c>
      <c r="AB2118" s="8"/>
    </row>
    <row r="2119" spans="1:28" s="4" customFormat="1" ht="51.95" customHeight="1">
      <c r="A2119" s="5">
        <v>0</v>
      </c>
      <c r="B2119" s="6" t="s">
        <v>12956</v>
      </c>
      <c r="C2119" s="13">
        <v>1880</v>
      </c>
      <c r="D2119" s="8" t="s">
        <v>12957</v>
      </c>
      <c r="E2119" s="8" t="s">
        <v>12952</v>
      </c>
      <c r="F2119" s="8" t="s">
        <v>12144</v>
      </c>
      <c r="G2119" s="6" t="s">
        <v>89</v>
      </c>
      <c r="H2119" s="6" t="s">
        <v>53</v>
      </c>
      <c r="I2119" s="8" t="s">
        <v>116</v>
      </c>
      <c r="J2119" s="9">
        <v>1</v>
      </c>
      <c r="K2119" s="9">
        <v>399</v>
      </c>
      <c r="L2119" s="9">
        <v>2024</v>
      </c>
      <c r="M2119" s="8" t="s">
        <v>12958</v>
      </c>
      <c r="N2119" s="8" t="s">
        <v>413</v>
      </c>
      <c r="O2119" s="8" t="s">
        <v>1141</v>
      </c>
      <c r="P2119" s="6" t="s">
        <v>43</v>
      </c>
      <c r="Q2119" s="8" t="s">
        <v>44</v>
      </c>
      <c r="R2119" s="10" t="s">
        <v>12959</v>
      </c>
      <c r="S2119" s="11" t="s">
        <v>12960</v>
      </c>
      <c r="T2119" s="6" t="s">
        <v>299</v>
      </c>
      <c r="U2119" s="24" t="str">
        <f>HYPERLINK("https://media.infra-m.ru/2137/2137011/cover/2137011.jpg", "Обложка")</f>
        <v>Обложка</v>
      </c>
      <c r="V2119" s="24" t="str">
        <f>HYPERLINK("https://znanium.ru/catalog/product/2137011", "Ознакомиться")</f>
        <v>Ознакомиться</v>
      </c>
      <c r="W2119" s="8" t="s">
        <v>4331</v>
      </c>
      <c r="X2119" s="6"/>
      <c r="Y2119" s="6"/>
      <c r="Z2119" s="6"/>
      <c r="AA2119" s="6" t="s">
        <v>122</v>
      </c>
      <c r="AB2119" s="8"/>
    </row>
    <row r="2120" spans="1:28" s="4" customFormat="1" ht="51.95" customHeight="1">
      <c r="A2120" s="5">
        <v>0</v>
      </c>
      <c r="B2120" s="6" t="s">
        <v>12961</v>
      </c>
      <c r="C2120" s="13">
        <v>2050</v>
      </c>
      <c r="D2120" s="8" t="s">
        <v>12962</v>
      </c>
      <c r="E2120" s="8" t="s">
        <v>12963</v>
      </c>
      <c r="F2120" s="8" t="s">
        <v>12825</v>
      </c>
      <c r="G2120" s="6" t="s">
        <v>52</v>
      </c>
      <c r="H2120" s="6" t="s">
        <v>53</v>
      </c>
      <c r="I2120" s="8" t="s">
        <v>782</v>
      </c>
      <c r="J2120" s="9">
        <v>1</v>
      </c>
      <c r="K2120" s="9">
        <v>409</v>
      </c>
      <c r="L2120" s="9">
        <v>2025</v>
      </c>
      <c r="M2120" s="8" t="s">
        <v>12964</v>
      </c>
      <c r="N2120" s="8" t="s">
        <v>413</v>
      </c>
      <c r="O2120" s="8" t="s">
        <v>1141</v>
      </c>
      <c r="P2120" s="6" t="s">
        <v>43</v>
      </c>
      <c r="Q2120" s="8" t="s">
        <v>214</v>
      </c>
      <c r="R2120" s="10" t="s">
        <v>12965</v>
      </c>
      <c r="S2120" s="11" t="s">
        <v>12966</v>
      </c>
      <c r="T2120" s="6"/>
      <c r="U2120" s="24" t="str">
        <f>HYPERLINK("https://media.infra-m.ru/2179/2179035/cover/2179035.jpg", "Обложка")</f>
        <v>Обложка</v>
      </c>
      <c r="V2120" s="12"/>
      <c r="W2120" s="8" t="s">
        <v>784</v>
      </c>
      <c r="X2120" s="6"/>
      <c r="Y2120" s="6"/>
      <c r="Z2120" s="6"/>
      <c r="AA2120" s="6" t="s">
        <v>151</v>
      </c>
      <c r="AB2120" s="8"/>
    </row>
    <row r="2121" spans="1:28" s="4" customFormat="1" ht="51.95" customHeight="1">
      <c r="A2121" s="5">
        <v>0</v>
      </c>
      <c r="B2121" s="6" t="s">
        <v>12967</v>
      </c>
      <c r="C2121" s="13">
        <v>1274</v>
      </c>
      <c r="D2121" s="8" t="s">
        <v>12968</v>
      </c>
      <c r="E2121" s="8" t="s">
        <v>12969</v>
      </c>
      <c r="F2121" s="8" t="s">
        <v>12970</v>
      </c>
      <c r="G2121" s="6" t="s">
        <v>52</v>
      </c>
      <c r="H2121" s="6" t="s">
        <v>53</v>
      </c>
      <c r="I2121" s="8" t="s">
        <v>165</v>
      </c>
      <c r="J2121" s="9">
        <v>1</v>
      </c>
      <c r="K2121" s="9">
        <v>254</v>
      </c>
      <c r="L2121" s="9">
        <v>2025</v>
      </c>
      <c r="M2121" s="8" t="s">
        <v>12971</v>
      </c>
      <c r="N2121" s="8" t="s">
        <v>41</v>
      </c>
      <c r="O2121" s="8" t="s">
        <v>6182</v>
      </c>
      <c r="P2121" s="6" t="s">
        <v>43</v>
      </c>
      <c r="Q2121" s="8" t="s">
        <v>279</v>
      </c>
      <c r="R2121" s="10" t="s">
        <v>4226</v>
      </c>
      <c r="S2121" s="11"/>
      <c r="T2121" s="6"/>
      <c r="U2121" s="24" t="str">
        <f>HYPERLINK("https://media.infra-m.ru/2173/2173351/cover/2173351.jpg", "Обложка")</f>
        <v>Обложка</v>
      </c>
      <c r="V2121" s="24" t="str">
        <f>HYPERLINK("https://znanium.ru/catalog/product/2125103", "Ознакомиться")</f>
        <v>Ознакомиться</v>
      </c>
      <c r="W2121" s="8" t="s">
        <v>83</v>
      </c>
      <c r="X2121" s="6"/>
      <c r="Y2121" s="6"/>
      <c r="Z2121" s="6"/>
      <c r="AA2121" s="6" t="s">
        <v>207</v>
      </c>
      <c r="AB2121" s="8"/>
    </row>
    <row r="2122" spans="1:28" s="4" customFormat="1" ht="51.95" customHeight="1">
      <c r="A2122" s="5">
        <v>0</v>
      </c>
      <c r="B2122" s="6" t="s">
        <v>12972</v>
      </c>
      <c r="C2122" s="13">
        <v>1064</v>
      </c>
      <c r="D2122" s="8" t="s">
        <v>12973</v>
      </c>
      <c r="E2122" s="8" t="s">
        <v>12974</v>
      </c>
      <c r="F2122" s="8" t="s">
        <v>12975</v>
      </c>
      <c r="G2122" s="6" t="s">
        <v>38</v>
      </c>
      <c r="H2122" s="6" t="s">
        <v>53</v>
      </c>
      <c r="I2122" s="8" t="s">
        <v>90</v>
      </c>
      <c r="J2122" s="9">
        <v>1</v>
      </c>
      <c r="K2122" s="9">
        <v>205</v>
      </c>
      <c r="L2122" s="9">
        <v>2025</v>
      </c>
      <c r="M2122" s="8" t="s">
        <v>12976</v>
      </c>
      <c r="N2122" s="8" t="s">
        <v>413</v>
      </c>
      <c r="O2122" s="8" t="s">
        <v>1141</v>
      </c>
      <c r="P2122" s="6" t="s">
        <v>43</v>
      </c>
      <c r="Q2122" s="8" t="s">
        <v>44</v>
      </c>
      <c r="R2122" s="10" t="s">
        <v>12977</v>
      </c>
      <c r="S2122" s="11"/>
      <c r="T2122" s="6"/>
      <c r="U2122" s="24" t="str">
        <f>HYPERLINK("https://media.infra-m.ru/2196/2196035/cover/2196035.jpg", "Обложка")</f>
        <v>Обложка</v>
      </c>
      <c r="V2122" s="24" t="str">
        <f>HYPERLINK("https://znanium.ru/catalog/product/1002159", "Ознакомиться")</f>
        <v>Ознакомиться</v>
      </c>
      <c r="W2122" s="8" t="s">
        <v>1544</v>
      </c>
      <c r="X2122" s="6"/>
      <c r="Y2122" s="6"/>
      <c r="Z2122" s="6"/>
      <c r="AA2122" s="6" t="s">
        <v>111</v>
      </c>
      <c r="AB2122" s="8"/>
    </row>
    <row r="2123" spans="1:28" s="4" customFormat="1" ht="51.95" customHeight="1">
      <c r="A2123" s="5">
        <v>0</v>
      </c>
      <c r="B2123" s="6" t="s">
        <v>12978</v>
      </c>
      <c r="C2123" s="13">
        <v>1204</v>
      </c>
      <c r="D2123" s="8" t="s">
        <v>12979</v>
      </c>
      <c r="E2123" s="8" t="s">
        <v>12980</v>
      </c>
      <c r="F2123" s="8" t="s">
        <v>2618</v>
      </c>
      <c r="G2123" s="6" t="s">
        <v>89</v>
      </c>
      <c r="H2123" s="6" t="s">
        <v>649</v>
      </c>
      <c r="I2123" s="8" t="s">
        <v>185</v>
      </c>
      <c r="J2123" s="9">
        <v>1</v>
      </c>
      <c r="K2123" s="9">
        <v>240</v>
      </c>
      <c r="L2123" s="9">
        <v>2025</v>
      </c>
      <c r="M2123" s="8" t="s">
        <v>12981</v>
      </c>
      <c r="N2123" s="8" t="s">
        <v>413</v>
      </c>
      <c r="O2123" s="8" t="s">
        <v>1141</v>
      </c>
      <c r="P2123" s="6" t="s">
        <v>167</v>
      </c>
      <c r="Q2123" s="8" t="s">
        <v>102</v>
      </c>
      <c r="R2123" s="10" t="s">
        <v>12982</v>
      </c>
      <c r="S2123" s="11" t="s">
        <v>12983</v>
      </c>
      <c r="T2123" s="6"/>
      <c r="U2123" s="24" t="str">
        <f>HYPERLINK("https://media.infra-m.ru/2185/2185913/cover/2185913.jpg", "Обложка")</f>
        <v>Обложка</v>
      </c>
      <c r="V2123" s="24" t="str">
        <f>HYPERLINK("https://znanium.ru/catalog/product/1896458", "Ознакомиться")</f>
        <v>Ознакомиться</v>
      </c>
      <c r="W2123" s="8" t="s">
        <v>399</v>
      </c>
      <c r="X2123" s="6"/>
      <c r="Y2123" s="6"/>
      <c r="Z2123" s="6"/>
      <c r="AA2123" s="6" t="s">
        <v>2193</v>
      </c>
      <c r="AB2123" s="8"/>
    </row>
    <row r="2124" spans="1:28" s="4" customFormat="1" ht="51.95" customHeight="1">
      <c r="A2124" s="5">
        <v>0</v>
      </c>
      <c r="B2124" s="6" t="s">
        <v>12984</v>
      </c>
      <c r="C2124" s="13">
        <v>1730</v>
      </c>
      <c r="D2124" s="8" t="s">
        <v>12985</v>
      </c>
      <c r="E2124" s="8" t="s">
        <v>12986</v>
      </c>
      <c r="F2124" s="8" t="s">
        <v>12987</v>
      </c>
      <c r="G2124" s="6" t="s">
        <v>89</v>
      </c>
      <c r="H2124" s="6" t="s">
        <v>53</v>
      </c>
      <c r="I2124" s="8" t="s">
        <v>116</v>
      </c>
      <c r="J2124" s="9">
        <v>1</v>
      </c>
      <c r="K2124" s="9">
        <v>376</v>
      </c>
      <c r="L2124" s="9">
        <v>2023</v>
      </c>
      <c r="M2124" s="8" t="s">
        <v>12988</v>
      </c>
      <c r="N2124" s="8" t="s">
        <v>56</v>
      </c>
      <c r="O2124" s="8" t="s">
        <v>741</v>
      </c>
      <c r="P2124" s="6" t="s">
        <v>43</v>
      </c>
      <c r="Q2124" s="8" t="s">
        <v>44</v>
      </c>
      <c r="R2124" s="10" t="s">
        <v>12989</v>
      </c>
      <c r="S2124" s="11" t="s">
        <v>12990</v>
      </c>
      <c r="T2124" s="6"/>
      <c r="U2124" s="24" t="str">
        <f>HYPERLINK("https://media.infra-m.ru/2048/2048138/cover/2048138.jpg", "Обложка")</f>
        <v>Обложка</v>
      </c>
      <c r="V2124" s="24" t="str">
        <f>HYPERLINK("https://znanium.ru/catalog/product/2048138", "Ознакомиться")</f>
        <v>Ознакомиться</v>
      </c>
      <c r="W2124" s="8" t="s">
        <v>1198</v>
      </c>
      <c r="X2124" s="6"/>
      <c r="Y2124" s="6"/>
      <c r="Z2124" s="6"/>
      <c r="AA2124" s="6" t="s">
        <v>793</v>
      </c>
      <c r="AB2124" s="8"/>
    </row>
    <row r="2125" spans="1:28" s="4" customFormat="1" ht="51.95" customHeight="1">
      <c r="A2125" s="5">
        <v>0</v>
      </c>
      <c r="B2125" s="6" t="s">
        <v>12991</v>
      </c>
      <c r="C2125" s="13">
        <v>1440</v>
      </c>
      <c r="D2125" s="8" t="s">
        <v>12992</v>
      </c>
      <c r="E2125" s="8" t="s">
        <v>12993</v>
      </c>
      <c r="F2125" s="8" t="s">
        <v>12987</v>
      </c>
      <c r="G2125" s="6" t="s">
        <v>89</v>
      </c>
      <c r="H2125" s="6" t="s">
        <v>53</v>
      </c>
      <c r="I2125" s="8" t="s">
        <v>116</v>
      </c>
      <c r="J2125" s="9">
        <v>1</v>
      </c>
      <c r="K2125" s="9">
        <v>288</v>
      </c>
      <c r="L2125" s="9">
        <v>2025</v>
      </c>
      <c r="M2125" s="8" t="s">
        <v>12994</v>
      </c>
      <c r="N2125" s="8" t="s">
        <v>56</v>
      </c>
      <c r="O2125" s="8" t="s">
        <v>741</v>
      </c>
      <c r="P2125" s="6" t="s">
        <v>43</v>
      </c>
      <c r="Q2125" s="8" t="s">
        <v>44</v>
      </c>
      <c r="R2125" s="10" t="s">
        <v>4207</v>
      </c>
      <c r="S2125" s="11" t="s">
        <v>12995</v>
      </c>
      <c r="T2125" s="6" t="s">
        <v>299</v>
      </c>
      <c r="U2125" s="24" t="str">
        <f>HYPERLINK("https://media.infra-m.ru/2172/2172256/cover/2172256.jpg", "Обложка")</f>
        <v>Обложка</v>
      </c>
      <c r="V2125" s="24" t="str">
        <f>HYPERLINK("https://znanium.ru/catalog/product/2172256", "Ознакомиться")</f>
        <v>Ознакомиться</v>
      </c>
      <c r="W2125" s="8" t="s">
        <v>1198</v>
      </c>
      <c r="X2125" s="6"/>
      <c r="Y2125" s="6"/>
      <c r="Z2125" s="6"/>
      <c r="AA2125" s="6" t="s">
        <v>160</v>
      </c>
      <c r="AB2125" s="8"/>
    </row>
    <row r="2126" spans="1:28" s="4" customFormat="1" ht="51.95" customHeight="1">
      <c r="A2126" s="5">
        <v>0</v>
      </c>
      <c r="B2126" s="6" t="s">
        <v>12996</v>
      </c>
      <c r="C2126" s="7">
        <v>744.9</v>
      </c>
      <c r="D2126" s="8" t="s">
        <v>12997</v>
      </c>
      <c r="E2126" s="8" t="s">
        <v>12998</v>
      </c>
      <c r="F2126" s="8" t="s">
        <v>12999</v>
      </c>
      <c r="G2126" s="6" t="s">
        <v>52</v>
      </c>
      <c r="H2126" s="6" t="s">
        <v>53</v>
      </c>
      <c r="I2126" s="8" t="s">
        <v>90</v>
      </c>
      <c r="J2126" s="9">
        <v>1</v>
      </c>
      <c r="K2126" s="9">
        <v>256</v>
      </c>
      <c r="L2126" s="9">
        <v>2018</v>
      </c>
      <c r="M2126" s="8" t="s">
        <v>13000</v>
      </c>
      <c r="N2126" s="8" t="s">
        <v>56</v>
      </c>
      <c r="O2126" s="8" t="s">
        <v>741</v>
      </c>
      <c r="P2126" s="6" t="s">
        <v>43</v>
      </c>
      <c r="Q2126" s="8" t="s">
        <v>44</v>
      </c>
      <c r="R2126" s="10" t="s">
        <v>4207</v>
      </c>
      <c r="S2126" s="11" t="s">
        <v>12995</v>
      </c>
      <c r="T2126" s="6" t="s">
        <v>299</v>
      </c>
      <c r="U2126" s="24" t="str">
        <f>HYPERLINK("https://media.infra-m.ru/0908/0908708/cover/908708.jpg", "Обложка")</f>
        <v>Обложка</v>
      </c>
      <c r="V2126" s="24" t="str">
        <f>HYPERLINK("https://znanium.ru/catalog/product/2172256", "Ознакомиться")</f>
        <v>Ознакомиться</v>
      </c>
      <c r="W2126" s="8" t="s">
        <v>1198</v>
      </c>
      <c r="X2126" s="6"/>
      <c r="Y2126" s="6"/>
      <c r="Z2126" s="6"/>
      <c r="AA2126" s="6" t="s">
        <v>111</v>
      </c>
      <c r="AB2126" s="8"/>
    </row>
    <row r="2127" spans="1:28" s="4" customFormat="1" ht="42" customHeight="1">
      <c r="A2127" s="5">
        <v>0</v>
      </c>
      <c r="B2127" s="6" t="s">
        <v>13001</v>
      </c>
      <c r="C2127" s="13">
        <v>1764</v>
      </c>
      <c r="D2127" s="8" t="s">
        <v>13002</v>
      </c>
      <c r="E2127" s="8" t="s">
        <v>13003</v>
      </c>
      <c r="F2127" s="8" t="s">
        <v>13004</v>
      </c>
      <c r="G2127" s="6" t="s">
        <v>52</v>
      </c>
      <c r="H2127" s="6" t="s">
        <v>674</v>
      </c>
      <c r="I2127" s="8" t="s">
        <v>5528</v>
      </c>
      <c r="J2127" s="9">
        <v>1</v>
      </c>
      <c r="K2127" s="9">
        <v>384</v>
      </c>
      <c r="L2127" s="9">
        <v>2023</v>
      </c>
      <c r="M2127" s="8" t="s">
        <v>13005</v>
      </c>
      <c r="N2127" s="8" t="s">
        <v>413</v>
      </c>
      <c r="O2127" s="8" t="s">
        <v>1141</v>
      </c>
      <c r="P2127" s="6" t="s">
        <v>43</v>
      </c>
      <c r="Q2127" s="8" t="s">
        <v>44</v>
      </c>
      <c r="R2127" s="10" t="s">
        <v>2816</v>
      </c>
      <c r="S2127" s="11"/>
      <c r="T2127" s="6"/>
      <c r="U2127" s="24" t="str">
        <f>HYPERLINK("https://media.infra-m.ru/1911/1911192/cover/1911192.jpg", "Обложка")</f>
        <v>Обложка</v>
      </c>
      <c r="V2127" s="24" t="str">
        <f>HYPERLINK("https://znanium.ru/catalog/product/1009045", "Ознакомиться")</f>
        <v>Ознакомиться</v>
      </c>
      <c r="W2127" s="8" t="s">
        <v>4293</v>
      </c>
      <c r="X2127" s="6"/>
      <c r="Y2127" s="6"/>
      <c r="Z2127" s="6"/>
      <c r="AA2127" s="6" t="s">
        <v>84</v>
      </c>
      <c r="AB2127" s="8"/>
    </row>
    <row r="2128" spans="1:28" s="4" customFormat="1" ht="51.95" customHeight="1">
      <c r="A2128" s="5">
        <v>0</v>
      </c>
      <c r="B2128" s="6" t="s">
        <v>13006</v>
      </c>
      <c r="C2128" s="13">
        <v>1364</v>
      </c>
      <c r="D2128" s="8" t="s">
        <v>13007</v>
      </c>
      <c r="E2128" s="8" t="s">
        <v>13008</v>
      </c>
      <c r="F2128" s="8" t="s">
        <v>13009</v>
      </c>
      <c r="G2128" s="6" t="s">
        <v>52</v>
      </c>
      <c r="H2128" s="6" t="s">
        <v>77</v>
      </c>
      <c r="I2128" s="8"/>
      <c r="J2128" s="9">
        <v>1</v>
      </c>
      <c r="K2128" s="9">
        <v>272</v>
      </c>
      <c r="L2128" s="9">
        <v>2025</v>
      </c>
      <c r="M2128" s="8" t="s">
        <v>13010</v>
      </c>
      <c r="N2128" s="8" t="s">
        <v>41</v>
      </c>
      <c r="O2128" s="8" t="s">
        <v>1007</v>
      </c>
      <c r="P2128" s="6" t="s">
        <v>43</v>
      </c>
      <c r="Q2128" s="8" t="s">
        <v>44</v>
      </c>
      <c r="R2128" s="10" t="s">
        <v>13011</v>
      </c>
      <c r="S2128" s="11" t="s">
        <v>13012</v>
      </c>
      <c r="T2128" s="6"/>
      <c r="U2128" s="24" t="str">
        <f>HYPERLINK("https://media.infra-m.ru/2188/2188765/cover/2188765.jpg", "Обложка")</f>
        <v>Обложка</v>
      </c>
      <c r="V2128" s="24" t="str">
        <f>HYPERLINK("https://znanium.ru/catalog/product/934346", "Ознакомиться")</f>
        <v>Ознакомиться</v>
      </c>
      <c r="W2128" s="8" t="s">
        <v>83</v>
      </c>
      <c r="X2128" s="6"/>
      <c r="Y2128" s="6"/>
      <c r="Z2128" s="6"/>
      <c r="AA2128" s="6" t="s">
        <v>122</v>
      </c>
      <c r="AB2128" s="8"/>
    </row>
    <row r="2129" spans="1:28" s="4" customFormat="1" ht="51.95" customHeight="1">
      <c r="A2129" s="5">
        <v>0</v>
      </c>
      <c r="B2129" s="6" t="s">
        <v>13013</v>
      </c>
      <c r="C2129" s="7">
        <v>670</v>
      </c>
      <c r="D2129" s="8" t="s">
        <v>13014</v>
      </c>
      <c r="E2129" s="8" t="s">
        <v>13015</v>
      </c>
      <c r="F2129" s="8" t="s">
        <v>13016</v>
      </c>
      <c r="G2129" s="6" t="s">
        <v>89</v>
      </c>
      <c r="H2129" s="6" t="s">
        <v>53</v>
      </c>
      <c r="I2129" s="8" t="s">
        <v>276</v>
      </c>
      <c r="J2129" s="9">
        <v>1</v>
      </c>
      <c r="K2129" s="9">
        <v>134</v>
      </c>
      <c r="L2129" s="9">
        <v>2023</v>
      </c>
      <c r="M2129" s="8" t="s">
        <v>13017</v>
      </c>
      <c r="N2129" s="8" t="s">
        <v>413</v>
      </c>
      <c r="O2129" s="8" t="s">
        <v>1141</v>
      </c>
      <c r="P2129" s="6" t="s">
        <v>43</v>
      </c>
      <c r="Q2129" s="8" t="s">
        <v>279</v>
      </c>
      <c r="R2129" s="10" t="s">
        <v>13018</v>
      </c>
      <c r="S2129" s="11" t="s">
        <v>13019</v>
      </c>
      <c r="T2129" s="6"/>
      <c r="U2129" s="24" t="str">
        <f>HYPERLINK("https://media.infra-m.ru/1904/1904567/cover/1904567.jpg", "Обложка")</f>
        <v>Обложка</v>
      </c>
      <c r="V2129" s="24" t="str">
        <f>HYPERLINK("https://znanium.ru/catalog/product/1904567", "Ознакомиться")</f>
        <v>Ознакомиться</v>
      </c>
      <c r="W2129" s="8" t="s">
        <v>1514</v>
      </c>
      <c r="X2129" s="6"/>
      <c r="Y2129" s="6"/>
      <c r="Z2129" s="6"/>
      <c r="AA2129" s="6" t="s">
        <v>258</v>
      </c>
      <c r="AB2129" s="8"/>
    </row>
    <row r="2130" spans="1:28" s="4" customFormat="1" ht="51.95" customHeight="1">
      <c r="A2130" s="5">
        <v>0</v>
      </c>
      <c r="B2130" s="6" t="s">
        <v>13020</v>
      </c>
      <c r="C2130" s="7">
        <v>990</v>
      </c>
      <c r="D2130" s="8" t="s">
        <v>13021</v>
      </c>
      <c r="E2130" s="8" t="s">
        <v>13022</v>
      </c>
      <c r="F2130" s="8" t="s">
        <v>6661</v>
      </c>
      <c r="G2130" s="6" t="s">
        <v>89</v>
      </c>
      <c r="H2130" s="6" t="s">
        <v>53</v>
      </c>
      <c r="I2130" s="8" t="s">
        <v>165</v>
      </c>
      <c r="J2130" s="9">
        <v>1</v>
      </c>
      <c r="K2130" s="9">
        <v>212</v>
      </c>
      <c r="L2130" s="9">
        <v>2023</v>
      </c>
      <c r="M2130" s="8" t="s">
        <v>13023</v>
      </c>
      <c r="N2130" s="8" t="s">
        <v>413</v>
      </c>
      <c r="O2130" s="8" t="s">
        <v>1141</v>
      </c>
      <c r="P2130" s="6" t="s">
        <v>43</v>
      </c>
      <c r="Q2130" s="8" t="s">
        <v>44</v>
      </c>
      <c r="R2130" s="10" t="s">
        <v>157</v>
      </c>
      <c r="S2130" s="11" t="s">
        <v>13024</v>
      </c>
      <c r="T2130" s="6"/>
      <c r="U2130" s="24" t="str">
        <f>HYPERLINK("https://media.infra-m.ru/2049/2049703/cover/2049703.jpg", "Обложка")</f>
        <v>Обложка</v>
      </c>
      <c r="V2130" s="24" t="str">
        <f>HYPERLINK("https://znanium.ru/catalog/product/2049703", "Ознакомиться")</f>
        <v>Ознакомиться</v>
      </c>
      <c r="W2130" s="8" t="s">
        <v>83</v>
      </c>
      <c r="X2130" s="6"/>
      <c r="Y2130" s="6"/>
      <c r="Z2130" s="6"/>
      <c r="AA2130" s="6" t="s">
        <v>219</v>
      </c>
      <c r="AB2130" s="8"/>
    </row>
    <row r="2131" spans="1:28" s="4" customFormat="1" ht="51.95" customHeight="1">
      <c r="A2131" s="5">
        <v>0</v>
      </c>
      <c r="B2131" s="6" t="s">
        <v>13025</v>
      </c>
      <c r="C2131" s="13">
        <v>2370</v>
      </c>
      <c r="D2131" s="8" t="s">
        <v>13026</v>
      </c>
      <c r="E2131" s="8" t="s">
        <v>13027</v>
      </c>
      <c r="F2131" s="8" t="s">
        <v>13028</v>
      </c>
      <c r="G2131" s="6" t="s">
        <v>52</v>
      </c>
      <c r="H2131" s="6" t="s">
        <v>53</v>
      </c>
      <c r="I2131" s="8" t="s">
        <v>276</v>
      </c>
      <c r="J2131" s="9">
        <v>1</v>
      </c>
      <c r="K2131" s="9">
        <v>514</v>
      </c>
      <c r="L2131" s="9">
        <v>2024</v>
      </c>
      <c r="M2131" s="8" t="s">
        <v>13029</v>
      </c>
      <c r="N2131" s="8" t="s">
        <v>413</v>
      </c>
      <c r="O2131" s="8" t="s">
        <v>1141</v>
      </c>
      <c r="P2131" s="6" t="s">
        <v>167</v>
      </c>
      <c r="Q2131" s="8" t="s">
        <v>279</v>
      </c>
      <c r="R2131" s="10" t="s">
        <v>13030</v>
      </c>
      <c r="S2131" s="11"/>
      <c r="T2131" s="6"/>
      <c r="U2131" s="24" t="str">
        <f>HYPERLINK("https://media.infra-m.ru/2013/2013668/cover/2013668.jpg", "Обложка")</f>
        <v>Обложка</v>
      </c>
      <c r="V2131" s="24" t="str">
        <f>HYPERLINK("https://znanium.ru/catalog/product/2013668", "Ознакомиться")</f>
        <v>Ознакомиться</v>
      </c>
      <c r="W2131" s="8" t="s">
        <v>347</v>
      </c>
      <c r="X2131" s="6"/>
      <c r="Y2131" s="6"/>
      <c r="Z2131" s="6"/>
      <c r="AA2131" s="6" t="s">
        <v>442</v>
      </c>
      <c r="AB2131" s="8" t="s">
        <v>271</v>
      </c>
    </row>
    <row r="2132" spans="1:28" s="4" customFormat="1" ht="42" customHeight="1">
      <c r="A2132" s="5">
        <v>0</v>
      </c>
      <c r="B2132" s="6" t="s">
        <v>13031</v>
      </c>
      <c r="C2132" s="7">
        <v>520</v>
      </c>
      <c r="D2132" s="8" t="s">
        <v>13032</v>
      </c>
      <c r="E2132" s="8" t="s">
        <v>13033</v>
      </c>
      <c r="F2132" s="8" t="s">
        <v>13034</v>
      </c>
      <c r="G2132" s="6" t="s">
        <v>38</v>
      </c>
      <c r="H2132" s="6" t="s">
        <v>77</v>
      </c>
      <c r="I2132" s="8" t="s">
        <v>116</v>
      </c>
      <c r="J2132" s="9">
        <v>1</v>
      </c>
      <c r="K2132" s="9">
        <v>112</v>
      </c>
      <c r="L2132" s="9">
        <v>2024</v>
      </c>
      <c r="M2132" s="8" t="s">
        <v>13035</v>
      </c>
      <c r="N2132" s="8" t="s">
        <v>413</v>
      </c>
      <c r="O2132" s="8" t="s">
        <v>1141</v>
      </c>
      <c r="P2132" s="6" t="s">
        <v>43</v>
      </c>
      <c r="Q2132" s="8" t="s">
        <v>58</v>
      </c>
      <c r="R2132" s="10" t="s">
        <v>9858</v>
      </c>
      <c r="S2132" s="11"/>
      <c r="T2132" s="6"/>
      <c r="U2132" s="24" t="str">
        <f>HYPERLINK("https://media.infra-m.ru/2079/2079282/cover/2079282.jpg", "Обложка")</f>
        <v>Обложка</v>
      </c>
      <c r="V2132" s="24" t="str">
        <f>HYPERLINK("https://znanium.ru/catalog/product/1048328", "Ознакомиться")</f>
        <v>Ознакомиться</v>
      </c>
      <c r="W2132" s="8" t="s">
        <v>150</v>
      </c>
      <c r="X2132" s="6"/>
      <c r="Y2132" s="6"/>
      <c r="Z2132" s="6"/>
      <c r="AA2132" s="6" t="s">
        <v>442</v>
      </c>
      <c r="AB2132" s="8"/>
    </row>
    <row r="2133" spans="1:28" s="4" customFormat="1" ht="51.95" customHeight="1">
      <c r="A2133" s="5">
        <v>0</v>
      </c>
      <c r="B2133" s="6" t="s">
        <v>13036</v>
      </c>
      <c r="C2133" s="13">
        <v>1050</v>
      </c>
      <c r="D2133" s="8" t="s">
        <v>13037</v>
      </c>
      <c r="E2133" s="8" t="s">
        <v>13038</v>
      </c>
      <c r="F2133" s="8" t="s">
        <v>13039</v>
      </c>
      <c r="G2133" s="6" t="s">
        <v>89</v>
      </c>
      <c r="H2133" s="6" t="s">
        <v>53</v>
      </c>
      <c r="I2133" s="8" t="s">
        <v>1223</v>
      </c>
      <c r="J2133" s="9">
        <v>1</v>
      </c>
      <c r="K2133" s="9">
        <v>260</v>
      </c>
      <c r="L2133" s="9">
        <v>2022</v>
      </c>
      <c r="M2133" s="8" t="s">
        <v>13040</v>
      </c>
      <c r="N2133" s="8" t="s">
        <v>413</v>
      </c>
      <c r="O2133" s="8" t="s">
        <v>1141</v>
      </c>
      <c r="P2133" s="6" t="s">
        <v>43</v>
      </c>
      <c r="Q2133" s="8" t="s">
        <v>44</v>
      </c>
      <c r="R2133" s="10" t="s">
        <v>13041</v>
      </c>
      <c r="S2133" s="11" t="s">
        <v>13042</v>
      </c>
      <c r="T2133" s="6"/>
      <c r="U2133" s="24" t="str">
        <f>HYPERLINK("https://media.infra-m.ru/1860/1860691/cover/1860691.jpg", "Обложка")</f>
        <v>Обложка</v>
      </c>
      <c r="V2133" s="24" t="str">
        <f>HYPERLINK("https://znanium.ru/catalog/product/1860691", "Ознакомиться")</f>
        <v>Ознакомиться</v>
      </c>
      <c r="W2133" s="8" t="s">
        <v>83</v>
      </c>
      <c r="X2133" s="6"/>
      <c r="Y2133" s="6"/>
      <c r="Z2133" s="6"/>
      <c r="AA2133" s="6" t="s">
        <v>793</v>
      </c>
      <c r="AB2133" s="8"/>
    </row>
    <row r="2134" spans="1:28" s="4" customFormat="1" ht="51.95" customHeight="1">
      <c r="A2134" s="5">
        <v>0</v>
      </c>
      <c r="B2134" s="6" t="s">
        <v>13043</v>
      </c>
      <c r="C2134" s="13">
        <v>1990</v>
      </c>
      <c r="D2134" s="8" t="s">
        <v>13044</v>
      </c>
      <c r="E2134" s="8" t="s">
        <v>13045</v>
      </c>
      <c r="F2134" s="8" t="s">
        <v>13039</v>
      </c>
      <c r="G2134" s="6" t="s">
        <v>89</v>
      </c>
      <c r="H2134" s="6" t="s">
        <v>53</v>
      </c>
      <c r="I2134" s="8" t="s">
        <v>1223</v>
      </c>
      <c r="J2134" s="9">
        <v>1</v>
      </c>
      <c r="K2134" s="9">
        <v>544</v>
      </c>
      <c r="L2134" s="9">
        <v>2022</v>
      </c>
      <c r="M2134" s="8" t="s">
        <v>13046</v>
      </c>
      <c r="N2134" s="8" t="s">
        <v>413</v>
      </c>
      <c r="O2134" s="8" t="s">
        <v>1141</v>
      </c>
      <c r="P2134" s="6" t="s">
        <v>43</v>
      </c>
      <c r="Q2134" s="8" t="s">
        <v>44</v>
      </c>
      <c r="R2134" s="10" t="s">
        <v>13047</v>
      </c>
      <c r="S2134" s="11" t="s">
        <v>13042</v>
      </c>
      <c r="T2134" s="6"/>
      <c r="U2134" s="24" t="str">
        <f>HYPERLINK("https://media.infra-m.ru/1864/1864099/cover/1864099.jpg", "Обложка")</f>
        <v>Обложка</v>
      </c>
      <c r="V2134" s="24" t="str">
        <f>HYPERLINK("https://znanium.ru/catalog/product/1864099", "Ознакомиться")</f>
        <v>Ознакомиться</v>
      </c>
      <c r="W2134" s="8" t="s">
        <v>83</v>
      </c>
      <c r="X2134" s="6"/>
      <c r="Y2134" s="6"/>
      <c r="Z2134" s="6"/>
      <c r="AA2134" s="6" t="s">
        <v>793</v>
      </c>
      <c r="AB2134" s="8"/>
    </row>
    <row r="2135" spans="1:28" s="4" customFormat="1" ht="51.95" customHeight="1">
      <c r="A2135" s="5">
        <v>0</v>
      </c>
      <c r="B2135" s="6" t="s">
        <v>13048</v>
      </c>
      <c r="C2135" s="13">
        <v>1674</v>
      </c>
      <c r="D2135" s="8" t="s">
        <v>13049</v>
      </c>
      <c r="E2135" s="8" t="s">
        <v>13050</v>
      </c>
      <c r="F2135" s="8" t="s">
        <v>13051</v>
      </c>
      <c r="G2135" s="6" t="s">
        <v>52</v>
      </c>
      <c r="H2135" s="6" t="s">
        <v>53</v>
      </c>
      <c r="I2135" s="8" t="s">
        <v>90</v>
      </c>
      <c r="J2135" s="9">
        <v>1</v>
      </c>
      <c r="K2135" s="9">
        <v>365</v>
      </c>
      <c r="L2135" s="9">
        <v>2024</v>
      </c>
      <c r="M2135" s="8" t="s">
        <v>13052</v>
      </c>
      <c r="N2135" s="8" t="s">
        <v>413</v>
      </c>
      <c r="O2135" s="8" t="s">
        <v>1141</v>
      </c>
      <c r="P2135" s="6" t="s">
        <v>43</v>
      </c>
      <c r="Q2135" s="8" t="s">
        <v>44</v>
      </c>
      <c r="R2135" s="10" t="s">
        <v>2461</v>
      </c>
      <c r="S2135" s="11" t="s">
        <v>13053</v>
      </c>
      <c r="T2135" s="6"/>
      <c r="U2135" s="24" t="str">
        <f>HYPERLINK("https://media.infra-m.ru/2087/2087315/cover/2087315.jpg", "Обложка")</f>
        <v>Обложка</v>
      </c>
      <c r="V2135" s="24" t="str">
        <f>HYPERLINK("https://znanium.ru/catalog/product/2087315", "Ознакомиться")</f>
        <v>Ознакомиться</v>
      </c>
      <c r="W2135" s="8" t="s">
        <v>13054</v>
      </c>
      <c r="X2135" s="6"/>
      <c r="Y2135" s="6"/>
      <c r="Z2135" s="6"/>
      <c r="AA2135" s="6" t="s">
        <v>418</v>
      </c>
      <c r="AB2135" s="8"/>
    </row>
    <row r="2136" spans="1:28" s="4" customFormat="1" ht="51.95" customHeight="1">
      <c r="A2136" s="5">
        <v>0</v>
      </c>
      <c r="B2136" s="6" t="s">
        <v>13055</v>
      </c>
      <c r="C2136" s="13">
        <v>1360</v>
      </c>
      <c r="D2136" s="8" t="s">
        <v>13056</v>
      </c>
      <c r="E2136" s="8" t="s">
        <v>13057</v>
      </c>
      <c r="F2136" s="8" t="s">
        <v>13058</v>
      </c>
      <c r="G2136" s="6" t="s">
        <v>52</v>
      </c>
      <c r="H2136" s="6" t="s">
        <v>53</v>
      </c>
      <c r="I2136" s="8" t="s">
        <v>90</v>
      </c>
      <c r="J2136" s="9">
        <v>14</v>
      </c>
      <c r="K2136" s="9">
        <v>375</v>
      </c>
      <c r="L2136" s="9">
        <v>2021</v>
      </c>
      <c r="M2136" s="8" t="s">
        <v>13059</v>
      </c>
      <c r="N2136" s="8" t="s">
        <v>413</v>
      </c>
      <c r="O2136" s="8" t="s">
        <v>1141</v>
      </c>
      <c r="P2136" s="6" t="s">
        <v>43</v>
      </c>
      <c r="Q2136" s="8" t="s">
        <v>44</v>
      </c>
      <c r="R2136" s="10" t="s">
        <v>13060</v>
      </c>
      <c r="S2136" s="11" t="s">
        <v>13061</v>
      </c>
      <c r="T2136" s="6"/>
      <c r="U2136" s="24" t="str">
        <f>HYPERLINK("https://media.infra-m.ru/1160/1160964/cover/1160964.jpg", "Обложка")</f>
        <v>Обложка</v>
      </c>
      <c r="V2136" s="24" t="str">
        <f>HYPERLINK("https://znanium.ru/catalog/product/1160964", "Ознакомиться")</f>
        <v>Ознакомиться</v>
      </c>
      <c r="W2136" s="8" t="s">
        <v>4331</v>
      </c>
      <c r="X2136" s="6"/>
      <c r="Y2136" s="6"/>
      <c r="Z2136" s="6"/>
      <c r="AA2136" s="6" t="s">
        <v>793</v>
      </c>
      <c r="AB2136" s="8"/>
    </row>
    <row r="2137" spans="1:28" s="4" customFormat="1" ht="42" customHeight="1">
      <c r="A2137" s="5">
        <v>0</v>
      </c>
      <c r="B2137" s="6" t="s">
        <v>13062</v>
      </c>
      <c r="C2137" s="13">
        <v>1824</v>
      </c>
      <c r="D2137" s="8" t="s">
        <v>13063</v>
      </c>
      <c r="E2137" s="8" t="s">
        <v>13064</v>
      </c>
      <c r="F2137" s="8" t="s">
        <v>4929</v>
      </c>
      <c r="G2137" s="6" t="s">
        <v>52</v>
      </c>
      <c r="H2137" s="6" t="s">
        <v>53</v>
      </c>
      <c r="I2137" s="8" t="s">
        <v>116</v>
      </c>
      <c r="J2137" s="9">
        <v>1</v>
      </c>
      <c r="K2137" s="9">
        <v>351</v>
      </c>
      <c r="L2137" s="9">
        <v>2025</v>
      </c>
      <c r="M2137" s="8" t="s">
        <v>13065</v>
      </c>
      <c r="N2137" s="8" t="s">
        <v>413</v>
      </c>
      <c r="O2137" s="8" t="s">
        <v>1141</v>
      </c>
      <c r="P2137" s="6" t="s">
        <v>43</v>
      </c>
      <c r="Q2137" s="8" t="s">
        <v>44</v>
      </c>
      <c r="R2137" s="10" t="s">
        <v>13066</v>
      </c>
      <c r="S2137" s="11"/>
      <c r="T2137" s="6"/>
      <c r="U2137" s="24" t="str">
        <f>HYPERLINK("https://media.infra-m.ru/2082/2082904/cover/2082904.jpg", "Обложка")</f>
        <v>Обложка</v>
      </c>
      <c r="V2137" s="24" t="str">
        <f>HYPERLINK("https://znanium.ru/catalog/product/1911211", "Ознакомиться")</f>
        <v>Ознакомиться</v>
      </c>
      <c r="W2137" s="8" t="s">
        <v>4274</v>
      </c>
      <c r="X2137" s="6"/>
      <c r="Y2137" s="6"/>
      <c r="Z2137" s="6"/>
      <c r="AA2137" s="6" t="s">
        <v>701</v>
      </c>
      <c r="AB2137" s="8"/>
    </row>
    <row r="2138" spans="1:28" s="4" customFormat="1" ht="51.95" customHeight="1">
      <c r="A2138" s="5">
        <v>0</v>
      </c>
      <c r="B2138" s="6" t="s">
        <v>13067</v>
      </c>
      <c r="C2138" s="13">
        <v>1564</v>
      </c>
      <c r="D2138" s="8" t="s">
        <v>13068</v>
      </c>
      <c r="E2138" s="8" t="s">
        <v>13069</v>
      </c>
      <c r="F2138" s="8" t="s">
        <v>13070</v>
      </c>
      <c r="G2138" s="6" t="s">
        <v>89</v>
      </c>
      <c r="H2138" s="6" t="s">
        <v>53</v>
      </c>
      <c r="I2138" s="8" t="s">
        <v>90</v>
      </c>
      <c r="J2138" s="9">
        <v>1</v>
      </c>
      <c r="K2138" s="9">
        <v>341</v>
      </c>
      <c r="L2138" s="9">
        <v>2024</v>
      </c>
      <c r="M2138" s="8" t="s">
        <v>13071</v>
      </c>
      <c r="N2138" s="8" t="s">
        <v>413</v>
      </c>
      <c r="O2138" s="8" t="s">
        <v>1141</v>
      </c>
      <c r="P2138" s="6" t="s">
        <v>167</v>
      </c>
      <c r="Q2138" s="8" t="s">
        <v>44</v>
      </c>
      <c r="R2138" s="10" t="s">
        <v>13072</v>
      </c>
      <c r="S2138" s="11" t="s">
        <v>13073</v>
      </c>
      <c r="T2138" s="6"/>
      <c r="U2138" s="24" t="str">
        <f>HYPERLINK("https://media.infra-m.ru/2087/2087289/cover/2087289.jpg", "Обложка")</f>
        <v>Обложка</v>
      </c>
      <c r="V2138" s="24" t="str">
        <f>HYPERLINK("https://znanium.ru/catalog/product/2087289", "Ознакомиться")</f>
        <v>Ознакомиться</v>
      </c>
      <c r="W2138" s="8" t="s">
        <v>189</v>
      </c>
      <c r="X2138" s="6"/>
      <c r="Y2138" s="6"/>
      <c r="Z2138" s="6"/>
      <c r="AA2138" s="6" t="s">
        <v>418</v>
      </c>
      <c r="AB2138" s="8"/>
    </row>
    <row r="2139" spans="1:28" s="4" customFormat="1" ht="51.95" customHeight="1">
      <c r="A2139" s="5">
        <v>0</v>
      </c>
      <c r="B2139" s="6" t="s">
        <v>13074</v>
      </c>
      <c r="C2139" s="7">
        <v>820</v>
      </c>
      <c r="D2139" s="8" t="s">
        <v>13075</v>
      </c>
      <c r="E2139" s="8" t="s">
        <v>13076</v>
      </c>
      <c r="F2139" s="8" t="s">
        <v>13077</v>
      </c>
      <c r="G2139" s="6" t="s">
        <v>38</v>
      </c>
      <c r="H2139" s="6" t="s">
        <v>53</v>
      </c>
      <c r="I2139" s="8" t="s">
        <v>116</v>
      </c>
      <c r="J2139" s="9">
        <v>1</v>
      </c>
      <c r="K2139" s="9">
        <v>164</v>
      </c>
      <c r="L2139" s="9">
        <v>2025</v>
      </c>
      <c r="M2139" s="8" t="s">
        <v>13078</v>
      </c>
      <c r="N2139" s="8" t="s">
        <v>413</v>
      </c>
      <c r="O2139" s="8" t="s">
        <v>1141</v>
      </c>
      <c r="P2139" s="6" t="s">
        <v>43</v>
      </c>
      <c r="Q2139" s="8" t="s">
        <v>44</v>
      </c>
      <c r="R2139" s="10" t="s">
        <v>13079</v>
      </c>
      <c r="S2139" s="11" t="s">
        <v>13080</v>
      </c>
      <c r="T2139" s="6"/>
      <c r="U2139" s="24" t="str">
        <f>HYPERLINK("https://media.infra-m.ru/2172/2172579/cover/2172579.jpg", "Обложка")</f>
        <v>Обложка</v>
      </c>
      <c r="V2139" s="24" t="str">
        <f>HYPERLINK("https://znanium.ru/catalog/product/2172579", "Ознакомиться")</f>
        <v>Ознакомиться</v>
      </c>
      <c r="W2139" s="8" t="s">
        <v>189</v>
      </c>
      <c r="X2139" s="6"/>
      <c r="Y2139" s="6"/>
      <c r="Z2139" s="6"/>
      <c r="AA2139" s="6" t="s">
        <v>47</v>
      </c>
      <c r="AB2139" s="8"/>
    </row>
    <row r="2140" spans="1:28" s="4" customFormat="1" ht="51.95" customHeight="1">
      <c r="A2140" s="5">
        <v>0</v>
      </c>
      <c r="B2140" s="6" t="s">
        <v>13081</v>
      </c>
      <c r="C2140" s="13">
        <v>1494</v>
      </c>
      <c r="D2140" s="8" t="s">
        <v>13082</v>
      </c>
      <c r="E2140" s="8" t="s">
        <v>13083</v>
      </c>
      <c r="F2140" s="8" t="s">
        <v>13084</v>
      </c>
      <c r="G2140" s="6" t="s">
        <v>89</v>
      </c>
      <c r="H2140" s="6" t="s">
        <v>53</v>
      </c>
      <c r="I2140" s="8" t="s">
        <v>90</v>
      </c>
      <c r="J2140" s="9">
        <v>1</v>
      </c>
      <c r="K2140" s="9">
        <v>288</v>
      </c>
      <c r="L2140" s="9">
        <v>2025</v>
      </c>
      <c r="M2140" s="8" t="s">
        <v>13085</v>
      </c>
      <c r="N2140" s="8" t="s">
        <v>413</v>
      </c>
      <c r="O2140" s="8" t="s">
        <v>1141</v>
      </c>
      <c r="P2140" s="6" t="s">
        <v>43</v>
      </c>
      <c r="Q2140" s="8" t="s">
        <v>44</v>
      </c>
      <c r="R2140" s="10" t="s">
        <v>13079</v>
      </c>
      <c r="S2140" s="11" t="s">
        <v>13086</v>
      </c>
      <c r="T2140" s="6"/>
      <c r="U2140" s="24" t="str">
        <f>HYPERLINK("https://media.infra-m.ru/2192/2192256/cover/2192256.jpg", "Обложка")</f>
        <v>Обложка</v>
      </c>
      <c r="V2140" s="24" t="str">
        <f>HYPERLINK("https://znanium.ru/catalog/product/1911157", "Ознакомиться")</f>
        <v>Ознакомиться</v>
      </c>
      <c r="W2140" s="8" t="s">
        <v>189</v>
      </c>
      <c r="X2140" s="6"/>
      <c r="Y2140" s="6"/>
      <c r="Z2140" s="6"/>
      <c r="AA2140" s="6" t="s">
        <v>84</v>
      </c>
      <c r="AB2140" s="8"/>
    </row>
    <row r="2141" spans="1:28" s="4" customFormat="1" ht="51.95" customHeight="1">
      <c r="A2141" s="5">
        <v>0</v>
      </c>
      <c r="B2141" s="6" t="s">
        <v>13087</v>
      </c>
      <c r="C2141" s="13">
        <v>1780</v>
      </c>
      <c r="D2141" s="8" t="s">
        <v>13088</v>
      </c>
      <c r="E2141" s="8" t="s">
        <v>13089</v>
      </c>
      <c r="F2141" s="8" t="s">
        <v>13090</v>
      </c>
      <c r="G2141" s="6" t="s">
        <v>89</v>
      </c>
      <c r="H2141" s="6" t="s">
        <v>53</v>
      </c>
      <c r="I2141" s="8" t="s">
        <v>165</v>
      </c>
      <c r="J2141" s="9">
        <v>1</v>
      </c>
      <c r="K2141" s="9">
        <v>388</v>
      </c>
      <c r="L2141" s="9">
        <v>2024</v>
      </c>
      <c r="M2141" s="8" t="s">
        <v>13091</v>
      </c>
      <c r="N2141" s="8" t="s">
        <v>413</v>
      </c>
      <c r="O2141" s="8" t="s">
        <v>1141</v>
      </c>
      <c r="P2141" s="6" t="s">
        <v>167</v>
      </c>
      <c r="Q2141" s="8" t="s">
        <v>44</v>
      </c>
      <c r="R2141" s="10" t="s">
        <v>13092</v>
      </c>
      <c r="S2141" s="11" t="s">
        <v>13093</v>
      </c>
      <c r="T2141" s="6"/>
      <c r="U2141" s="24" t="str">
        <f>HYPERLINK("https://media.infra-m.ru/2100/2100015/cover/2100015.jpg", "Обложка")</f>
        <v>Обложка</v>
      </c>
      <c r="V2141" s="24" t="str">
        <f>HYPERLINK("https://znanium.ru/catalog/product/2100015", "Ознакомиться")</f>
        <v>Ознакомиться</v>
      </c>
      <c r="W2141" s="8" t="s">
        <v>83</v>
      </c>
      <c r="X2141" s="6"/>
      <c r="Y2141" s="6"/>
      <c r="Z2141" s="6"/>
      <c r="AA2141" s="6" t="s">
        <v>793</v>
      </c>
      <c r="AB2141" s="8"/>
    </row>
    <row r="2142" spans="1:28" s="4" customFormat="1" ht="51.95" customHeight="1">
      <c r="A2142" s="5">
        <v>0</v>
      </c>
      <c r="B2142" s="6" t="s">
        <v>13094</v>
      </c>
      <c r="C2142" s="13">
        <v>2390</v>
      </c>
      <c r="D2142" s="8" t="s">
        <v>13095</v>
      </c>
      <c r="E2142" s="8" t="s">
        <v>13096</v>
      </c>
      <c r="F2142" s="8" t="s">
        <v>13090</v>
      </c>
      <c r="G2142" s="6" t="s">
        <v>52</v>
      </c>
      <c r="H2142" s="6" t="s">
        <v>53</v>
      </c>
      <c r="I2142" s="8" t="s">
        <v>165</v>
      </c>
      <c r="J2142" s="9">
        <v>1</v>
      </c>
      <c r="K2142" s="9">
        <v>518</v>
      </c>
      <c r="L2142" s="9">
        <v>2024</v>
      </c>
      <c r="M2142" s="8" t="s">
        <v>13097</v>
      </c>
      <c r="N2142" s="8" t="s">
        <v>413</v>
      </c>
      <c r="O2142" s="8" t="s">
        <v>1141</v>
      </c>
      <c r="P2142" s="6" t="s">
        <v>167</v>
      </c>
      <c r="Q2142" s="8" t="s">
        <v>44</v>
      </c>
      <c r="R2142" s="10" t="s">
        <v>13098</v>
      </c>
      <c r="S2142" s="11" t="s">
        <v>13093</v>
      </c>
      <c r="T2142" s="6"/>
      <c r="U2142" s="24" t="str">
        <f>HYPERLINK("https://media.infra-m.ru/2098/2098502/cover/2098502.jpg", "Обложка")</f>
        <v>Обложка</v>
      </c>
      <c r="V2142" s="24" t="str">
        <f>HYPERLINK("https://znanium.ru/catalog/product/2098502", "Ознакомиться")</f>
        <v>Ознакомиться</v>
      </c>
      <c r="W2142" s="8" t="s">
        <v>83</v>
      </c>
      <c r="X2142" s="6"/>
      <c r="Y2142" s="6"/>
      <c r="Z2142" s="6"/>
      <c r="AA2142" s="6" t="s">
        <v>793</v>
      </c>
      <c r="AB2142" s="8"/>
    </row>
    <row r="2143" spans="1:28" s="4" customFormat="1" ht="51.95" customHeight="1">
      <c r="A2143" s="5">
        <v>0</v>
      </c>
      <c r="B2143" s="6" t="s">
        <v>13099</v>
      </c>
      <c r="C2143" s="13">
        <v>2517</v>
      </c>
      <c r="D2143" s="8" t="s">
        <v>13100</v>
      </c>
      <c r="E2143" s="8" t="s">
        <v>13083</v>
      </c>
      <c r="F2143" s="8" t="s">
        <v>13101</v>
      </c>
      <c r="G2143" s="6" t="s">
        <v>89</v>
      </c>
      <c r="H2143" s="6" t="s">
        <v>53</v>
      </c>
      <c r="I2143" s="8" t="s">
        <v>90</v>
      </c>
      <c r="J2143" s="9">
        <v>1</v>
      </c>
      <c r="K2143" s="9">
        <v>502</v>
      </c>
      <c r="L2143" s="9">
        <v>2024</v>
      </c>
      <c r="M2143" s="8" t="s">
        <v>13102</v>
      </c>
      <c r="N2143" s="8" t="s">
        <v>413</v>
      </c>
      <c r="O2143" s="8" t="s">
        <v>1141</v>
      </c>
      <c r="P2143" s="6" t="s">
        <v>43</v>
      </c>
      <c r="Q2143" s="8" t="s">
        <v>44</v>
      </c>
      <c r="R2143" s="10" t="s">
        <v>13103</v>
      </c>
      <c r="S2143" s="11" t="s">
        <v>13104</v>
      </c>
      <c r="T2143" s="6"/>
      <c r="U2143" s="24" t="str">
        <f>HYPERLINK("https://media.infra-m.ru/2117/2117178/cover/2117178.jpg", "Обложка")</f>
        <v>Обложка</v>
      </c>
      <c r="V2143" s="24" t="str">
        <f>HYPERLINK("https://znanium.ru/catalog/product/1898119", "Ознакомиться")</f>
        <v>Ознакомиться</v>
      </c>
      <c r="W2143" s="8" t="s">
        <v>1514</v>
      </c>
      <c r="X2143" s="6"/>
      <c r="Y2143" s="6"/>
      <c r="Z2143" s="6"/>
      <c r="AA2143" s="6" t="s">
        <v>793</v>
      </c>
      <c r="AB2143" s="8"/>
    </row>
    <row r="2144" spans="1:28" s="4" customFormat="1" ht="51.95" customHeight="1">
      <c r="A2144" s="5">
        <v>0</v>
      </c>
      <c r="B2144" s="6" t="s">
        <v>13105</v>
      </c>
      <c r="C2144" s="13">
        <v>1140</v>
      </c>
      <c r="D2144" s="8" t="s">
        <v>13106</v>
      </c>
      <c r="E2144" s="8" t="s">
        <v>13107</v>
      </c>
      <c r="F2144" s="8" t="s">
        <v>13108</v>
      </c>
      <c r="G2144" s="6" t="s">
        <v>89</v>
      </c>
      <c r="H2144" s="6" t="s">
        <v>53</v>
      </c>
      <c r="I2144" s="8" t="s">
        <v>116</v>
      </c>
      <c r="J2144" s="9">
        <v>1</v>
      </c>
      <c r="K2144" s="9">
        <v>227</v>
      </c>
      <c r="L2144" s="9">
        <v>2025</v>
      </c>
      <c r="M2144" s="8" t="s">
        <v>13109</v>
      </c>
      <c r="N2144" s="8" t="s">
        <v>413</v>
      </c>
      <c r="O2144" s="8" t="s">
        <v>1141</v>
      </c>
      <c r="P2144" s="6" t="s">
        <v>43</v>
      </c>
      <c r="Q2144" s="8" t="s">
        <v>44</v>
      </c>
      <c r="R2144" s="10" t="s">
        <v>13110</v>
      </c>
      <c r="S2144" s="11" t="s">
        <v>13111</v>
      </c>
      <c r="T2144" s="6" t="s">
        <v>299</v>
      </c>
      <c r="U2144" s="24" t="str">
        <f>HYPERLINK("https://media.infra-m.ru/2171/2171284/cover/2171284.jpg", "Обложка")</f>
        <v>Обложка</v>
      </c>
      <c r="V2144" s="24" t="str">
        <f>HYPERLINK("https://znanium.ru/catalog/product/2171284", "Ознакомиться")</f>
        <v>Ознакомиться</v>
      </c>
      <c r="W2144" s="8" t="s">
        <v>2666</v>
      </c>
      <c r="X2144" s="6"/>
      <c r="Y2144" s="6"/>
      <c r="Z2144" s="6"/>
      <c r="AA2144" s="6" t="s">
        <v>442</v>
      </c>
      <c r="AB2144" s="8"/>
    </row>
    <row r="2145" spans="1:28" s="4" customFormat="1" ht="51.95" customHeight="1">
      <c r="A2145" s="5">
        <v>0</v>
      </c>
      <c r="B2145" s="6" t="s">
        <v>13112</v>
      </c>
      <c r="C2145" s="7">
        <v>944</v>
      </c>
      <c r="D2145" s="8" t="s">
        <v>13113</v>
      </c>
      <c r="E2145" s="8" t="s">
        <v>13114</v>
      </c>
      <c r="F2145" s="8" t="s">
        <v>13115</v>
      </c>
      <c r="G2145" s="6" t="s">
        <v>89</v>
      </c>
      <c r="H2145" s="6" t="s">
        <v>53</v>
      </c>
      <c r="I2145" s="8" t="s">
        <v>100</v>
      </c>
      <c r="J2145" s="9">
        <v>1</v>
      </c>
      <c r="K2145" s="9">
        <v>181</v>
      </c>
      <c r="L2145" s="9">
        <v>2025</v>
      </c>
      <c r="M2145" s="8" t="s">
        <v>13116</v>
      </c>
      <c r="N2145" s="8" t="s">
        <v>413</v>
      </c>
      <c r="O2145" s="8" t="s">
        <v>1141</v>
      </c>
      <c r="P2145" s="6" t="s">
        <v>43</v>
      </c>
      <c r="Q2145" s="8" t="s">
        <v>102</v>
      </c>
      <c r="R2145" s="10" t="s">
        <v>13117</v>
      </c>
      <c r="S2145" s="11" t="s">
        <v>13118</v>
      </c>
      <c r="T2145" s="6"/>
      <c r="U2145" s="24" t="str">
        <f>HYPERLINK("https://media.infra-m.ru/2198/2198260/cover/2198260.jpg", "Обложка")</f>
        <v>Обложка</v>
      </c>
      <c r="V2145" s="24" t="str">
        <f>HYPERLINK("https://znanium.ru/catalog/product/1412835", "Ознакомиться")</f>
        <v>Ознакомиться</v>
      </c>
      <c r="W2145" s="8" t="s">
        <v>3672</v>
      </c>
      <c r="X2145" s="6"/>
      <c r="Y2145" s="6"/>
      <c r="Z2145" s="6" t="s">
        <v>3872</v>
      </c>
      <c r="AA2145" s="6" t="s">
        <v>793</v>
      </c>
      <c r="AB2145" s="8"/>
    </row>
    <row r="2146" spans="1:28" s="4" customFormat="1" ht="51.95" customHeight="1">
      <c r="A2146" s="5">
        <v>0</v>
      </c>
      <c r="B2146" s="6" t="s">
        <v>13119</v>
      </c>
      <c r="C2146" s="7">
        <v>910</v>
      </c>
      <c r="D2146" s="8" t="s">
        <v>13120</v>
      </c>
      <c r="E2146" s="8" t="s">
        <v>13114</v>
      </c>
      <c r="F2146" s="8" t="s">
        <v>13115</v>
      </c>
      <c r="G2146" s="6" t="s">
        <v>89</v>
      </c>
      <c r="H2146" s="6" t="s">
        <v>53</v>
      </c>
      <c r="I2146" s="8" t="s">
        <v>276</v>
      </c>
      <c r="J2146" s="9">
        <v>1</v>
      </c>
      <c r="K2146" s="9">
        <v>181</v>
      </c>
      <c r="L2146" s="9">
        <v>2024</v>
      </c>
      <c r="M2146" s="8" t="s">
        <v>13121</v>
      </c>
      <c r="N2146" s="8" t="s">
        <v>79</v>
      </c>
      <c r="O2146" s="8" t="s">
        <v>684</v>
      </c>
      <c r="P2146" s="6" t="s">
        <v>43</v>
      </c>
      <c r="Q2146" s="8" t="s">
        <v>279</v>
      </c>
      <c r="R2146" s="10" t="s">
        <v>13122</v>
      </c>
      <c r="S2146" s="11" t="s">
        <v>13123</v>
      </c>
      <c r="T2146" s="6"/>
      <c r="U2146" s="24" t="str">
        <f>HYPERLINK("https://media.infra-m.ru/2111/2111400/cover/2111400.jpg", "Обложка")</f>
        <v>Обложка</v>
      </c>
      <c r="V2146" s="24" t="str">
        <f>HYPERLINK("https://znanium.ru/catalog/product/2111400", "Ознакомиться")</f>
        <v>Ознакомиться</v>
      </c>
      <c r="W2146" s="8" t="s">
        <v>3672</v>
      </c>
      <c r="X2146" s="6"/>
      <c r="Y2146" s="6"/>
      <c r="Z2146" s="6"/>
      <c r="AA2146" s="6" t="s">
        <v>151</v>
      </c>
      <c r="AB2146" s="8" t="s">
        <v>840</v>
      </c>
    </row>
    <row r="2147" spans="1:28" s="4" customFormat="1" ht="51.95" customHeight="1">
      <c r="A2147" s="5">
        <v>0</v>
      </c>
      <c r="B2147" s="6" t="s">
        <v>13124</v>
      </c>
      <c r="C2147" s="13">
        <v>1344</v>
      </c>
      <c r="D2147" s="8" t="s">
        <v>13125</v>
      </c>
      <c r="E2147" s="8" t="s">
        <v>13126</v>
      </c>
      <c r="F2147" s="8" t="s">
        <v>13127</v>
      </c>
      <c r="G2147" s="6" t="s">
        <v>89</v>
      </c>
      <c r="H2147" s="6" t="s">
        <v>77</v>
      </c>
      <c r="I2147" s="8" t="s">
        <v>2979</v>
      </c>
      <c r="J2147" s="9">
        <v>1</v>
      </c>
      <c r="K2147" s="9">
        <v>296</v>
      </c>
      <c r="L2147" s="9">
        <v>2023</v>
      </c>
      <c r="M2147" s="8" t="s">
        <v>13128</v>
      </c>
      <c r="N2147" s="8" t="s">
        <v>41</v>
      </c>
      <c r="O2147" s="8" t="s">
        <v>118</v>
      </c>
      <c r="P2147" s="6" t="s">
        <v>43</v>
      </c>
      <c r="Q2147" s="8" t="s">
        <v>279</v>
      </c>
      <c r="R2147" s="10" t="s">
        <v>1319</v>
      </c>
      <c r="S2147" s="11" t="s">
        <v>13129</v>
      </c>
      <c r="T2147" s="6"/>
      <c r="U2147" s="24" t="str">
        <f>HYPERLINK("https://media.infra-m.ru/2006/2006855/cover/2006855.jpg", "Обложка")</f>
        <v>Обложка</v>
      </c>
      <c r="V2147" s="24" t="str">
        <f>HYPERLINK("https://znanium.ru/catalog/product/948489", "Ознакомиться")</f>
        <v>Ознакомиться</v>
      </c>
      <c r="W2147" s="8" t="s">
        <v>83</v>
      </c>
      <c r="X2147" s="6"/>
      <c r="Y2147" s="6"/>
      <c r="Z2147" s="6"/>
      <c r="AA2147" s="6" t="s">
        <v>151</v>
      </c>
      <c r="AB2147" s="8"/>
    </row>
    <row r="2148" spans="1:28" s="4" customFormat="1" ht="51.95" customHeight="1">
      <c r="A2148" s="5">
        <v>0</v>
      </c>
      <c r="B2148" s="6" t="s">
        <v>13130</v>
      </c>
      <c r="C2148" s="13">
        <v>2712</v>
      </c>
      <c r="D2148" s="8" t="s">
        <v>13131</v>
      </c>
      <c r="E2148" s="8" t="s">
        <v>13132</v>
      </c>
      <c r="F2148" s="8" t="s">
        <v>13133</v>
      </c>
      <c r="G2148" s="6" t="s">
        <v>52</v>
      </c>
      <c r="H2148" s="6" t="s">
        <v>53</v>
      </c>
      <c r="I2148" s="8" t="s">
        <v>90</v>
      </c>
      <c r="J2148" s="9">
        <v>1</v>
      </c>
      <c r="K2148" s="9">
        <v>592</v>
      </c>
      <c r="L2148" s="9">
        <v>2023</v>
      </c>
      <c r="M2148" s="8" t="s">
        <v>13134</v>
      </c>
      <c r="N2148" s="8" t="s">
        <v>413</v>
      </c>
      <c r="O2148" s="8" t="s">
        <v>1141</v>
      </c>
      <c r="P2148" s="6" t="s">
        <v>167</v>
      </c>
      <c r="Q2148" s="8" t="s">
        <v>44</v>
      </c>
      <c r="R2148" s="10" t="s">
        <v>13135</v>
      </c>
      <c r="S2148" s="11" t="s">
        <v>13136</v>
      </c>
      <c r="T2148" s="6"/>
      <c r="U2148" s="24" t="str">
        <f>HYPERLINK("https://media.infra-m.ru/2125/2125097/cover/2125097.jpg", "Обложка")</f>
        <v>Обложка</v>
      </c>
      <c r="V2148" s="24" t="str">
        <f>HYPERLINK("https://znanium.ru/catalog/product/2082910", "Ознакомиться")</f>
        <v>Ознакомиться</v>
      </c>
      <c r="W2148" s="8" t="s">
        <v>5337</v>
      </c>
      <c r="X2148" s="6"/>
      <c r="Y2148" s="6"/>
      <c r="Z2148" s="6"/>
      <c r="AA2148" s="6" t="s">
        <v>418</v>
      </c>
      <c r="AB2148" s="8"/>
    </row>
    <row r="2149" spans="1:28" s="4" customFormat="1" ht="51.95" customHeight="1">
      <c r="A2149" s="5">
        <v>0</v>
      </c>
      <c r="B2149" s="6" t="s">
        <v>13137</v>
      </c>
      <c r="C2149" s="13">
        <v>1980</v>
      </c>
      <c r="D2149" s="8" t="s">
        <v>13138</v>
      </c>
      <c r="E2149" s="8" t="s">
        <v>13139</v>
      </c>
      <c r="F2149" s="8" t="s">
        <v>13140</v>
      </c>
      <c r="G2149" s="6" t="s">
        <v>89</v>
      </c>
      <c r="H2149" s="6" t="s">
        <v>77</v>
      </c>
      <c r="I2149" s="8" t="s">
        <v>116</v>
      </c>
      <c r="J2149" s="9">
        <v>1</v>
      </c>
      <c r="K2149" s="9">
        <v>395</v>
      </c>
      <c r="L2149" s="9">
        <v>2025</v>
      </c>
      <c r="M2149" s="8" t="s">
        <v>13141</v>
      </c>
      <c r="N2149" s="8" t="s">
        <v>56</v>
      </c>
      <c r="O2149" s="8" t="s">
        <v>2183</v>
      </c>
      <c r="P2149" s="6" t="s">
        <v>167</v>
      </c>
      <c r="Q2149" s="8" t="s">
        <v>44</v>
      </c>
      <c r="R2149" s="10" t="s">
        <v>13142</v>
      </c>
      <c r="S2149" s="11" t="s">
        <v>13143</v>
      </c>
      <c r="T2149" s="6"/>
      <c r="U2149" s="24" t="str">
        <f>HYPERLINK("https://media.infra-m.ru/2188/2188273/cover/2188273.jpg", "Обложка")</f>
        <v>Обложка</v>
      </c>
      <c r="V2149" s="24" t="str">
        <f>HYPERLINK("https://znanium.ru/catalog/product/2188273", "Ознакомиться")</f>
        <v>Ознакомиться</v>
      </c>
      <c r="W2149" s="8" t="s">
        <v>1571</v>
      </c>
      <c r="X2149" s="6"/>
      <c r="Y2149" s="6"/>
      <c r="Z2149" s="6"/>
      <c r="AA2149" s="6" t="s">
        <v>47</v>
      </c>
      <c r="AB2149" s="8"/>
    </row>
    <row r="2150" spans="1:28" s="4" customFormat="1" ht="51.95" customHeight="1">
      <c r="A2150" s="5">
        <v>0</v>
      </c>
      <c r="B2150" s="6" t="s">
        <v>13144</v>
      </c>
      <c r="C2150" s="13">
        <v>1990</v>
      </c>
      <c r="D2150" s="8" t="s">
        <v>13145</v>
      </c>
      <c r="E2150" s="8" t="s">
        <v>13139</v>
      </c>
      <c r="F2150" s="8" t="s">
        <v>13140</v>
      </c>
      <c r="G2150" s="6" t="s">
        <v>89</v>
      </c>
      <c r="H2150" s="6" t="s">
        <v>77</v>
      </c>
      <c r="I2150" s="8" t="s">
        <v>100</v>
      </c>
      <c r="J2150" s="9">
        <v>1</v>
      </c>
      <c r="K2150" s="9">
        <v>395</v>
      </c>
      <c r="L2150" s="9">
        <v>2025</v>
      </c>
      <c r="M2150" s="8" t="s">
        <v>13146</v>
      </c>
      <c r="N2150" s="8" t="s">
        <v>56</v>
      </c>
      <c r="O2150" s="8" t="s">
        <v>2183</v>
      </c>
      <c r="P2150" s="6" t="s">
        <v>167</v>
      </c>
      <c r="Q2150" s="8" t="s">
        <v>102</v>
      </c>
      <c r="R2150" s="10" t="s">
        <v>13147</v>
      </c>
      <c r="S2150" s="11" t="s">
        <v>13148</v>
      </c>
      <c r="T2150" s="6"/>
      <c r="U2150" s="24" t="str">
        <f>HYPERLINK("https://media.infra-m.ru/2161/2161909/cover/2161909.jpg", "Обложка")</f>
        <v>Обложка</v>
      </c>
      <c r="V2150" s="24" t="str">
        <f>HYPERLINK("https://znanium.ru/catalog/product/2161909", "Ознакомиться")</f>
        <v>Ознакомиться</v>
      </c>
      <c r="W2150" s="8" t="s">
        <v>1571</v>
      </c>
      <c r="X2150" s="6"/>
      <c r="Y2150" s="6"/>
      <c r="Z2150" s="6" t="s">
        <v>104</v>
      </c>
      <c r="AA2150" s="6" t="s">
        <v>258</v>
      </c>
      <c r="AB2150" s="8"/>
    </row>
    <row r="2151" spans="1:28" s="4" customFormat="1" ht="51.95" customHeight="1">
      <c r="A2151" s="5">
        <v>0</v>
      </c>
      <c r="B2151" s="6" t="s">
        <v>13149</v>
      </c>
      <c r="C2151" s="13">
        <v>2030</v>
      </c>
      <c r="D2151" s="8" t="s">
        <v>13150</v>
      </c>
      <c r="E2151" s="8" t="s">
        <v>13151</v>
      </c>
      <c r="F2151" s="8" t="s">
        <v>13152</v>
      </c>
      <c r="G2151" s="6" t="s">
        <v>52</v>
      </c>
      <c r="H2151" s="6" t="s">
        <v>53</v>
      </c>
      <c r="I2151" s="8" t="s">
        <v>100</v>
      </c>
      <c r="J2151" s="9">
        <v>1</v>
      </c>
      <c r="K2151" s="9">
        <v>432</v>
      </c>
      <c r="L2151" s="9">
        <v>2024</v>
      </c>
      <c r="M2151" s="8" t="s">
        <v>13153</v>
      </c>
      <c r="N2151" s="8" t="s">
        <v>79</v>
      </c>
      <c r="O2151" s="8" t="s">
        <v>396</v>
      </c>
      <c r="P2151" s="6" t="s">
        <v>43</v>
      </c>
      <c r="Q2151" s="8" t="s">
        <v>102</v>
      </c>
      <c r="R2151" s="10" t="s">
        <v>13154</v>
      </c>
      <c r="S2151" s="11" t="s">
        <v>13155</v>
      </c>
      <c r="T2151" s="6" t="s">
        <v>299</v>
      </c>
      <c r="U2151" s="24" t="str">
        <f>HYPERLINK("https://media.infra-m.ru/2143/2143539/cover/2143539.jpg", "Обложка")</f>
        <v>Обложка</v>
      </c>
      <c r="V2151" s="24" t="str">
        <f>HYPERLINK("https://znanium.ru/catalog/product/2143539", "Ознакомиться")</f>
        <v>Ознакомиться</v>
      </c>
      <c r="W2151" s="8"/>
      <c r="X2151" s="6"/>
      <c r="Y2151" s="6"/>
      <c r="Z2151" s="6" t="s">
        <v>104</v>
      </c>
      <c r="AA2151" s="6" t="s">
        <v>151</v>
      </c>
      <c r="AB2151" s="8"/>
    </row>
    <row r="2152" spans="1:28" s="4" customFormat="1" ht="51.95" customHeight="1">
      <c r="A2152" s="5">
        <v>0</v>
      </c>
      <c r="B2152" s="6" t="s">
        <v>13156</v>
      </c>
      <c r="C2152" s="13">
        <v>2244</v>
      </c>
      <c r="D2152" s="8" t="s">
        <v>13157</v>
      </c>
      <c r="E2152" s="8" t="s">
        <v>13151</v>
      </c>
      <c r="F2152" s="8" t="s">
        <v>13158</v>
      </c>
      <c r="G2152" s="6" t="s">
        <v>52</v>
      </c>
      <c r="H2152" s="6" t="s">
        <v>53</v>
      </c>
      <c r="I2152" s="8" t="s">
        <v>11324</v>
      </c>
      <c r="J2152" s="9">
        <v>1</v>
      </c>
      <c r="K2152" s="9">
        <v>432</v>
      </c>
      <c r="L2152" s="9">
        <v>2025</v>
      </c>
      <c r="M2152" s="8" t="s">
        <v>13159</v>
      </c>
      <c r="N2152" s="8" t="s">
        <v>79</v>
      </c>
      <c r="O2152" s="8" t="s">
        <v>396</v>
      </c>
      <c r="P2152" s="6" t="s">
        <v>43</v>
      </c>
      <c r="Q2152" s="8" t="s">
        <v>44</v>
      </c>
      <c r="R2152" s="10" t="s">
        <v>13160</v>
      </c>
      <c r="S2152" s="11" t="s">
        <v>13161</v>
      </c>
      <c r="T2152" s="6" t="s">
        <v>299</v>
      </c>
      <c r="U2152" s="24" t="str">
        <f>HYPERLINK("https://media.infra-m.ru/2196/2196897/cover/2196897.jpg", "Обложка")</f>
        <v>Обложка</v>
      </c>
      <c r="V2152" s="24" t="str">
        <f>HYPERLINK("https://znanium.ru/catalog/product/2126473", "Ознакомиться")</f>
        <v>Ознакомиться</v>
      </c>
      <c r="W2152" s="8"/>
      <c r="X2152" s="6"/>
      <c r="Y2152" s="6"/>
      <c r="Z2152" s="6"/>
      <c r="AA2152" s="6" t="s">
        <v>418</v>
      </c>
      <c r="AB2152" s="8"/>
    </row>
    <row r="2153" spans="1:28" s="4" customFormat="1" ht="51.95" customHeight="1">
      <c r="A2153" s="5">
        <v>0</v>
      </c>
      <c r="B2153" s="6" t="s">
        <v>13162</v>
      </c>
      <c r="C2153" s="13">
        <v>1454</v>
      </c>
      <c r="D2153" s="8" t="s">
        <v>13163</v>
      </c>
      <c r="E2153" s="8" t="s">
        <v>13164</v>
      </c>
      <c r="F2153" s="8" t="s">
        <v>7959</v>
      </c>
      <c r="G2153" s="6" t="s">
        <v>89</v>
      </c>
      <c r="H2153" s="6" t="s">
        <v>53</v>
      </c>
      <c r="I2153" s="8" t="s">
        <v>90</v>
      </c>
      <c r="J2153" s="9">
        <v>1</v>
      </c>
      <c r="K2153" s="9">
        <v>320</v>
      </c>
      <c r="L2153" s="9">
        <v>2023</v>
      </c>
      <c r="M2153" s="8" t="s">
        <v>13165</v>
      </c>
      <c r="N2153" s="8" t="s">
        <v>79</v>
      </c>
      <c r="O2153" s="8" t="s">
        <v>148</v>
      </c>
      <c r="P2153" s="6" t="s">
        <v>167</v>
      </c>
      <c r="Q2153" s="8" t="s">
        <v>44</v>
      </c>
      <c r="R2153" s="10" t="s">
        <v>13166</v>
      </c>
      <c r="S2153" s="11" t="s">
        <v>13167</v>
      </c>
      <c r="T2153" s="6"/>
      <c r="U2153" s="24" t="str">
        <f>HYPERLINK("https://media.infra-m.ru/2006/2006845/cover/2006845.jpg", "Обложка")</f>
        <v>Обложка</v>
      </c>
      <c r="V2153" s="24" t="str">
        <f>HYPERLINK("https://znanium.ru/catalog/product/1010941", "Ознакомиться")</f>
        <v>Ознакомиться</v>
      </c>
      <c r="W2153" s="8" t="s">
        <v>758</v>
      </c>
      <c r="X2153" s="6"/>
      <c r="Y2153" s="6"/>
      <c r="Z2153" s="6"/>
      <c r="AA2153" s="6" t="s">
        <v>258</v>
      </c>
      <c r="AB2153" s="8"/>
    </row>
    <row r="2154" spans="1:28" s="4" customFormat="1" ht="51.95" customHeight="1">
      <c r="A2154" s="5">
        <v>0</v>
      </c>
      <c r="B2154" s="6" t="s">
        <v>13168</v>
      </c>
      <c r="C2154" s="13">
        <v>1380</v>
      </c>
      <c r="D2154" s="8" t="s">
        <v>13169</v>
      </c>
      <c r="E2154" s="8" t="s">
        <v>13170</v>
      </c>
      <c r="F2154" s="8" t="s">
        <v>13171</v>
      </c>
      <c r="G2154" s="6" t="s">
        <v>52</v>
      </c>
      <c r="H2154" s="6" t="s">
        <v>53</v>
      </c>
      <c r="I2154" s="8" t="s">
        <v>712</v>
      </c>
      <c r="J2154" s="9">
        <v>1</v>
      </c>
      <c r="K2154" s="9">
        <v>263</v>
      </c>
      <c r="L2154" s="9">
        <v>2025</v>
      </c>
      <c r="M2154" s="8" t="s">
        <v>13172</v>
      </c>
      <c r="N2154" s="8" t="s">
        <v>79</v>
      </c>
      <c r="O2154" s="8" t="s">
        <v>148</v>
      </c>
      <c r="P2154" s="6" t="s">
        <v>43</v>
      </c>
      <c r="Q2154" s="8" t="s">
        <v>58</v>
      </c>
      <c r="R2154" s="10" t="s">
        <v>13173</v>
      </c>
      <c r="S2154" s="11" t="s">
        <v>13174</v>
      </c>
      <c r="T2154" s="6"/>
      <c r="U2154" s="24" t="str">
        <f>HYPERLINK("https://media.infra-m.ru/2056/2056720/cover/2056720.jpg", "Обложка")</f>
        <v>Обложка</v>
      </c>
      <c r="V2154" s="24" t="str">
        <f>HYPERLINK("https://znanium.ru/catalog/product/2056720", "Ознакомиться")</f>
        <v>Ознакомиться</v>
      </c>
      <c r="W2154" s="8" t="s">
        <v>716</v>
      </c>
      <c r="X2154" s="6" t="s">
        <v>132</v>
      </c>
      <c r="Y2154" s="6"/>
      <c r="Z2154" s="6"/>
      <c r="AA2154" s="6" t="s">
        <v>61</v>
      </c>
      <c r="AB2154" s="8"/>
    </row>
    <row r="2155" spans="1:28" s="4" customFormat="1" ht="42" customHeight="1">
      <c r="A2155" s="5">
        <v>0</v>
      </c>
      <c r="B2155" s="6" t="s">
        <v>13175</v>
      </c>
      <c r="C2155" s="13">
        <v>1590</v>
      </c>
      <c r="D2155" s="8" t="s">
        <v>13176</v>
      </c>
      <c r="E2155" s="8" t="s">
        <v>13177</v>
      </c>
      <c r="F2155" s="8" t="s">
        <v>13171</v>
      </c>
      <c r="G2155" s="6" t="s">
        <v>52</v>
      </c>
      <c r="H2155" s="6" t="s">
        <v>53</v>
      </c>
      <c r="I2155" s="8" t="s">
        <v>712</v>
      </c>
      <c r="J2155" s="9">
        <v>1</v>
      </c>
      <c r="K2155" s="9">
        <v>309</v>
      </c>
      <c r="L2155" s="9">
        <v>2024</v>
      </c>
      <c r="M2155" s="8" t="s">
        <v>13178</v>
      </c>
      <c r="N2155" s="8" t="s">
        <v>79</v>
      </c>
      <c r="O2155" s="8" t="s">
        <v>148</v>
      </c>
      <c r="P2155" s="6" t="s">
        <v>43</v>
      </c>
      <c r="Q2155" s="8" t="s">
        <v>58</v>
      </c>
      <c r="R2155" s="10" t="s">
        <v>13173</v>
      </c>
      <c r="S2155" s="11"/>
      <c r="T2155" s="6"/>
      <c r="U2155" s="24" t="str">
        <f>HYPERLINK("https://media.infra-m.ru/2001/2001723/cover/2001723.jpg", "Обложка")</f>
        <v>Обложка</v>
      </c>
      <c r="V2155" s="24" t="str">
        <f>HYPERLINK("https://znanium.ru/catalog/product/2001723", "Ознакомиться")</f>
        <v>Ознакомиться</v>
      </c>
      <c r="W2155" s="8" t="s">
        <v>716</v>
      </c>
      <c r="X2155" s="6" t="s">
        <v>772</v>
      </c>
      <c r="Y2155" s="6"/>
      <c r="Z2155" s="6"/>
      <c r="AA2155" s="6" t="s">
        <v>133</v>
      </c>
      <c r="AB2155" s="8"/>
    </row>
    <row r="2156" spans="1:28" s="4" customFormat="1" ht="51.95" customHeight="1">
      <c r="A2156" s="5">
        <v>0</v>
      </c>
      <c r="B2156" s="6" t="s">
        <v>13179</v>
      </c>
      <c r="C2156" s="13">
        <v>2182</v>
      </c>
      <c r="D2156" s="8" t="s">
        <v>13180</v>
      </c>
      <c r="E2156" s="8" t="s">
        <v>13181</v>
      </c>
      <c r="F2156" s="8" t="s">
        <v>13182</v>
      </c>
      <c r="G2156" s="6" t="s">
        <v>89</v>
      </c>
      <c r="H2156" s="6" t="s">
        <v>39</v>
      </c>
      <c r="I2156" s="8" t="s">
        <v>185</v>
      </c>
      <c r="J2156" s="9">
        <v>1</v>
      </c>
      <c r="K2156" s="9">
        <v>335</v>
      </c>
      <c r="L2156" s="9">
        <v>2025</v>
      </c>
      <c r="M2156" s="8" t="s">
        <v>13183</v>
      </c>
      <c r="N2156" s="8" t="s">
        <v>79</v>
      </c>
      <c r="O2156" s="8" t="s">
        <v>148</v>
      </c>
      <c r="P2156" s="6" t="s">
        <v>43</v>
      </c>
      <c r="Q2156" s="8" t="s">
        <v>102</v>
      </c>
      <c r="R2156" s="10" t="s">
        <v>13184</v>
      </c>
      <c r="S2156" s="11" t="s">
        <v>620</v>
      </c>
      <c r="T2156" s="6"/>
      <c r="U2156" s="24" t="str">
        <f>HYPERLINK("https://media.infra-m.ru/2163/2163041/cover/2163041.jpg", "Обложка")</f>
        <v>Обложка</v>
      </c>
      <c r="V2156" s="24" t="str">
        <f>HYPERLINK("https://znanium.ru/catalog/product/2163041", "Ознакомиться")</f>
        <v>Ознакомиться</v>
      </c>
      <c r="W2156" s="8" t="s">
        <v>758</v>
      </c>
      <c r="X2156" s="6"/>
      <c r="Y2156" s="6"/>
      <c r="Z2156" s="6"/>
      <c r="AA2156" s="6" t="s">
        <v>377</v>
      </c>
      <c r="AB2156" s="8"/>
    </row>
    <row r="2157" spans="1:28" s="4" customFormat="1" ht="51.95" customHeight="1">
      <c r="A2157" s="5">
        <v>0</v>
      </c>
      <c r="B2157" s="6" t="s">
        <v>13185</v>
      </c>
      <c r="C2157" s="13">
        <v>1444</v>
      </c>
      <c r="D2157" s="8" t="s">
        <v>13186</v>
      </c>
      <c r="E2157" s="8" t="s">
        <v>13187</v>
      </c>
      <c r="F2157" s="8" t="s">
        <v>13188</v>
      </c>
      <c r="G2157" s="6" t="s">
        <v>89</v>
      </c>
      <c r="H2157" s="6" t="s">
        <v>53</v>
      </c>
      <c r="I2157" s="8" t="s">
        <v>116</v>
      </c>
      <c r="J2157" s="9">
        <v>1</v>
      </c>
      <c r="K2157" s="9">
        <v>288</v>
      </c>
      <c r="L2157" s="9">
        <v>2025</v>
      </c>
      <c r="M2157" s="8" t="s">
        <v>13189</v>
      </c>
      <c r="N2157" s="8" t="s">
        <v>79</v>
      </c>
      <c r="O2157" s="8" t="s">
        <v>148</v>
      </c>
      <c r="P2157" s="6" t="s">
        <v>43</v>
      </c>
      <c r="Q2157" s="8" t="s">
        <v>44</v>
      </c>
      <c r="R2157" s="10" t="s">
        <v>13190</v>
      </c>
      <c r="S2157" s="11" t="s">
        <v>13191</v>
      </c>
      <c r="T2157" s="6"/>
      <c r="U2157" s="24" t="str">
        <f>HYPERLINK("https://media.infra-m.ru/2172/2172253/cover/2172253.jpg", "Обложка")</f>
        <v>Обложка</v>
      </c>
      <c r="V2157" s="24" t="str">
        <f>HYPERLINK("https://znanium.ru/catalog/product/2119923", "Ознакомиться")</f>
        <v>Ознакомиться</v>
      </c>
      <c r="W2157" s="8" t="s">
        <v>2122</v>
      </c>
      <c r="X2157" s="6"/>
      <c r="Y2157" s="6"/>
      <c r="Z2157" s="6"/>
      <c r="AA2157" s="6" t="s">
        <v>122</v>
      </c>
      <c r="AB2157" s="8"/>
    </row>
    <row r="2158" spans="1:28" s="4" customFormat="1" ht="51.95" customHeight="1">
      <c r="A2158" s="5">
        <v>0</v>
      </c>
      <c r="B2158" s="6" t="s">
        <v>13192</v>
      </c>
      <c r="C2158" s="13">
        <v>1240</v>
      </c>
      <c r="D2158" s="8" t="s">
        <v>13193</v>
      </c>
      <c r="E2158" s="8" t="s">
        <v>13194</v>
      </c>
      <c r="F2158" s="8" t="s">
        <v>13195</v>
      </c>
      <c r="G2158" s="6" t="s">
        <v>89</v>
      </c>
      <c r="H2158" s="6" t="s">
        <v>53</v>
      </c>
      <c r="I2158" s="8" t="s">
        <v>4855</v>
      </c>
      <c r="J2158" s="9">
        <v>1</v>
      </c>
      <c r="K2158" s="9">
        <v>268</v>
      </c>
      <c r="L2158" s="9">
        <v>2023</v>
      </c>
      <c r="M2158" s="8" t="s">
        <v>13196</v>
      </c>
      <c r="N2158" s="8" t="s">
        <v>79</v>
      </c>
      <c r="O2158" s="8" t="s">
        <v>148</v>
      </c>
      <c r="P2158" s="6" t="s">
        <v>43</v>
      </c>
      <c r="Q2158" s="8" t="s">
        <v>44</v>
      </c>
      <c r="R2158" s="10" t="s">
        <v>13197</v>
      </c>
      <c r="S2158" s="11" t="s">
        <v>13198</v>
      </c>
      <c r="T2158" s="6"/>
      <c r="U2158" s="24" t="str">
        <f>HYPERLINK("https://media.infra-m.ru/2125/2125460/cover/2125460.jpg", "Обложка")</f>
        <v>Обложка</v>
      </c>
      <c r="V2158" s="12"/>
      <c r="W2158" s="8" t="s">
        <v>784</v>
      </c>
      <c r="X2158" s="6"/>
      <c r="Y2158" s="6"/>
      <c r="Z2158" s="6"/>
      <c r="AA2158" s="6" t="s">
        <v>151</v>
      </c>
      <c r="AB2158" s="8"/>
    </row>
    <row r="2159" spans="1:28" s="4" customFormat="1" ht="51.95" customHeight="1">
      <c r="A2159" s="5">
        <v>0</v>
      </c>
      <c r="B2159" s="6" t="s">
        <v>13199</v>
      </c>
      <c r="C2159" s="13">
        <v>1984</v>
      </c>
      <c r="D2159" s="8" t="s">
        <v>13200</v>
      </c>
      <c r="E2159" s="8" t="s">
        <v>13201</v>
      </c>
      <c r="F2159" s="8" t="s">
        <v>13202</v>
      </c>
      <c r="G2159" s="6" t="s">
        <v>52</v>
      </c>
      <c r="H2159" s="6" t="s">
        <v>53</v>
      </c>
      <c r="I2159" s="8" t="s">
        <v>90</v>
      </c>
      <c r="J2159" s="9">
        <v>1</v>
      </c>
      <c r="K2159" s="9">
        <v>427</v>
      </c>
      <c r="L2159" s="9">
        <v>2024</v>
      </c>
      <c r="M2159" s="8" t="s">
        <v>13203</v>
      </c>
      <c r="N2159" s="8" t="s">
        <v>79</v>
      </c>
      <c r="O2159" s="8" t="s">
        <v>537</v>
      </c>
      <c r="P2159" s="6" t="s">
        <v>167</v>
      </c>
      <c r="Q2159" s="8" t="s">
        <v>44</v>
      </c>
      <c r="R2159" s="10" t="s">
        <v>13204</v>
      </c>
      <c r="S2159" s="11" t="s">
        <v>13205</v>
      </c>
      <c r="T2159" s="6"/>
      <c r="U2159" s="24" t="str">
        <f>HYPERLINK("https://media.infra-m.ru/2130/2130249/cover/2130249.jpg", "Обложка")</f>
        <v>Обложка</v>
      </c>
      <c r="V2159" s="24" t="str">
        <f>HYPERLINK("https://znanium.ru/catalog/product/1053582", "Ознакомиться")</f>
        <v>Ознакомиться</v>
      </c>
      <c r="W2159" s="8" t="s">
        <v>9885</v>
      </c>
      <c r="X2159" s="6"/>
      <c r="Y2159" s="6"/>
      <c r="Z2159" s="6"/>
      <c r="AA2159" s="6" t="s">
        <v>84</v>
      </c>
      <c r="AB2159" s="8"/>
    </row>
    <row r="2160" spans="1:28" s="4" customFormat="1" ht="51.95" customHeight="1">
      <c r="A2160" s="5">
        <v>0</v>
      </c>
      <c r="B2160" s="6" t="s">
        <v>13206</v>
      </c>
      <c r="C2160" s="13">
        <v>1790</v>
      </c>
      <c r="D2160" s="8" t="s">
        <v>13207</v>
      </c>
      <c r="E2160" s="8" t="s">
        <v>13187</v>
      </c>
      <c r="F2160" s="8" t="s">
        <v>13208</v>
      </c>
      <c r="G2160" s="6" t="s">
        <v>89</v>
      </c>
      <c r="H2160" s="6" t="s">
        <v>53</v>
      </c>
      <c r="I2160" s="8" t="s">
        <v>90</v>
      </c>
      <c r="J2160" s="9">
        <v>1</v>
      </c>
      <c r="K2160" s="9">
        <v>397</v>
      </c>
      <c r="L2160" s="9">
        <v>2023</v>
      </c>
      <c r="M2160" s="8" t="s">
        <v>13209</v>
      </c>
      <c r="N2160" s="8" t="s">
        <v>79</v>
      </c>
      <c r="O2160" s="8" t="s">
        <v>396</v>
      </c>
      <c r="P2160" s="6" t="s">
        <v>167</v>
      </c>
      <c r="Q2160" s="8" t="s">
        <v>44</v>
      </c>
      <c r="R2160" s="10" t="s">
        <v>13210</v>
      </c>
      <c r="S2160" s="11" t="s">
        <v>13211</v>
      </c>
      <c r="T2160" s="6"/>
      <c r="U2160" s="24" t="str">
        <f>HYPERLINK("https://media.infra-m.ru/1941/1941721/cover/1941721.jpg", "Обложка")</f>
        <v>Обложка</v>
      </c>
      <c r="V2160" s="24" t="str">
        <f>HYPERLINK("https://znanium.ru/catalog/product/1941721", "Ознакомиться")</f>
        <v>Ознакомиться</v>
      </c>
      <c r="W2160" s="8" t="s">
        <v>1514</v>
      </c>
      <c r="X2160" s="6"/>
      <c r="Y2160" s="6"/>
      <c r="Z2160" s="6"/>
      <c r="AA2160" s="6" t="s">
        <v>84</v>
      </c>
      <c r="AB2160" s="8"/>
    </row>
    <row r="2161" spans="1:28" s="4" customFormat="1" ht="44.1" customHeight="1">
      <c r="A2161" s="5">
        <v>0</v>
      </c>
      <c r="B2161" s="6" t="s">
        <v>13212</v>
      </c>
      <c r="C2161" s="13">
        <v>2194</v>
      </c>
      <c r="D2161" s="8" t="s">
        <v>13213</v>
      </c>
      <c r="E2161" s="8" t="s">
        <v>13214</v>
      </c>
      <c r="F2161" s="8" t="s">
        <v>13215</v>
      </c>
      <c r="G2161" s="6" t="s">
        <v>89</v>
      </c>
      <c r="H2161" s="6" t="s">
        <v>53</v>
      </c>
      <c r="I2161" s="8" t="s">
        <v>1325</v>
      </c>
      <c r="J2161" s="9">
        <v>1</v>
      </c>
      <c r="K2161" s="9">
        <v>396</v>
      </c>
      <c r="L2161" s="9">
        <v>2024</v>
      </c>
      <c r="M2161" s="8" t="s">
        <v>13216</v>
      </c>
      <c r="N2161" s="8" t="s">
        <v>79</v>
      </c>
      <c r="O2161" s="8" t="s">
        <v>148</v>
      </c>
      <c r="P2161" s="6" t="s">
        <v>43</v>
      </c>
      <c r="Q2161" s="8" t="s">
        <v>58</v>
      </c>
      <c r="R2161" s="10" t="s">
        <v>13217</v>
      </c>
      <c r="S2161" s="11"/>
      <c r="T2161" s="6"/>
      <c r="U2161" s="24" t="str">
        <f>HYPERLINK("https://media.infra-m.ru/2167/2167675/cover/2167675.jpg", "Обложка")</f>
        <v>Обложка</v>
      </c>
      <c r="V2161" s="24" t="str">
        <f>HYPERLINK("https://znanium.ru/catalog/product/2150741", "Ознакомиться")</f>
        <v>Ознакомиться</v>
      </c>
      <c r="W2161" s="8" t="s">
        <v>1329</v>
      </c>
      <c r="X2161" s="6"/>
      <c r="Y2161" s="6"/>
      <c r="Z2161" s="6"/>
      <c r="AA2161" s="6" t="s">
        <v>1382</v>
      </c>
      <c r="AB2161" s="8"/>
    </row>
    <row r="2162" spans="1:28" s="4" customFormat="1" ht="51.95" customHeight="1">
      <c r="A2162" s="5">
        <v>0</v>
      </c>
      <c r="B2162" s="6" t="s">
        <v>13218</v>
      </c>
      <c r="C2162" s="13">
        <v>1682</v>
      </c>
      <c r="D2162" s="8" t="s">
        <v>13219</v>
      </c>
      <c r="E2162" s="8" t="s">
        <v>13220</v>
      </c>
      <c r="F2162" s="8" t="s">
        <v>13221</v>
      </c>
      <c r="G2162" s="6" t="s">
        <v>89</v>
      </c>
      <c r="H2162" s="6" t="s">
        <v>53</v>
      </c>
      <c r="I2162" s="8" t="s">
        <v>116</v>
      </c>
      <c r="J2162" s="9">
        <v>1</v>
      </c>
      <c r="K2162" s="9">
        <v>241</v>
      </c>
      <c r="L2162" s="9">
        <v>2025</v>
      </c>
      <c r="M2162" s="8" t="s">
        <v>13222</v>
      </c>
      <c r="N2162" s="8" t="s">
        <v>79</v>
      </c>
      <c r="O2162" s="8" t="s">
        <v>148</v>
      </c>
      <c r="P2162" s="6" t="s">
        <v>167</v>
      </c>
      <c r="Q2162" s="8" t="s">
        <v>44</v>
      </c>
      <c r="R2162" s="10" t="s">
        <v>13223</v>
      </c>
      <c r="S2162" s="11" t="s">
        <v>13224</v>
      </c>
      <c r="T2162" s="6"/>
      <c r="U2162" s="24" t="str">
        <f>HYPERLINK("https://media.infra-m.ru/2183/2183982/cover/2183982.jpg", "Обложка")</f>
        <v>Обложка</v>
      </c>
      <c r="V2162" s="24" t="str">
        <f>HYPERLINK("https://znanium.ru/catalog/product/2183982", "Ознакомиться")</f>
        <v>Ознакомиться</v>
      </c>
      <c r="W2162" s="8" t="s">
        <v>758</v>
      </c>
      <c r="X2162" s="6"/>
      <c r="Y2162" s="6"/>
      <c r="Z2162" s="6"/>
      <c r="AA2162" s="6" t="s">
        <v>95</v>
      </c>
      <c r="AB2162" s="8"/>
    </row>
    <row r="2163" spans="1:28" s="4" customFormat="1" ht="51.95" customHeight="1">
      <c r="A2163" s="5">
        <v>0</v>
      </c>
      <c r="B2163" s="6" t="s">
        <v>13225</v>
      </c>
      <c r="C2163" s="13">
        <v>1820</v>
      </c>
      <c r="D2163" s="8" t="s">
        <v>13226</v>
      </c>
      <c r="E2163" s="8" t="s">
        <v>13227</v>
      </c>
      <c r="F2163" s="8" t="s">
        <v>13228</v>
      </c>
      <c r="G2163" s="6" t="s">
        <v>89</v>
      </c>
      <c r="H2163" s="6" t="s">
        <v>39</v>
      </c>
      <c r="I2163" s="8" t="s">
        <v>90</v>
      </c>
      <c r="J2163" s="9">
        <v>1</v>
      </c>
      <c r="K2163" s="9">
        <v>400</v>
      </c>
      <c r="L2163" s="9">
        <v>2020</v>
      </c>
      <c r="M2163" s="8" t="s">
        <v>13229</v>
      </c>
      <c r="N2163" s="8" t="s">
        <v>79</v>
      </c>
      <c r="O2163" s="8" t="s">
        <v>148</v>
      </c>
      <c r="P2163" s="6" t="s">
        <v>167</v>
      </c>
      <c r="Q2163" s="8" t="s">
        <v>44</v>
      </c>
      <c r="R2163" s="10" t="s">
        <v>13230</v>
      </c>
      <c r="S2163" s="11" t="s">
        <v>13231</v>
      </c>
      <c r="T2163" s="6"/>
      <c r="U2163" s="24" t="str">
        <f>HYPERLINK("https://media.infra-m.ru/1127/1127724/cover/1127724.jpg", "Обложка")</f>
        <v>Обложка</v>
      </c>
      <c r="V2163" s="24" t="str">
        <f>HYPERLINK("https://znanium.ru/catalog/product/2183984", "Ознакомиться")</f>
        <v>Ознакомиться</v>
      </c>
      <c r="W2163" s="8" t="s">
        <v>758</v>
      </c>
      <c r="X2163" s="6"/>
      <c r="Y2163" s="6"/>
      <c r="Z2163" s="6"/>
      <c r="AA2163" s="6" t="s">
        <v>442</v>
      </c>
      <c r="AB2163" s="8"/>
    </row>
    <row r="2164" spans="1:28" s="4" customFormat="1" ht="51.95" customHeight="1">
      <c r="A2164" s="5">
        <v>0</v>
      </c>
      <c r="B2164" s="6" t="s">
        <v>13232</v>
      </c>
      <c r="C2164" s="13">
        <v>1674</v>
      </c>
      <c r="D2164" s="8" t="s">
        <v>13233</v>
      </c>
      <c r="E2164" s="8" t="s">
        <v>13234</v>
      </c>
      <c r="F2164" s="8" t="s">
        <v>13221</v>
      </c>
      <c r="G2164" s="6" t="s">
        <v>89</v>
      </c>
      <c r="H2164" s="6" t="s">
        <v>53</v>
      </c>
      <c r="I2164" s="8" t="s">
        <v>90</v>
      </c>
      <c r="J2164" s="9">
        <v>1</v>
      </c>
      <c r="K2164" s="9">
        <v>250</v>
      </c>
      <c r="L2164" s="9">
        <v>2025</v>
      </c>
      <c r="M2164" s="8" t="s">
        <v>13235</v>
      </c>
      <c r="N2164" s="8" t="s">
        <v>79</v>
      </c>
      <c r="O2164" s="8" t="s">
        <v>148</v>
      </c>
      <c r="P2164" s="6" t="s">
        <v>167</v>
      </c>
      <c r="Q2164" s="8" t="s">
        <v>44</v>
      </c>
      <c r="R2164" s="10" t="s">
        <v>13230</v>
      </c>
      <c r="S2164" s="11" t="s">
        <v>13231</v>
      </c>
      <c r="T2164" s="6"/>
      <c r="U2164" s="24" t="str">
        <f>HYPERLINK("https://media.infra-m.ru/2188/2188275/cover/2188275.jpg", "Обложка")</f>
        <v>Обложка</v>
      </c>
      <c r="V2164" s="24" t="str">
        <f>HYPERLINK("https://znanium.ru/catalog/product/2183984", "Ознакомиться")</f>
        <v>Ознакомиться</v>
      </c>
      <c r="W2164" s="8" t="s">
        <v>758</v>
      </c>
      <c r="X2164" s="6"/>
      <c r="Y2164" s="6"/>
      <c r="Z2164" s="6"/>
      <c r="AA2164" s="6" t="s">
        <v>95</v>
      </c>
      <c r="AB2164" s="8"/>
    </row>
    <row r="2165" spans="1:28" s="4" customFormat="1" ht="51.95" customHeight="1">
      <c r="A2165" s="5">
        <v>0</v>
      </c>
      <c r="B2165" s="6" t="s">
        <v>13236</v>
      </c>
      <c r="C2165" s="13">
        <v>1030</v>
      </c>
      <c r="D2165" s="8" t="s">
        <v>13237</v>
      </c>
      <c r="E2165" s="8" t="s">
        <v>13238</v>
      </c>
      <c r="F2165" s="8" t="s">
        <v>7959</v>
      </c>
      <c r="G2165" s="6" t="s">
        <v>89</v>
      </c>
      <c r="H2165" s="6" t="s">
        <v>53</v>
      </c>
      <c r="I2165" s="8" t="s">
        <v>100</v>
      </c>
      <c r="J2165" s="9">
        <v>1</v>
      </c>
      <c r="K2165" s="9">
        <v>320</v>
      </c>
      <c r="L2165" s="9">
        <v>2019</v>
      </c>
      <c r="M2165" s="8" t="s">
        <v>13239</v>
      </c>
      <c r="N2165" s="8" t="s">
        <v>79</v>
      </c>
      <c r="O2165" s="8" t="s">
        <v>148</v>
      </c>
      <c r="P2165" s="6" t="s">
        <v>167</v>
      </c>
      <c r="Q2165" s="8" t="s">
        <v>102</v>
      </c>
      <c r="R2165" s="10" t="s">
        <v>13240</v>
      </c>
      <c r="S2165" s="11" t="s">
        <v>13241</v>
      </c>
      <c r="T2165" s="6"/>
      <c r="U2165" s="24" t="str">
        <f>HYPERLINK("https://media.infra-m.ru/1030/1030374/cover/1030374.jpg", "Обложка")</f>
        <v>Обложка</v>
      </c>
      <c r="V2165" s="24" t="str">
        <f>HYPERLINK("https://znanium.ru/catalog/product/1030374", "Ознакомиться")</f>
        <v>Ознакомиться</v>
      </c>
      <c r="W2165" s="8" t="s">
        <v>758</v>
      </c>
      <c r="X2165" s="6"/>
      <c r="Y2165" s="6"/>
      <c r="Z2165" s="6" t="s">
        <v>104</v>
      </c>
      <c r="AA2165" s="6" t="s">
        <v>258</v>
      </c>
      <c r="AB2165" s="8"/>
    </row>
    <row r="2166" spans="1:28" s="4" customFormat="1" ht="51.95" customHeight="1">
      <c r="A2166" s="5">
        <v>0</v>
      </c>
      <c r="B2166" s="6" t="s">
        <v>13242</v>
      </c>
      <c r="C2166" s="13">
        <v>1790</v>
      </c>
      <c r="D2166" s="8" t="s">
        <v>13243</v>
      </c>
      <c r="E2166" s="8" t="s">
        <v>13244</v>
      </c>
      <c r="F2166" s="8" t="s">
        <v>13245</v>
      </c>
      <c r="G2166" s="6" t="s">
        <v>89</v>
      </c>
      <c r="H2166" s="6" t="s">
        <v>53</v>
      </c>
      <c r="I2166" s="8" t="s">
        <v>90</v>
      </c>
      <c r="J2166" s="9">
        <v>1</v>
      </c>
      <c r="K2166" s="9">
        <v>388</v>
      </c>
      <c r="L2166" s="9">
        <v>2023</v>
      </c>
      <c r="M2166" s="8" t="s">
        <v>13246</v>
      </c>
      <c r="N2166" s="8" t="s">
        <v>79</v>
      </c>
      <c r="O2166" s="8" t="s">
        <v>148</v>
      </c>
      <c r="P2166" s="6" t="s">
        <v>43</v>
      </c>
      <c r="Q2166" s="8" t="s">
        <v>44</v>
      </c>
      <c r="R2166" s="10" t="s">
        <v>2286</v>
      </c>
      <c r="S2166" s="11" t="s">
        <v>13247</v>
      </c>
      <c r="T2166" s="6" t="s">
        <v>299</v>
      </c>
      <c r="U2166" s="24" t="str">
        <f>HYPERLINK("https://media.infra-m.ru/1959/1959271/cover/1959271.jpg", "Обложка")</f>
        <v>Обложка</v>
      </c>
      <c r="V2166" s="24" t="str">
        <f>HYPERLINK("https://znanium.ru/catalog/product/1959271", "Ознакомиться")</f>
        <v>Ознакомиться</v>
      </c>
      <c r="W2166" s="8" t="s">
        <v>71</v>
      </c>
      <c r="X2166" s="6"/>
      <c r="Y2166" s="6"/>
      <c r="Z2166" s="6"/>
      <c r="AA2166" s="6" t="s">
        <v>235</v>
      </c>
      <c r="AB2166" s="8"/>
    </row>
    <row r="2167" spans="1:28" s="4" customFormat="1" ht="51.95" customHeight="1">
      <c r="A2167" s="5">
        <v>0</v>
      </c>
      <c r="B2167" s="6" t="s">
        <v>13248</v>
      </c>
      <c r="C2167" s="13">
        <v>1994</v>
      </c>
      <c r="D2167" s="8" t="s">
        <v>13249</v>
      </c>
      <c r="E2167" s="8" t="s">
        <v>13250</v>
      </c>
      <c r="F2167" s="8" t="s">
        <v>13245</v>
      </c>
      <c r="G2167" s="6" t="s">
        <v>52</v>
      </c>
      <c r="H2167" s="6" t="s">
        <v>53</v>
      </c>
      <c r="I2167" s="8" t="s">
        <v>90</v>
      </c>
      <c r="J2167" s="9">
        <v>1</v>
      </c>
      <c r="K2167" s="9">
        <v>432</v>
      </c>
      <c r="L2167" s="9">
        <v>2024</v>
      </c>
      <c r="M2167" s="8" t="s">
        <v>13251</v>
      </c>
      <c r="N2167" s="8" t="s">
        <v>79</v>
      </c>
      <c r="O2167" s="8" t="s">
        <v>148</v>
      </c>
      <c r="P2167" s="6" t="s">
        <v>43</v>
      </c>
      <c r="Q2167" s="8" t="s">
        <v>44</v>
      </c>
      <c r="R2167" s="10" t="s">
        <v>13252</v>
      </c>
      <c r="S2167" s="11" t="s">
        <v>13253</v>
      </c>
      <c r="T2167" s="6"/>
      <c r="U2167" s="24" t="str">
        <f>HYPERLINK("https://media.infra-m.ru/2082/2082912/cover/2082912.jpg", "Обложка")</f>
        <v>Обложка</v>
      </c>
      <c r="V2167" s="24" t="str">
        <f>HYPERLINK("https://znanium.ru/catalog/product/1046078", "Ознакомиться")</f>
        <v>Ознакомиться</v>
      </c>
      <c r="W2167" s="8" t="s">
        <v>71</v>
      </c>
      <c r="X2167" s="6"/>
      <c r="Y2167" s="6"/>
      <c r="Z2167" s="6"/>
      <c r="AA2167" s="6" t="s">
        <v>235</v>
      </c>
      <c r="AB2167" s="8"/>
    </row>
    <row r="2168" spans="1:28" s="4" customFormat="1" ht="51.95" customHeight="1">
      <c r="A2168" s="5">
        <v>0</v>
      </c>
      <c r="B2168" s="6" t="s">
        <v>13254</v>
      </c>
      <c r="C2168" s="13">
        <v>1944</v>
      </c>
      <c r="D2168" s="8" t="s">
        <v>13255</v>
      </c>
      <c r="E2168" s="8" t="s">
        <v>13244</v>
      </c>
      <c r="F2168" s="8" t="s">
        <v>13245</v>
      </c>
      <c r="G2168" s="6" t="s">
        <v>89</v>
      </c>
      <c r="H2168" s="6" t="s">
        <v>53</v>
      </c>
      <c r="I2168" s="8" t="s">
        <v>100</v>
      </c>
      <c r="J2168" s="9">
        <v>1</v>
      </c>
      <c r="K2168" s="9">
        <v>388</v>
      </c>
      <c r="L2168" s="9">
        <v>2025</v>
      </c>
      <c r="M2168" s="8" t="s">
        <v>13256</v>
      </c>
      <c r="N2168" s="8" t="s">
        <v>79</v>
      </c>
      <c r="O2168" s="8" t="s">
        <v>148</v>
      </c>
      <c r="P2168" s="6" t="s">
        <v>43</v>
      </c>
      <c r="Q2168" s="8" t="s">
        <v>102</v>
      </c>
      <c r="R2168" s="10" t="s">
        <v>13257</v>
      </c>
      <c r="S2168" s="11" t="s">
        <v>13258</v>
      </c>
      <c r="T2168" s="6"/>
      <c r="U2168" s="24" t="str">
        <f>HYPERLINK("https://media.infra-m.ru/2186/2186855/cover/2186855.jpg", "Обложка")</f>
        <v>Обложка</v>
      </c>
      <c r="V2168" s="24" t="str">
        <f>HYPERLINK("https://znanium.ru/catalog/product/2184837", "Ознакомиться")</f>
        <v>Ознакомиться</v>
      </c>
      <c r="W2168" s="8" t="s">
        <v>71</v>
      </c>
      <c r="X2168" s="6"/>
      <c r="Y2168" s="6"/>
      <c r="Z2168" s="6" t="s">
        <v>104</v>
      </c>
      <c r="AA2168" s="6" t="s">
        <v>235</v>
      </c>
      <c r="AB2168" s="8"/>
    </row>
    <row r="2169" spans="1:28" s="4" customFormat="1" ht="51.95" customHeight="1">
      <c r="A2169" s="5">
        <v>0</v>
      </c>
      <c r="B2169" s="6" t="s">
        <v>13259</v>
      </c>
      <c r="C2169" s="13">
        <v>2250</v>
      </c>
      <c r="D2169" s="8" t="s">
        <v>13260</v>
      </c>
      <c r="E2169" s="8" t="s">
        <v>13250</v>
      </c>
      <c r="F2169" s="8" t="s">
        <v>13245</v>
      </c>
      <c r="G2169" s="6" t="s">
        <v>52</v>
      </c>
      <c r="H2169" s="6" t="s">
        <v>53</v>
      </c>
      <c r="I2169" s="8" t="s">
        <v>100</v>
      </c>
      <c r="J2169" s="9">
        <v>1</v>
      </c>
      <c r="K2169" s="9">
        <v>432</v>
      </c>
      <c r="L2169" s="9">
        <v>2025</v>
      </c>
      <c r="M2169" s="8" t="s">
        <v>13261</v>
      </c>
      <c r="N2169" s="8" t="s">
        <v>79</v>
      </c>
      <c r="O2169" s="8" t="s">
        <v>148</v>
      </c>
      <c r="P2169" s="6" t="s">
        <v>43</v>
      </c>
      <c r="Q2169" s="8" t="s">
        <v>102</v>
      </c>
      <c r="R2169" s="10" t="s">
        <v>13257</v>
      </c>
      <c r="S2169" s="11" t="s">
        <v>13262</v>
      </c>
      <c r="T2169" s="6" t="s">
        <v>299</v>
      </c>
      <c r="U2169" s="24" t="str">
        <f>HYPERLINK("https://media.infra-m.ru/2184/2184838/cover/2184838.jpg", "Обложка")</f>
        <v>Обложка</v>
      </c>
      <c r="V2169" s="24" t="str">
        <f>HYPERLINK("https://znanium.ru/catalog/product/2184838", "Ознакомиться")</f>
        <v>Ознакомиться</v>
      </c>
      <c r="W2169" s="8" t="s">
        <v>71</v>
      </c>
      <c r="X2169" s="6"/>
      <c r="Y2169" s="6"/>
      <c r="Z2169" s="6" t="s">
        <v>104</v>
      </c>
      <c r="AA2169" s="6" t="s">
        <v>235</v>
      </c>
      <c r="AB2169" s="8"/>
    </row>
    <row r="2170" spans="1:28" s="4" customFormat="1" ht="51.95" customHeight="1">
      <c r="A2170" s="5">
        <v>0</v>
      </c>
      <c r="B2170" s="6" t="s">
        <v>13263</v>
      </c>
      <c r="C2170" s="13">
        <v>1680</v>
      </c>
      <c r="D2170" s="8" t="s">
        <v>13264</v>
      </c>
      <c r="E2170" s="8" t="s">
        <v>13265</v>
      </c>
      <c r="F2170" s="8" t="s">
        <v>13266</v>
      </c>
      <c r="G2170" s="6" t="s">
        <v>38</v>
      </c>
      <c r="H2170" s="6" t="s">
        <v>53</v>
      </c>
      <c r="I2170" s="8" t="s">
        <v>100</v>
      </c>
      <c r="J2170" s="9">
        <v>1</v>
      </c>
      <c r="K2170" s="9">
        <v>316</v>
      </c>
      <c r="L2170" s="9">
        <v>2025</v>
      </c>
      <c r="M2170" s="8" t="s">
        <v>13267</v>
      </c>
      <c r="N2170" s="8" t="s">
        <v>79</v>
      </c>
      <c r="O2170" s="8" t="s">
        <v>396</v>
      </c>
      <c r="P2170" s="6" t="s">
        <v>43</v>
      </c>
      <c r="Q2170" s="8" t="s">
        <v>102</v>
      </c>
      <c r="R2170" s="10" t="s">
        <v>13268</v>
      </c>
      <c r="S2170" s="11" t="s">
        <v>13269</v>
      </c>
      <c r="T2170" s="6"/>
      <c r="U2170" s="24" t="str">
        <f>HYPERLINK("https://media.infra-m.ru/2200/2200765/cover/2200765.jpg", "Обложка")</f>
        <v>Обложка</v>
      </c>
      <c r="V2170" s="24" t="str">
        <f>HYPERLINK("https://znanium.ru/catalog/product/2200765", "Ознакомиться")</f>
        <v>Ознакомиться</v>
      </c>
      <c r="W2170" s="8"/>
      <c r="X2170" s="6"/>
      <c r="Y2170" s="6"/>
      <c r="Z2170" s="6"/>
      <c r="AA2170" s="6" t="s">
        <v>235</v>
      </c>
      <c r="AB2170" s="8"/>
    </row>
    <row r="2171" spans="1:28" s="4" customFormat="1" ht="51.95" customHeight="1">
      <c r="A2171" s="5">
        <v>0</v>
      </c>
      <c r="B2171" s="6" t="s">
        <v>13270</v>
      </c>
      <c r="C2171" s="13">
        <v>1400</v>
      </c>
      <c r="D2171" s="8" t="s">
        <v>13271</v>
      </c>
      <c r="E2171" s="8" t="s">
        <v>13272</v>
      </c>
      <c r="F2171" s="8" t="s">
        <v>13273</v>
      </c>
      <c r="G2171" s="6" t="s">
        <v>89</v>
      </c>
      <c r="H2171" s="6" t="s">
        <v>13274</v>
      </c>
      <c r="I2171" s="8" t="s">
        <v>13275</v>
      </c>
      <c r="J2171" s="9">
        <v>1</v>
      </c>
      <c r="K2171" s="9">
        <v>304</v>
      </c>
      <c r="L2171" s="9">
        <v>2023</v>
      </c>
      <c r="M2171" s="8" t="s">
        <v>13276</v>
      </c>
      <c r="N2171" s="8" t="s">
        <v>79</v>
      </c>
      <c r="O2171" s="8" t="s">
        <v>148</v>
      </c>
      <c r="P2171" s="6" t="s">
        <v>167</v>
      </c>
      <c r="Q2171" s="8" t="s">
        <v>44</v>
      </c>
      <c r="R2171" s="10" t="s">
        <v>4857</v>
      </c>
      <c r="S2171" s="11" t="s">
        <v>13277</v>
      </c>
      <c r="T2171" s="6"/>
      <c r="U2171" s="24" t="str">
        <f>HYPERLINK("https://media.infra-m.ru/2123/2123408/cover/2123408.jpg", "Обложка")</f>
        <v>Обложка</v>
      </c>
      <c r="V2171" s="12"/>
      <c r="W2171" s="8" t="s">
        <v>159</v>
      </c>
      <c r="X2171" s="6"/>
      <c r="Y2171" s="6"/>
      <c r="Z2171" s="6"/>
      <c r="AA2171" s="6" t="s">
        <v>84</v>
      </c>
      <c r="AB2171" s="8"/>
    </row>
    <row r="2172" spans="1:28" s="4" customFormat="1" ht="44.1" customHeight="1">
      <c r="A2172" s="5">
        <v>0</v>
      </c>
      <c r="B2172" s="6" t="s">
        <v>13278</v>
      </c>
      <c r="C2172" s="13">
        <v>1680</v>
      </c>
      <c r="D2172" s="8" t="s">
        <v>13279</v>
      </c>
      <c r="E2172" s="8" t="s">
        <v>13272</v>
      </c>
      <c r="F2172" s="8" t="s">
        <v>13280</v>
      </c>
      <c r="G2172" s="6" t="s">
        <v>89</v>
      </c>
      <c r="H2172" s="6" t="s">
        <v>438</v>
      </c>
      <c r="I2172" s="8" t="s">
        <v>100</v>
      </c>
      <c r="J2172" s="9">
        <v>1</v>
      </c>
      <c r="K2172" s="9">
        <v>336</v>
      </c>
      <c r="L2172" s="9">
        <v>2025</v>
      </c>
      <c r="M2172" s="8" t="s">
        <v>13281</v>
      </c>
      <c r="N2172" s="8" t="s">
        <v>79</v>
      </c>
      <c r="O2172" s="8" t="s">
        <v>148</v>
      </c>
      <c r="P2172" s="6" t="s">
        <v>167</v>
      </c>
      <c r="Q2172" s="8" t="s">
        <v>102</v>
      </c>
      <c r="R2172" s="10" t="s">
        <v>13282</v>
      </c>
      <c r="S2172" s="11"/>
      <c r="T2172" s="6"/>
      <c r="U2172" s="24" t="str">
        <f>HYPERLINK("https://media.infra-m.ru/2169/2169731/cover/2169731.jpg", "Обложка")</f>
        <v>Обложка</v>
      </c>
      <c r="V2172" s="24" t="str">
        <f>HYPERLINK("https://znanium.ru/catalog/product/2169731", "Ознакомиться")</f>
        <v>Ознакомиться</v>
      </c>
      <c r="W2172" s="8" t="s">
        <v>450</v>
      </c>
      <c r="X2172" s="6"/>
      <c r="Y2172" s="6"/>
      <c r="Z2172" s="6"/>
      <c r="AA2172" s="6" t="s">
        <v>442</v>
      </c>
      <c r="AB2172" s="8"/>
    </row>
    <row r="2173" spans="1:28" s="4" customFormat="1" ht="51.95" customHeight="1">
      <c r="A2173" s="5">
        <v>0</v>
      </c>
      <c r="B2173" s="6" t="s">
        <v>13283</v>
      </c>
      <c r="C2173" s="13">
        <v>1014.9</v>
      </c>
      <c r="D2173" s="8" t="s">
        <v>13284</v>
      </c>
      <c r="E2173" s="8" t="s">
        <v>13272</v>
      </c>
      <c r="F2173" s="8" t="s">
        <v>13285</v>
      </c>
      <c r="G2173" s="6" t="s">
        <v>52</v>
      </c>
      <c r="H2173" s="6" t="s">
        <v>438</v>
      </c>
      <c r="I2173" s="8" t="s">
        <v>1171</v>
      </c>
      <c r="J2173" s="9">
        <v>1</v>
      </c>
      <c r="K2173" s="9">
        <v>284</v>
      </c>
      <c r="L2173" s="9">
        <v>2019</v>
      </c>
      <c r="M2173" s="8" t="s">
        <v>13286</v>
      </c>
      <c r="N2173" s="8" t="s">
        <v>79</v>
      </c>
      <c r="O2173" s="8" t="s">
        <v>148</v>
      </c>
      <c r="P2173" s="6" t="s">
        <v>167</v>
      </c>
      <c r="Q2173" s="8" t="s">
        <v>44</v>
      </c>
      <c r="R2173" s="10" t="s">
        <v>13287</v>
      </c>
      <c r="S2173" s="11" t="s">
        <v>13288</v>
      </c>
      <c r="T2173" s="6"/>
      <c r="U2173" s="24" t="str">
        <f>HYPERLINK("https://media.infra-m.ru/1026/1026297/cover/1026297.jpg", "Обложка")</f>
        <v>Обложка</v>
      </c>
      <c r="V2173" s="24" t="str">
        <f>HYPERLINK("https://znanium.ru/catalog/product/1099251", "Ознакомиться")</f>
        <v>Ознакомиться</v>
      </c>
      <c r="W2173" s="8" t="s">
        <v>450</v>
      </c>
      <c r="X2173" s="6"/>
      <c r="Y2173" s="6"/>
      <c r="Z2173" s="6"/>
      <c r="AA2173" s="6" t="s">
        <v>418</v>
      </c>
      <c r="AB2173" s="8"/>
    </row>
    <row r="2174" spans="1:28" s="4" customFormat="1" ht="51.95" customHeight="1">
      <c r="A2174" s="5">
        <v>0</v>
      </c>
      <c r="B2174" s="6" t="s">
        <v>13289</v>
      </c>
      <c r="C2174" s="13">
        <v>1280</v>
      </c>
      <c r="D2174" s="8" t="s">
        <v>13290</v>
      </c>
      <c r="E2174" s="8" t="s">
        <v>13272</v>
      </c>
      <c r="F2174" s="8" t="s">
        <v>13291</v>
      </c>
      <c r="G2174" s="6" t="s">
        <v>89</v>
      </c>
      <c r="H2174" s="6" t="s">
        <v>13274</v>
      </c>
      <c r="I2174" s="8" t="s">
        <v>13275</v>
      </c>
      <c r="J2174" s="9">
        <v>1</v>
      </c>
      <c r="K2174" s="9">
        <v>272</v>
      </c>
      <c r="L2174" s="9">
        <v>2024</v>
      </c>
      <c r="M2174" s="8" t="s">
        <v>13292</v>
      </c>
      <c r="N2174" s="8" t="s">
        <v>79</v>
      </c>
      <c r="O2174" s="8" t="s">
        <v>148</v>
      </c>
      <c r="P2174" s="6" t="s">
        <v>167</v>
      </c>
      <c r="Q2174" s="8" t="s">
        <v>58</v>
      </c>
      <c r="R2174" s="10" t="s">
        <v>13293</v>
      </c>
      <c r="S2174" s="11" t="s">
        <v>13294</v>
      </c>
      <c r="T2174" s="6"/>
      <c r="U2174" s="24" t="str">
        <f>HYPERLINK("https://media.infra-m.ru/2066/2066322/cover/2066322.jpg", "Обложка")</f>
        <v>Обложка</v>
      </c>
      <c r="V2174" s="12"/>
      <c r="W2174" s="8" t="s">
        <v>3201</v>
      </c>
      <c r="X2174" s="6"/>
      <c r="Y2174" s="6"/>
      <c r="Z2174" s="6"/>
      <c r="AA2174" s="6" t="s">
        <v>84</v>
      </c>
      <c r="AB2174" s="8"/>
    </row>
    <row r="2175" spans="1:28" s="4" customFormat="1" ht="51.95" customHeight="1">
      <c r="A2175" s="5">
        <v>0</v>
      </c>
      <c r="B2175" s="6" t="s">
        <v>13295</v>
      </c>
      <c r="C2175" s="7">
        <v>820</v>
      </c>
      <c r="D2175" s="8" t="s">
        <v>13296</v>
      </c>
      <c r="E2175" s="8" t="s">
        <v>13272</v>
      </c>
      <c r="F2175" s="8" t="s">
        <v>13297</v>
      </c>
      <c r="G2175" s="6" t="s">
        <v>89</v>
      </c>
      <c r="H2175" s="6" t="s">
        <v>53</v>
      </c>
      <c r="I2175" s="8" t="s">
        <v>100</v>
      </c>
      <c r="J2175" s="9">
        <v>1</v>
      </c>
      <c r="K2175" s="9">
        <v>151</v>
      </c>
      <c r="L2175" s="9">
        <v>2025</v>
      </c>
      <c r="M2175" s="8" t="s">
        <v>13298</v>
      </c>
      <c r="N2175" s="8" t="s">
        <v>79</v>
      </c>
      <c r="O2175" s="8" t="s">
        <v>148</v>
      </c>
      <c r="P2175" s="6" t="s">
        <v>167</v>
      </c>
      <c r="Q2175" s="8" t="s">
        <v>102</v>
      </c>
      <c r="R2175" s="10" t="s">
        <v>13299</v>
      </c>
      <c r="S2175" s="11" t="s">
        <v>547</v>
      </c>
      <c r="T2175" s="6"/>
      <c r="U2175" s="24" t="str">
        <f>HYPERLINK("https://media.infra-m.ru/2184/2184529/cover/2184529.jpg", "Обложка")</f>
        <v>Обложка</v>
      </c>
      <c r="V2175" s="24" t="str">
        <f>HYPERLINK("https://znanium.ru/catalog/product/2184529", "Ознакомиться")</f>
        <v>Ознакомиться</v>
      </c>
      <c r="W2175" s="8" t="s">
        <v>234</v>
      </c>
      <c r="X2175" s="6"/>
      <c r="Y2175" s="6"/>
      <c r="Z2175" s="6"/>
      <c r="AA2175" s="6" t="s">
        <v>3065</v>
      </c>
      <c r="AB2175" s="8"/>
    </row>
    <row r="2176" spans="1:28" s="4" customFormat="1" ht="51.95" customHeight="1">
      <c r="A2176" s="5">
        <v>0</v>
      </c>
      <c r="B2176" s="6" t="s">
        <v>13300</v>
      </c>
      <c r="C2176" s="7">
        <v>538</v>
      </c>
      <c r="D2176" s="8" t="s">
        <v>13301</v>
      </c>
      <c r="E2176" s="8" t="s">
        <v>13272</v>
      </c>
      <c r="F2176" s="8" t="s">
        <v>13302</v>
      </c>
      <c r="G2176" s="6" t="s">
        <v>38</v>
      </c>
      <c r="H2176" s="6" t="s">
        <v>184</v>
      </c>
      <c r="I2176" s="8" t="s">
        <v>13303</v>
      </c>
      <c r="J2176" s="9">
        <v>1</v>
      </c>
      <c r="K2176" s="9">
        <v>158</v>
      </c>
      <c r="L2176" s="9">
        <v>2025</v>
      </c>
      <c r="M2176" s="8" t="s">
        <v>13304</v>
      </c>
      <c r="N2176" s="8" t="s">
        <v>79</v>
      </c>
      <c r="O2176" s="8" t="s">
        <v>148</v>
      </c>
      <c r="P2176" s="6" t="s">
        <v>43</v>
      </c>
      <c r="Q2176" s="8" t="s">
        <v>102</v>
      </c>
      <c r="R2176" s="10" t="s">
        <v>13305</v>
      </c>
      <c r="S2176" s="11" t="s">
        <v>4972</v>
      </c>
      <c r="T2176" s="6"/>
      <c r="U2176" s="24" t="str">
        <f>HYPERLINK("https://media.infra-m.ru/2192/2192368/cover/2192368.jpg", "Обложка")</f>
        <v>Обложка</v>
      </c>
      <c r="V2176" s="24" t="str">
        <f>HYPERLINK("https://znanium.ru/catalog/product/2192368", "Ознакомиться")</f>
        <v>Ознакомиться</v>
      </c>
      <c r="W2176" s="8"/>
      <c r="X2176" s="6"/>
      <c r="Y2176" s="6"/>
      <c r="Z2176" s="6"/>
      <c r="AA2176" s="6" t="s">
        <v>1135</v>
      </c>
      <c r="AB2176" s="8"/>
    </row>
    <row r="2177" spans="1:28" s="4" customFormat="1" ht="51.95" customHeight="1">
      <c r="A2177" s="5">
        <v>0</v>
      </c>
      <c r="B2177" s="6" t="s">
        <v>13306</v>
      </c>
      <c r="C2177" s="13">
        <v>1994.9</v>
      </c>
      <c r="D2177" s="8" t="s">
        <v>13307</v>
      </c>
      <c r="E2177" s="8" t="s">
        <v>13272</v>
      </c>
      <c r="F2177" s="8" t="s">
        <v>13308</v>
      </c>
      <c r="G2177" s="6" t="s">
        <v>52</v>
      </c>
      <c r="H2177" s="6" t="s">
        <v>53</v>
      </c>
      <c r="I2177" s="8" t="s">
        <v>116</v>
      </c>
      <c r="J2177" s="9">
        <v>1</v>
      </c>
      <c r="K2177" s="9">
        <v>475</v>
      </c>
      <c r="L2177" s="9">
        <v>2023</v>
      </c>
      <c r="M2177" s="8" t="s">
        <v>13309</v>
      </c>
      <c r="N2177" s="8" t="s">
        <v>79</v>
      </c>
      <c r="O2177" s="8" t="s">
        <v>396</v>
      </c>
      <c r="P2177" s="6" t="s">
        <v>43</v>
      </c>
      <c r="Q2177" s="8" t="s">
        <v>44</v>
      </c>
      <c r="R2177" s="10" t="s">
        <v>13310</v>
      </c>
      <c r="S2177" s="11" t="s">
        <v>13311</v>
      </c>
      <c r="T2177" s="6"/>
      <c r="U2177" s="24" t="str">
        <f>HYPERLINK("https://media.infra-m.ru/1903/1903240/cover/1903240.jpg", "Обложка")</f>
        <v>Обложка</v>
      </c>
      <c r="V2177" s="24" t="str">
        <f>HYPERLINK("https://znanium.ru/catalog/product/1943586", "Ознакомиться")</f>
        <v>Ознакомиться</v>
      </c>
      <c r="W2177" s="8" t="s">
        <v>399</v>
      </c>
      <c r="X2177" s="6"/>
      <c r="Y2177" s="6"/>
      <c r="Z2177" s="6"/>
      <c r="AA2177" s="6" t="s">
        <v>122</v>
      </c>
      <c r="AB2177" s="8"/>
    </row>
    <row r="2178" spans="1:28" s="4" customFormat="1" ht="51.95" customHeight="1">
      <c r="A2178" s="5">
        <v>0</v>
      </c>
      <c r="B2178" s="6" t="s">
        <v>13312</v>
      </c>
      <c r="C2178" s="13">
        <v>1734</v>
      </c>
      <c r="D2178" s="8" t="s">
        <v>13313</v>
      </c>
      <c r="E2178" s="8" t="s">
        <v>13272</v>
      </c>
      <c r="F2178" s="8" t="s">
        <v>658</v>
      </c>
      <c r="G2178" s="6" t="s">
        <v>52</v>
      </c>
      <c r="H2178" s="6" t="s">
        <v>649</v>
      </c>
      <c r="I2178" s="8" t="s">
        <v>185</v>
      </c>
      <c r="J2178" s="9">
        <v>1</v>
      </c>
      <c r="K2178" s="9">
        <v>368</v>
      </c>
      <c r="L2178" s="9">
        <v>2024</v>
      </c>
      <c r="M2178" s="8" t="s">
        <v>13314</v>
      </c>
      <c r="N2178" s="8" t="s">
        <v>79</v>
      </c>
      <c r="O2178" s="8" t="s">
        <v>148</v>
      </c>
      <c r="P2178" s="6" t="s">
        <v>43</v>
      </c>
      <c r="Q2178" s="8" t="s">
        <v>102</v>
      </c>
      <c r="R2178" s="10" t="s">
        <v>13315</v>
      </c>
      <c r="S2178" s="11" t="s">
        <v>13316</v>
      </c>
      <c r="T2178" s="6"/>
      <c r="U2178" s="24" t="str">
        <f>HYPERLINK("https://media.infra-m.ru/2149/2149193/cover/2149193.jpg", "Обложка")</f>
        <v>Обложка</v>
      </c>
      <c r="V2178" s="24" t="str">
        <f>HYPERLINK("https://znanium.ru/catalog/product/2143543", "Ознакомиться")</f>
        <v>Ознакомиться</v>
      </c>
      <c r="W2178" s="8" t="s">
        <v>662</v>
      </c>
      <c r="X2178" s="6"/>
      <c r="Y2178" s="6"/>
      <c r="Z2178" s="6"/>
      <c r="AA2178" s="6" t="s">
        <v>654</v>
      </c>
      <c r="AB2178" s="8"/>
    </row>
    <row r="2179" spans="1:28" s="4" customFormat="1" ht="51.95" customHeight="1">
      <c r="A2179" s="5">
        <v>0</v>
      </c>
      <c r="B2179" s="6" t="s">
        <v>13317</v>
      </c>
      <c r="C2179" s="7">
        <v>748</v>
      </c>
      <c r="D2179" s="8" t="s">
        <v>13318</v>
      </c>
      <c r="E2179" s="8" t="s">
        <v>13319</v>
      </c>
      <c r="F2179" s="8" t="s">
        <v>13320</v>
      </c>
      <c r="G2179" s="6" t="s">
        <v>26</v>
      </c>
      <c r="H2179" s="6" t="s">
        <v>184</v>
      </c>
      <c r="I2179" s="8" t="s">
        <v>13321</v>
      </c>
      <c r="J2179" s="9">
        <v>1</v>
      </c>
      <c r="K2179" s="9">
        <v>228</v>
      </c>
      <c r="L2179" s="9">
        <v>2025</v>
      </c>
      <c r="M2179" s="8" t="s">
        <v>13322</v>
      </c>
      <c r="N2179" s="8" t="s">
        <v>79</v>
      </c>
      <c r="O2179" s="8" t="s">
        <v>148</v>
      </c>
      <c r="P2179" s="6" t="s">
        <v>43</v>
      </c>
      <c r="Q2179" s="8" t="s">
        <v>44</v>
      </c>
      <c r="R2179" s="10" t="s">
        <v>13323</v>
      </c>
      <c r="S2179" s="11"/>
      <c r="T2179" s="6"/>
      <c r="U2179" s="24" t="str">
        <f>HYPERLINK("https://media.infra-m.ru/2184/2184882/cover/2184882.jpg", "Обложка")</f>
        <v>Обложка</v>
      </c>
      <c r="V2179" s="24" t="str">
        <f>HYPERLINK("https://znanium.ru/catalog/product/1062389", "Ознакомиться")</f>
        <v>Ознакомиться</v>
      </c>
      <c r="W2179" s="8"/>
      <c r="X2179" s="6"/>
      <c r="Y2179" s="6"/>
      <c r="Z2179" s="6"/>
      <c r="AA2179" s="6" t="s">
        <v>377</v>
      </c>
      <c r="AB2179" s="8"/>
    </row>
    <row r="2180" spans="1:28" s="4" customFormat="1" ht="51.95" customHeight="1">
      <c r="A2180" s="5">
        <v>0</v>
      </c>
      <c r="B2180" s="6" t="s">
        <v>13324</v>
      </c>
      <c r="C2180" s="13">
        <v>1444</v>
      </c>
      <c r="D2180" s="8" t="s">
        <v>13325</v>
      </c>
      <c r="E2180" s="8" t="s">
        <v>13326</v>
      </c>
      <c r="F2180" s="8" t="s">
        <v>13327</v>
      </c>
      <c r="G2180" s="6" t="s">
        <v>52</v>
      </c>
      <c r="H2180" s="6" t="s">
        <v>53</v>
      </c>
      <c r="I2180" s="8" t="s">
        <v>100</v>
      </c>
      <c r="J2180" s="9">
        <v>1</v>
      </c>
      <c r="K2180" s="9">
        <v>307</v>
      </c>
      <c r="L2180" s="9">
        <v>2024</v>
      </c>
      <c r="M2180" s="8" t="s">
        <v>13328</v>
      </c>
      <c r="N2180" s="8" t="s">
        <v>79</v>
      </c>
      <c r="O2180" s="8" t="s">
        <v>396</v>
      </c>
      <c r="P2180" s="6" t="s">
        <v>43</v>
      </c>
      <c r="Q2180" s="8" t="s">
        <v>102</v>
      </c>
      <c r="R2180" s="10" t="s">
        <v>13329</v>
      </c>
      <c r="S2180" s="11" t="s">
        <v>13330</v>
      </c>
      <c r="T2180" s="6"/>
      <c r="U2180" s="24" t="str">
        <f>HYPERLINK("https://media.infra-m.ru/2140/2140252/cover/2140252.jpg", "Обложка")</f>
        <v>Обложка</v>
      </c>
      <c r="V2180" s="24" t="str">
        <f>HYPERLINK("https://znanium.ru/catalog/product/1175196", "Ознакомиться")</f>
        <v>Ознакомиться</v>
      </c>
      <c r="W2180" s="8" t="s">
        <v>9044</v>
      </c>
      <c r="X2180" s="6"/>
      <c r="Y2180" s="6"/>
      <c r="Z2180" s="6" t="s">
        <v>104</v>
      </c>
      <c r="AA2180" s="6" t="s">
        <v>1259</v>
      </c>
      <c r="AB2180" s="8"/>
    </row>
    <row r="2181" spans="1:28" s="4" customFormat="1" ht="51.95" customHeight="1">
      <c r="A2181" s="5">
        <v>0</v>
      </c>
      <c r="B2181" s="6" t="s">
        <v>13331</v>
      </c>
      <c r="C2181" s="13">
        <v>1384.9</v>
      </c>
      <c r="D2181" s="8" t="s">
        <v>13332</v>
      </c>
      <c r="E2181" s="8" t="s">
        <v>13326</v>
      </c>
      <c r="F2181" s="8" t="s">
        <v>13327</v>
      </c>
      <c r="G2181" s="6" t="s">
        <v>89</v>
      </c>
      <c r="H2181" s="6" t="s">
        <v>53</v>
      </c>
      <c r="I2181" s="8" t="s">
        <v>90</v>
      </c>
      <c r="J2181" s="9">
        <v>1</v>
      </c>
      <c r="K2181" s="9">
        <v>307</v>
      </c>
      <c r="L2181" s="9">
        <v>2023</v>
      </c>
      <c r="M2181" s="8" t="s">
        <v>13333</v>
      </c>
      <c r="N2181" s="8" t="s">
        <v>79</v>
      </c>
      <c r="O2181" s="8" t="s">
        <v>396</v>
      </c>
      <c r="P2181" s="6" t="s">
        <v>43</v>
      </c>
      <c r="Q2181" s="8" t="s">
        <v>44</v>
      </c>
      <c r="R2181" s="10" t="s">
        <v>9042</v>
      </c>
      <c r="S2181" s="11" t="s">
        <v>13334</v>
      </c>
      <c r="T2181" s="6"/>
      <c r="U2181" s="24" t="str">
        <f>HYPERLINK("https://media.infra-m.ru/1976/1976182/cover/1976182.jpg", "Обложка")</f>
        <v>Обложка</v>
      </c>
      <c r="V2181" s="24" t="str">
        <f>HYPERLINK("https://znanium.ru/catalog/product/1027237", "Ознакомиться")</f>
        <v>Ознакомиться</v>
      </c>
      <c r="W2181" s="8" t="s">
        <v>9044</v>
      </c>
      <c r="X2181" s="6"/>
      <c r="Y2181" s="6"/>
      <c r="Z2181" s="6"/>
      <c r="AA2181" s="6" t="s">
        <v>1259</v>
      </c>
      <c r="AB2181" s="8"/>
    </row>
    <row r="2182" spans="1:28" s="4" customFormat="1" ht="51.95" customHeight="1">
      <c r="A2182" s="5">
        <v>0</v>
      </c>
      <c r="B2182" s="6" t="s">
        <v>13335</v>
      </c>
      <c r="C2182" s="13">
        <v>1120</v>
      </c>
      <c r="D2182" s="8" t="s">
        <v>13336</v>
      </c>
      <c r="E2182" s="8" t="s">
        <v>13337</v>
      </c>
      <c r="F2182" s="8" t="s">
        <v>13338</v>
      </c>
      <c r="G2182" s="6" t="s">
        <v>89</v>
      </c>
      <c r="H2182" s="6" t="s">
        <v>649</v>
      </c>
      <c r="I2182" s="8" t="s">
        <v>100</v>
      </c>
      <c r="J2182" s="9">
        <v>1</v>
      </c>
      <c r="K2182" s="9">
        <v>224</v>
      </c>
      <c r="L2182" s="9">
        <v>2025</v>
      </c>
      <c r="M2182" s="8" t="s">
        <v>13339</v>
      </c>
      <c r="N2182" s="8" t="s">
        <v>79</v>
      </c>
      <c r="O2182" s="8" t="s">
        <v>396</v>
      </c>
      <c r="P2182" s="6" t="s">
        <v>43</v>
      </c>
      <c r="Q2182" s="8" t="s">
        <v>102</v>
      </c>
      <c r="R2182" s="10" t="s">
        <v>13268</v>
      </c>
      <c r="S2182" s="11" t="s">
        <v>13340</v>
      </c>
      <c r="T2182" s="6"/>
      <c r="U2182" s="24" t="str">
        <f>HYPERLINK("https://media.infra-m.ru/2182/2182624/cover/2182624.jpg", "Обложка")</f>
        <v>Обложка</v>
      </c>
      <c r="V2182" s="24" t="str">
        <f>HYPERLINK("https://znanium.ru/catalog/product/2182624", "Ознакомиться")</f>
        <v>Ознакомиться</v>
      </c>
      <c r="W2182" s="8" t="s">
        <v>1571</v>
      </c>
      <c r="X2182" s="6"/>
      <c r="Y2182" s="6"/>
      <c r="Z2182" s="6" t="s">
        <v>502</v>
      </c>
      <c r="AA2182" s="6" t="s">
        <v>258</v>
      </c>
      <c r="AB2182" s="8"/>
    </row>
    <row r="2183" spans="1:28" s="4" customFormat="1" ht="51.95" customHeight="1">
      <c r="A2183" s="5">
        <v>0</v>
      </c>
      <c r="B2183" s="6" t="s">
        <v>13341</v>
      </c>
      <c r="C2183" s="13">
        <v>1120</v>
      </c>
      <c r="D2183" s="8" t="s">
        <v>13342</v>
      </c>
      <c r="E2183" s="8" t="s">
        <v>13337</v>
      </c>
      <c r="F2183" s="8" t="s">
        <v>13338</v>
      </c>
      <c r="G2183" s="6" t="s">
        <v>89</v>
      </c>
      <c r="H2183" s="6" t="s">
        <v>649</v>
      </c>
      <c r="I2183" s="8" t="s">
        <v>116</v>
      </c>
      <c r="J2183" s="9">
        <v>1</v>
      </c>
      <c r="K2183" s="9">
        <v>224</v>
      </c>
      <c r="L2183" s="9">
        <v>2025</v>
      </c>
      <c r="M2183" s="8" t="s">
        <v>13343</v>
      </c>
      <c r="N2183" s="8" t="s">
        <v>79</v>
      </c>
      <c r="O2183" s="8" t="s">
        <v>396</v>
      </c>
      <c r="P2183" s="6" t="s">
        <v>43</v>
      </c>
      <c r="Q2183" s="8" t="s">
        <v>58</v>
      </c>
      <c r="R2183" s="10" t="s">
        <v>13344</v>
      </c>
      <c r="S2183" s="11" t="s">
        <v>13345</v>
      </c>
      <c r="T2183" s="6"/>
      <c r="U2183" s="24" t="str">
        <f>HYPERLINK("https://media.infra-m.ru/2161/2161911/cover/2161911.jpg", "Обложка")</f>
        <v>Обложка</v>
      </c>
      <c r="V2183" s="24" t="str">
        <f>HYPERLINK("https://znanium.ru/catalog/product/2161911", "Ознакомиться")</f>
        <v>Ознакомиться</v>
      </c>
      <c r="W2183" s="8" t="s">
        <v>1571</v>
      </c>
      <c r="X2183" s="6"/>
      <c r="Y2183" s="6"/>
      <c r="Z2183" s="6"/>
      <c r="AA2183" s="6" t="s">
        <v>122</v>
      </c>
      <c r="AB2183" s="8"/>
    </row>
    <row r="2184" spans="1:28" s="4" customFormat="1" ht="51.95" customHeight="1">
      <c r="A2184" s="5">
        <v>0</v>
      </c>
      <c r="B2184" s="6" t="s">
        <v>13346</v>
      </c>
      <c r="C2184" s="7">
        <v>754</v>
      </c>
      <c r="D2184" s="8" t="s">
        <v>13347</v>
      </c>
      <c r="E2184" s="8" t="s">
        <v>13348</v>
      </c>
      <c r="F2184" s="8" t="s">
        <v>13349</v>
      </c>
      <c r="G2184" s="6" t="s">
        <v>89</v>
      </c>
      <c r="H2184" s="6" t="s">
        <v>649</v>
      </c>
      <c r="I2184" s="8" t="s">
        <v>100</v>
      </c>
      <c r="J2184" s="9">
        <v>1</v>
      </c>
      <c r="K2184" s="9">
        <v>144</v>
      </c>
      <c r="L2184" s="9">
        <v>2025</v>
      </c>
      <c r="M2184" s="8" t="s">
        <v>13350</v>
      </c>
      <c r="N2184" s="8" t="s">
        <v>79</v>
      </c>
      <c r="O2184" s="8" t="s">
        <v>396</v>
      </c>
      <c r="P2184" s="6" t="s">
        <v>43</v>
      </c>
      <c r="Q2184" s="8" t="s">
        <v>102</v>
      </c>
      <c r="R2184" s="10" t="s">
        <v>13351</v>
      </c>
      <c r="S2184" s="11" t="s">
        <v>13352</v>
      </c>
      <c r="T2184" s="6"/>
      <c r="U2184" s="24" t="str">
        <f>HYPERLINK("https://media.infra-m.ru/2179/2179854/cover/2179854.jpg", "Обложка")</f>
        <v>Обложка</v>
      </c>
      <c r="V2184" s="24" t="str">
        <f>HYPERLINK("https://znanium.ru/catalog/product/2144081", "Ознакомиться")</f>
        <v>Ознакомиться</v>
      </c>
      <c r="W2184" s="8" t="s">
        <v>1571</v>
      </c>
      <c r="X2184" s="6"/>
      <c r="Y2184" s="6"/>
      <c r="Z2184" s="6" t="s">
        <v>104</v>
      </c>
      <c r="AA2184" s="6" t="s">
        <v>258</v>
      </c>
      <c r="AB2184" s="8"/>
    </row>
    <row r="2185" spans="1:28" s="4" customFormat="1" ht="51.95" customHeight="1">
      <c r="A2185" s="5">
        <v>0</v>
      </c>
      <c r="B2185" s="6" t="s">
        <v>13353</v>
      </c>
      <c r="C2185" s="7">
        <v>674</v>
      </c>
      <c r="D2185" s="8" t="s">
        <v>13354</v>
      </c>
      <c r="E2185" s="8" t="s">
        <v>13348</v>
      </c>
      <c r="F2185" s="8" t="s">
        <v>13349</v>
      </c>
      <c r="G2185" s="6" t="s">
        <v>38</v>
      </c>
      <c r="H2185" s="6" t="s">
        <v>649</v>
      </c>
      <c r="I2185" s="8" t="s">
        <v>90</v>
      </c>
      <c r="J2185" s="9">
        <v>1</v>
      </c>
      <c r="K2185" s="9">
        <v>144</v>
      </c>
      <c r="L2185" s="9">
        <v>2024</v>
      </c>
      <c r="M2185" s="8" t="s">
        <v>13355</v>
      </c>
      <c r="N2185" s="8" t="s">
        <v>79</v>
      </c>
      <c r="O2185" s="8" t="s">
        <v>396</v>
      </c>
      <c r="P2185" s="6" t="s">
        <v>43</v>
      </c>
      <c r="Q2185" s="8" t="s">
        <v>44</v>
      </c>
      <c r="R2185" s="10" t="s">
        <v>13356</v>
      </c>
      <c r="S2185" s="11" t="s">
        <v>13357</v>
      </c>
      <c r="T2185" s="6"/>
      <c r="U2185" s="24" t="str">
        <f>HYPERLINK("https://media.infra-m.ru/2086/2086831/cover/2086831.jpg", "Обложка")</f>
        <v>Обложка</v>
      </c>
      <c r="V2185" s="24" t="str">
        <f>HYPERLINK("https://znanium.ru/catalog/product/1640143", "Ознакомиться")</f>
        <v>Ознакомиться</v>
      </c>
      <c r="W2185" s="8" t="s">
        <v>1571</v>
      </c>
      <c r="X2185" s="6"/>
      <c r="Y2185" s="6"/>
      <c r="Z2185" s="6"/>
      <c r="AA2185" s="6" t="s">
        <v>47</v>
      </c>
      <c r="AB2185" s="8"/>
    </row>
    <row r="2186" spans="1:28" s="4" customFormat="1" ht="51.95" customHeight="1">
      <c r="A2186" s="5">
        <v>0</v>
      </c>
      <c r="B2186" s="6" t="s">
        <v>13358</v>
      </c>
      <c r="C2186" s="7">
        <v>880</v>
      </c>
      <c r="D2186" s="8" t="s">
        <v>13359</v>
      </c>
      <c r="E2186" s="8" t="s">
        <v>13360</v>
      </c>
      <c r="F2186" s="8" t="s">
        <v>7336</v>
      </c>
      <c r="G2186" s="6" t="s">
        <v>89</v>
      </c>
      <c r="H2186" s="6" t="s">
        <v>53</v>
      </c>
      <c r="I2186" s="8" t="s">
        <v>100</v>
      </c>
      <c r="J2186" s="9">
        <v>1</v>
      </c>
      <c r="K2186" s="9">
        <v>183</v>
      </c>
      <c r="L2186" s="9">
        <v>2024</v>
      </c>
      <c r="M2186" s="8" t="s">
        <v>13361</v>
      </c>
      <c r="N2186" s="8" t="s">
        <v>79</v>
      </c>
      <c r="O2186" s="8" t="s">
        <v>424</v>
      </c>
      <c r="P2186" s="6" t="s">
        <v>167</v>
      </c>
      <c r="Q2186" s="8" t="s">
        <v>102</v>
      </c>
      <c r="R2186" s="10" t="s">
        <v>13362</v>
      </c>
      <c r="S2186" s="11" t="s">
        <v>13363</v>
      </c>
      <c r="T2186" s="6"/>
      <c r="U2186" s="24" t="str">
        <f>HYPERLINK("https://media.infra-m.ru/2132/2132240/cover/2132240.jpg", "Обложка")</f>
        <v>Обложка</v>
      </c>
      <c r="V2186" s="24" t="str">
        <f>HYPERLINK("https://znanium.ru/catalog/product/2132240", "Ознакомиться")</f>
        <v>Ознакомиться</v>
      </c>
      <c r="W2186" s="8" t="s">
        <v>71</v>
      </c>
      <c r="X2186" s="6"/>
      <c r="Y2186" s="6" t="s">
        <v>30</v>
      </c>
      <c r="Z2186" s="6"/>
      <c r="AA2186" s="6" t="s">
        <v>3065</v>
      </c>
      <c r="AB2186" s="8"/>
    </row>
    <row r="2187" spans="1:28" s="4" customFormat="1" ht="51.95" customHeight="1">
      <c r="A2187" s="5">
        <v>0</v>
      </c>
      <c r="B2187" s="6" t="s">
        <v>13364</v>
      </c>
      <c r="C2187" s="13">
        <v>2774</v>
      </c>
      <c r="D2187" s="8" t="s">
        <v>13365</v>
      </c>
      <c r="E2187" s="8" t="s">
        <v>13366</v>
      </c>
      <c r="F2187" s="8" t="s">
        <v>13367</v>
      </c>
      <c r="G2187" s="6" t="s">
        <v>52</v>
      </c>
      <c r="H2187" s="6" t="s">
        <v>53</v>
      </c>
      <c r="I2187" s="8" t="s">
        <v>90</v>
      </c>
      <c r="J2187" s="9">
        <v>1</v>
      </c>
      <c r="K2187" s="9">
        <v>589</v>
      </c>
      <c r="L2187" s="9">
        <v>2024</v>
      </c>
      <c r="M2187" s="8" t="s">
        <v>13368</v>
      </c>
      <c r="N2187" s="8" t="s">
        <v>79</v>
      </c>
      <c r="O2187" s="8" t="s">
        <v>148</v>
      </c>
      <c r="P2187" s="6" t="s">
        <v>167</v>
      </c>
      <c r="Q2187" s="8" t="s">
        <v>44</v>
      </c>
      <c r="R2187" s="10" t="s">
        <v>13369</v>
      </c>
      <c r="S2187" s="11" t="s">
        <v>13370</v>
      </c>
      <c r="T2187" s="6"/>
      <c r="U2187" s="24" t="str">
        <f>HYPERLINK("https://media.infra-m.ru/2143/2143349/cover/2143349.jpg", "Обложка")</f>
        <v>Обложка</v>
      </c>
      <c r="V2187" s="24" t="str">
        <f>HYPERLINK("https://znanium.ru/catalog/product/1793978", "Ознакомиться")</f>
        <v>Ознакомиться</v>
      </c>
      <c r="W2187" s="8" t="s">
        <v>5825</v>
      </c>
      <c r="X2187" s="6"/>
      <c r="Y2187" s="6"/>
      <c r="Z2187" s="6"/>
      <c r="AA2187" s="6" t="s">
        <v>84</v>
      </c>
      <c r="AB2187" s="8"/>
    </row>
    <row r="2188" spans="1:28" s="4" customFormat="1" ht="51.95" customHeight="1">
      <c r="A2188" s="5">
        <v>0</v>
      </c>
      <c r="B2188" s="6" t="s">
        <v>13371</v>
      </c>
      <c r="C2188" s="13">
        <v>2444</v>
      </c>
      <c r="D2188" s="8" t="s">
        <v>13372</v>
      </c>
      <c r="E2188" s="8" t="s">
        <v>13373</v>
      </c>
      <c r="F2188" s="8" t="s">
        <v>13367</v>
      </c>
      <c r="G2188" s="6" t="s">
        <v>52</v>
      </c>
      <c r="H2188" s="6" t="s">
        <v>53</v>
      </c>
      <c r="I2188" s="8" t="s">
        <v>90</v>
      </c>
      <c r="J2188" s="9">
        <v>1</v>
      </c>
      <c r="K2188" s="9">
        <v>533</v>
      </c>
      <c r="L2188" s="9">
        <v>2024</v>
      </c>
      <c r="M2188" s="8" t="s">
        <v>13374</v>
      </c>
      <c r="N2188" s="8" t="s">
        <v>79</v>
      </c>
      <c r="O2188" s="8" t="s">
        <v>148</v>
      </c>
      <c r="P2188" s="6" t="s">
        <v>167</v>
      </c>
      <c r="Q2188" s="8" t="s">
        <v>44</v>
      </c>
      <c r="R2188" s="10" t="s">
        <v>13190</v>
      </c>
      <c r="S2188" s="11" t="s">
        <v>13375</v>
      </c>
      <c r="T2188" s="6"/>
      <c r="U2188" s="24" t="str">
        <f>HYPERLINK("https://media.infra-m.ru/2151/2151382/cover/2151382.jpg", "Обложка")</f>
        <v>Обложка</v>
      </c>
      <c r="V2188" s="24" t="str">
        <f>HYPERLINK("https://znanium.ru/catalog/product/1064170", "Ознакомиться")</f>
        <v>Ознакомиться</v>
      </c>
      <c r="W2188" s="8" t="s">
        <v>5825</v>
      </c>
      <c r="X2188" s="6"/>
      <c r="Y2188" s="6"/>
      <c r="Z2188" s="6"/>
      <c r="AA2188" s="6" t="s">
        <v>84</v>
      </c>
      <c r="AB2188" s="8"/>
    </row>
    <row r="2189" spans="1:28" s="4" customFormat="1" ht="51.95" customHeight="1">
      <c r="A2189" s="5">
        <v>0</v>
      </c>
      <c r="B2189" s="6" t="s">
        <v>13376</v>
      </c>
      <c r="C2189" s="13">
        <v>2244</v>
      </c>
      <c r="D2189" s="8" t="s">
        <v>13377</v>
      </c>
      <c r="E2189" s="8" t="s">
        <v>13378</v>
      </c>
      <c r="F2189" s="8" t="s">
        <v>2950</v>
      </c>
      <c r="G2189" s="6" t="s">
        <v>52</v>
      </c>
      <c r="H2189" s="6" t="s">
        <v>39</v>
      </c>
      <c r="I2189" s="8" t="s">
        <v>116</v>
      </c>
      <c r="J2189" s="9">
        <v>1</v>
      </c>
      <c r="K2189" s="9">
        <v>448</v>
      </c>
      <c r="L2189" s="9">
        <v>2025</v>
      </c>
      <c r="M2189" s="8" t="s">
        <v>13379</v>
      </c>
      <c r="N2189" s="8" t="s">
        <v>41</v>
      </c>
      <c r="O2189" s="8" t="s">
        <v>42</v>
      </c>
      <c r="P2189" s="6" t="s">
        <v>43</v>
      </c>
      <c r="Q2189" s="8" t="s">
        <v>44</v>
      </c>
      <c r="R2189" s="10" t="s">
        <v>1504</v>
      </c>
      <c r="S2189" s="11" t="s">
        <v>13380</v>
      </c>
      <c r="T2189" s="6"/>
      <c r="U2189" s="24" t="str">
        <f>HYPERLINK("https://media.infra-m.ru/2191/2191340/cover/2191340.jpg", "Обложка")</f>
        <v>Обложка</v>
      </c>
      <c r="V2189" s="24" t="str">
        <f>HYPERLINK("https://znanium.ru/catalog/product/2122504", "Ознакомиться")</f>
        <v>Ознакомиться</v>
      </c>
      <c r="W2189" s="8" t="s">
        <v>2954</v>
      </c>
      <c r="X2189" s="6"/>
      <c r="Y2189" s="6"/>
      <c r="Z2189" s="6"/>
      <c r="AA2189" s="6" t="s">
        <v>122</v>
      </c>
      <c r="AB2189" s="8"/>
    </row>
    <row r="2190" spans="1:28" s="4" customFormat="1" ht="51.95" customHeight="1">
      <c r="A2190" s="5">
        <v>0</v>
      </c>
      <c r="B2190" s="6" t="s">
        <v>13381</v>
      </c>
      <c r="C2190" s="13">
        <v>2040</v>
      </c>
      <c r="D2190" s="8" t="s">
        <v>13382</v>
      </c>
      <c r="E2190" s="8" t="s">
        <v>13383</v>
      </c>
      <c r="F2190" s="8" t="s">
        <v>13384</v>
      </c>
      <c r="G2190" s="6" t="s">
        <v>52</v>
      </c>
      <c r="H2190" s="6" t="s">
        <v>53</v>
      </c>
      <c r="I2190" s="8" t="s">
        <v>116</v>
      </c>
      <c r="J2190" s="9">
        <v>1</v>
      </c>
      <c r="K2190" s="9">
        <v>444</v>
      </c>
      <c r="L2190" s="9">
        <v>2024</v>
      </c>
      <c r="M2190" s="8" t="s">
        <v>13385</v>
      </c>
      <c r="N2190" s="8" t="s">
        <v>79</v>
      </c>
      <c r="O2190" s="8" t="s">
        <v>570</v>
      </c>
      <c r="P2190" s="6" t="s">
        <v>167</v>
      </c>
      <c r="Q2190" s="8" t="s">
        <v>58</v>
      </c>
      <c r="R2190" s="10" t="s">
        <v>13386</v>
      </c>
      <c r="S2190" s="11" t="s">
        <v>13387</v>
      </c>
      <c r="T2190" s="6" t="s">
        <v>299</v>
      </c>
      <c r="U2190" s="24" t="str">
        <f>HYPERLINK("https://media.infra-m.ru/2069/2069327/cover/2069327.jpg", "Обложка")</f>
        <v>Обложка</v>
      </c>
      <c r="V2190" s="24" t="str">
        <f>HYPERLINK("https://znanium.ru/catalog/product/2069327", "Ознакомиться")</f>
        <v>Ознакомиться</v>
      </c>
      <c r="W2190" s="8" t="s">
        <v>13388</v>
      </c>
      <c r="X2190" s="6"/>
      <c r="Y2190" s="6"/>
      <c r="Z2190" s="6"/>
      <c r="AA2190" s="6" t="s">
        <v>95</v>
      </c>
      <c r="AB2190" s="8"/>
    </row>
    <row r="2191" spans="1:28" s="4" customFormat="1" ht="51.95" customHeight="1">
      <c r="A2191" s="5">
        <v>0</v>
      </c>
      <c r="B2191" s="6" t="s">
        <v>13389</v>
      </c>
      <c r="C2191" s="13">
        <v>2140</v>
      </c>
      <c r="D2191" s="8" t="s">
        <v>13390</v>
      </c>
      <c r="E2191" s="8" t="s">
        <v>13391</v>
      </c>
      <c r="F2191" s="8" t="s">
        <v>13384</v>
      </c>
      <c r="G2191" s="6" t="s">
        <v>89</v>
      </c>
      <c r="H2191" s="6" t="s">
        <v>53</v>
      </c>
      <c r="I2191" s="8" t="s">
        <v>100</v>
      </c>
      <c r="J2191" s="9">
        <v>1</v>
      </c>
      <c r="K2191" s="9">
        <v>409</v>
      </c>
      <c r="L2191" s="9">
        <v>2025</v>
      </c>
      <c r="M2191" s="8" t="s">
        <v>13392</v>
      </c>
      <c r="N2191" s="8" t="s">
        <v>41</v>
      </c>
      <c r="O2191" s="8" t="s">
        <v>118</v>
      </c>
      <c r="P2191" s="6" t="s">
        <v>167</v>
      </c>
      <c r="Q2191" s="8" t="s">
        <v>102</v>
      </c>
      <c r="R2191" s="10" t="s">
        <v>13393</v>
      </c>
      <c r="S2191" s="11" t="s">
        <v>13394</v>
      </c>
      <c r="T2191" s="6"/>
      <c r="U2191" s="24" t="str">
        <f>HYPERLINK("https://media.infra-m.ru/2163/2163032/cover/2163032.jpg", "Обложка")</f>
        <v>Обложка</v>
      </c>
      <c r="V2191" s="24" t="str">
        <f>HYPERLINK("https://znanium.ru/catalog/product/2163032", "Ознакомиться")</f>
        <v>Ознакомиться</v>
      </c>
      <c r="W2191" s="8" t="s">
        <v>13388</v>
      </c>
      <c r="X2191" s="6" t="s">
        <v>60</v>
      </c>
      <c r="Y2191" s="6"/>
      <c r="Z2191" s="6" t="s">
        <v>502</v>
      </c>
      <c r="AA2191" s="6" t="s">
        <v>61</v>
      </c>
      <c r="AB2191" s="8"/>
    </row>
    <row r="2192" spans="1:28" s="4" customFormat="1" ht="51.95" customHeight="1">
      <c r="A2192" s="5">
        <v>0</v>
      </c>
      <c r="B2192" s="6" t="s">
        <v>13395</v>
      </c>
      <c r="C2192" s="13">
        <v>2270</v>
      </c>
      <c r="D2192" s="8" t="s">
        <v>13396</v>
      </c>
      <c r="E2192" s="8" t="s">
        <v>13378</v>
      </c>
      <c r="F2192" s="8" t="s">
        <v>2950</v>
      </c>
      <c r="G2192" s="6" t="s">
        <v>52</v>
      </c>
      <c r="H2192" s="6" t="s">
        <v>39</v>
      </c>
      <c r="I2192" s="8" t="s">
        <v>100</v>
      </c>
      <c r="J2192" s="9">
        <v>1</v>
      </c>
      <c r="K2192" s="9">
        <v>448</v>
      </c>
      <c r="L2192" s="9">
        <v>2025</v>
      </c>
      <c r="M2192" s="8" t="s">
        <v>13397</v>
      </c>
      <c r="N2192" s="8" t="s">
        <v>41</v>
      </c>
      <c r="O2192" s="8" t="s">
        <v>42</v>
      </c>
      <c r="P2192" s="6" t="s">
        <v>43</v>
      </c>
      <c r="Q2192" s="8" t="s">
        <v>102</v>
      </c>
      <c r="R2192" s="10" t="s">
        <v>13398</v>
      </c>
      <c r="S2192" s="11" t="s">
        <v>13399</v>
      </c>
      <c r="T2192" s="6"/>
      <c r="U2192" s="24" t="str">
        <f>HYPERLINK("https://media.infra-m.ru/2190/2190424/cover/2190424.jpg", "Обложка")</f>
        <v>Обложка</v>
      </c>
      <c r="V2192" s="12"/>
      <c r="W2192" s="8" t="s">
        <v>2954</v>
      </c>
      <c r="X2192" s="6"/>
      <c r="Y2192" s="6"/>
      <c r="Z2192" s="6" t="s">
        <v>104</v>
      </c>
      <c r="AA2192" s="6" t="s">
        <v>207</v>
      </c>
      <c r="AB2192" s="8"/>
    </row>
    <row r="2193" spans="1:28" s="4" customFormat="1" ht="51.95" customHeight="1">
      <c r="A2193" s="5">
        <v>0</v>
      </c>
      <c r="B2193" s="6" t="s">
        <v>13400</v>
      </c>
      <c r="C2193" s="13">
        <v>1190</v>
      </c>
      <c r="D2193" s="8" t="s">
        <v>13401</v>
      </c>
      <c r="E2193" s="8" t="s">
        <v>13402</v>
      </c>
      <c r="F2193" s="8" t="s">
        <v>13403</v>
      </c>
      <c r="G2193" s="6" t="s">
        <v>52</v>
      </c>
      <c r="H2193" s="6" t="s">
        <v>184</v>
      </c>
      <c r="I2193" s="8" t="s">
        <v>8618</v>
      </c>
      <c r="J2193" s="9">
        <v>1</v>
      </c>
      <c r="K2193" s="9">
        <v>340</v>
      </c>
      <c r="L2193" s="9">
        <v>2020</v>
      </c>
      <c r="M2193" s="8" t="s">
        <v>13404</v>
      </c>
      <c r="N2193" s="8" t="s">
        <v>413</v>
      </c>
      <c r="O2193" s="8" t="s">
        <v>2771</v>
      </c>
      <c r="P2193" s="6" t="s">
        <v>13405</v>
      </c>
      <c r="Q2193" s="8" t="s">
        <v>1047</v>
      </c>
      <c r="R2193" s="10" t="s">
        <v>13406</v>
      </c>
      <c r="S2193" s="11"/>
      <c r="T2193" s="6"/>
      <c r="U2193" s="12"/>
      <c r="V2193" s="12"/>
      <c r="W2193" s="8" t="s">
        <v>13407</v>
      </c>
      <c r="X2193" s="6"/>
      <c r="Y2193" s="6"/>
      <c r="Z2193" s="6"/>
      <c r="AA2193" s="6" t="s">
        <v>793</v>
      </c>
      <c r="AB2193" s="8"/>
    </row>
    <row r="2194" spans="1:28" s="4" customFormat="1" ht="51.95" customHeight="1">
      <c r="A2194" s="5">
        <v>0</v>
      </c>
      <c r="B2194" s="6" t="s">
        <v>13408</v>
      </c>
      <c r="C2194" s="13">
        <v>1470</v>
      </c>
      <c r="D2194" s="8" t="s">
        <v>13409</v>
      </c>
      <c r="E2194" s="8" t="s">
        <v>13410</v>
      </c>
      <c r="F2194" s="8" t="s">
        <v>13411</v>
      </c>
      <c r="G2194" s="6" t="s">
        <v>89</v>
      </c>
      <c r="H2194" s="6" t="s">
        <v>53</v>
      </c>
      <c r="I2194" s="8" t="s">
        <v>90</v>
      </c>
      <c r="J2194" s="9">
        <v>1</v>
      </c>
      <c r="K2194" s="9">
        <v>319</v>
      </c>
      <c r="L2194" s="9">
        <v>2023</v>
      </c>
      <c r="M2194" s="8" t="s">
        <v>13412</v>
      </c>
      <c r="N2194" s="8" t="s">
        <v>79</v>
      </c>
      <c r="O2194" s="8" t="s">
        <v>396</v>
      </c>
      <c r="P2194" s="6" t="s">
        <v>43</v>
      </c>
      <c r="Q2194" s="8" t="s">
        <v>44</v>
      </c>
      <c r="R2194" s="10" t="s">
        <v>7603</v>
      </c>
      <c r="S2194" s="11" t="s">
        <v>13413</v>
      </c>
      <c r="T2194" s="6"/>
      <c r="U2194" s="24" t="str">
        <f>HYPERLINK("https://media.infra-m.ru/1912/1912923/cover/1912923.jpg", "Обложка")</f>
        <v>Обложка</v>
      </c>
      <c r="V2194" s="24" t="str">
        <f>HYPERLINK("https://znanium.ru/catalog/product/1912923", "Ознакомиться")</f>
        <v>Ознакомиться</v>
      </c>
      <c r="W2194" s="8" t="s">
        <v>450</v>
      </c>
      <c r="X2194" s="6"/>
      <c r="Y2194" s="6"/>
      <c r="Z2194" s="6"/>
      <c r="AA2194" s="6" t="s">
        <v>151</v>
      </c>
      <c r="AB2194" s="8"/>
    </row>
    <row r="2195" spans="1:28" s="4" customFormat="1" ht="51.95" customHeight="1">
      <c r="A2195" s="5">
        <v>0</v>
      </c>
      <c r="B2195" s="6" t="s">
        <v>13414</v>
      </c>
      <c r="C2195" s="7">
        <v>884</v>
      </c>
      <c r="D2195" s="8" t="s">
        <v>13415</v>
      </c>
      <c r="E2195" s="8" t="s">
        <v>13416</v>
      </c>
      <c r="F2195" s="8" t="s">
        <v>13417</v>
      </c>
      <c r="G2195" s="6" t="s">
        <v>89</v>
      </c>
      <c r="H2195" s="6" t="s">
        <v>53</v>
      </c>
      <c r="I2195" s="8" t="s">
        <v>6796</v>
      </c>
      <c r="J2195" s="9">
        <v>1</v>
      </c>
      <c r="K2195" s="9">
        <v>195</v>
      </c>
      <c r="L2195" s="9">
        <v>2023</v>
      </c>
      <c r="M2195" s="8" t="s">
        <v>13418</v>
      </c>
      <c r="N2195" s="8" t="s">
        <v>79</v>
      </c>
      <c r="O2195" s="8" t="s">
        <v>570</v>
      </c>
      <c r="P2195" s="6" t="s">
        <v>43</v>
      </c>
      <c r="Q2195" s="8" t="s">
        <v>279</v>
      </c>
      <c r="R2195" s="10" t="s">
        <v>13419</v>
      </c>
      <c r="S2195" s="11" t="s">
        <v>13420</v>
      </c>
      <c r="T2195" s="6"/>
      <c r="U2195" s="24" t="str">
        <f>HYPERLINK("https://media.infra-m.ru/2006/2006878/cover/2006878.jpg", "Обложка")</f>
        <v>Обложка</v>
      </c>
      <c r="V2195" s="12"/>
      <c r="W2195" s="8" t="s">
        <v>784</v>
      </c>
      <c r="X2195" s="6"/>
      <c r="Y2195" s="6"/>
      <c r="Z2195" s="6"/>
      <c r="AA2195" s="6" t="s">
        <v>151</v>
      </c>
      <c r="AB2195" s="8"/>
    </row>
    <row r="2196" spans="1:28" s="4" customFormat="1" ht="51.95" customHeight="1">
      <c r="A2196" s="5">
        <v>0</v>
      </c>
      <c r="B2196" s="6" t="s">
        <v>13421</v>
      </c>
      <c r="C2196" s="13">
        <v>2244</v>
      </c>
      <c r="D2196" s="8" t="s">
        <v>13422</v>
      </c>
      <c r="E2196" s="8" t="s">
        <v>13423</v>
      </c>
      <c r="F2196" s="8" t="s">
        <v>13424</v>
      </c>
      <c r="G2196" s="6" t="s">
        <v>52</v>
      </c>
      <c r="H2196" s="6" t="s">
        <v>53</v>
      </c>
      <c r="I2196" s="8" t="s">
        <v>4855</v>
      </c>
      <c r="J2196" s="9">
        <v>1</v>
      </c>
      <c r="K2196" s="9">
        <v>449</v>
      </c>
      <c r="L2196" s="9">
        <v>2025</v>
      </c>
      <c r="M2196" s="8" t="s">
        <v>13425</v>
      </c>
      <c r="N2196" s="8" t="s">
        <v>79</v>
      </c>
      <c r="O2196" s="8" t="s">
        <v>570</v>
      </c>
      <c r="P2196" s="6" t="s">
        <v>43</v>
      </c>
      <c r="Q2196" s="8" t="s">
        <v>44</v>
      </c>
      <c r="R2196" s="10" t="s">
        <v>13426</v>
      </c>
      <c r="S2196" s="11" t="s">
        <v>13427</v>
      </c>
      <c r="T2196" s="6"/>
      <c r="U2196" s="24" t="str">
        <f>HYPERLINK("https://media.infra-m.ru/2163/2163991/cover/2163991.jpg", "Обложка")</f>
        <v>Обложка</v>
      </c>
      <c r="V2196" s="12"/>
      <c r="W2196" s="8" t="s">
        <v>784</v>
      </c>
      <c r="X2196" s="6"/>
      <c r="Y2196" s="6"/>
      <c r="Z2196" s="6"/>
      <c r="AA2196" s="6" t="s">
        <v>1374</v>
      </c>
      <c r="AB2196" s="8"/>
    </row>
    <row r="2197" spans="1:28" s="4" customFormat="1" ht="51.95" customHeight="1">
      <c r="A2197" s="5">
        <v>0</v>
      </c>
      <c r="B2197" s="6" t="s">
        <v>13428</v>
      </c>
      <c r="C2197" s="13">
        <v>1980</v>
      </c>
      <c r="D2197" s="8" t="s">
        <v>13429</v>
      </c>
      <c r="E2197" s="8" t="s">
        <v>13430</v>
      </c>
      <c r="F2197" s="8" t="s">
        <v>13431</v>
      </c>
      <c r="G2197" s="6" t="s">
        <v>52</v>
      </c>
      <c r="H2197" s="6" t="s">
        <v>53</v>
      </c>
      <c r="I2197" s="8" t="s">
        <v>90</v>
      </c>
      <c r="J2197" s="9">
        <v>1</v>
      </c>
      <c r="K2197" s="9">
        <v>439</v>
      </c>
      <c r="L2197" s="9">
        <v>2023</v>
      </c>
      <c r="M2197" s="8" t="s">
        <v>13432</v>
      </c>
      <c r="N2197" s="8" t="s">
        <v>79</v>
      </c>
      <c r="O2197" s="8" t="s">
        <v>684</v>
      </c>
      <c r="P2197" s="6" t="s">
        <v>43</v>
      </c>
      <c r="Q2197" s="8" t="s">
        <v>44</v>
      </c>
      <c r="R2197" s="10" t="s">
        <v>13433</v>
      </c>
      <c r="S2197" s="11" t="s">
        <v>13434</v>
      </c>
      <c r="T2197" s="6"/>
      <c r="U2197" s="24" t="str">
        <f>HYPERLINK("https://media.infra-m.ru/1939/1939043/cover/1939043.jpg", "Обложка")</f>
        <v>Обложка</v>
      </c>
      <c r="V2197" s="24" t="str">
        <f>HYPERLINK("https://znanium.ru/catalog/product/1939043", "Ознакомиться")</f>
        <v>Ознакомиться</v>
      </c>
      <c r="W2197" s="8"/>
      <c r="X2197" s="6"/>
      <c r="Y2197" s="6"/>
      <c r="Z2197" s="6"/>
      <c r="AA2197" s="6" t="s">
        <v>151</v>
      </c>
      <c r="AB2197" s="8"/>
    </row>
    <row r="2198" spans="1:28" s="4" customFormat="1" ht="42" customHeight="1">
      <c r="A2198" s="5">
        <v>0</v>
      </c>
      <c r="B2198" s="6" t="s">
        <v>13435</v>
      </c>
      <c r="C2198" s="13">
        <v>1050</v>
      </c>
      <c r="D2198" s="8" t="s">
        <v>13436</v>
      </c>
      <c r="E2198" s="8" t="s">
        <v>13437</v>
      </c>
      <c r="F2198" s="8" t="s">
        <v>13438</v>
      </c>
      <c r="G2198" s="6" t="s">
        <v>52</v>
      </c>
      <c r="H2198" s="6" t="s">
        <v>53</v>
      </c>
      <c r="I2198" s="8" t="s">
        <v>712</v>
      </c>
      <c r="J2198" s="9">
        <v>1</v>
      </c>
      <c r="K2198" s="9">
        <v>203</v>
      </c>
      <c r="L2198" s="9">
        <v>2025</v>
      </c>
      <c r="M2198" s="8" t="s">
        <v>13439</v>
      </c>
      <c r="N2198" s="8" t="s">
        <v>79</v>
      </c>
      <c r="O2198" s="8" t="s">
        <v>684</v>
      </c>
      <c r="P2198" s="6" t="s">
        <v>43</v>
      </c>
      <c r="Q2198" s="8" t="s">
        <v>44</v>
      </c>
      <c r="R2198" s="10" t="s">
        <v>5343</v>
      </c>
      <c r="S2198" s="11"/>
      <c r="T2198" s="6"/>
      <c r="U2198" s="24" t="str">
        <f>HYPERLINK("https://media.infra-m.ru/2151/2151107/cover/2151107.jpg", "Обложка")</f>
        <v>Обложка</v>
      </c>
      <c r="V2198" s="24" t="str">
        <f>HYPERLINK("https://znanium.ru/catalog/product/2151107", "Ознакомиться")</f>
        <v>Ознакомиться</v>
      </c>
      <c r="W2198" s="8" t="s">
        <v>716</v>
      </c>
      <c r="X2198" s="6" t="s">
        <v>785</v>
      </c>
      <c r="Y2198" s="6"/>
      <c r="Z2198" s="6"/>
      <c r="AA2198" s="6" t="s">
        <v>61</v>
      </c>
      <c r="AB2198" s="8"/>
    </row>
    <row r="2199" spans="1:28" s="4" customFormat="1" ht="51.95" customHeight="1">
      <c r="A2199" s="5">
        <v>0</v>
      </c>
      <c r="B2199" s="6" t="s">
        <v>13440</v>
      </c>
      <c r="C2199" s="13">
        <v>1844</v>
      </c>
      <c r="D2199" s="8" t="s">
        <v>13441</v>
      </c>
      <c r="E2199" s="8" t="s">
        <v>13442</v>
      </c>
      <c r="F2199" s="8" t="s">
        <v>267</v>
      </c>
      <c r="G2199" s="6" t="s">
        <v>89</v>
      </c>
      <c r="H2199" s="6" t="s">
        <v>53</v>
      </c>
      <c r="I2199" s="8" t="s">
        <v>90</v>
      </c>
      <c r="J2199" s="9">
        <v>1</v>
      </c>
      <c r="K2199" s="9">
        <v>401</v>
      </c>
      <c r="L2199" s="9">
        <v>2024</v>
      </c>
      <c r="M2199" s="8" t="s">
        <v>13443</v>
      </c>
      <c r="N2199" s="8" t="s">
        <v>41</v>
      </c>
      <c r="O2199" s="8" t="s">
        <v>278</v>
      </c>
      <c r="P2199" s="6" t="s">
        <v>167</v>
      </c>
      <c r="Q2199" s="8" t="s">
        <v>44</v>
      </c>
      <c r="R2199" s="10" t="s">
        <v>13444</v>
      </c>
      <c r="S2199" s="11" t="s">
        <v>13445</v>
      </c>
      <c r="T2199" s="6"/>
      <c r="U2199" s="24" t="str">
        <f>HYPERLINK("https://media.infra-m.ru/2117/2117168/cover/2117168.jpg", "Обложка")</f>
        <v>Обложка</v>
      </c>
      <c r="V2199" s="24" t="str">
        <f>HYPERLINK("https://znanium.ru/catalog/product/2117168", "Ознакомиться")</f>
        <v>Ознакомиться</v>
      </c>
      <c r="W2199" s="8" t="s">
        <v>189</v>
      </c>
      <c r="X2199" s="6"/>
      <c r="Y2199" s="6"/>
      <c r="Z2199" s="6"/>
      <c r="AA2199" s="6" t="s">
        <v>258</v>
      </c>
      <c r="AB2199" s="8"/>
    </row>
    <row r="2200" spans="1:28" s="4" customFormat="1" ht="51.95" customHeight="1">
      <c r="A2200" s="5">
        <v>0</v>
      </c>
      <c r="B2200" s="6" t="s">
        <v>13446</v>
      </c>
      <c r="C2200" s="13">
        <v>1400</v>
      </c>
      <c r="D2200" s="8" t="s">
        <v>13447</v>
      </c>
      <c r="E2200" s="8" t="s">
        <v>13448</v>
      </c>
      <c r="F2200" s="8" t="s">
        <v>13449</v>
      </c>
      <c r="G2200" s="6" t="s">
        <v>52</v>
      </c>
      <c r="H2200" s="6" t="s">
        <v>53</v>
      </c>
      <c r="I2200" s="8" t="s">
        <v>116</v>
      </c>
      <c r="J2200" s="9">
        <v>1</v>
      </c>
      <c r="K2200" s="9">
        <v>300</v>
      </c>
      <c r="L2200" s="9">
        <v>2024</v>
      </c>
      <c r="M2200" s="8" t="s">
        <v>13450</v>
      </c>
      <c r="N2200" s="8" t="s">
        <v>41</v>
      </c>
      <c r="O2200" s="8" t="s">
        <v>676</v>
      </c>
      <c r="P2200" s="6" t="s">
        <v>43</v>
      </c>
      <c r="Q2200" s="8" t="s">
        <v>58</v>
      </c>
      <c r="R2200" s="10" t="s">
        <v>13451</v>
      </c>
      <c r="S2200" s="11"/>
      <c r="T2200" s="6"/>
      <c r="U2200" s="24" t="str">
        <f>HYPERLINK("https://media.infra-m.ru/2076/2076750/cover/2076750.jpg", "Обложка")</f>
        <v>Обложка</v>
      </c>
      <c r="V2200" s="24" t="str">
        <f>HYPERLINK("https://znanium.ru/catalog/product/2076750", "Ознакомиться")</f>
        <v>Ознакомиться</v>
      </c>
      <c r="W2200" s="8" t="s">
        <v>71</v>
      </c>
      <c r="X2200" s="6"/>
      <c r="Y2200" s="6"/>
      <c r="Z2200" s="6"/>
      <c r="AA2200" s="6" t="s">
        <v>133</v>
      </c>
      <c r="AB2200" s="8"/>
    </row>
    <row r="2201" spans="1:28" s="4" customFormat="1" ht="42" customHeight="1">
      <c r="A2201" s="5">
        <v>0</v>
      </c>
      <c r="B2201" s="6" t="s">
        <v>13452</v>
      </c>
      <c r="C2201" s="13">
        <v>1480</v>
      </c>
      <c r="D2201" s="8" t="s">
        <v>13453</v>
      </c>
      <c r="E2201" s="8" t="s">
        <v>13454</v>
      </c>
      <c r="F2201" s="8" t="s">
        <v>13455</v>
      </c>
      <c r="G2201" s="6" t="s">
        <v>52</v>
      </c>
      <c r="H2201" s="6" t="s">
        <v>53</v>
      </c>
      <c r="I2201" s="8" t="s">
        <v>116</v>
      </c>
      <c r="J2201" s="9">
        <v>1</v>
      </c>
      <c r="K2201" s="9">
        <v>283</v>
      </c>
      <c r="L2201" s="9">
        <v>2025</v>
      </c>
      <c r="M2201" s="8" t="s">
        <v>13456</v>
      </c>
      <c r="N2201" s="8" t="s">
        <v>56</v>
      </c>
      <c r="O2201" s="8" t="s">
        <v>741</v>
      </c>
      <c r="P2201" s="6" t="s">
        <v>43</v>
      </c>
      <c r="Q2201" s="8" t="s">
        <v>58</v>
      </c>
      <c r="R2201" s="10" t="s">
        <v>13457</v>
      </c>
      <c r="S2201" s="11"/>
      <c r="T2201" s="6"/>
      <c r="U2201" s="24" t="str">
        <f>HYPERLINK("https://media.infra-m.ru/2134/2134353/cover/2134353.jpg", "Обложка")</f>
        <v>Обложка</v>
      </c>
      <c r="V2201" s="24" t="str">
        <f>HYPERLINK("https://znanium.ru/catalog/product/2134353", "Ознакомиться")</f>
        <v>Ознакомиться</v>
      </c>
      <c r="W2201" s="8" t="s">
        <v>4161</v>
      </c>
      <c r="X2201" s="6" t="s">
        <v>132</v>
      </c>
      <c r="Y2201" s="6"/>
      <c r="Z2201" s="6"/>
      <c r="AA2201" s="6" t="s">
        <v>61</v>
      </c>
      <c r="AB2201" s="8"/>
    </row>
    <row r="2202" spans="1:28" s="4" customFormat="1" ht="51.95" customHeight="1">
      <c r="A2202" s="5">
        <v>0</v>
      </c>
      <c r="B2202" s="6" t="s">
        <v>13458</v>
      </c>
      <c r="C2202" s="7">
        <v>490</v>
      </c>
      <c r="D2202" s="8" t="s">
        <v>13459</v>
      </c>
      <c r="E2202" s="8" t="s">
        <v>13460</v>
      </c>
      <c r="F2202" s="8" t="s">
        <v>2725</v>
      </c>
      <c r="G2202" s="6" t="s">
        <v>38</v>
      </c>
      <c r="H2202" s="6" t="s">
        <v>674</v>
      </c>
      <c r="I2202" s="8"/>
      <c r="J2202" s="9">
        <v>1</v>
      </c>
      <c r="K2202" s="9">
        <v>72</v>
      </c>
      <c r="L2202" s="9">
        <v>2025</v>
      </c>
      <c r="M2202" s="8" t="s">
        <v>13461</v>
      </c>
      <c r="N2202" s="8" t="s">
        <v>41</v>
      </c>
      <c r="O2202" s="8" t="s">
        <v>676</v>
      </c>
      <c r="P2202" s="6" t="s">
        <v>43</v>
      </c>
      <c r="Q2202" s="8" t="s">
        <v>58</v>
      </c>
      <c r="R2202" s="10" t="s">
        <v>13462</v>
      </c>
      <c r="S2202" s="11"/>
      <c r="T2202" s="6"/>
      <c r="U2202" s="24" t="str">
        <f>HYPERLINK("https://media.infra-m.ru/2191/2191494/cover/2191494.jpg", "Обложка")</f>
        <v>Обложка</v>
      </c>
      <c r="V2202" s="24" t="str">
        <f>HYPERLINK("https://znanium.ru/catalog/product/2157356", "Ознакомиться")</f>
        <v>Ознакомиться</v>
      </c>
      <c r="W2202" s="8" t="s">
        <v>792</v>
      </c>
      <c r="X2202" s="6"/>
      <c r="Y2202" s="6"/>
      <c r="Z2202" s="6"/>
      <c r="AA2202" s="6" t="s">
        <v>133</v>
      </c>
      <c r="AB2202" s="8"/>
    </row>
    <row r="2203" spans="1:28" s="4" customFormat="1" ht="51.95" customHeight="1">
      <c r="A2203" s="5">
        <v>0</v>
      </c>
      <c r="B2203" s="6" t="s">
        <v>13463</v>
      </c>
      <c r="C2203" s="13">
        <v>1844</v>
      </c>
      <c r="D2203" s="8" t="s">
        <v>13464</v>
      </c>
      <c r="E2203" s="8" t="s">
        <v>13465</v>
      </c>
      <c r="F2203" s="8" t="s">
        <v>13466</v>
      </c>
      <c r="G2203" s="6" t="s">
        <v>52</v>
      </c>
      <c r="H2203" s="6" t="s">
        <v>53</v>
      </c>
      <c r="I2203" s="8" t="s">
        <v>100</v>
      </c>
      <c r="J2203" s="9">
        <v>1</v>
      </c>
      <c r="K2203" s="9">
        <v>368</v>
      </c>
      <c r="L2203" s="9">
        <v>2025</v>
      </c>
      <c r="M2203" s="8" t="s">
        <v>13467</v>
      </c>
      <c r="N2203" s="8" t="s">
        <v>79</v>
      </c>
      <c r="O2203" s="8" t="s">
        <v>174</v>
      </c>
      <c r="P2203" s="6" t="s">
        <v>167</v>
      </c>
      <c r="Q2203" s="8" t="s">
        <v>102</v>
      </c>
      <c r="R2203" s="10" t="s">
        <v>13468</v>
      </c>
      <c r="S2203" s="11" t="s">
        <v>13469</v>
      </c>
      <c r="T2203" s="6"/>
      <c r="U2203" s="24" t="str">
        <f>HYPERLINK("https://media.infra-m.ru/2189/2189100/cover/2189100.jpg", "Обложка")</f>
        <v>Обложка</v>
      </c>
      <c r="V2203" s="24" t="str">
        <f>HYPERLINK("https://znanium.ru/catalog/product/1872513", "Ознакомиться")</f>
        <v>Ознакомиться</v>
      </c>
      <c r="W2203" s="8" t="s">
        <v>13470</v>
      </c>
      <c r="X2203" s="6"/>
      <c r="Y2203" s="6"/>
      <c r="Z2203" s="6" t="s">
        <v>104</v>
      </c>
      <c r="AA2203" s="6" t="s">
        <v>105</v>
      </c>
      <c r="AB2203" s="8"/>
    </row>
    <row r="2204" spans="1:28" s="4" customFormat="1" ht="51.95" customHeight="1">
      <c r="A2204" s="5">
        <v>0</v>
      </c>
      <c r="B2204" s="6" t="s">
        <v>13471</v>
      </c>
      <c r="C2204" s="13">
        <v>1724</v>
      </c>
      <c r="D2204" s="8" t="s">
        <v>13472</v>
      </c>
      <c r="E2204" s="8" t="s">
        <v>13465</v>
      </c>
      <c r="F2204" s="8" t="s">
        <v>13466</v>
      </c>
      <c r="G2204" s="6" t="s">
        <v>89</v>
      </c>
      <c r="H2204" s="6" t="s">
        <v>53</v>
      </c>
      <c r="I2204" s="8" t="s">
        <v>90</v>
      </c>
      <c r="J2204" s="9">
        <v>1</v>
      </c>
      <c r="K2204" s="9">
        <v>368</v>
      </c>
      <c r="L2204" s="9">
        <v>2024</v>
      </c>
      <c r="M2204" s="8" t="s">
        <v>13473</v>
      </c>
      <c r="N2204" s="8" t="s">
        <v>79</v>
      </c>
      <c r="O2204" s="8" t="s">
        <v>174</v>
      </c>
      <c r="P2204" s="6" t="s">
        <v>167</v>
      </c>
      <c r="Q2204" s="8" t="s">
        <v>44</v>
      </c>
      <c r="R2204" s="10" t="s">
        <v>13474</v>
      </c>
      <c r="S2204" s="11" t="s">
        <v>13475</v>
      </c>
      <c r="T2204" s="6"/>
      <c r="U2204" s="24" t="str">
        <f>HYPERLINK("https://media.infra-m.ru/2137/2137654/cover/2137654.jpg", "Обложка")</f>
        <v>Обложка</v>
      </c>
      <c r="V2204" s="24" t="str">
        <f>HYPERLINK("https://znanium.ru/catalog/product/1439619", "Ознакомиться")</f>
        <v>Ознакомиться</v>
      </c>
      <c r="W2204" s="8" t="s">
        <v>13470</v>
      </c>
      <c r="X2204" s="6"/>
      <c r="Y2204" s="6"/>
      <c r="Z2204" s="6"/>
      <c r="AA2204" s="6" t="s">
        <v>513</v>
      </c>
      <c r="AB2204" s="8"/>
    </row>
    <row r="2205" spans="1:28" s="4" customFormat="1" ht="51.95" customHeight="1">
      <c r="A2205" s="5">
        <v>0</v>
      </c>
      <c r="B2205" s="6" t="s">
        <v>13476</v>
      </c>
      <c r="C2205" s="13">
        <v>1290</v>
      </c>
      <c r="D2205" s="8" t="s">
        <v>13477</v>
      </c>
      <c r="E2205" s="8" t="s">
        <v>13478</v>
      </c>
      <c r="F2205" s="8" t="s">
        <v>13466</v>
      </c>
      <c r="G2205" s="6" t="s">
        <v>89</v>
      </c>
      <c r="H2205" s="6" t="s">
        <v>53</v>
      </c>
      <c r="I2205" s="8" t="s">
        <v>90</v>
      </c>
      <c r="J2205" s="9">
        <v>1</v>
      </c>
      <c r="K2205" s="9">
        <v>357</v>
      </c>
      <c r="L2205" s="9">
        <v>2021</v>
      </c>
      <c r="M2205" s="8" t="s">
        <v>13479</v>
      </c>
      <c r="N2205" s="8" t="s">
        <v>79</v>
      </c>
      <c r="O2205" s="8" t="s">
        <v>174</v>
      </c>
      <c r="P2205" s="6" t="s">
        <v>167</v>
      </c>
      <c r="Q2205" s="8" t="s">
        <v>44</v>
      </c>
      <c r="R2205" s="10" t="s">
        <v>13474</v>
      </c>
      <c r="S2205" s="11" t="s">
        <v>13469</v>
      </c>
      <c r="T2205" s="6"/>
      <c r="U2205" s="24" t="str">
        <f>HYPERLINK("https://media.infra-m.ru/1254/1254670/cover/1254670.jpg", "Обложка")</f>
        <v>Обложка</v>
      </c>
      <c r="V2205" s="24" t="str">
        <f>HYPERLINK("https://znanium.ru/catalog/product/1439619", "Ознакомиться")</f>
        <v>Ознакомиться</v>
      </c>
      <c r="W2205" s="8" t="s">
        <v>13470</v>
      </c>
      <c r="X2205" s="6"/>
      <c r="Y2205" s="6"/>
      <c r="Z2205" s="6"/>
      <c r="AA2205" s="6" t="s">
        <v>793</v>
      </c>
      <c r="AB2205" s="8"/>
    </row>
    <row r="2206" spans="1:28" s="4" customFormat="1" ht="51.95" customHeight="1">
      <c r="A2206" s="5">
        <v>0</v>
      </c>
      <c r="B2206" s="6" t="s">
        <v>13480</v>
      </c>
      <c r="C2206" s="13">
        <v>1290</v>
      </c>
      <c r="D2206" s="8" t="s">
        <v>13481</v>
      </c>
      <c r="E2206" s="8" t="s">
        <v>13478</v>
      </c>
      <c r="F2206" s="8" t="s">
        <v>13466</v>
      </c>
      <c r="G2206" s="6" t="s">
        <v>52</v>
      </c>
      <c r="H2206" s="6" t="s">
        <v>53</v>
      </c>
      <c r="I2206" s="8" t="s">
        <v>100</v>
      </c>
      <c r="J2206" s="9">
        <v>1</v>
      </c>
      <c r="K2206" s="9">
        <v>357</v>
      </c>
      <c r="L2206" s="9">
        <v>2021</v>
      </c>
      <c r="M2206" s="8" t="s">
        <v>13482</v>
      </c>
      <c r="N2206" s="8" t="s">
        <v>79</v>
      </c>
      <c r="O2206" s="8" t="s">
        <v>174</v>
      </c>
      <c r="P2206" s="6" t="s">
        <v>167</v>
      </c>
      <c r="Q2206" s="8" t="s">
        <v>102</v>
      </c>
      <c r="R2206" s="10" t="s">
        <v>13468</v>
      </c>
      <c r="S2206" s="11" t="s">
        <v>13469</v>
      </c>
      <c r="T2206" s="6"/>
      <c r="U2206" s="24" t="str">
        <f>HYPERLINK("https://media.infra-m.ru/1149/1149111/cover/1149111.jpg", "Обложка")</f>
        <v>Обложка</v>
      </c>
      <c r="V2206" s="24" t="str">
        <f>HYPERLINK("https://znanium.ru/catalog/product/1872513", "Ознакомиться")</f>
        <v>Ознакомиться</v>
      </c>
      <c r="W2206" s="8" t="s">
        <v>13470</v>
      </c>
      <c r="X2206" s="6"/>
      <c r="Y2206" s="6"/>
      <c r="Z2206" s="6" t="s">
        <v>104</v>
      </c>
      <c r="AA2206" s="6" t="s">
        <v>219</v>
      </c>
      <c r="AB2206" s="8"/>
    </row>
    <row r="2207" spans="1:28" s="4" customFormat="1" ht="51.95" customHeight="1">
      <c r="A2207" s="5">
        <v>0</v>
      </c>
      <c r="B2207" s="6" t="s">
        <v>13483</v>
      </c>
      <c r="C2207" s="13">
        <v>1830</v>
      </c>
      <c r="D2207" s="8" t="s">
        <v>13484</v>
      </c>
      <c r="E2207" s="8" t="s">
        <v>13485</v>
      </c>
      <c r="F2207" s="8" t="s">
        <v>13486</v>
      </c>
      <c r="G2207" s="6" t="s">
        <v>89</v>
      </c>
      <c r="H2207" s="6" t="s">
        <v>53</v>
      </c>
      <c r="I2207" s="8" t="s">
        <v>116</v>
      </c>
      <c r="J2207" s="9">
        <v>1</v>
      </c>
      <c r="K2207" s="9">
        <v>365</v>
      </c>
      <c r="L2207" s="9">
        <v>2025</v>
      </c>
      <c r="M2207" s="8" t="s">
        <v>13487</v>
      </c>
      <c r="N2207" s="8" t="s">
        <v>79</v>
      </c>
      <c r="O2207" s="8" t="s">
        <v>174</v>
      </c>
      <c r="P2207" s="6" t="s">
        <v>167</v>
      </c>
      <c r="Q2207" s="8" t="s">
        <v>44</v>
      </c>
      <c r="R2207" s="10" t="s">
        <v>13488</v>
      </c>
      <c r="S2207" s="11" t="s">
        <v>13489</v>
      </c>
      <c r="T2207" s="6" t="s">
        <v>299</v>
      </c>
      <c r="U2207" s="24" t="str">
        <f>HYPERLINK("https://media.infra-m.ru/2161/2161656/cover/2161656.jpg", "Обложка")</f>
        <v>Обложка</v>
      </c>
      <c r="V2207" s="24" t="str">
        <f>HYPERLINK("https://znanium.ru/catalog/product/2161656", "Ознакомиться")</f>
        <v>Ознакомиться</v>
      </c>
      <c r="W2207" s="8" t="s">
        <v>13470</v>
      </c>
      <c r="X2207" s="6"/>
      <c r="Y2207" s="6"/>
      <c r="Z2207" s="6"/>
      <c r="AA2207" s="6" t="s">
        <v>258</v>
      </c>
      <c r="AB2207" s="8"/>
    </row>
    <row r="2208" spans="1:28" s="4" customFormat="1" ht="51.95" customHeight="1">
      <c r="A2208" s="5">
        <v>0</v>
      </c>
      <c r="B2208" s="6" t="s">
        <v>13490</v>
      </c>
      <c r="C2208" s="13">
        <v>1260</v>
      </c>
      <c r="D2208" s="8" t="s">
        <v>13491</v>
      </c>
      <c r="E2208" s="8" t="s">
        <v>13492</v>
      </c>
      <c r="F2208" s="8" t="s">
        <v>13493</v>
      </c>
      <c r="G2208" s="6" t="s">
        <v>52</v>
      </c>
      <c r="H2208" s="6" t="s">
        <v>53</v>
      </c>
      <c r="I2208" s="8" t="s">
        <v>90</v>
      </c>
      <c r="J2208" s="9">
        <v>1</v>
      </c>
      <c r="K2208" s="9">
        <v>338</v>
      </c>
      <c r="L2208" s="9">
        <v>2021</v>
      </c>
      <c r="M2208" s="8" t="s">
        <v>13494</v>
      </c>
      <c r="N2208" s="8" t="s">
        <v>79</v>
      </c>
      <c r="O2208" s="8" t="s">
        <v>174</v>
      </c>
      <c r="P2208" s="6" t="s">
        <v>43</v>
      </c>
      <c r="Q2208" s="8" t="s">
        <v>44</v>
      </c>
      <c r="R2208" s="10" t="s">
        <v>13495</v>
      </c>
      <c r="S2208" s="11" t="s">
        <v>13496</v>
      </c>
      <c r="T2208" s="6"/>
      <c r="U2208" s="24" t="str">
        <f>HYPERLINK("https://media.infra-m.ru/1072/1072201/cover/1072201.jpg", "Обложка")</f>
        <v>Обложка</v>
      </c>
      <c r="V2208" s="24" t="str">
        <f>HYPERLINK("https://znanium.ru/catalog/product/1072201", "Ознакомиться")</f>
        <v>Ознакомиться</v>
      </c>
      <c r="W2208" s="8" t="s">
        <v>354</v>
      </c>
      <c r="X2208" s="6"/>
      <c r="Y2208" s="6"/>
      <c r="Z2208" s="6"/>
      <c r="AA2208" s="6" t="s">
        <v>219</v>
      </c>
      <c r="AB2208" s="8"/>
    </row>
    <row r="2209" spans="1:28" s="4" customFormat="1" ht="51.95" customHeight="1">
      <c r="A2209" s="5">
        <v>0</v>
      </c>
      <c r="B2209" s="6" t="s">
        <v>13497</v>
      </c>
      <c r="C2209" s="13">
        <v>2054</v>
      </c>
      <c r="D2209" s="8" t="s">
        <v>13498</v>
      </c>
      <c r="E2209" s="8" t="s">
        <v>13492</v>
      </c>
      <c r="F2209" s="8" t="s">
        <v>13499</v>
      </c>
      <c r="G2209" s="6" t="s">
        <v>52</v>
      </c>
      <c r="H2209" s="6" t="s">
        <v>53</v>
      </c>
      <c r="I2209" s="8" t="s">
        <v>212</v>
      </c>
      <c r="J2209" s="9">
        <v>1</v>
      </c>
      <c r="K2209" s="9">
        <v>411</v>
      </c>
      <c r="L2209" s="9">
        <v>2025</v>
      </c>
      <c r="M2209" s="8" t="s">
        <v>13500</v>
      </c>
      <c r="N2209" s="8" t="s">
        <v>79</v>
      </c>
      <c r="O2209" s="8" t="s">
        <v>174</v>
      </c>
      <c r="P2209" s="6" t="s">
        <v>43</v>
      </c>
      <c r="Q2209" s="8" t="s">
        <v>214</v>
      </c>
      <c r="R2209" s="10" t="s">
        <v>13501</v>
      </c>
      <c r="S2209" s="11" t="s">
        <v>13502</v>
      </c>
      <c r="T2209" s="6"/>
      <c r="U2209" s="24" t="str">
        <f>HYPERLINK("https://media.infra-m.ru/2170/2170650/cover/2170650.jpg", "Обложка")</f>
        <v>Обложка</v>
      </c>
      <c r="V2209" s="24" t="str">
        <f>HYPERLINK("https://znanium.ru/catalog/product/1897677", "Ознакомиться")</f>
        <v>Ознакомиться</v>
      </c>
      <c r="W2209" s="8" t="s">
        <v>4815</v>
      </c>
      <c r="X2209" s="6"/>
      <c r="Y2209" s="6"/>
      <c r="Z2209" s="6"/>
      <c r="AA2209" s="6" t="s">
        <v>793</v>
      </c>
      <c r="AB2209" s="8"/>
    </row>
    <row r="2210" spans="1:28" s="4" customFormat="1" ht="51.95" customHeight="1">
      <c r="A2210" s="5">
        <v>0</v>
      </c>
      <c r="B2210" s="6" t="s">
        <v>13503</v>
      </c>
      <c r="C2210" s="13">
        <v>1994.9</v>
      </c>
      <c r="D2210" s="8" t="s">
        <v>13504</v>
      </c>
      <c r="E2210" s="8" t="s">
        <v>13505</v>
      </c>
      <c r="F2210" s="8" t="s">
        <v>13506</v>
      </c>
      <c r="G2210" s="6" t="s">
        <v>52</v>
      </c>
      <c r="H2210" s="6" t="s">
        <v>39</v>
      </c>
      <c r="I2210" s="8" t="s">
        <v>116</v>
      </c>
      <c r="J2210" s="9">
        <v>1</v>
      </c>
      <c r="K2210" s="9">
        <v>608</v>
      </c>
      <c r="L2210" s="9">
        <v>2018</v>
      </c>
      <c r="M2210" s="8" t="s">
        <v>13507</v>
      </c>
      <c r="N2210" s="8" t="s">
        <v>79</v>
      </c>
      <c r="O2210" s="8" t="s">
        <v>174</v>
      </c>
      <c r="P2210" s="6" t="s">
        <v>3424</v>
      </c>
      <c r="Q2210" s="8" t="s">
        <v>44</v>
      </c>
      <c r="R2210" s="10" t="s">
        <v>13508</v>
      </c>
      <c r="S2210" s="11"/>
      <c r="T2210" s="6"/>
      <c r="U2210" s="12"/>
      <c r="V2210" s="24" t="str">
        <f>HYPERLINK("https://znanium.ru/catalog/product/1858586", "Ознакомиться")</f>
        <v>Ознакомиться</v>
      </c>
      <c r="W2210" s="8" t="s">
        <v>13509</v>
      </c>
      <c r="X2210" s="6"/>
      <c r="Y2210" s="6"/>
      <c r="Z2210" s="6"/>
      <c r="AA2210" s="6" t="s">
        <v>418</v>
      </c>
      <c r="AB2210" s="8"/>
    </row>
    <row r="2211" spans="1:28" s="4" customFormat="1" ht="51.95" customHeight="1">
      <c r="A2211" s="5">
        <v>0</v>
      </c>
      <c r="B2211" s="6" t="s">
        <v>13510</v>
      </c>
      <c r="C2211" s="13">
        <v>1540</v>
      </c>
      <c r="D2211" s="8" t="s">
        <v>13511</v>
      </c>
      <c r="E2211" s="8" t="s">
        <v>13512</v>
      </c>
      <c r="F2211" s="8" t="s">
        <v>13513</v>
      </c>
      <c r="G2211" s="6" t="s">
        <v>89</v>
      </c>
      <c r="H2211" s="6" t="s">
        <v>53</v>
      </c>
      <c r="I2211" s="8" t="s">
        <v>90</v>
      </c>
      <c r="J2211" s="9">
        <v>1</v>
      </c>
      <c r="K2211" s="9">
        <v>334</v>
      </c>
      <c r="L2211" s="9">
        <v>2023</v>
      </c>
      <c r="M2211" s="8" t="s">
        <v>13514</v>
      </c>
      <c r="N2211" s="8" t="s">
        <v>79</v>
      </c>
      <c r="O2211" s="8" t="s">
        <v>174</v>
      </c>
      <c r="P2211" s="6" t="s">
        <v>43</v>
      </c>
      <c r="Q2211" s="8" t="s">
        <v>44</v>
      </c>
      <c r="R2211" s="10" t="s">
        <v>13515</v>
      </c>
      <c r="S2211" s="11" t="s">
        <v>5494</v>
      </c>
      <c r="T2211" s="6"/>
      <c r="U2211" s="24" t="str">
        <f>HYPERLINK("https://media.infra-m.ru/2125/2125010/cover/2125010.jpg", "Обложка")</f>
        <v>Обложка</v>
      </c>
      <c r="V2211" s="24" t="str">
        <f>HYPERLINK("https://znanium.ru/catalog/product/2125010", "Ознакомиться")</f>
        <v>Ознакомиться</v>
      </c>
      <c r="W2211" s="8" t="s">
        <v>3218</v>
      </c>
      <c r="X2211" s="6"/>
      <c r="Y2211" s="6"/>
      <c r="Z2211" s="6"/>
      <c r="AA2211" s="6" t="s">
        <v>47</v>
      </c>
      <c r="AB2211" s="8"/>
    </row>
    <row r="2212" spans="1:28" s="4" customFormat="1" ht="51.95" customHeight="1">
      <c r="A2212" s="5">
        <v>0</v>
      </c>
      <c r="B2212" s="6" t="s">
        <v>13516</v>
      </c>
      <c r="C2212" s="13">
        <v>1714</v>
      </c>
      <c r="D2212" s="8" t="s">
        <v>13517</v>
      </c>
      <c r="E2212" s="8" t="s">
        <v>13518</v>
      </c>
      <c r="F2212" s="8" t="s">
        <v>13519</v>
      </c>
      <c r="G2212" s="6" t="s">
        <v>89</v>
      </c>
      <c r="H2212" s="6" t="s">
        <v>53</v>
      </c>
      <c r="I2212" s="8" t="s">
        <v>212</v>
      </c>
      <c r="J2212" s="9">
        <v>1</v>
      </c>
      <c r="K2212" s="9">
        <v>342</v>
      </c>
      <c r="L2212" s="9">
        <v>2025</v>
      </c>
      <c r="M2212" s="8" t="s">
        <v>13520</v>
      </c>
      <c r="N2212" s="8" t="s">
        <v>79</v>
      </c>
      <c r="O2212" s="8" t="s">
        <v>174</v>
      </c>
      <c r="P2212" s="6" t="s">
        <v>43</v>
      </c>
      <c r="Q2212" s="8" t="s">
        <v>214</v>
      </c>
      <c r="R2212" s="10" t="s">
        <v>7345</v>
      </c>
      <c r="S2212" s="11" t="s">
        <v>13521</v>
      </c>
      <c r="T2212" s="6"/>
      <c r="U2212" s="24" t="str">
        <f>HYPERLINK("https://media.infra-m.ru/2184/2184929/cover/2184929.jpg", "Обложка")</f>
        <v>Обложка</v>
      </c>
      <c r="V2212" s="24" t="str">
        <f>HYPERLINK("https://znanium.ru/catalog/product/2148631", "Ознакомиться")</f>
        <v>Ознакомиться</v>
      </c>
      <c r="W2212" s="8" t="s">
        <v>13522</v>
      </c>
      <c r="X2212" s="6"/>
      <c r="Y2212" s="6"/>
      <c r="Z2212" s="6"/>
      <c r="AA2212" s="6" t="s">
        <v>235</v>
      </c>
      <c r="AB2212" s="8"/>
    </row>
    <row r="2213" spans="1:28" s="4" customFormat="1" ht="51.95" customHeight="1">
      <c r="A2213" s="5">
        <v>0</v>
      </c>
      <c r="B2213" s="6" t="s">
        <v>13523</v>
      </c>
      <c r="C2213" s="13">
        <v>1494</v>
      </c>
      <c r="D2213" s="8" t="s">
        <v>13524</v>
      </c>
      <c r="E2213" s="8" t="s">
        <v>13525</v>
      </c>
      <c r="F2213" s="8" t="s">
        <v>13466</v>
      </c>
      <c r="G2213" s="6" t="s">
        <v>52</v>
      </c>
      <c r="H2213" s="6" t="s">
        <v>53</v>
      </c>
      <c r="I2213" s="8" t="s">
        <v>212</v>
      </c>
      <c r="J2213" s="9">
        <v>1</v>
      </c>
      <c r="K2213" s="9">
        <v>298</v>
      </c>
      <c r="L2213" s="9">
        <v>2024</v>
      </c>
      <c r="M2213" s="8" t="s">
        <v>13526</v>
      </c>
      <c r="N2213" s="8" t="s">
        <v>79</v>
      </c>
      <c r="O2213" s="8" t="s">
        <v>174</v>
      </c>
      <c r="P2213" s="6" t="s">
        <v>167</v>
      </c>
      <c r="Q2213" s="8" t="s">
        <v>214</v>
      </c>
      <c r="R2213" s="10" t="s">
        <v>13527</v>
      </c>
      <c r="S2213" s="11" t="s">
        <v>13489</v>
      </c>
      <c r="T2213" s="6"/>
      <c r="U2213" s="24" t="str">
        <f>HYPERLINK("https://media.infra-m.ru/2167/2167303/cover/2167303.jpg", "Обложка")</f>
        <v>Обложка</v>
      </c>
      <c r="V2213" s="24" t="str">
        <f>HYPERLINK("https://znanium.ru/catalog/product/2167300", "Ознакомиться")</f>
        <v>Ознакомиться</v>
      </c>
      <c r="W2213" s="8" t="s">
        <v>13470</v>
      </c>
      <c r="X2213" s="6"/>
      <c r="Y2213" s="6"/>
      <c r="Z2213" s="6"/>
      <c r="AA2213" s="6" t="s">
        <v>258</v>
      </c>
      <c r="AB2213" s="8" t="s">
        <v>840</v>
      </c>
    </row>
    <row r="2214" spans="1:28" s="4" customFormat="1" ht="51.95" customHeight="1">
      <c r="A2214" s="5">
        <v>0</v>
      </c>
      <c r="B2214" s="6" t="s">
        <v>13528</v>
      </c>
      <c r="C2214" s="7">
        <v>990</v>
      </c>
      <c r="D2214" s="8" t="s">
        <v>13529</v>
      </c>
      <c r="E2214" s="8" t="s">
        <v>13530</v>
      </c>
      <c r="F2214" s="8" t="s">
        <v>13531</v>
      </c>
      <c r="G2214" s="6" t="s">
        <v>89</v>
      </c>
      <c r="H2214" s="6" t="s">
        <v>53</v>
      </c>
      <c r="I2214" s="8" t="s">
        <v>116</v>
      </c>
      <c r="J2214" s="9">
        <v>1</v>
      </c>
      <c r="K2214" s="9">
        <v>193</v>
      </c>
      <c r="L2214" s="9">
        <v>2024</v>
      </c>
      <c r="M2214" s="8" t="s">
        <v>13532</v>
      </c>
      <c r="N2214" s="8" t="s">
        <v>41</v>
      </c>
      <c r="O2214" s="8" t="s">
        <v>676</v>
      </c>
      <c r="P2214" s="6" t="s">
        <v>167</v>
      </c>
      <c r="Q2214" s="8" t="s">
        <v>58</v>
      </c>
      <c r="R2214" s="10" t="s">
        <v>13533</v>
      </c>
      <c r="S2214" s="11" t="s">
        <v>13534</v>
      </c>
      <c r="T2214" s="6"/>
      <c r="U2214" s="24" t="str">
        <f>HYPERLINK("https://media.infra-m.ru/2142/2142856/cover/2142856.jpg", "Обложка")</f>
        <v>Обложка</v>
      </c>
      <c r="V2214" s="24" t="str">
        <f>HYPERLINK("https://znanium.ru/catalog/product/2142856", "Ознакомиться")</f>
        <v>Ознакомиться</v>
      </c>
      <c r="W2214" s="8" t="s">
        <v>13535</v>
      </c>
      <c r="X2214" s="6"/>
      <c r="Y2214" s="6"/>
      <c r="Z2214" s="6"/>
      <c r="AA2214" s="6" t="s">
        <v>235</v>
      </c>
      <c r="AB2214" s="8"/>
    </row>
    <row r="2215" spans="1:28" s="4" customFormat="1" ht="42" customHeight="1">
      <c r="A2215" s="5">
        <v>0</v>
      </c>
      <c r="B2215" s="6" t="s">
        <v>13536</v>
      </c>
      <c r="C2215" s="13">
        <v>1110</v>
      </c>
      <c r="D2215" s="8" t="s">
        <v>13537</v>
      </c>
      <c r="E2215" s="8" t="s">
        <v>13538</v>
      </c>
      <c r="F2215" s="8" t="s">
        <v>13539</v>
      </c>
      <c r="G2215" s="6" t="s">
        <v>52</v>
      </c>
      <c r="H2215" s="6" t="s">
        <v>53</v>
      </c>
      <c r="I2215" s="8" t="s">
        <v>116</v>
      </c>
      <c r="J2215" s="9">
        <v>1</v>
      </c>
      <c r="K2215" s="9">
        <v>231</v>
      </c>
      <c r="L2215" s="9">
        <v>2023</v>
      </c>
      <c r="M2215" s="8" t="s">
        <v>13540</v>
      </c>
      <c r="N2215" s="8" t="s">
        <v>79</v>
      </c>
      <c r="O2215" s="8" t="s">
        <v>174</v>
      </c>
      <c r="P2215" s="6" t="s">
        <v>167</v>
      </c>
      <c r="Q2215" s="8" t="s">
        <v>44</v>
      </c>
      <c r="R2215" s="10" t="s">
        <v>13541</v>
      </c>
      <c r="S2215" s="11"/>
      <c r="T2215" s="6"/>
      <c r="U2215" s="24" t="str">
        <f>HYPERLINK("https://media.infra-m.ru/1927/1927294/cover/1927294.jpg", "Обложка")</f>
        <v>Обложка</v>
      </c>
      <c r="V2215" s="24" t="str">
        <f>HYPERLINK("https://znanium.ru/catalog/product/1927294", "Ознакомиться")</f>
        <v>Ознакомиться</v>
      </c>
      <c r="W2215" s="8" t="s">
        <v>3282</v>
      </c>
      <c r="X2215" s="6"/>
      <c r="Y2215" s="6"/>
      <c r="Z2215" s="6"/>
      <c r="AA2215" s="6" t="s">
        <v>207</v>
      </c>
      <c r="AB2215" s="8" t="s">
        <v>7988</v>
      </c>
    </row>
    <row r="2216" spans="1:28" s="4" customFormat="1" ht="51.95" customHeight="1">
      <c r="A2216" s="5">
        <v>0</v>
      </c>
      <c r="B2216" s="6" t="s">
        <v>13542</v>
      </c>
      <c r="C2216" s="13">
        <v>2339</v>
      </c>
      <c r="D2216" s="8" t="s">
        <v>13543</v>
      </c>
      <c r="E2216" s="8" t="s">
        <v>13544</v>
      </c>
      <c r="F2216" s="8" t="s">
        <v>13545</v>
      </c>
      <c r="G2216" s="6" t="s">
        <v>89</v>
      </c>
      <c r="H2216" s="6" t="s">
        <v>53</v>
      </c>
      <c r="I2216" s="8" t="s">
        <v>212</v>
      </c>
      <c r="J2216" s="9">
        <v>1</v>
      </c>
      <c r="K2216" s="9">
        <v>218</v>
      </c>
      <c r="L2216" s="9">
        <v>2023</v>
      </c>
      <c r="M2216" s="8" t="s">
        <v>13546</v>
      </c>
      <c r="N2216" s="8" t="s">
        <v>79</v>
      </c>
      <c r="O2216" s="8" t="s">
        <v>174</v>
      </c>
      <c r="P2216" s="6" t="s">
        <v>43</v>
      </c>
      <c r="Q2216" s="8" t="s">
        <v>214</v>
      </c>
      <c r="R2216" s="10" t="s">
        <v>13501</v>
      </c>
      <c r="S2216" s="11" t="s">
        <v>13547</v>
      </c>
      <c r="T2216" s="6"/>
      <c r="U2216" s="24" t="str">
        <f>HYPERLINK("https://media.infra-m.ru/2125/2125009/cover/2125009.jpg", "Обложка")</f>
        <v>Обложка</v>
      </c>
      <c r="V2216" s="24" t="str">
        <f>HYPERLINK("https://znanium.ru/catalog/product/2125009", "Ознакомиться")</f>
        <v>Ознакомиться</v>
      </c>
      <c r="W2216" s="8" t="s">
        <v>5475</v>
      </c>
      <c r="X2216" s="6"/>
      <c r="Y2216" s="6"/>
      <c r="Z2216" s="6"/>
      <c r="AA2216" s="6" t="s">
        <v>258</v>
      </c>
      <c r="AB2216" s="8"/>
    </row>
    <row r="2217" spans="1:28" s="4" customFormat="1" ht="51.95" customHeight="1">
      <c r="A2217" s="5">
        <v>0</v>
      </c>
      <c r="B2217" s="6" t="s">
        <v>13548</v>
      </c>
      <c r="C2217" s="13">
        <v>1544</v>
      </c>
      <c r="D2217" s="8" t="s">
        <v>13549</v>
      </c>
      <c r="E2217" s="8" t="s">
        <v>13550</v>
      </c>
      <c r="F2217" s="8" t="s">
        <v>11616</v>
      </c>
      <c r="G2217" s="6" t="s">
        <v>52</v>
      </c>
      <c r="H2217" s="6" t="s">
        <v>53</v>
      </c>
      <c r="I2217" s="8" t="s">
        <v>276</v>
      </c>
      <c r="J2217" s="9">
        <v>1</v>
      </c>
      <c r="K2217" s="9">
        <v>342</v>
      </c>
      <c r="L2217" s="9">
        <v>2023</v>
      </c>
      <c r="M2217" s="8" t="s">
        <v>13551</v>
      </c>
      <c r="N2217" s="8" t="s">
        <v>41</v>
      </c>
      <c r="O2217" s="8" t="s">
        <v>42</v>
      </c>
      <c r="P2217" s="6" t="s">
        <v>43</v>
      </c>
      <c r="Q2217" s="8" t="s">
        <v>279</v>
      </c>
      <c r="R2217" s="10" t="s">
        <v>13552</v>
      </c>
      <c r="S2217" s="11" t="s">
        <v>13553</v>
      </c>
      <c r="T2217" s="6"/>
      <c r="U2217" s="24" t="str">
        <f>HYPERLINK("https://media.infra-m.ru/2030/2030884/cover/2030884.jpg", "Обложка")</f>
        <v>Обложка</v>
      </c>
      <c r="V2217" s="24" t="str">
        <f>HYPERLINK("https://znanium.ru/catalog/product/1002008", "Ознакомиться")</f>
        <v>Ознакомиться</v>
      </c>
      <c r="W2217" s="8" t="s">
        <v>11620</v>
      </c>
      <c r="X2217" s="6"/>
      <c r="Y2217" s="6"/>
      <c r="Z2217" s="6"/>
      <c r="AA2217" s="6" t="s">
        <v>219</v>
      </c>
      <c r="AB2217" s="8"/>
    </row>
    <row r="2218" spans="1:28" s="4" customFormat="1" ht="51.95" customHeight="1">
      <c r="A2218" s="5">
        <v>0</v>
      </c>
      <c r="B2218" s="6" t="s">
        <v>13554</v>
      </c>
      <c r="C2218" s="7">
        <v>994</v>
      </c>
      <c r="D2218" s="8" t="s">
        <v>13555</v>
      </c>
      <c r="E2218" s="8" t="s">
        <v>13556</v>
      </c>
      <c r="F2218" s="8" t="s">
        <v>13557</v>
      </c>
      <c r="G2218" s="6" t="s">
        <v>52</v>
      </c>
      <c r="H2218" s="6" t="s">
        <v>53</v>
      </c>
      <c r="I2218" s="8" t="s">
        <v>90</v>
      </c>
      <c r="J2218" s="9">
        <v>1</v>
      </c>
      <c r="K2218" s="9">
        <v>190</v>
      </c>
      <c r="L2218" s="9">
        <v>2025</v>
      </c>
      <c r="M2218" s="8" t="s">
        <v>13558</v>
      </c>
      <c r="N2218" s="8" t="s">
        <v>41</v>
      </c>
      <c r="O2218" s="8" t="s">
        <v>1007</v>
      </c>
      <c r="P2218" s="6" t="s">
        <v>167</v>
      </c>
      <c r="Q2218" s="8" t="s">
        <v>44</v>
      </c>
      <c r="R2218" s="10" t="s">
        <v>13559</v>
      </c>
      <c r="S2218" s="11" t="s">
        <v>13560</v>
      </c>
      <c r="T2218" s="6"/>
      <c r="U2218" s="24" t="str">
        <f>HYPERLINK("https://media.infra-m.ru/2178/2178747/cover/2178747.jpg", "Обложка")</f>
        <v>Обложка</v>
      </c>
      <c r="V2218" s="24" t="str">
        <f>HYPERLINK("https://znanium.ru/catalog/product/1897692", "Ознакомиться")</f>
        <v>Ознакомиться</v>
      </c>
      <c r="W2218" s="8" t="s">
        <v>354</v>
      </c>
      <c r="X2218" s="6"/>
      <c r="Y2218" s="6"/>
      <c r="Z2218" s="6"/>
      <c r="AA2218" s="6" t="s">
        <v>258</v>
      </c>
      <c r="AB2218" s="8"/>
    </row>
    <row r="2219" spans="1:28" s="4" customFormat="1" ht="42" customHeight="1">
      <c r="A2219" s="5">
        <v>0</v>
      </c>
      <c r="B2219" s="6" t="s">
        <v>13561</v>
      </c>
      <c r="C2219" s="7">
        <v>690</v>
      </c>
      <c r="D2219" s="8" t="s">
        <v>13562</v>
      </c>
      <c r="E2219" s="8" t="s">
        <v>13563</v>
      </c>
      <c r="F2219" s="8" t="s">
        <v>13564</v>
      </c>
      <c r="G2219" s="6" t="s">
        <v>38</v>
      </c>
      <c r="H2219" s="6" t="s">
        <v>184</v>
      </c>
      <c r="I2219" s="8" t="s">
        <v>185</v>
      </c>
      <c r="J2219" s="9">
        <v>1</v>
      </c>
      <c r="K2219" s="9">
        <v>152</v>
      </c>
      <c r="L2219" s="9">
        <v>2023</v>
      </c>
      <c r="M2219" s="8" t="s">
        <v>13565</v>
      </c>
      <c r="N2219" s="8" t="s">
        <v>41</v>
      </c>
      <c r="O2219" s="8" t="s">
        <v>676</v>
      </c>
      <c r="P2219" s="6" t="s">
        <v>43</v>
      </c>
      <c r="Q2219" s="8" t="s">
        <v>44</v>
      </c>
      <c r="R2219" s="10" t="s">
        <v>791</v>
      </c>
      <c r="S2219" s="11"/>
      <c r="T2219" s="6"/>
      <c r="U2219" s="24" t="str">
        <f>HYPERLINK("https://media.infra-m.ru/1960/1960117/cover/1960117.jpg", "Обложка")</f>
        <v>Обложка</v>
      </c>
      <c r="V2219" s="12"/>
      <c r="W2219" s="8" t="s">
        <v>5204</v>
      </c>
      <c r="X2219" s="6"/>
      <c r="Y2219" s="6"/>
      <c r="Z2219" s="6"/>
      <c r="AA2219" s="6" t="s">
        <v>235</v>
      </c>
      <c r="AB2219" s="8"/>
    </row>
    <row r="2220" spans="1:28" s="4" customFormat="1" ht="42" customHeight="1">
      <c r="A2220" s="5">
        <v>0</v>
      </c>
      <c r="B2220" s="6" t="s">
        <v>13566</v>
      </c>
      <c r="C2220" s="7">
        <v>480</v>
      </c>
      <c r="D2220" s="8" t="s">
        <v>13567</v>
      </c>
      <c r="E2220" s="8" t="s">
        <v>13568</v>
      </c>
      <c r="F2220" s="8" t="s">
        <v>11241</v>
      </c>
      <c r="G2220" s="6" t="s">
        <v>38</v>
      </c>
      <c r="H2220" s="6" t="s">
        <v>184</v>
      </c>
      <c r="I2220" s="8" t="s">
        <v>116</v>
      </c>
      <c r="J2220" s="9">
        <v>1</v>
      </c>
      <c r="K2220" s="9">
        <v>96</v>
      </c>
      <c r="L2220" s="9">
        <v>2025</v>
      </c>
      <c r="M2220" s="8" t="s">
        <v>13569</v>
      </c>
      <c r="N2220" s="8" t="s">
        <v>41</v>
      </c>
      <c r="O2220" s="8" t="s">
        <v>1007</v>
      </c>
      <c r="P2220" s="6" t="s">
        <v>43</v>
      </c>
      <c r="Q2220" s="8" t="s">
        <v>44</v>
      </c>
      <c r="R2220" s="10" t="s">
        <v>1231</v>
      </c>
      <c r="S2220" s="11"/>
      <c r="T2220" s="6" t="s">
        <v>299</v>
      </c>
      <c r="U2220" s="24" t="str">
        <f>HYPERLINK("https://media.infra-m.ru/1863/1863810/cover/1863810.jpg", "Обложка")</f>
        <v>Обложка</v>
      </c>
      <c r="V2220" s="24" t="str">
        <f>HYPERLINK("https://znanium.ru/catalog/product/1863810", "Ознакомиться")</f>
        <v>Ознакомиться</v>
      </c>
      <c r="W2220" s="8" t="s">
        <v>83</v>
      </c>
      <c r="X2220" s="6"/>
      <c r="Y2220" s="6"/>
      <c r="Z2220" s="6"/>
      <c r="AA2220" s="6" t="s">
        <v>442</v>
      </c>
      <c r="AB2220" s="8"/>
    </row>
    <row r="2221" spans="1:28" s="4" customFormat="1" ht="51.95" customHeight="1">
      <c r="A2221" s="5">
        <v>0</v>
      </c>
      <c r="B2221" s="6" t="s">
        <v>13570</v>
      </c>
      <c r="C2221" s="13">
        <v>1170</v>
      </c>
      <c r="D2221" s="8" t="s">
        <v>13571</v>
      </c>
      <c r="E2221" s="8" t="s">
        <v>13572</v>
      </c>
      <c r="F2221" s="8" t="s">
        <v>12655</v>
      </c>
      <c r="G2221" s="6" t="s">
        <v>89</v>
      </c>
      <c r="H2221" s="6" t="s">
        <v>53</v>
      </c>
      <c r="I2221" s="8" t="s">
        <v>90</v>
      </c>
      <c r="J2221" s="9">
        <v>1</v>
      </c>
      <c r="K2221" s="9">
        <v>307</v>
      </c>
      <c r="L2221" s="9">
        <v>2022</v>
      </c>
      <c r="M2221" s="8" t="s">
        <v>13573</v>
      </c>
      <c r="N2221" s="8" t="s">
        <v>41</v>
      </c>
      <c r="O2221" s="8" t="s">
        <v>1007</v>
      </c>
      <c r="P2221" s="6" t="s">
        <v>167</v>
      </c>
      <c r="Q2221" s="8" t="s">
        <v>44</v>
      </c>
      <c r="R2221" s="10" t="s">
        <v>13574</v>
      </c>
      <c r="S2221" s="11" t="s">
        <v>13575</v>
      </c>
      <c r="T2221" s="6"/>
      <c r="U2221" s="24" t="str">
        <f>HYPERLINK("https://media.infra-m.ru/1864/1864240/cover/1864240.jpg", "Обложка")</f>
        <v>Обложка</v>
      </c>
      <c r="V2221" s="24" t="str">
        <f>HYPERLINK("https://znanium.ru/catalog/product/1864240", "Ознакомиться")</f>
        <v>Ознакомиться</v>
      </c>
      <c r="W2221" s="8" t="s">
        <v>12659</v>
      </c>
      <c r="X2221" s="6"/>
      <c r="Y2221" s="6"/>
      <c r="Z2221" s="6"/>
      <c r="AA2221" s="6" t="s">
        <v>151</v>
      </c>
      <c r="AB2221" s="8"/>
    </row>
    <row r="2222" spans="1:28" s="4" customFormat="1" ht="51.95" customHeight="1">
      <c r="A2222" s="5">
        <v>0</v>
      </c>
      <c r="B2222" s="6" t="s">
        <v>13576</v>
      </c>
      <c r="C2222" s="13">
        <v>1254</v>
      </c>
      <c r="D2222" s="8" t="s">
        <v>13577</v>
      </c>
      <c r="E2222" s="8" t="s">
        <v>13572</v>
      </c>
      <c r="F2222" s="8" t="s">
        <v>13578</v>
      </c>
      <c r="G2222" s="6" t="s">
        <v>52</v>
      </c>
      <c r="H2222" s="6" t="s">
        <v>1738</v>
      </c>
      <c r="I2222" s="8" t="s">
        <v>1171</v>
      </c>
      <c r="J2222" s="9">
        <v>1</v>
      </c>
      <c r="K2222" s="9">
        <v>272</v>
      </c>
      <c r="L2222" s="9">
        <v>2024</v>
      </c>
      <c r="M2222" s="8" t="s">
        <v>13579</v>
      </c>
      <c r="N2222" s="8" t="s">
        <v>41</v>
      </c>
      <c r="O2222" s="8" t="s">
        <v>1007</v>
      </c>
      <c r="P2222" s="6" t="s">
        <v>167</v>
      </c>
      <c r="Q2222" s="8" t="s">
        <v>44</v>
      </c>
      <c r="R2222" s="10" t="s">
        <v>4115</v>
      </c>
      <c r="S2222" s="11" t="s">
        <v>13580</v>
      </c>
      <c r="T2222" s="6"/>
      <c r="U2222" s="24" t="str">
        <f>HYPERLINK("https://media.infra-m.ru/2058/2058745/cover/2058745.jpg", "Обложка")</f>
        <v>Обложка</v>
      </c>
      <c r="V2222" s="24" t="str">
        <f>HYPERLINK("https://znanium.ru/catalog/product/1852203", "Ознакомиться")</f>
        <v>Ознакомиться</v>
      </c>
      <c r="W2222" s="8" t="s">
        <v>13581</v>
      </c>
      <c r="X2222" s="6"/>
      <c r="Y2222" s="6"/>
      <c r="Z2222" s="6"/>
      <c r="AA2222" s="6" t="s">
        <v>84</v>
      </c>
      <c r="AB2222" s="8"/>
    </row>
    <row r="2223" spans="1:28" s="4" customFormat="1" ht="51.95" customHeight="1">
      <c r="A2223" s="5">
        <v>0</v>
      </c>
      <c r="B2223" s="6" t="s">
        <v>13582</v>
      </c>
      <c r="C2223" s="13">
        <v>1414</v>
      </c>
      <c r="D2223" s="8" t="s">
        <v>13583</v>
      </c>
      <c r="E2223" s="8" t="s">
        <v>13584</v>
      </c>
      <c r="F2223" s="8" t="s">
        <v>13585</v>
      </c>
      <c r="G2223" s="6" t="s">
        <v>89</v>
      </c>
      <c r="H2223" s="6" t="s">
        <v>53</v>
      </c>
      <c r="I2223" s="8" t="s">
        <v>90</v>
      </c>
      <c r="J2223" s="9">
        <v>1</v>
      </c>
      <c r="K2223" s="9">
        <v>273</v>
      </c>
      <c r="L2223" s="9">
        <v>2025</v>
      </c>
      <c r="M2223" s="8" t="s">
        <v>13586</v>
      </c>
      <c r="N2223" s="8" t="s">
        <v>41</v>
      </c>
      <c r="O2223" s="8" t="s">
        <v>1204</v>
      </c>
      <c r="P2223" s="6" t="s">
        <v>43</v>
      </c>
      <c r="Q2223" s="8" t="s">
        <v>44</v>
      </c>
      <c r="R2223" s="10" t="s">
        <v>13587</v>
      </c>
      <c r="S2223" s="11" t="s">
        <v>13588</v>
      </c>
      <c r="T2223" s="6"/>
      <c r="U2223" s="24" t="str">
        <f>HYPERLINK("https://media.infra-m.ru/2196/2196951/cover/2196951.jpg", "Обложка")</f>
        <v>Обложка</v>
      </c>
      <c r="V2223" s="24" t="str">
        <f>HYPERLINK("https://znanium.ru/catalog/product/1873274", "Ознакомиться")</f>
        <v>Ознакомиться</v>
      </c>
      <c r="W2223" s="8" t="s">
        <v>6509</v>
      </c>
      <c r="X2223" s="6"/>
      <c r="Y2223" s="6"/>
      <c r="Z2223" s="6"/>
      <c r="AA2223" s="6" t="s">
        <v>196</v>
      </c>
      <c r="AB2223" s="8"/>
    </row>
    <row r="2224" spans="1:28" s="4" customFormat="1" ht="51.95" customHeight="1">
      <c r="A2224" s="5">
        <v>0</v>
      </c>
      <c r="B2224" s="6" t="s">
        <v>13589</v>
      </c>
      <c r="C2224" s="7">
        <v>684.9</v>
      </c>
      <c r="D2224" s="8" t="s">
        <v>13590</v>
      </c>
      <c r="E2224" s="8" t="s">
        <v>13572</v>
      </c>
      <c r="F2224" s="8" t="s">
        <v>13585</v>
      </c>
      <c r="G2224" s="6" t="s">
        <v>52</v>
      </c>
      <c r="H2224" s="6" t="s">
        <v>53</v>
      </c>
      <c r="I2224" s="8" t="s">
        <v>116</v>
      </c>
      <c r="J2224" s="9">
        <v>1</v>
      </c>
      <c r="K2224" s="9">
        <v>234</v>
      </c>
      <c r="L2224" s="9">
        <v>2017</v>
      </c>
      <c r="M2224" s="8" t="s">
        <v>13591</v>
      </c>
      <c r="N2224" s="8" t="s">
        <v>41</v>
      </c>
      <c r="O2224" s="8" t="s">
        <v>1007</v>
      </c>
      <c r="P2224" s="6" t="s">
        <v>43</v>
      </c>
      <c r="Q2224" s="8" t="s">
        <v>44</v>
      </c>
      <c r="R2224" s="10" t="s">
        <v>13587</v>
      </c>
      <c r="S2224" s="11" t="s">
        <v>13592</v>
      </c>
      <c r="T2224" s="6"/>
      <c r="U2224" s="24" t="str">
        <f>HYPERLINK("https://media.infra-m.ru/0563/0563162/cover/563162.jpg", "Обложка")</f>
        <v>Обложка</v>
      </c>
      <c r="V2224" s="24" t="str">
        <f>HYPERLINK("https://znanium.ru/catalog/product/1873274", "Ознакомиться")</f>
        <v>Ознакомиться</v>
      </c>
      <c r="W2224" s="8" t="s">
        <v>6509</v>
      </c>
      <c r="X2224" s="6"/>
      <c r="Y2224" s="6"/>
      <c r="Z2224" s="6"/>
      <c r="AA2224" s="6" t="s">
        <v>47</v>
      </c>
      <c r="AB2224" s="8"/>
    </row>
    <row r="2225" spans="1:28" s="4" customFormat="1" ht="51.95" customHeight="1">
      <c r="A2225" s="5">
        <v>0</v>
      </c>
      <c r="B2225" s="6" t="s">
        <v>13593</v>
      </c>
      <c r="C2225" s="13">
        <v>1604</v>
      </c>
      <c r="D2225" s="8" t="s">
        <v>13594</v>
      </c>
      <c r="E2225" s="8" t="s">
        <v>13595</v>
      </c>
      <c r="F2225" s="8" t="s">
        <v>13596</v>
      </c>
      <c r="G2225" s="6" t="s">
        <v>38</v>
      </c>
      <c r="H2225" s="6" t="s">
        <v>674</v>
      </c>
      <c r="I2225" s="8"/>
      <c r="J2225" s="9">
        <v>1</v>
      </c>
      <c r="K2225" s="9">
        <v>320</v>
      </c>
      <c r="L2225" s="9">
        <v>2025</v>
      </c>
      <c r="M2225" s="8" t="s">
        <v>13597</v>
      </c>
      <c r="N2225" s="8" t="s">
        <v>41</v>
      </c>
      <c r="O2225" s="8" t="s">
        <v>676</v>
      </c>
      <c r="P2225" s="6" t="s">
        <v>167</v>
      </c>
      <c r="Q2225" s="8" t="s">
        <v>44</v>
      </c>
      <c r="R2225" s="10" t="s">
        <v>13598</v>
      </c>
      <c r="S2225" s="11"/>
      <c r="T2225" s="6"/>
      <c r="U2225" s="24" t="str">
        <f>HYPERLINK("https://media.infra-m.ru/2184/2184946/cover/2184946.jpg", "Обложка")</f>
        <v>Обложка</v>
      </c>
      <c r="V2225" s="24" t="str">
        <f>HYPERLINK("https://znanium.ru/catalog/product/1911110", "Ознакомиться")</f>
        <v>Ознакомиться</v>
      </c>
      <c r="W2225" s="8" t="s">
        <v>2114</v>
      </c>
      <c r="X2225" s="6"/>
      <c r="Y2225" s="6"/>
      <c r="Z2225" s="6"/>
      <c r="AA2225" s="6" t="s">
        <v>701</v>
      </c>
      <c r="AB2225" s="8"/>
    </row>
    <row r="2226" spans="1:28" s="4" customFormat="1" ht="44.1" customHeight="1">
      <c r="A2226" s="5">
        <v>0</v>
      </c>
      <c r="B2226" s="6" t="s">
        <v>13599</v>
      </c>
      <c r="C2226" s="7">
        <v>939.9</v>
      </c>
      <c r="D2226" s="8" t="s">
        <v>13600</v>
      </c>
      <c r="E2226" s="8" t="s">
        <v>13601</v>
      </c>
      <c r="F2226" s="8" t="s">
        <v>13602</v>
      </c>
      <c r="G2226" s="6" t="s">
        <v>52</v>
      </c>
      <c r="H2226" s="6" t="s">
        <v>674</v>
      </c>
      <c r="I2226" s="8"/>
      <c r="J2226" s="9">
        <v>1</v>
      </c>
      <c r="K2226" s="9">
        <v>224</v>
      </c>
      <c r="L2226" s="9">
        <v>2022</v>
      </c>
      <c r="M2226" s="8" t="s">
        <v>13603</v>
      </c>
      <c r="N2226" s="8" t="s">
        <v>41</v>
      </c>
      <c r="O2226" s="8" t="s">
        <v>676</v>
      </c>
      <c r="P2226" s="6" t="s">
        <v>43</v>
      </c>
      <c r="Q2226" s="8" t="s">
        <v>279</v>
      </c>
      <c r="R2226" s="10" t="s">
        <v>13604</v>
      </c>
      <c r="S2226" s="11"/>
      <c r="T2226" s="6"/>
      <c r="U2226" s="24" t="str">
        <f>HYPERLINK("https://media.infra-m.ru/1867/1867904/cover/1867904.jpg", "Обложка")</f>
        <v>Обложка</v>
      </c>
      <c r="V2226" s="24" t="str">
        <f>HYPERLINK("https://znanium.ru/catalog/product/1867904", "Ознакомиться")</f>
        <v>Ознакомиться</v>
      </c>
      <c r="W2226" s="8" t="s">
        <v>792</v>
      </c>
      <c r="X2226" s="6"/>
      <c r="Y2226" s="6"/>
      <c r="Z2226" s="6"/>
      <c r="AA2226" s="6" t="s">
        <v>235</v>
      </c>
      <c r="AB2226" s="8"/>
    </row>
    <row r="2227" spans="1:28" s="4" customFormat="1" ht="51.95" customHeight="1">
      <c r="A2227" s="5">
        <v>0</v>
      </c>
      <c r="B2227" s="6" t="s">
        <v>13605</v>
      </c>
      <c r="C2227" s="13">
        <v>1280</v>
      </c>
      <c r="D2227" s="8" t="s">
        <v>13606</v>
      </c>
      <c r="E2227" s="8" t="s">
        <v>13607</v>
      </c>
      <c r="F2227" s="8" t="s">
        <v>13608</v>
      </c>
      <c r="G2227" s="6" t="s">
        <v>89</v>
      </c>
      <c r="H2227" s="6" t="s">
        <v>77</v>
      </c>
      <c r="I2227" s="8"/>
      <c r="J2227" s="9">
        <v>1</v>
      </c>
      <c r="K2227" s="9">
        <v>228</v>
      </c>
      <c r="L2227" s="9">
        <v>2024</v>
      </c>
      <c r="M2227" s="8" t="s">
        <v>13609</v>
      </c>
      <c r="N2227" s="8" t="s">
        <v>41</v>
      </c>
      <c r="O2227" s="8" t="s">
        <v>676</v>
      </c>
      <c r="P2227" s="6" t="s">
        <v>167</v>
      </c>
      <c r="Q2227" s="8" t="s">
        <v>44</v>
      </c>
      <c r="R2227" s="10" t="s">
        <v>13610</v>
      </c>
      <c r="S2227" s="11"/>
      <c r="T2227" s="6" t="s">
        <v>299</v>
      </c>
      <c r="U2227" s="24" t="str">
        <f>HYPERLINK("https://media.infra-m.ru/2175/2175281/cover/2175281.jpg", "Обложка")</f>
        <v>Обложка</v>
      </c>
      <c r="V2227" s="24" t="str">
        <f>HYPERLINK("https://znanium.ru/catalog/product/2175281", "Ознакомиться")</f>
        <v>Ознакомиться</v>
      </c>
      <c r="W2227" s="8" t="s">
        <v>150</v>
      </c>
      <c r="X2227" s="6"/>
      <c r="Y2227" s="6"/>
      <c r="Z2227" s="6"/>
      <c r="AA2227" s="6" t="s">
        <v>442</v>
      </c>
      <c r="AB2227" s="8"/>
    </row>
    <row r="2228" spans="1:28" s="4" customFormat="1" ht="51.95" customHeight="1">
      <c r="A2228" s="5">
        <v>0</v>
      </c>
      <c r="B2228" s="6" t="s">
        <v>13611</v>
      </c>
      <c r="C2228" s="7">
        <v>610</v>
      </c>
      <c r="D2228" s="8" t="s">
        <v>13612</v>
      </c>
      <c r="E2228" s="8" t="s">
        <v>13613</v>
      </c>
      <c r="F2228" s="8" t="s">
        <v>13614</v>
      </c>
      <c r="G2228" s="6" t="s">
        <v>38</v>
      </c>
      <c r="H2228" s="6" t="s">
        <v>674</v>
      </c>
      <c r="I2228" s="8"/>
      <c r="J2228" s="9">
        <v>1</v>
      </c>
      <c r="K2228" s="9">
        <v>128</v>
      </c>
      <c r="L2228" s="9">
        <v>2024</v>
      </c>
      <c r="M2228" s="8" t="s">
        <v>13615</v>
      </c>
      <c r="N2228" s="8" t="s">
        <v>41</v>
      </c>
      <c r="O2228" s="8" t="s">
        <v>676</v>
      </c>
      <c r="P2228" s="6" t="s">
        <v>43</v>
      </c>
      <c r="Q2228" s="8" t="s">
        <v>279</v>
      </c>
      <c r="R2228" s="10" t="s">
        <v>2736</v>
      </c>
      <c r="S2228" s="11"/>
      <c r="T2228" s="6"/>
      <c r="U2228" s="24" t="str">
        <f>HYPERLINK("https://media.infra-m.ru/2141/2141042/cover/2141042.jpg", "Обложка")</f>
        <v>Обложка</v>
      </c>
      <c r="V2228" s="24" t="str">
        <f>HYPERLINK("https://znanium.ru/catalog/product/2141042", "Ознакомиться")</f>
        <v>Ознакомиться</v>
      </c>
      <c r="W2228" s="8" t="s">
        <v>792</v>
      </c>
      <c r="X2228" s="6"/>
      <c r="Y2228" s="6"/>
      <c r="Z2228" s="6"/>
      <c r="AA2228" s="6" t="s">
        <v>151</v>
      </c>
      <c r="AB2228" s="8"/>
    </row>
    <row r="2229" spans="1:28" s="4" customFormat="1" ht="51.95" customHeight="1">
      <c r="A2229" s="5">
        <v>0</v>
      </c>
      <c r="B2229" s="6" t="s">
        <v>13616</v>
      </c>
      <c r="C2229" s="13">
        <v>1564</v>
      </c>
      <c r="D2229" s="8" t="s">
        <v>13617</v>
      </c>
      <c r="E2229" s="8" t="s">
        <v>13618</v>
      </c>
      <c r="F2229" s="8" t="s">
        <v>13619</v>
      </c>
      <c r="G2229" s="6" t="s">
        <v>38</v>
      </c>
      <c r="H2229" s="6" t="s">
        <v>184</v>
      </c>
      <c r="I2229" s="8" t="s">
        <v>90</v>
      </c>
      <c r="J2229" s="9">
        <v>1</v>
      </c>
      <c r="K2229" s="9">
        <v>312</v>
      </c>
      <c r="L2229" s="9">
        <v>2025</v>
      </c>
      <c r="M2229" s="8" t="s">
        <v>13620</v>
      </c>
      <c r="N2229" s="8" t="s">
        <v>41</v>
      </c>
      <c r="O2229" s="8" t="s">
        <v>676</v>
      </c>
      <c r="P2229" s="6" t="s">
        <v>43</v>
      </c>
      <c r="Q2229" s="8" t="s">
        <v>44</v>
      </c>
      <c r="R2229" s="10" t="s">
        <v>13621</v>
      </c>
      <c r="S2229" s="11" t="s">
        <v>13622</v>
      </c>
      <c r="T2229" s="6"/>
      <c r="U2229" s="24" t="str">
        <f>HYPERLINK("https://media.infra-m.ru/2187/2187070/cover/2187070.jpg", "Обложка")</f>
        <v>Обложка</v>
      </c>
      <c r="V2229" s="24" t="str">
        <f>HYPERLINK("https://znanium.ru/catalog/product/1991923", "Ознакомиться")</f>
        <v>Ознакомиться</v>
      </c>
      <c r="W2229" s="8" t="s">
        <v>8824</v>
      </c>
      <c r="X2229" s="6"/>
      <c r="Y2229" s="6"/>
      <c r="Z2229" s="6"/>
      <c r="AA2229" s="6" t="s">
        <v>494</v>
      </c>
      <c r="AB2229" s="8"/>
    </row>
    <row r="2230" spans="1:28" s="4" customFormat="1" ht="44.1" customHeight="1">
      <c r="A2230" s="5">
        <v>0</v>
      </c>
      <c r="B2230" s="6" t="s">
        <v>13623</v>
      </c>
      <c r="C2230" s="13">
        <v>2874</v>
      </c>
      <c r="D2230" s="8" t="s">
        <v>13624</v>
      </c>
      <c r="E2230" s="8" t="s">
        <v>13625</v>
      </c>
      <c r="F2230" s="8" t="s">
        <v>13626</v>
      </c>
      <c r="G2230" s="6" t="s">
        <v>52</v>
      </c>
      <c r="H2230" s="6" t="s">
        <v>674</v>
      </c>
      <c r="I2230" s="8"/>
      <c r="J2230" s="9">
        <v>1</v>
      </c>
      <c r="K2230" s="9">
        <v>576</v>
      </c>
      <c r="L2230" s="9">
        <v>2025</v>
      </c>
      <c r="M2230" s="8" t="s">
        <v>13627</v>
      </c>
      <c r="N2230" s="8" t="s">
        <v>41</v>
      </c>
      <c r="O2230" s="8" t="s">
        <v>676</v>
      </c>
      <c r="P2230" s="6" t="s">
        <v>167</v>
      </c>
      <c r="Q2230" s="8" t="s">
        <v>44</v>
      </c>
      <c r="R2230" s="10" t="s">
        <v>11333</v>
      </c>
      <c r="S2230" s="11"/>
      <c r="T2230" s="6"/>
      <c r="U2230" s="24" t="str">
        <f>HYPERLINK("https://media.infra-m.ru/2129/2129529/cover/2129529.jpg", "Обложка")</f>
        <v>Обложка</v>
      </c>
      <c r="V2230" s="24" t="str">
        <f>HYPERLINK("https://znanium.ru/catalog/product/1068824", "Ознакомиться")</f>
        <v>Ознакомиться</v>
      </c>
      <c r="W2230" s="8" t="s">
        <v>947</v>
      </c>
      <c r="X2230" s="6"/>
      <c r="Y2230" s="6"/>
      <c r="Z2230" s="6"/>
      <c r="AA2230" s="6" t="s">
        <v>2644</v>
      </c>
      <c r="AB2230" s="8"/>
    </row>
    <row r="2231" spans="1:28" s="4" customFormat="1" ht="51.95" customHeight="1">
      <c r="A2231" s="5">
        <v>0</v>
      </c>
      <c r="B2231" s="6" t="s">
        <v>13628</v>
      </c>
      <c r="C2231" s="13">
        <v>1940</v>
      </c>
      <c r="D2231" s="8" t="s">
        <v>13629</v>
      </c>
      <c r="E2231" s="8" t="s">
        <v>13630</v>
      </c>
      <c r="F2231" s="8" t="s">
        <v>13631</v>
      </c>
      <c r="G2231" s="6" t="s">
        <v>52</v>
      </c>
      <c r="H2231" s="6" t="s">
        <v>184</v>
      </c>
      <c r="I2231" s="8" t="s">
        <v>116</v>
      </c>
      <c r="J2231" s="9">
        <v>1</v>
      </c>
      <c r="K2231" s="9">
        <v>416</v>
      </c>
      <c r="L2231" s="9">
        <v>2024</v>
      </c>
      <c r="M2231" s="8" t="s">
        <v>13632</v>
      </c>
      <c r="N2231" s="8" t="s">
        <v>41</v>
      </c>
      <c r="O2231" s="8" t="s">
        <v>676</v>
      </c>
      <c r="P2231" s="6" t="s">
        <v>167</v>
      </c>
      <c r="Q2231" s="8" t="s">
        <v>58</v>
      </c>
      <c r="R2231" s="10" t="s">
        <v>13633</v>
      </c>
      <c r="S2231" s="11" t="s">
        <v>13634</v>
      </c>
      <c r="T2231" s="6" t="s">
        <v>299</v>
      </c>
      <c r="U2231" s="24" t="str">
        <f>HYPERLINK("https://media.infra-m.ru/2087/2087322/cover/2087322.jpg", "Обложка")</f>
        <v>Обложка</v>
      </c>
      <c r="V2231" s="24" t="str">
        <f>HYPERLINK("https://znanium.ru/catalog/product/2087322", "Ознакомиться")</f>
        <v>Ознакомиться</v>
      </c>
      <c r="W2231" s="8" t="s">
        <v>354</v>
      </c>
      <c r="X2231" s="6"/>
      <c r="Y2231" s="6"/>
      <c r="Z2231" s="6"/>
      <c r="AA2231" s="6" t="s">
        <v>160</v>
      </c>
      <c r="AB2231" s="8"/>
    </row>
    <row r="2232" spans="1:28" s="4" customFormat="1" ht="51.95" customHeight="1">
      <c r="A2232" s="5">
        <v>0</v>
      </c>
      <c r="B2232" s="6" t="s">
        <v>13635</v>
      </c>
      <c r="C2232" s="13">
        <v>2950</v>
      </c>
      <c r="D2232" s="8" t="s">
        <v>13636</v>
      </c>
      <c r="E2232" s="8" t="s">
        <v>13637</v>
      </c>
      <c r="F2232" s="8" t="s">
        <v>13638</v>
      </c>
      <c r="G2232" s="6" t="s">
        <v>52</v>
      </c>
      <c r="H2232" s="6" t="s">
        <v>674</v>
      </c>
      <c r="I2232" s="8"/>
      <c r="J2232" s="9">
        <v>1</v>
      </c>
      <c r="K2232" s="9">
        <v>656</v>
      </c>
      <c r="L2232" s="9">
        <v>2023</v>
      </c>
      <c r="M2232" s="8" t="s">
        <v>13639</v>
      </c>
      <c r="N2232" s="8" t="s">
        <v>41</v>
      </c>
      <c r="O2232" s="8" t="s">
        <v>676</v>
      </c>
      <c r="P2232" s="6" t="s">
        <v>167</v>
      </c>
      <c r="Q2232" s="8" t="s">
        <v>44</v>
      </c>
      <c r="R2232" s="10" t="s">
        <v>13640</v>
      </c>
      <c r="S2232" s="11"/>
      <c r="T2232" s="6"/>
      <c r="U2232" s="24" t="str">
        <f>HYPERLINK("https://media.infra-m.ru/1983/1983247/cover/1983247.jpg", "Обложка")</f>
        <v>Обложка</v>
      </c>
      <c r="V2232" s="24" t="str">
        <f>HYPERLINK("https://znanium.ru/catalog/product/1983247", "Ознакомиться")</f>
        <v>Ознакомиться</v>
      </c>
      <c r="W2232" s="8" t="s">
        <v>808</v>
      </c>
      <c r="X2232" s="6"/>
      <c r="Y2232" s="6"/>
      <c r="Z2232" s="6"/>
      <c r="AA2232" s="6" t="s">
        <v>207</v>
      </c>
      <c r="AB2232" s="8"/>
    </row>
    <row r="2233" spans="1:28" s="4" customFormat="1" ht="51.95" customHeight="1">
      <c r="A2233" s="5">
        <v>0</v>
      </c>
      <c r="B2233" s="6" t="s">
        <v>13641</v>
      </c>
      <c r="C2233" s="13">
        <v>3380</v>
      </c>
      <c r="D2233" s="8" t="s">
        <v>13642</v>
      </c>
      <c r="E2233" s="8" t="s">
        <v>13643</v>
      </c>
      <c r="F2233" s="8" t="s">
        <v>13644</v>
      </c>
      <c r="G2233" s="6" t="s">
        <v>52</v>
      </c>
      <c r="H2233" s="6" t="s">
        <v>674</v>
      </c>
      <c r="I2233" s="8"/>
      <c r="J2233" s="9">
        <v>1</v>
      </c>
      <c r="K2233" s="9">
        <v>752</v>
      </c>
      <c r="L2233" s="9">
        <v>2023</v>
      </c>
      <c r="M2233" s="8" t="s">
        <v>13645</v>
      </c>
      <c r="N2233" s="8" t="s">
        <v>41</v>
      </c>
      <c r="O2233" s="8" t="s">
        <v>676</v>
      </c>
      <c r="P2233" s="6" t="s">
        <v>167</v>
      </c>
      <c r="Q2233" s="8" t="s">
        <v>44</v>
      </c>
      <c r="R2233" s="10" t="s">
        <v>2736</v>
      </c>
      <c r="S2233" s="11" t="s">
        <v>13646</v>
      </c>
      <c r="T2233" s="6" t="s">
        <v>299</v>
      </c>
      <c r="U2233" s="24" t="str">
        <f>HYPERLINK("https://media.infra-m.ru/2018/2018253/cover/2018253.jpg", "Обложка")</f>
        <v>Обложка</v>
      </c>
      <c r="V2233" s="24" t="str">
        <f>HYPERLINK("https://znanium.ru/catalog/product/2018253", "Ознакомиться")</f>
        <v>Ознакомиться</v>
      </c>
      <c r="W2233" s="8" t="s">
        <v>808</v>
      </c>
      <c r="X2233" s="6"/>
      <c r="Y2233" s="6"/>
      <c r="Z2233" s="6"/>
      <c r="AA2233" s="6" t="s">
        <v>1492</v>
      </c>
      <c r="AB2233" s="8"/>
    </row>
    <row r="2234" spans="1:28" s="4" customFormat="1" ht="51.95" customHeight="1">
      <c r="A2234" s="5">
        <v>0</v>
      </c>
      <c r="B2234" s="6" t="s">
        <v>13647</v>
      </c>
      <c r="C2234" s="7">
        <v>880</v>
      </c>
      <c r="D2234" s="8" t="s">
        <v>13648</v>
      </c>
      <c r="E2234" s="8" t="s">
        <v>13630</v>
      </c>
      <c r="F2234" s="8" t="s">
        <v>13649</v>
      </c>
      <c r="G2234" s="6" t="s">
        <v>89</v>
      </c>
      <c r="H2234" s="6" t="s">
        <v>184</v>
      </c>
      <c r="I2234" s="8" t="s">
        <v>116</v>
      </c>
      <c r="J2234" s="9">
        <v>1</v>
      </c>
      <c r="K2234" s="9">
        <v>176</v>
      </c>
      <c r="L2234" s="9">
        <v>2025</v>
      </c>
      <c r="M2234" s="8" t="s">
        <v>13650</v>
      </c>
      <c r="N2234" s="8" t="s">
        <v>41</v>
      </c>
      <c r="O2234" s="8" t="s">
        <v>676</v>
      </c>
      <c r="P2234" s="6" t="s">
        <v>43</v>
      </c>
      <c r="Q2234" s="8" t="s">
        <v>44</v>
      </c>
      <c r="R2234" s="10" t="s">
        <v>13621</v>
      </c>
      <c r="S2234" s="11"/>
      <c r="T2234" s="6"/>
      <c r="U2234" s="24" t="str">
        <f>HYPERLINK("https://media.infra-m.ru/2169/2169203/cover/2169203.jpg", "Обложка")</f>
        <v>Обложка</v>
      </c>
      <c r="V2234" s="24" t="str">
        <f>HYPERLINK("https://znanium.ru/catalog/product/2169203", "Ознакомиться")</f>
        <v>Ознакомиться</v>
      </c>
      <c r="W2234" s="8" t="s">
        <v>2422</v>
      </c>
      <c r="X2234" s="6"/>
      <c r="Y2234" s="6"/>
      <c r="Z2234" s="6"/>
      <c r="AA2234" s="6" t="s">
        <v>196</v>
      </c>
      <c r="AB2234" s="8"/>
    </row>
    <row r="2235" spans="1:28" s="4" customFormat="1" ht="51.95" customHeight="1">
      <c r="A2235" s="5">
        <v>0</v>
      </c>
      <c r="B2235" s="6" t="s">
        <v>13651</v>
      </c>
      <c r="C2235" s="7">
        <v>494.9</v>
      </c>
      <c r="D2235" s="8" t="s">
        <v>13652</v>
      </c>
      <c r="E2235" s="8" t="s">
        <v>13637</v>
      </c>
      <c r="F2235" s="8" t="s">
        <v>13653</v>
      </c>
      <c r="G2235" s="6" t="s">
        <v>52</v>
      </c>
      <c r="H2235" s="6" t="s">
        <v>184</v>
      </c>
      <c r="I2235" s="8" t="s">
        <v>90</v>
      </c>
      <c r="J2235" s="9">
        <v>1</v>
      </c>
      <c r="K2235" s="9">
        <v>168</v>
      </c>
      <c r="L2235" s="9">
        <v>2017</v>
      </c>
      <c r="M2235" s="8" t="s">
        <v>13654</v>
      </c>
      <c r="N2235" s="8" t="s">
        <v>41</v>
      </c>
      <c r="O2235" s="8" t="s">
        <v>676</v>
      </c>
      <c r="P2235" s="6" t="s">
        <v>43</v>
      </c>
      <c r="Q2235" s="8" t="s">
        <v>44</v>
      </c>
      <c r="R2235" s="10" t="s">
        <v>13621</v>
      </c>
      <c r="S2235" s="11" t="s">
        <v>13655</v>
      </c>
      <c r="T2235" s="6"/>
      <c r="U2235" s="12"/>
      <c r="V2235" s="24" t="str">
        <f>HYPERLINK("https://znanium.ru/catalog/product/2169203", "Ознакомиться")</f>
        <v>Ознакомиться</v>
      </c>
      <c r="W2235" s="8" t="s">
        <v>2422</v>
      </c>
      <c r="X2235" s="6"/>
      <c r="Y2235" s="6"/>
      <c r="Z2235" s="6"/>
      <c r="AA2235" s="6" t="s">
        <v>84</v>
      </c>
      <c r="AB2235" s="8"/>
    </row>
    <row r="2236" spans="1:28" s="4" customFormat="1" ht="51.95" customHeight="1">
      <c r="A2236" s="5">
        <v>0</v>
      </c>
      <c r="B2236" s="6" t="s">
        <v>13656</v>
      </c>
      <c r="C2236" s="13">
        <v>1820</v>
      </c>
      <c r="D2236" s="8" t="s">
        <v>13657</v>
      </c>
      <c r="E2236" s="8" t="s">
        <v>13630</v>
      </c>
      <c r="F2236" s="8" t="s">
        <v>13658</v>
      </c>
      <c r="G2236" s="6" t="s">
        <v>89</v>
      </c>
      <c r="H2236" s="6" t="s">
        <v>53</v>
      </c>
      <c r="I2236" s="8" t="s">
        <v>116</v>
      </c>
      <c r="J2236" s="9">
        <v>1</v>
      </c>
      <c r="K2236" s="9">
        <v>398</v>
      </c>
      <c r="L2236" s="9">
        <v>2024</v>
      </c>
      <c r="M2236" s="8" t="s">
        <v>13659</v>
      </c>
      <c r="N2236" s="8" t="s">
        <v>41</v>
      </c>
      <c r="O2236" s="8" t="s">
        <v>676</v>
      </c>
      <c r="P2236" s="6" t="s">
        <v>43</v>
      </c>
      <c r="Q2236" s="8" t="s">
        <v>44</v>
      </c>
      <c r="R2236" s="10" t="s">
        <v>806</v>
      </c>
      <c r="S2236" s="11" t="s">
        <v>13660</v>
      </c>
      <c r="T2236" s="6"/>
      <c r="U2236" s="24" t="str">
        <f>HYPERLINK("https://media.infra-m.ru/2074/2074321/cover/2074321.jpg", "Обложка")</f>
        <v>Обложка</v>
      </c>
      <c r="V2236" s="24" t="str">
        <f>HYPERLINK("https://znanium.ru/catalog/product/2074321", "Ознакомиться")</f>
        <v>Ознакомиться</v>
      </c>
      <c r="W2236" s="8"/>
      <c r="X2236" s="6"/>
      <c r="Y2236" s="6"/>
      <c r="Z2236" s="6"/>
      <c r="AA2236" s="6" t="s">
        <v>95</v>
      </c>
      <c r="AB2236" s="8"/>
    </row>
    <row r="2237" spans="1:28" s="4" customFormat="1" ht="42" customHeight="1">
      <c r="A2237" s="5">
        <v>0</v>
      </c>
      <c r="B2237" s="6" t="s">
        <v>13661</v>
      </c>
      <c r="C2237" s="7">
        <v>950</v>
      </c>
      <c r="D2237" s="8" t="s">
        <v>13662</v>
      </c>
      <c r="E2237" s="8" t="s">
        <v>13663</v>
      </c>
      <c r="F2237" s="8" t="s">
        <v>13664</v>
      </c>
      <c r="G2237" s="6" t="s">
        <v>52</v>
      </c>
      <c r="H2237" s="6" t="s">
        <v>53</v>
      </c>
      <c r="I2237" s="8" t="s">
        <v>116</v>
      </c>
      <c r="J2237" s="9">
        <v>1</v>
      </c>
      <c r="K2237" s="9">
        <v>200</v>
      </c>
      <c r="L2237" s="9">
        <v>2023</v>
      </c>
      <c r="M2237" s="8" t="s">
        <v>13665</v>
      </c>
      <c r="N2237" s="8" t="s">
        <v>41</v>
      </c>
      <c r="O2237" s="8" t="s">
        <v>1007</v>
      </c>
      <c r="P2237" s="6" t="s">
        <v>43</v>
      </c>
      <c r="Q2237" s="8" t="s">
        <v>44</v>
      </c>
      <c r="R2237" s="10" t="s">
        <v>13666</v>
      </c>
      <c r="S2237" s="11"/>
      <c r="T2237" s="6"/>
      <c r="U2237" s="24" t="str">
        <f>HYPERLINK("https://media.infra-m.ru/1911/1911032/cover/1911032.jpg", "Обложка")</f>
        <v>Обложка</v>
      </c>
      <c r="V2237" s="24" t="str">
        <f>HYPERLINK("https://znanium.ru/catalog/product/1911032", "Ознакомиться")</f>
        <v>Ознакомиться</v>
      </c>
      <c r="W2237" s="8" t="s">
        <v>347</v>
      </c>
      <c r="X2237" s="6"/>
      <c r="Y2237" s="6"/>
      <c r="Z2237" s="6"/>
      <c r="AA2237" s="6" t="s">
        <v>207</v>
      </c>
      <c r="AB2237" s="8"/>
    </row>
    <row r="2238" spans="1:28" s="4" customFormat="1" ht="51.95" customHeight="1">
      <c r="A2238" s="5">
        <v>0</v>
      </c>
      <c r="B2238" s="6" t="s">
        <v>13667</v>
      </c>
      <c r="C2238" s="13">
        <v>2694</v>
      </c>
      <c r="D2238" s="8" t="s">
        <v>13668</v>
      </c>
      <c r="E2238" s="8" t="s">
        <v>13669</v>
      </c>
      <c r="F2238" s="8" t="s">
        <v>13670</v>
      </c>
      <c r="G2238" s="6" t="s">
        <v>89</v>
      </c>
      <c r="H2238" s="6" t="s">
        <v>952</v>
      </c>
      <c r="I2238" s="8"/>
      <c r="J2238" s="9">
        <v>1</v>
      </c>
      <c r="K2238" s="9">
        <v>608</v>
      </c>
      <c r="L2238" s="9">
        <v>2025</v>
      </c>
      <c r="M2238" s="8" t="s">
        <v>13671</v>
      </c>
      <c r="N2238" s="8" t="s">
        <v>41</v>
      </c>
      <c r="O2238" s="8" t="s">
        <v>1007</v>
      </c>
      <c r="P2238" s="6" t="s">
        <v>167</v>
      </c>
      <c r="Q2238" s="8" t="s">
        <v>44</v>
      </c>
      <c r="R2238" s="10" t="s">
        <v>13587</v>
      </c>
      <c r="S2238" s="11" t="s">
        <v>13672</v>
      </c>
      <c r="T2238" s="6"/>
      <c r="U2238" s="24" t="str">
        <f>HYPERLINK("https://media.infra-m.ru/2174/2174672/cover/2174672.jpg", "Обложка")</f>
        <v>Обложка</v>
      </c>
      <c r="V2238" s="24" t="str">
        <f>HYPERLINK("https://znanium.ru/catalog/product/1217465", "Ознакомиться")</f>
        <v>Ознакомиться</v>
      </c>
      <c r="W2238" s="8" t="s">
        <v>3282</v>
      </c>
      <c r="X2238" s="6"/>
      <c r="Y2238" s="6"/>
      <c r="Z2238" s="6"/>
      <c r="AA2238" s="6" t="s">
        <v>72</v>
      </c>
      <c r="AB2238" s="8"/>
    </row>
    <row r="2239" spans="1:28" s="4" customFormat="1" ht="42" customHeight="1">
      <c r="A2239" s="5">
        <v>0</v>
      </c>
      <c r="B2239" s="6" t="s">
        <v>13673</v>
      </c>
      <c r="C2239" s="13">
        <v>1200</v>
      </c>
      <c r="D2239" s="8" t="s">
        <v>13674</v>
      </c>
      <c r="E2239" s="8" t="s">
        <v>13675</v>
      </c>
      <c r="F2239" s="8" t="s">
        <v>13676</v>
      </c>
      <c r="G2239" s="6" t="s">
        <v>52</v>
      </c>
      <c r="H2239" s="6" t="s">
        <v>53</v>
      </c>
      <c r="I2239" s="8" t="s">
        <v>116</v>
      </c>
      <c r="J2239" s="9">
        <v>1</v>
      </c>
      <c r="K2239" s="9">
        <v>251</v>
      </c>
      <c r="L2239" s="9">
        <v>2024</v>
      </c>
      <c r="M2239" s="8" t="s">
        <v>13677</v>
      </c>
      <c r="N2239" s="8" t="s">
        <v>41</v>
      </c>
      <c r="O2239" s="8" t="s">
        <v>676</v>
      </c>
      <c r="P2239" s="6" t="s">
        <v>43</v>
      </c>
      <c r="Q2239" s="8" t="s">
        <v>58</v>
      </c>
      <c r="R2239" s="10" t="s">
        <v>799</v>
      </c>
      <c r="S2239" s="11"/>
      <c r="T2239" s="6"/>
      <c r="U2239" s="24" t="str">
        <f>HYPERLINK("https://media.infra-m.ru/2030/2030896/cover/2030896.jpg", "Обложка")</f>
        <v>Обложка</v>
      </c>
      <c r="V2239" s="24" t="str">
        <f>HYPERLINK("https://znanium.ru/catalog/product/2030896", "Ознакомиться")</f>
        <v>Ознакомиться</v>
      </c>
      <c r="W2239" s="8" t="s">
        <v>8022</v>
      </c>
      <c r="X2239" s="6" t="s">
        <v>179</v>
      </c>
      <c r="Y2239" s="6"/>
      <c r="Z2239" s="6"/>
      <c r="AA2239" s="6" t="s">
        <v>133</v>
      </c>
      <c r="AB2239" s="8"/>
    </row>
    <row r="2240" spans="1:28" s="4" customFormat="1" ht="51.95" customHeight="1">
      <c r="A2240" s="5">
        <v>0</v>
      </c>
      <c r="B2240" s="6" t="s">
        <v>13678</v>
      </c>
      <c r="C2240" s="13">
        <v>2000</v>
      </c>
      <c r="D2240" s="8" t="s">
        <v>13679</v>
      </c>
      <c r="E2240" s="8" t="s">
        <v>13680</v>
      </c>
      <c r="F2240" s="8" t="s">
        <v>13681</v>
      </c>
      <c r="G2240" s="6" t="s">
        <v>38</v>
      </c>
      <c r="H2240" s="6" t="s">
        <v>674</v>
      </c>
      <c r="I2240" s="8" t="s">
        <v>13682</v>
      </c>
      <c r="J2240" s="9">
        <v>1</v>
      </c>
      <c r="K2240" s="9">
        <v>400</v>
      </c>
      <c r="L2240" s="9">
        <v>2025</v>
      </c>
      <c r="M2240" s="8" t="s">
        <v>13683</v>
      </c>
      <c r="N2240" s="8" t="s">
        <v>41</v>
      </c>
      <c r="O2240" s="8" t="s">
        <v>676</v>
      </c>
      <c r="P2240" s="6" t="s">
        <v>187</v>
      </c>
      <c r="Q2240" s="8" t="s">
        <v>58</v>
      </c>
      <c r="R2240" s="10" t="s">
        <v>806</v>
      </c>
      <c r="S2240" s="11"/>
      <c r="T2240" s="6"/>
      <c r="U2240" s="24" t="str">
        <f>HYPERLINK("https://media.infra-m.ru/2168/2168166/cover/2168166.jpg", "Обложка")</f>
        <v>Обложка</v>
      </c>
      <c r="V2240" s="24" t="str">
        <f>HYPERLINK("https://znanium.ru/catalog/product/2168166", "Ознакомиться")</f>
        <v>Ознакомиться</v>
      </c>
      <c r="W2240" s="8" t="s">
        <v>678</v>
      </c>
      <c r="X2240" s="6"/>
      <c r="Y2240" s="6"/>
      <c r="Z2240" s="6"/>
      <c r="AA2240" s="6" t="s">
        <v>4822</v>
      </c>
      <c r="AB2240" s="8"/>
    </row>
    <row r="2241" spans="1:28" s="4" customFormat="1" ht="51.95" customHeight="1">
      <c r="A2241" s="5">
        <v>0</v>
      </c>
      <c r="B2241" s="6" t="s">
        <v>13684</v>
      </c>
      <c r="C2241" s="13">
        <v>2990</v>
      </c>
      <c r="D2241" s="8" t="s">
        <v>13685</v>
      </c>
      <c r="E2241" s="8" t="s">
        <v>13686</v>
      </c>
      <c r="F2241" s="8" t="s">
        <v>13681</v>
      </c>
      <c r="G2241" s="6" t="s">
        <v>52</v>
      </c>
      <c r="H2241" s="6" t="s">
        <v>674</v>
      </c>
      <c r="I2241" s="8"/>
      <c r="J2241" s="9">
        <v>1</v>
      </c>
      <c r="K2241" s="9">
        <v>672</v>
      </c>
      <c r="L2241" s="9">
        <v>2024</v>
      </c>
      <c r="M2241" s="8" t="s">
        <v>13687</v>
      </c>
      <c r="N2241" s="8" t="s">
        <v>41</v>
      </c>
      <c r="O2241" s="8" t="s">
        <v>676</v>
      </c>
      <c r="P2241" s="6" t="s">
        <v>167</v>
      </c>
      <c r="Q2241" s="8" t="s">
        <v>44</v>
      </c>
      <c r="R2241" s="10" t="s">
        <v>677</v>
      </c>
      <c r="S2241" s="11" t="s">
        <v>13688</v>
      </c>
      <c r="T2241" s="6"/>
      <c r="U2241" s="24" t="str">
        <f>HYPERLINK("https://media.infra-m.ru/2129/2129530/cover/2129530.jpg", "Обложка")</f>
        <v>Обложка</v>
      </c>
      <c r="V2241" s="24" t="str">
        <f>HYPERLINK("https://znanium.ru/catalog/product/2129530", "Ознакомиться")</f>
        <v>Ознакомиться</v>
      </c>
      <c r="W2241" s="8" t="s">
        <v>678</v>
      </c>
      <c r="X2241" s="6"/>
      <c r="Y2241" s="6"/>
      <c r="Z2241" s="6"/>
      <c r="AA2241" s="6" t="s">
        <v>5848</v>
      </c>
      <c r="AB2241" s="8"/>
    </row>
    <row r="2242" spans="1:28" s="4" customFormat="1" ht="51.95" customHeight="1">
      <c r="A2242" s="5">
        <v>0</v>
      </c>
      <c r="B2242" s="6" t="s">
        <v>13689</v>
      </c>
      <c r="C2242" s="13">
        <v>2590</v>
      </c>
      <c r="D2242" s="8" t="s">
        <v>13690</v>
      </c>
      <c r="E2242" s="8" t="s">
        <v>13691</v>
      </c>
      <c r="F2242" s="8" t="s">
        <v>13692</v>
      </c>
      <c r="G2242" s="6" t="s">
        <v>52</v>
      </c>
      <c r="H2242" s="6" t="s">
        <v>53</v>
      </c>
      <c r="I2242" s="8" t="s">
        <v>165</v>
      </c>
      <c r="J2242" s="9">
        <v>1</v>
      </c>
      <c r="K2242" s="9">
        <v>539</v>
      </c>
      <c r="L2242" s="9">
        <v>2024</v>
      </c>
      <c r="M2242" s="8" t="s">
        <v>13693</v>
      </c>
      <c r="N2242" s="8" t="s">
        <v>41</v>
      </c>
      <c r="O2242" s="8" t="s">
        <v>676</v>
      </c>
      <c r="P2242" s="6" t="s">
        <v>167</v>
      </c>
      <c r="Q2242" s="8" t="s">
        <v>58</v>
      </c>
      <c r="R2242" s="10" t="s">
        <v>13694</v>
      </c>
      <c r="S2242" s="11"/>
      <c r="T2242" s="6"/>
      <c r="U2242" s="24" t="str">
        <f>HYPERLINK("https://media.infra-m.ru/2084/2084103/cover/2084103.jpg", "Обложка")</f>
        <v>Обложка</v>
      </c>
      <c r="V2242" s="24" t="str">
        <f>HYPERLINK("https://znanium.ru/catalog/product/2084103", "Ознакомиться")</f>
        <v>Ознакомиться</v>
      </c>
      <c r="W2242" s="8" t="s">
        <v>83</v>
      </c>
      <c r="X2242" s="6" t="s">
        <v>772</v>
      </c>
      <c r="Y2242" s="6"/>
      <c r="Z2242" s="6"/>
      <c r="AA2242" s="6" t="s">
        <v>133</v>
      </c>
      <c r="AB2242" s="8"/>
    </row>
    <row r="2243" spans="1:28" s="4" customFormat="1" ht="51.95" customHeight="1">
      <c r="A2243" s="5">
        <v>0</v>
      </c>
      <c r="B2243" s="6" t="s">
        <v>13695</v>
      </c>
      <c r="C2243" s="13">
        <v>1334.9</v>
      </c>
      <c r="D2243" s="8" t="s">
        <v>13696</v>
      </c>
      <c r="E2243" s="8" t="s">
        <v>13697</v>
      </c>
      <c r="F2243" s="8" t="s">
        <v>13698</v>
      </c>
      <c r="G2243" s="6" t="s">
        <v>89</v>
      </c>
      <c r="H2243" s="6" t="s">
        <v>53</v>
      </c>
      <c r="I2243" s="8" t="s">
        <v>13699</v>
      </c>
      <c r="J2243" s="9">
        <v>1</v>
      </c>
      <c r="K2243" s="9">
        <v>351</v>
      </c>
      <c r="L2243" s="9">
        <v>2022</v>
      </c>
      <c r="M2243" s="8" t="s">
        <v>13700</v>
      </c>
      <c r="N2243" s="8" t="s">
        <v>41</v>
      </c>
      <c r="O2243" s="8" t="s">
        <v>1007</v>
      </c>
      <c r="P2243" s="6" t="s">
        <v>167</v>
      </c>
      <c r="Q2243" s="8" t="s">
        <v>279</v>
      </c>
      <c r="R2243" s="10" t="s">
        <v>13701</v>
      </c>
      <c r="S2243" s="11" t="s">
        <v>13702</v>
      </c>
      <c r="T2243" s="6"/>
      <c r="U2243" s="24" t="str">
        <f>HYPERLINK("https://media.infra-m.ru/1832/1832128/cover/1832128.jpg", "Обложка")</f>
        <v>Обложка</v>
      </c>
      <c r="V2243" s="24" t="str">
        <f>HYPERLINK("https://znanium.ru/catalog/product/1832128", "Ознакомиться")</f>
        <v>Ознакомиться</v>
      </c>
      <c r="W2243" s="8" t="s">
        <v>947</v>
      </c>
      <c r="X2243" s="6"/>
      <c r="Y2243" s="6"/>
      <c r="Z2243" s="6"/>
      <c r="AA2243" s="6" t="s">
        <v>1365</v>
      </c>
      <c r="AB2243" s="8"/>
    </row>
    <row r="2244" spans="1:28" s="4" customFormat="1" ht="51.95" customHeight="1">
      <c r="A2244" s="5">
        <v>0</v>
      </c>
      <c r="B2244" s="6" t="s">
        <v>13703</v>
      </c>
      <c r="C2244" s="13">
        <v>2104</v>
      </c>
      <c r="D2244" s="8" t="s">
        <v>13704</v>
      </c>
      <c r="E2244" s="8" t="s">
        <v>13705</v>
      </c>
      <c r="F2244" s="8" t="s">
        <v>13706</v>
      </c>
      <c r="G2244" s="6" t="s">
        <v>52</v>
      </c>
      <c r="H2244" s="6" t="s">
        <v>674</v>
      </c>
      <c r="I2244" s="8"/>
      <c r="J2244" s="9">
        <v>1</v>
      </c>
      <c r="K2244" s="9">
        <v>448</v>
      </c>
      <c r="L2244" s="9">
        <v>2024</v>
      </c>
      <c r="M2244" s="8" t="s">
        <v>13707</v>
      </c>
      <c r="N2244" s="8" t="s">
        <v>41</v>
      </c>
      <c r="O2244" s="8" t="s">
        <v>676</v>
      </c>
      <c r="P2244" s="6" t="s">
        <v>167</v>
      </c>
      <c r="Q2244" s="8" t="s">
        <v>279</v>
      </c>
      <c r="R2244" s="10" t="s">
        <v>983</v>
      </c>
      <c r="S2244" s="11"/>
      <c r="T2244" s="6"/>
      <c r="U2244" s="24" t="str">
        <f>HYPERLINK("https://media.infra-m.ru/2136/2136631/cover/2136631.jpg", "Обложка")</f>
        <v>Обложка</v>
      </c>
      <c r="V2244" s="24" t="str">
        <f>HYPERLINK("https://znanium.ru/catalog/product/1063656", "Ознакомиться")</f>
        <v>Ознакомиться</v>
      </c>
      <c r="W2244" s="8" t="s">
        <v>792</v>
      </c>
      <c r="X2244" s="6"/>
      <c r="Y2244" s="6"/>
      <c r="Z2244" s="6"/>
      <c r="AA2244" s="6" t="s">
        <v>442</v>
      </c>
      <c r="AB2244" s="8"/>
    </row>
    <row r="2245" spans="1:28" s="4" customFormat="1" ht="51.95" customHeight="1">
      <c r="A2245" s="5">
        <v>0</v>
      </c>
      <c r="B2245" s="6" t="s">
        <v>13708</v>
      </c>
      <c r="C2245" s="13">
        <v>1700</v>
      </c>
      <c r="D2245" s="8" t="s">
        <v>13709</v>
      </c>
      <c r="E2245" s="8" t="s">
        <v>13710</v>
      </c>
      <c r="F2245" s="8" t="s">
        <v>13711</v>
      </c>
      <c r="G2245" s="6" t="s">
        <v>89</v>
      </c>
      <c r="H2245" s="6" t="s">
        <v>53</v>
      </c>
      <c r="I2245" s="8" t="s">
        <v>116</v>
      </c>
      <c r="J2245" s="9">
        <v>1</v>
      </c>
      <c r="K2245" s="9">
        <v>362</v>
      </c>
      <c r="L2245" s="9">
        <v>2024</v>
      </c>
      <c r="M2245" s="8" t="s">
        <v>13712</v>
      </c>
      <c r="N2245" s="8" t="s">
        <v>41</v>
      </c>
      <c r="O2245" s="8" t="s">
        <v>1204</v>
      </c>
      <c r="P2245" s="6" t="s">
        <v>167</v>
      </c>
      <c r="Q2245" s="8" t="s">
        <v>44</v>
      </c>
      <c r="R2245" s="10" t="s">
        <v>13713</v>
      </c>
      <c r="S2245" s="11" t="s">
        <v>13714</v>
      </c>
      <c r="T2245" s="6"/>
      <c r="U2245" s="24" t="str">
        <f>HYPERLINK("https://media.infra-m.ru/2139/2139227/cover/2139227.jpg", "Обложка")</f>
        <v>Обложка</v>
      </c>
      <c r="V2245" s="24" t="str">
        <f>HYPERLINK("https://znanium.ru/catalog/product/2139227", "Ознакомиться")</f>
        <v>Ознакомиться</v>
      </c>
      <c r="W2245" s="8" t="s">
        <v>7243</v>
      </c>
      <c r="X2245" s="6"/>
      <c r="Y2245" s="6"/>
      <c r="Z2245" s="6"/>
      <c r="AA2245" s="6" t="s">
        <v>258</v>
      </c>
      <c r="AB2245" s="8"/>
    </row>
    <row r="2246" spans="1:28" s="4" customFormat="1" ht="42" customHeight="1">
      <c r="A2246" s="5">
        <v>0</v>
      </c>
      <c r="B2246" s="6" t="s">
        <v>13715</v>
      </c>
      <c r="C2246" s="13">
        <v>1100</v>
      </c>
      <c r="D2246" s="8" t="s">
        <v>13716</v>
      </c>
      <c r="E2246" s="8" t="s">
        <v>13717</v>
      </c>
      <c r="F2246" s="8" t="s">
        <v>13718</v>
      </c>
      <c r="G2246" s="6" t="s">
        <v>89</v>
      </c>
      <c r="H2246" s="6" t="s">
        <v>53</v>
      </c>
      <c r="I2246" s="8" t="s">
        <v>116</v>
      </c>
      <c r="J2246" s="9">
        <v>1</v>
      </c>
      <c r="K2246" s="9">
        <v>222</v>
      </c>
      <c r="L2246" s="9">
        <v>2023</v>
      </c>
      <c r="M2246" s="8" t="s">
        <v>13719</v>
      </c>
      <c r="N2246" s="8" t="s">
        <v>79</v>
      </c>
      <c r="O2246" s="8" t="s">
        <v>570</v>
      </c>
      <c r="P2246" s="6" t="s">
        <v>167</v>
      </c>
      <c r="Q2246" s="8" t="s">
        <v>44</v>
      </c>
      <c r="R2246" s="10" t="s">
        <v>13720</v>
      </c>
      <c r="S2246" s="11"/>
      <c r="T2246" s="6"/>
      <c r="U2246" s="24" t="str">
        <f>HYPERLINK("https://media.infra-m.ru/2126/2126480/cover/2126480.jpg", "Обложка")</f>
        <v>Обложка</v>
      </c>
      <c r="V2246" s="24" t="str">
        <f>HYPERLINK("https://znanium.ru/catalog/product/1863250", "Ознакомиться")</f>
        <v>Ознакомиться</v>
      </c>
      <c r="W2246" s="8" t="s">
        <v>13721</v>
      </c>
      <c r="X2246" s="6"/>
      <c r="Y2246" s="6"/>
      <c r="Z2246" s="6"/>
      <c r="AA2246" s="6" t="s">
        <v>207</v>
      </c>
      <c r="AB2246" s="8"/>
    </row>
    <row r="2247" spans="1:28" s="4" customFormat="1" ht="51.95" customHeight="1">
      <c r="A2247" s="5">
        <v>0</v>
      </c>
      <c r="B2247" s="6" t="s">
        <v>13722</v>
      </c>
      <c r="C2247" s="7">
        <v>610</v>
      </c>
      <c r="D2247" s="8" t="s">
        <v>13723</v>
      </c>
      <c r="E2247" s="8" t="s">
        <v>13724</v>
      </c>
      <c r="F2247" s="8" t="s">
        <v>13725</v>
      </c>
      <c r="G2247" s="6" t="s">
        <v>38</v>
      </c>
      <c r="H2247" s="6" t="s">
        <v>184</v>
      </c>
      <c r="I2247" s="8" t="s">
        <v>116</v>
      </c>
      <c r="J2247" s="9">
        <v>1</v>
      </c>
      <c r="K2247" s="9">
        <v>132</v>
      </c>
      <c r="L2247" s="9">
        <v>2024</v>
      </c>
      <c r="M2247" s="8" t="s">
        <v>13726</v>
      </c>
      <c r="N2247" s="8" t="s">
        <v>41</v>
      </c>
      <c r="O2247" s="8" t="s">
        <v>278</v>
      </c>
      <c r="P2247" s="6" t="s">
        <v>43</v>
      </c>
      <c r="Q2247" s="8" t="s">
        <v>58</v>
      </c>
      <c r="R2247" s="10" t="s">
        <v>8783</v>
      </c>
      <c r="S2247" s="11" t="s">
        <v>13727</v>
      </c>
      <c r="T2247" s="6"/>
      <c r="U2247" s="24" t="str">
        <f>HYPERLINK("https://media.infra-m.ru/2102/2102730/cover/2102730.jpg", "Обложка")</f>
        <v>Обложка</v>
      </c>
      <c r="V2247" s="24" t="str">
        <f>HYPERLINK("https://znanium.ru/catalog/product/2102730", "Ознакомиться")</f>
        <v>Ознакомиться</v>
      </c>
      <c r="W2247" s="8"/>
      <c r="X2247" s="6"/>
      <c r="Y2247" s="6"/>
      <c r="Z2247" s="6"/>
      <c r="AA2247" s="6" t="s">
        <v>442</v>
      </c>
      <c r="AB2247" s="8"/>
    </row>
    <row r="2248" spans="1:28" s="4" customFormat="1" ht="51.95" customHeight="1">
      <c r="A2248" s="5">
        <v>0</v>
      </c>
      <c r="B2248" s="6" t="s">
        <v>13728</v>
      </c>
      <c r="C2248" s="13">
        <v>1020</v>
      </c>
      <c r="D2248" s="8" t="s">
        <v>13729</v>
      </c>
      <c r="E2248" s="8" t="s">
        <v>13730</v>
      </c>
      <c r="F2248" s="8" t="s">
        <v>13731</v>
      </c>
      <c r="G2248" s="6" t="s">
        <v>89</v>
      </c>
      <c r="H2248" s="6" t="s">
        <v>77</v>
      </c>
      <c r="I2248" s="8"/>
      <c r="J2248" s="9">
        <v>1</v>
      </c>
      <c r="K2248" s="9">
        <v>215</v>
      </c>
      <c r="L2248" s="9">
        <v>2024</v>
      </c>
      <c r="M2248" s="8" t="s">
        <v>13732</v>
      </c>
      <c r="N2248" s="8" t="s">
        <v>41</v>
      </c>
      <c r="O2248" s="8" t="s">
        <v>1007</v>
      </c>
      <c r="P2248" s="6" t="s">
        <v>43</v>
      </c>
      <c r="Q2248" s="8" t="s">
        <v>279</v>
      </c>
      <c r="R2248" s="10" t="s">
        <v>12402</v>
      </c>
      <c r="S2248" s="11"/>
      <c r="T2248" s="6"/>
      <c r="U2248" s="24" t="str">
        <f>HYPERLINK("https://media.infra-m.ru/2136/2136561/cover/2136561.jpg", "Обложка")</f>
        <v>Обложка</v>
      </c>
      <c r="V2248" s="24" t="str">
        <f>HYPERLINK("https://znanium.ru/catalog/product/2136561", "Ознакомиться")</f>
        <v>Ознакомиться</v>
      </c>
      <c r="W2248" s="8" t="s">
        <v>9885</v>
      </c>
      <c r="X2248" s="6"/>
      <c r="Y2248" s="6"/>
      <c r="Z2248" s="6"/>
      <c r="AA2248" s="6" t="s">
        <v>442</v>
      </c>
      <c r="AB2248" s="8"/>
    </row>
    <row r="2249" spans="1:28" s="4" customFormat="1" ht="42" customHeight="1">
      <c r="A2249" s="5">
        <v>0</v>
      </c>
      <c r="B2249" s="6" t="s">
        <v>13733</v>
      </c>
      <c r="C2249" s="7">
        <v>914</v>
      </c>
      <c r="D2249" s="8" t="s">
        <v>13734</v>
      </c>
      <c r="E2249" s="8" t="s">
        <v>13735</v>
      </c>
      <c r="F2249" s="8" t="s">
        <v>13736</v>
      </c>
      <c r="G2249" s="6" t="s">
        <v>26</v>
      </c>
      <c r="H2249" s="6" t="s">
        <v>674</v>
      </c>
      <c r="I2249" s="8"/>
      <c r="J2249" s="9">
        <v>1</v>
      </c>
      <c r="K2249" s="9">
        <v>192</v>
      </c>
      <c r="L2249" s="9">
        <v>2024</v>
      </c>
      <c r="M2249" s="8" t="s">
        <v>13737</v>
      </c>
      <c r="N2249" s="8" t="s">
        <v>41</v>
      </c>
      <c r="O2249" s="8" t="s">
        <v>1204</v>
      </c>
      <c r="P2249" s="6" t="s">
        <v>167</v>
      </c>
      <c r="Q2249" s="8" t="s">
        <v>44</v>
      </c>
      <c r="R2249" s="10" t="s">
        <v>11333</v>
      </c>
      <c r="S2249" s="11"/>
      <c r="T2249" s="6"/>
      <c r="U2249" s="24" t="str">
        <f>HYPERLINK("https://media.infra-m.ru/2155/2155582/cover/2155582.jpg", "Обложка")</f>
        <v>Обложка</v>
      </c>
      <c r="V2249" s="24" t="str">
        <f>HYPERLINK("https://znanium.ru/catalog/product/938063", "Ознакомиться")</f>
        <v>Ознакомиться</v>
      </c>
      <c r="W2249" s="8" t="s">
        <v>1826</v>
      </c>
      <c r="X2249" s="6"/>
      <c r="Y2249" s="6"/>
      <c r="Z2249" s="6"/>
      <c r="AA2249" s="6" t="s">
        <v>418</v>
      </c>
      <c r="AB2249" s="8"/>
    </row>
    <row r="2250" spans="1:28" s="4" customFormat="1" ht="51.95" customHeight="1">
      <c r="A2250" s="5">
        <v>0</v>
      </c>
      <c r="B2250" s="6" t="s">
        <v>13738</v>
      </c>
      <c r="C2250" s="13">
        <v>2150</v>
      </c>
      <c r="D2250" s="8" t="s">
        <v>13739</v>
      </c>
      <c r="E2250" s="8" t="s">
        <v>13740</v>
      </c>
      <c r="F2250" s="8" t="s">
        <v>2418</v>
      </c>
      <c r="G2250" s="6" t="s">
        <v>52</v>
      </c>
      <c r="H2250" s="6" t="s">
        <v>53</v>
      </c>
      <c r="I2250" s="8" t="s">
        <v>116</v>
      </c>
      <c r="J2250" s="9">
        <v>1</v>
      </c>
      <c r="K2250" s="9">
        <v>456</v>
      </c>
      <c r="L2250" s="9">
        <v>2024</v>
      </c>
      <c r="M2250" s="8" t="s">
        <v>13741</v>
      </c>
      <c r="N2250" s="8" t="s">
        <v>41</v>
      </c>
      <c r="O2250" s="8" t="s">
        <v>1007</v>
      </c>
      <c r="P2250" s="6" t="s">
        <v>167</v>
      </c>
      <c r="Q2250" s="8" t="s">
        <v>44</v>
      </c>
      <c r="R2250" s="10" t="s">
        <v>1008</v>
      </c>
      <c r="S2250" s="11" t="s">
        <v>13742</v>
      </c>
      <c r="T2250" s="6"/>
      <c r="U2250" s="24" t="str">
        <f>HYPERLINK("https://media.infra-m.ru/2144/2144216/cover/2144216.jpg", "Обложка")</f>
        <v>Обложка</v>
      </c>
      <c r="V2250" s="24" t="str">
        <f>HYPERLINK("https://znanium.ru/catalog/product/2144216", "Ознакомиться")</f>
        <v>Ознакомиться</v>
      </c>
      <c r="W2250" s="8" t="s">
        <v>2422</v>
      </c>
      <c r="X2250" s="6"/>
      <c r="Y2250" s="6"/>
      <c r="Z2250" s="6"/>
      <c r="AA2250" s="6" t="s">
        <v>793</v>
      </c>
      <c r="AB2250" s="8"/>
    </row>
    <row r="2251" spans="1:28" s="4" customFormat="1" ht="51.95" customHeight="1">
      <c r="A2251" s="5">
        <v>0</v>
      </c>
      <c r="B2251" s="6" t="s">
        <v>13743</v>
      </c>
      <c r="C2251" s="13">
        <v>1524</v>
      </c>
      <c r="D2251" s="8" t="s">
        <v>13744</v>
      </c>
      <c r="E2251" s="8" t="s">
        <v>13745</v>
      </c>
      <c r="F2251" s="8" t="s">
        <v>13746</v>
      </c>
      <c r="G2251" s="6" t="s">
        <v>52</v>
      </c>
      <c r="H2251" s="6" t="s">
        <v>649</v>
      </c>
      <c r="I2251" s="8" t="s">
        <v>116</v>
      </c>
      <c r="J2251" s="9">
        <v>1</v>
      </c>
      <c r="K2251" s="9">
        <v>304</v>
      </c>
      <c r="L2251" s="9">
        <v>2025</v>
      </c>
      <c r="M2251" s="8" t="s">
        <v>13747</v>
      </c>
      <c r="N2251" s="8" t="s">
        <v>41</v>
      </c>
      <c r="O2251" s="8" t="s">
        <v>1007</v>
      </c>
      <c r="P2251" s="6" t="s">
        <v>43</v>
      </c>
      <c r="Q2251" s="8" t="s">
        <v>44</v>
      </c>
      <c r="R2251" s="10" t="s">
        <v>2461</v>
      </c>
      <c r="S2251" s="11" t="s">
        <v>1408</v>
      </c>
      <c r="T2251" s="6"/>
      <c r="U2251" s="24" t="str">
        <f>HYPERLINK("https://media.infra-m.ru/2173/2173937/cover/2173937.jpg", "Обложка")</f>
        <v>Обложка</v>
      </c>
      <c r="V2251" s="24" t="str">
        <f>HYPERLINK("https://znanium.ru/catalog/product/2056633", "Ознакомиться")</f>
        <v>Ознакомиться</v>
      </c>
      <c r="W2251" s="8" t="s">
        <v>94</v>
      </c>
      <c r="X2251" s="6"/>
      <c r="Y2251" s="6"/>
      <c r="Z2251" s="6"/>
      <c r="AA2251" s="6" t="s">
        <v>407</v>
      </c>
      <c r="AB2251" s="8"/>
    </row>
    <row r="2252" spans="1:28" s="4" customFormat="1" ht="44.1" customHeight="1">
      <c r="A2252" s="5">
        <v>0</v>
      </c>
      <c r="B2252" s="6" t="s">
        <v>13748</v>
      </c>
      <c r="C2252" s="7">
        <v>790</v>
      </c>
      <c r="D2252" s="8" t="s">
        <v>13749</v>
      </c>
      <c r="E2252" s="8" t="s">
        <v>13745</v>
      </c>
      <c r="F2252" s="8" t="s">
        <v>13750</v>
      </c>
      <c r="G2252" s="6" t="s">
        <v>52</v>
      </c>
      <c r="H2252" s="6" t="s">
        <v>674</v>
      </c>
      <c r="I2252" s="8"/>
      <c r="J2252" s="9">
        <v>1</v>
      </c>
      <c r="K2252" s="9">
        <v>152</v>
      </c>
      <c r="L2252" s="9">
        <v>2024</v>
      </c>
      <c r="M2252" s="8" t="s">
        <v>13751</v>
      </c>
      <c r="N2252" s="8" t="s">
        <v>41</v>
      </c>
      <c r="O2252" s="8" t="s">
        <v>1007</v>
      </c>
      <c r="P2252" s="6" t="s">
        <v>43</v>
      </c>
      <c r="Q2252" s="8" t="s">
        <v>279</v>
      </c>
      <c r="R2252" s="10" t="s">
        <v>2461</v>
      </c>
      <c r="S2252" s="11"/>
      <c r="T2252" s="6"/>
      <c r="U2252" s="24" t="str">
        <f>HYPERLINK("https://media.infra-m.ru/2141/2141097/cover/2141097.jpg", "Обложка")</f>
        <v>Обложка</v>
      </c>
      <c r="V2252" s="24" t="str">
        <f>HYPERLINK("https://znanium.ru/catalog/product/2141097", "Ознакомиться")</f>
        <v>Ознакомиться</v>
      </c>
      <c r="W2252" s="8" t="s">
        <v>792</v>
      </c>
      <c r="X2252" s="6" t="s">
        <v>3761</v>
      </c>
      <c r="Y2252" s="6"/>
      <c r="Z2252" s="6"/>
      <c r="AA2252" s="6" t="s">
        <v>105</v>
      </c>
      <c r="AB2252" s="8"/>
    </row>
    <row r="2253" spans="1:28" s="4" customFormat="1" ht="44.1" customHeight="1">
      <c r="A2253" s="5">
        <v>0</v>
      </c>
      <c r="B2253" s="6" t="s">
        <v>13752</v>
      </c>
      <c r="C2253" s="7">
        <v>609.9</v>
      </c>
      <c r="D2253" s="8" t="s">
        <v>13753</v>
      </c>
      <c r="E2253" s="8" t="s">
        <v>13754</v>
      </c>
      <c r="F2253" s="8" t="s">
        <v>13750</v>
      </c>
      <c r="G2253" s="6" t="s">
        <v>52</v>
      </c>
      <c r="H2253" s="6" t="s">
        <v>674</v>
      </c>
      <c r="I2253" s="8"/>
      <c r="J2253" s="9">
        <v>1</v>
      </c>
      <c r="K2253" s="9">
        <v>152</v>
      </c>
      <c r="L2253" s="9">
        <v>2021</v>
      </c>
      <c r="M2253" s="8" t="s">
        <v>13755</v>
      </c>
      <c r="N2253" s="8" t="s">
        <v>41</v>
      </c>
      <c r="O2253" s="8" t="s">
        <v>1007</v>
      </c>
      <c r="P2253" s="6" t="s">
        <v>43</v>
      </c>
      <c r="Q2253" s="8" t="s">
        <v>279</v>
      </c>
      <c r="R2253" s="10" t="s">
        <v>2461</v>
      </c>
      <c r="S2253" s="11"/>
      <c r="T2253" s="6"/>
      <c r="U2253" s="24" t="str">
        <f>HYPERLINK("https://media.infra-m.ru/1303/1303010/cover/1303010.jpg", "Обложка")</f>
        <v>Обложка</v>
      </c>
      <c r="V2253" s="24" t="str">
        <f>HYPERLINK("https://znanium.ru/catalog/product/2141097", "Ознакомиться")</f>
        <v>Ознакомиться</v>
      </c>
      <c r="W2253" s="8" t="s">
        <v>792</v>
      </c>
      <c r="X2253" s="6"/>
      <c r="Y2253" s="6"/>
      <c r="Z2253" s="6"/>
      <c r="AA2253" s="6" t="s">
        <v>219</v>
      </c>
      <c r="AB2253" s="8"/>
    </row>
    <row r="2254" spans="1:28" s="4" customFormat="1" ht="42" customHeight="1">
      <c r="A2254" s="5">
        <v>0</v>
      </c>
      <c r="B2254" s="6" t="s">
        <v>13756</v>
      </c>
      <c r="C2254" s="13">
        <v>2160</v>
      </c>
      <c r="D2254" s="8" t="s">
        <v>13757</v>
      </c>
      <c r="E2254" s="8" t="s">
        <v>13758</v>
      </c>
      <c r="F2254" s="8" t="s">
        <v>13759</v>
      </c>
      <c r="G2254" s="6" t="s">
        <v>89</v>
      </c>
      <c r="H2254" s="6" t="s">
        <v>952</v>
      </c>
      <c r="I2254" s="8"/>
      <c r="J2254" s="9">
        <v>1</v>
      </c>
      <c r="K2254" s="9">
        <v>568</v>
      </c>
      <c r="L2254" s="9">
        <v>2022</v>
      </c>
      <c r="M2254" s="8" t="s">
        <v>13760</v>
      </c>
      <c r="N2254" s="8" t="s">
        <v>41</v>
      </c>
      <c r="O2254" s="8" t="s">
        <v>1007</v>
      </c>
      <c r="P2254" s="6" t="s">
        <v>167</v>
      </c>
      <c r="Q2254" s="8" t="s">
        <v>44</v>
      </c>
      <c r="R2254" s="10" t="s">
        <v>13761</v>
      </c>
      <c r="S2254" s="11"/>
      <c r="T2254" s="6"/>
      <c r="U2254" s="24" t="str">
        <f>HYPERLINK("https://media.infra-m.ru/1857/1857817/cover/1857817.jpg", "Обложка")</f>
        <v>Обложка</v>
      </c>
      <c r="V2254" s="24" t="str">
        <f>HYPERLINK("https://znanium.ru/catalog/product/1857817", "Ознакомиться")</f>
        <v>Ознакомиться</v>
      </c>
      <c r="W2254" s="8" t="s">
        <v>3426</v>
      </c>
      <c r="X2254" s="6"/>
      <c r="Y2254" s="6"/>
      <c r="Z2254" s="6"/>
      <c r="AA2254" s="6" t="s">
        <v>1374</v>
      </c>
      <c r="AB2254" s="8"/>
    </row>
    <row r="2255" spans="1:28" s="4" customFormat="1" ht="51.95" customHeight="1">
      <c r="A2255" s="5">
        <v>0</v>
      </c>
      <c r="B2255" s="6" t="s">
        <v>13762</v>
      </c>
      <c r="C2255" s="13">
        <v>1950</v>
      </c>
      <c r="D2255" s="8" t="s">
        <v>13763</v>
      </c>
      <c r="E2255" s="8" t="s">
        <v>13764</v>
      </c>
      <c r="F2255" s="8" t="s">
        <v>13765</v>
      </c>
      <c r="G2255" s="6" t="s">
        <v>89</v>
      </c>
      <c r="H2255" s="6" t="s">
        <v>53</v>
      </c>
      <c r="I2255" s="8" t="s">
        <v>165</v>
      </c>
      <c r="J2255" s="9">
        <v>1</v>
      </c>
      <c r="K2255" s="9">
        <v>624</v>
      </c>
      <c r="L2255" s="9">
        <v>2019</v>
      </c>
      <c r="M2255" s="8" t="s">
        <v>13766</v>
      </c>
      <c r="N2255" s="8" t="s">
        <v>41</v>
      </c>
      <c r="O2255" s="8" t="s">
        <v>1007</v>
      </c>
      <c r="P2255" s="6" t="s">
        <v>167</v>
      </c>
      <c r="Q2255" s="8" t="s">
        <v>44</v>
      </c>
      <c r="R2255" s="10" t="s">
        <v>13767</v>
      </c>
      <c r="S2255" s="11" t="s">
        <v>13768</v>
      </c>
      <c r="T2255" s="6"/>
      <c r="U2255" s="24" t="str">
        <f>HYPERLINK("https://media.infra-m.ru/0996/0996147/cover/996147.jpg", "Обложка")</f>
        <v>Обложка</v>
      </c>
      <c r="V2255" s="24" t="str">
        <f>HYPERLINK("https://znanium.ru/catalog/product/2144736", "Ознакомиться")</f>
        <v>Ознакомиться</v>
      </c>
      <c r="W2255" s="8" t="s">
        <v>83</v>
      </c>
      <c r="X2255" s="6"/>
      <c r="Y2255" s="6"/>
      <c r="Z2255" s="6"/>
      <c r="AA2255" s="6" t="s">
        <v>638</v>
      </c>
      <c r="AB2255" s="8"/>
    </row>
    <row r="2256" spans="1:28" s="4" customFormat="1" ht="42" customHeight="1">
      <c r="A2256" s="5">
        <v>0</v>
      </c>
      <c r="B2256" s="6" t="s">
        <v>13769</v>
      </c>
      <c r="C2256" s="13">
        <v>1390</v>
      </c>
      <c r="D2256" s="8" t="s">
        <v>13770</v>
      </c>
      <c r="E2256" s="8" t="s">
        <v>13771</v>
      </c>
      <c r="F2256" s="8" t="s">
        <v>13759</v>
      </c>
      <c r="G2256" s="6" t="s">
        <v>52</v>
      </c>
      <c r="H2256" s="6" t="s">
        <v>952</v>
      </c>
      <c r="I2256" s="8"/>
      <c r="J2256" s="9">
        <v>1</v>
      </c>
      <c r="K2256" s="9">
        <v>560</v>
      </c>
      <c r="L2256" s="9">
        <v>2018</v>
      </c>
      <c r="M2256" s="8" t="s">
        <v>13772</v>
      </c>
      <c r="N2256" s="8" t="s">
        <v>41</v>
      </c>
      <c r="O2256" s="8" t="s">
        <v>1007</v>
      </c>
      <c r="P2256" s="6" t="s">
        <v>167</v>
      </c>
      <c r="Q2256" s="8" t="s">
        <v>44</v>
      </c>
      <c r="R2256" s="10" t="s">
        <v>13761</v>
      </c>
      <c r="S2256" s="11"/>
      <c r="T2256" s="6"/>
      <c r="U2256" s="24" t="str">
        <f>HYPERLINK("https://media.infra-m.ru/0959/0959867/cover/959867.jpg", "Обложка")</f>
        <v>Обложка</v>
      </c>
      <c r="V2256" s="24" t="str">
        <f>HYPERLINK("https://znanium.ru/catalog/product/1857817", "Ознакомиться")</f>
        <v>Ознакомиться</v>
      </c>
      <c r="W2256" s="8" t="s">
        <v>3426</v>
      </c>
      <c r="X2256" s="6"/>
      <c r="Y2256" s="6"/>
      <c r="Z2256" s="6"/>
      <c r="AA2256" s="6" t="s">
        <v>442</v>
      </c>
      <c r="AB2256" s="8"/>
    </row>
    <row r="2257" spans="1:28" s="4" customFormat="1" ht="51.95" customHeight="1">
      <c r="A2257" s="5">
        <v>0</v>
      </c>
      <c r="B2257" s="6" t="s">
        <v>13773</v>
      </c>
      <c r="C2257" s="13">
        <v>2104</v>
      </c>
      <c r="D2257" s="8" t="s">
        <v>13774</v>
      </c>
      <c r="E2257" s="8" t="s">
        <v>13775</v>
      </c>
      <c r="F2257" s="8" t="s">
        <v>13776</v>
      </c>
      <c r="G2257" s="6" t="s">
        <v>52</v>
      </c>
      <c r="H2257" s="6" t="s">
        <v>53</v>
      </c>
      <c r="I2257" s="8" t="s">
        <v>276</v>
      </c>
      <c r="J2257" s="9">
        <v>1</v>
      </c>
      <c r="K2257" s="9">
        <v>447</v>
      </c>
      <c r="L2257" s="9">
        <v>2024</v>
      </c>
      <c r="M2257" s="8" t="s">
        <v>13777</v>
      </c>
      <c r="N2257" s="8" t="s">
        <v>41</v>
      </c>
      <c r="O2257" s="8" t="s">
        <v>1007</v>
      </c>
      <c r="P2257" s="6" t="s">
        <v>167</v>
      </c>
      <c r="Q2257" s="8" t="s">
        <v>279</v>
      </c>
      <c r="R2257" s="10" t="s">
        <v>13778</v>
      </c>
      <c r="S2257" s="11" t="s">
        <v>13779</v>
      </c>
      <c r="T2257" s="6"/>
      <c r="U2257" s="24" t="str">
        <f>HYPERLINK("https://media.infra-m.ru/2145/2145105/cover/2145105.jpg", "Обложка")</f>
        <v>Обложка</v>
      </c>
      <c r="V2257" s="24" t="str">
        <f>HYPERLINK("https://znanium.ru/catalog/product/2145105", "Ознакомиться")</f>
        <v>Ознакомиться</v>
      </c>
      <c r="W2257" s="8" t="s">
        <v>83</v>
      </c>
      <c r="X2257" s="6"/>
      <c r="Y2257" s="6"/>
      <c r="Z2257" s="6"/>
      <c r="AA2257" s="6" t="s">
        <v>219</v>
      </c>
      <c r="AB2257" s="8"/>
    </row>
    <row r="2258" spans="1:28" s="4" customFormat="1" ht="51.95" customHeight="1">
      <c r="A2258" s="5">
        <v>0</v>
      </c>
      <c r="B2258" s="6" t="s">
        <v>13780</v>
      </c>
      <c r="C2258" s="13">
        <v>2730</v>
      </c>
      <c r="D2258" s="8" t="s">
        <v>13781</v>
      </c>
      <c r="E2258" s="8" t="s">
        <v>13782</v>
      </c>
      <c r="F2258" s="8" t="s">
        <v>13783</v>
      </c>
      <c r="G2258" s="6" t="s">
        <v>52</v>
      </c>
      <c r="H2258" s="6" t="s">
        <v>53</v>
      </c>
      <c r="I2258" s="8" t="s">
        <v>165</v>
      </c>
      <c r="J2258" s="9">
        <v>1</v>
      </c>
      <c r="K2258" s="9">
        <v>582</v>
      </c>
      <c r="L2258" s="9">
        <v>2025</v>
      </c>
      <c r="M2258" s="8" t="s">
        <v>13784</v>
      </c>
      <c r="N2258" s="8" t="s">
        <v>41</v>
      </c>
      <c r="O2258" s="8" t="s">
        <v>1007</v>
      </c>
      <c r="P2258" s="6" t="s">
        <v>167</v>
      </c>
      <c r="Q2258" s="8" t="s">
        <v>44</v>
      </c>
      <c r="R2258" s="10" t="s">
        <v>13767</v>
      </c>
      <c r="S2258" s="11" t="s">
        <v>13768</v>
      </c>
      <c r="T2258" s="6"/>
      <c r="U2258" s="24" t="str">
        <f>HYPERLINK("https://media.infra-m.ru/2144/2144736/cover/2144736.jpg", "Обложка")</f>
        <v>Обложка</v>
      </c>
      <c r="V2258" s="24" t="str">
        <f>HYPERLINK("https://znanium.ru/catalog/product/2144736", "Ознакомиться")</f>
        <v>Ознакомиться</v>
      </c>
      <c r="W2258" s="8" t="s">
        <v>83</v>
      </c>
      <c r="X2258" s="6"/>
      <c r="Y2258" s="6"/>
      <c r="Z2258" s="6"/>
      <c r="AA2258" s="6" t="s">
        <v>2501</v>
      </c>
      <c r="AB2258" s="8"/>
    </row>
    <row r="2259" spans="1:28" s="4" customFormat="1" ht="51.95" customHeight="1">
      <c r="A2259" s="5">
        <v>0</v>
      </c>
      <c r="B2259" s="6" t="s">
        <v>13785</v>
      </c>
      <c r="C2259" s="7">
        <v>990</v>
      </c>
      <c r="D2259" s="8" t="s">
        <v>13786</v>
      </c>
      <c r="E2259" s="8" t="s">
        <v>13764</v>
      </c>
      <c r="F2259" s="8" t="s">
        <v>13787</v>
      </c>
      <c r="G2259" s="6" t="s">
        <v>89</v>
      </c>
      <c r="H2259" s="6" t="s">
        <v>53</v>
      </c>
      <c r="I2259" s="8" t="s">
        <v>276</v>
      </c>
      <c r="J2259" s="9">
        <v>1</v>
      </c>
      <c r="K2259" s="9">
        <v>265</v>
      </c>
      <c r="L2259" s="9">
        <v>2021</v>
      </c>
      <c r="M2259" s="8" t="s">
        <v>13788</v>
      </c>
      <c r="N2259" s="8" t="s">
        <v>41</v>
      </c>
      <c r="O2259" s="8" t="s">
        <v>1007</v>
      </c>
      <c r="P2259" s="6" t="s">
        <v>167</v>
      </c>
      <c r="Q2259" s="8" t="s">
        <v>279</v>
      </c>
      <c r="R2259" s="10" t="s">
        <v>1231</v>
      </c>
      <c r="S2259" s="11" t="s">
        <v>13789</v>
      </c>
      <c r="T2259" s="6" t="s">
        <v>299</v>
      </c>
      <c r="U2259" s="24" t="str">
        <f>HYPERLINK("https://media.infra-m.ru/1239/1239253/cover/1239253.jpg", "Обложка")</f>
        <v>Обложка</v>
      </c>
      <c r="V2259" s="24" t="str">
        <f>HYPERLINK("https://znanium.ru/catalog/product/1239253", "Ознакомиться")</f>
        <v>Ознакомиться</v>
      </c>
      <c r="W2259" s="8" t="s">
        <v>347</v>
      </c>
      <c r="X2259" s="6"/>
      <c r="Y2259" s="6"/>
      <c r="Z2259" s="6"/>
      <c r="AA2259" s="6" t="s">
        <v>707</v>
      </c>
      <c r="AB2259" s="8"/>
    </row>
    <row r="2260" spans="1:28" s="4" customFormat="1" ht="42" customHeight="1">
      <c r="A2260" s="5">
        <v>0</v>
      </c>
      <c r="B2260" s="6" t="s">
        <v>13790</v>
      </c>
      <c r="C2260" s="7">
        <v>800</v>
      </c>
      <c r="D2260" s="8" t="s">
        <v>13791</v>
      </c>
      <c r="E2260" s="8" t="s">
        <v>13792</v>
      </c>
      <c r="F2260" s="8" t="s">
        <v>13793</v>
      </c>
      <c r="G2260" s="6" t="s">
        <v>89</v>
      </c>
      <c r="H2260" s="6" t="s">
        <v>674</v>
      </c>
      <c r="I2260" s="8"/>
      <c r="J2260" s="9">
        <v>1</v>
      </c>
      <c r="K2260" s="9">
        <v>152</v>
      </c>
      <c r="L2260" s="9">
        <v>2025</v>
      </c>
      <c r="M2260" s="8" t="s">
        <v>13794</v>
      </c>
      <c r="N2260" s="8" t="s">
        <v>41</v>
      </c>
      <c r="O2260" s="8" t="s">
        <v>1007</v>
      </c>
      <c r="P2260" s="6" t="s">
        <v>43</v>
      </c>
      <c r="Q2260" s="8" t="s">
        <v>44</v>
      </c>
      <c r="R2260" s="10" t="s">
        <v>13795</v>
      </c>
      <c r="S2260" s="11"/>
      <c r="T2260" s="6"/>
      <c r="U2260" s="24" t="str">
        <f>HYPERLINK("https://media.infra-m.ru/2163/2163998/cover/2163998.jpg", "Обложка")</f>
        <v>Обложка</v>
      </c>
      <c r="V2260" s="24" t="str">
        <f>HYPERLINK("https://znanium.ru/catalog/product/2163998", "Ознакомиться")</f>
        <v>Ознакомиться</v>
      </c>
      <c r="W2260" s="8" t="s">
        <v>792</v>
      </c>
      <c r="X2260" s="6"/>
      <c r="Y2260" s="6"/>
      <c r="Z2260" s="6"/>
      <c r="AA2260" s="6" t="s">
        <v>207</v>
      </c>
      <c r="AB2260" s="8"/>
    </row>
    <row r="2261" spans="1:28" s="4" customFormat="1" ht="51.95" customHeight="1">
      <c r="A2261" s="5">
        <v>0</v>
      </c>
      <c r="B2261" s="6" t="s">
        <v>13796</v>
      </c>
      <c r="C2261" s="13">
        <v>1150</v>
      </c>
      <c r="D2261" s="8" t="s">
        <v>13797</v>
      </c>
      <c r="E2261" s="8" t="s">
        <v>13798</v>
      </c>
      <c r="F2261" s="8" t="s">
        <v>13799</v>
      </c>
      <c r="G2261" s="6" t="s">
        <v>52</v>
      </c>
      <c r="H2261" s="6" t="s">
        <v>53</v>
      </c>
      <c r="I2261" s="8" t="s">
        <v>116</v>
      </c>
      <c r="J2261" s="9">
        <v>1</v>
      </c>
      <c r="K2261" s="9">
        <v>293</v>
      </c>
      <c r="L2261" s="9">
        <v>2022</v>
      </c>
      <c r="M2261" s="8" t="s">
        <v>13800</v>
      </c>
      <c r="N2261" s="8" t="s">
        <v>41</v>
      </c>
      <c r="O2261" s="8" t="s">
        <v>1007</v>
      </c>
      <c r="P2261" s="6" t="s">
        <v>167</v>
      </c>
      <c r="Q2261" s="8" t="s">
        <v>58</v>
      </c>
      <c r="R2261" s="10" t="s">
        <v>2684</v>
      </c>
      <c r="S2261" s="11" t="s">
        <v>13801</v>
      </c>
      <c r="T2261" s="6"/>
      <c r="U2261" s="24" t="str">
        <f>HYPERLINK("https://media.infra-m.ru/1836/1836225/cover/1836225.jpg", "Обложка")</f>
        <v>Обложка</v>
      </c>
      <c r="V2261" s="24" t="str">
        <f>HYPERLINK("https://znanium.ru/catalog/product/1836225", "Ознакомиться")</f>
        <v>Ознакомиться</v>
      </c>
      <c r="W2261" s="8" t="s">
        <v>189</v>
      </c>
      <c r="X2261" s="6"/>
      <c r="Y2261" s="6"/>
      <c r="Z2261" s="6"/>
      <c r="AA2261" s="6" t="s">
        <v>235</v>
      </c>
      <c r="AB2261" s="8"/>
    </row>
    <row r="2262" spans="1:28" s="4" customFormat="1" ht="42" customHeight="1">
      <c r="A2262" s="5">
        <v>0</v>
      </c>
      <c r="B2262" s="6" t="s">
        <v>13802</v>
      </c>
      <c r="C2262" s="13">
        <v>1210</v>
      </c>
      <c r="D2262" s="8" t="s">
        <v>13803</v>
      </c>
      <c r="E2262" s="8" t="s">
        <v>13792</v>
      </c>
      <c r="F2262" s="8" t="s">
        <v>13804</v>
      </c>
      <c r="G2262" s="6" t="s">
        <v>52</v>
      </c>
      <c r="H2262" s="6" t="s">
        <v>53</v>
      </c>
      <c r="I2262" s="8" t="s">
        <v>116</v>
      </c>
      <c r="J2262" s="9">
        <v>1</v>
      </c>
      <c r="K2262" s="9">
        <v>254</v>
      </c>
      <c r="L2262" s="9">
        <v>2023</v>
      </c>
      <c r="M2262" s="8" t="s">
        <v>13805</v>
      </c>
      <c r="N2262" s="8" t="s">
        <v>41</v>
      </c>
      <c r="O2262" s="8" t="s">
        <v>1007</v>
      </c>
      <c r="P2262" s="6" t="s">
        <v>167</v>
      </c>
      <c r="Q2262" s="8" t="s">
        <v>44</v>
      </c>
      <c r="R2262" s="10" t="s">
        <v>13806</v>
      </c>
      <c r="S2262" s="11"/>
      <c r="T2262" s="6"/>
      <c r="U2262" s="24" t="str">
        <f>HYPERLINK("https://media.infra-m.ru/1870/1870563/cover/1870563.jpg", "Обложка")</f>
        <v>Обложка</v>
      </c>
      <c r="V2262" s="24" t="str">
        <f>HYPERLINK("https://znanium.ru/catalog/product/1870563", "Ознакомиться")</f>
        <v>Ознакомиться</v>
      </c>
      <c r="W2262" s="8" t="s">
        <v>189</v>
      </c>
      <c r="X2262" s="6"/>
      <c r="Y2262" s="6"/>
      <c r="Z2262" s="6"/>
      <c r="AA2262" s="6" t="s">
        <v>207</v>
      </c>
      <c r="AB2262" s="8"/>
    </row>
    <row r="2263" spans="1:28" s="4" customFormat="1" ht="51.95" customHeight="1">
      <c r="A2263" s="5">
        <v>0</v>
      </c>
      <c r="B2263" s="6" t="s">
        <v>13807</v>
      </c>
      <c r="C2263" s="13">
        <v>1994</v>
      </c>
      <c r="D2263" s="8" t="s">
        <v>13808</v>
      </c>
      <c r="E2263" s="8" t="s">
        <v>13792</v>
      </c>
      <c r="F2263" s="8" t="s">
        <v>13809</v>
      </c>
      <c r="G2263" s="6" t="s">
        <v>89</v>
      </c>
      <c r="H2263" s="6" t="s">
        <v>77</v>
      </c>
      <c r="I2263" s="8" t="s">
        <v>9028</v>
      </c>
      <c r="J2263" s="9">
        <v>1</v>
      </c>
      <c r="K2263" s="9">
        <v>449</v>
      </c>
      <c r="L2263" s="9">
        <v>2020</v>
      </c>
      <c r="M2263" s="8" t="s">
        <v>13810</v>
      </c>
      <c r="N2263" s="8" t="s">
        <v>41</v>
      </c>
      <c r="O2263" s="8" t="s">
        <v>1007</v>
      </c>
      <c r="P2263" s="6" t="s">
        <v>167</v>
      </c>
      <c r="Q2263" s="8" t="s">
        <v>279</v>
      </c>
      <c r="R2263" s="10" t="s">
        <v>13811</v>
      </c>
      <c r="S2263" s="11" t="s">
        <v>13812</v>
      </c>
      <c r="T2263" s="6"/>
      <c r="U2263" s="24" t="str">
        <f>HYPERLINK("https://media.infra-m.ru/2106/2106693/cover/2106693.jpg", "Обложка")</f>
        <v>Обложка</v>
      </c>
      <c r="V2263" s="24" t="str">
        <f>HYPERLINK("https://znanium.ru/catalog/product/1862622", "Ознакомиться")</f>
        <v>Ознакомиться</v>
      </c>
      <c r="W2263" s="8" t="s">
        <v>83</v>
      </c>
      <c r="X2263" s="6"/>
      <c r="Y2263" s="6"/>
      <c r="Z2263" s="6"/>
      <c r="AA2263" s="6" t="s">
        <v>258</v>
      </c>
      <c r="AB2263" s="8"/>
    </row>
    <row r="2264" spans="1:28" s="4" customFormat="1" ht="44.1" customHeight="1">
      <c r="A2264" s="5">
        <v>0</v>
      </c>
      <c r="B2264" s="6" t="s">
        <v>13813</v>
      </c>
      <c r="C2264" s="13">
        <v>1714</v>
      </c>
      <c r="D2264" s="8" t="s">
        <v>13814</v>
      </c>
      <c r="E2264" s="8" t="s">
        <v>13815</v>
      </c>
      <c r="F2264" s="8" t="s">
        <v>13816</v>
      </c>
      <c r="G2264" s="6" t="s">
        <v>52</v>
      </c>
      <c r="H2264" s="6" t="s">
        <v>952</v>
      </c>
      <c r="I2264" s="8"/>
      <c r="J2264" s="9">
        <v>1</v>
      </c>
      <c r="K2264" s="9">
        <v>368</v>
      </c>
      <c r="L2264" s="9">
        <v>2023</v>
      </c>
      <c r="M2264" s="8" t="s">
        <v>13817</v>
      </c>
      <c r="N2264" s="8" t="s">
        <v>41</v>
      </c>
      <c r="O2264" s="8" t="s">
        <v>1007</v>
      </c>
      <c r="P2264" s="6" t="s">
        <v>167</v>
      </c>
      <c r="Q2264" s="8" t="s">
        <v>44</v>
      </c>
      <c r="R2264" s="10" t="s">
        <v>2468</v>
      </c>
      <c r="S2264" s="11"/>
      <c r="T2264" s="6"/>
      <c r="U2264" s="24" t="str">
        <f>HYPERLINK("https://media.infra-m.ru/2085/2085568/cover/2085568.jpg", "Обложка")</f>
        <v>Обложка</v>
      </c>
      <c r="V2264" s="24" t="str">
        <f>HYPERLINK("https://znanium.ru/catalog/product/2085568", "Ознакомиться")</f>
        <v>Ознакомиться</v>
      </c>
      <c r="W2264" s="8" t="s">
        <v>1076</v>
      </c>
      <c r="X2264" s="6"/>
      <c r="Y2264" s="6"/>
      <c r="Z2264" s="6"/>
      <c r="AA2264" s="6" t="s">
        <v>1374</v>
      </c>
      <c r="AB2264" s="8"/>
    </row>
    <row r="2265" spans="1:28" s="4" customFormat="1" ht="44.1" customHeight="1">
      <c r="A2265" s="5">
        <v>0</v>
      </c>
      <c r="B2265" s="6" t="s">
        <v>13818</v>
      </c>
      <c r="C2265" s="13">
        <v>1744.9</v>
      </c>
      <c r="D2265" s="8" t="s">
        <v>13819</v>
      </c>
      <c r="E2265" s="8" t="s">
        <v>13820</v>
      </c>
      <c r="F2265" s="8" t="s">
        <v>13816</v>
      </c>
      <c r="G2265" s="6" t="s">
        <v>52</v>
      </c>
      <c r="H2265" s="6" t="s">
        <v>952</v>
      </c>
      <c r="I2265" s="8"/>
      <c r="J2265" s="9">
        <v>6</v>
      </c>
      <c r="K2265" s="9">
        <v>688</v>
      </c>
      <c r="L2265" s="9">
        <v>2018</v>
      </c>
      <c r="M2265" s="8" t="s">
        <v>13821</v>
      </c>
      <c r="N2265" s="8" t="s">
        <v>41</v>
      </c>
      <c r="O2265" s="8" t="s">
        <v>1007</v>
      </c>
      <c r="P2265" s="6" t="s">
        <v>167</v>
      </c>
      <c r="Q2265" s="8" t="s">
        <v>44</v>
      </c>
      <c r="R2265" s="10" t="s">
        <v>2468</v>
      </c>
      <c r="S2265" s="11"/>
      <c r="T2265" s="6"/>
      <c r="U2265" s="24" t="str">
        <f>HYPERLINK("https://media.infra-m.ru/0937/0937959/cover/937959.jpg", "Обложка")</f>
        <v>Обложка</v>
      </c>
      <c r="V2265" s="24" t="str">
        <f>HYPERLINK("https://znanium.ru/catalog/product/2085568", "Ознакомиться")</f>
        <v>Ознакомиться</v>
      </c>
      <c r="W2265" s="8" t="s">
        <v>1076</v>
      </c>
      <c r="X2265" s="6"/>
      <c r="Y2265" s="6"/>
      <c r="Z2265" s="6"/>
      <c r="AA2265" s="6" t="s">
        <v>111</v>
      </c>
      <c r="AB2265" s="8"/>
    </row>
    <row r="2266" spans="1:28" s="4" customFormat="1" ht="51.95" customHeight="1">
      <c r="A2266" s="5">
        <v>0</v>
      </c>
      <c r="B2266" s="6" t="s">
        <v>13822</v>
      </c>
      <c r="C2266" s="13">
        <v>1124</v>
      </c>
      <c r="D2266" s="8" t="s">
        <v>13823</v>
      </c>
      <c r="E2266" s="8" t="s">
        <v>13824</v>
      </c>
      <c r="F2266" s="8" t="s">
        <v>13825</v>
      </c>
      <c r="G2266" s="6" t="s">
        <v>89</v>
      </c>
      <c r="H2266" s="6" t="s">
        <v>53</v>
      </c>
      <c r="I2266" s="8" t="s">
        <v>90</v>
      </c>
      <c r="J2266" s="9">
        <v>1</v>
      </c>
      <c r="K2266" s="9">
        <v>216</v>
      </c>
      <c r="L2266" s="9">
        <v>2025</v>
      </c>
      <c r="M2266" s="8" t="s">
        <v>13826</v>
      </c>
      <c r="N2266" s="8" t="s">
        <v>41</v>
      </c>
      <c r="O2266" s="8" t="s">
        <v>1007</v>
      </c>
      <c r="P2266" s="6" t="s">
        <v>43</v>
      </c>
      <c r="Q2266" s="8" t="s">
        <v>44</v>
      </c>
      <c r="R2266" s="10" t="s">
        <v>1291</v>
      </c>
      <c r="S2266" s="11" t="s">
        <v>13827</v>
      </c>
      <c r="T2266" s="6"/>
      <c r="U2266" s="24" t="str">
        <f>HYPERLINK("https://media.infra-m.ru/2194/2194351/cover/2194351.jpg", "Обложка")</f>
        <v>Обложка</v>
      </c>
      <c r="V2266" s="24" t="str">
        <f>HYPERLINK("https://znanium.ru/catalog/product/1831180", "Ознакомиться")</f>
        <v>Ознакомиться</v>
      </c>
      <c r="W2266" s="8" t="s">
        <v>913</v>
      </c>
      <c r="X2266" s="6"/>
      <c r="Y2266" s="6"/>
      <c r="Z2266" s="6"/>
      <c r="AA2266" s="6" t="s">
        <v>5763</v>
      </c>
      <c r="AB2266" s="8"/>
    </row>
    <row r="2267" spans="1:28" s="4" customFormat="1" ht="51.95" customHeight="1">
      <c r="A2267" s="5">
        <v>0</v>
      </c>
      <c r="B2267" s="6" t="s">
        <v>13828</v>
      </c>
      <c r="C2267" s="7">
        <v>774</v>
      </c>
      <c r="D2267" s="8" t="s">
        <v>13829</v>
      </c>
      <c r="E2267" s="8" t="s">
        <v>13830</v>
      </c>
      <c r="F2267" s="8" t="s">
        <v>13831</v>
      </c>
      <c r="G2267" s="6" t="s">
        <v>38</v>
      </c>
      <c r="H2267" s="6" t="s">
        <v>184</v>
      </c>
      <c r="I2267" s="8" t="s">
        <v>90</v>
      </c>
      <c r="J2267" s="9">
        <v>1</v>
      </c>
      <c r="K2267" s="9">
        <v>171</v>
      </c>
      <c r="L2267" s="9">
        <v>2023</v>
      </c>
      <c r="M2267" s="8" t="s">
        <v>13832</v>
      </c>
      <c r="N2267" s="8" t="s">
        <v>41</v>
      </c>
      <c r="O2267" s="8" t="s">
        <v>278</v>
      </c>
      <c r="P2267" s="6" t="s">
        <v>43</v>
      </c>
      <c r="Q2267" s="8" t="s">
        <v>44</v>
      </c>
      <c r="R2267" s="10" t="s">
        <v>8783</v>
      </c>
      <c r="S2267" s="11" t="s">
        <v>13727</v>
      </c>
      <c r="T2267" s="6"/>
      <c r="U2267" s="24" t="str">
        <f>HYPERLINK("https://media.infra-m.ru/2001/2001637/cover/2001637.jpg", "Обложка")</f>
        <v>Обложка</v>
      </c>
      <c r="V2267" s="24" t="str">
        <f>HYPERLINK("https://znanium.ru/catalog/product/1353317", "Ознакомиться")</f>
        <v>Ознакомиться</v>
      </c>
      <c r="W2267" s="8"/>
      <c r="X2267" s="6"/>
      <c r="Y2267" s="6"/>
      <c r="Z2267" s="6"/>
      <c r="AA2267" s="6" t="s">
        <v>442</v>
      </c>
      <c r="AB2267" s="8"/>
    </row>
    <row r="2268" spans="1:28" s="4" customFormat="1" ht="51.95" customHeight="1">
      <c r="A2268" s="5">
        <v>0</v>
      </c>
      <c r="B2268" s="6" t="s">
        <v>13833</v>
      </c>
      <c r="C2268" s="13">
        <v>1974</v>
      </c>
      <c r="D2268" s="8" t="s">
        <v>13834</v>
      </c>
      <c r="E2268" s="8" t="s">
        <v>13835</v>
      </c>
      <c r="F2268" s="8" t="s">
        <v>13836</v>
      </c>
      <c r="G2268" s="6" t="s">
        <v>89</v>
      </c>
      <c r="H2268" s="6" t="s">
        <v>53</v>
      </c>
      <c r="I2268" s="8" t="s">
        <v>165</v>
      </c>
      <c r="J2268" s="9">
        <v>1</v>
      </c>
      <c r="K2268" s="9">
        <v>379</v>
      </c>
      <c r="L2268" s="9">
        <v>2025</v>
      </c>
      <c r="M2268" s="8" t="s">
        <v>13837</v>
      </c>
      <c r="N2268" s="8" t="s">
        <v>41</v>
      </c>
      <c r="O2268" s="8" t="s">
        <v>1007</v>
      </c>
      <c r="P2268" s="6" t="s">
        <v>167</v>
      </c>
      <c r="Q2268" s="8" t="s">
        <v>44</v>
      </c>
      <c r="R2268" s="10" t="s">
        <v>2461</v>
      </c>
      <c r="S2268" s="11" t="s">
        <v>3775</v>
      </c>
      <c r="T2268" s="6"/>
      <c r="U2268" s="24" t="str">
        <f>HYPERLINK("https://media.infra-m.ru/2194/2194361/cover/2194361.jpg", "Обложка")</f>
        <v>Обложка</v>
      </c>
      <c r="V2268" s="24" t="str">
        <f>HYPERLINK("https://znanium.ru/catalog/product/2050502", "Ознакомиться")</f>
        <v>Ознакомиться</v>
      </c>
      <c r="W2268" s="8" t="s">
        <v>83</v>
      </c>
      <c r="X2268" s="6"/>
      <c r="Y2268" s="6"/>
      <c r="Z2268" s="6"/>
      <c r="AA2268" s="6" t="s">
        <v>95</v>
      </c>
      <c r="AB2268" s="8"/>
    </row>
    <row r="2269" spans="1:28" s="4" customFormat="1" ht="51.95" customHeight="1">
      <c r="A2269" s="5">
        <v>0</v>
      </c>
      <c r="B2269" s="6" t="s">
        <v>13838</v>
      </c>
      <c r="C2269" s="7">
        <v>754.9</v>
      </c>
      <c r="D2269" s="8" t="s">
        <v>13839</v>
      </c>
      <c r="E2269" s="8" t="s">
        <v>13840</v>
      </c>
      <c r="F2269" s="8" t="s">
        <v>13841</v>
      </c>
      <c r="G2269" s="6" t="s">
        <v>52</v>
      </c>
      <c r="H2269" s="6" t="s">
        <v>77</v>
      </c>
      <c r="I2269" s="8"/>
      <c r="J2269" s="9">
        <v>1</v>
      </c>
      <c r="K2269" s="9">
        <v>256</v>
      </c>
      <c r="L2269" s="9">
        <v>2018</v>
      </c>
      <c r="M2269" s="8" t="s">
        <v>13842</v>
      </c>
      <c r="N2269" s="8" t="s">
        <v>41</v>
      </c>
      <c r="O2269" s="8" t="s">
        <v>1007</v>
      </c>
      <c r="P2269" s="6" t="s">
        <v>43</v>
      </c>
      <c r="Q2269" s="8" t="s">
        <v>44</v>
      </c>
      <c r="R2269" s="10" t="s">
        <v>2461</v>
      </c>
      <c r="S2269" s="11"/>
      <c r="T2269" s="6"/>
      <c r="U2269" s="24" t="str">
        <f>HYPERLINK("https://media.infra-m.ru/0972/0972674/cover/972674.jpg", "Обложка")</f>
        <v>Обложка</v>
      </c>
      <c r="V2269" s="24" t="str">
        <f>HYPERLINK("https://znanium.ru/catalog/product/2050502", "Ознакомиться")</f>
        <v>Ознакомиться</v>
      </c>
      <c r="W2269" s="8" t="s">
        <v>83</v>
      </c>
      <c r="X2269" s="6"/>
      <c r="Y2269" s="6"/>
      <c r="Z2269" s="6"/>
      <c r="AA2269" s="6" t="s">
        <v>84</v>
      </c>
      <c r="AB2269" s="8"/>
    </row>
    <row r="2270" spans="1:28" s="4" customFormat="1" ht="51.95" customHeight="1">
      <c r="A2270" s="5">
        <v>0</v>
      </c>
      <c r="B2270" s="6" t="s">
        <v>13843</v>
      </c>
      <c r="C2270" s="13">
        <v>1224.9000000000001</v>
      </c>
      <c r="D2270" s="8" t="s">
        <v>13844</v>
      </c>
      <c r="E2270" s="8" t="s">
        <v>13845</v>
      </c>
      <c r="F2270" s="8" t="s">
        <v>13846</v>
      </c>
      <c r="G2270" s="6" t="s">
        <v>52</v>
      </c>
      <c r="H2270" s="6" t="s">
        <v>438</v>
      </c>
      <c r="I2270" s="8"/>
      <c r="J2270" s="9">
        <v>1</v>
      </c>
      <c r="K2270" s="9">
        <v>272</v>
      </c>
      <c r="L2270" s="9">
        <v>2023</v>
      </c>
      <c r="M2270" s="8" t="s">
        <v>13847</v>
      </c>
      <c r="N2270" s="8" t="s">
        <v>41</v>
      </c>
      <c r="O2270" s="8" t="s">
        <v>278</v>
      </c>
      <c r="P2270" s="6" t="s">
        <v>43</v>
      </c>
      <c r="Q2270" s="8" t="s">
        <v>44</v>
      </c>
      <c r="R2270" s="10" t="s">
        <v>1319</v>
      </c>
      <c r="S2270" s="11" t="s">
        <v>13848</v>
      </c>
      <c r="T2270" s="6"/>
      <c r="U2270" s="24" t="str">
        <f>HYPERLINK("https://media.infra-m.ru/1921/1921400/cover/1921400.jpg", "Обложка")</f>
        <v>Обложка</v>
      </c>
      <c r="V2270" s="24" t="str">
        <f>HYPERLINK("https://znanium.ru/catalog/product/1026456", "Ознакомиться")</f>
        <v>Ознакомиться</v>
      </c>
      <c r="W2270" s="8" t="s">
        <v>2216</v>
      </c>
      <c r="X2270" s="6"/>
      <c r="Y2270" s="6"/>
      <c r="Z2270" s="6"/>
      <c r="AA2270" s="6" t="s">
        <v>47</v>
      </c>
      <c r="AB2270" s="8"/>
    </row>
    <row r="2271" spans="1:28" s="4" customFormat="1" ht="51.95" customHeight="1">
      <c r="A2271" s="5">
        <v>0</v>
      </c>
      <c r="B2271" s="6" t="s">
        <v>13849</v>
      </c>
      <c r="C2271" s="13">
        <v>1050</v>
      </c>
      <c r="D2271" s="8" t="s">
        <v>13850</v>
      </c>
      <c r="E2271" s="8" t="s">
        <v>13851</v>
      </c>
      <c r="F2271" s="8" t="s">
        <v>13852</v>
      </c>
      <c r="G2271" s="6" t="s">
        <v>89</v>
      </c>
      <c r="H2271" s="6" t="s">
        <v>53</v>
      </c>
      <c r="I2271" s="8" t="s">
        <v>90</v>
      </c>
      <c r="J2271" s="9">
        <v>1</v>
      </c>
      <c r="K2271" s="9">
        <v>232</v>
      </c>
      <c r="L2271" s="9">
        <v>2023</v>
      </c>
      <c r="M2271" s="8" t="s">
        <v>13853</v>
      </c>
      <c r="N2271" s="8" t="s">
        <v>41</v>
      </c>
      <c r="O2271" s="8" t="s">
        <v>1007</v>
      </c>
      <c r="P2271" s="6" t="s">
        <v>167</v>
      </c>
      <c r="Q2271" s="8" t="s">
        <v>44</v>
      </c>
      <c r="R2271" s="10" t="s">
        <v>13854</v>
      </c>
      <c r="S2271" s="11" t="s">
        <v>13855</v>
      </c>
      <c r="T2271" s="6"/>
      <c r="U2271" s="24" t="str">
        <f>HYPERLINK("https://media.infra-m.ru/1855/1855828/cover/1855828.jpg", "Обложка")</f>
        <v>Обложка</v>
      </c>
      <c r="V2271" s="24" t="str">
        <f>HYPERLINK("https://znanium.ru/catalog/product/2126397", "Ознакомиться")</f>
        <v>Ознакомиться</v>
      </c>
      <c r="W2271" s="8" t="s">
        <v>1345</v>
      </c>
      <c r="X2271" s="6"/>
      <c r="Y2271" s="6"/>
      <c r="Z2271" s="6"/>
      <c r="AA2271" s="6" t="s">
        <v>1374</v>
      </c>
      <c r="AB2271" s="8"/>
    </row>
    <row r="2272" spans="1:28" s="4" customFormat="1" ht="51.95" customHeight="1">
      <c r="A2272" s="5">
        <v>0</v>
      </c>
      <c r="B2272" s="6" t="s">
        <v>13856</v>
      </c>
      <c r="C2272" s="7">
        <v>440</v>
      </c>
      <c r="D2272" s="8" t="s">
        <v>13857</v>
      </c>
      <c r="E2272" s="8" t="s">
        <v>13858</v>
      </c>
      <c r="F2272" s="8" t="s">
        <v>13859</v>
      </c>
      <c r="G2272" s="6" t="s">
        <v>38</v>
      </c>
      <c r="H2272" s="6" t="s">
        <v>53</v>
      </c>
      <c r="I2272" s="8" t="s">
        <v>90</v>
      </c>
      <c r="J2272" s="9">
        <v>1</v>
      </c>
      <c r="K2272" s="9">
        <v>120</v>
      </c>
      <c r="L2272" s="9">
        <v>2020</v>
      </c>
      <c r="M2272" s="8" t="s">
        <v>13860</v>
      </c>
      <c r="N2272" s="8" t="s">
        <v>41</v>
      </c>
      <c r="O2272" s="8" t="s">
        <v>1204</v>
      </c>
      <c r="P2272" s="6" t="s">
        <v>43</v>
      </c>
      <c r="Q2272" s="8" t="s">
        <v>44</v>
      </c>
      <c r="R2272" s="10" t="s">
        <v>13861</v>
      </c>
      <c r="S2272" s="11" t="s">
        <v>13862</v>
      </c>
      <c r="T2272" s="6" t="s">
        <v>299</v>
      </c>
      <c r="U2272" s="24" t="str">
        <f>HYPERLINK("https://media.infra-m.ru/1056/1056222/cover/1056222.jpg", "Обложка")</f>
        <v>Обложка</v>
      </c>
      <c r="V2272" s="24" t="str">
        <f>HYPERLINK("https://znanium.ru/catalog/product/1056222", "Ознакомиться")</f>
        <v>Ознакомиться</v>
      </c>
      <c r="W2272" s="8" t="s">
        <v>947</v>
      </c>
      <c r="X2272" s="6"/>
      <c r="Y2272" s="6"/>
      <c r="Z2272" s="6"/>
      <c r="AA2272" s="6" t="s">
        <v>151</v>
      </c>
      <c r="AB2272" s="8"/>
    </row>
    <row r="2273" spans="1:28" s="4" customFormat="1" ht="42" customHeight="1">
      <c r="A2273" s="5">
        <v>0</v>
      </c>
      <c r="B2273" s="6" t="s">
        <v>13863</v>
      </c>
      <c r="C2273" s="13">
        <v>1000</v>
      </c>
      <c r="D2273" s="8" t="s">
        <v>13864</v>
      </c>
      <c r="E2273" s="8" t="s">
        <v>13865</v>
      </c>
      <c r="F2273" s="8" t="s">
        <v>13866</v>
      </c>
      <c r="G2273" s="6" t="s">
        <v>38</v>
      </c>
      <c r="H2273" s="6" t="s">
        <v>952</v>
      </c>
      <c r="I2273" s="8"/>
      <c r="J2273" s="9">
        <v>1</v>
      </c>
      <c r="K2273" s="9">
        <v>192</v>
      </c>
      <c r="L2273" s="9">
        <v>2025</v>
      </c>
      <c r="M2273" s="8" t="s">
        <v>13867</v>
      </c>
      <c r="N2273" s="8" t="s">
        <v>41</v>
      </c>
      <c r="O2273" s="8" t="s">
        <v>1007</v>
      </c>
      <c r="P2273" s="6" t="s">
        <v>43</v>
      </c>
      <c r="Q2273" s="8" t="s">
        <v>279</v>
      </c>
      <c r="R2273" s="10" t="s">
        <v>1008</v>
      </c>
      <c r="S2273" s="11"/>
      <c r="T2273" s="6"/>
      <c r="U2273" s="24" t="str">
        <f>HYPERLINK("https://media.infra-m.ru/2202/2202021/cover/2202021.jpg", "Обложка")</f>
        <v>Обложка</v>
      </c>
      <c r="V2273" s="24" t="str">
        <f>HYPERLINK("https://znanium.ru/catalog/product/2202021", "Ознакомиться")</f>
        <v>Ознакомиться</v>
      </c>
      <c r="W2273" s="8" t="s">
        <v>3282</v>
      </c>
      <c r="X2273" s="6"/>
      <c r="Y2273" s="6"/>
      <c r="Z2273" s="6"/>
      <c r="AA2273" s="6" t="s">
        <v>418</v>
      </c>
      <c r="AB2273" s="8"/>
    </row>
    <row r="2274" spans="1:28" s="4" customFormat="1" ht="51.95" customHeight="1">
      <c r="A2274" s="5">
        <v>0</v>
      </c>
      <c r="B2274" s="6" t="s">
        <v>13868</v>
      </c>
      <c r="C2274" s="13">
        <v>1390</v>
      </c>
      <c r="D2274" s="8" t="s">
        <v>13869</v>
      </c>
      <c r="E2274" s="8" t="s">
        <v>13870</v>
      </c>
      <c r="F2274" s="8" t="s">
        <v>13871</v>
      </c>
      <c r="G2274" s="6" t="s">
        <v>89</v>
      </c>
      <c r="H2274" s="6" t="s">
        <v>53</v>
      </c>
      <c r="I2274" s="8" t="s">
        <v>116</v>
      </c>
      <c r="J2274" s="9">
        <v>1</v>
      </c>
      <c r="K2274" s="9">
        <v>278</v>
      </c>
      <c r="L2274" s="9">
        <v>2024</v>
      </c>
      <c r="M2274" s="8" t="s">
        <v>13872</v>
      </c>
      <c r="N2274" s="8" t="s">
        <v>41</v>
      </c>
      <c r="O2274" s="8" t="s">
        <v>1007</v>
      </c>
      <c r="P2274" s="6" t="s">
        <v>167</v>
      </c>
      <c r="Q2274" s="8" t="s">
        <v>58</v>
      </c>
      <c r="R2274" s="10" t="s">
        <v>13854</v>
      </c>
      <c r="S2274" s="11" t="s">
        <v>13873</v>
      </c>
      <c r="T2274" s="6"/>
      <c r="U2274" s="24" t="str">
        <f>HYPERLINK("https://media.infra-m.ru/2126/2126397/cover/2126397.jpg", "Обложка")</f>
        <v>Обложка</v>
      </c>
      <c r="V2274" s="24" t="str">
        <f>HYPERLINK("https://znanium.ru/catalog/product/2126397", "Ознакомиться")</f>
        <v>Ознакомиться</v>
      </c>
      <c r="W2274" s="8" t="s">
        <v>1345</v>
      </c>
      <c r="X2274" s="6" t="s">
        <v>1049</v>
      </c>
      <c r="Y2274" s="6"/>
      <c r="Z2274" s="6"/>
      <c r="AA2274" s="6" t="s">
        <v>418</v>
      </c>
      <c r="AB2274" s="8"/>
    </row>
    <row r="2275" spans="1:28" s="4" customFormat="1" ht="51.95" customHeight="1">
      <c r="A2275" s="5">
        <v>0</v>
      </c>
      <c r="B2275" s="6" t="s">
        <v>13874</v>
      </c>
      <c r="C2275" s="13">
        <v>2094.9</v>
      </c>
      <c r="D2275" s="8" t="s">
        <v>13875</v>
      </c>
      <c r="E2275" s="8" t="s">
        <v>13876</v>
      </c>
      <c r="F2275" s="8" t="s">
        <v>13877</v>
      </c>
      <c r="G2275" s="6" t="s">
        <v>52</v>
      </c>
      <c r="H2275" s="6" t="s">
        <v>952</v>
      </c>
      <c r="I2275" s="8"/>
      <c r="J2275" s="9">
        <v>1</v>
      </c>
      <c r="K2275" s="9">
        <v>605</v>
      </c>
      <c r="L2275" s="9">
        <v>2022</v>
      </c>
      <c r="M2275" s="8" t="s">
        <v>13878</v>
      </c>
      <c r="N2275" s="8" t="s">
        <v>41</v>
      </c>
      <c r="O2275" s="8" t="s">
        <v>118</v>
      </c>
      <c r="P2275" s="6" t="s">
        <v>43</v>
      </c>
      <c r="Q2275" s="8" t="s">
        <v>58</v>
      </c>
      <c r="R2275" s="10" t="s">
        <v>13879</v>
      </c>
      <c r="S2275" s="11" t="s">
        <v>13880</v>
      </c>
      <c r="T2275" s="6"/>
      <c r="U2275" s="24" t="str">
        <f>HYPERLINK("https://media.infra-m.ru/1838/1838852/cover/1838852.jpg", "Обложка")</f>
        <v>Обложка</v>
      </c>
      <c r="V2275" s="24" t="str">
        <f>HYPERLINK("https://znanium.ru/catalog/product/1838852", "Ознакомиться")</f>
        <v>Ознакомиться</v>
      </c>
      <c r="W2275" s="8" t="s">
        <v>1076</v>
      </c>
      <c r="X2275" s="6"/>
      <c r="Y2275" s="6"/>
      <c r="Z2275" s="6"/>
      <c r="AA2275" s="6" t="s">
        <v>622</v>
      </c>
      <c r="AB2275" s="8"/>
    </row>
    <row r="2276" spans="1:28" s="4" customFormat="1" ht="42" customHeight="1">
      <c r="A2276" s="5">
        <v>0</v>
      </c>
      <c r="B2276" s="6" t="s">
        <v>13881</v>
      </c>
      <c r="C2276" s="7">
        <v>554.9</v>
      </c>
      <c r="D2276" s="8" t="s">
        <v>13882</v>
      </c>
      <c r="E2276" s="8" t="s">
        <v>13883</v>
      </c>
      <c r="F2276" s="8" t="s">
        <v>13884</v>
      </c>
      <c r="G2276" s="6" t="s">
        <v>38</v>
      </c>
      <c r="H2276" s="6" t="s">
        <v>952</v>
      </c>
      <c r="I2276" s="8"/>
      <c r="J2276" s="9">
        <v>1</v>
      </c>
      <c r="K2276" s="9">
        <v>164</v>
      </c>
      <c r="L2276" s="9">
        <v>2020</v>
      </c>
      <c r="M2276" s="8" t="s">
        <v>13885</v>
      </c>
      <c r="N2276" s="8" t="s">
        <v>41</v>
      </c>
      <c r="O2276" s="8" t="s">
        <v>278</v>
      </c>
      <c r="P2276" s="6" t="s">
        <v>43</v>
      </c>
      <c r="Q2276" s="8" t="s">
        <v>44</v>
      </c>
      <c r="R2276" s="10" t="s">
        <v>13886</v>
      </c>
      <c r="S2276" s="11"/>
      <c r="T2276" s="6"/>
      <c r="U2276" s="24" t="str">
        <f>HYPERLINK("https://media.infra-m.ru/1045/1045792/cover/1045792.jpg", "Обложка")</f>
        <v>Обложка</v>
      </c>
      <c r="V2276" s="24" t="str">
        <f>HYPERLINK("https://znanium.ru/catalog/product/934659", "Ознакомиться")</f>
        <v>Ознакомиться</v>
      </c>
      <c r="W2276" s="8" t="s">
        <v>4503</v>
      </c>
      <c r="X2276" s="6"/>
      <c r="Y2276" s="6"/>
      <c r="Z2276" s="6"/>
      <c r="AA2276" s="6" t="s">
        <v>442</v>
      </c>
      <c r="AB2276" s="8"/>
    </row>
    <row r="2277" spans="1:28" s="4" customFormat="1" ht="42" customHeight="1">
      <c r="A2277" s="5">
        <v>0</v>
      </c>
      <c r="B2277" s="6" t="s">
        <v>13887</v>
      </c>
      <c r="C2277" s="13">
        <v>1090</v>
      </c>
      <c r="D2277" s="8" t="s">
        <v>13888</v>
      </c>
      <c r="E2277" s="8" t="s">
        <v>13889</v>
      </c>
      <c r="F2277" s="8" t="s">
        <v>13890</v>
      </c>
      <c r="G2277" s="6" t="s">
        <v>52</v>
      </c>
      <c r="H2277" s="6" t="s">
        <v>53</v>
      </c>
      <c r="I2277" s="8" t="s">
        <v>116</v>
      </c>
      <c r="J2277" s="9">
        <v>1</v>
      </c>
      <c r="K2277" s="9">
        <v>207</v>
      </c>
      <c r="L2277" s="9">
        <v>2025</v>
      </c>
      <c r="M2277" s="8" t="s">
        <v>13891</v>
      </c>
      <c r="N2277" s="8" t="s">
        <v>41</v>
      </c>
      <c r="O2277" s="8" t="s">
        <v>118</v>
      </c>
      <c r="P2277" s="6" t="s">
        <v>43</v>
      </c>
      <c r="Q2277" s="8" t="s">
        <v>44</v>
      </c>
      <c r="R2277" s="10" t="s">
        <v>13892</v>
      </c>
      <c r="S2277" s="11"/>
      <c r="T2277" s="6"/>
      <c r="U2277" s="24" t="str">
        <f>HYPERLINK("https://media.infra-m.ru/2132/2132108/cover/2132108.jpg", "Обложка")</f>
        <v>Обложка</v>
      </c>
      <c r="V2277" s="24" t="str">
        <f>HYPERLINK("https://znanium.ru/catalog/product/2132108", "Ознакомиться")</f>
        <v>Ознакомиться</v>
      </c>
      <c r="W2277" s="8" t="s">
        <v>5071</v>
      </c>
      <c r="X2277" s="6" t="s">
        <v>1049</v>
      </c>
      <c r="Y2277" s="6"/>
      <c r="Z2277" s="6"/>
      <c r="AA2277" s="6" t="s">
        <v>549</v>
      </c>
      <c r="AB2277" s="8"/>
    </row>
    <row r="2278" spans="1:28" s="4" customFormat="1" ht="51.95" customHeight="1">
      <c r="A2278" s="5">
        <v>0</v>
      </c>
      <c r="B2278" s="6" t="s">
        <v>13893</v>
      </c>
      <c r="C2278" s="7">
        <v>864.9</v>
      </c>
      <c r="D2278" s="8" t="s">
        <v>13894</v>
      </c>
      <c r="E2278" s="8" t="s">
        <v>13895</v>
      </c>
      <c r="F2278" s="8" t="s">
        <v>5068</v>
      </c>
      <c r="G2278" s="6" t="s">
        <v>89</v>
      </c>
      <c r="H2278" s="6" t="s">
        <v>53</v>
      </c>
      <c r="I2278" s="8" t="s">
        <v>90</v>
      </c>
      <c r="J2278" s="9">
        <v>1</v>
      </c>
      <c r="K2278" s="9">
        <v>193</v>
      </c>
      <c r="L2278" s="9">
        <v>2023</v>
      </c>
      <c r="M2278" s="8" t="s">
        <v>13896</v>
      </c>
      <c r="N2278" s="8" t="s">
        <v>41</v>
      </c>
      <c r="O2278" s="8" t="s">
        <v>118</v>
      </c>
      <c r="P2278" s="6" t="s">
        <v>43</v>
      </c>
      <c r="Q2278" s="8" t="s">
        <v>44</v>
      </c>
      <c r="R2278" s="10" t="s">
        <v>13892</v>
      </c>
      <c r="S2278" s="11" t="s">
        <v>13897</v>
      </c>
      <c r="T2278" s="6"/>
      <c r="U2278" s="24" t="str">
        <f>HYPERLINK("https://media.infra-m.ru/1974/1974381/cover/1974381.jpg", "Обложка")</f>
        <v>Обложка</v>
      </c>
      <c r="V2278" s="24" t="str">
        <f>HYPERLINK("https://znanium.ru/catalog/product/2132108", "Ознакомиться")</f>
        <v>Ознакомиться</v>
      </c>
      <c r="W2278" s="8" t="s">
        <v>5071</v>
      </c>
      <c r="X2278" s="6"/>
      <c r="Y2278" s="6"/>
      <c r="Z2278" s="6"/>
      <c r="AA2278" s="6" t="s">
        <v>151</v>
      </c>
      <c r="AB2278" s="8"/>
    </row>
    <row r="2279" spans="1:28" s="4" customFormat="1" ht="51.95" customHeight="1">
      <c r="A2279" s="5">
        <v>0</v>
      </c>
      <c r="B2279" s="6" t="s">
        <v>13898</v>
      </c>
      <c r="C2279" s="13">
        <v>1997</v>
      </c>
      <c r="D2279" s="8" t="s">
        <v>13899</v>
      </c>
      <c r="E2279" s="8" t="s">
        <v>13900</v>
      </c>
      <c r="F2279" s="8" t="s">
        <v>13901</v>
      </c>
      <c r="G2279" s="6" t="s">
        <v>52</v>
      </c>
      <c r="H2279" s="6" t="s">
        <v>66</v>
      </c>
      <c r="I2279" s="8"/>
      <c r="J2279" s="9">
        <v>1</v>
      </c>
      <c r="K2279" s="9">
        <v>544</v>
      </c>
      <c r="L2279" s="9">
        <v>2025</v>
      </c>
      <c r="M2279" s="8" t="s">
        <v>13902</v>
      </c>
      <c r="N2279" s="8" t="s">
        <v>41</v>
      </c>
      <c r="O2279" s="8" t="s">
        <v>118</v>
      </c>
      <c r="P2279" s="6" t="s">
        <v>167</v>
      </c>
      <c r="Q2279" s="8" t="s">
        <v>44</v>
      </c>
      <c r="R2279" s="10" t="s">
        <v>13903</v>
      </c>
      <c r="S2279" s="11" t="s">
        <v>13904</v>
      </c>
      <c r="T2279" s="6"/>
      <c r="U2279" s="24" t="str">
        <f>HYPERLINK("https://media.infra-m.ru/2184/2184883/cover/2184883.jpg", "Обложка")</f>
        <v>Обложка</v>
      </c>
      <c r="V2279" s="24" t="str">
        <f>HYPERLINK("https://znanium.ru/catalog/product/915561", "Ознакомиться")</f>
        <v>Ознакомиться</v>
      </c>
      <c r="W2279" s="8" t="s">
        <v>71</v>
      </c>
      <c r="X2279" s="6"/>
      <c r="Y2279" s="6"/>
      <c r="Z2279" s="6"/>
      <c r="AA2279" s="6" t="s">
        <v>72</v>
      </c>
      <c r="AB2279" s="8"/>
    </row>
    <row r="2280" spans="1:28" s="4" customFormat="1" ht="51.95" customHeight="1">
      <c r="A2280" s="5">
        <v>0</v>
      </c>
      <c r="B2280" s="6" t="s">
        <v>13905</v>
      </c>
      <c r="C2280" s="13">
        <v>2094</v>
      </c>
      <c r="D2280" s="8" t="s">
        <v>13906</v>
      </c>
      <c r="E2280" s="8" t="s">
        <v>13907</v>
      </c>
      <c r="F2280" s="8" t="s">
        <v>13908</v>
      </c>
      <c r="G2280" s="6" t="s">
        <v>52</v>
      </c>
      <c r="H2280" s="6" t="s">
        <v>66</v>
      </c>
      <c r="I2280" s="8" t="s">
        <v>116</v>
      </c>
      <c r="J2280" s="9">
        <v>1</v>
      </c>
      <c r="K2280" s="9">
        <v>461</v>
      </c>
      <c r="L2280" s="9">
        <v>2024</v>
      </c>
      <c r="M2280" s="8" t="s">
        <v>13909</v>
      </c>
      <c r="N2280" s="8" t="s">
        <v>41</v>
      </c>
      <c r="O2280" s="8" t="s">
        <v>118</v>
      </c>
      <c r="P2280" s="6" t="s">
        <v>43</v>
      </c>
      <c r="Q2280" s="8" t="s">
        <v>44</v>
      </c>
      <c r="R2280" s="10" t="s">
        <v>13910</v>
      </c>
      <c r="S2280" s="11" t="s">
        <v>13911</v>
      </c>
      <c r="T2280" s="6"/>
      <c r="U2280" s="24" t="str">
        <f>HYPERLINK("https://media.infra-m.ru/2061/2061199/cover/2061199.jpg", "Обложка")</f>
        <v>Обложка</v>
      </c>
      <c r="V2280" s="24" t="str">
        <f>HYPERLINK("https://znanium.ru/catalog/product/1838403", "Ознакомиться")</f>
        <v>Ознакомиться</v>
      </c>
      <c r="W2280" s="8" t="s">
        <v>2080</v>
      </c>
      <c r="X2280" s="6"/>
      <c r="Y2280" s="6"/>
      <c r="Z2280" s="6"/>
      <c r="AA2280" s="6" t="s">
        <v>4822</v>
      </c>
      <c r="AB2280" s="8"/>
    </row>
    <row r="2281" spans="1:28" s="4" customFormat="1" ht="51.95" customHeight="1">
      <c r="A2281" s="5">
        <v>0</v>
      </c>
      <c r="B2281" s="6" t="s">
        <v>13912</v>
      </c>
      <c r="C2281" s="13">
        <v>1104</v>
      </c>
      <c r="D2281" s="8" t="s">
        <v>13913</v>
      </c>
      <c r="E2281" s="8" t="s">
        <v>13914</v>
      </c>
      <c r="F2281" s="8" t="s">
        <v>13915</v>
      </c>
      <c r="G2281" s="6" t="s">
        <v>89</v>
      </c>
      <c r="H2281" s="6" t="s">
        <v>53</v>
      </c>
      <c r="I2281" s="8" t="s">
        <v>90</v>
      </c>
      <c r="J2281" s="9">
        <v>1</v>
      </c>
      <c r="K2281" s="9">
        <v>238</v>
      </c>
      <c r="L2281" s="9">
        <v>2024</v>
      </c>
      <c r="M2281" s="8" t="s">
        <v>13916</v>
      </c>
      <c r="N2281" s="8" t="s">
        <v>41</v>
      </c>
      <c r="O2281" s="8" t="s">
        <v>1204</v>
      </c>
      <c r="P2281" s="6" t="s">
        <v>43</v>
      </c>
      <c r="Q2281" s="8" t="s">
        <v>44</v>
      </c>
      <c r="R2281" s="10" t="s">
        <v>13917</v>
      </c>
      <c r="S2281" s="11" t="s">
        <v>13918</v>
      </c>
      <c r="T2281" s="6"/>
      <c r="U2281" s="24" t="str">
        <f>HYPERLINK("https://media.infra-m.ru/2056/2056634/cover/2056634.jpg", "Обложка")</f>
        <v>Обложка</v>
      </c>
      <c r="V2281" s="24" t="str">
        <f>HYPERLINK("https://znanium.ru/catalog/product/2056634", "Ознакомиться")</f>
        <v>Ознакомиться</v>
      </c>
      <c r="W2281" s="8" t="s">
        <v>189</v>
      </c>
      <c r="X2281" s="6"/>
      <c r="Y2281" s="6"/>
      <c r="Z2281" s="6"/>
      <c r="AA2281" s="6" t="s">
        <v>1135</v>
      </c>
      <c r="AB2281" s="8"/>
    </row>
    <row r="2282" spans="1:28" s="4" customFormat="1" ht="51.95" customHeight="1">
      <c r="A2282" s="5">
        <v>0</v>
      </c>
      <c r="B2282" s="6" t="s">
        <v>13919</v>
      </c>
      <c r="C2282" s="13">
        <v>1764</v>
      </c>
      <c r="D2282" s="8" t="s">
        <v>13920</v>
      </c>
      <c r="E2282" s="8" t="s">
        <v>13921</v>
      </c>
      <c r="F2282" s="8" t="s">
        <v>13922</v>
      </c>
      <c r="G2282" s="6" t="s">
        <v>89</v>
      </c>
      <c r="H2282" s="6" t="s">
        <v>53</v>
      </c>
      <c r="I2282" s="8" t="s">
        <v>276</v>
      </c>
      <c r="J2282" s="9">
        <v>1</v>
      </c>
      <c r="K2282" s="9">
        <v>352</v>
      </c>
      <c r="L2282" s="9">
        <v>2024</v>
      </c>
      <c r="M2282" s="8" t="s">
        <v>13923</v>
      </c>
      <c r="N2282" s="8" t="s">
        <v>41</v>
      </c>
      <c r="O2282" s="8" t="s">
        <v>118</v>
      </c>
      <c r="P2282" s="6" t="s">
        <v>167</v>
      </c>
      <c r="Q2282" s="8" t="s">
        <v>279</v>
      </c>
      <c r="R2282" s="10" t="s">
        <v>13924</v>
      </c>
      <c r="S2282" s="11" t="s">
        <v>13925</v>
      </c>
      <c r="T2282" s="6"/>
      <c r="U2282" s="24" t="str">
        <f>HYPERLINK("https://media.infra-m.ru/2156/2156061/cover/2156061.jpg", "Обложка")</f>
        <v>Обложка</v>
      </c>
      <c r="V2282" s="24" t="str">
        <f>HYPERLINK("https://znanium.ru/catalog/product/1931499", "Ознакомиться")</f>
        <v>Ознакомиться</v>
      </c>
      <c r="W2282" s="8" t="s">
        <v>6875</v>
      </c>
      <c r="X2282" s="6"/>
      <c r="Y2282" s="6"/>
      <c r="Z2282" s="6"/>
      <c r="AA2282" s="6" t="s">
        <v>326</v>
      </c>
      <c r="AB2282" s="8"/>
    </row>
    <row r="2283" spans="1:28" s="4" customFormat="1" ht="42" customHeight="1">
      <c r="A2283" s="5">
        <v>0</v>
      </c>
      <c r="B2283" s="6" t="s">
        <v>13926</v>
      </c>
      <c r="C2283" s="13">
        <v>2660</v>
      </c>
      <c r="D2283" s="8" t="s">
        <v>13927</v>
      </c>
      <c r="E2283" s="8" t="s">
        <v>13928</v>
      </c>
      <c r="F2283" s="8" t="s">
        <v>13929</v>
      </c>
      <c r="G2283" s="6" t="s">
        <v>52</v>
      </c>
      <c r="H2283" s="6" t="s">
        <v>53</v>
      </c>
      <c r="I2283" s="8" t="s">
        <v>276</v>
      </c>
      <c r="J2283" s="9">
        <v>1</v>
      </c>
      <c r="K2283" s="9">
        <v>531</v>
      </c>
      <c r="L2283" s="9">
        <v>2025</v>
      </c>
      <c r="M2283" s="8" t="s">
        <v>13930</v>
      </c>
      <c r="N2283" s="8" t="s">
        <v>997</v>
      </c>
      <c r="O2283" s="8" t="s">
        <v>998</v>
      </c>
      <c r="P2283" s="6" t="s">
        <v>167</v>
      </c>
      <c r="Q2283" s="8" t="s">
        <v>279</v>
      </c>
      <c r="R2283" s="10" t="s">
        <v>13931</v>
      </c>
      <c r="S2283" s="11"/>
      <c r="T2283" s="6"/>
      <c r="U2283" s="24" t="str">
        <f>HYPERLINK("https://media.infra-m.ru/1859/1859858/cover/1859858.jpg", "Обложка")</f>
        <v>Обложка</v>
      </c>
      <c r="V2283" s="24" t="str">
        <f>HYPERLINK("https://znanium.ru/catalog/product/1859858", "Ознакомиться")</f>
        <v>Ознакомиться</v>
      </c>
      <c r="W2283" s="8" t="s">
        <v>94</v>
      </c>
      <c r="X2283" s="6" t="s">
        <v>389</v>
      </c>
      <c r="Y2283" s="6"/>
      <c r="Z2283" s="6"/>
      <c r="AA2283" s="6" t="s">
        <v>61</v>
      </c>
      <c r="AB2283" s="8"/>
    </row>
    <row r="2284" spans="1:28" s="4" customFormat="1" ht="51.95" customHeight="1">
      <c r="A2284" s="5">
        <v>0</v>
      </c>
      <c r="B2284" s="6" t="s">
        <v>13932</v>
      </c>
      <c r="C2284" s="7">
        <v>874</v>
      </c>
      <c r="D2284" s="8" t="s">
        <v>13933</v>
      </c>
      <c r="E2284" s="8" t="s">
        <v>13934</v>
      </c>
      <c r="F2284" s="8" t="s">
        <v>13935</v>
      </c>
      <c r="G2284" s="6" t="s">
        <v>52</v>
      </c>
      <c r="H2284" s="6" t="s">
        <v>184</v>
      </c>
      <c r="I2284" s="8" t="s">
        <v>90</v>
      </c>
      <c r="J2284" s="9">
        <v>1</v>
      </c>
      <c r="K2284" s="9">
        <v>175</v>
      </c>
      <c r="L2284" s="9">
        <v>2024</v>
      </c>
      <c r="M2284" s="8" t="s">
        <v>13936</v>
      </c>
      <c r="N2284" s="8" t="s">
        <v>41</v>
      </c>
      <c r="O2284" s="8" t="s">
        <v>118</v>
      </c>
      <c r="P2284" s="6" t="s">
        <v>43</v>
      </c>
      <c r="Q2284" s="8" t="s">
        <v>44</v>
      </c>
      <c r="R2284" s="10" t="s">
        <v>13937</v>
      </c>
      <c r="S2284" s="11" t="s">
        <v>13938</v>
      </c>
      <c r="T2284" s="6"/>
      <c r="U2284" s="24" t="str">
        <f>HYPERLINK("https://media.infra-m.ru/2157/2157040/cover/2157040.jpg", "Обложка")</f>
        <v>Обложка</v>
      </c>
      <c r="V2284" s="24" t="str">
        <f>HYPERLINK("https://znanium.ru/catalog/product/961744", "Ознакомиться")</f>
        <v>Ознакомиться</v>
      </c>
      <c r="W2284" s="8" t="s">
        <v>368</v>
      </c>
      <c r="X2284" s="6"/>
      <c r="Y2284" s="6"/>
      <c r="Z2284" s="6"/>
      <c r="AA2284" s="6" t="s">
        <v>622</v>
      </c>
      <c r="AB2284" s="8"/>
    </row>
    <row r="2285" spans="1:28" s="4" customFormat="1" ht="51.95" customHeight="1">
      <c r="A2285" s="5">
        <v>0</v>
      </c>
      <c r="B2285" s="6" t="s">
        <v>13939</v>
      </c>
      <c r="C2285" s="13">
        <v>1424</v>
      </c>
      <c r="D2285" s="8" t="s">
        <v>13940</v>
      </c>
      <c r="E2285" s="8" t="s">
        <v>13941</v>
      </c>
      <c r="F2285" s="8" t="s">
        <v>7931</v>
      </c>
      <c r="G2285" s="6" t="s">
        <v>89</v>
      </c>
      <c r="H2285" s="6" t="s">
        <v>53</v>
      </c>
      <c r="I2285" s="8" t="s">
        <v>90</v>
      </c>
      <c r="J2285" s="9">
        <v>1</v>
      </c>
      <c r="K2285" s="9">
        <v>284</v>
      </c>
      <c r="L2285" s="9">
        <v>2025</v>
      </c>
      <c r="M2285" s="8" t="s">
        <v>13942</v>
      </c>
      <c r="N2285" s="8" t="s">
        <v>41</v>
      </c>
      <c r="O2285" s="8" t="s">
        <v>118</v>
      </c>
      <c r="P2285" s="6" t="s">
        <v>43</v>
      </c>
      <c r="Q2285" s="8" t="s">
        <v>44</v>
      </c>
      <c r="R2285" s="10" t="s">
        <v>13943</v>
      </c>
      <c r="S2285" s="11" t="s">
        <v>13944</v>
      </c>
      <c r="T2285" s="6"/>
      <c r="U2285" s="24" t="str">
        <f>HYPERLINK("https://media.infra-m.ru/2157/2157882/cover/2157882.jpg", "Обложка")</f>
        <v>Обложка</v>
      </c>
      <c r="V2285" s="24" t="str">
        <f>HYPERLINK("https://znanium.ru/catalog/product/1872351", "Ознакомиться")</f>
        <v>Ознакомиться</v>
      </c>
      <c r="W2285" s="8" t="s">
        <v>2915</v>
      </c>
      <c r="X2285" s="6"/>
      <c r="Y2285" s="6"/>
      <c r="Z2285" s="6"/>
      <c r="AA2285" s="6" t="s">
        <v>1365</v>
      </c>
      <c r="AB2285" s="8"/>
    </row>
    <row r="2286" spans="1:28" s="4" customFormat="1" ht="51.95" customHeight="1">
      <c r="A2286" s="5">
        <v>0</v>
      </c>
      <c r="B2286" s="6" t="s">
        <v>13945</v>
      </c>
      <c r="C2286" s="13">
        <v>1430</v>
      </c>
      <c r="D2286" s="8" t="s">
        <v>13946</v>
      </c>
      <c r="E2286" s="8" t="s">
        <v>13941</v>
      </c>
      <c r="F2286" s="8" t="s">
        <v>7931</v>
      </c>
      <c r="G2286" s="6" t="s">
        <v>89</v>
      </c>
      <c r="H2286" s="6" t="s">
        <v>53</v>
      </c>
      <c r="I2286" s="8" t="s">
        <v>100</v>
      </c>
      <c r="J2286" s="9">
        <v>1</v>
      </c>
      <c r="K2286" s="9">
        <v>284</v>
      </c>
      <c r="L2286" s="9">
        <v>2025</v>
      </c>
      <c r="M2286" s="8" t="s">
        <v>13947</v>
      </c>
      <c r="N2286" s="8" t="s">
        <v>41</v>
      </c>
      <c r="O2286" s="8" t="s">
        <v>118</v>
      </c>
      <c r="P2286" s="6" t="s">
        <v>43</v>
      </c>
      <c r="Q2286" s="8" t="s">
        <v>102</v>
      </c>
      <c r="R2286" s="10" t="s">
        <v>13948</v>
      </c>
      <c r="S2286" s="11" t="s">
        <v>9528</v>
      </c>
      <c r="T2286" s="6"/>
      <c r="U2286" s="24" t="str">
        <f>HYPERLINK("https://media.infra-m.ru/2185/2185894/cover/2185894.jpg", "Обложка")</f>
        <v>Обложка</v>
      </c>
      <c r="V2286" s="24" t="str">
        <f>HYPERLINK("https://znanium.ru/catalog/product/2185894", "Ознакомиться")</f>
        <v>Ознакомиться</v>
      </c>
      <c r="W2286" s="8" t="s">
        <v>2915</v>
      </c>
      <c r="X2286" s="6"/>
      <c r="Y2286" s="6"/>
      <c r="Z2286" s="6" t="s">
        <v>104</v>
      </c>
      <c r="AA2286" s="6" t="s">
        <v>707</v>
      </c>
      <c r="AB2286" s="8"/>
    </row>
    <row r="2287" spans="1:28" s="4" customFormat="1" ht="51.95" customHeight="1">
      <c r="A2287" s="5">
        <v>0</v>
      </c>
      <c r="B2287" s="6" t="s">
        <v>13949</v>
      </c>
      <c r="C2287" s="13">
        <v>1904</v>
      </c>
      <c r="D2287" s="8" t="s">
        <v>13950</v>
      </c>
      <c r="E2287" s="8" t="s">
        <v>13941</v>
      </c>
      <c r="F2287" s="8" t="s">
        <v>13951</v>
      </c>
      <c r="G2287" s="6" t="s">
        <v>38</v>
      </c>
      <c r="H2287" s="6" t="s">
        <v>53</v>
      </c>
      <c r="I2287" s="8" t="s">
        <v>100</v>
      </c>
      <c r="J2287" s="9">
        <v>1</v>
      </c>
      <c r="K2287" s="9">
        <v>366</v>
      </c>
      <c r="L2287" s="9">
        <v>2025</v>
      </c>
      <c r="M2287" s="8" t="s">
        <v>13952</v>
      </c>
      <c r="N2287" s="8" t="s">
        <v>41</v>
      </c>
      <c r="O2287" s="8" t="s">
        <v>118</v>
      </c>
      <c r="P2287" s="6" t="s">
        <v>43</v>
      </c>
      <c r="Q2287" s="8" t="s">
        <v>102</v>
      </c>
      <c r="R2287" s="10" t="s">
        <v>13953</v>
      </c>
      <c r="S2287" s="11" t="s">
        <v>3081</v>
      </c>
      <c r="T2287" s="6"/>
      <c r="U2287" s="24" t="str">
        <f>HYPERLINK("https://media.infra-m.ru/2202/2202201/cover/2202201.jpg", "Обложка")</f>
        <v>Обложка</v>
      </c>
      <c r="V2287" s="24" t="str">
        <f>HYPERLINK("https://znanium.ru/catalog/product/2118078", "Ознакомиться")</f>
        <v>Ознакомиться</v>
      </c>
      <c r="W2287" s="8" t="s">
        <v>189</v>
      </c>
      <c r="X2287" s="6"/>
      <c r="Y2287" s="6"/>
      <c r="Z2287" s="6"/>
      <c r="AA2287" s="6" t="s">
        <v>2001</v>
      </c>
      <c r="AB2287" s="8"/>
    </row>
    <row r="2288" spans="1:28" s="4" customFormat="1" ht="51.95" customHeight="1">
      <c r="A2288" s="5">
        <v>0</v>
      </c>
      <c r="B2288" s="6" t="s">
        <v>13954</v>
      </c>
      <c r="C2288" s="7">
        <v>954</v>
      </c>
      <c r="D2288" s="8" t="s">
        <v>13955</v>
      </c>
      <c r="E2288" s="8" t="s">
        <v>13956</v>
      </c>
      <c r="F2288" s="8" t="s">
        <v>13957</v>
      </c>
      <c r="G2288" s="6" t="s">
        <v>52</v>
      </c>
      <c r="H2288" s="6" t="s">
        <v>184</v>
      </c>
      <c r="I2288" s="8" t="s">
        <v>90</v>
      </c>
      <c r="J2288" s="9">
        <v>1</v>
      </c>
      <c r="K2288" s="9">
        <v>207</v>
      </c>
      <c r="L2288" s="9">
        <v>2024</v>
      </c>
      <c r="M2288" s="8" t="s">
        <v>13958</v>
      </c>
      <c r="N2288" s="8" t="s">
        <v>41</v>
      </c>
      <c r="O2288" s="8" t="s">
        <v>118</v>
      </c>
      <c r="P2288" s="6" t="s">
        <v>43</v>
      </c>
      <c r="Q2288" s="8" t="s">
        <v>279</v>
      </c>
      <c r="R2288" s="10" t="s">
        <v>1958</v>
      </c>
      <c r="S2288" s="11" t="s">
        <v>13959</v>
      </c>
      <c r="T2288" s="6"/>
      <c r="U2288" s="24" t="str">
        <f>HYPERLINK("https://media.infra-m.ru/2103/2103141/cover/2103141.jpg", "Обложка")</f>
        <v>Обложка</v>
      </c>
      <c r="V2288" s="12"/>
      <c r="W2288" s="8" t="s">
        <v>2080</v>
      </c>
      <c r="X2288" s="6"/>
      <c r="Y2288" s="6"/>
      <c r="Z2288" s="6"/>
      <c r="AA2288" s="6" t="s">
        <v>479</v>
      </c>
      <c r="AB2288" s="8"/>
    </row>
    <row r="2289" spans="1:28" s="4" customFormat="1" ht="51.95" customHeight="1">
      <c r="A2289" s="5">
        <v>0</v>
      </c>
      <c r="B2289" s="6" t="s">
        <v>13960</v>
      </c>
      <c r="C2289" s="13">
        <v>1394</v>
      </c>
      <c r="D2289" s="8" t="s">
        <v>13961</v>
      </c>
      <c r="E2289" s="8" t="s">
        <v>13962</v>
      </c>
      <c r="F2289" s="8" t="s">
        <v>13963</v>
      </c>
      <c r="G2289" s="6" t="s">
        <v>52</v>
      </c>
      <c r="H2289" s="6" t="s">
        <v>184</v>
      </c>
      <c r="I2289" s="8" t="s">
        <v>7049</v>
      </c>
      <c r="J2289" s="9">
        <v>1</v>
      </c>
      <c r="K2289" s="9">
        <v>304</v>
      </c>
      <c r="L2289" s="9">
        <v>2024</v>
      </c>
      <c r="M2289" s="8" t="s">
        <v>13964</v>
      </c>
      <c r="N2289" s="8" t="s">
        <v>41</v>
      </c>
      <c r="O2289" s="8" t="s">
        <v>118</v>
      </c>
      <c r="P2289" s="6" t="s">
        <v>43</v>
      </c>
      <c r="Q2289" s="8" t="s">
        <v>44</v>
      </c>
      <c r="R2289" s="10" t="s">
        <v>13965</v>
      </c>
      <c r="S2289" s="11" t="s">
        <v>13966</v>
      </c>
      <c r="T2289" s="6"/>
      <c r="U2289" s="24" t="str">
        <f>HYPERLINK("https://media.infra-m.ru/1981/1981672/cover/1981672.jpg", "Обложка")</f>
        <v>Обложка</v>
      </c>
      <c r="V2289" s="12"/>
      <c r="W2289" s="8" t="s">
        <v>2080</v>
      </c>
      <c r="X2289" s="6"/>
      <c r="Y2289" s="6"/>
      <c r="Z2289" s="6"/>
      <c r="AA2289" s="6" t="s">
        <v>377</v>
      </c>
      <c r="AB2289" s="8"/>
    </row>
    <row r="2290" spans="1:28" s="4" customFormat="1" ht="51.95" customHeight="1">
      <c r="A2290" s="5">
        <v>0</v>
      </c>
      <c r="B2290" s="6" t="s">
        <v>13967</v>
      </c>
      <c r="C2290" s="7">
        <v>890</v>
      </c>
      <c r="D2290" s="8" t="s">
        <v>13968</v>
      </c>
      <c r="E2290" s="8" t="s">
        <v>13969</v>
      </c>
      <c r="F2290" s="8" t="s">
        <v>13970</v>
      </c>
      <c r="G2290" s="6" t="s">
        <v>89</v>
      </c>
      <c r="H2290" s="6" t="s">
        <v>53</v>
      </c>
      <c r="I2290" s="8" t="s">
        <v>90</v>
      </c>
      <c r="J2290" s="9">
        <v>1</v>
      </c>
      <c r="K2290" s="9">
        <v>192</v>
      </c>
      <c r="L2290" s="9">
        <v>2023</v>
      </c>
      <c r="M2290" s="8" t="s">
        <v>13971</v>
      </c>
      <c r="N2290" s="8" t="s">
        <v>41</v>
      </c>
      <c r="O2290" s="8" t="s">
        <v>118</v>
      </c>
      <c r="P2290" s="6" t="s">
        <v>43</v>
      </c>
      <c r="Q2290" s="8" t="s">
        <v>44</v>
      </c>
      <c r="R2290" s="10" t="s">
        <v>13972</v>
      </c>
      <c r="S2290" s="11" t="s">
        <v>13973</v>
      </c>
      <c r="T2290" s="6"/>
      <c r="U2290" s="24" t="str">
        <f>HYPERLINK("https://media.infra-m.ru/1933/1933159/cover/1933159.jpg", "Обложка")</f>
        <v>Обложка</v>
      </c>
      <c r="V2290" s="24" t="str">
        <f>HYPERLINK("https://znanium.ru/catalog/product/1933159", "Ознакомиться")</f>
        <v>Ознакомиться</v>
      </c>
      <c r="W2290" s="8" t="s">
        <v>189</v>
      </c>
      <c r="X2290" s="6"/>
      <c r="Y2290" s="6"/>
      <c r="Z2290" s="6"/>
      <c r="AA2290" s="6" t="s">
        <v>1135</v>
      </c>
      <c r="AB2290" s="8"/>
    </row>
    <row r="2291" spans="1:28" s="4" customFormat="1" ht="51.95" customHeight="1">
      <c r="A2291" s="5">
        <v>0</v>
      </c>
      <c r="B2291" s="6" t="s">
        <v>13974</v>
      </c>
      <c r="C2291" s="7">
        <v>714</v>
      </c>
      <c r="D2291" s="8" t="s">
        <v>13975</v>
      </c>
      <c r="E2291" s="8" t="s">
        <v>13976</v>
      </c>
      <c r="F2291" s="8" t="s">
        <v>13977</v>
      </c>
      <c r="G2291" s="6" t="s">
        <v>52</v>
      </c>
      <c r="H2291" s="6" t="s">
        <v>53</v>
      </c>
      <c r="I2291" s="8" t="s">
        <v>90</v>
      </c>
      <c r="J2291" s="9">
        <v>1</v>
      </c>
      <c r="K2291" s="9">
        <v>152</v>
      </c>
      <c r="L2291" s="9">
        <v>2024</v>
      </c>
      <c r="M2291" s="8" t="s">
        <v>13978</v>
      </c>
      <c r="N2291" s="8" t="s">
        <v>41</v>
      </c>
      <c r="O2291" s="8" t="s">
        <v>118</v>
      </c>
      <c r="P2291" s="6" t="s">
        <v>167</v>
      </c>
      <c r="Q2291" s="8" t="s">
        <v>44</v>
      </c>
      <c r="R2291" s="10" t="s">
        <v>13979</v>
      </c>
      <c r="S2291" s="11" t="s">
        <v>13980</v>
      </c>
      <c r="T2291" s="6"/>
      <c r="U2291" s="24" t="str">
        <f>HYPERLINK("https://media.infra-m.ru/1859/1859822/cover/1859822.jpg", "Обложка")</f>
        <v>Обложка</v>
      </c>
      <c r="V2291" s="24" t="str">
        <f>HYPERLINK("https://znanium.ru/catalog/product/1630190", "Ознакомиться")</f>
        <v>Ознакомиться</v>
      </c>
      <c r="W2291" s="8" t="s">
        <v>11538</v>
      </c>
      <c r="X2291" s="6"/>
      <c r="Y2291" s="6"/>
      <c r="Z2291" s="6"/>
      <c r="AA2291" s="6" t="s">
        <v>47</v>
      </c>
      <c r="AB2291" s="8"/>
    </row>
    <row r="2292" spans="1:28" s="4" customFormat="1" ht="51.95" customHeight="1">
      <c r="A2292" s="5">
        <v>0</v>
      </c>
      <c r="B2292" s="6" t="s">
        <v>13981</v>
      </c>
      <c r="C2292" s="13">
        <v>1114</v>
      </c>
      <c r="D2292" s="8" t="s">
        <v>13982</v>
      </c>
      <c r="E2292" s="8" t="s">
        <v>13983</v>
      </c>
      <c r="F2292" s="8" t="s">
        <v>12506</v>
      </c>
      <c r="G2292" s="6" t="s">
        <v>89</v>
      </c>
      <c r="H2292" s="6" t="s">
        <v>77</v>
      </c>
      <c r="I2292" s="8" t="s">
        <v>90</v>
      </c>
      <c r="J2292" s="9">
        <v>1</v>
      </c>
      <c r="K2292" s="9">
        <v>236</v>
      </c>
      <c r="L2292" s="9">
        <v>2024</v>
      </c>
      <c r="M2292" s="8" t="s">
        <v>13984</v>
      </c>
      <c r="N2292" s="8" t="s">
        <v>41</v>
      </c>
      <c r="O2292" s="8" t="s">
        <v>118</v>
      </c>
      <c r="P2292" s="6" t="s">
        <v>167</v>
      </c>
      <c r="Q2292" s="8" t="s">
        <v>44</v>
      </c>
      <c r="R2292" s="10" t="s">
        <v>2044</v>
      </c>
      <c r="S2292" s="11" t="s">
        <v>13985</v>
      </c>
      <c r="T2292" s="6"/>
      <c r="U2292" s="24" t="str">
        <f>HYPERLINK("https://media.infra-m.ru/2138/2138915/cover/2138915.jpg", "Обложка")</f>
        <v>Обложка</v>
      </c>
      <c r="V2292" s="24" t="str">
        <f>HYPERLINK("https://znanium.ru/catalog/product/976501", "Ознакомиться")</f>
        <v>Ознакомиться</v>
      </c>
      <c r="W2292" s="8" t="s">
        <v>4503</v>
      </c>
      <c r="X2292" s="6"/>
      <c r="Y2292" s="6"/>
      <c r="Z2292" s="6"/>
      <c r="AA2292" s="6" t="s">
        <v>418</v>
      </c>
      <c r="AB2292" s="8"/>
    </row>
    <row r="2293" spans="1:28" s="4" customFormat="1" ht="42" customHeight="1">
      <c r="A2293" s="5">
        <v>0</v>
      </c>
      <c r="B2293" s="6" t="s">
        <v>13986</v>
      </c>
      <c r="C2293" s="13">
        <v>1690</v>
      </c>
      <c r="D2293" s="8" t="s">
        <v>13987</v>
      </c>
      <c r="E2293" s="8" t="s">
        <v>13983</v>
      </c>
      <c r="F2293" s="8" t="s">
        <v>13988</v>
      </c>
      <c r="G2293" s="6" t="s">
        <v>52</v>
      </c>
      <c r="H2293" s="6" t="s">
        <v>53</v>
      </c>
      <c r="I2293" s="8" t="s">
        <v>116</v>
      </c>
      <c r="J2293" s="9">
        <v>1</v>
      </c>
      <c r="K2293" s="9">
        <v>329</v>
      </c>
      <c r="L2293" s="9">
        <v>2025</v>
      </c>
      <c r="M2293" s="8" t="s">
        <v>13989</v>
      </c>
      <c r="N2293" s="8" t="s">
        <v>41</v>
      </c>
      <c r="O2293" s="8" t="s">
        <v>118</v>
      </c>
      <c r="P2293" s="6" t="s">
        <v>43</v>
      </c>
      <c r="Q2293" s="8" t="s">
        <v>44</v>
      </c>
      <c r="R2293" s="10" t="s">
        <v>13990</v>
      </c>
      <c r="S2293" s="11"/>
      <c r="T2293" s="6"/>
      <c r="U2293" s="24" t="str">
        <f>HYPERLINK("https://media.infra-m.ru/1896/1896454/cover/1896454.jpg", "Обложка")</f>
        <v>Обложка</v>
      </c>
      <c r="V2293" s="24" t="str">
        <f>HYPERLINK("https://znanium.ru/catalog/product/1896454", "Ознакомиться")</f>
        <v>Ознакомиться</v>
      </c>
      <c r="W2293" s="8" t="s">
        <v>9739</v>
      </c>
      <c r="X2293" s="6" t="s">
        <v>389</v>
      </c>
      <c r="Y2293" s="6"/>
      <c r="Z2293" s="6"/>
      <c r="AA2293" s="6" t="s">
        <v>61</v>
      </c>
      <c r="AB2293" s="8"/>
    </row>
    <row r="2294" spans="1:28" s="4" customFormat="1" ht="51.95" customHeight="1">
      <c r="A2294" s="5">
        <v>0</v>
      </c>
      <c r="B2294" s="6" t="s">
        <v>13991</v>
      </c>
      <c r="C2294" s="13">
        <v>2570</v>
      </c>
      <c r="D2294" s="8" t="s">
        <v>13992</v>
      </c>
      <c r="E2294" s="8" t="s">
        <v>13993</v>
      </c>
      <c r="F2294" s="8" t="s">
        <v>13994</v>
      </c>
      <c r="G2294" s="6" t="s">
        <v>52</v>
      </c>
      <c r="H2294" s="6" t="s">
        <v>649</v>
      </c>
      <c r="I2294" s="8" t="s">
        <v>100</v>
      </c>
      <c r="J2294" s="9">
        <v>1</v>
      </c>
      <c r="K2294" s="9">
        <v>512</v>
      </c>
      <c r="L2294" s="9">
        <v>2025</v>
      </c>
      <c r="M2294" s="8" t="s">
        <v>13995</v>
      </c>
      <c r="N2294" s="8" t="s">
        <v>41</v>
      </c>
      <c r="O2294" s="8" t="s">
        <v>118</v>
      </c>
      <c r="P2294" s="6" t="s">
        <v>43</v>
      </c>
      <c r="Q2294" s="8" t="s">
        <v>102</v>
      </c>
      <c r="R2294" s="10" t="s">
        <v>13996</v>
      </c>
      <c r="S2294" s="11" t="s">
        <v>1802</v>
      </c>
      <c r="T2294" s="6"/>
      <c r="U2294" s="24" t="str">
        <f>HYPERLINK("https://media.infra-m.ru/2187/2187087/cover/2187087.jpg", "Обложка")</f>
        <v>Обложка</v>
      </c>
      <c r="V2294" s="24" t="str">
        <f>HYPERLINK("https://znanium.ru/catalog/product/2187087", "Ознакомиться")</f>
        <v>Ознакомиться</v>
      </c>
      <c r="W2294" s="8" t="s">
        <v>1345</v>
      </c>
      <c r="X2294" s="6"/>
      <c r="Y2294" s="6"/>
      <c r="Z2294" s="6" t="s">
        <v>104</v>
      </c>
      <c r="AA2294" s="6" t="s">
        <v>151</v>
      </c>
      <c r="AB2294" s="8"/>
    </row>
    <row r="2295" spans="1:28" s="4" customFormat="1" ht="42" customHeight="1">
      <c r="A2295" s="5">
        <v>0</v>
      </c>
      <c r="B2295" s="6" t="s">
        <v>13997</v>
      </c>
      <c r="C2295" s="13">
        <v>1520</v>
      </c>
      <c r="D2295" s="8" t="s">
        <v>13998</v>
      </c>
      <c r="E2295" s="8" t="s">
        <v>13999</v>
      </c>
      <c r="F2295" s="8" t="s">
        <v>14000</v>
      </c>
      <c r="G2295" s="6" t="s">
        <v>52</v>
      </c>
      <c r="H2295" s="6" t="s">
        <v>53</v>
      </c>
      <c r="I2295" s="8" t="s">
        <v>116</v>
      </c>
      <c r="J2295" s="9">
        <v>1</v>
      </c>
      <c r="K2295" s="9">
        <v>301</v>
      </c>
      <c r="L2295" s="9">
        <v>2025</v>
      </c>
      <c r="M2295" s="8" t="s">
        <v>14001</v>
      </c>
      <c r="N2295" s="8" t="s">
        <v>41</v>
      </c>
      <c r="O2295" s="8" t="s">
        <v>118</v>
      </c>
      <c r="P2295" s="6" t="s">
        <v>167</v>
      </c>
      <c r="Q2295" s="8" t="s">
        <v>44</v>
      </c>
      <c r="R2295" s="10" t="s">
        <v>1319</v>
      </c>
      <c r="S2295" s="11"/>
      <c r="T2295" s="6"/>
      <c r="U2295" s="24" t="str">
        <f>HYPERLINK("https://media.infra-m.ru/1020/1020046/cover/1020046.jpg", "Обложка")</f>
        <v>Обложка</v>
      </c>
      <c r="V2295" s="24" t="str">
        <f>HYPERLINK("https://znanium.ru/catalog/product/1020046", "Ознакомиться")</f>
        <v>Ознакомиться</v>
      </c>
      <c r="W2295" s="8" t="s">
        <v>14002</v>
      </c>
      <c r="X2295" s="6" t="s">
        <v>389</v>
      </c>
      <c r="Y2295" s="6"/>
      <c r="Z2295" s="6"/>
      <c r="AA2295" s="6" t="s">
        <v>61</v>
      </c>
      <c r="AB2295" s="8"/>
    </row>
    <row r="2296" spans="1:28" s="4" customFormat="1" ht="51.95" customHeight="1">
      <c r="A2296" s="5">
        <v>0</v>
      </c>
      <c r="B2296" s="6" t="s">
        <v>14003</v>
      </c>
      <c r="C2296" s="13">
        <v>1044</v>
      </c>
      <c r="D2296" s="8" t="s">
        <v>14004</v>
      </c>
      <c r="E2296" s="8" t="s">
        <v>14005</v>
      </c>
      <c r="F2296" s="8" t="s">
        <v>8178</v>
      </c>
      <c r="G2296" s="6" t="s">
        <v>52</v>
      </c>
      <c r="H2296" s="6" t="s">
        <v>53</v>
      </c>
      <c r="I2296" s="8" t="s">
        <v>100</v>
      </c>
      <c r="J2296" s="9">
        <v>1</v>
      </c>
      <c r="K2296" s="9">
        <v>209</v>
      </c>
      <c r="L2296" s="9">
        <v>2025</v>
      </c>
      <c r="M2296" s="8" t="s">
        <v>14006</v>
      </c>
      <c r="N2296" s="8" t="s">
        <v>79</v>
      </c>
      <c r="O2296" s="8" t="s">
        <v>80</v>
      </c>
      <c r="P2296" s="6" t="s">
        <v>43</v>
      </c>
      <c r="Q2296" s="8" t="s">
        <v>102</v>
      </c>
      <c r="R2296" s="10" t="s">
        <v>14007</v>
      </c>
      <c r="S2296" s="11" t="s">
        <v>14008</v>
      </c>
      <c r="T2296" s="6"/>
      <c r="U2296" s="24" t="str">
        <f>HYPERLINK("https://media.infra-m.ru/2169/2169728/cover/2169728.jpg", "Обложка")</f>
        <v>Обложка</v>
      </c>
      <c r="V2296" s="24" t="str">
        <f>HYPERLINK("https://znanium.ru/catalog/product/2103177", "Ознакомиться")</f>
        <v>Ознакомиться</v>
      </c>
      <c r="W2296" s="8" t="s">
        <v>8182</v>
      </c>
      <c r="X2296" s="6"/>
      <c r="Y2296" s="6" t="s">
        <v>30</v>
      </c>
      <c r="Z2296" s="6"/>
      <c r="AA2296" s="6" t="s">
        <v>235</v>
      </c>
      <c r="AB2296" s="8"/>
    </row>
    <row r="2297" spans="1:28" s="4" customFormat="1" ht="51.95" customHeight="1">
      <c r="A2297" s="5">
        <v>0</v>
      </c>
      <c r="B2297" s="6" t="s">
        <v>14009</v>
      </c>
      <c r="C2297" s="13">
        <v>1174</v>
      </c>
      <c r="D2297" s="8" t="s">
        <v>14010</v>
      </c>
      <c r="E2297" s="8" t="s">
        <v>14011</v>
      </c>
      <c r="F2297" s="8" t="s">
        <v>14012</v>
      </c>
      <c r="G2297" s="6" t="s">
        <v>38</v>
      </c>
      <c r="H2297" s="6" t="s">
        <v>53</v>
      </c>
      <c r="I2297" s="8" t="s">
        <v>90</v>
      </c>
      <c r="J2297" s="9">
        <v>1</v>
      </c>
      <c r="K2297" s="9">
        <v>256</v>
      </c>
      <c r="L2297" s="9">
        <v>2024</v>
      </c>
      <c r="M2297" s="8" t="s">
        <v>14013</v>
      </c>
      <c r="N2297" s="8" t="s">
        <v>41</v>
      </c>
      <c r="O2297" s="8" t="s">
        <v>118</v>
      </c>
      <c r="P2297" s="6" t="s">
        <v>43</v>
      </c>
      <c r="Q2297" s="8" t="s">
        <v>44</v>
      </c>
      <c r="R2297" s="10" t="s">
        <v>14014</v>
      </c>
      <c r="S2297" s="11" t="s">
        <v>14015</v>
      </c>
      <c r="T2297" s="6"/>
      <c r="U2297" s="24" t="str">
        <f>HYPERLINK("https://media.infra-m.ru/2126/2126321/cover/2126321.jpg", "Обложка")</f>
        <v>Обложка</v>
      </c>
      <c r="V2297" s="24" t="str">
        <f>HYPERLINK("https://znanium.ru/catalog/product/2126321", "Ознакомиться")</f>
        <v>Ознакомиться</v>
      </c>
      <c r="W2297" s="8" t="s">
        <v>14016</v>
      </c>
      <c r="X2297" s="6"/>
      <c r="Y2297" s="6"/>
      <c r="Z2297" s="6"/>
      <c r="AA2297" s="6" t="s">
        <v>122</v>
      </c>
      <c r="AB2297" s="8"/>
    </row>
    <row r="2298" spans="1:28" s="4" customFormat="1" ht="51.95" customHeight="1">
      <c r="A2298" s="5">
        <v>0</v>
      </c>
      <c r="B2298" s="6" t="s">
        <v>14017</v>
      </c>
      <c r="C2298" s="13">
        <v>1394</v>
      </c>
      <c r="D2298" s="8" t="s">
        <v>14018</v>
      </c>
      <c r="E2298" s="8" t="s">
        <v>14019</v>
      </c>
      <c r="F2298" s="8" t="s">
        <v>14020</v>
      </c>
      <c r="G2298" s="6" t="s">
        <v>52</v>
      </c>
      <c r="H2298" s="6" t="s">
        <v>66</v>
      </c>
      <c r="I2298" s="8" t="s">
        <v>116</v>
      </c>
      <c r="J2298" s="9">
        <v>1</v>
      </c>
      <c r="K2298" s="9">
        <v>304</v>
      </c>
      <c r="L2298" s="9">
        <v>2024</v>
      </c>
      <c r="M2298" s="8" t="s">
        <v>14021</v>
      </c>
      <c r="N2298" s="8" t="s">
        <v>41</v>
      </c>
      <c r="O2298" s="8" t="s">
        <v>278</v>
      </c>
      <c r="P2298" s="6" t="s">
        <v>43</v>
      </c>
      <c r="Q2298" s="8" t="s">
        <v>44</v>
      </c>
      <c r="R2298" s="10" t="s">
        <v>14022</v>
      </c>
      <c r="S2298" s="11" t="s">
        <v>14023</v>
      </c>
      <c r="T2298" s="6"/>
      <c r="U2298" s="24" t="str">
        <f>HYPERLINK("https://media.infra-m.ru/2110/2110940/cover/2110940.jpg", "Обложка")</f>
        <v>Обложка</v>
      </c>
      <c r="V2298" s="24" t="str">
        <f>HYPERLINK("https://znanium.ru/catalog/product/145468", "Ознакомиться")</f>
        <v>Ознакомиться</v>
      </c>
      <c r="W2298" s="8"/>
      <c r="X2298" s="6"/>
      <c r="Y2298" s="6"/>
      <c r="Z2298" s="6"/>
      <c r="AA2298" s="6" t="s">
        <v>2217</v>
      </c>
      <c r="AB2298" s="8"/>
    </row>
    <row r="2299" spans="1:28" s="4" customFormat="1" ht="51.95" customHeight="1">
      <c r="A2299" s="5">
        <v>0</v>
      </c>
      <c r="B2299" s="6" t="s">
        <v>14024</v>
      </c>
      <c r="C2299" s="7">
        <v>894</v>
      </c>
      <c r="D2299" s="8" t="s">
        <v>14025</v>
      </c>
      <c r="E2299" s="8" t="s">
        <v>14026</v>
      </c>
      <c r="F2299" s="8" t="s">
        <v>14027</v>
      </c>
      <c r="G2299" s="6" t="s">
        <v>52</v>
      </c>
      <c r="H2299" s="6" t="s">
        <v>53</v>
      </c>
      <c r="I2299" s="8" t="s">
        <v>90</v>
      </c>
      <c r="J2299" s="9">
        <v>1</v>
      </c>
      <c r="K2299" s="9">
        <v>196</v>
      </c>
      <c r="L2299" s="9">
        <v>2023</v>
      </c>
      <c r="M2299" s="8" t="s">
        <v>14028</v>
      </c>
      <c r="N2299" s="8" t="s">
        <v>41</v>
      </c>
      <c r="O2299" s="8" t="s">
        <v>118</v>
      </c>
      <c r="P2299" s="6" t="s">
        <v>43</v>
      </c>
      <c r="Q2299" s="8" t="s">
        <v>44</v>
      </c>
      <c r="R2299" s="10" t="s">
        <v>14029</v>
      </c>
      <c r="S2299" s="11" t="s">
        <v>14030</v>
      </c>
      <c r="T2299" s="6"/>
      <c r="U2299" s="24" t="str">
        <f>HYPERLINK("https://media.infra-m.ru/2023/2023207/cover/2023207.jpg", "Обложка")</f>
        <v>Обложка</v>
      </c>
      <c r="V2299" s="24" t="str">
        <f>HYPERLINK("https://znanium.ru/catalog/product/987371", "Ознакомиться")</f>
        <v>Ознакомиться</v>
      </c>
      <c r="W2299" s="8" t="s">
        <v>637</v>
      </c>
      <c r="X2299" s="6"/>
      <c r="Y2299" s="6"/>
      <c r="Z2299" s="6"/>
      <c r="AA2299" s="6" t="s">
        <v>793</v>
      </c>
      <c r="AB2299" s="8"/>
    </row>
    <row r="2300" spans="1:28" s="4" customFormat="1" ht="51.95" customHeight="1">
      <c r="A2300" s="5">
        <v>0</v>
      </c>
      <c r="B2300" s="6" t="s">
        <v>14031</v>
      </c>
      <c r="C2300" s="7">
        <v>832</v>
      </c>
      <c r="D2300" s="8" t="s">
        <v>14032</v>
      </c>
      <c r="E2300" s="8" t="s">
        <v>14033</v>
      </c>
      <c r="F2300" s="8" t="s">
        <v>6712</v>
      </c>
      <c r="G2300" s="6" t="s">
        <v>89</v>
      </c>
      <c r="H2300" s="6" t="s">
        <v>53</v>
      </c>
      <c r="I2300" s="8" t="s">
        <v>90</v>
      </c>
      <c r="J2300" s="9">
        <v>1</v>
      </c>
      <c r="K2300" s="9">
        <v>260</v>
      </c>
      <c r="L2300" s="9">
        <v>2019</v>
      </c>
      <c r="M2300" s="8" t="s">
        <v>14034</v>
      </c>
      <c r="N2300" s="8" t="s">
        <v>41</v>
      </c>
      <c r="O2300" s="8" t="s">
        <v>118</v>
      </c>
      <c r="P2300" s="6" t="s">
        <v>43</v>
      </c>
      <c r="Q2300" s="8" t="s">
        <v>44</v>
      </c>
      <c r="R2300" s="10" t="s">
        <v>14035</v>
      </c>
      <c r="S2300" s="11" t="s">
        <v>14036</v>
      </c>
      <c r="T2300" s="6"/>
      <c r="U2300" s="24" t="str">
        <f>HYPERLINK("https://media.infra-m.ru/1001/1001585/cover/1001585.jpg", "Обложка")</f>
        <v>Обложка</v>
      </c>
      <c r="V2300" s="24" t="str">
        <f>HYPERLINK("https://znanium.ru/catalog/product/1816408", "Ознакомиться")</f>
        <v>Ознакомиться</v>
      </c>
      <c r="W2300" s="8" t="s">
        <v>2080</v>
      </c>
      <c r="X2300" s="6"/>
      <c r="Y2300" s="6"/>
      <c r="Z2300" s="6"/>
      <c r="AA2300" s="6" t="s">
        <v>326</v>
      </c>
      <c r="AB2300" s="8"/>
    </row>
    <row r="2301" spans="1:28" s="4" customFormat="1" ht="51.95" customHeight="1">
      <c r="A2301" s="5">
        <v>0</v>
      </c>
      <c r="B2301" s="6" t="s">
        <v>14037</v>
      </c>
      <c r="C2301" s="13">
        <v>1254</v>
      </c>
      <c r="D2301" s="8" t="s">
        <v>14038</v>
      </c>
      <c r="E2301" s="8" t="s">
        <v>14039</v>
      </c>
      <c r="F2301" s="8" t="s">
        <v>14040</v>
      </c>
      <c r="G2301" s="6" t="s">
        <v>89</v>
      </c>
      <c r="H2301" s="6" t="s">
        <v>53</v>
      </c>
      <c r="I2301" s="8" t="s">
        <v>90</v>
      </c>
      <c r="J2301" s="9">
        <v>1</v>
      </c>
      <c r="K2301" s="9">
        <v>251</v>
      </c>
      <c r="L2301" s="9">
        <v>2025</v>
      </c>
      <c r="M2301" s="8" t="s">
        <v>14041</v>
      </c>
      <c r="N2301" s="8" t="s">
        <v>41</v>
      </c>
      <c r="O2301" s="8" t="s">
        <v>118</v>
      </c>
      <c r="P2301" s="6" t="s">
        <v>43</v>
      </c>
      <c r="Q2301" s="8" t="s">
        <v>44</v>
      </c>
      <c r="R2301" s="10" t="s">
        <v>14035</v>
      </c>
      <c r="S2301" s="11" t="s">
        <v>14042</v>
      </c>
      <c r="T2301" s="6"/>
      <c r="U2301" s="24" t="str">
        <f>HYPERLINK("https://media.infra-m.ru/2192/2192230/cover/2192230.jpg", "Обложка")</f>
        <v>Обложка</v>
      </c>
      <c r="V2301" s="24" t="str">
        <f>HYPERLINK("https://znanium.ru/catalog/product/1816408", "Ознакомиться")</f>
        <v>Ознакомиться</v>
      </c>
      <c r="W2301" s="8" t="s">
        <v>2080</v>
      </c>
      <c r="X2301" s="6"/>
      <c r="Y2301" s="6"/>
      <c r="Z2301" s="6"/>
      <c r="AA2301" s="6" t="s">
        <v>2086</v>
      </c>
      <c r="AB2301" s="8"/>
    </row>
    <row r="2302" spans="1:28" s="4" customFormat="1" ht="51.95" customHeight="1">
      <c r="A2302" s="5">
        <v>0</v>
      </c>
      <c r="B2302" s="6" t="s">
        <v>14043</v>
      </c>
      <c r="C2302" s="13">
        <v>1274</v>
      </c>
      <c r="D2302" s="8" t="s">
        <v>14044</v>
      </c>
      <c r="E2302" s="8" t="s">
        <v>14045</v>
      </c>
      <c r="F2302" s="8" t="s">
        <v>14046</v>
      </c>
      <c r="G2302" s="6" t="s">
        <v>89</v>
      </c>
      <c r="H2302" s="6" t="s">
        <v>53</v>
      </c>
      <c r="I2302" s="8" t="s">
        <v>276</v>
      </c>
      <c r="J2302" s="9">
        <v>1</v>
      </c>
      <c r="K2302" s="9">
        <v>277</v>
      </c>
      <c r="L2302" s="9">
        <v>2023</v>
      </c>
      <c r="M2302" s="8" t="s">
        <v>14047</v>
      </c>
      <c r="N2302" s="8" t="s">
        <v>41</v>
      </c>
      <c r="O2302" s="8" t="s">
        <v>118</v>
      </c>
      <c r="P2302" s="6" t="s">
        <v>43</v>
      </c>
      <c r="Q2302" s="8" t="s">
        <v>279</v>
      </c>
      <c r="R2302" s="10" t="s">
        <v>14048</v>
      </c>
      <c r="S2302" s="11" t="s">
        <v>14049</v>
      </c>
      <c r="T2302" s="6"/>
      <c r="U2302" s="24" t="str">
        <f>HYPERLINK("https://media.infra-m.ru/1972/1972697/cover/1972697.jpg", "Обложка")</f>
        <v>Обложка</v>
      </c>
      <c r="V2302" s="24" t="str">
        <f>HYPERLINK("https://znanium.ru/catalog/product/1955911", "Ознакомиться")</f>
        <v>Ознакомиться</v>
      </c>
      <c r="W2302" s="8" t="s">
        <v>2080</v>
      </c>
      <c r="X2302" s="6"/>
      <c r="Y2302" s="6"/>
      <c r="Z2302" s="6"/>
      <c r="AA2302" s="6" t="s">
        <v>2501</v>
      </c>
      <c r="AB2302" s="8"/>
    </row>
    <row r="2303" spans="1:28" s="4" customFormat="1" ht="51.95" customHeight="1">
      <c r="A2303" s="5">
        <v>0</v>
      </c>
      <c r="B2303" s="6" t="s">
        <v>14050</v>
      </c>
      <c r="C2303" s="13">
        <v>1270</v>
      </c>
      <c r="D2303" s="8" t="s">
        <v>14051</v>
      </c>
      <c r="E2303" s="8" t="s">
        <v>14052</v>
      </c>
      <c r="F2303" s="8" t="s">
        <v>14046</v>
      </c>
      <c r="G2303" s="6" t="s">
        <v>89</v>
      </c>
      <c r="H2303" s="6" t="s">
        <v>53</v>
      </c>
      <c r="I2303" s="8" t="s">
        <v>276</v>
      </c>
      <c r="J2303" s="9">
        <v>1</v>
      </c>
      <c r="K2303" s="9">
        <v>282</v>
      </c>
      <c r="L2303" s="9">
        <v>2022</v>
      </c>
      <c r="M2303" s="8" t="s">
        <v>14053</v>
      </c>
      <c r="N2303" s="8" t="s">
        <v>41</v>
      </c>
      <c r="O2303" s="8" t="s">
        <v>118</v>
      </c>
      <c r="P2303" s="6" t="s">
        <v>43</v>
      </c>
      <c r="Q2303" s="8" t="s">
        <v>279</v>
      </c>
      <c r="R2303" s="10" t="s">
        <v>14048</v>
      </c>
      <c r="S2303" s="11" t="s">
        <v>14054</v>
      </c>
      <c r="T2303" s="6"/>
      <c r="U2303" s="24" t="str">
        <f>HYPERLINK("https://media.infra-m.ru/1955/1955911/cover/1955911.jpg", "Обложка")</f>
        <v>Обложка</v>
      </c>
      <c r="V2303" s="24" t="str">
        <f>HYPERLINK("https://znanium.ru/catalog/product/1955911", "Ознакомиться")</f>
        <v>Ознакомиться</v>
      </c>
      <c r="W2303" s="8" t="s">
        <v>2080</v>
      </c>
      <c r="X2303" s="6"/>
      <c r="Y2303" s="6"/>
      <c r="Z2303" s="6"/>
      <c r="AA2303" s="6" t="s">
        <v>707</v>
      </c>
      <c r="AB2303" s="8"/>
    </row>
    <row r="2304" spans="1:28" s="4" customFormat="1" ht="51.95" customHeight="1">
      <c r="A2304" s="5">
        <v>0</v>
      </c>
      <c r="B2304" s="6" t="s">
        <v>14055</v>
      </c>
      <c r="C2304" s="7">
        <v>704.9</v>
      </c>
      <c r="D2304" s="8" t="s">
        <v>14056</v>
      </c>
      <c r="E2304" s="8" t="s">
        <v>14057</v>
      </c>
      <c r="F2304" s="8" t="s">
        <v>2296</v>
      </c>
      <c r="G2304" s="6" t="s">
        <v>52</v>
      </c>
      <c r="H2304" s="6" t="s">
        <v>66</v>
      </c>
      <c r="I2304" s="8" t="s">
        <v>116</v>
      </c>
      <c r="J2304" s="9">
        <v>1</v>
      </c>
      <c r="K2304" s="9">
        <v>240</v>
      </c>
      <c r="L2304" s="9">
        <v>2018</v>
      </c>
      <c r="M2304" s="8" t="s">
        <v>14058</v>
      </c>
      <c r="N2304" s="8" t="s">
        <v>41</v>
      </c>
      <c r="O2304" s="8" t="s">
        <v>118</v>
      </c>
      <c r="P2304" s="6" t="s">
        <v>43</v>
      </c>
      <c r="Q2304" s="8" t="s">
        <v>279</v>
      </c>
      <c r="R2304" s="10" t="s">
        <v>14048</v>
      </c>
      <c r="S2304" s="11" t="s">
        <v>14059</v>
      </c>
      <c r="T2304" s="6"/>
      <c r="U2304" s="24" t="str">
        <f>HYPERLINK("https://media.infra-m.ru/0933/0933901/cover/933901.jpg", "Обложка")</f>
        <v>Обложка</v>
      </c>
      <c r="V2304" s="24" t="str">
        <f>HYPERLINK("https://znanium.ru/catalog/product/1955911", "Ознакомиться")</f>
        <v>Ознакомиться</v>
      </c>
      <c r="W2304" s="8" t="s">
        <v>2080</v>
      </c>
      <c r="X2304" s="6"/>
      <c r="Y2304" s="6"/>
      <c r="Z2304" s="6"/>
      <c r="AA2304" s="6" t="s">
        <v>407</v>
      </c>
      <c r="AB2304" s="8"/>
    </row>
    <row r="2305" spans="1:28" s="4" customFormat="1" ht="51.95" customHeight="1">
      <c r="A2305" s="5">
        <v>0</v>
      </c>
      <c r="B2305" s="6" t="s">
        <v>14060</v>
      </c>
      <c r="C2305" s="7">
        <v>940</v>
      </c>
      <c r="D2305" s="8" t="s">
        <v>14061</v>
      </c>
      <c r="E2305" s="8" t="s">
        <v>14062</v>
      </c>
      <c r="F2305" s="8" t="s">
        <v>4875</v>
      </c>
      <c r="G2305" s="6" t="s">
        <v>89</v>
      </c>
      <c r="H2305" s="6" t="s">
        <v>53</v>
      </c>
      <c r="I2305" s="8" t="s">
        <v>90</v>
      </c>
      <c r="J2305" s="9">
        <v>1</v>
      </c>
      <c r="K2305" s="9">
        <v>202</v>
      </c>
      <c r="L2305" s="9">
        <v>2023</v>
      </c>
      <c r="M2305" s="8" t="s">
        <v>14063</v>
      </c>
      <c r="N2305" s="8" t="s">
        <v>41</v>
      </c>
      <c r="O2305" s="8" t="s">
        <v>118</v>
      </c>
      <c r="P2305" s="6" t="s">
        <v>43</v>
      </c>
      <c r="Q2305" s="8" t="s">
        <v>44</v>
      </c>
      <c r="R2305" s="10" t="s">
        <v>6064</v>
      </c>
      <c r="S2305" s="11" t="s">
        <v>14064</v>
      </c>
      <c r="T2305" s="6"/>
      <c r="U2305" s="24" t="str">
        <f>HYPERLINK("https://media.infra-m.ru/1960/1960113/cover/1960113.jpg", "Обложка")</f>
        <v>Обложка</v>
      </c>
      <c r="V2305" s="24" t="str">
        <f>HYPERLINK("https://znanium.ru/catalog/product/1960113", "Ознакомиться")</f>
        <v>Ознакомиться</v>
      </c>
      <c r="W2305" s="8" t="s">
        <v>71</v>
      </c>
      <c r="X2305" s="6"/>
      <c r="Y2305" s="6"/>
      <c r="Z2305" s="6"/>
      <c r="AA2305" s="6" t="s">
        <v>219</v>
      </c>
      <c r="AB2305" s="8"/>
    </row>
    <row r="2306" spans="1:28" s="4" customFormat="1" ht="51.95" customHeight="1">
      <c r="A2306" s="5">
        <v>0</v>
      </c>
      <c r="B2306" s="6" t="s">
        <v>14065</v>
      </c>
      <c r="C2306" s="7">
        <v>674</v>
      </c>
      <c r="D2306" s="8" t="s">
        <v>14066</v>
      </c>
      <c r="E2306" s="8" t="s">
        <v>14067</v>
      </c>
      <c r="F2306" s="8" t="s">
        <v>14068</v>
      </c>
      <c r="G2306" s="6" t="s">
        <v>52</v>
      </c>
      <c r="H2306" s="6" t="s">
        <v>53</v>
      </c>
      <c r="I2306" s="8" t="s">
        <v>276</v>
      </c>
      <c r="J2306" s="9">
        <v>1</v>
      </c>
      <c r="K2306" s="9">
        <v>148</v>
      </c>
      <c r="L2306" s="9">
        <v>2023</v>
      </c>
      <c r="M2306" s="8" t="s">
        <v>14069</v>
      </c>
      <c r="N2306" s="8" t="s">
        <v>41</v>
      </c>
      <c r="O2306" s="8" t="s">
        <v>118</v>
      </c>
      <c r="P2306" s="6" t="s">
        <v>43</v>
      </c>
      <c r="Q2306" s="8" t="s">
        <v>279</v>
      </c>
      <c r="R2306" s="10" t="s">
        <v>2098</v>
      </c>
      <c r="S2306" s="11" t="s">
        <v>13129</v>
      </c>
      <c r="T2306" s="6"/>
      <c r="U2306" s="24" t="str">
        <f>HYPERLINK("https://media.infra-m.ru/2006/2006939/cover/2006939.jpg", "Обложка")</f>
        <v>Обложка</v>
      </c>
      <c r="V2306" s="24" t="str">
        <f>HYPERLINK("https://znanium.ru/catalog/product/972077", "Ознакомиться")</f>
        <v>Ознакомиться</v>
      </c>
      <c r="W2306" s="8" t="s">
        <v>2080</v>
      </c>
      <c r="X2306" s="6"/>
      <c r="Y2306" s="6"/>
      <c r="Z2306" s="6"/>
      <c r="AA2306" s="6" t="s">
        <v>258</v>
      </c>
      <c r="AB2306" s="8"/>
    </row>
    <row r="2307" spans="1:28" s="4" customFormat="1" ht="51.95" customHeight="1">
      <c r="A2307" s="5">
        <v>0</v>
      </c>
      <c r="B2307" s="6" t="s">
        <v>14070</v>
      </c>
      <c r="C2307" s="13">
        <v>1394</v>
      </c>
      <c r="D2307" s="8" t="s">
        <v>14071</v>
      </c>
      <c r="E2307" s="8" t="s">
        <v>14072</v>
      </c>
      <c r="F2307" s="8" t="s">
        <v>14073</v>
      </c>
      <c r="G2307" s="6" t="s">
        <v>52</v>
      </c>
      <c r="H2307" s="6" t="s">
        <v>53</v>
      </c>
      <c r="I2307" s="8" t="s">
        <v>100</v>
      </c>
      <c r="J2307" s="9">
        <v>1</v>
      </c>
      <c r="K2307" s="9">
        <v>267</v>
      </c>
      <c r="L2307" s="9">
        <v>2025</v>
      </c>
      <c r="M2307" s="8" t="s">
        <v>14074</v>
      </c>
      <c r="N2307" s="8" t="s">
        <v>41</v>
      </c>
      <c r="O2307" s="8" t="s">
        <v>118</v>
      </c>
      <c r="P2307" s="6" t="s">
        <v>43</v>
      </c>
      <c r="Q2307" s="8" t="s">
        <v>102</v>
      </c>
      <c r="R2307" s="10" t="s">
        <v>1349</v>
      </c>
      <c r="S2307" s="11"/>
      <c r="T2307" s="6"/>
      <c r="U2307" s="24" t="str">
        <f>HYPERLINK("https://media.infra-m.ru/2199/2199627/cover/2199627.jpg", "Обложка")</f>
        <v>Обложка</v>
      </c>
      <c r="V2307" s="24" t="str">
        <f>HYPERLINK("https://znanium.ru/catalog/product/2181308", "Ознакомиться")</f>
        <v>Ознакомиться</v>
      </c>
      <c r="W2307" s="8" t="s">
        <v>564</v>
      </c>
      <c r="X2307" s="6"/>
      <c r="Y2307" s="6"/>
      <c r="Z2307" s="6"/>
      <c r="AA2307" s="6" t="s">
        <v>207</v>
      </c>
      <c r="AB2307" s="8"/>
    </row>
    <row r="2308" spans="1:28" s="4" customFormat="1" ht="44.1" customHeight="1">
      <c r="A2308" s="5">
        <v>0</v>
      </c>
      <c r="B2308" s="6" t="s">
        <v>14075</v>
      </c>
      <c r="C2308" s="13">
        <v>2180</v>
      </c>
      <c r="D2308" s="8" t="s">
        <v>14076</v>
      </c>
      <c r="E2308" s="8" t="s">
        <v>14077</v>
      </c>
      <c r="F2308" s="8" t="s">
        <v>14078</v>
      </c>
      <c r="G2308" s="6" t="s">
        <v>52</v>
      </c>
      <c r="H2308" s="6" t="s">
        <v>53</v>
      </c>
      <c r="I2308" s="8" t="s">
        <v>14079</v>
      </c>
      <c r="J2308" s="9">
        <v>1</v>
      </c>
      <c r="K2308" s="9">
        <v>474</v>
      </c>
      <c r="L2308" s="9">
        <v>2024</v>
      </c>
      <c r="M2308" s="8" t="s">
        <v>14080</v>
      </c>
      <c r="N2308" s="8" t="s">
        <v>41</v>
      </c>
      <c r="O2308" s="8" t="s">
        <v>118</v>
      </c>
      <c r="P2308" s="6" t="s">
        <v>3424</v>
      </c>
      <c r="Q2308" s="8" t="s">
        <v>58</v>
      </c>
      <c r="R2308" s="10" t="s">
        <v>1251</v>
      </c>
      <c r="S2308" s="11"/>
      <c r="T2308" s="6"/>
      <c r="U2308" s="24" t="str">
        <f>HYPERLINK("https://media.infra-m.ru/2106/2106649/cover/2106649.jpg", "Обложка")</f>
        <v>Обложка</v>
      </c>
      <c r="V2308" s="24" t="str">
        <f>HYPERLINK("https://znanium.ru/catalog/product/2106649", "Ознакомиться")</f>
        <v>Ознакомиться</v>
      </c>
      <c r="W2308" s="8" t="s">
        <v>5371</v>
      </c>
      <c r="X2308" s="6"/>
      <c r="Y2308" s="6"/>
      <c r="Z2308" s="6"/>
      <c r="AA2308" s="6" t="s">
        <v>442</v>
      </c>
      <c r="AB2308" s="8"/>
    </row>
    <row r="2309" spans="1:28" s="4" customFormat="1" ht="51.95" customHeight="1">
      <c r="A2309" s="5">
        <v>0</v>
      </c>
      <c r="B2309" s="6" t="s">
        <v>14081</v>
      </c>
      <c r="C2309" s="13">
        <v>1764</v>
      </c>
      <c r="D2309" s="8" t="s">
        <v>14082</v>
      </c>
      <c r="E2309" s="8" t="s">
        <v>14083</v>
      </c>
      <c r="F2309" s="8" t="s">
        <v>14084</v>
      </c>
      <c r="G2309" s="6" t="s">
        <v>52</v>
      </c>
      <c r="H2309" s="6" t="s">
        <v>53</v>
      </c>
      <c r="I2309" s="8" t="s">
        <v>90</v>
      </c>
      <c r="J2309" s="9">
        <v>1</v>
      </c>
      <c r="K2309" s="9">
        <v>384</v>
      </c>
      <c r="L2309" s="9">
        <v>2024</v>
      </c>
      <c r="M2309" s="8" t="s">
        <v>14085</v>
      </c>
      <c r="N2309" s="8" t="s">
        <v>41</v>
      </c>
      <c r="O2309" s="8" t="s">
        <v>118</v>
      </c>
      <c r="P2309" s="6" t="s">
        <v>167</v>
      </c>
      <c r="Q2309" s="8" t="s">
        <v>44</v>
      </c>
      <c r="R2309" s="10" t="s">
        <v>11285</v>
      </c>
      <c r="S2309" s="11" t="s">
        <v>14086</v>
      </c>
      <c r="T2309" s="6"/>
      <c r="U2309" s="24" t="str">
        <f>HYPERLINK("https://media.infra-m.ru/2084/2084188/cover/2084188.jpg", "Обложка")</f>
        <v>Обложка</v>
      </c>
      <c r="V2309" s="24" t="str">
        <f>HYPERLINK("https://znanium.ru/catalog/product/1066124", "Ознакомиться")</f>
        <v>Ознакомиться</v>
      </c>
      <c r="W2309" s="8" t="s">
        <v>3282</v>
      </c>
      <c r="X2309" s="6"/>
      <c r="Y2309" s="6"/>
      <c r="Z2309" s="6"/>
      <c r="AA2309" s="6" t="s">
        <v>84</v>
      </c>
      <c r="AB2309" s="8"/>
    </row>
    <row r="2310" spans="1:28" s="4" customFormat="1" ht="42" customHeight="1">
      <c r="A2310" s="5">
        <v>0</v>
      </c>
      <c r="B2310" s="6" t="s">
        <v>14087</v>
      </c>
      <c r="C2310" s="13">
        <v>1790</v>
      </c>
      <c r="D2310" s="8" t="s">
        <v>14088</v>
      </c>
      <c r="E2310" s="8" t="s">
        <v>14083</v>
      </c>
      <c r="F2310" s="8" t="s">
        <v>14089</v>
      </c>
      <c r="G2310" s="6" t="s">
        <v>52</v>
      </c>
      <c r="H2310" s="6" t="s">
        <v>53</v>
      </c>
      <c r="I2310" s="8" t="s">
        <v>116</v>
      </c>
      <c r="J2310" s="9">
        <v>1</v>
      </c>
      <c r="K2310" s="9">
        <v>343</v>
      </c>
      <c r="L2310" s="9">
        <v>2025</v>
      </c>
      <c r="M2310" s="8" t="s">
        <v>14090</v>
      </c>
      <c r="N2310" s="8" t="s">
        <v>41</v>
      </c>
      <c r="O2310" s="8" t="s">
        <v>118</v>
      </c>
      <c r="P2310" s="6" t="s">
        <v>167</v>
      </c>
      <c r="Q2310" s="8" t="s">
        <v>58</v>
      </c>
      <c r="R2310" s="10" t="s">
        <v>157</v>
      </c>
      <c r="S2310" s="11"/>
      <c r="T2310" s="6"/>
      <c r="U2310" s="24" t="str">
        <f>HYPERLINK("https://media.infra-m.ru/2133/2133646/cover/2133646.jpg", "Обложка")</f>
        <v>Обложка</v>
      </c>
      <c r="V2310" s="24" t="str">
        <f>HYPERLINK("https://znanium.ru/catalog/product/2133646", "Ознакомиться")</f>
        <v>Ознакомиться</v>
      </c>
      <c r="W2310" s="8" t="s">
        <v>913</v>
      </c>
      <c r="X2310" s="6" t="s">
        <v>1476</v>
      </c>
      <c r="Y2310" s="6"/>
      <c r="Z2310" s="6"/>
      <c r="AA2310" s="6" t="s">
        <v>61</v>
      </c>
      <c r="AB2310" s="8"/>
    </row>
    <row r="2311" spans="1:28" s="4" customFormat="1" ht="51.95" customHeight="1">
      <c r="A2311" s="5">
        <v>0</v>
      </c>
      <c r="B2311" s="6" t="s">
        <v>14091</v>
      </c>
      <c r="C2311" s="13">
        <v>1440</v>
      </c>
      <c r="D2311" s="8" t="s">
        <v>14092</v>
      </c>
      <c r="E2311" s="8" t="s">
        <v>14093</v>
      </c>
      <c r="F2311" s="8" t="s">
        <v>14094</v>
      </c>
      <c r="G2311" s="6" t="s">
        <v>89</v>
      </c>
      <c r="H2311" s="6" t="s">
        <v>952</v>
      </c>
      <c r="I2311" s="8"/>
      <c r="J2311" s="9">
        <v>1</v>
      </c>
      <c r="K2311" s="9">
        <v>288</v>
      </c>
      <c r="L2311" s="9">
        <v>2024</v>
      </c>
      <c r="M2311" s="8" t="s">
        <v>14095</v>
      </c>
      <c r="N2311" s="8" t="s">
        <v>41</v>
      </c>
      <c r="O2311" s="8" t="s">
        <v>118</v>
      </c>
      <c r="P2311" s="6" t="s">
        <v>167</v>
      </c>
      <c r="Q2311" s="8" t="s">
        <v>102</v>
      </c>
      <c r="R2311" s="10" t="s">
        <v>1349</v>
      </c>
      <c r="S2311" s="11" t="s">
        <v>14096</v>
      </c>
      <c r="T2311" s="6"/>
      <c r="U2311" s="24" t="str">
        <f>HYPERLINK("https://media.infra-m.ru/2125/2125913/cover/2125913.jpg", "Обложка")</f>
        <v>Обложка</v>
      </c>
      <c r="V2311" s="24" t="str">
        <f>HYPERLINK("https://znanium.ru/catalog/product/2125913", "Ознакомиться")</f>
        <v>Ознакомиться</v>
      </c>
      <c r="W2311" s="8" t="s">
        <v>1253</v>
      </c>
      <c r="X2311" s="6"/>
      <c r="Y2311" s="6"/>
      <c r="Z2311" s="6"/>
      <c r="AA2311" s="6" t="s">
        <v>663</v>
      </c>
      <c r="AB2311" s="8"/>
    </row>
    <row r="2312" spans="1:28" s="4" customFormat="1" ht="51.95" customHeight="1">
      <c r="A2312" s="5">
        <v>0</v>
      </c>
      <c r="B2312" s="6" t="s">
        <v>14097</v>
      </c>
      <c r="C2312" s="13">
        <v>2950</v>
      </c>
      <c r="D2312" s="8" t="s">
        <v>14098</v>
      </c>
      <c r="E2312" s="8" t="s">
        <v>14099</v>
      </c>
      <c r="F2312" s="8" t="s">
        <v>14100</v>
      </c>
      <c r="G2312" s="6" t="s">
        <v>52</v>
      </c>
      <c r="H2312" s="6" t="s">
        <v>952</v>
      </c>
      <c r="I2312" s="8"/>
      <c r="J2312" s="9">
        <v>1</v>
      </c>
      <c r="K2312" s="9">
        <v>656</v>
      </c>
      <c r="L2312" s="9">
        <v>2023</v>
      </c>
      <c r="M2312" s="8" t="s">
        <v>14101</v>
      </c>
      <c r="N2312" s="8" t="s">
        <v>41</v>
      </c>
      <c r="O2312" s="8" t="s">
        <v>118</v>
      </c>
      <c r="P2312" s="6" t="s">
        <v>167</v>
      </c>
      <c r="Q2312" s="8" t="s">
        <v>44</v>
      </c>
      <c r="R2312" s="10" t="s">
        <v>14102</v>
      </c>
      <c r="S2312" s="11" t="s">
        <v>14103</v>
      </c>
      <c r="T2312" s="6"/>
      <c r="U2312" s="24" t="str">
        <f>HYPERLINK("https://media.infra-m.ru/1893/1893500/cover/1893500.jpg", "Обложка")</f>
        <v>Обложка</v>
      </c>
      <c r="V2312" s="24" t="str">
        <f>HYPERLINK("https://znanium.ru/catalog/product/2139996", "Ознакомиться")</f>
        <v>Ознакомиться</v>
      </c>
      <c r="W2312" s="8" t="s">
        <v>1253</v>
      </c>
      <c r="X2312" s="6"/>
      <c r="Y2312" s="6"/>
      <c r="Z2312" s="6"/>
      <c r="AA2312" s="6" t="s">
        <v>14104</v>
      </c>
      <c r="AB2312" s="8"/>
    </row>
    <row r="2313" spans="1:28" s="4" customFormat="1" ht="51.95" customHeight="1">
      <c r="A2313" s="5">
        <v>0</v>
      </c>
      <c r="B2313" s="6" t="s">
        <v>14105</v>
      </c>
      <c r="C2313" s="13">
        <v>3344</v>
      </c>
      <c r="D2313" s="8" t="s">
        <v>14106</v>
      </c>
      <c r="E2313" s="8" t="s">
        <v>14107</v>
      </c>
      <c r="F2313" s="8" t="s">
        <v>14100</v>
      </c>
      <c r="G2313" s="6" t="s">
        <v>52</v>
      </c>
      <c r="H2313" s="6" t="s">
        <v>952</v>
      </c>
      <c r="I2313" s="8"/>
      <c r="J2313" s="9">
        <v>1</v>
      </c>
      <c r="K2313" s="9">
        <v>672</v>
      </c>
      <c r="L2313" s="9">
        <v>2025</v>
      </c>
      <c r="M2313" s="8" t="s">
        <v>14108</v>
      </c>
      <c r="N2313" s="8" t="s">
        <v>41</v>
      </c>
      <c r="O2313" s="8" t="s">
        <v>118</v>
      </c>
      <c r="P2313" s="6" t="s">
        <v>167</v>
      </c>
      <c r="Q2313" s="8" t="s">
        <v>44</v>
      </c>
      <c r="R2313" s="10" t="s">
        <v>14102</v>
      </c>
      <c r="S2313" s="11" t="s">
        <v>14103</v>
      </c>
      <c r="T2313" s="6"/>
      <c r="U2313" s="24" t="str">
        <f>HYPERLINK("https://media.infra-m.ru/2170/2170629/cover/2170629.jpg", "Обложка")</f>
        <v>Обложка</v>
      </c>
      <c r="V2313" s="24" t="str">
        <f>HYPERLINK("https://znanium.ru/catalog/product/2139996", "Ознакомиться")</f>
        <v>Ознакомиться</v>
      </c>
      <c r="W2313" s="8" t="s">
        <v>1253</v>
      </c>
      <c r="X2313" s="6"/>
      <c r="Y2313" s="6"/>
      <c r="Z2313" s="6"/>
      <c r="AA2313" s="6" t="s">
        <v>14109</v>
      </c>
      <c r="AB2313" s="8"/>
    </row>
    <row r="2314" spans="1:28" s="4" customFormat="1" ht="44.1" customHeight="1">
      <c r="A2314" s="5">
        <v>0</v>
      </c>
      <c r="B2314" s="6" t="s">
        <v>14110</v>
      </c>
      <c r="C2314" s="13">
        <v>2400</v>
      </c>
      <c r="D2314" s="8" t="s">
        <v>14111</v>
      </c>
      <c r="E2314" s="8" t="s">
        <v>14083</v>
      </c>
      <c r="F2314" s="8" t="s">
        <v>14112</v>
      </c>
      <c r="G2314" s="6" t="s">
        <v>52</v>
      </c>
      <c r="H2314" s="6" t="s">
        <v>184</v>
      </c>
      <c r="I2314" s="8" t="s">
        <v>116</v>
      </c>
      <c r="J2314" s="9">
        <v>1</v>
      </c>
      <c r="K2314" s="9">
        <v>480</v>
      </c>
      <c r="L2314" s="9">
        <v>2025</v>
      </c>
      <c r="M2314" s="8" t="s">
        <v>14113</v>
      </c>
      <c r="N2314" s="8" t="s">
        <v>41</v>
      </c>
      <c r="O2314" s="8" t="s">
        <v>118</v>
      </c>
      <c r="P2314" s="6" t="s">
        <v>167</v>
      </c>
      <c r="Q2314" s="8" t="s">
        <v>44</v>
      </c>
      <c r="R2314" s="10" t="s">
        <v>14114</v>
      </c>
      <c r="S2314" s="11"/>
      <c r="T2314" s="6"/>
      <c r="U2314" s="24" t="str">
        <f>HYPERLINK("https://media.infra-m.ru/2158/2158054/cover/2158054.jpg", "Обложка")</f>
        <v>Обложка</v>
      </c>
      <c r="V2314" s="24" t="str">
        <f>HYPERLINK("https://znanium.ru/catalog/product/2158054", "Ознакомиться")</f>
        <v>Ознакомиться</v>
      </c>
      <c r="W2314" s="8" t="s">
        <v>347</v>
      </c>
      <c r="X2314" s="6"/>
      <c r="Y2314" s="6"/>
      <c r="Z2314" s="6"/>
      <c r="AA2314" s="6" t="s">
        <v>258</v>
      </c>
      <c r="AB2314" s="8"/>
    </row>
    <row r="2315" spans="1:28" s="4" customFormat="1" ht="51.95" customHeight="1">
      <c r="A2315" s="5">
        <v>0</v>
      </c>
      <c r="B2315" s="6" t="s">
        <v>14115</v>
      </c>
      <c r="C2315" s="13">
        <v>1584</v>
      </c>
      <c r="D2315" s="8" t="s">
        <v>14116</v>
      </c>
      <c r="E2315" s="8" t="s">
        <v>14083</v>
      </c>
      <c r="F2315" s="8" t="s">
        <v>12581</v>
      </c>
      <c r="G2315" s="6" t="s">
        <v>52</v>
      </c>
      <c r="H2315" s="6" t="s">
        <v>649</v>
      </c>
      <c r="I2315" s="8" t="s">
        <v>100</v>
      </c>
      <c r="J2315" s="9">
        <v>1</v>
      </c>
      <c r="K2315" s="9">
        <v>304</v>
      </c>
      <c r="L2315" s="9">
        <v>2025</v>
      </c>
      <c r="M2315" s="8" t="s">
        <v>14117</v>
      </c>
      <c r="N2315" s="8" t="s">
        <v>41</v>
      </c>
      <c r="O2315" s="8" t="s">
        <v>118</v>
      </c>
      <c r="P2315" s="6" t="s">
        <v>43</v>
      </c>
      <c r="Q2315" s="8" t="s">
        <v>102</v>
      </c>
      <c r="R2315" s="10" t="s">
        <v>1349</v>
      </c>
      <c r="S2315" s="11" t="s">
        <v>3086</v>
      </c>
      <c r="T2315" s="6"/>
      <c r="U2315" s="24" t="str">
        <f>HYPERLINK("https://media.infra-m.ru/2202/2202174/cover/2202174.jpg", "Обложка")</f>
        <v>Обложка</v>
      </c>
      <c r="V2315" s="24" t="str">
        <f>HYPERLINK("https://znanium.ru/catalog/product/1141806", "Ознакомиться")</f>
        <v>Ознакомиться</v>
      </c>
      <c r="W2315" s="8" t="s">
        <v>1345</v>
      </c>
      <c r="X2315" s="6"/>
      <c r="Y2315" s="6"/>
      <c r="Z2315" s="6"/>
      <c r="AA2315" s="6" t="s">
        <v>8847</v>
      </c>
      <c r="AB2315" s="8"/>
    </row>
    <row r="2316" spans="1:28" s="4" customFormat="1" ht="51.95" customHeight="1">
      <c r="A2316" s="5">
        <v>0</v>
      </c>
      <c r="B2316" s="6" t="s">
        <v>14118</v>
      </c>
      <c r="C2316" s="13">
        <v>1644</v>
      </c>
      <c r="D2316" s="8" t="s">
        <v>14119</v>
      </c>
      <c r="E2316" s="8" t="s">
        <v>14083</v>
      </c>
      <c r="F2316" s="8" t="s">
        <v>14120</v>
      </c>
      <c r="G2316" s="6" t="s">
        <v>52</v>
      </c>
      <c r="H2316" s="6" t="s">
        <v>53</v>
      </c>
      <c r="I2316" s="8" t="s">
        <v>116</v>
      </c>
      <c r="J2316" s="9">
        <v>1</v>
      </c>
      <c r="K2316" s="9">
        <v>328</v>
      </c>
      <c r="L2316" s="9">
        <v>2025</v>
      </c>
      <c r="M2316" s="8" t="s">
        <v>14121</v>
      </c>
      <c r="N2316" s="8" t="s">
        <v>41</v>
      </c>
      <c r="O2316" s="8" t="s">
        <v>118</v>
      </c>
      <c r="P2316" s="6" t="s">
        <v>43</v>
      </c>
      <c r="Q2316" s="8" t="s">
        <v>44</v>
      </c>
      <c r="R2316" s="10" t="s">
        <v>168</v>
      </c>
      <c r="S2316" s="11" t="s">
        <v>11226</v>
      </c>
      <c r="T2316" s="6" t="s">
        <v>299</v>
      </c>
      <c r="U2316" s="24" t="str">
        <f>HYPERLINK("https://media.infra-m.ru/2186/2186900/cover/2186900.jpg", "Обложка")</f>
        <v>Обложка</v>
      </c>
      <c r="V2316" s="24" t="str">
        <f>HYPERLINK("https://znanium.ru/catalog/product/2186900", "Ознакомиться")</f>
        <v>Ознакомиться</v>
      </c>
      <c r="W2316" s="8" t="s">
        <v>4815</v>
      </c>
      <c r="X2316" s="6"/>
      <c r="Y2316" s="6"/>
      <c r="Z2316" s="6"/>
      <c r="AA2316" s="6" t="s">
        <v>654</v>
      </c>
      <c r="AB2316" s="8"/>
    </row>
    <row r="2317" spans="1:28" s="4" customFormat="1" ht="51.95" customHeight="1">
      <c r="A2317" s="5">
        <v>0</v>
      </c>
      <c r="B2317" s="6" t="s">
        <v>14122</v>
      </c>
      <c r="C2317" s="13">
        <v>1780</v>
      </c>
      <c r="D2317" s="8" t="s">
        <v>14123</v>
      </c>
      <c r="E2317" s="8" t="s">
        <v>14093</v>
      </c>
      <c r="F2317" s="8" t="s">
        <v>14124</v>
      </c>
      <c r="G2317" s="6" t="s">
        <v>89</v>
      </c>
      <c r="H2317" s="6" t="s">
        <v>53</v>
      </c>
      <c r="I2317" s="8" t="s">
        <v>100</v>
      </c>
      <c r="J2317" s="9">
        <v>1</v>
      </c>
      <c r="K2317" s="9">
        <v>342</v>
      </c>
      <c r="L2317" s="9">
        <v>2025</v>
      </c>
      <c r="M2317" s="8" t="s">
        <v>14125</v>
      </c>
      <c r="N2317" s="8" t="s">
        <v>41</v>
      </c>
      <c r="O2317" s="8" t="s">
        <v>118</v>
      </c>
      <c r="P2317" s="6" t="s">
        <v>43</v>
      </c>
      <c r="Q2317" s="8" t="s">
        <v>102</v>
      </c>
      <c r="R2317" s="10" t="s">
        <v>1349</v>
      </c>
      <c r="S2317" s="11" t="s">
        <v>3081</v>
      </c>
      <c r="T2317" s="6"/>
      <c r="U2317" s="24" t="str">
        <f>HYPERLINK("https://media.infra-m.ru/2181/2181293/cover/2181293.jpg", "Обложка")</f>
        <v>Обложка</v>
      </c>
      <c r="V2317" s="24" t="str">
        <f>HYPERLINK("https://znanium.ru/catalog/product/2181293", "Ознакомиться")</f>
        <v>Ознакомиться</v>
      </c>
      <c r="W2317" s="8" t="s">
        <v>1345</v>
      </c>
      <c r="X2317" s="6"/>
      <c r="Y2317" s="6"/>
      <c r="Z2317" s="6"/>
      <c r="AA2317" s="6" t="s">
        <v>326</v>
      </c>
      <c r="AB2317" s="8"/>
    </row>
    <row r="2318" spans="1:28" s="4" customFormat="1" ht="51.95" customHeight="1">
      <c r="A2318" s="5">
        <v>0</v>
      </c>
      <c r="B2318" s="6" t="s">
        <v>14126</v>
      </c>
      <c r="C2318" s="13">
        <v>1414</v>
      </c>
      <c r="D2318" s="8" t="s">
        <v>14127</v>
      </c>
      <c r="E2318" s="8" t="s">
        <v>14083</v>
      </c>
      <c r="F2318" s="8" t="s">
        <v>14128</v>
      </c>
      <c r="G2318" s="6" t="s">
        <v>89</v>
      </c>
      <c r="H2318" s="6" t="s">
        <v>77</v>
      </c>
      <c r="I2318" s="8"/>
      <c r="J2318" s="9">
        <v>1</v>
      </c>
      <c r="K2318" s="9">
        <v>272</v>
      </c>
      <c r="L2318" s="9">
        <v>2025</v>
      </c>
      <c r="M2318" s="8" t="s">
        <v>14129</v>
      </c>
      <c r="N2318" s="8" t="s">
        <v>41</v>
      </c>
      <c r="O2318" s="8" t="s">
        <v>118</v>
      </c>
      <c r="P2318" s="6" t="s">
        <v>43</v>
      </c>
      <c r="Q2318" s="8" t="s">
        <v>44</v>
      </c>
      <c r="R2318" s="10" t="s">
        <v>14130</v>
      </c>
      <c r="S2318" s="11"/>
      <c r="T2318" s="6"/>
      <c r="U2318" s="24" t="str">
        <f>HYPERLINK("https://media.infra-m.ru/2084/2084189/cover/2084189.jpg", "Обложка")</f>
        <v>Обложка</v>
      </c>
      <c r="V2318" s="24" t="str">
        <f>HYPERLINK("https://znanium.ru/catalog/product/1852184", "Ознакомиться")</f>
        <v>Ознакомиться</v>
      </c>
      <c r="W2318" s="8" t="s">
        <v>4383</v>
      </c>
      <c r="X2318" s="6"/>
      <c r="Y2318" s="6"/>
      <c r="Z2318" s="6"/>
      <c r="AA2318" s="6" t="s">
        <v>111</v>
      </c>
      <c r="AB2318" s="8"/>
    </row>
    <row r="2319" spans="1:28" s="4" customFormat="1" ht="51.95" customHeight="1">
      <c r="A2319" s="5">
        <v>0</v>
      </c>
      <c r="B2319" s="6" t="s">
        <v>14131</v>
      </c>
      <c r="C2319" s="13">
        <v>1364</v>
      </c>
      <c r="D2319" s="8" t="s">
        <v>14132</v>
      </c>
      <c r="E2319" s="8" t="s">
        <v>14083</v>
      </c>
      <c r="F2319" s="8" t="s">
        <v>14128</v>
      </c>
      <c r="G2319" s="6" t="s">
        <v>52</v>
      </c>
      <c r="H2319" s="6" t="s">
        <v>77</v>
      </c>
      <c r="I2319" s="8" t="s">
        <v>100</v>
      </c>
      <c r="J2319" s="9">
        <v>1</v>
      </c>
      <c r="K2319" s="9">
        <v>272</v>
      </c>
      <c r="L2319" s="9">
        <v>2025</v>
      </c>
      <c r="M2319" s="8" t="s">
        <v>14133</v>
      </c>
      <c r="N2319" s="8" t="s">
        <v>41</v>
      </c>
      <c r="O2319" s="8" t="s">
        <v>118</v>
      </c>
      <c r="P2319" s="6" t="s">
        <v>43</v>
      </c>
      <c r="Q2319" s="8" t="s">
        <v>102</v>
      </c>
      <c r="R2319" s="10" t="s">
        <v>1349</v>
      </c>
      <c r="S2319" s="11" t="s">
        <v>14134</v>
      </c>
      <c r="T2319" s="6"/>
      <c r="U2319" s="24" t="str">
        <f>HYPERLINK("https://media.infra-m.ru/2158/2158003/cover/2158003.jpg", "Обложка")</f>
        <v>Обложка</v>
      </c>
      <c r="V2319" s="24" t="str">
        <f>HYPERLINK("https://znanium.ru/catalog/product/1048495", "Ознакомиться")</f>
        <v>Ознакомиться</v>
      </c>
      <c r="W2319" s="8" t="s">
        <v>4383</v>
      </c>
      <c r="X2319" s="6"/>
      <c r="Y2319" s="6"/>
      <c r="Z2319" s="6" t="s">
        <v>104</v>
      </c>
      <c r="AA2319" s="6" t="s">
        <v>258</v>
      </c>
      <c r="AB2319" s="8"/>
    </row>
    <row r="2320" spans="1:28" s="4" customFormat="1" ht="51.95" customHeight="1">
      <c r="A2320" s="5">
        <v>0</v>
      </c>
      <c r="B2320" s="6" t="s">
        <v>14135</v>
      </c>
      <c r="C2320" s="7">
        <v>940</v>
      </c>
      <c r="D2320" s="8" t="s">
        <v>14136</v>
      </c>
      <c r="E2320" s="8" t="s">
        <v>14083</v>
      </c>
      <c r="F2320" s="8" t="s">
        <v>14137</v>
      </c>
      <c r="G2320" s="6" t="s">
        <v>89</v>
      </c>
      <c r="H2320" s="6" t="s">
        <v>53</v>
      </c>
      <c r="I2320" s="8" t="s">
        <v>100</v>
      </c>
      <c r="J2320" s="9">
        <v>1</v>
      </c>
      <c r="K2320" s="9">
        <v>197</v>
      </c>
      <c r="L2320" s="9">
        <v>2024</v>
      </c>
      <c r="M2320" s="8" t="s">
        <v>14138</v>
      </c>
      <c r="N2320" s="8" t="s">
        <v>41</v>
      </c>
      <c r="O2320" s="8" t="s">
        <v>118</v>
      </c>
      <c r="P2320" s="6" t="s">
        <v>43</v>
      </c>
      <c r="Q2320" s="8" t="s">
        <v>102</v>
      </c>
      <c r="R2320" s="10" t="s">
        <v>1349</v>
      </c>
      <c r="S2320" s="11" t="s">
        <v>14139</v>
      </c>
      <c r="T2320" s="6"/>
      <c r="U2320" s="24" t="str">
        <f>HYPERLINK("https://media.infra-m.ru/2085/2085534/cover/2085534.jpg", "Обложка")</f>
        <v>Обложка</v>
      </c>
      <c r="V2320" s="24" t="str">
        <f>HYPERLINK("https://znanium.ru/catalog/product/2085534", "Ознакомиться")</f>
        <v>Ознакомиться</v>
      </c>
      <c r="W2320" s="8" t="s">
        <v>354</v>
      </c>
      <c r="X2320" s="6"/>
      <c r="Y2320" s="6"/>
      <c r="Z2320" s="6"/>
      <c r="AA2320" s="6" t="s">
        <v>442</v>
      </c>
      <c r="AB2320" s="8"/>
    </row>
    <row r="2321" spans="1:28" s="4" customFormat="1" ht="51.95" customHeight="1">
      <c r="A2321" s="5">
        <v>0</v>
      </c>
      <c r="B2321" s="6" t="s">
        <v>14140</v>
      </c>
      <c r="C2321" s="13">
        <v>1334</v>
      </c>
      <c r="D2321" s="8" t="s">
        <v>14141</v>
      </c>
      <c r="E2321" s="8" t="s">
        <v>14093</v>
      </c>
      <c r="F2321" s="8" t="s">
        <v>8946</v>
      </c>
      <c r="G2321" s="6" t="s">
        <v>52</v>
      </c>
      <c r="H2321" s="6" t="s">
        <v>53</v>
      </c>
      <c r="I2321" s="8" t="s">
        <v>90</v>
      </c>
      <c r="J2321" s="9">
        <v>1</v>
      </c>
      <c r="K2321" s="9">
        <v>256</v>
      </c>
      <c r="L2321" s="9">
        <v>2025</v>
      </c>
      <c r="M2321" s="8" t="s">
        <v>14142</v>
      </c>
      <c r="N2321" s="8" t="s">
        <v>41</v>
      </c>
      <c r="O2321" s="8" t="s">
        <v>118</v>
      </c>
      <c r="P2321" s="6" t="s">
        <v>43</v>
      </c>
      <c r="Q2321" s="8" t="s">
        <v>44</v>
      </c>
      <c r="R2321" s="10" t="s">
        <v>14143</v>
      </c>
      <c r="S2321" s="11" t="s">
        <v>7925</v>
      </c>
      <c r="T2321" s="6"/>
      <c r="U2321" s="24" t="str">
        <f>HYPERLINK("https://media.infra-m.ru/2196/2196873/cover/2196873.jpg", "Обложка")</f>
        <v>Обложка</v>
      </c>
      <c r="V2321" s="24" t="str">
        <f>HYPERLINK("https://znanium.ru/catalog/product/1228802", "Ознакомиться")</f>
        <v>Ознакомиться</v>
      </c>
      <c r="W2321" s="8" t="s">
        <v>4161</v>
      </c>
      <c r="X2321" s="6"/>
      <c r="Y2321" s="6"/>
      <c r="Z2321" s="6"/>
      <c r="AA2321" s="6" t="s">
        <v>479</v>
      </c>
      <c r="AB2321" s="8"/>
    </row>
    <row r="2322" spans="1:28" s="4" customFormat="1" ht="51.95" customHeight="1">
      <c r="A2322" s="5">
        <v>0</v>
      </c>
      <c r="B2322" s="6" t="s">
        <v>14144</v>
      </c>
      <c r="C2322" s="13">
        <v>1660</v>
      </c>
      <c r="D2322" s="8" t="s">
        <v>14145</v>
      </c>
      <c r="E2322" s="8" t="s">
        <v>14146</v>
      </c>
      <c r="F2322" s="8" t="s">
        <v>4133</v>
      </c>
      <c r="G2322" s="6" t="s">
        <v>89</v>
      </c>
      <c r="H2322" s="6" t="s">
        <v>53</v>
      </c>
      <c r="I2322" s="8" t="s">
        <v>4134</v>
      </c>
      <c r="J2322" s="9">
        <v>1</v>
      </c>
      <c r="K2322" s="9">
        <v>367</v>
      </c>
      <c r="L2322" s="9">
        <v>2023</v>
      </c>
      <c r="M2322" s="8" t="s">
        <v>14147</v>
      </c>
      <c r="N2322" s="8" t="s">
        <v>41</v>
      </c>
      <c r="O2322" s="8" t="s">
        <v>118</v>
      </c>
      <c r="P2322" s="6" t="s">
        <v>43</v>
      </c>
      <c r="Q2322" s="8" t="s">
        <v>44</v>
      </c>
      <c r="R2322" s="10" t="s">
        <v>168</v>
      </c>
      <c r="S2322" s="11" t="s">
        <v>14148</v>
      </c>
      <c r="T2322" s="6"/>
      <c r="U2322" s="24" t="str">
        <f>HYPERLINK("https://media.infra-m.ru/1937/1937176/cover/1937176.jpg", "Обложка")</f>
        <v>Обложка</v>
      </c>
      <c r="V2322" s="24" t="str">
        <f>HYPERLINK("https://znanium.ru/catalog/product/1937176", "Ознакомиться")</f>
        <v>Ознакомиться</v>
      </c>
      <c r="W2322" s="8" t="s">
        <v>2080</v>
      </c>
      <c r="X2322" s="6"/>
      <c r="Y2322" s="6"/>
      <c r="Z2322" s="6"/>
      <c r="AA2322" s="6" t="s">
        <v>867</v>
      </c>
      <c r="AB2322" s="8"/>
    </row>
    <row r="2323" spans="1:28" s="4" customFormat="1" ht="51.95" customHeight="1">
      <c r="A2323" s="5">
        <v>0</v>
      </c>
      <c r="B2323" s="6" t="s">
        <v>14149</v>
      </c>
      <c r="C2323" s="13">
        <v>1334</v>
      </c>
      <c r="D2323" s="8" t="s">
        <v>14150</v>
      </c>
      <c r="E2323" s="8" t="s">
        <v>14151</v>
      </c>
      <c r="F2323" s="8" t="s">
        <v>14152</v>
      </c>
      <c r="G2323" s="6" t="s">
        <v>52</v>
      </c>
      <c r="H2323" s="6" t="s">
        <v>66</v>
      </c>
      <c r="I2323" s="8" t="s">
        <v>116</v>
      </c>
      <c r="J2323" s="9">
        <v>1</v>
      </c>
      <c r="K2323" s="9">
        <v>288</v>
      </c>
      <c r="L2323" s="9">
        <v>2024</v>
      </c>
      <c r="M2323" s="8" t="s">
        <v>14153</v>
      </c>
      <c r="N2323" s="8" t="s">
        <v>41</v>
      </c>
      <c r="O2323" s="8" t="s">
        <v>118</v>
      </c>
      <c r="P2323" s="6" t="s">
        <v>43</v>
      </c>
      <c r="Q2323" s="8" t="s">
        <v>44</v>
      </c>
      <c r="R2323" s="10" t="s">
        <v>14154</v>
      </c>
      <c r="S2323" s="11" t="s">
        <v>14155</v>
      </c>
      <c r="T2323" s="6"/>
      <c r="U2323" s="24" t="str">
        <f>HYPERLINK("https://media.infra-m.ru/2053/2053220/cover/2053220.jpg", "Обложка")</f>
        <v>Обложка</v>
      </c>
      <c r="V2323" s="24" t="str">
        <f>HYPERLINK("https://znanium.ru/catalog/product/1002365", "Ознакомиться")</f>
        <v>Ознакомиться</v>
      </c>
      <c r="W2323" s="8" t="s">
        <v>14156</v>
      </c>
      <c r="X2323" s="6"/>
      <c r="Y2323" s="6"/>
      <c r="Z2323" s="6"/>
      <c r="AA2323" s="6" t="s">
        <v>72</v>
      </c>
      <c r="AB2323" s="8"/>
    </row>
    <row r="2324" spans="1:28" s="4" customFormat="1" ht="51.95" customHeight="1">
      <c r="A2324" s="5">
        <v>0</v>
      </c>
      <c r="B2324" s="6" t="s">
        <v>14157</v>
      </c>
      <c r="C2324" s="7">
        <v>550</v>
      </c>
      <c r="D2324" s="8" t="s">
        <v>14158</v>
      </c>
      <c r="E2324" s="8" t="s">
        <v>14159</v>
      </c>
      <c r="F2324" s="8" t="s">
        <v>14160</v>
      </c>
      <c r="G2324" s="6" t="s">
        <v>38</v>
      </c>
      <c r="H2324" s="6" t="s">
        <v>77</v>
      </c>
      <c r="I2324" s="8" t="s">
        <v>7953</v>
      </c>
      <c r="J2324" s="9">
        <v>1</v>
      </c>
      <c r="K2324" s="9">
        <v>160</v>
      </c>
      <c r="L2324" s="9">
        <v>2019</v>
      </c>
      <c r="M2324" s="8" t="s">
        <v>14161</v>
      </c>
      <c r="N2324" s="8" t="s">
        <v>56</v>
      </c>
      <c r="O2324" s="8" t="s">
        <v>741</v>
      </c>
      <c r="P2324" s="6" t="s">
        <v>1046</v>
      </c>
      <c r="Q2324" s="8" t="s">
        <v>279</v>
      </c>
      <c r="R2324" s="10" t="s">
        <v>14162</v>
      </c>
      <c r="S2324" s="11"/>
      <c r="T2324" s="6" t="s">
        <v>299</v>
      </c>
      <c r="U2324" s="12"/>
      <c r="V2324" s="24" t="str">
        <f>HYPERLINK("https://znanium.ru/catalog/product/2116872", "Ознакомиться")</f>
        <v>Ознакомиться</v>
      </c>
      <c r="W2324" s="8" t="s">
        <v>1505</v>
      </c>
      <c r="X2324" s="6"/>
      <c r="Y2324" s="6"/>
      <c r="Z2324" s="6"/>
      <c r="AA2324" s="6" t="s">
        <v>442</v>
      </c>
      <c r="AB2324" s="8"/>
    </row>
    <row r="2325" spans="1:28" s="4" customFormat="1" ht="51.95" customHeight="1">
      <c r="A2325" s="5">
        <v>0</v>
      </c>
      <c r="B2325" s="6" t="s">
        <v>14163</v>
      </c>
      <c r="C2325" s="7">
        <v>844</v>
      </c>
      <c r="D2325" s="8" t="s">
        <v>14164</v>
      </c>
      <c r="E2325" s="8" t="s">
        <v>14165</v>
      </c>
      <c r="F2325" s="8" t="s">
        <v>14166</v>
      </c>
      <c r="G2325" s="6" t="s">
        <v>89</v>
      </c>
      <c r="H2325" s="6" t="s">
        <v>53</v>
      </c>
      <c r="I2325" s="8" t="s">
        <v>100</v>
      </c>
      <c r="J2325" s="9">
        <v>1</v>
      </c>
      <c r="K2325" s="9">
        <v>178</v>
      </c>
      <c r="L2325" s="9">
        <v>2024</v>
      </c>
      <c r="M2325" s="8" t="s">
        <v>14167</v>
      </c>
      <c r="N2325" s="8" t="s">
        <v>41</v>
      </c>
      <c r="O2325" s="8" t="s">
        <v>278</v>
      </c>
      <c r="P2325" s="6" t="s">
        <v>43</v>
      </c>
      <c r="Q2325" s="8" t="s">
        <v>102</v>
      </c>
      <c r="R2325" s="10" t="s">
        <v>9516</v>
      </c>
      <c r="S2325" s="11" t="s">
        <v>14168</v>
      </c>
      <c r="T2325" s="6"/>
      <c r="U2325" s="24" t="str">
        <f>HYPERLINK("https://media.infra-m.ru/2138/2138097/cover/2138097.jpg", "Обложка")</f>
        <v>Обложка</v>
      </c>
      <c r="V2325" s="24" t="str">
        <f>HYPERLINK("https://znanium.ru/catalog/product/2138097", "Ознакомиться")</f>
        <v>Ознакомиться</v>
      </c>
      <c r="W2325" s="8" t="s">
        <v>189</v>
      </c>
      <c r="X2325" s="6"/>
      <c r="Y2325" s="6"/>
      <c r="Z2325" s="6"/>
      <c r="AA2325" s="6" t="s">
        <v>513</v>
      </c>
      <c r="AB2325" s="8"/>
    </row>
    <row r="2326" spans="1:28" s="4" customFormat="1" ht="51.95" customHeight="1">
      <c r="A2326" s="5">
        <v>0</v>
      </c>
      <c r="B2326" s="6" t="s">
        <v>14169</v>
      </c>
      <c r="C2326" s="7">
        <v>550</v>
      </c>
      <c r="D2326" s="8" t="s">
        <v>14170</v>
      </c>
      <c r="E2326" s="8" t="s">
        <v>14171</v>
      </c>
      <c r="F2326" s="8" t="s">
        <v>14166</v>
      </c>
      <c r="G2326" s="6" t="s">
        <v>38</v>
      </c>
      <c r="H2326" s="6" t="s">
        <v>649</v>
      </c>
      <c r="I2326" s="8" t="s">
        <v>185</v>
      </c>
      <c r="J2326" s="9">
        <v>1</v>
      </c>
      <c r="K2326" s="9">
        <v>152</v>
      </c>
      <c r="L2326" s="9">
        <v>2021</v>
      </c>
      <c r="M2326" s="8" t="s">
        <v>14172</v>
      </c>
      <c r="N2326" s="8" t="s">
        <v>41</v>
      </c>
      <c r="O2326" s="8" t="s">
        <v>278</v>
      </c>
      <c r="P2326" s="6" t="s">
        <v>43</v>
      </c>
      <c r="Q2326" s="8" t="s">
        <v>102</v>
      </c>
      <c r="R2326" s="10" t="s">
        <v>9516</v>
      </c>
      <c r="S2326" s="11" t="s">
        <v>14173</v>
      </c>
      <c r="T2326" s="6"/>
      <c r="U2326" s="24" t="str">
        <f>HYPERLINK("https://media.infra-m.ru/1234/1234626/cover/1234626.jpg", "Обложка")</f>
        <v>Обложка</v>
      </c>
      <c r="V2326" s="24" t="str">
        <f>HYPERLINK("https://znanium.ru/catalog/product/2138097", "Ознакомиться")</f>
        <v>Ознакомиться</v>
      </c>
      <c r="W2326" s="8" t="s">
        <v>189</v>
      </c>
      <c r="X2326" s="6"/>
      <c r="Y2326" s="6"/>
      <c r="Z2326" s="6"/>
      <c r="AA2326" s="6" t="s">
        <v>84</v>
      </c>
      <c r="AB2326" s="8"/>
    </row>
    <row r="2327" spans="1:28" s="4" customFormat="1" ht="51.95" customHeight="1">
      <c r="A2327" s="5">
        <v>0</v>
      </c>
      <c r="B2327" s="6" t="s">
        <v>14174</v>
      </c>
      <c r="C2327" s="13">
        <v>2494</v>
      </c>
      <c r="D2327" s="8" t="s">
        <v>14175</v>
      </c>
      <c r="E2327" s="8" t="s">
        <v>14176</v>
      </c>
      <c r="F2327" s="8" t="s">
        <v>11572</v>
      </c>
      <c r="G2327" s="6" t="s">
        <v>52</v>
      </c>
      <c r="H2327" s="6" t="s">
        <v>674</v>
      </c>
      <c r="I2327" s="8"/>
      <c r="J2327" s="9">
        <v>1</v>
      </c>
      <c r="K2327" s="9">
        <v>736</v>
      </c>
      <c r="L2327" s="9">
        <v>2024</v>
      </c>
      <c r="M2327" s="8" t="s">
        <v>14177</v>
      </c>
      <c r="N2327" s="8" t="s">
        <v>41</v>
      </c>
      <c r="O2327" s="8" t="s">
        <v>676</v>
      </c>
      <c r="P2327" s="6" t="s">
        <v>1046</v>
      </c>
      <c r="Q2327" s="8" t="s">
        <v>44</v>
      </c>
      <c r="R2327" s="10" t="s">
        <v>806</v>
      </c>
      <c r="S2327" s="11"/>
      <c r="T2327" s="6"/>
      <c r="U2327" s="24" t="str">
        <f>HYPERLINK("https://media.infra-m.ru/2136/2136699/cover/2136699.jpg", "Обложка")</f>
        <v>Обложка</v>
      </c>
      <c r="V2327" s="24" t="str">
        <f>HYPERLINK("https://znanium.ru/catalog/product/1200660", "Ознакомиться")</f>
        <v>Ознакомиться</v>
      </c>
      <c r="W2327" s="8" t="s">
        <v>354</v>
      </c>
      <c r="X2327" s="6"/>
      <c r="Y2327" s="6"/>
      <c r="Z2327" s="6"/>
      <c r="AA2327" s="6" t="s">
        <v>122</v>
      </c>
      <c r="AB2327" s="8"/>
    </row>
    <row r="2328" spans="1:28" s="4" customFormat="1" ht="51.95" customHeight="1">
      <c r="A2328" s="5">
        <v>0</v>
      </c>
      <c r="B2328" s="6" t="s">
        <v>14178</v>
      </c>
      <c r="C2328" s="13">
        <v>2290</v>
      </c>
      <c r="D2328" s="8" t="s">
        <v>14179</v>
      </c>
      <c r="E2328" s="8" t="s">
        <v>14180</v>
      </c>
      <c r="F2328" s="8" t="s">
        <v>14181</v>
      </c>
      <c r="G2328" s="6" t="s">
        <v>52</v>
      </c>
      <c r="H2328" s="6" t="s">
        <v>53</v>
      </c>
      <c r="I2328" s="8" t="s">
        <v>100</v>
      </c>
      <c r="J2328" s="9">
        <v>1</v>
      </c>
      <c r="K2328" s="9">
        <v>457</v>
      </c>
      <c r="L2328" s="9">
        <v>2025</v>
      </c>
      <c r="M2328" s="8" t="s">
        <v>14182</v>
      </c>
      <c r="N2328" s="8" t="s">
        <v>79</v>
      </c>
      <c r="O2328" s="8" t="s">
        <v>424</v>
      </c>
      <c r="P2328" s="6" t="s">
        <v>167</v>
      </c>
      <c r="Q2328" s="8" t="s">
        <v>102</v>
      </c>
      <c r="R2328" s="10" t="s">
        <v>14183</v>
      </c>
      <c r="S2328" s="11" t="s">
        <v>14184</v>
      </c>
      <c r="T2328" s="6"/>
      <c r="U2328" s="24" t="str">
        <f>HYPERLINK("https://media.infra-m.ru/2188/2188706/cover/2188706.jpg", "Обложка")</f>
        <v>Обложка</v>
      </c>
      <c r="V2328" s="24" t="str">
        <f>HYPERLINK("https://znanium.ru/catalog/product/2188706", "Ознакомиться")</f>
        <v>Ознакомиться</v>
      </c>
      <c r="W2328" s="8" t="s">
        <v>450</v>
      </c>
      <c r="X2328" s="6"/>
      <c r="Y2328" s="6"/>
      <c r="Z2328" s="6"/>
      <c r="AA2328" s="6" t="s">
        <v>2217</v>
      </c>
      <c r="AB2328" s="8"/>
    </row>
    <row r="2329" spans="1:28" s="4" customFormat="1" ht="51.95" customHeight="1">
      <c r="A2329" s="5">
        <v>0</v>
      </c>
      <c r="B2329" s="6" t="s">
        <v>14185</v>
      </c>
      <c r="C2329" s="13">
        <v>1630</v>
      </c>
      <c r="D2329" s="8" t="s">
        <v>14186</v>
      </c>
      <c r="E2329" s="8" t="s">
        <v>14187</v>
      </c>
      <c r="F2329" s="8" t="s">
        <v>14188</v>
      </c>
      <c r="G2329" s="6" t="s">
        <v>89</v>
      </c>
      <c r="H2329" s="6" t="s">
        <v>649</v>
      </c>
      <c r="I2329" s="8" t="s">
        <v>185</v>
      </c>
      <c r="J2329" s="9">
        <v>1</v>
      </c>
      <c r="K2329" s="9">
        <v>320</v>
      </c>
      <c r="L2329" s="9">
        <v>2025</v>
      </c>
      <c r="M2329" s="8" t="s">
        <v>14189</v>
      </c>
      <c r="N2329" s="8" t="s">
        <v>79</v>
      </c>
      <c r="O2329" s="8" t="s">
        <v>396</v>
      </c>
      <c r="P2329" s="6" t="s">
        <v>167</v>
      </c>
      <c r="Q2329" s="8" t="s">
        <v>102</v>
      </c>
      <c r="R2329" s="10" t="s">
        <v>14190</v>
      </c>
      <c r="S2329" s="11" t="s">
        <v>14191</v>
      </c>
      <c r="T2329" s="6"/>
      <c r="U2329" s="24" t="str">
        <f>HYPERLINK("https://media.infra-m.ru/2184/2184923/cover/2184923.jpg", "Обложка")</f>
        <v>Обложка</v>
      </c>
      <c r="V2329" s="24" t="str">
        <f>HYPERLINK("https://znanium.ru/catalog/product/2184923", "Ознакомиться")</f>
        <v>Ознакомиться</v>
      </c>
      <c r="W2329" s="8" t="s">
        <v>450</v>
      </c>
      <c r="X2329" s="6"/>
      <c r="Y2329" s="6" t="s">
        <v>30</v>
      </c>
      <c r="Z2329" s="6"/>
      <c r="AA2329" s="6" t="s">
        <v>72</v>
      </c>
      <c r="AB2329" s="8"/>
    </row>
    <row r="2330" spans="1:28" s="4" customFormat="1" ht="51.95" customHeight="1">
      <c r="A2330" s="5">
        <v>0</v>
      </c>
      <c r="B2330" s="6" t="s">
        <v>14192</v>
      </c>
      <c r="C2330" s="13">
        <v>1684</v>
      </c>
      <c r="D2330" s="8" t="s">
        <v>14193</v>
      </c>
      <c r="E2330" s="8" t="s">
        <v>14187</v>
      </c>
      <c r="F2330" s="8" t="s">
        <v>14194</v>
      </c>
      <c r="G2330" s="6" t="s">
        <v>52</v>
      </c>
      <c r="H2330" s="6" t="s">
        <v>1738</v>
      </c>
      <c r="I2330" s="8" t="s">
        <v>1739</v>
      </c>
      <c r="J2330" s="9">
        <v>1</v>
      </c>
      <c r="K2330" s="9">
        <v>336</v>
      </c>
      <c r="L2330" s="9">
        <v>2025</v>
      </c>
      <c r="M2330" s="8" t="s">
        <v>14195</v>
      </c>
      <c r="N2330" s="8" t="s">
        <v>79</v>
      </c>
      <c r="O2330" s="8" t="s">
        <v>396</v>
      </c>
      <c r="P2330" s="6" t="s">
        <v>43</v>
      </c>
      <c r="Q2330" s="8" t="s">
        <v>102</v>
      </c>
      <c r="R2330" s="10" t="s">
        <v>14196</v>
      </c>
      <c r="S2330" s="11" t="s">
        <v>14197</v>
      </c>
      <c r="T2330" s="6"/>
      <c r="U2330" s="24" t="str">
        <f>HYPERLINK("https://media.infra-m.ru/2186/2186876/cover/2186876.jpg", "Обложка")</f>
        <v>Обложка</v>
      </c>
      <c r="V2330" s="24" t="str">
        <f>HYPERLINK("https://znanium.ru/catalog/product/1082308", "Ознакомиться")</f>
        <v>Ознакомиться</v>
      </c>
      <c r="W2330" s="8" t="s">
        <v>71</v>
      </c>
      <c r="X2330" s="6"/>
      <c r="Y2330" s="6"/>
      <c r="Z2330" s="6"/>
      <c r="AA2330" s="6" t="s">
        <v>2217</v>
      </c>
      <c r="AB2330" s="8"/>
    </row>
    <row r="2331" spans="1:28" s="4" customFormat="1" ht="51.95" customHeight="1">
      <c r="A2331" s="5">
        <v>0</v>
      </c>
      <c r="B2331" s="6" t="s">
        <v>14198</v>
      </c>
      <c r="C2331" s="13">
        <v>1592</v>
      </c>
      <c r="D2331" s="8" t="s">
        <v>14199</v>
      </c>
      <c r="E2331" s="8" t="s">
        <v>14200</v>
      </c>
      <c r="F2331" s="8" t="s">
        <v>14201</v>
      </c>
      <c r="G2331" s="6" t="s">
        <v>89</v>
      </c>
      <c r="H2331" s="6" t="s">
        <v>77</v>
      </c>
      <c r="I2331" s="8" t="s">
        <v>100</v>
      </c>
      <c r="J2331" s="9">
        <v>1</v>
      </c>
      <c r="K2331" s="9">
        <v>260</v>
      </c>
      <c r="L2331" s="9">
        <v>2024</v>
      </c>
      <c r="M2331" s="8" t="s">
        <v>14202</v>
      </c>
      <c r="N2331" s="8" t="s">
        <v>79</v>
      </c>
      <c r="O2331" s="8" t="s">
        <v>396</v>
      </c>
      <c r="P2331" s="6" t="s">
        <v>43</v>
      </c>
      <c r="Q2331" s="8" t="s">
        <v>102</v>
      </c>
      <c r="R2331" s="10" t="s">
        <v>14203</v>
      </c>
      <c r="S2331" s="11" t="s">
        <v>14204</v>
      </c>
      <c r="T2331" s="6"/>
      <c r="U2331" s="24" t="str">
        <f>HYPERLINK("https://media.infra-m.ru/2083/2083399/cover/2083399.jpg", "Обложка")</f>
        <v>Обложка</v>
      </c>
      <c r="V2331" s="24" t="str">
        <f>HYPERLINK("https://znanium.ru/catalog/product/2083399", "Ознакомиться")</f>
        <v>Ознакомиться</v>
      </c>
      <c r="W2331" s="8" t="s">
        <v>150</v>
      </c>
      <c r="X2331" s="6"/>
      <c r="Y2331" s="6"/>
      <c r="Z2331" s="6" t="s">
        <v>104</v>
      </c>
      <c r="AA2331" s="6" t="s">
        <v>1374</v>
      </c>
      <c r="AB2331" s="8"/>
    </row>
    <row r="2332" spans="1:28" s="4" customFormat="1" ht="42" customHeight="1">
      <c r="A2332" s="5">
        <v>0</v>
      </c>
      <c r="B2332" s="6" t="s">
        <v>14205</v>
      </c>
      <c r="C2332" s="13">
        <v>1530</v>
      </c>
      <c r="D2332" s="8" t="s">
        <v>14206</v>
      </c>
      <c r="E2332" s="8" t="s">
        <v>14200</v>
      </c>
      <c r="F2332" s="8" t="s">
        <v>14201</v>
      </c>
      <c r="G2332" s="6" t="s">
        <v>89</v>
      </c>
      <c r="H2332" s="6" t="s">
        <v>77</v>
      </c>
      <c r="I2332" s="8" t="s">
        <v>90</v>
      </c>
      <c r="J2332" s="9">
        <v>1</v>
      </c>
      <c r="K2332" s="9">
        <v>260</v>
      </c>
      <c r="L2332" s="9">
        <v>2023</v>
      </c>
      <c r="M2332" s="8" t="s">
        <v>14207</v>
      </c>
      <c r="N2332" s="8" t="s">
        <v>79</v>
      </c>
      <c r="O2332" s="8" t="s">
        <v>396</v>
      </c>
      <c r="P2332" s="6" t="s">
        <v>43</v>
      </c>
      <c r="Q2332" s="8" t="s">
        <v>44</v>
      </c>
      <c r="R2332" s="10" t="s">
        <v>7643</v>
      </c>
      <c r="S2332" s="11"/>
      <c r="T2332" s="6"/>
      <c r="U2332" s="24" t="str">
        <f>HYPERLINK("https://media.infra-m.ru/1895/1895652/cover/1895652.jpg", "Обложка")</f>
        <v>Обложка</v>
      </c>
      <c r="V2332" s="24" t="str">
        <f>HYPERLINK("https://znanium.ru/catalog/product/1895652", "Ознакомиться")</f>
        <v>Ознакомиться</v>
      </c>
      <c r="W2332" s="8" t="s">
        <v>150</v>
      </c>
      <c r="X2332" s="6"/>
      <c r="Y2332" s="6"/>
      <c r="Z2332" s="6"/>
      <c r="AA2332" s="6" t="s">
        <v>494</v>
      </c>
      <c r="AB2332" s="8"/>
    </row>
    <row r="2333" spans="1:28" s="4" customFormat="1" ht="51.95" customHeight="1">
      <c r="A2333" s="5">
        <v>0</v>
      </c>
      <c r="B2333" s="6" t="s">
        <v>14208</v>
      </c>
      <c r="C2333" s="13">
        <v>2284</v>
      </c>
      <c r="D2333" s="8" t="s">
        <v>14209</v>
      </c>
      <c r="E2333" s="8" t="s">
        <v>14210</v>
      </c>
      <c r="F2333" s="8" t="s">
        <v>14211</v>
      </c>
      <c r="G2333" s="6" t="s">
        <v>89</v>
      </c>
      <c r="H2333" s="6" t="s">
        <v>53</v>
      </c>
      <c r="I2333" s="8" t="s">
        <v>90</v>
      </c>
      <c r="J2333" s="9">
        <v>1</v>
      </c>
      <c r="K2333" s="9">
        <v>440</v>
      </c>
      <c r="L2333" s="9">
        <v>2025</v>
      </c>
      <c r="M2333" s="8" t="s">
        <v>14212</v>
      </c>
      <c r="N2333" s="8" t="s">
        <v>79</v>
      </c>
      <c r="O2333" s="8" t="s">
        <v>396</v>
      </c>
      <c r="P2333" s="6" t="s">
        <v>167</v>
      </c>
      <c r="Q2333" s="8" t="s">
        <v>44</v>
      </c>
      <c r="R2333" s="10" t="s">
        <v>13369</v>
      </c>
      <c r="S2333" s="11" t="s">
        <v>14213</v>
      </c>
      <c r="T2333" s="6"/>
      <c r="U2333" s="24" t="str">
        <f>HYPERLINK("https://media.infra-m.ru/2195/2195010/cover/2195010.jpg", "Обложка")</f>
        <v>Обложка</v>
      </c>
      <c r="V2333" s="24" t="str">
        <f>HYPERLINK("https://znanium.ru/catalog/product/989369", "Ознакомиться")</f>
        <v>Ознакомиться</v>
      </c>
      <c r="W2333" s="8" t="s">
        <v>399</v>
      </c>
      <c r="X2333" s="6"/>
      <c r="Y2333" s="6"/>
      <c r="Z2333" s="6"/>
      <c r="AA2333" s="6" t="s">
        <v>418</v>
      </c>
      <c r="AB2333" s="8"/>
    </row>
    <row r="2334" spans="1:28" s="4" customFormat="1" ht="51.95" customHeight="1">
      <c r="A2334" s="5">
        <v>0</v>
      </c>
      <c r="B2334" s="6" t="s">
        <v>14214</v>
      </c>
      <c r="C2334" s="13">
        <v>2284</v>
      </c>
      <c r="D2334" s="8" t="s">
        <v>14215</v>
      </c>
      <c r="E2334" s="8" t="s">
        <v>14210</v>
      </c>
      <c r="F2334" s="8" t="s">
        <v>14216</v>
      </c>
      <c r="G2334" s="6" t="s">
        <v>89</v>
      </c>
      <c r="H2334" s="6" t="s">
        <v>53</v>
      </c>
      <c r="I2334" s="8" t="s">
        <v>100</v>
      </c>
      <c r="J2334" s="9">
        <v>1</v>
      </c>
      <c r="K2334" s="9">
        <v>440</v>
      </c>
      <c r="L2334" s="9">
        <v>2025</v>
      </c>
      <c r="M2334" s="8" t="s">
        <v>14217</v>
      </c>
      <c r="N2334" s="8" t="s">
        <v>79</v>
      </c>
      <c r="O2334" s="8" t="s">
        <v>396</v>
      </c>
      <c r="P2334" s="6" t="s">
        <v>167</v>
      </c>
      <c r="Q2334" s="8" t="s">
        <v>102</v>
      </c>
      <c r="R2334" s="10" t="s">
        <v>14203</v>
      </c>
      <c r="S2334" s="11" t="s">
        <v>531</v>
      </c>
      <c r="T2334" s="6"/>
      <c r="U2334" s="24" t="str">
        <f>HYPERLINK("https://media.infra-m.ru/2180/2180064/cover/2180064.jpg", "Обложка")</f>
        <v>Обложка</v>
      </c>
      <c r="V2334" s="24" t="str">
        <f>HYPERLINK("https://znanium.ru/catalog/product/2083390", "Ознакомиться")</f>
        <v>Ознакомиться</v>
      </c>
      <c r="W2334" s="8" t="s">
        <v>399</v>
      </c>
      <c r="X2334" s="6"/>
      <c r="Y2334" s="6"/>
      <c r="Z2334" s="6" t="s">
        <v>104</v>
      </c>
      <c r="AA2334" s="6" t="s">
        <v>151</v>
      </c>
      <c r="AB2334" s="8"/>
    </row>
    <row r="2335" spans="1:28" s="4" customFormat="1" ht="51.95" customHeight="1">
      <c r="A2335" s="5">
        <v>0</v>
      </c>
      <c r="B2335" s="6" t="s">
        <v>14218</v>
      </c>
      <c r="C2335" s="13">
        <v>1600</v>
      </c>
      <c r="D2335" s="8" t="s">
        <v>14219</v>
      </c>
      <c r="E2335" s="8" t="s">
        <v>14220</v>
      </c>
      <c r="F2335" s="8" t="s">
        <v>14221</v>
      </c>
      <c r="G2335" s="6" t="s">
        <v>89</v>
      </c>
      <c r="H2335" s="6" t="s">
        <v>53</v>
      </c>
      <c r="I2335" s="8" t="s">
        <v>116</v>
      </c>
      <c r="J2335" s="9">
        <v>1</v>
      </c>
      <c r="K2335" s="9">
        <v>320</v>
      </c>
      <c r="L2335" s="9">
        <v>2024</v>
      </c>
      <c r="M2335" s="8" t="s">
        <v>14222</v>
      </c>
      <c r="N2335" s="8" t="s">
        <v>79</v>
      </c>
      <c r="O2335" s="8" t="s">
        <v>396</v>
      </c>
      <c r="P2335" s="6" t="s">
        <v>43</v>
      </c>
      <c r="Q2335" s="8" t="s">
        <v>44</v>
      </c>
      <c r="R2335" s="10" t="s">
        <v>14223</v>
      </c>
      <c r="S2335" s="11"/>
      <c r="T2335" s="6"/>
      <c r="U2335" s="24" t="str">
        <f>HYPERLINK("https://media.infra-m.ru/2124/2124914/cover/2124914.jpg", "Обложка")</f>
        <v>Обложка</v>
      </c>
      <c r="V2335" s="24" t="str">
        <f>HYPERLINK("https://znanium.ru/catalog/product/2124914", "Ознакомиться")</f>
        <v>Ознакомиться</v>
      </c>
      <c r="W2335" s="8" t="s">
        <v>399</v>
      </c>
      <c r="X2335" s="6"/>
      <c r="Y2335" s="6"/>
      <c r="Z2335" s="6"/>
      <c r="AA2335" s="6" t="s">
        <v>47</v>
      </c>
      <c r="AB2335" s="8"/>
    </row>
    <row r="2336" spans="1:28" s="4" customFormat="1" ht="51.95" customHeight="1">
      <c r="A2336" s="5">
        <v>0</v>
      </c>
      <c r="B2336" s="6" t="s">
        <v>14224</v>
      </c>
      <c r="C2336" s="13">
        <v>2174</v>
      </c>
      <c r="D2336" s="8" t="s">
        <v>14225</v>
      </c>
      <c r="E2336" s="8" t="s">
        <v>14226</v>
      </c>
      <c r="F2336" s="8" t="s">
        <v>14227</v>
      </c>
      <c r="G2336" s="6" t="s">
        <v>89</v>
      </c>
      <c r="H2336" s="6" t="s">
        <v>53</v>
      </c>
      <c r="I2336" s="8" t="s">
        <v>90</v>
      </c>
      <c r="J2336" s="9">
        <v>1</v>
      </c>
      <c r="K2336" s="9">
        <v>435</v>
      </c>
      <c r="L2336" s="9">
        <v>2025</v>
      </c>
      <c r="M2336" s="8" t="s">
        <v>14228</v>
      </c>
      <c r="N2336" s="8" t="s">
        <v>79</v>
      </c>
      <c r="O2336" s="8" t="s">
        <v>396</v>
      </c>
      <c r="P2336" s="6" t="s">
        <v>43</v>
      </c>
      <c r="Q2336" s="8" t="s">
        <v>44</v>
      </c>
      <c r="R2336" s="10" t="s">
        <v>14229</v>
      </c>
      <c r="S2336" s="11" t="s">
        <v>14230</v>
      </c>
      <c r="T2336" s="6"/>
      <c r="U2336" s="24" t="str">
        <f>HYPERLINK("https://media.infra-m.ru/2137/2137107/cover/2137107.jpg", "Обложка")</f>
        <v>Обложка</v>
      </c>
      <c r="V2336" s="24" t="str">
        <f>HYPERLINK("https://znanium.ru/catalog/product/1090075", "Ознакомиться")</f>
        <v>Ознакомиться</v>
      </c>
      <c r="W2336" s="8" t="s">
        <v>399</v>
      </c>
      <c r="X2336" s="6"/>
      <c r="Y2336" s="6"/>
      <c r="Z2336" s="6"/>
      <c r="AA2336" s="6" t="s">
        <v>258</v>
      </c>
      <c r="AB2336" s="8"/>
    </row>
    <row r="2337" spans="1:28" s="4" customFormat="1" ht="51.95" customHeight="1">
      <c r="A2337" s="5">
        <v>0</v>
      </c>
      <c r="B2337" s="6" t="s">
        <v>14231</v>
      </c>
      <c r="C2337" s="13">
        <v>2270</v>
      </c>
      <c r="D2337" s="8" t="s">
        <v>14232</v>
      </c>
      <c r="E2337" s="8" t="s">
        <v>14226</v>
      </c>
      <c r="F2337" s="8" t="s">
        <v>14227</v>
      </c>
      <c r="G2337" s="6" t="s">
        <v>52</v>
      </c>
      <c r="H2337" s="6" t="s">
        <v>53</v>
      </c>
      <c r="I2337" s="8" t="s">
        <v>100</v>
      </c>
      <c r="J2337" s="9">
        <v>1</v>
      </c>
      <c r="K2337" s="9">
        <v>435</v>
      </c>
      <c r="L2337" s="9">
        <v>2025</v>
      </c>
      <c r="M2337" s="8" t="s">
        <v>14233</v>
      </c>
      <c r="N2337" s="8" t="s">
        <v>79</v>
      </c>
      <c r="O2337" s="8" t="s">
        <v>396</v>
      </c>
      <c r="P2337" s="6" t="s">
        <v>43</v>
      </c>
      <c r="Q2337" s="8" t="s">
        <v>102</v>
      </c>
      <c r="R2337" s="10" t="s">
        <v>14234</v>
      </c>
      <c r="S2337" s="11"/>
      <c r="T2337" s="6"/>
      <c r="U2337" s="24" t="str">
        <f>HYPERLINK("https://media.infra-m.ru/2180/2180065/cover/2180065.jpg", "Обложка")</f>
        <v>Обложка</v>
      </c>
      <c r="V2337" s="24" t="str">
        <f>HYPERLINK("https://znanium.ru/catalog/product/1114045", "Ознакомиться")</f>
        <v>Ознакомиться</v>
      </c>
      <c r="W2337" s="8" t="s">
        <v>399</v>
      </c>
      <c r="X2337" s="6"/>
      <c r="Y2337" s="6"/>
      <c r="Z2337" s="6" t="s">
        <v>104</v>
      </c>
      <c r="AA2337" s="6" t="s">
        <v>793</v>
      </c>
      <c r="AB2337" s="8"/>
    </row>
    <row r="2338" spans="1:28" s="4" customFormat="1" ht="51.95" customHeight="1">
      <c r="A2338" s="5">
        <v>0</v>
      </c>
      <c r="B2338" s="6" t="s">
        <v>14235</v>
      </c>
      <c r="C2338" s="13">
        <v>1684</v>
      </c>
      <c r="D2338" s="8" t="s">
        <v>14236</v>
      </c>
      <c r="E2338" s="8" t="s">
        <v>14237</v>
      </c>
      <c r="F2338" s="8" t="s">
        <v>14238</v>
      </c>
      <c r="G2338" s="6" t="s">
        <v>89</v>
      </c>
      <c r="H2338" s="6" t="s">
        <v>53</v>
      </c>
      <c r="I2338" s="8" t="s">
        <v>116</v>
      </c>
      <c r="J2338" s="9">
        <v>1</v>
      </c>
      <c r="K2338" s="9">
        <v>336</v>
      </c>
      <c r="L2338" s="9">
        <v>2025</v>
      </c>
      <c r="M2338" s="8" t="s">
        <v>14239</v>
      </c>
      <c r="N2338" s="8" t="s">
        <v>79</v>
      </c>
      <c r="O2338" s="8" t="s">
        <v>396</v>
      </c>
      <c r="P2338" s="6" t="s">
        <v>43</v>
      </c>
      <c r="Q2338" s="8" t="s">
        <v>44</v>
      </c>
      <c r="R2338" s="10" t="s">
        <v>14240</v>
      </c>
      <c r="S2338" s="11" t="s">
        <v>14241</v>
      </c>
      <c r="T2338" s="6"/>
      <c r="U2338" s="24" t="str">
        <f>HYPERLINK("https://media.infra-m.ru/2188/2188886/cover/2188886.jpg", "Обложка")</f>
        <v>Обложка</v>
      </c>
      <c r="V2338" s="24" t="str">
        <f>HYPERLINK("https://znanium.ru/catalog/product/2170370", "Ознакомиться")</f>
        <v>Ознакомиться</v>
      </c>
      <c r="W2338" s="8" t="s">
        <v>12849</v>
      </c>
      <c r="X2338" s="6"/>
      <c r="Y2338" s="6"/>
      <c r="Z2338" s="6"/>
      <c r="AA2338" s="6" t="s">
        <v>111</v>
      </c>
      <c r="AB2338" s="8"/>
    </row>
    <row r="2339" spans="1:28" s="4" customFormat="1" ht="51.95" customHeight="1">
      <c r="A2339" s="5">
        <v>0</v>
      </c>
      <c r="B2339" s="6" t="s">
        <v>14242</v>
      </c>
      <c r="C2339" s="13">
        <v>1744</v>
      </c>
      <c r="D2339" s="8" t="s">
        <v>14243</v>
      </c>
      <c r="E2339" s="8" t="s">
        <v>14237</v>
      </c>
      <c r="F2339" s="8" t="s">
        <v>14238</v>
      </c>
      <c r="G2339" s="6" t="s">
        <v>89</v>
      </c>
      <c r="H2339" s="6" t="s">
        <v>53</v>
      </c>
      <c r="I2339" s="8" t="s">
        <v>100</v>
      </c>
      <c r="J2339" s="9">
        <v>1</v>
      </c>
      <c r="K2339" s="9">
        <v>336</v>
      </c>
      <c r="L2339" s="9">
        <v>2025</v>
      </c>
      <c r="M2339" s="8" t="s">
        <v>14244</v>
      </c>
      <c r="N2339" s="8" t="s">
        <v>79</v>
      </c>
      <c r="O2339" s="8" t="s">
        <v>396</v>
      </c>
      <c r="P2339" s="6" t="s">
        <v>43</v>
      </c>
      <c r="Q2339" s="8" t="s">
        <v>102</v>
      </c>
      <c r="R2339" s="10" t="s">
        <v>14245</v>
      </c>
      <c r="S2339" s="11" t="s">
        <v>14246</v>
      </c>
      <c r="T2339" s="6"/>
      <c r="U2339" s="24" t="str">
        <f>HYPERLINK("https://media.infra-m.ru/2202/2202667/cover/2202667.jpg", "Обложка")</f>
        <v>Обложка</v>
      </c>
      <c r="V2339" s="24" t="str">
        <f>HYPERLINK("https://znanium.ru/catalog/product/2191372", "Ознакомиться")</f>
        <v>Ознакомиться</v>
      </c>
      <c r="W2339" s="8" t="s">
        <v>12849</v>
      </c>
      <c r="X2339" s="6"/>
      <c r="Y2339" s="6"/>
      <c r="Z2339" s="6" t="s">
        <v>104</v>
      </c>
      <c r="AA2339" s="6" t="s">
        <v>151</v>
      </c>
      <c r="AB2339" s="8"/>
    </row>
    <row r="2340" spans="1:28" s="4" customFormat="1" ht="51.95" customHeight="1">
      <c r="A2340" s="5">
        <v>0</v>
      </c>
      <c r="B2340" s="6" t="s">
        <v>14247</v>
      </c>
      <c r="C2340" s="13">
        <v>2030</v>
      </c>
      <c r="D2340" s="8" t="s">
        <v>14248</v>
      </c>
      <c r="E2340" s="8" t="s">
        <v>14249</v>
      </c>
      <c r="F2340" s="8" t="s">
        <v>14250</v>
      </c>
      <c r="G2340" s="6" t="s">
        <v>89</v>
      </c>
      <c r="H2340" s="6" t="s">
        <v>53</v>
      </c>
      <c r="I2340" s="8" t="s">
        <v>116</v>
      </c>
      <c r="J2340" s="9">
        <v>1</v>
      </c>
      <c r="K2340" s="9">
        <v>399</v>
      </c>
      <c r="L2340" s="9">
        <v>2025</v>
      </c>
      <c r="M2340" s="8" t="s">
        <v>14251</v>
      </c>
      <c r="N2340" s="8" t="s">
        <v>413</v>
      </c>
      <c r="O2340" s="8" t="s">
        <v>414</v>
      </c>
      <c r="P2340" s="6" t="s">
        <v>43</v>
      </c>
      <c r="Q2340" s="8" t="s">
        <v>58</v>
      </c>
      <c r="R2340" s="10" t="s">
        <v>14252</v>
      </c>
      <c r="S2340" s="11" t="s">
        <v>14253</v>
      </c>
      <c r="T2340" s="6"/>
      <c r="U2340" s="24" t="str">
        <f>HYPERLINK("https://media.infra-m.ru/2187/2187599/cover/2187599.jpg", "Обложка")</f>
        <v>Обложка</v>
      </c>
      <c r="V2340" s="24" t="str">
        <f>HYPERLINK("https://znanium.ru/catalog/product/2187599", "Ознакомиться")</f>
        <v>Ознакомиться</v>
      </c>
      <c r="W2340" s="8" t="s">
        <v>1651</v>
      </c>
      <c r="X2340" s="6"/>
      <c r="Y2340" s="6"/>
      <c r="Z2340" s="6"/>
      <c r="AA2340" s="6" t="s">
        <v>47</v>
      </c>
      <c r="AB2340" s="8"/>
    </row>
    <row r="2341" spans="1:28" s="4" customFormat="1" ht="44.1" customHeight="1">
      <c r="A2341" s="5">
        <v>0</v>
      </c>
      <c r="B2341" s="6" t="s">
        <v>14254</v>
      </c>
      <c r="C2341" s="13">
        <v>1344</v>
      </c>
      <c r="D2341" s="8" t="s">
        <v>14255</v>
      </c>
      <c r="E2341" s="8" t="s">
        <v>14256</v>
      </c>
      <c r="F2341" s="8" t="s">
        <v>14257</v>
      </c>
      <c r="G2341" s="6" t="s">
        <v>52</v>
      </c>
      <c r="H2341" s="6" t="s">
        <v>53</v>
      </c>
      <c r="I2341" s="8" t="s">
        <v>90</v>
      </c>
      <c r="J2341" s="9">
        <v>1</v>
      </c>
      <c r="K2341" s="9">
        <v>292</v>
      </c>
      <c r="L2341" s="9">
        <v>2023</v>
      </c>
      <c r="M2341" s="8" t="s">
        <v>14258</v>
      </c>
      <c r="N2341" s="8" t="s">
        <v>413</v>
      </c>
      <c r="O2341" s="8" t="s">
        <v>414</v>
      </c>
      <c r="P2341" s="6" t="s">
        <v>43</v>
      </c>
      <c r="Q2341" s="8" t="s">
        <v>44</v>
      </c>
      <c r="R2341" s="10" t="s">
        <v>14259</v>
      </c>
      <c r="S2341" s="11"/>
      <c r="T2341" s="6"/>
      <c r="U2341" s="24" t="str">
        <f>HYPERLINK("https://media.infra-m.ru/1981/1981625/cover/1981625.jpg", "Обложка")</f>
        <v>Обложка</v>
      </c>
      <c r="V2341" s="24" t="str">
        <f>HYPERLINK("https://znanium.ru/catalog/product/1407938", "Ознакомиться")</f>
        <v>Ознакомиться</v>
      </c>
      <c r="W2341" s="8" t="s">
        <v>4343</v>
      </c>
      <c r="X2341" s="6"/>
      <c r="Y2341" s="6"/>
      <c r="Z2341" s="6"/>
      <c r="AA2341" s="6" t="s">
        <v>84</v>
      </c>
      <c r="AB2341" s="8"/>
    </row>
    <row r="2342" spans="1:28" s="4" customFormat="1" ht="51.95" customHeight="1">
      <c r="A2342" s="5">
        <v>0</v>
      </c>
      <c r="B2342" s="6" t="s">
        <v>14260</v>
      </c>
      <c r="C2342" s="13">
        <v>1404</v>
      </c>
      <c r="D2342" s="8" t="s">
        <v>14261</v>
      </c>
      <c r="E2342" s="8" t="s">
        <v>14262</v>
      </c>
      <c r="F2342" s="8" t="s">
        <v>14263</v>
      </c>
      <c r="G2342" s="6" t="s">
        <v>52</v>
      </c>
      <c r="H2342" s="6" t="s">
        <v>53</v>
      </c>
      <c r="I2342" s="8" t="s">
        <v>90</v>
      </c>
      <c r="J2342" s="9">
        <v>1</v>
      </c>
      <c r="K2342" s="9">
        <v>298</v>
      </c>
      <c r="L2342" s="9">
        <v>2024</v>
      </c>
      <c r="M2342" s="8" t="s">
        <v>14264</v>
      </c>
      <c r="N2342" s="8" t="s">
        <v>997</v>
      </c>
      <c r="O2342" s="8" t="s">
        <v>998</v>
      </c>
      <c r="P2342" s="6" t="s">
        <v>43</v>
      </c>
      <c r="Q2342" s="8" t="s">
        <v>44</v>
      </c>
      <c r="R2342" s="10" t="s">
        <v>14265</v>
      </c>
      <c r="S2342" s="11" t="s">
        <v>14266</v>
      </c>
      <c r="T2342" s="6"/>
      <c r="U2342" s="24" t="str">
        <f>HYPERLINK("https://media.infra-m.ru/2132/2132056/cover/2132056.jpg", "Обложка")</f>
        <v>Обложка</v>
      </c>
      <c r="V2342" s="24" t="str">
        <f>HYPERLINK("https://znanium.ru/catalog/product/1042675", "Ознакомиться")</f>
        <v>Ознакомиться</v>
      </c>
      <c r="W2342" s="8" t="s">
        <v>2672</v>
      </c>
      <c r="X2342" s="6"/>
      <c r="Y2342" s="6"/>
      <c r="Z2342" s="6"/>
      <c r="AA2342" s="6" t="s">
        <v>219</v>
      </c>
      <c r="AB2342" s="8"/>
    </row>
    <row r="2343" spans="1:28" s="4" customFormat="1" ht="51.95" customHeight="1">
      <c r="A2343" s="5">
        <v>0</v>
      </c>
      <c r="B2343" s="6" t="s">
        <v>14267</v>
      </c>
      <c r="C2343" s="7">
        <v>610</v>
      </c>
      <c r="D2343" s="8" t="s">
        <v>14268</v>
      </c>
      <c r="E2343" s="8" t="s">
        <v>14269</v>
      </c>
      <c r="F2343" s="8" t="s">
        <v>14270</v>
      </c>
      <c r="G2343" s="6" t="s">
        <v>38</v>
      </c>
      <c r="H2343" s="6" t="s">
        <v>53</v>
      </c>
      <c r="I2343" s="8" t="s">
        <v>116</v>
      </c>
      <c r="J2343" s="9">
        <v>1</v>
      </c>
      <c r="K2343" s="9">
        <v>116</v>
      </c>
      <c r="L2343" s="9">
        <v>2025</v>
      </c>
      <c r="M2343" s="8" t="s">
        <v>14271</v>
      </c>
      <c r="N2343" s="8" t="s">
        <v>413</v>
      </c>
      <c r="O2343" s="8" t="s">
        <v>414</v>
      </c>
      <c r="P2343" s="6" t="s">
        <v>43</v>
      </c>
      <c r="Q2343" s="8" t="s">
        <v>44</v>
      </c>
      <c r="R2343" s="10" t="s">
        <v>12090</v>
      </c>
      <c r="S2343" s="11" t="s">
        <v>14272</v>
      </c>
      <c r="T2343" s="6"/>
      <c r="U2343" s="24" t="str">
        <f>HYPERLINK("https://media.infra-m.ru/2194/2194342/cover/2194342.jpg", "Обложка")</f>
        <v>Обложка</v>
      </c>
      <c r="V2343" s="24" t="str">
        <f>HYPERLINK("https://znanium.ru/catalog/product/2194342", "Ознакомиться")</f>
        <v>Ознакомиться</v>
      </c>
      <c r="W2343" s="8" t="s">
        <v>5019</v>
      </c>
      <c r="X2343" s="6"/>
      <c r="Y2343" s="6"/>
      <c r="Z2343" s="6"/>
      <c r="AA2343" s="6" t="s">
        <v>326</v>
      </c>
      <c r="AB2343" s="8"/>
    </row>
    <row r="2344" spans="1:28" s="4" customFormat="1" ht="51.95" customHeight="1">
      <c r="A2344" s="5">
        <v>0</v>
      </c>
      <c r="B2344" s="6" t="s">
        <v>14273</v>
      </c>
      <c r="C2344" s="7">
        <v>830</v>
      </c>
      <c r="D2344" s="8" t="s">
        <v>14274</v>
      </c>
      <c r="E2344" s="8" t="s">
        <v>14275</v>
      </c>
      <c r="F2344" s="8" t="s">
        <v>14276</v>
      </c>
      <c r="G2344" s="6" t="s">
        <v>38</v>
      </c>
      <c r="H2344" s="6" t="s">
        <v>39</v>
      </c>
      <c r="I2344" s="8" t="s">
        <v>116</v>
      </c>
      <c r="J2344" s="9">
        <v>1</v>
      </c>
      <c r="K2344" s="9">
        <v>175</v>
      </c>
      <c r="L2344" s="9">
        <v>2024</v>
      </c>
      <c r="M2344" s="8" t="s">
        <v>14277</v>
      </c>
      <c r="N2344" s="8" t="s">
        <v>997</v>
      </c>
      <c r="O2344" s="8" t="s">
        <v>998</v>
      </c>
      <c r="P2344" s="6" t="s">
        <v>175</v>
      </c>
      <c r="Q2344" s="8" t="s">
        <v>58</v>
      </c>
      <c r="R2344" s="10" t="s">
        <v>14278</v>
      </c>
      <c r="S2344" s="11" t="s">
        <v>14279</v>
      </c>
      <c r="T2344" s="6"/>
      <c r="U2344" s="24" t="str">
        <f>HYPERLINK("https://media.infra-m.ru/2082/2082906/cover/2082906.jpg", "Обложка")</f>
        <v>Обложка</v>
      </c>
      <c r="V2344" s="24" t="str">
        <f>HYPERLINK("https://znanium.ru/catalog/product/2082906", "Ознакомиться")</f>
        <v>Ознакомиться</v>
      </c>
      <c r="W2344" s="8" t="s">
        <v>6648</v>
      </c>
      <c r="X2344" s="6"/>
      <c r="Y2344" s="6"/>
      <c r="Z2344" s="6"/>
      <c r="AA2344" s="6" t="s">
        <v>111</v>
      </c>
      <c r="AB2344" s="8"/>
    </row>
    <row r="2345" spans="1:28" s="4" customFormat="1" ht="51.95" customHeight="1">
      <c r="A2345" s="5">
        <v>0</v>
      </c>
      <c r="B2345" s="6" t="s">
        <v>14280</v>
      </c>
      <c r="C2345" s="13">
        <v>1194</v>
      </c>
      <c r="D2345" s="8" t="s">
        <v>14281</v>
      </c>
      <c r="E2345" s="8" t="s">
        <v>14282</v>
      </c>
      <c r="F2345" s="8" t="s">
        <v>12859</v>
      </c>
      <c r="G2345" s="6" t="s">
        <v>89</v>
      </c>
      <c r="H2345" s="6" t="s">
        <v>649</v>
      </c>
      <c r="I2345" s="8" t="s">
        <v>100</v>
      </c>
      <c r="J2345" s="9">
        <v>1</v>
      </c>
      <c r="K2345" s="9">
        <v>240</v>
      </c>
      <c r="L2345" s="9">
        <v>2025</v>
      </c>
      <c r="M2345" s="8" t="s">
        <v>14283</v>
      </c>
      <c r="N2345" s="8" t="s">
        <v>997</v>
      </c>
      <c r="O2345" s="8" t="s">
        <v>998</v>
      </c>
      <c r="P2345" s="6" t="s">
        <v>43</v>
      </c>
      <c r="Q2345" s="8" t="s">
        <v>102</v>
      </c>
      <c r="R2345" s="10" t="s">
        <v>14284</v>
      </c>
      <c r="S2345" s="11" t="s">
        <v>6590</v>
      </c>
      <c r="T2345" s="6"/>
      <c r="U2345" s="24" t="str">
        <f>HYPERLINK("https://media.infra-m.ru/2184/2184935/cover/2184935.jpg", "Обложка")</f>
        <v>Обложка</v>
      </c>
      <c r="V2345" s="24" t="str">
        <f>HYPERLINK("https://znanium.ru/catalog/product/2116850", "Ознакомиться")</f>
        <v>Ознакомиться</v>
      </c>
      <c r="W2345" s="8" t="s">
        <v>2514</v>
      </c>
      <c r="X2345" s="6"/>
      <c r="Y2345" s="6"/>
      <c r="Z2345" s="6"/>
      <c r="AA2345" s="6" t="s">
        <v>479</v>
      </c>
      <c r="AB2345" s="8"/>
    </row>
    <row r="2346" spans="1:28" s="4" customFormat="1" ht="44.1" customHeight="1">
      <c r="A2346" s="5">
        <v>0</v>
      </c>
      <c r="B2346" s="6" t="s">
        <v>14285</v>
      </c>
      <c r="C2346" s="7">
        <v>990</v>
      </c>
      <c r="D2346" s="8" t="s">
        <v>14286</v>
      </c>
      <c r="E2346" s="8" t="s">
        <v>14287</v>
      </c>
      <c r="F2346" s="8" t="s">
        <v>14288</v>
      </c>
      <c r="G2346" s="6" t="s">
        <v>89</v>
      </c>
      <c r="H2346" s="6" t="s">
        <v>53</v>
      </c>
      <c r="I2346" s="8" t="s">
        <v>100</v>
      </c>
      <c r="J2346" s="9">
        <v>1</v>
      </c>
      <c r="K2346" s="9">
        <v>187</v>
      </c>
      <c r="L2346" s="9">
        <v>2025</v>
      </c>
      <c r="M2346" s="8" t="s">
        <v>14289</v>
      </c>
      <c r="N2346" s="8" t="s">
        <v>997</v>
      </c>
      <c r="O2346" s="8" t="s">
        <v>6462</v>
      </c>
      <c r="P2346" s="6" t="s">
        <v>43</v>
      </c>
      <c r="Q2346" s="8" t="s">
        <v>102</v>
      </c>
      <c r="R2346" s="10" t="s">
        <v>12847</v>
      </c>
      <c r="S2346" s="11"/>
      <c r="T2346" s="6"/>
      <c r="U2346" s="24" t="str">
        <f>HYPERLINK("https://media.infra-m.ru/2184/2184928/cover/2184928.jpg", "Обложка")</f>
        <v>Обложка</v>
      </c>
      <c r="V2346" s="24" t="str">
        <f>HYPERLINK("https://znanium.ru/catalog/product/2184928", "Ознакомиться")</f>
        <v>Ознакомиться</v>
      </c>
      <c r="W2346" s="8" t="s">
        <v>14290</v>
      </c>
      <c r="X2346" s="6"/>
      <c r="Y2346" s="6"/>
      <c r="Z2346" s="6"/>
      <c r="AA2346" s="6" t="s">
        <v>813</v>
      </c>
      <c r="AB2346" s="8"/>
    </row>
    <row r="2347" spans="1:28" s="4" customFormat="1" ht="42" customHeight="1">
      <c r="A2347" s="5">
        <v>0</v>
      </c>
      <c r="B2347" s="6" t="s">
        <v>14291</v>
      </c>
      <c r="C2347" s="13">
        <v>1304</v>
      </c>
      <c r="D2347" s="8" t="s">
        <v>14292</v>
      </c>
      <c r="E2347" s="8" t="s">
        <v>14293</v>
      </c>
      <c r="F2347" s="8" t="s">
        <v>14294</v>
      </c>
      <c r="G2347" s="6" t="s">
        <v>52</v>
      </c>
      <c r="H2347" s="6" t="s">
        <v>53</v>
      </c>
      <c r="I2347" s="8" t="s">
        <v>4767</v>
      </c>
      <c r="J2347" s="9">
        <v>1</v>
      </c>
      <c r="K2347" s="9">
        <v>260</v>
      </c>
      <c r="L2347" s="9">
        <v>2024</v>
      </c>
      <c r="M2347" s="8" t="s">
        <v>14295</v>
      </c>
      <c r="N2347" s="8" t="s">
        <v>997</v>
      </c>
      <c r="O2347" s="8" t="s">
        <v>9773</v>
      </c>
      <c r="P2347" s="6" t="s">
        <v>43</v>
      </c>
      <c r="Q2347" s="8" t="s">
        <v>58</v>
      </c>
      <c r="R2347" s="10" t="s">
        <v>14296</v>
      </c>
      <c r="S2347" s="11"/>
      <c r="T2347" s="6"/>
      <c r="U2347" s="24" t="str">
        <f>HYPERLINK("https://media.infra-m.ru/2187/2187821/cover/2187821.jpg", "Обложка")</f>
        <v>Обложка</v>
      </c>
      <c r="V2347" s="24" t="str">
        <f>HYPERLINK("https://znanium.ru/catalog/product/2122901", "Ознакомиться")</f>
        <v>Ознакомиться</v>
      </c>
      <c r="W2347" s="8" t="s">
        <v>14297</v>
      </c>
      <c r="X2347" s="6"/>
      <c r="Y2347" s="6"/>
      <c r="Z2347" s="6"/>
      <c r="AA2347" s="6" t="s">
        <v>133</v>
      </c>
      <c r="AB2347" s="8" t="s">
        <v>550</v>
      </c>
    </row>
    <row r="2348" spans="1:28" s="4" customFormat="1" ht="51.95" customHeight="1">
      <c r="A2348" s="5">
        <v>0</v>
      </c>
      <c r="B2348" s="6" t="s">
        <v>14298</v>
      </c>
      <c r="C2348" s="13">
        <v>1504</v>
      </c>
      <c r="D2348" s="8" t="s">
        <v>14299</v>
      </c>
      <c r="E2348" s="8" t="s">
        <v>14300</v>
      </c>
      <c r="F2348" s="8" t="s">
        <v>14301</v>
      </c>
      <c r="G2348" s="6" t="s">
        <v>89</v>
      </c>
      <c r="H2348" s="6" t="s">
        <v>53</v>
      </c>
      <c r="I2348" s="8" t="s">
        <v>90</v>
      </c>
      <c r="J2348" s="9">
        <v>1</v>
      </c>
      <c r="K2348" s="9">
        <v>301</v>
      </c>
      <c r="L2348" s="9">
        <v>2025</v>
      </c>
      <c r="M2348" s="8" t="s">
        <v>14302</v>
      </c>
      <c r="N2348" s="8" t="s">
        <v>997</v>
      </c>
      <c r="O2348" s="8" t="s">
        <v>998</v>
      </c>
      <c r="P2348" s="6" t="s">
        <v>167</v>
      </c>
      <c r="Q2348" s="8" t="s">
        <v>44</v>
      </c>
      <c r="R2348" s="10" t="s">
        <v>14303</v>
      </c>
      <c r="S2348" s="11" t="s">
        <v>14304</v>
      </c>
      <c r="T2348" s="6"/>
      <c r="U2348" s="24" t="str">
        <f>HYPERLINK("https://media.infra-m.ru/2177/2177699/cover/2177699.jpg", "Обложка")</f>
        <v>Обложка</v>
      </c>
      <c r="V2348" s="24" t="str">
        <f>HYPERLINK("https://znanium.ru/catalog/product/1904340", "Ознакомиться")</f>
        <v>Ознакомиться</v>
      </c>
      <c r="W2348" s="8" t="s">
        <v>46</v>
      </c>
      <c r="X2348" s="6"/>
      <c r="Y2348" s="6"/>
      <c r="Z2348" s="6"/>
      <c r="AA2348" s="6" t="s">
        <v>1374</v>
      </c>
      <c r="AB2348" s="8"/>
    </row>
    <row r="2349" spans="1:28" s="4" customFormat="1" ht="51.95" customHeight="1">
      <c r="A2349" s="5">
        <v>0</v>
      </c>
      <c r="B2349" s="6" t="s">
        <v>14305</v>
      </c>
      <c r="C2349" s="7">
        <v>694</v>
      </c>
      <c r="D2349" s="8" t="s">
        <v>14306</v>
      </c>
      <c r="E2349" s="8" t="s">
        <v>14307</v>
      </c>
      <c r="F2349" s="8" t="s">
        <v>14288</v>
      </c>
      <c r="G2349" s="6" t="s">
        <v>52</v>
      </c>
      <c r="H2349" s="6" t="s">
        <v>53</v>
      </c>
      <c r="I2349" s="8" t="s">
        <v>90</v>
      </c>
      <c r="J2349" s="9">
        <v>1</v>
      </c>
      <c r="K2349" s="9">
        <v>198</v>
      </c>
      <c r="L2349" s="9">
        <v>2019</v>
      </c>
      <c r="M2349" s="8" t="s">
        <v>14308</v>
      </c>
      <c r="N2349" s="8" t="s">
        <v>997</v>
      </c>
      <c r="O2349" s="8" t="s">
        <v>998</v>
      </c>
      <c r="P2349" s="6" t="s">
        <v>43</v>
      </c>
      <c r="Q2349" s="8" t="s">
        <v>44</v>
      </c>
      <c r="R2349" s="10" t="s">
        <v>6360</v>
      </c>
      <c r="S2349" s="11" t="s">
        <v>14309</v>
      </c>
      <c r="T2349" s="6"/>
      <c r="U2349" s="24" t="str">
        <f>HYPERLINK("https://media.infra-m.ru/2081/2081987/cover/2081987.jpg", "Обложка")</f>
        <v>Обложка</v>
      </c>
      <c r="V2349" s="24" t="str">
        <f>HYPERLINK("https://znanium.ru/catalog/product/1902320", "Ознакомиться")</f>
        <v>Ознакомиться</v>
      </c>
      <c r="W2349" s="8" t="s">
        <v>14290</v>
      </c>
      <c r="X2349" s="6"/>
      <c r="Y2349" s="6"/>
      <c r="Z2349" s="6"/>
      <c r="AA2349" s="6" t="s">
        <v>1374</v>
      </c>
      <c r="AB2349" s="8"/>
    </row>
    <row r="2350" spans="1:28" s="4" customFormat="1" ht="51.95" customHeight="1">
      <c r="A2350" s="5">
        <v>0</v>
      </c>
      <c r="B2350" s="6" t="s">
        <v>14310</v>
      </c>
      <c r="C2350" s="7">
        <v>624</v>
      </c>
      <c r="D2350" s="8" t="s">
        <v>14311</v>
      </c>
      <c r="E2350" s="8" t="s">
        <v>14312</v>
      </c>
      <c r="F2350" s="8" t="s">
        <v>14313</v>
      </c>
      <c r="G2350" s="6" t="s">
        <v>89</v>
      </c>
      <c r="H2350" s="6" t="s">
        <v>53</v>
      </c>
      <c r="I2350" s="8" t="s">
        <v>90</v>
      </c>
      <c r="J2350" s="9">
        <v>1</v>
      </c>
      <c r="K2350" s="9">
        <v>120</v>
      </c>
      <c r="L2350" s="9">
        <v>2025</v>
      </c>
      <c r="M2350" s="8" t="s">
        <v>14314</v>
      </c>
      <c r="N2350" s="8" t="s">
        <v>997</v>
      </c>
      <c r="O2350" s="8" t="s">
        <v>998</v>
      </c>
      <c r="P2350" s="6" t="s">
        <v>43</v>
      </c>
      <c r="Q2350" s="8" t="s">
        <v>44</v>
      </c>
      <c r="R2350" s="10" t="s">
        <v>13924</v>
      </c>
      <c r="S2350" s="11" t="s">
        <v>14315</v>
      </c>
      <c r="T2350" s="6"/>
      <c r="U2350" s="24" t="str">
        <f>HYPERLINK("https://media.infra-m.ru/2199/2199358/cover/2199358.jpg", "Обложка")</f>
        <v>Обложка</v>
      </c>
      <c r="V2350" s="24" t="str">
        <f>HYPERLINK("https://znanium.ru/catalog/product/2000025", "Ознакомиться")</f>
        <v>Ознакомиться</v>
      </c>
      <c r="W2350" s="8" t="s">
        <v>14316</v>
      </c>
      <c r="X2350" s="6"/>
      <c r="Y2350" s="6"/>
      <c r="Z2350" s="6"/>
      <c r="AA2350" s="6" t="s">
        <v>219</v>
      </c>
      <c r="AB2350" s="8"/>
    </row>
    <row r="2351" spans="1:28" s="4" customFormat="1" ht="51.95" customHeight="1">
      <c r="A2351" s="5">
        <v>0</v>
      </c>
      <c r="B2351" s="6" t="s">
        <v>14317</v>
      </c>
      <c r="C2351" s="13">
        <v>1594</v>
      </c>
      <c r="D2351" s="8" t="s">
        <v>14318</v>
      </c>
      <c r="E2351" s="8" t="s">
        <v>14319</v>
      </c>
      <c r="F2351" s="8" t="s">
        <v>14320</v>
      </c>
      <c r="G2351" s="6" t="s">
        <v>89</v>
      </c>
      <c r="H2351" s="6" t="s">
        <v>53</v>
      </c>
      <c r="I2351" s="8" t="s">
        <v>90</v>
      </c>
      <c r="J2351" s="9">
        <v>1</v>
      </c>
      <c r="K2351" s="9">
        <v>320</v>
      </c>
      <c r="L2351" s="9">
        <v>2024</v>
      </c>
      <c r="M2351" s="8" t="s">
        <v>14321</v>
      </c>
      <c r="N2351" s="8" t="s">
        <v>997</v>
      </c>
      <c r="O2351" s="8" t="s">
        <v>998</v>
      </c>
      <c r="P2351" s="6" t="s">
        <v>167</v>
      </c>
      <c r="Q2351" s="8" t="s">
        <v>44</v>
      </c>
      <c r="R2351" s="10" t="s">
        <v>14322</v>
      </c>
      <c r="S2351" s="11" t="s">
        <v>14323</v>
      </c>
      <c r="T2351" s="6"/>
      <c r="U2351" s="24" t="str">
        <f>HYPERLINK("https://media.infra-m.ru/2132/2132543/cover/2132543.jpg", "Обложка")</f>
        <v>Обложка</v>
      </c>
      <c r="V2351" s="24" t="str">
        <f>HYPERLINK("https://znanium.ru/catalog/product/1891828", "Ознакомиться")</f>
        <v>Ознакомиться</v>
      </c>
      <c r="W2351" s="8" t="s">
        <v>9301</v>
      </c>
      <c r="X2351" s="6"/>
      <c r="Y2351" s="6"/>
      <c r="Z2351" s="6"/>
      <c r="AA2351" s="6" t="s">
        <v>442</v>
      </c>
      <c r="AB2351" s="8"/>
    </row>
    <row r="2352" spans="1:28" s="4" customFormat="1" ht="42" customHeight="1">
      <c r="A2352" s="5">
        <v>0</v>
      </c>
      <c r="B2352" s="6" t="s">
        <v>14324</v>
      </c>
      <c r="C2352" s="13">
        <v>1180</v>
      </c>
      <c r="D2352" s="8" t="s">
        <v>14325</v>
      </c>
      <c r="E2352" s="8" t="s">
        <v>14326</v>
      </c>
      <c r="F2352" s="8" t="s">
        <v>316</v>
      </c>
      <c r="G2352" s="6" t="s">
        <v>89</v>
      </c>
      <c r="H2352" s="6" t="s">
        <v>53</v>
      </c>
      <c r="I2352" s="8" t="s">
        <v>116</v>
      </c>
      <c r="J2352" s="9">
        <v>1</v>
      </c>
      <c r="K2352" s="9">
        <v>256</v>
      </c>
      <c r="L2352" s="9">
        <v>2024</v>
      </c>
      <c r="M2352" s="8" t="s">
        <v>14327</v>
      </c>
      <c r="N2352" s="8" t="s">
        <v>997</v>
      </c>
      <c r="O2352" s="8" t="s">
        <v>998</v>
      </c>
      <c r="P2352" s="6" t="s">
        <v>43</v>
      </c>
      <c r="Q2352" s="8" t="s">
        <v>58</v>
      </c>
      <c r="R2352" s="10" t="s">
        <v>14328</v>
      </c>
      <c r="S2352" s="11"/>
      <c r="T2352" s="6"/>
      <c r="U2352" s="24" t="str">
        <f>HYPERLINK("https://media.infra-m.ru/2075/2075958/cover/2075958.jpg", "Обложка")</f>
        <v>Обложка</v>
      </c>
      <c r="V2352" s="24" t="str">
        <f>HYPERLINK("https://znanium.ru/catalog/product/2075958", "Ознакомиться")</f>
        <v>Ознакомиться</v>
      </c>
      <c r="W2352" s="8" t="s">
        <v>320</v>
      </c>
      <c r="X2352" s="6"/>
      <c r="Y2352" s="6"/>
      <c r="Z2352" s="6"/>
      <c r="AA2352" s="6" t="s">
        <v>47</v>
      </c>
      <c r="AB2352" s="8"/>
    </row>
    <row r="2353" spans="1:28" s="4" customFormat="1" ht="51.95" customHeight="1">
      <c r="A2353" s="5">
        <v>0</v>
      </c>
      <c r="B2353" s="6" t="s">
        <v>14329</v>
      </c>
      <c r="C2353" s="13">
        <v>1500</v>
      </c>
      <c r="D2353" s="8" t="s">
        <v>14330</v>
      </c>
      <c r="E2353" s="8" t="s">
        <v>14331</v>
      </c>
      <c r="F2353" s="8" t="s">
        <v>14332</v>
      </c>
      <c r="G2353" s="6" t="s">
        <v>89</v>
      </c>
      <c r="H2353" s="6" t="s">
        <v>53</v>
      </c>
      <c r="I2353" s="8" t="s">
        <v>212</v>
      </c>
      <c r="J2353" s="9">
        <v>1</v>
      </c>
      <c r="K2353" s="9">
        <v>255</v>
      </c>
      <c r="L2353" s="9">
        <v>2025</v>
      </c>
      <c r="M2353" s="8" t="s">
        <v>14333</v>
      </c>
      <c r="N2353" s="8" t="s">
        <v>41</v>
      </c>
      <c r="O2353" s="8" t="s">
        <v>676</v>
      </c>
      <c r="P2353" s="6" t="s">
        <v>167</v>
      </c>
      <c r="Q2353" s="8" t="s">
        <v>214</v>
      </c>
      <c r="R2353" s="10" t="s">
        <v>14334</v>
      </c>
      <c r="S2353" s="11" t="s">
        <v>14335</v>
      </c>
      <c r="T2353" s="6"/>
      <c r="U2353" s="24" t="str">
        <f>HYPERLINK("https://media.infra-m.ru/2187/2187086/cover/2187086.jpg", "Обложка")</f>
        <v>Обложка</v>
      </c>
      <c r="V2353" s="24" t="str">
        <f>HYPERLINK("https://znanium.ru/catalog/product/2187086", "Ознакомиться")</f>
        <v>Ознакомиться</v>
      </c>
      <c r="W2353" s="8" t="s">
        <v>808</v>
      </c>
      <c r="X2353" s="6"/>
      <c r="Y2353" s="6"/>
      <c r="Z2353" s="6"/>
      <c r="AA2353" s="6" t="s">
        <v>207</v>
      </c>
      <c r="AB2353" s="8"/>
    </row>
    <row r="2354" spans="1:28" s="4" customFormat="1" ht="51.95" customHeight="1">
      <c r="A2354" s="5">
        <v>0</v>
      </c>
      <c r="B2354" s="6" t="s">
        <v>14336</v>
      </c>
      <c r="C2354" s="13">
        <v>1544</v>
      </c>
      <c r="D2354" s="8" t="s">
        <v>14337</v>
      </c>
      <c r="E2354" s="8" t="s">
        <v>14338</v>
      </c>
      <c r="F2354" s="8" t="s">
        <v>14339</v>
      </c>
      <c r="G2354" s="6" t="s">
        <v>89</v>
      </c>
      <c r="H2354" s="6" t="s">
        <v>53</v>
      </c>
      <c r="I2354" s="8" t="s">
        <v>100</v>
      </c>
      <c r="J2354" s="9">
        <v>1</v>
      </c>
      <c r="K2354" s="9">
        <v>312</v>
      </c>
      <c r="L2354" s="9">
        <v>2024</v>
      </c>
      <c r="M2354" s="8" t="s">
        <v>14340</v>
      </c>
      <c r="N2354" s="8" t="s">
        <v>997</v>
      </c>
      <c r="O2354" s="8" t="s">
        <v>998</v>
      </c>
      <c r="P2354" s="6" t="s">
        <v>43</v>
      </c>
      <c r="Q2354" s="8" t="s">
        <v>102</v>
      </c>
      <c r="R2354" s="10" t="s">
        <v>14341</v>
      </c>
      <c r="S2354" s="11" t="s">
        <v>14342</v>
      </c>
      <c r="T2354" s="6"/>
      <c r="U2354" s="24" t="str">
        <f>HYPERLINK("https://media.infra-m.ru/2164/2164010/cover/2164010.jpg", "Обложка")</f>
        <v>Обложка</v>
      </c>
      <c r="V2354" s="24" t="str">
        <f>HYPERLINK("https://znanium.ru/catalog/product/2163776", "Ознакомиться")</f>
        <v>Ознакомиться</v>
      </c>
      <c r="W2354" s="8" t="s">
        <v>2514</v>
      </c>
      <c r="X2354" s="6"/>
      <c r="Y2354" s="6"/>
      <c r="Z2354" s="6" t="s">
        <v>104</v>
      </c>
      <c r="AA2354" s="6" t="s">
        <v>196</v>
      </c>
      <c r="AB2354" s="8"/>
    </row>
    <row r="2355" spans="1:28" s="4" customFormat="1" ht="51.95" customHeight="1">
      <c r="A2355" s="5">
        <v>0</v>
      </c>
      <c r="B2355" s="6" t="s">
        <v>14343</v>
      </c>
      <c r="C2355" s="13">
        <v>1564</v>
      </c>
      <c r="D2355" s="8" t="s">
        <v>14344</v>
      </c>
      <c r="E2355" s="8" t="s">
        <v>14338</v>
      </c>
      <c r="F2355" s="8" t="s">
        <v>14339</v>
      </c>
      <c r="G2355" s="6" t="s">
        <v>89</v>
      </c>
      <c r="H2355" s="6" t="s">
        <v>53</v>
      </c>
      <c r="I2355" s="8" t="s">
        <v>90</v>
      </c>
      <c r="J2355" s="9">
        <v>1</v>
      </c>
      <c r="K2355" s="9">
        <v>312</v>
      </c>
      <c r="L2355" s="9">
        <v>2025</v>
      </c>
      <c r="M2355" s="8" t="s">
        <v>14345</v>
      </c>
      <c r="N2355" s="8" t="s">
        <v>997</v>
      </c>
      <c r="O2355" s="8" t="s">
        <v>998</v>
      </c>
      <c r="P2355" s="6" t="s">
        <v>43</v>
      </c>
      <c r="Q2355" s="8" t="s">
        <v>44</v>
      </c>
      <c r="R2355" s="10" t="s">
        <v>1598</v>
      </c>
      <c r="S2355" s="11" t="s">
        <v>14346</v>
      </c>
      <c r="T2355" s="6"/>
      <c r="U2355" s="24" t="str">
        <f>HYPERLINK("https://media.infra-m.ru/2161/2161304/cover/2161304.jpg", "Обложка")</f>
        <v>Обложка</v>
      </c>
      <c r="V2355" s="24" t="str">
        <f>HYPERLINK("https://znanium.ru/catalog/product/1015033", "Ознакомиться")</f>
        <v>Ознакомиться</v>
      </c>
      <c r="W2355" s="8" t="s">
        <v>2514</v>
      </c>
      <c r="X2355" s="6"/>
      <c r="Y2355" s="6"/>
      <c r="Z2355" s="6"/>
      <c r="AA2355" s="6" t="s">
        <v>160</v>
      </c>
      <c r="AB2355" s="8"/>
    </row>
    <row r="2356" spans="1:28" s="4" customFormat="1" ht="51.95" customHeight="1">
      <c r="A2356" s="5">
        <v>0</v>
      </c>
      <c r="B2356" s="6" t="s">
        <v>14347</v>
      </c>
      <c r="C2356" s="7">
        <v>744</v>
      </c>
      <c r="D2356" s="8" t="s">
        <v>14348</v>
      </c>
      <c r="E2356" s="8" t="s">
        <v>14349</v>
      </c>
      <c r="F2356" s="8" t="s">
        <v>14350</v>
      </c>
      <c r="G2356" s="6" t="s">
        <v>38</v>
      </c>
      <c r="H2356" s="6" t="s">
        <v>53</v>
      </c>
      <c r="I2356" s="8" t="s">
        <v>100</v>
      </c>
      <c r="J2356" s="9">
        <v>1</v>
      </c>
      <c r="K2356" s="9">
        <v>143</v>
      </c>
      <c r="L2356" s="9">
        <v>2025</v>
      </c>
      <c r="M2356" s="8" t="s">
        <v>14351</v>
      </c>
      <c r="N2356" s="8" t="s">
        <v>79</v>
      </c>
      <c r="O2356" s="8" t="s">
        <v>396</v>
      </c>
      <c r="P2356" s="6" t="s">
        <v>43</v>
      </c>
      <c r="Q2356" s="8" t="s">
        <v>102</v>
      </c>
      <c r="R2356" s="10" t="s">
        <v>14352</v>
      </c>
      <c r="S2356" s="11" t="s">
        <v>6274</v>
      </c>
      <c r="T2356" s="6"/>
      <c r="U2356" s="24" t="str">
        <f>HYPERLINK("https://media.infra-m.ru/2202/2202656/cover/2202656.jpg", "Обложка")</f>
        <v>Обложка</v>
      </c>
      <c r="V2356" s="24" t="str">
        <f>HYPERLINK("https://znanium.ru/catalog/product/2164008", "Ознакомиться")</f>
        <v>Ознакомиться</v>
      </c>
      <c r="W2356" s="8" t="s">
        <v>8065</v>
      </c>
      <c r="X2356" s="6"/>
      <c r="Y2356" s="6"/>
      <c r="Z2356" s="6" t="s">
        <v>104</v>
      </c>
      <c r="AA2356" s="6" t="s">
        <v>1259</v>
      </c>
      <c r="AB2356" s="8"/>
    </row>
    <row r="2357" spans="1:28" s="4" customFormat="1" ht="51.95" customHeight="1">
      <c r="A2357" s="5">
        <v>0</v>
      </c>
      <c r="B2357" s="6" t="s">
        <v>14353</v>
      </c>
      <c r="C2357" s="7">
        <v>484.9</v>
      </c>
      <c r="D2357" s="8" t="s">
        <v>14354</v>
      </c>
      <c r="E2357" s="8" t="s">
        <v>14349</v>
      </c>
      <c r="F2357" s="8" t="s">
        <v>14355</v>
      </c>
      <c r="G2357" s="6" t="s">
        <v>38</v>
      </c>
      <c r="H2357" s="6" t="s">
        <v>53</v>
      </c>
      <c r="I2357" s="8" t="s">
        <v>90</v>
      </c>
      <c r="J2357" s="9">
        <v>1</v>
      </c>
      <c r="K2357" s="9">
        <v>143</v>
      </c>
      <c r="L2357" s="9">
        <v>2020</v>
      </c>
      <c r="M2357" s="8" t="s">
        <v>14356</v>
      </c>
      <c r="N2357" s="8" t="s">
        <v>79</v>
      </c>
      <c r="O2357" s="8" t="s">
        <v>396</v>
      </c>
      <c r="P2357" s="6" t="s">
        <v>43</v>
      </c>
      <c r="Q2357" s="8" t="s">
        <v>44</v>
      </c>
      <c r="R2357" s="10" t="s">
        <v>14357</v>
      </c>
      <c r="S2357" s="11" t="s">
        <v>14358</v>
      </c>
      <c r="T2357" s="6"/>
      <c r="U2357" s="24" t="str">
        <f>HYPERLINK("https://media.infra-m.ru/1109/1109568/cover/1109568.jpg", "Обложка")</f>
        <v>Обложка</v>
      </c>
      <c r="V2357" s="24" t="str">
        <f>HYPERLINK("https://znanium.ru/catalog/product/1009029", "Ознакомиться")</f>
        <v>Ознакомиться</v>
      </c>
      <c r="W2357" s="8" t="s">
        <v>8065</v>
      </c>
      <c r="X2357" s="6"/>
      <c r="Y2357" s="6"/>
      <c r="Z2357" s="6"/>
      <c r="AA2357" s="6" t="s">
        <v>479</v>
      </c>
      <c r="AB2357" s="8"/>
    </row>
    <row r="2358" spans="1:28" s="4" customFormat="1" ht="51.95" customHeight="1">
      <c r="A2358" s="5">
        <v>0</v>
      </c>
      <c r="B2358" s="6" t="s">
        <v>14359</v>
      </c>
      <c r="C2358" s="13">
        <v>1094</v>
      </c>
      <c r="D2358" s="8" t="s">
        <v>14360</v>
      </c>
      <c r="E2358" s="8" t="s">
        <v>14361</v>
      </c>
      <c r="F2358" s="8" t="s">
        <v>14362</v>
      </c>
      <c r="G2358" s="6" t="s">
        <v>89</v>
      </c>
      <c r="H2358" s="6" t="s">
        <v>53</v>
      </c>
      <c r="I2358" s="8" t="s">
        <v>100</v>
      </c>
      <c r="J2358" s="9">
        <v>1</v>
      </c>
      <c r="K2358" s="9">
        <v>219</v>
      </c>
      <c r="L2358" s="9">
        <v>2025</v>
      </c>
      <c r="M2358" s="8" t="s">
        <v>14363</v>
      </c>
      <c r="N2358" s="8" t="s">
        <v>997</v>
      </c>
      <c r="O2358" s="8" t="s">
        <v>998</v>
      </c>
      <c r="P2358" s="6" t="s">
        <v>167</v>
      </c>
      <c r="Q2358" s="8" t="s">
        <v>102</v>
      </c>
      <c r="R2358" s="10" t="s">
        <v>14364</v>
      </c>
      <c r="S2358" s="11" t="s">
        <v>14365</v>
      </c>
      <c r="T2358" s="6" t="s">
        <v>299</v>
      </c>
      <c r="U2358" s="24" t="str">
        <f>HYPERLINK("https://media.infra-m.ru/2186/2186887/cover/2186887.jpg", "Обложка")</f>
        <v>Обложка</v>
      </c>
      <c r="V2358" s="24" t="str">
        <f>HYPERLINK("https://znanium.ru/catalog/product/2142957", "Ознакомиться")</f>
        <v>Ознакомиться</v>
      </c>
      <c r="W2358" s="8" t="s">
        <v>2514</v>
      </c>
      <c r="X2358" s="6"/>
      <c r="Y2358" s="6"/>
      <c r="Z2358" s="6" t="s">
        <v>104</v>
      </c>
      <c r="AA2358" s="6" t="s">
        <v>151</v>
      </c>
      <c r="AB2358" s="8"/>
    </row>
    <row r="2359" spans="1:28" s="4" customFormat="1" ht="51.95" customHeight="1">
      <c r="A2359" s="5">
        <v>0</v>
      </c>
      <c r="B2359" s="6" t="s">
        <v>14366</v>
      </c>
      <c r="C2359" s="13">
        <v>1050</v>
      </c>
      <c r="D2359" s="8" t="s">
        <v>14367</v>
      </c>
      <c r="E2359" s="8" t="s">
        <v>14361</v>
      </c>
      <c r="F2359" s="8" t="s">
        <v>14362</v>
      </c>
      <c r="G2359" s="6" t="s">
        <v>89</v>
      </c>
      <c r="H2359" s="6" t="s">
        <v>53</v>
      </c>
      <c r="I2359" s="8" t="s">
        <v>90</v>
      </c>
      <c r="J2359" s="9">
        <v>1</v>
      </c>
      <c r="K2359" s="9">
        <v>219</v>
      </c>
      <c r="L2359" s="9">
        <v>2023</v>
      </c>
      <c r="M2359" s="8" t="s">
        <v>14368</v>
      </c>
      <c r="N2359" s="8" t="s">
        <v>997</v>
      </c>
      <c r="O2359" s="8" t="s">
        <v>998</v>
      </c>
      <c r="P2359" s="6" t="s">
        <v>167</v>
      </c>
      <c r="Q2359" s="8" t="s">
        <v>44</v>
      </c>
      <c r="R2359" s="10" t="s">
        <v>1598</v>
      </c>
      <c r="S2359" s="11" t="s">
        <v>1599</v>
      </c>
      <c r="T2359" s="6" t="s">
        <v>299</v>
      </c>
      <c r="U2359" s="24" t="str">
        <f>HYPERLINK("https://media.infra-m.ru/2127/2127010/cover/2127010.jpg", "Обложка")</f>
        <v>Обложка</v>
      </c>
      <c r="V2359" s="24" t="str">
        <f>HYPERLINK("https://znanium.ru/catalog/product/2127010", "Ознакомиться")</f>
        <v>Ознакомиться</v>
      </c>
      <c r="W2359" s="8" t="s">
        <v>2514</v>
      </c>
      <c r="X2359" s="6"/>
      <c r="Y2359" s="6"/>
      <c r="Z2359" s="6"/>
      <c r="AA2359" s="6" t="s">
        <v>418</v>
      </c>
      <c r="AB2359" s="8"/>
    </row>
    <row r="2360" spans="1:28" s="4" customFormat="1" ht="42" customHeight="1">
      <c r="A2360" s="5">
        <v>0</v>
      </c>
      <c r="B2360" s="6" t="s">
        <v>14369</v>
      </c>
      <c r="C2360" s="7">
        <v>770</v>
      </c>
      <c r="D2360" s="8" t="s">
        <v>14370</v>
      </c>
      <c r="E2360" s="8" t="s">
        <v>14371</v>
      </c>
      <c r="F2360" s="8" t="s">
        <v>14372</v>
      </c>
      <c r="G2360" s="6" t="s">
        <v>38</v>
      </c>
      <c r="H2360" s="6" t="s">
        <v>53</v>
      </c>
      <c r="I2360" s="8" t="s">
        <v>1325</v>
      </c>
      <c r="J2360" s="9">
        <v>1</v>
      </c>
      <c r="K2360" s="9">
        <v>156</v>
      </c>
      <c r="L2360" s="9">
        <v>2023</v>
      </c>
      <c r="M2360" s="8" t="s">
        <v>14373</v>
      </c>
      <c r="N2360" s="8" t="s">
        <v>79</v>
      </c>
      <c r="O2360" s="8" t="s">
        <v>570</v>
      </c>
      <c r="P2360" s="6" t="s">
        <v>175</v>
      </c>
      <c r="Q2360" s="8" t="s">
        <v>58</v>
      </c>
      <c r="R2360" s="10" t="s">
        <v>5423</v>
      </c>
      <c r="S2360" s="11"/>
      <c r="T2360" s="6"/>
      <c r="U2360" s="24" t="str">
        <f>HYPERLINK("https://media.infra-m.ru/1149/1149636/cover/1149636.jpg", "Обложка")</f>
        <v>Обложка</v>
      </c>
      <c r="V2360" s="24" t="str">
        <f>HYPERLINK("https://znanium.ru/catalog/product/1149636", "Ознакомиться")</f>
        <v>Ознакомиться</v>
      </c>
      <c r="W2360" s="8" t="s">
        <v>1329</v>
      </c>
      <c r="X2360" s="6"/>
      <c r="Y2360" s="6"/>
      <c r="Z2360" s="6"/>
      <c r="AA2360" s="6" t="s">
        <v>258</v>
      </c>
      <c r="AB2360" s="8"/>
    </row>
    <row r="2361" spans="1:28" s="4" customFormat="1" ht="42" customHeight="1">
      <c r="A2361" s="5">
        <v>0</v>
      </c>
      <c r="B2361" s="6" t="s">
        <v>14374</v>
      </c>
      <c r="C2361" s="13">
        <v>1070</v>
      </c>
      <c r="D2361" s="8" t="s">
        <v>14375</v>
      </c>
      <c r="E2361" s="8" t="s">
        <v>14376</v>
      </c>
      <c r="F2361" s="8" t="s">
        <v>14377</v>
      </c>
      <c r="G2361" s="6" t="s">
        <v>52</v>
      </c>
      <c r="H2361" s="6" t="s">
        <v>53</v>
      </c>
      <c r="I2361" s="8" t="s">
        <v>276</v>
      </c>
      <c r="J2361" s="9">
        <v>1</v>
      </c>
      <c r="K2361" s="9">
        <v>234</v>
      </c>
      <c r="L2361" s="9">
        <v>2024</v>
      </c>
      <c r="M2361" s="8" t="s">
        <v>14378</v>
      </c>
      <c r="N2361" s="8" t="s">
        <v>997</v>
      </c>
      <c r="O2361" s="8" t="s">
        <v>998</v>
      </c>
      <c r="P2361" s="6" t="s">
        <v>43</v>
      </c>
      <c r="Q2361" s="8" t="s">
        <v>279</v>
      </c>
      <c r="R2361" s="10" t="s">
        <v>11618</v>
      </c>
      <c r="S2361" s="11"/>
      <c r="T2361" s="6"/>
      <c r="U2361" s="24" t="str">
        <f>HYPERLINK("https://media.infra-m.ru/1930/1930676/cover/1930676.jpg", "Обложка")</f>
        <v>Обложка</v>
      </c>
      <c r="V2361" s="24" t="str">
        <f>HYPERLINK("https://znanium.ru/catalog/product/1930676", "Ознакомиться")</f>
        <v>Ознакомиться</v>
      </c>
      <c r="W2361" s="8" t="s">
        <v>6464</v>
      </c>
      <c r="X2361" s="6"/>
      <c r="Y2361" s="6"/>
      <c r="Z2361" s="6"/>
      <c r="AA2361" s="6" t="s">
        <v>133</v>
      </c>
      <c r="AB2361" s="8"/>
    </row>
    <row r="2362" spans="1:28" s="4" customFormat="1" ht="51.95" customHeight="1">
      <c r="A2362" s="5">
        <v>0</v>
      </c>
      <c r="B2362" s="6" t="s">
        <v>14379</v>
      </c>
      <c r="C2362" s="13">
        <v>1464</v>
      </c>
      <c r="D2362" s="8" t="s">
        <v>14380</v>
      </c>
      <c r="E2362" s="8" t="s">
        <v>14381</v>
      </c>
      <c r="F2362" s="8" t="s">
        <v>14382</v>
      </c>
      <c r="G2362" s="6" t="s">
        <v>52</v>
      </c>
      <c r="H2362" s="6" t="s">
        <v>53</v>
      </c>
      <c r="I2362" s="8" t="s">
        <v>90</v>
      </c>
      <c r="J2362" s="9">
        <v>1</v>
      </c>
      <c r="K2362" s="9">
        <v>318</v>
      </c>
      <c r="L2362" s="9">
        <v>2024</v>
      </c>
      <c r="M2362" s="8" t="s">
        <v>14383</v>
      </c>
      <c r="N2362" s="8" t="s">
        <v>79</v>
      </c>
      <c r="O2362" s="8" t="s">
        <v>148</v>
      </c>
      <c r="P2362" s="6" t="s">
        <v>43</v>
      </c>
      <c r="Q2362" s="8" t="s">
        <v>44</v>
      </c>
      <c r="R2362" s="10" t="s">
        <v>14384</v>
      </c>
      <c r="S2362" s="11"/>
      <c r="T2362" s="6"/>
      <c r="U2362" s="24" t="str">
        <f>HYPERLINK("https://media.infra-m.ru/2087/2087293/cover/2087293.jpg", "Обложка")</f>
        <v>Обложка</v>
      </c>
      <c r="V2362" s="24" t="str">
        <f>HYPERLINK("https://znanium.ru/catalog/product/1009378", "Ознакомиться")</f>
        <v>Ознакомиться</v>
      </c>
      <c r="W2362" s="8" t="s">
        <v>784</v>
      </c>
      <c r="X2362" s="6"/>
      <c r="Y2362" s="6"/>
      <c r="Z2362" s="6"/>
      <c r="AA2362" s="6" t="s">
        <v>494</v>
      </c>
      <c r="AB2362" s="8"/>
    </row>
    <row r="2363" spans="1:28" s="4" customFormat="1" ht="51.95" customHeight="1">
      <c r="A2363" s="5">
        <v>0</v>
      </c>
      <c r="B2363" s="6" t="s">
        <v>14385</v>
      </c>
      <c r="C2363" s="7">
        <v>840</v>
      </c>
      <c r="D2363" s="8" t="s">
        <v>14386</v>
      </c>
      <c r="E2363" s="8" t="s">
        <v>14387</v>
      </c>
      <c r="F2363" s="8" t="s">
        <v>14388</v>
      </c>
      <c r="G2363" s="6" t="s">
        <v>38</v>
      </c>
      <c r="H2363" s="6" t="s">
        <v>53</v>
      </c>
      <c r="I2363" s="8" t="s">
        <v>90</v>
      </c>
      <c r="J2363" s="9">
        <v>1</v>
      </c>
      <c r="K2363" s="9">
        <v>180</v>
      </c>
      <c r="L2363" s="9">
        <v>2023</v>
      </c>
      <c r="M2363" s="8" t="s">
        <v>14389</v>
      </c>
      <c r="N2363" s="8" t="s">
        <v>413</v>
      </c>
      <c r="O2363" s="8" t="s">
        <v>2771</v>
      </c>
      <c r="P2363" s="6" t="s">
        <v>43</v>
      </c>
      <c r="Q2363" s="8" t="s">
        <v>44</v>
      </c>
      <c r="R2363" s="10" t="s">
        <v>14390</v>
      </c>
      <c r="S2363" s="11" t="s">
        <v>14391</v>
      </c>
      <c r="T2363" s="6"/>
      <c r="U2363" s="24" t="str">
        <f>HYPERLINK("https://media.infra-m.ru/1893/1893660/cover/1893660.jpg", "Обложка")</f>
        <v>Обложка</v>
      </c>
      <c r="V2363" s="24" t="str">
        <f>HYPERLINK("https://znanium.ru/catalog/product/1893660", "Ознакомиться")</f>
        <v>Ознакомиться</v>
      </c>
      <c r="W2363" s="8" t="s">
        <v>1571</v>
      </c>
      <c r="X2363" s="6"/>
      <c r="Y2363" s="6"/>
      <c r="Z2363" s="6"/>
      <c r="AA2363" s="6" t="s">
        <v>442</v>
      </c>
      <c r="AB2363" s="8"/>
    </row>
    <row r="2364" spans="1:28" s="4" customFormat="1" ht="51.95" customHeight="1">
      <c r="A2364" s="5">
        <v>0</v>
      </c>
      <c r="B2364" s="6" t="s">
        <v>14392</v>
      </c>
      <c r="C2364" s="13">
        <v>2084</v>
      </c>
      <c r="D2364" s="8" t="s">
        <v>14393</v>
      </c>
      <c r="E2364" s="8" t="s">
        <v>14394</v>
      </c>
      <c r="F2364" s="8" t="s">
        <v>14395</v>
      </c>
      <c r="G2364" s="6" t="s">
        <v>52</v>
      </c>
      <c r="H2364" s="6" t="s">
        <v>77</v>
      </c>
      <c r="I2364" s="8"/>
      <c r="J2364" s="9">
        <v>1</v>
      </c>
      <c r="K2364" s="9">
        <v>416</v>
      </c>
      <c r="L2364" s="9">
        <v>2025</v>
      </c>
      <c r="M2364" s="8" t="s">
        <v>14396</v>
      </c>
      <c r="N2364" s="8" t="s">
        <v>56</v>
      </c>
      <c r="O2364" s="8" t="s">
        <v>741</v>
      </c>
      <c r="P2364" s="6" t="s">
        <v>43</v>
      </c>
      <c r="Q2364" s="8" t="s">
        <v>44</v>
      </c>
      <c r="R2364" s="10" t="s">
        <v>1894</v>
      </c>
      <c r="S2364" s="11" t="s">
        <v>14397</v>
      </c>
      <c r="T2364" s="6"/>
      <c r="U2364" s="24" t="str">
        <f>HYPERLINK("https://media.infra-m.ru/2184/2184152/cover/2184152.jpg", "Обложка")</f>
        <v>Обложка</v>
      </c>
      <c r="V2364" s="24" t="str">
        <f>HYPERLINK("https://znanium.ru/catalog/product/1408095", "Ознакомиться")</f>
        <v>Ознакомиться</v>
      </c>
      <c r="W2364" s="8" t="s">
        <v>9859</v>
      </c>
      <c r="X2364" s="6"/>
      <c r="Y2364" s="6"/>
      <c r="Z2364" s="6"/>
      <c r="AA2364" s="6" t="s">
        <v>47</v>
      </c>
      <c r="AB2364" s="8"/>
    </row>
    <row r="2365" spans="1:28" s="4" customFormat="1" ht="42" customHeight="1">
      <c r="A2365" s="5">
        <v>0</v>
      </c>
      <c r="B2365" s="6" t="s">
        <v>14398</v>
      </c>
      <c r="C2365" s="7">
        <v>760</v>
      </c>
      <c r="D2365" s="8" t="s">
        <v>14399</v>
      </c>
      <c r="E2365" s="8" t="s">
        <v>14400</v>
      </c>
      <c r="F2365" s="8" t="s">
        <v>14401</v>
      </c>
      <c r="G2365" s="6" t="s">
        <v>52</v>
      </c>
      <c r="H2365" s="6" t="s">
        <v>53</v>
      </c>
      <c r="I2365" s="8" t="s">
        <v>2511</v>
      </c>
      <c r="J2365" s="9">
        <v>1</v>
      </c>
      <c r="K2365" s="9">
        <v>219</v>
      </c>
      <c r="L2365" s="9">
        <v>2019</v>
      </c>
      <c r="M2365" s="8" t="s">
        <v>14402</v>
      </c>
      <c r="N2365" s="8" t="s">
        <v>41</v>
      </c>
      <c r="O2365" s="8" t="s">
        <v>676</v>
      </c>
      <c r="P2365" s="6" t="s">
        <v>1046</v>
      </c>
      <c r="Q2365" s="8" t="s">
        <v>214</v>
      </c>
      <c r="R2365" s="10" t="s">
        <v>2713</v>
      </c>
      <c r="S2365" s="11"/>
      <c r="T2365" s="6"/>
      <c r="U2365" s="24" t="str">
        <f>HYPERLINK("https://media.infra-m.ru/0974/0974790/cover/974790.jpg", "Обложка")</f>
        <v>Обложка</v>
      </c>
      <c r="V2365" s="24" t="str">
        <f>HYPERLINK("https://znanium.ru/catalog/product/1790631", "Ознакомиться")</f>
        <v>Ознакомиться</v>
      </c>
      <c r="W2365" s="8" t="s">
        <v>14403</v>
      </c>
      <c r="X2365" s="6"/>
      <c r="Y2365" s="6"/>
      <c r="Z2365" s="6"/>
      <c r="AA2365" s="6" t="s">
        <v>707</v>
      </c>
      <c r="AB2365" s="8"/>
    </row>
    <row r="2366" spans="1:28" s="4" customFormat="1" ht="42" customHeight="1">
      <c r="A2366" s="5">
        <v>0</v>
      </c>
      <c r="B2366" s="6" t="s">
        <v>14404</v>
      </c>
      <c r="C2366" s="7">
        <v>494</v>
      </c>
      <c r="D2366" s="8" t="s">
        <v>14405</v>
      </c>
      <c r="E2366" s="8" t="s">
        <v>14406</v>
      </c>
      <c r="F2366" s="8" t="s">
        <v>14407</v>
      </c>
      <c r="G2366" s="6" t="s">
        <v>38</v>
      </c>
      <c r="H2366" s="6" t="s">
        <v>39</v>
      </c>
      <c r="I2366" s="8"/>
      <c r="J2366" s="9">
        <v>1</v>
      </c>
      <c r="K2366" s="9">
        <v>88</v>
      </c>
      <c r="L2366" s="9">
        <v>2025</v>
      </c>
      <c r="M2366" s="8" t="s">
        <v>14408</v>
      </c>
      <c r="N2366" s="8" t="s">
        <v>56</v>
      </c>
      <c r="O2366" s="8" t="s">
        <v>741</v>
      </c>
      <c r="P2366" s="6" t="s">
        <v>43</v>
      </c>
      <c r="Q2366" s="8" t="s">
        <v>44</v>
      </c>
      <c r="R2366" s="10" t="s">
        <v>14409</v>
      </c>
      <c r="S2366" s="11"/>
      <c r="T2366" s="6"/>
      <c r="U2366" s="24" t="str">
        <f>HYPERLINK("https://media.infra-m.ru/2192/2192162/cover/2192162.jpg", "Обложка")</f>
        <v>Обложка</v>
      </c>
      <c r="V2366" s="12"/>
      <c r="W2366" s="8" t="s">
        <v>9506</v>
      </c>
      <c r="X2366" s="6"/>
      <c r="Y2366" s="6"/>
      <c r="Z2366" s="6"/>
      <c r="AA2366" s="6" t="s">
        <v>122</v>
      </c>
      <c r="AB2366" s="8"/>
    </row>
    <row r="2367" spans="1:28" s="4" customFormat="1" ht="51.95" customHeight="1">
      <c r="A2367" s="5">
        <v>0</v>
      </c>
      <c r="B2367" s="6" t="s">
        <v>14410</v>
      </c>
      <c r="C2367" s="13">
        <v>1030</v>
      </c>
      <c r="D2367" s="8" t="s">
        <v>14411</v>
      </c>
      <c r="E2367" s="8" t="s">
        <v>14412</v>
      </c>
      <c r="F2367" s="8" t="s">
        <v>14413</v>
      </c>
      <c r="G2367" s="6" t="s">
        <v>89</v>
      </c>
      <c r="H2367" s="6" t="s">
        <v>53</v>
      </c>
      <c r="I2367" s="8" t="s">
        <v>276</v>
      </c>
      <c r="J2367" s="9">
        <v>1</v>
      </c>
      <c r="K2367" s="9">
        <v>223</v>
      </c>
      <c r="L2367" s="9">
        <v>2024</v>
      </c>
      <c r="M2367" s="8" t="s">
        <v>14414</v>
      </c>
      <c r="N2367" s="8" t="s">
        <v>41</v>
      </c>
      <c r="O2367" s="8" t="s">
        <v>1007</v>
      </c>
      <c r="P2367" s="6" t="s">
        <v>43</v>
      </c>
      <c r="Q2367" s="8" t="s">
        <v>279</v>
      </c>
      <c r="R2367" s="10" t="s">
        <v>14415</v>
      </c>
      <c r="S2367" s="11" t="s">
        <v>14416</v>
      </c>
      <c r="T2367" s="6"/>
      <c r="U2367" s="24" t="str">
        <f>HYPERLINK("https://media.infra-m.ru/2086/2086832/cover/2086832.jpg", "Обложка")</f>
        <v>Обложка</v>
      </c>
      <c r="V2367" s="24" t="str">
        <f>HYPERLINK("https://znanium.ru/catalog/product/2086832", "Ознакомиться")</f>
        <v>Ознакомиться</v>
      </c>
      <c r="W2367" s="8" t="s">
        <v>913</v>
      </c>
      <c r="X2367" s="6"/>
      <c r="Y2367" s="6"/>
      <c r="Z2367" s="6"/>
      <c r="AA2367" s="6" t="s">
        <v>258</v>
      </c>
      <c r="AB2367" s="8"/>
    </row>
    <row r="2368" spans="1:28" s="4" customFormat="1" ht="51.95" customHeight="1">
      <c r="A2368" s="5">
        <v>0</v>
      </c>
      <c r="B2368" s="6" t="s">
        <v>14417</v>
      </c>
      <c r="C2368" s="13">
        <v>1474</v>
      </c>
      <c r="D2368" s="8" t="s">
        <v>14418</v>
      </c>
      <c r="E2368" s="8" t="s">
        <v>14419</v>
      </c>
      <c r="F2368" s="8" t="s">
        <v>14420</v>
      </c>
      <c r="G2368" s="6" t="s">
        <v>89</v>
      </c>
      <c r="H2368" s="6" t="s">
        <v>649</v>
      </c>
      <c r="I2368" s="8" t="s">
        <v>90</v>
      </c>
      <c r="J2368" s="9">
        <v>1</v>
      </c>
      <c r="K2368" s="9">
        <v>320</v>
      </c>
      <c r="L2368" s="9">
        <v>2024</v>
      </c>
      <c r="M2368" s="8" t="s">
        <v>14421</v>
      </c>
      <c r="N2368" s="8" t="s">
        <v>79</v>
      </c>
      <c r="O2368" s="8" t="s">
        <v>396</v>
      </c>
      <c r="P2368" s="6" t="s">
        <v>167</v>
      </c>
      <c r="Q2368" s="8" t="s">
        <v>44</v>
      </c>
      <c r="R2368" s="10" t="s">
        <v>14422</v>
      </c>
      <c r="S2368" s="11" t="s">
        <v>14423</v>
      </c>
      <c r="T2368" s="6"/>
      <c r="U2368" s="24" t="str">
        <f>HYPERLINK("https://media.infra-m.ru/2056/2056801/cover/2056801.jpg", "Обложка")</f>
        <v>Обложка</v>
      </c>
      <c r="V2368" s="24" t="str">
        <f>HYPERLINK("https://znanium.ru/catalog/product/992048", "Ознакомиться")</f>
        <v>Ознакомиться</v>
      </c>
      <c r="W2368" s="8" t="s">
        <v>71</v>
      </c>
      <c r="X2368" s="6"/>
      <c r="Y2368" s="6"/>
      <c r="Z2368" s="6"/>
      <c r="AA2368" s="6" t="s">
        <v>14424</v>
      </c>
      <c r="AB2368" s="8"/>
    </row>
    <row r="2369" spans="1:28" s="4" customFormat="1" ht="51.95" customHeight="1">
      <c r="A2369" s="5">
        <v>0</v>
      </c>
      <c r="B2369" s="6" t="s">
        <v>14425</v>
      </c>
      <c r="C2369" s="13">
        <v>1090</v>
      </c>
      <c r="D2369" s="8" t="s">
        <v>14426</v>
      </c>
      <c r="E2369" s="8" t="s">
        <v>14427</v>
      </c>
      <c r="F2369" s="8" t="s">
        <v>3197</v>
      </c>
      <c r="G2369" s="6" t="s">
        <v>89</v>
      </c>
      <c r="H2369" s="6" t="s">
        <v>53</v>
      </c>
      <c r="I2369" s="8" t="s">
        <v>276</v>
      </c>
      <c r="J2369" s="9">
        <v>1</v>
      </c>
      <c r="K2369" s="9">
        <v>242</v>
      </c>
      <c r="L2369" s="9">
        <v>2023</v>
      </c>
      <c r="M2369" s="8" t="s">
        <v>14428</v>
      </c>
      <c r="N2369" s="8" t="s">
        <v>56</v>
      </c>
      <c r="O2369" s="8" t="s">
        <v>9271</v>
      </c>
      <c r="P2369" s="6" t="s">
        <v>43</v>
      </c>
      <c r="Q2369" s="8" t="s">
        <v>279</v>
      </c>
      <c r="R2369" s="10" t="s">
        <v>14429</v>
      </c>
      <c r="S2369" s="11" t="s">
        <v>14430</v>
      </c>
      <c r="T2369" s="6"/>
      <c r="U2369" s="24" t="str">
        <f>HYPERLINK("https://media.infra-m.ru/1960/1960114/cover/1960114.jpg", "Обложка")</f>
        <v>Обложка</v>
      </c>
      <c r="V2369" s="24" t="str">
        <f>HYPERLINK("https://znanium.ru/catalog/product/1960114", "Ознакомиться")</f>
        <v>Ознакомиться</v>
      </c>
      <c r="W2369" s="8" t="s">
        <v>3201</v>
      </c>
      <c r="X2369" s="6"/>
      <c r="Y2369" s="6"/>
      <c r="Z2369" s="6"/>
      <c r="AA2369" s="6" t="s">
        <v>219</v>
      </c>
      <c r="AB2369" s="8"/>
    </row>
    <row r="2370" spans="1:28" s="4" customFormat="1" ht="51.95" customHeight="1">
      <c r="A2370" s="5">
        <v>0</v>
      </c>
      <c r="B2370" s="6" t="s">
        <v>14431</v>
      </c>
      <c r="C2370" s="7">
        <v>490</v>
      </c>
      <c r="D2370" s="8" t="s">
        <v>14432</v>
      </c>
      <c r="E2370" s="8" t="s">
        <v>14433</v>
      </c>
      <c r="F2370" s="8" t="s">
        <v>14434</v>
      </c>
      <c r="G2370" s="6" t="s">
        <v>38</v>
      </c>
      <c r="H2370" s="6" t="s">
        <v>184</v>
      </c>
      <c r="I2370" s="8" t="s">
        <v>116</v>
      </c>
      <c r="J2370" s="9">
        <v>1</v>
      </c>
      <c r="K2370" s="9">
        <v>96</v>
      </c>
      <c r="L2370" s="9">
        <v>2024</v>
      </c>
      <c r="M2370" s="8" t="s">
        <v>14435</v>
      </c>
      <c r="N2370" s="8" t="s">
        <v>997</v>
      </c>
      <c r="O2370" s="8" t="s">
        <v>998</v>
      </c>
      <c r="P2370" s="6" t="s">
        <v>43</v>
      </c>
      <c r="Q2370" s="8" t="s">
        <v>58</v>
      </c>
      <c r="R2370" s="10" t="s">
        <v>14436</v>
      </c>
      <c r="S2370" s="11"/>
      <c r="T2370" s="6"/>
      <c r="U2370" s="24" t="str">
        <f>HYPERLINK("https://media.infra-m.ru/1871/1871014/cover/1871014.jpg", "Обложка")</f>
        <v>Обложка</v>
      </c>
      <c r="V2370" s="24" t="str">
        <f>HYPERLINK("https://znanium.ru/catalog/product/1871014", "Ознакомиться")</f>
        <v>Ознакомиться</v>
      </c>
      <c r="W2370" s="8" t="s">
        <v>7218</v>
      </c>
      <c r="X2370" s="6"/>
      <c r="Y2370" s="6"/>
      <c r="Z2370" s="6"/>
      <c r="AA2370" s="6" t="s">
        <v>442</v>
      </c>
      <c r="AB2370" s="8"/>
    </row>
    <row r="2371" spans="1:28" s="4" customFormat="1" ht="51.95" customHeight="1">
      <c r="A2371" s="5">
        <v>0</v>
      </c>
      <c r="B2371" s="6" t="s">
        <v>14437</v>
      </c>
      <c r="C2371" s="13">
        <v>1880</v>
      </c>
      <c r="D2371" s="8" t="s">
        <v>14438</v>
      </c>
      <c r="E2371" s="8" t="s">
        <v>14439</v>
      </c>
      <c r="F2371" s="8" t="s">
        <v>14440</v>
      </c>
      <c r="G2371" s="6" t="s">
        <v>89</v>
      </c>
      <c r="H2371" s="6" t="s">
        <v>649</v>
      </c>
      <c r="I2371" s="8" t="s">
        <v>116</v>
      </c>
      <c r="J2371" s="9">
        <v>1</v>
      </c>
      <c r="K2371" s="9">
        <v>400</v>
      </c>
      <c r="L2371" s="9">
        <v>2024</v>
      </c>
      <c r="M2371" s="8" t="s">
        <v>14441</v>
      </c>
      <c r="N2371" s="8" t="s">
        <v>997</v>
      </c>
      <c r="O2371" s="8" t="s">
        <v>998</v>
      </c>
      <c r="P2371" s="6" t="s">
        <v>43</v>
      </c>
      <c r="Q2371" s="8" t="s">
        <v>279</v>
      </c>
      <c r="R2371" s="10" t="s">
        <v>14442</v>
      </c>
      <c r="S2371" s="11" t="s">
        <v>14443</v>
      </c>
      <c r="T2371" s="6"/>
      <c r="U2371" s="24" t="str">
        <f>HYPERLINK("https://media.infra-m.ru/2094/2094512/cover/2094512.jpg", "Обложка")</f>
        <v>Обложка</v>
      </c>
      <c r="V2371" s="24" t="str">
        <f>HYPERLINK("https://znanium.ru/catalog/product/2094512", "Ознакомиться")</f>
        <v>Ознакомиться</v>
      </c>
      <c r="W2371" s="8" t="s">
        <v>2216</v>
      </c>
      <c r="X2371" s="6"/>
      <c r="Y2371" s="6"/>
      <c r="Z2371" s="6"/>
      <c r="AA2371" s="6" t="s">
        <v>418</v>
      </c>
      <c r="AB2371" s="8"/>
    </row>
    <row r="2372" spans="1:28" s="4" customFormat="1" ht="51.95" customHeight="1">
      <c r="A2372" s="5">
        <v>0</v>
      </c>
      <c r="B2372" s="6" t="s">
        <v>14444</v>
      </c>
      <c r="C2372" s="13">
        <v>1244</v>
      </c>
      <c r="D2372" s="8" t="s">
        <v>14445</v>
      </c>
      <c r="E2372" s="8" t="s">
        <v>14446</v>
      </c>
      <c r="F2372" s="8" t="s">
        <v>14447</v>
      </c>
      <c r="G2372" s="6" t="s">
        <v>52</v>
      </c>
      <c r="H2372" s="6" t="s">
        <v>53</v>
      </c>
      <c r="I2372" s="8" t="s">
        <v>276</v>
      </c>
      <c r="J2372" s="9">
        <v>1</v>
      </c>
      <c r="K2372" s="9">
        <v>271</v>
      </c>
      <c r="L2372" s="9">
        <v>2024</v>
      </c>
      <c r="M2372" s="8" t="s">
        <v>14448</v>
      </c>
      <c r="N2372" s="8" t="s">
        <v>41</v>
      </c>
      <c r="O2372" s="8" t="s">
        <v>1204</v>
      </c>
      <c r="P2372" s="6" t="s">
        <v>43</v>
      </c>
      <c r="Q2372" s="8" t="s">
        <v>279</v>
      </c>
      <c r="R2372" s="10" t="s">
        <v>14449</v>
      </c>
      <c r="S2372" s="11" t="s">
        <v>14450</v>
      </c>
      <c r="T2372" s="6"/>
      <c r="U2372" s="24" t="str">
        <f>HYPERLINK("https://media.infra-m.ru/2110/2110946/cover/2110946.jpg", "Обложка")</f>
        <v>Обложка</v>
      </c>
      <c r="V2372" s="24" t="str">
        <f>HYPERLINK("https://znanium.ru/catalog/product/2110946", "Ознакомиться")</f>
        <v>Ознакомиться</v>
      </c>
      <c r="W2372" s="8" t="s">
        <v>2321</v>
      </c>
      <c r="X2372" s="6"/>
      <c r="Y2372" s="6"/>
      <c r="Z2372" s="6"/>
      <c r="AA2372" s="6" t="s">
        <v>874</v>
      </c>
      <c r="AB2372" s="8"/>
    </row>
    <row r="2373" spans="1:28" s="4" customFormat="1" ht="51.95" customHeight="1">
      <c r="A2373" s="5">
        <v>0</v>
      </c>
      <c r="B2373" s="6" t="s">
        <v>14451</v>
      </c>
      <c r="C2373" s="7">
        <v>774.9</v>
      </c>
      <c r="D2373" s="8" t="s">
        <v>14452</v>
      </c>
      <c r="E2373" s="8" t="s">
        <v>14453</v>
      </c>
      <c r="F2373" s="8" t="s">
        <v>14454</v>
      </c>
      <c r="G2373" s="6" t="s">
        <v>52</v>
      </c>
      <c r="H2373" s="6" t="s">
        <v>53</v>
      </c>
      <c r="I2373" s="8" t="s">
        <v>276</v>
      </c>
      <c r="J2373" s="9">
        <v>1</v>
      </c>
      <c r="K2373" s="9">
        <v>267</v>
      </c>
      <c r="L2373" s="9">
        <v>2018</v>
      </c>
      <c r="M2373" s="8" t="s">
        <v>14455</v>
      </c>
      <c r="N2373" s="8" t="s">
        <v>41</v>
      </c>
      <c r="O2373" s="8" t="s">
        <v>1204</v>
      </c>
      <c r="P2373" s="6" t="s">
        <v>43</v>
      </c>
      <c r="Q2373" s="8" t="s">
        <v>279</v>
      </c>
      <c r="R2373" s="10" t="s">
        <v>14449</v>
      </c>
      <c r="S2373" s="11" t="s">
        <v>6104</v>
      </c>
      <c r="T2373" s="6"/>
      <c r="U2373" s="24" t="str">
        <f>HYPERLINK("https://media.infra-m.ru/0928/0928350/cover/928350.jpg", "Обложка")</f>
        <v>Обложка</v>
      </c>
      <c r="V2373" s="24" t="str">
        <f>HYPERLINK("https://znanium.ru/catalog/product/2110946", "Ознакомиться")</f>
        <v>Ознакомиться</v>
      </c>
      <c r="W2373" s="8" t="s">
        <v>2321</v>
      </c>
      <c r="X2373" s="6"/>
      <c r="Y2373" s="6"/>
      <c r="Z2373" s="6"/>
      <c r="AA2373" s="6" t="s">
        <v>1461</v>
      </c>
      <c r="AB2373" s="8"/>
    </row>
    <row r="2374" spans="1:28" s="4" customFormat="1" ht="51.95" customHeight="1">
      <c r="A2374" s="5">
        <v>0</v>
      </c>
      <c r="B2374" s="6" t="s">
        <v>14456</v>
      </c>
      <c r="C2374" s="13">
        <v>1390</v>
      </c>
      <c r="D2374" s="8" t="s">
        <v>14457</v>
      </c>
      <c r="E2374" s="8" t="s">
        <v>14458</v>
      </c>
      <c r="F2374" s="8" t="s">
        <v>14459</v>
      </c>
      <c r="G2374" s="6" t="s">
        <v>89</v>
      </c>
      <c r="H2374" s="6" t="s">
        <v>53</v>
      </c>
      <c r="I2374" s="8" t="s">
        <v>116</v>
      </c>
      <c r="J2374" s="9">
        <v>1</v>
      </c>
      <c r="K2374" s="9">
        <v>304</v>
      </c>
      <c r="L2374" s="9">
        <v>2024</v>
      </c>
      <c r="M2374" s="8" t="s">
        <v>14460</v>
      </c>
      <c r="N2374" s="8" t="s">
        <v>56</v>
      </c>
      <c r="O2374" s="8" t="s">
        <v>741</v>
      </c>
      <c r="P2374" s="6" t="s">
        <v>43</v>
      </c>
      <c r="Q2374" s="8" t="s">
        <v>44</v>
      </c>
      <c r="R2374" s="10" t="s">
        <v>14461</v>
      </c>
      <c r="S2374" s="11" t="s">
        <v>14462</v>
      </c>
      <c r="T2374" s="6"/>
      <c r="U2374" s="24" t="str">
        <f>HYPERLINK("https://media.infra-m.ru/1880/1880583/cover/1880583.jpg", "Обложка")</f>
        <v>Обложка</v>
      </c>
      <c r="V2374" s="24" t="str">
        <f>HYPERLINK("https://znanium.ru/catalog/product/1880583", "Ознакомиться")</f>
        <v>Ознакомиться</v>
      </c>
      <c r="W2374" s="8" t="s">
        <v>9191</v>
      </c>
      <c r="X2374" s="6"/>
      <c r="Y2374" s="6"/>
      <c r="Z2374" s="6"/>
      <c r="AA2374" s="6" t="s">
        <v>122</v>
      </c>
      <c r="AB2374" s="8"/>
    </row>
    <row r="2375" spans="1:28" s="4" customFormat="1" ht="51.95" customHeight="1">
      <c r="A2375" s="5">
        <v>0</v>
      </c>
      <c r="B2375" s="6" t="s">
        <v>14463</v>
      </c>
      <c r="C2375" s="13">
        <v>1704</v>
      </c>
      <c r="D2375" s="8" t="s">
        <v>14464</v>
      </c>
      <c r="E2375" s="8" t="s">
        <v>14465</v>
      </c>
      <c r="F2375" s="8" t="s">
        <v>14466</v>
      </c>
      <c r="G2375" s="6" t="s">
        <v>52</v>
      </c>
      <c r="H2375" s="6" t="s">
        <v>53</v>
      </c>
      <c r="I2375" s="8" t="s">
        <v>7693</v>
      </c>
      <c r="J2375" s="9">
        <v>1</v>
      </c>
      <c r="K2375" s="9">
        <v>327</v>
      </c>
      <c r="L2375" s="9">
        <v>2025</v>
      </c>
      <c r="M2375" s="8" t="s">
        <v>14467</v>
      </c>
      <c r="N2375" s="8" t="s">
        <v>413</v>
      </c>
      <c r="O2375" s="8" t="s">
        <v>2771</v>
      </c>
      <c r="P2375" s="6" t="s">
        <v>43</v>
      </c>
      <c r="Q2375" s="8" t="s">
        <v>1674</v>
      </c>
      <c r="R2375" s="10" t="s">
        <v>14468</v>
      </c>
      <c r="S2375" s="11"/>
      <c r="T2375" s="6"/>
      <c r="U2375" s="24" t="str">
        <f>HYPERLINK("https://media.infra-m.ru/2196/2196954/cover/2196954.jpg", "Обложка")</f>
        <v>Обложка</v>
      </c>
      <c r="V2375" s="24" t="str">
        <f>HYPERLINK("https://znanium.ru/catalog/product/2125655", "Ознакомиться")</f>
        <v>Ознакомиться</v>
      </c>
      <c r="W2375" s="8" t="s">
        <v>5825</v>
      </c>
      <c r="X2375" s="6"/>
      <c r="Y2375" s="6"/>
      <c r="Z2375" s="6"/>
      <c r="AA2375" s="6" t="s">
        <v>47</v>
      </c>
      <c r="AB2375" s="8"/>
    </row>
    <row r="2376" spans="1:28" s="4" customFormat="1" ht="51.95" customHeight="1">
      <c r="A2376" s="5">
        <v>0</v>
      </c>
      <c r="B2376" s="6" t="s">
        <v>14469</v>
      </c>
      <c r="C2376" s="13">
        <v>1790</v>
      </c>
      <c r="D2376" s="8" t="s">
        <v>14470</v>
      </c>
      <c r="E2376" s="8" t="s">
        <v>14471</v>
      </c>
      <c r="F2376" s="8" t="s">
        <v>14472</v>
      </c>
      <c r="G2376" s="6" t="s">
        <v>52</v>
      </c>
      <c r="H2376" s="6" t="s">
        <v>53</v>
      </c>
      <c r="I2376" s="8" t="s">
        <v>276</v>
      </c>
      <c r="J2376" s="9">
        <v>1</v>
      </c>
      <c r="K2376" s="9">
        <v>379</v>
      </c>
      <c r="L2376" s="9">
        <v>2024</v>
      </c>
      <c r="M2376" s="8" t="s">
        <v>14473</v>
      </c>
      <c r="N2376" s="8" t="s">
        <v>79</v>
      </c>
      <c r="O2376" s="8" t="s">
        <v>684</v>
      </c>
      <c r="P2376" s="6" t="s">
        <v>43</v>
      </c>
      <c r="Q2376" s="8" t="s">
        <v>279</v>
      </c>
      <c r="R2376" s="10" t="s">
        <v>14474</v>
      </c>
      <c r="S2376" s="11" t="s">
        <v>14475</v>
      </c>
      <c r="T2376" s="6"/>
      <c r="U2376" s="24" t="str">
        <f>HYPERLINK("https://media.infra-m.ru/1946/1946239/cover/1946239.jpg", "Обложка")</f>
        <v>Обложка</v>
      </c>
      <c r="V2376" s="24" t="str">
        <f>HYPERLINK("https://znanium.ru/catalog/product/1946239", "Ознакомиться")</f>
        <v>Ознакомиться</v>
      </c>
      <c r="W2376" s="8" t="s">
        <v>637</v>
      </c>
      <c r="X2376" s="6"/>
      <c r="Y2376" s="6"/>
      <c r="Z2376" s="6"/>
      <c r="AA2376" s="6" t="s">
        <v>133</v>
      </c>
      <c r="AB2376" s="8"/>
    </row>
    <row r="2377" spans="1:28" s="4" customFormat="1" ht="42" customHeight="1">
      <c r="A2377" s="5">
        <v>0</v>
      </c>
      <c r="B2377" s="6" t="s">
        <v>14476</v>
      </c>
      <c r="C2377" s="13">
        <v>1140</v>
      </c>
      <c r="D2377" s="8" t="s">
        <v>14477</v>
      </c>
      <c r="E2377" s="8" t="s">
        <v>14478</v>
      </c>
      <c r="F2377" s="8" t="s">
        <v>14479</v>
      </c>
      <c r="G2377" s="6" t="s">
        <v>89</v>
      </c>
      <c r="H2377" s="6" t="s">
        <v>53</v>
      </c>
      <c r="I2377" s="8" t="s">
        <v>116</v>
      </c>
      <c r="J2377" s="9">
        <v>1</v>
      </c>
      <c r="K2377" s="9">
        <v>227</v>
      </c>
      <c r="L2377" s="9">
        <v>2025</v>
      </c>
      <c r="M2377" s="8" t="s">
        <v>14480</v>
      </c>
      <c r="N2377" s="8" t="s">
        <v>413</v>
      </c>
      <c r="O2377" s="8" t="s">
        <v>2771</v>
      </c>
      <c r="P2377" s="6" t="s">
        <v>167</v>
      </c>
      <c r="Q2377" s="8" t="s">
        <v>1674</v>
      </c>
      <c r="R2377" s="10" t="s">
        <v>14481</v>
      </c>
      <c r="S2377" s="11"/>
      <c r="T2377" s="6"/>
      <c r="U2377" s="24" t="str">
        <f>HYPERLINK("https://media.infra-m.ru/2179/2179473/cover/2179473.jpg", "Обложка")</f>
        <v>Обложка</v>
      </c>
      <c r="V2377" s="24" t="str">
        <f>HYPERLINK("https://znanium.ru/catalog/product/2179473", "Ознакомиться")</f>
        <v>Ознакомиться</v>
      </c>
      <c r="W2377" s="8" t="s">
        <v>4109</v>
      </c>
      <c r="X2377" s="6"/>
      <c r="Y2377" s="6"/>
      <c r="Z2377" s="6"/>
      <c r="AA2377" s="6" t="s">
        <v>793</v>
      </c>
      <c r="AB2377" s="8"/>
    </row>
    <row r="2378" spans="1:28" s="4" customFormat="1" ht="44.1" customHeight="1">
      <c r="A2378" s="5">
        <v>0</v>
      </c>
      <c r="B2378" s="6" t="s">
        <v>14482</v>
      </c>
      <c r="C2378" s="13">
        <v>1290</v>
      </c>
      <c r="D2378" s="8" t="s">
        <v>14483</v>
      </c>
      <c r="E2378" s="8" t="s">
        <v>14484</v>
      </c>
      <c r="F2378" s="8" t="s">
        <v>14485</v>
      </c>
      <c r="G2378" s="6" t="s">
        <v>52</v>
      </c>
      <c r="H2378" s="6" t="s">
        <v>53</v>
      </c>
      <c r="I2378" s="8" t="s">
        <v>116</v>
      </c>
      <c r="J2378" s="9">
        <v>1</v>
      </c>
      <c r="K2378" s="9">
        <v>239</v>
      </c>
      <c r="L2378" s="9">
        <v>2025</v>
      </c>
      <c r="M2378" s="8" t="s">
        <v>14486</v>
      </c>
      <c r="N2378" s="8" t="s">
        <v>41</v>
      </c>
      <c r="O2378" s="8" t="s">
        <v>1007</v>
      </c>
      <c r="P2378" s="6" t="s">
        <v>43</v>
      </c>
      <c r="Q2378" s="8" t="s">
        <v>58</v>
      </c>
      <c r="R2378" s="10" t="s">
        <v>14487</v>
      </c>
      <c r="S2378" s="11"/>
      <c r="T2378" s="6"/>
      <c r="U2378" s="24" t="str">
        <f>HYPERLINK("https://media.infra-m.ru/2009/2009646/cover/2009646.jpg", "Обложка")</f>
        <v>Обложка</v>
      </c>
      <c r="V2378" s="24" t="str">
        <f>HYPERLINK("https://znanium.ru/catalog/product/2009646", "Ознакомиться")</f>
        <v>Ознакомиться</v>
      </c>
      <c r="W2378" s="8" t="s">
        <v>14488</v>
      </c>
      <c r="X2378" s="6" t="s">
        <v>132</v>
      </c>
      <c r="Y2378" s="6"/>
      <c r="Z2378" s="6"/>
      <c r="AA2378" s="6" t="s">
        <v>61</v>
      </c>
      <c r="AB2378" s="8"/>
    </row>
    <row r="2379" spans="1:28" s="4" customFormat="1" ht="51.95" customHeight="1">
      <c r="A2379" s="5">
        <v>0</v>
      </c>
      <c r="B2379" s="6" t="s">
        <v>14489</v>
      </c>
      <c r="C2379" s="13">
        <v>1614</v>
      </c>
      <c r="D2379" s="8" t="s">
        <v>14490</v>
      </c>
      <c r="E2379" s="8" t="s">
        <v>14491</v>
      </c>
      <c r="F2379" s="8" t="s">
        <v>14492</v>
      </c>
      <c r="G2379" s="6" t="s">
        <v>89</v>
      </c>
      <c r="H2379" s="6" t="s">
        <v>53</v>
      </c>
      <c r="I2379" s="8" t="s">
        <v>276</v>
      </c>
      <c r="J2379" s="9">
        <v>1</v>
      </c>
      <c r="K2379" s="9">
        <v>310</v>
      </c>
      <c r="L2379" s="9">
        <v>2025</v>
      </c>
      <c r="M2379" s="8" t="s">
        <v>14493</v>
      </c>
      <c r="N2379" s="8" t="s">
        <v>413</v>
      </c>
      <c r="O2379" s="8" t="s">
        <v>2771</v>
      </c>
      <c r="P2379" s="6" t="s">
        <v>167</v>
      </c>
      <c r="Q2379" s="8" t="s">
        <v>279</v>
      </c>
      <c r="R2379" s="10" t="s">
        <v>14494</v>
      </c>
      <c r="S2379" s="11" t="s">
        <v>14495</v>
      </c>
      <c r="T2379" s="6"/>
      <c r="U2379" s="24" t="str">
        <f>HYPERLINK("https://media.infra-m.ru/2194/2194337/cover/2194337.jpg", "Обложка")</f>
        <v>Обложка</v>
      </c>
      <c r="V2379" s="24" t="str">
        <f>HYPERLINK("https://znanium.ru/catalog/product/1913251", "Ознакомиться")</f>
        <v>Ознакомиться</v>
      </c>
      <c r="W2379" s="8" t="s">
        <v>3426</v>
      </c>
      <c r="X2379" s="6"/>
      <c r="Y2379" s="6"/>
      <c r="Z2379" s="6"/>
      <c r="AA2379" s="6" t="s">
        <v>513</v>
      </c>
      <c r="AB2379" s="8"/>
    </row>
    <row r="2380" spans="1:28" s="4" customFormat="1" ht="51.95" customHeight="1">
      <c r="A2380" s="5">
        <v>0</v>
      </c>
      <c r="B2380" s="6" t="s">
        <v>14496</v>
      </c>
      <c r="C2380" s="13">
        <v>1120</v>
      </c>
      <c r="D2380" s="8" t="s">
        <v>14497</v>
      </c>
      <c r="E2380" s="8" t="s">
        <v>14498</v>
      </c>
      <c r="F2380" s="8" t="s">
        <v>14499</v>
      </c>
      <c r="G2380" s="6" t="s">
        <v>89</v>
      </c>
      <c r="H2380" s="6" t="s">
        <v>53</v>
      </c>
      <c r="I2380" s="8" t="s">
        <v>276</v>
      </c>
      <c r="J2380" s="9">
        <v>1</v>
      </c>
      <c r="K2380" s="9">
        <v>304</v>
      </c>
      <c r="L2380" s="9">
        <v>2021</v>
      </c>
      <c r="M2380" s="8" t="s">
        <v>14500</v>
      </c>
      <c r="N2380" s="8" t="s">
        <v>41</v>
      </c>
      <c r="O2380" s="8" t="s">
        <v>1007</v>
      </c>
      <c r="P2380" s="6" t="s">
        <v>167</v>
      </c>
      <c r="Q2380" s="8" t="s">
        <v>279</v>
      </c>
      <c r="R2380" s="10" t="s">
        <v>14494</v>
      </c>
      <c r="S2380" s="11" t="s">
        <v>14501</v>
      </c>
      <c r="T2380" s="6" t="s">
        <v>299</v>
      </c>
      <c r="U2380" s="24" t="str">
        <f>HYPERLINK("https://media.infra-m.ru/1545/1545403/cover/1545403.jpg", "Обложка")</f>
        <v>Обложка</v>
      </c>
      <c r="V2380" s="24" t="str">
        <f>HYPERLINK("https://znanium.ru/catalog/product/1913251", "Ознакомиться")</f>
        <v>Ознакомиться</v>
      </c>
      <c r="W2380" s="8" t="s">
        <v>3426</v>
      </c>
      <c r="X2380" s="6"/>
      <c r="Y2380" s="6"/>
      <c r="Z2380" s="6"/>
      <c r="AA2380" s="6" t="s">
        <v>84</v>
      </c>
      <c r="AB2380" s="8"/>
    </row>
    <row r="2381" spans="1:28" s="4" customFormat="1" ht="44.1" customHeight="1">
      <c r="A2381" s="5">
        <v>0</v>
      </c>
      <c r="B2381" s="6" t="s">
        <v>14502</v>
      </c>
      <c r="C2381" s="13">
        <v>1100</v>
      </c>
      <c r="D2381" s="8" t="s">
        <v>14503</v>
      </c>
      <c r="E2381" s="8" t="s">
        <v>14504</v>
      </c>
      <c r="F2381" s="8" t="s">
        <v>14505</v>
      </c>
      <c r="G2381" s="6" t="s">
        <v>52</v>
      </c>
      <c r="H2381" s="6" t="s">
        <v>77</v>
      </c>
      <c r="I2381" s="8" t="s">
        <v>7953</v>
      </c>
      <c r="J2381" s="9">
        <v>18</v>
      </c>
      <c r="K2381" s="9">
        <v>352</v>
      </c>
      <c r="L2381" s="9">
        <v>2017</v>
      </c>
      <c r="M2381" s="8" t="s">
        <v>14506</v>
      </c>
      <c r="N2381" s="8" t="s">
        <v>56</v>
      </c>
      <c r="O2381" s="8" t="s">
        <v>4042</v>
      </c>
      <c r="P2381" s="6" t="s">
        <v>1046</v>
      </c>
      <c r="Q2381" s="8" t="s">
        <v>279</v>
      </c>
      <c r="R2381" s="10" t="s">
        <v>14507</v>
      </c>
      <c r="S2381" s="11"/>
      <c r="T2381" s="6"/>
      <c r="U2381" s="12"/>
      <c r="V2381" s="24" t="str">
        <f>HYPERLINK("https://znanium.ru/catalog/product/1069026", "Ознакомиться")</f>
        <v>Ознакомиться</v>
      </c>
      <c r="W2381" s="8" t="s">
        <v>12535</v>
      </c>
      <c r="X2381" s="6"/>
      <c r="Y2381" s="6"/>
      <c r="Z2381" s="6"/>
      <c r="AA2381" s="6" t="s">
        <v>442</v>
      </c>
      <c r="AB2381" s="8"/>
    </row>
    <row r="2382" spans="1:28" s="4" customFormat="1" ht="51.95" customHeight="1">
      <c r="A2382" s="5">
        <v>0</v>
      </c>
      <c r="B2382" s="6" t="s">
        <v>14508</v>
      </c>
      <c r="C2382" s="13">
        <v>1034</v>
      </c>
      <c r="D2382" s="8" t="s">
        <v>14509</v>
      </c>
      <c r="E2382" s="8" t="s">
        <v>14510</v>
      </c>
      <c r="F2382" s="8" t="s">
        <v>14479</v>
      </c>
      <c r="G2382" s="6" t="s">
        <v>89</v>
      </c>
      <c r="H2382" s="6" t="s">
        <v>53</v>
      </c>
      <c r="I2382" s="8" t="s">
        <v>90</v>
      </c>
      <c r="J2382" s="9">
        <v>1</v>
      </c>
      <c r="K2382" s="9">
        <v>210</v>
      </c>
      <c r="L2382" s="9">
        <v>2025</v>
      </c>
      <c r="M2382" s="8" t="s">
        <v>14511</v>
      </c>
      <c r="N2382" s="8" t="s">
        <v>413</v>
      </c>
      <c r="O2382" s="8" t="s">
        <v>2771</v>
      </c>
      <c r="P2382" s="6" t="s">
        <v>167</v>
      </c>
      <c r="Q2382" s="8" t="s">
        <v>44</v>
      </c>
      <c r="R2382" s="10" t="s">
        <v>9780</v>
      </c>
      <c r="S2382" s="11" t="s">
        <v>14512</v>
      </c>
      <c r="T2382" s="6"/>
      <c r="U2382" s="24" t="str">
        <f>HYPERLINK("https://media.infra-m.ru/2139/2139004/cover/2139004.jpg", "Обложка")</f>
        <v>Обложка</v>
      </c>
      <c r="V2382" s="24" t="str">
        <f>HYPERLINK("https://znanium.ru/catalog/product/2139004", "Ознакомиться")</f>
        <v>Ознакомиться</v>
      </c>
      <c r="W2382" s="8" t="s">
        <v>4109</v>
      </c>
      <c r="X2382" s="6"/>
      <c r="Y2382" s="6"/>
      <c r="Z2382" s="6"/>
      <c r="AA2382" s="6" t="s">
        <v>258</v>
      </c>
      <c r="AB2382" s="8"/>
    </row>
    <row r="2383" spans="1:28" s="4" customFormat="1" ht="51.95" customHeight="1">
      <c r="A2383" s="5">
        <v>0</v>
      </c>
      <c r="B2383" s="6" t="s">
        <v>14513</v>
      </c>
      <c r="C2383" s="13">
        <v>1294</v>
      </c>
      <c r="D2383" s="8" t="s">
        <v>14514</v>
      </c>
      <c r="E2383" s="8" t="s">
        <v>14515</v>
      </c>
      <c r="F2383" s="8" t="s">
        <v>14516</v>
      </c>
      <c r="G2383" s="6" t="s">
        <v>52</v>
      </c>
      <c r="H2383" s="6" t="s">
        <v>53</v>
      </c>
      <c r="I2383" s="8" t="s">
        <v>276</v>
      </c>
      <c r="J2383" s="9">
        <v>1</v>
      </c>
      <c r="K2383" s="9">
        <v>259</v>
      </c>
      <c r="L2383" s="9">
        <v>2024</v>
      </c>
      <c r="M2383" s="8" t="s">
        <v>14517</v>
      </c>
      <c r="N2383" s="8" t="s">
        <v>56</v>
      </c>
      <c r="O2383" s="8" t="s">
        <v>4042</v>
      </c>
      <c r="P2383" s="6" t="s">
        <v>167</v>
      </c>
      <c r="Q2383" s="8" t="s">
        <v>279</v>
      </c>
      <c r="R2383" s="10" t="s">
        <v>14518</v>
      </c>
      <c r="S2383" s="11"/>
      <c r="T2383" s="6"/>
      <c r="U2383" s="24" t="str">
        <f>HYPERLINK("https://media.infra-m.ru/2152/2152334/cover/2152334.jpg", "Обложка")</f>
        <v>Обложка</v>
      </c>
      <c r="V2383" s="24" t="str">
        <f>HYPERLINK("https://znanium.ru/catalog/product/2128046", "Ознакомиться")</f>
        <v>Ознакомиться</v>
      </c>
      <c r="W2383" s="8" t="s">
        <v>8022</v>
      </c>
      <c r="X2383" s="6"/>
      <c r="Y2383" s="6"/>
      <c r="Z2383" s="6"/>
      <c r="AA2383" s="6" t="s">
        <v>207</v>
      </c>
      <c r="AB2383" s="8"/>
    </row>
    <row r="2384" spans="1:28" s="4" customFormat="1" ht="51.95" customHeight="1">
      <c r="A2384" s="5">
        <v>0</v>
      </c>
      <c r="B2384" s="6" t="s">
        <v>14519</v>
      </c>
      <c r="C2384" s="7">
        <v>890</v>
      </c>
      <c r="D2384" s="8" t="s">
        <v>14520</v>
      </c>
      <c r="E2384" s="8" t="s">
        <v>14521</v>
      </c>
      <c r="F2384" s="8" t="s">
        <v>14522</v>
      </c>
      <c r="G2384" s="6" t="s">
        <v>52</v>
      </c>
      <c r="H2384" s="6" t="s">
        <v>53</v>
      </c>
      <c r="I2384" s="8" t="s">
        <v>276</v>
      </c>
      <c r="J2384" s="9">
        <v>1</v>
      </c>
      <c r="K2384" s="9">
        <v>179</v>
      </c>
      <c r="L2384" s="9">
        <v>2023</v>
      </c>
      <c r="M2384" s="8" t="s">
        <v>14523</v>
      </c>
      <c r="N2384" s="8" t="s">
        <v>41</v>
      </c>
      <c r="O2384" s="8" t="s">
        <v>1204</v>
      </c>
      <c r="P2384" s="6" t="s">
        <v>43</v>
      </c>
      <c r="Q2384" s="8" t="s">
        <v>279</v>
      </c>
      <c r="R2384" s="10" t="s">
        <v>14524</v>
      </c>
      <c r="S2384" s="11" t="s">
        <v>14525</v>
      </c>
      <c r="T2384" s="6"/>
      <c r="U2384" s="24" t="str">
        <f>HYPERLINK("https://media.infra-m.ru/1316/1316922/cover/1316922.jpg", "Обложка")</f>
        <v>Обложка</v>
      </c>
      <c r="V2384" s="24" t="str">
        <f>HYPERLINK("https://znanium.ru/catalog/product/1316922", "Ознакомиться")</f>
        <v>Ознакомиться</v>
      </c>
      <c r="W2384" s="8" t="s">
        <v>8327</v>
      </c>
      <c r="X2384" s="6"/>
      <c r="Y2384" s="6"/>
      <c r="Z2384" s="6"/>
      <c r="AA2384" s="6" t="s">
        <v>207</v>
      </c>
      <c r="AB2384" s="8"/>
    </row>
    <row r="2385" spans="1:28" s="4" customFormat="1" ht="51.95" customHeight="1">
      <c r="A2385" s="5">
        <v>0</v>
      </c>
      <c r="B2385" s="6" t="s">
        <v>14526</v>
      </c>
      <c r="C2385" s="7">
        <v>614</v>
      </c>
      <c r="D2385" s="8" t="s">
        <v>14527</v>
      </c>
      <c r="E2385" s="8" t="s">
        <v>14528</v>
      </c>
      <c r="F2385" s="8" t="s">
        <v>14529</v>
      </c>
      <c r="G2385" s="6" t="s">
        <v>38</v>
      </c>
      <c r="H2385" s="6" t="s">
        <v>53</v>
      </c>
      <c r="I2385" s="8" t="s">
        <v>276</v>
      </c>
      <c r="J2385" s="9">
        <v>1</v>
      </c>
      <c r="K2385" s="9">
        <v>123</v>
      </c>
      <c r="L2385" s="9">
        <v>2025</v>
      </c>
      <c r="M2385" s="8" t="s">
        <v>14530</v>
      </c>
      <c r="N2385" s="8" t="s">
        <v>41</v>
      </c>
      <c r="O2385" s="8" t="s">
        <v>118</v>
      </c>
      <c r="P2385" s="6" t="s">
        <v>43</v>
      </c>
      <c r="Q2385" s="8" t="s">
        <v>279</v>
      </c>
      <c r="R2385" s="10" t="s">
        <v>5165</v>
      </c>
      <c r="S2385" s="11" t="s">
        <v>14531</v>
      </c>
      <c r="T2385" s="6"/>
      <c r="U2385" s="24" t="str">
        <f>HYPERLINK("https://media.infra-m.ru/2170/2170941/cover/2170941.jpg", "Обложка")</f>
        <v>Обложка</v>
      </c>
      <c r="V2385" s="24" t="str">
        <f>HYPERLINK("https://znanium.ru/catalog/product/999884", "Ознакомиться")</f>
        <v>Ознакомиться</v>
      </c>
      <c r="W2385" s="8" t="s">
        <v>6558</v>
      </c>
      <c r="X2385" s="6"/>
      <c r="Y2385" s="6"/>
      <c r="Z2385" s="6"/>
      <c r="AA2385" s="6" t="s">
        <v>418</v>
      </c>
      <c r="AB2385" s="8"/>
    </row>
    <row r="2386" spans="1:28" s="4" customFormat="1" ht="51.95" customHeight="1">
      <c r="A2386" s="5">
        <v>0</v>
      </c>
      <c r="B2386" s="6" t="s">
        <v>14532</v>
      </c>
      <c r="C2386" s="13">
        <v>1644</v>
      </c>
      <c r="D2386" s="8" t="s">
        <v>14533</v>
      </c>
      <c r="E2386" s="8" t="s">
        <v>14534</v>
      </c>
      <c r="F2386" s="8" t="s">
        <v>14535</v>
      </c>
      <c r="G2386" s="6" t="s">
        <v>52</v>
      </c>
      <c r="H2386" s="6" t="s">
        <v>53</v>
      </c>
      <c r="I2386" s="8" t="s">
        <v>276</v>
      </c>
      <c r="J2386" s="9">
        <v>1</v>
      </c>
      <c r="K2386" s="9">
        <v>351</v>
      </c>
      <c r="L2386" s="9">
        <v>2024</v>
      </c>
      <c r="M2386" s="8" t="s">
        <v>14536</v>
      </c>
      <c r="N2386" s="8" t="s">
        <v>997</v>
      </c>
      <c r="O2386" s="8" t="s">
        <v>998</v>
      </c>
      <c r="P2386" s="6" t="s">
        <v>43</v>
      </c>
      <c r="Q2386" s="8" t="s">
        <v>279</v>
      </c>
      <c r="R2386" s="10" t="s">
        <v>14537</v>
      </c>
      <c r="S2386" s="11" t="s">
        <v>14538</v>
      </c>
      <c r="T2386" s="6" t="s">
        <v>299</v>
      </c>
      <c r="U2386" s="24" t="str">
        <f>HYPERLINK("https://media.infra-m.ru/2139/2139103/cover/2139103.jpg", "Обложка")</f>
        <v>Обложка</v>
      </c>
      <c r="V2386" s="24" t="str">
        <f>HYPERLINK("https://znanium.ru/catalog/product/980302", "Ознакомиться")</f>
        <v>Ознакомиться</v>
      </c>
      <c r="W2386" s="8" t="s">
        <v>14539</v>
      </c>
      <c r="X2386" s="6"/>
      <c r="Y2386" s="6"/>
      <c r="Z2386" s="6"/>
      <c r="AA2386" s="6" t="s">
        <v>258</v>
      </c>
      <c r="AB2386" s="8"/>
    </row>
    <row r="2387" spans="1:28" s="4" customFormat="1" ht="51.95" customHeight="1">
      <c r="A2387" s="5">
        <v>0</v>
      </c>
      <c r="B2387" s="6" t="s">
        <v>14540</v>
      </c>
      <c r="C2387" s="13">
        <v>1664</v>
      </c>
      <c r="D2387" s="8" t="s">
        <v>14541</v>
      </c>
      <c r="E2387" s="8" t="s">
        <v>14542</v>
      </c>
      <c r="F2387" s="8" t="s">
        <v>14543</v>
      </c>
      <c r="G2387" s="6" t="s">
        <v>52</v>
      </c>
      <c r="H2387" s="6" t="s">
        <v>649</v>
      </c>
      <c r="I2387" s="8" t="s">
        <v>100</v>
      </c>
      <c r="J2387" s="9">
        <v>1</v>
      </c>
      <c r="K2387" s="9">
        <v>320</v>
      </c>
      <c r="L2387" s="9">
        <v>2025</v>
      </c>
      <c r="M2387" s="8" t="s">
        <v>14544</v>
      </c>
      <c r="N2387" s="8" t="s">
        <v>79</v>
      </c>
      <c r="O2387" s="8" t="s">
        <v>80</v>
      </c>
      <c r="P2387" s="6" t="s">
        <v>43</v>
      </c>
      <c r="Q2387" s="8" t="s">
        <v>102</v>
      </c>
      <c r="R2387" s="10" t="s">
        <v>14545</v>
      </c>
      <c r="S2387" s="11" t="s">
        <v>14546</v>
      </c>
      <c r="T2387" s="6"/>
      <c r="U2387" s="24" t="str">
        <f>HYPERLINK("https://media.infra-m.ru/2181/2181287/cover/2181287.jpg", "Обложка")</f>
        <v>Обложка</v>
      </c>
      <c r="V2387" s="24" t="str">
        <f>HYPERLINK("https://znanium.ru/catalog/product/1043094", "Ознакомиться")</f>
        <v>Ознакомиться</v>
      </c>
      <c r="W2387" s="8" t="s">
        <v>347</v>
      </c>
      <c r="X2387" s="6"/>
      <c r="Y2387" s="6"/>
      <c r="Z2387" s="6" t="s">
        <v>104</v>
      </c>
      <c r="AA2387" s="6" t="s">
        <v>1259</v>
      </c>
      <c r="AB2387" s="8"/>
    </row>
    <row r="2388" spans="1:28" s="4" customFormat="1" ht="51.95" customHeight="1">
      <c r="A2388" s="5">
        <v>0</v>
      </c>
      <c r="B2388" s="6" t="s">
        <v>14547</v>
      </c>
      <c r="C2388" s="13">
        <v>1474</v>
      </c>
      <c r="D2388" s="8" t="s">
        <v>14548</v>
      </c>
      <c r="E2388" s="8" t="s">
        <v>14542</v>
      </c>
      <c r="F2388" s="8" t="s">
        <v>14543</v>
      </c>
      <c r="G2388" s="6" t="s">
        <v>52</v>
      </c>
      <c r="H2388" s="6" t="s">
        <v>649</v>
      </c>
      <c r="I2388" s="8" t="s">
        <v>116</v>
      </c>
      <c r="J2388" s="9">
        <v>1</v>
      </c>
      <c r="K2388" s="9">
        <v>320</v>
      </c>
      <c r="L2388" s="9">
        <v>2024</v>
      </c>
      <c r="M2388" s="8" t="s">
        <v>14549</v>
      </c>
      <c r="N2388" s="8" t="s">
        <v>79</v>
      </c>
      <c r="O2388" s="8" t="s">
        <v>80</v>
      </c>
      <c r="P2388" s="6" t="s">
        <v>43</v>
      </c>
      <c r="Q2388" s="8" t="s">
        <v>44</v>
      </c>
      <c r="R2388" s="10" t="s">
        <v>14550</v>
      </c>
      <c r="S2388" s="11" t="s">
        <v>14551</v>
      </c>
      <c r="T2388" s="6"/>
      <c r="U2388" s="24" t="str">
        <f>HYPERLINK("https://media.infra-m.ru/2079/2079645/cover/2079645.jpg", "Обложка")</f>
        <v>Обложка</v>
      </c>
      <c r="V2388" s="24" t="str">
        <f>HYPERLINK("https://znanium.ru/catalog/product/1514899", "Ознакомиться")</f>
        <v>Ознакомиться</v>
      </c>
      <c r="W2388" s="8" t="s">
        <v>347</v>
      </c>
      <c r="X2388" s="6"/>
      <c r="Y2388" s="6"/>
      <c r="Z2388" s="6"/>
      <c r="AA2388" s="6" t="s">
        <v>407</v>
      </c>
      <c r="AB2388" s="8"/>
    </row>
    <row r="2389" spans="1:28" s="4" customFormat="1" ht="51.95" customHeight="1">
      <c r="A2389" s="5">
        <v>0</v>
      </c>
      <c r="B2389" s="6" t="s">
        <v>14552</v>
      </c>
      <c r="C2389" s="7">
        <v>690</v>
      </c>
      <c r="D2389" s="8" t="s">
        <v>14553</v>
      </c>
      <c r="E2389" s="8" t="s">
        <v>14554</v>
      </c>
      <c r="F2389" s="8" t="s">
        <v>14413</v>
      </c>
      <c r="G2389" s="6" t="s">
        <v>89</v>
      </c>
      <c r="H2389" s="6" t="s">
        <v>53</v>
      </c>
      <c r="I2389" s="8" t="s">
        <v>276</v>
      </c>
      <c r="J2389" s="9">
        <v>1</v>
      </c>
      <c r="K2389" s="9">
        <v>154</v>
      </c>
      <c r="L2389" s="9">
        <v>2023</v>
      </c>
      <c r="M2389" s="8" t="s">
        <v>14555</v>
      </c>
      <c r="N2389" s="8" t="s">
        <v>41</v>
      </c>
      <c r="O2389" s="8" t="s">
        <v>1204</v>
      </c>
      <c r="P2389" s="6" t="s">
        <v>43</v>
      </c>
      <c r="Q2389" s="8" t="s">
        <v>279</v>
      </c>
      <c r="R2389" s="10" t="s">
        <v>14556</v>
      </c>
      <c r="S2389" s="11" t="s">
        <v>14557</v>
      </c>
      <c r="T2389" s="6"/>
      <c r="U2389" s="24" t="str">
        <f>HYPERLINK("https://media.infra-m.ru/1933/1933154/cover/1933154.jpg", "Обложка")</f>
        <v>Обложка</v>
      </c>
      <c r="V2389" s="24" t="str">
        <f>HYPERLINK("https://znanium.ru/catalog/product/1933154", "Ознакомиться")</f>
        <v>Ознакомиться</v>
      </c>
      <c r="W2389" s="8" t="s">
        <v>913</v>
      </c>
      <c r="X2389" s="6"/>
      <c r="Y2389" s="6"/>
      <c r="Z2389" s="6"/>
      <c r="AA2389" s="6" t="s">
        <v>442</v>
      </c>
      <c r="AB2389" s="8" t="s">
        <v>840</v>
      </c>
    </row>
    <row r="2390" spans="1:28" s="4" customFormat="1" ht="51.95" customHeight="1">
      <c r="A2390" s="5">
        <v>0</v>
      </c>
      <c r="B2390" s="6" t="s">
        <v>14558</v>
      </c>
      <c r="C2390" s="7">
        <v>590</v>
      </c>
      <c r="D2390" s="8" t="s">
        <v>14559</v>
      </c>
      <c r="E2390" s="8" t="s">
        <v>14560</v>
      </c>
      <c r="F2390" s="8" t="s">
        <v>14561</v>
      </c>
      <c r="G2390" s="6" t="s">
        <v>52</v>
      </c>
      <c r="H2390" s="6" t="s">
        <v>53</v>
      </c>
      <c r="I2390" s="8" t="s">
        <v>276</v>
      </c>
      <c r="J2390" s="9">
        <v>1</v>
      </c>
      <c r="K2390" s="9">
        <v>162</v>
      </c>
      <c r="L2390" s="9">
        <v>2017</v>
      </c>
      <c r="M2390" s="8" t="s">
        <v>14562</v>
      </c>
      <c r="N2390" s="8" t="s">
        <v>413</v>
      </c>
      <c r="O2390" s="8" t="s">
        <v>2771</v>
      </c>
      <c r="P2390" s="6" t="s">
        <v>43</v>
      </c>
      <c r="Q2390" s="8" t="s">
        <v>279</v>
      </c>
      <c r="R2390" s="10" t="s">
        <v>14563</v>
      </c>
      <c r="S2390" s="11" t="s">
        <v>14564</v>
      </c>
      <c r="T2390" s="6" t="s">
        <v>299</v>
      </c>
      <c r="U2390" s="24" t="str">
        <f>HYPERLINK("https://media.infra-m.ru/0900/0900848/cover/900848.jpg", "Обложка")</f>
        <v>Обложка</v>
      </c>
      <c r="V2390" s="24" t="str">
        <f>HYPERLINK("https://znanium.ru/catalog/product/1940908", "Ознакомиться")</f>
        <v>Ознакомиться</v>
      </c>
      <c r="W2390" s="8" t="s">
        <v>4830</v>
      </c>
      <c r="X2390" s="6"/>
      <c r="Y2390" s="6"/>
      <c r="Z2390" s="6"/>
      <c r="AA2390" s="6" t="s">
        <v>442</v>
      </c>
      <c r="AB2390" s="8"/>
    </row>
    <row r="2391" spans="1:28" s="4" customFormat="1" ht="51.95" customHeight="1">
      <c r="A2391" s="5">
        <v>0</v>
      </c>
      <c r="B2391" s="6" t="s">
        <v>14565</v>
      </c>
      <c r="C2391" s="7">
        <v>740</v>
      </c>
      <c r="D2391" s="8" t="s">
        <v>14566</v>
      </c>
      <c r="E2391" s="8" t="s">
        <v>14567</v>
      </c>
      <c r="F2391" s="8" t="s">
        <v>14561</v>
      </c>
      <c r="G2391" s="6" t="s">
        <v>89</v>
      </c>
      <c r="H2391" s="6" t="s">
        <v>53</v>
      </c>
      <c r="I2391" s="8" t="s">
        <v>276</v>
      </c>
      <c r="J2391" s="9">
        <v>1</v>
      </c>
      <c r="K2391" s="9">
        <v>162</v>
      </c>
      <c r="L2391" s="9">
        <v>2023</v>
      </c>
      <c r="M2391" s="8" t="s">
        <v>14562</v>
      </c>
      <c r="N2391" s="8" t="s">
        <v>413</v>
      </c>
      <c r="O2391" s="8" t="s">
        <v>2771</v>
      </c>
      <c r="P2391" s="6" t="s">
        <v>43</v>
      </c>
      <c r="Q2391" s="8" t="s">
        <v>279</v>
      </c>
      <c r="R2391" s="10" t="s">
        <v>14563</v>
      </c>
      <c r="S2391" s="11" t="s">
        <v>14568</v>
      </c>
      <c r="T2391" s="6" t="s">
        <v>299</v>
      </c>
      <c r="U2391" s="24" t="str">
        <f>HYPERLINK("https://media.infra-m.ru/1940/1940908/cover/1940908.jpg", "Обложка")</f>
        <v>Обложка</v>
      </c>
      <c r="V2391" s="24" t="str">
        <f>HYPERLINK("https://znanium.ru/catalog/product/1940908", "Ознакомиться")</f>
        <v>Ознакомиться</v>
      </c>
      <c r="W2391" s="8" t="s">
        <v>4830</v>
      </c>
      <c r="X2391" s="6"/>
      <c r="Y2391" s="6"/>
      <c r="Z2391" s="6"/>
      <c r="AA2391" s="6" t="s">
        <v>1374</v>
      </c>
      <c r="AB2391" s="8"/>
    </row>
    <row r="2392" spans="1:28" s="4" customFormat="1" ht="51.95" customHeight="1">
      <c r="A2392" s="5">
        <v>0</v>
      </c>
      <c r="B2392" s="6" t="s">
        <v>14569</v>
      </c>
      <c r="C2392" s="13">
        <v>1520</v>
      </c>
      <c r="D2392" s="8" t="s">
        <v>14570</v>
      </c>
      <c r="E2392" s="8" t="s">
        <v>14571</v>
      </c>
      <c r="F2392" s="8" t="s">
        <v>14572</v>
      </c>
      <c r="G2392" s="6" t="s">
        <v>52</v>
      </c>
      <c r="H2392" s="6" t="s">
        <v>53</v>
      </c>
      <c r="I2392" s="8" t="s">
        <v>712</v>
      </c>
      <c r="J2392" s="9">
        <v>1</v>
      </c>
      <c r="K2392" s="9">
        <v>322</v>
      </c>
      <c r="L2392" s="9">
        <v>2024</v>
      </c>
      <c r="M2392" s="8" t="s">
        <v>14573</v>
      </c>
      <c r="N2392" s="8" t="s">
        <v>413</v>
      </c>
      <c r="O2392" s="8" t="s">
        <v>1584</v>
      </c>
      <c r="P2392" s="6" t="s">
        <v>43</v>
      </c>
      <c r="Q2392" s="8" t="s">
        <v>58</v>
      </c>
      <c r="R2392" s="10" t="s">
        <v>14574</v>
      </c>
      <c r="S2392" s="11" t="s">
        <v>14575</v>
      </c>
      <c r="T2392" s="6"/>
      <c r="U2392" s="24" t="str">
        <f>HYPERLINK("https://media.infra-m.ru/2123/2123823/cover/2123823.jpg", "Обложка")</f>
        <v>Обложка</v>
      </c>
      <c r="V2392" s="24" t="str">
        <f>HYPERLINK("https://znanium.ru/catalog/product/2123823", "Ознакомиться")</f>
        <v>Ознакомиться</v>
      </c>
      <c r="W2392" s="8" t="s">
        <v>716</v>
      </c>
      <c r="X2392" s="6"/>
      <c r="Y2392" s="6"/>
      <c r="Z2392" s="6"/>
      <c r="AA2392" s="6" t="s">
        <v>133</v>
      </c>
      <c r="AB2392" s="8"/>
    </row>
    <row r="2393" spans="1:28" s="4" customFormat="1" ht="51.95" customHeight="1">
      <c r="A2393" s="5">
        <v>0</v>
      </c>
      <c r="B2393" s="6" t="s">
        <v>14576</v>
      </c>
      <c r="C2393" s="13">
        <v>1794</v>
      </c>
      <c r="D2393" s="8" t="s">
        <v>14577</v>
      </c>
      <c r="E2393" s="8" t="s">
        <v>14578</v>
      </c>
      <c r="F2393" s="8" t="s">
        <v>14579</v>
      </c>
      <c r="G2393" s="6" t="s">
        <v>89</v>
      </c>
      <c r="H2393" s="6" t="s">
        <v>53</v>
      </c>
      <c r="I2393" s="8" t="s">
        <v>90</v>
      </c>
      <c r="J2393" s="9">
        <v>1</v>
      </c>
      <c r="K2393" s="9">
        <v>383</v>
      </c>
      <c r="L2393" s="9">
        <v>2024</v>
      </c>
      <c r="M2393" s="8" t="s">
        <v>14580</v>
      </c>
      <c r="N2393" s="8" t="s">
        <v>79</v>
      </c>
      <c r="O2393" s="8" t="s">
        <v>80</v>
      </c>
      <c r="P2393" s="6" t="s">
        <v>43</v>
      </c>
      <c r="Q2393" s="8" t="s">
        <v>44</v>
      </c>
      <c r="R2393" s="10" t="s">
        <v>10192</v>
      </c>
      <c r="S2393" s="11" t="s">
        <v>14581</v>
      </c>
      <c r="T2393" s="6" t="s">
        <v>299</v>
      </c>
      <c r="U2393" s="24" t="str">
        <f>HYPERLINK("https://media.infra-m.ru/2084/2084190/cover/2084190.jpg", "Обложка")</f>
        <v>Обложка</v>
      </c>
      <c r="V2393" s="24" t="str">
        <f>HYPERLINK("https://znanium.ru/catalog/product/2084190", "Ознакомиться")</f>
        <v>Ознакомиться</v>
      </c>
      <c r="W2393" s="8" t="s">
        <v>83</v>
      </c>
      <c r="X2393" s="6"/>
      <c r="Y2393" s="6"/>
      <c r="Z2393" s="6"/>
      <c r="AA2393" s="6" t="s">
        <v>95</v>
      </c>
      <c r="AB2393" s="8"/>
    </row>
    <row r="2394" spans="1:28" s="4" customFormat="1" ht="51.95" customHeight="1">
      <c r="A2394" s="5">
        <v>0</v>
      </c>
      <c r="B2394" s="6" t="s">
        <v>14582</v>
      </c>
      <c r="C2394" s="7">
        <v>740</v>
      </c>
      <c r="D2394" s="8" t="s">
        <v>14583</v>
      </c>
      <c r="E2394" s="8" t="s">
        <v>14584</v>
      </c>
      <c r="F2394" s="8" t="s">
        <v>14585</v>
      </c>
      <c r="G2394" s="6" t="s">
        <v>89</v>
      </c>
      <c r="H2394" s="6" t="s">
        <v>53</v>
      </c>
      <c r="I2394" s="8" t="s">
        <v>90</v>
      </c>
      <c r="J2394" s="9">
        <v>1</v>
      </c>
      <c r="K2394" s="9">
        <v>256</v>
      </c>
      <c r="L2394" s="9">
        <v>2018</v>
      </c>
      <c r="M2394" s="8" t="s">
        <v>14586</v>
      </c>
      <c r="N2394" s="8" t="s">
        <v>79</v>
      </c>
      <c r="O2394" s="8" t="s">
        <v>80</v>
      </c>
      <c r="P2394" s="6" t="s">
        <v>43</v>
      </c>
      <c r="Q2394" s="8" t="s">
        <v>44</v>
      </c>
      <c r="R2394" s="10" t="s">
        <v>10192</v>
      </c>
      <c r="S2394" s="11" t="s">
        <v>11276</v>
      </c>
      <c r="T2394" s="6" t="s">
        <v>299</v>
      </c>
      <c r="U2394" s="24" t="str">
        <f>HYPERLINK("https://media.infra-m.ru/0922/0922736/cover/922736.jpg", "Обложка")</f>
        <v>Обложка</v>
      </c>
      <c r="V2394" s="24" t="str">
        <f>HYPERLINK("https://znanium.ru/catalog/product/2084190", "Ознакомиться")</f>
        <v>Ознакомиться</v>
      </c>
      <c r="W2394" s="8" t="s">
        <v>83</v>
      </c>
      <c r="X2394" s="6"/>
      <c r="Y2394" s="6"/>
      <c r="Z2394" s="6"/>
      <c r="AA2394" s="6" t="s">
        <v>442</v>
      </c>
      <c r="AB2394" s="8"/>
    </row>
    <row r="2395" spans="1:28" s="4" customFormat="1" ht="51.95" customHeight="1">
      <c r="A2395" s="5">
        <v>0</v>
      </c>
      <c r="B2395" s="6" t="s">
        <v>14587</v>
      </c>
      <c r="C2395" s="13">
        <v>1730</v>
      </c>
      <c r="D2395" s="8" t="s">
        <v>14588</v>
      </c>
      <c r="E2395" s="8" t="s">
        <v>14589</v>
      </c>
      <c r="F2395" s="8" t="s">
        <v>14590</v>
      </c>
      <c r="G2395" s="6" t="s">
        <v>89</v>
      </c>
      <c r="H2395" s="6" t="s">
        <v>53</v>
      </c>
      <c r="I2395" s="8" t="s">
        <v>90</v>
      </c>
      <c r="J2395" s="9">
        <v>1</v>
      </c>
      <c r="K2395" s="9">
        <v>384</v>
      </c>
      <c r="L2395" s="9">
        <v>2022</v>
      </c>
      <c r="M2395" s="8" t="s">
        <v>14591</v>
      </c>
      <c r="N2395" s="8" t="s">
        <v>41</v>
      </c>
      <c r="O2395" s="8" t="s">
        <v>118</v>
      </c>
      <c r="P2395" s="6" t="s">
        <v>43</v>
      </c>
      <c r="Q2395" s="8" t="s">
        <v>44</v>
      </c>
      <c r="R2395" s="10" t="s">
        <v>1371</v>
      </c>
      <c r="S2395" s="11" t="s">
        <v>14592</v>
      </c>
      <c r="T2395" s="6" t="s">
        <v>299</v>
      </c>
      <c r="U2395" s="24" t="str">
        <f>HYPERLINK("https://media.infra-m.ru/1947/1947403/cover/1947403.jpg", "Обложка")</f>
        <v>Обложка</v>
      </c>
      <c r="V2395" s="24" t="str">
        <f>HYPERLINK("https://znanium.ru/catalog/product/1905116", "Ознакомиться")</f>
        <v>Ознакомиться</v>
      </c>
      <c r="W2395" s="8" t="s">
        <v>1293</v>
      </c>
      <c r="X2395" s="6"/>
      <c r="Y2395" s="6"/>
      <c r="Z2395" s="6"/>
      <c r="AA2395" s="6" t="s">
        <v>84</v>
      </c>
      <c r="AB2395" s="8"/>
    </row>
    <row r="2396" spans="1:28" s="4" customFormat="1" ht="51.95" customHeight="1">
      <c r="A2396" s="5">
        <v>0</v>
      </c>
      <c r="B2396" s="6" t="s">
        <v>14593</v>
      </c>
      <c r="C2396" s="7">
        <v>854</v>
      </c>
      <c r="D2396" s="8" t="s">
        <v>14594</v>
      </c>
      <c r="E2396" s="8" t="s">
        <v>14595</v>
      </c>
      <c r="F2396" s="8" t="s">
        <v>14596</v>
      </c>
      <c r="G2396" s="6" t="s">
        <v>38</v>
      </c>
      <c r="H2396" s="6" t="s">
        <v>53</v>
      </c>
      <c r="I2396" s="8" t="s">
        <v>90</v>
      </c>
      <c r="J2396" s="9">
        <v>1</v>
      </c>
      <c r="K2396" s="9">
        <v>185</v>
      </c>
      <c r="L2396" s="9">
        <v>2024</v>
      </c>
      <c r="M2396" s="8" t="s">
        <v>14597</v>
      </c>
      <c r="N2396" s="8" t="s">
        <v>41</v>
      </c>
      <c r="O2396" s="8" t="s">
        <v>118</v>
      </c>
      <c r="P2396" s="6" t="s">
        <v>43</v>
      </c>
      <c r="Q2396" s="8" t="s">
        <v>44</v>
      </c>
      <c r="R2396" s="10" t="s">
        <v>14598</v>
      </c>
      <c r="S2396" s="11" t="s">
        <v>14599</v>
      </c>
      <c r="T2396" s="6"/>
      <c r="U2396" s="24" t="str">
        <f>HYPERLINK("https://media.infra-m.ru/2079/2079634/cover/2079634.jpg", "Обложка")</f>
        <v>Обложка</v>
      </c>
      <c r="V2396" s="24" t="str">
        <f>HYPERLINK("https://znanium.ru/catalog/product/2079634", "Ознакомиться")</f>
        <v>Ознакомиться</v>
      </c>
      <c r="W2396" s="8" t="s">
        <v>83</v>
      </c>
      <c r="X2396" s="6"/>
      <c r="Y2396" s="6"/>
      <c r="Z2396" s="6"/>
      <c r="AA2396" s="6" t="s">
        <v>196</v>
      </c>
      <c r="AB2396" s="8"/>
    </row>
    <row r="2397" spans="1:28" s="4" customFormat="1" ht="51.95" customHeight="1">
      <c r="A2397" s="5">
        <v>0</v>
      </c>
      <c r="B2397" s="6" t="s">
        <v>14600</v>
      </c>
      <c r="C2397" s="13">
        <v>1254.9000000000001</v>
      </c>
      <c r="D2397" s="8" t="s">
        <v>14601</v>
      </c>
      <c r="E2397" s="8" t="s">
        <v>14602</v>
      </c>
      <c r="F2397" s="8" t="s">
        <v>14603</v>
      </c>
      <c r="G2397" s="6" t="s">
        <v>52</v>
      </c>
      <c r="H2397" s="6" t="s">
        <v>53</v>
      </c>
      <c r="I2397" s="8" t="s">
        <v>90</v>
      </c>
      <c r="J2397" s="9">
        <v>1</v>
      </c>
      <c r="K2397" s="9">
        <v>370</v>
      </c>
      <c r="L2397" s="9">
        <v>2020</v>
      </c>
      <c r="M2397" s="8" t="s">
        <v>14604</v>
      </c>
      <c r="N2397" s="8" t="s">
        <v>41</v>
      </c>
      <c r="O2397" s="8" t="s">
        <v>118</v>
      </c>
      <c r="P2397" s="6" t="s">
        <v>43</v>
      </c>
      <c r="Q2397" s="8" t="s">
        <v>44</v>
      </c>
      <c r="R2397" s="10" t="s">
        <v>14605</v>
      </c>
      <c r="S2397" s="11" t="s">
        <v>120</v>
      </c>
      <c r="T2397" s="6"/>
      <c r="U2397" s="24" t="str">
        <f>HYPERLINK("https://media.infra-m.ru/1068/1068925/cover/1068925.jpg", "Обложка")</f>
        <v>Обложка</v>
      </c>
      <c r="V2397" s="24" t="str">
        <f>HYPERLINK("https://znanium.ru/catalog/product/2073496", "Ознакомиться")</f>
        <v>Ознакомиться</v>
      </c>
      <c r="W2397" s="8" t="s">
        <v>83</v>
      </c>
      <c r="X2397" s="6"/>
      <c r="Y2397" s="6"/>
      <c r="Z2397" s="6"/>
      <c r="AA2397" s="6" t="s">
        <v>160</v>
      </c>
      <c r="AB2397" s="8"/>
    </row>
    <row r="2398" spans="1:28" s="4" customFormat="1" ht="51.95" customHeight="1">
      <c r="A2398" s="5">
        <v>0</v>
      </c>
      <c r="B2398" s="6" t="s">
        <v>14606</v>
      </c>
      <c r="C2398" s="13">
        <v>1140</v>
      </c>
      <c r="D2398" s="8" t="s">
        <v>14607</v>
      </c>
      <c r="E2398" s="8" t="s">
        <v>14608</v>
      </c>
      <c r="F2398" s="8" t="s">
        <v>14609</v>
      </c>
      <c r="G2398" s="6" t="s">
        <v>89</v>
      </c>
      <c r="H2398" s="6" t="s">
        <v>53</v>
      </c>
      <c r="I2398" s="8" t="s">
        <v>116</v>
      </c>
      <c r="J2398" s="9">
        <v>1</v>
      </c>
      <c r="K2398" s="9">
        <v>246</v>
      </c>
      <c r="L2398" s="9">
        <v>2023</v>
      </c>
      <c r="M2398" s="8" t="s">
        <v>14610</v>
      </c>
      <c r="N2398" s="8" t="s">
        <v>413</v>
      </c>
      <c r="O2398" s="8" t="s">
        <v>414</v>
      </c>
      <c r="P2398" s="6" t="s">
        <v>43</v>
      </c>
      <c r="Q2398" s="8" t="s">
        <v>58</v>
      </c>
      <c r="R2398" s="10" t="s">
        <v>14611</v>
      </c>
      <c r="S2398" s="11" t="s">
        <v>14612</v>
      </c>
      <c r="T2398" s="6"/>
      <c r="U2398" s="24" t="str">
        <f>HYPERLINK("https://media.infra-m.ru/1995/1995338/cover/1995338.jpg", "Обложка")</f>
        <v>Обложка</v>
      </c>
      <c r="V2398" s="24" t="str">
        <f>HYPERLINK("https://znanium.ru/catalog/product/1995338", "Ознакомиться")</f>
        <v>Ознакомиться</v>
      </c>
      <c r="W2398" s="8" t="s">
        <v>14613</v>
      </c>
      <c r="X2398" s="6"/>
      <c r="Y2398" s="6"/>
      <c r="Z2398" s="6"/>
      <c r="AA2398" s="6" t="s">
        <v>235</v>
      </c>
      <c r="AB2398" s="8"/>
    </row>
    <row r="2399" spans="1:28" s="4" customFormat="1" ht="51.95" customHeight="1">
      <c r="A2399" s="5">
        <v>0</v>
      </c>
      <c r="B2399" s="6" t="s">
        <v>14614</v>
      </c>
      <c r="C2399" s="13">
        <v>1294.9000000000001</v>
      </c>
      <c r="D2399" s="8" t="s">
        <v>14615</v>
      </c>
      <c r="E2399" s="8" t="s">
        <v>14616</v>
      </c>
      <c r="F2399" s="8" t="s">
        <v>10295</v>
      </c>
      <c r="G2399" s="6" t="s">
        <v>52</v>
      </c>
      <c r="H2399" s="6" t="s">
        <v>39</v>
      </c>
      <c r="I2399" s="8" t="s">
        <v>116</v>
      </c>
      <c r="J2399" s="9">
        <v>1</v>
      </c>
      <c r="K2399" s="9">
        <v>512</v>
      </c>
      <c r="L2399" s="9">
        <v>2017</v>
      </c>
      <c r="M2399" s="8" t="s">
        <v>14617</v>
      </c>
      <c r="N2399" s="8" t="s">
        <v>41</v>
      </c>
      <c r="O2399" s="8" t="s">
        <v>6182</v>
      </c>
      <c r="P2399" s="6" t="s">
        <v>43</v>
      </c>
      <c r="Q2399" s="8" t="s">
        <v>44</v>
      </c>
      <c r="R2399" s="10" t="s">
        <v>7513</v>
      </c>
      <c r="S2399" s="11" t="s">
        <v>14618</v>
      </c>
      <c r="T2399" s="6"/>
      <c r="U2399" s="24" t="str">
        <f>HYPERLINK("https://media.infra-m.ru/0529/0529324/cover/529324.jpg", "Обложка")</f>
        <v>Обложка</v>
      </c>
      <c r="V2399" s="24" t="str">
        <f>HYPERLINK("https://znanium.ru/catalog/product/2155997", "Ознакомиться")</f>
        <v>Ознакомиться</v>
      </c>
      <c r="W2399" s="8" t="s">
        <v>10299</v>
      </c>
      <c r="X2399" s="6"/>
      <c r="Y2399" s="6"/>
      <c r="Z2399" s="6"/>
      <c r="AA2399" s="6" t="s">
        <v>14619</v>
      </c>
      <c r="AB2399" s="8"/>
    </row>
    <row r="2400" spans="1:28" s="4" customFormat="1" ht="51.95" customHeight="1">
      <c r="A2400" s="5">
        <v>0</v>
      </c>
      <c r="B2400" s="6" t="s">
        <v>14620</v>
      </c>
      <c r="C2400" s="13">
        <v>2270</v>
      </c>
      <c r="D2400" s="8" t="s">
        <v>14621</v>
      </c>
      <c r="E2400" s="8" t="s">
        <v>14622</v>
      </c>
      <c r="F2400" s="8" t="s">
        <v>14623</v>
      </c>
      <c r="G2400" s="6" t="s">
        <v>52</v>
      </c>
      <c r="H2400" s="6" t="s">
        <v>53</v>
      </c>
      <c r="I2400" s="8" t="s">
        <v>116</v>
      </c>
      <c r="J2400" s="9">
        <v>1</v>
      </c>
      <c r="K2400" s="9">
        <v>484</v>
      </c>
      <c r="L2400" s="9">
        <v>2025</v>
      </c>
      <c r="M2400" s="8" t="s">
        <v>14624</v>
      </c>
      <c r="N2400" s="8" t="s">
        <v>41</v>
      </c>
      <c r="O2400" s="8" t="s">
        <v>6182</v>
      </c>
      <c r="P2400" s="6" t="s">
        <v>43</v>
      </c>
      <c r="Q2400" s="8" t="s">
        <v>44</v>
      </c>
      <c r="R2400" s="10" t="s">
        <v>7513</v>
      </c>
      <c r="S2400" s="11" t="s">
        <v>14625</v>
      </c>
      <c r="T2400" s="6"/>
      <c r="U2400" s="24" t="str">
        <f>HYPERLINK("https://media.infra-m.ru/2155/2155997/cover/2155997.jpg", "Обложка")</f>
        <v>Обложка</v>
      </c>
      <c r="V2400" s="24" t="str">
        <f>HYPERLINK("https://znanium.ru/catalog/product/2155997", "Ознакомиться")</f>
        <v>Ознакомиться</v>
      </c>
      <c r="W2400" s="8" t="s">
        <v>10299</v>
      </c>
      <c r="X2400" s="6"/>
      <c r="Y2400" s="6"/>
      <c r="Z2400" s="6"/>
      <c r="AA2400" s="6" t="s">
        <v>5878</v>
      </c>
      <c r="AB2400" s="8"/>
    </row>
    <row r="2401" spans="1:28" s="4" customFormat="1" ht="51.95" customHeight="1">
      <c r="A2401" s="5">
        <v>0</v>
      </c>
      <c r="B2401" s="6" t="s">
        <v>14626</v>
      </c>
      <c r="C2401" s="13">
        <v>1350</v>
      </c>
      <c r="D2401" s="8" t="s">
        <v>14627</v>
      </c>
      <c r="E2401" s="8" t="s">
        <v>14628</v>
      </c>
      <c r="F2401" s="8" t="s">
        <v>14629</v>
      </c>
      <c r="G2401" s="6" t="s">
        <v>89</v>
      </c>
      <c r="H2401" s="6" t="s">
        <v>53</v>
      </c>
      <c r="I2401" s="8" t="s">
        <v>116</v>
      </c>
      <c r="J2401" s="9">
        <v>1</v>
      </c>
      <c r="K2401" s="9">
        <v>264</v>
      </c>
      <c r="L2401" s="9">
        <v>2025</v>
      </c>
      <c r="M2401" s="8" t="s">
        <v>14630</v>
      </c>
      <c r="N2401" s="8" t="s">
        <v>79</v>
      </c>
      <c r="O2401" s="8" t="s">
        <v>684</v>
      </c>
      <c r="P2401" s="6" t="s">
        <v>167</v>
      </c>
      <c r="Q2401" s="8" t="s">
        <v>58</v>
      </c>
      <c r="R2401" s="10" t="s">
        <v>14631</v>
      </c>
      <c r="S2401" s="11" t="s">
        <v>14632</v>
      </c>
      <c r="T2401" s="6" t="s">
        <v>299</v>
      </c>
      <c r="U2401" s="24" t="str">
        <f>HYPERLINK("https://media.infra-m.ru/2191/2191268/cover/2191268.jpg", "Обложка")</f>
        <v>Обложка</v>
      </c>
      <c r="V2401" s="24" t="str">
        <f>HYPERLINK("https://znanium.ru/catalog/product/2191268", "Ознакомиться")</f>
        <v>Ознакомиться</v>
      </c>
      <c r="W2401" s="8" t="s">
        <v>478</v>
      </c>
      <c r="X2401" s="6"/>
      <c r="Y2401" s="6"/>
      <c r="Z2401" s="6"/>
      <c r="AA2401" s="6" t="s">
        <v>111</v>
      </c>
      <c r="AB2401" s="8"/>
    </row>
    <row r="2402" spans="1:28" s="4" customFormat="1" ht="51.95" customHeight="1">
      <c r="A2402" s="5">
        <v>0</v>
      </c>
      <c r="B2402" s="6" t="s">
        <v>14633</v>
      </c>
      <c r="C2402" s="13">
        <v>1724</v>
      </c>
      <c r="D2402" s="8" t="s">
        <v>14634</v>
      </c>
      <c r="E2402" s="8" t="s">
        <v>14635</v>
      </c>
      <c r="F2402" s="8" t="s">
        <v>14636</v>
      </c>
      <c r="G2402" s="6" t="s">
        <v>89</v>
      </c>
      <c r="H2402" s="6" t="s">
        <v>53</v>
      </c>
      <c r="I2402" s="8" t="s">
        <v>100</v>
      </c>
      <c r="J2402" s="9">
        <v>1</v>
      </c>
      <c r="K2402" s="9">
        <v>331</v>
      </c>
      <c r="L2402" s="9">
        <v>2025</v>
      </c>
      <c r="M2402" s="8" t="s">
        <v>14637</v>
      </c>
      <c r="N2402" s="8" t="s">
        <v>79</v>
      </c>
      <c r="O2402" s="8" t="s">
        <v>80</v>
      </c>
      <c r="P2402" s="6" t="s">
        <v>43</v>
      </c>
      <c r="Q2402" s="8" t="s">
        <v>102</v>
      </c>
      <c r="R2402" s="10" t="s">
        <v>14638</v>
      </c>
      <c r="S2402" s="11" t="s">
        <v>14639</v>
      </c>
      <c r="T2402" s="6"/>
      <c r="U2402" s="24" t="str">
        <f>HYPERLINK("https://media.infra-m.ru/2201/2201205/cover/2201205.jpg", "Обложка")</f>
        <v>Обложка</v>
      </c>
      <c r="V2402" s="24" t="str">
        <f>HYPERLINK("https://znanium.ru/catalog/product/1902833", "Ознакомиться")</f>
        <v>Ознакомиться</v>
      </c>
      <c r="W2402" s="8" t="s">
        <v>14640</v>
      </c>
      <c r="X2402" s="6"/>
      <c r="Y2402" s="6"/>
      <c r="Z2402" s="6" t="s">
        <v>104</v>
      </c>
      <c r="AA2402" s="6" t="s">
        <v>793</v>
      </c>
      <c r="AB2402" s="8"/>
    </row>
    <row r="2403" spans="1:28" s="4" customFormat="1" ht="51.95" customHeight="1">
      <c r="A2403" s="5">
        <v>0</v>
      </c>
      <c r="B2403" s="6" t="s">
        <v>14641</v>
      </c>
      <c r="C2403" s="13">
        <v>1344</v>
      </c>
      <c r="D2403" s="8" t="s">
        <v>14642</v>
      </c>
      <c r="E2403" s="8" t="s">
        <v>14643</v>
      </c>
      <c r="F2403" s="8" t="s">
        <v>14644</v>
      </c>
      <c r="G2403" s="6" t="s">
        <v>89</v>
      </c>
      <c r="H2403" s="6" t="s">
        <v>53</v>
      </c>
      <c r="I2403" s="8" t="s">
        <v>90</v>
      </c>
      <c r="J2403" s="9">
        <v>1</v>
      </c>
      <c r="K2403" s="9">
        <v>268</v>
      </c>
      <c r="L2403" s="9">
        <v>2025</v>
      </c>
      <c r="M2403" s="8" t="s">
        <v>14645</v>
      </c>
      <c r="N2403" s="8" t="s">
        <v>41</v>
      </c>
      <c r="O2403" s="8" t="s">
        <v>1204</v>
      </c>
      <c r="P2403" s="6" t="s">
        <v>43</v>
      </c>
      <c r="Q2403" s="8" t="s">
        <v>44</v>
      </c>
      <c r="R2403" s="10" t="s">
        <v>14646</v>
      </c>
      <c r="S2403" s="11" t="s">
        <v>14647</v>
      </c>
      <c r="T2403" s="6"/>
      <c r="U2403" s="24" t="str">
        <f>HYPERLINK("https://media.infra-m.ru/2169/2169153/cover/2169153.jpg", "Обложка")</f>
        <v>Обложка</v>
      </c>
      <c r="V2403" s="24" t="str">
        <f>HYPERLINK("https://znanium.ru/catalog/product/2082883", "Ознакомиться")</f>
        <v>Ознакомиться</v>
      </c>
      <c r="W2403" s="8" t="s">
        <v>354</v>
      </c>
      <c r="X2403" s="6"/>
      <c r="Y2403" s="6"/>
      <c r="Z2403" s="6"/>
      <c r="AA2403" s="6" t="s">
        <v>513</v>
      </c>
      <c r="AB2403" s="8"/>
    </row>
    <row r="2404" spans="1:28" s="4" customFormat="1" ht="51.95" customHeight="1">
      <c r="A2404" s="5">
        <v>0</v>
      </c>
      <c r="B2404" s="6" t="s">
        <v>14648</v>
      </c>
      <c r="C2404" s="7">
        <v>874.9</v>
      </c>
      <c r="D2404" s="8" t="s">
        <v>14649</v>
      </c>
      <c r="E2404" s="8" t="s">
        <v>14650</v>
      </c>
      <c r="F2404" s="8" t="s">
        <v>14651</v>
      </c>
      <c r="G2404" s="6" t="s">
        <v>52</v>
      </c>
      <c r="H2404" s="6" t="s">
        <v>77</v>
      </c>
      <c r="I2404" s="8"/>
      <c r="J2404" s="9">
        <v>1</v>
      </c>
      <c r="K2404" s="9">
        <v>237</v>
      </c>
      <c r="L2404" s="9">
        <v>2020</v>
      </c>
      <c r="M2404" s="8" t="s">
        <v>14652</v>
      </c>
      <c r="N2404" s="8" t="s">
        <v>41</v>
      </c>
      <c r="O2404" s="8" t="s">
        <v>1204</v>
      </c>
      <c r="P2404" s="6" t="s">
        <v>43</v>
      </c>
      <c r="Q2404" s="8" t="s">
        <v>44</v>
      </c>
      <c r="R2404" s="10" t="s">
        <v>14646</v>
      </c>
      <c r="S2404" s="11" t="s">
        <v>14653</v>
      </c>
      <c r="T2404" s="6"/>
      <c r="U2404" s="24" t="str">
        <f>HYPERLINK("https://media.infra-m.ru/1410/1410758/cover/1410758.jpg", "Обложка")</f>
        <v>Обложка</v>
      </c>
      <c r="V2404" s="24" t="str">
        <f>HYPERLINK("https://znanium.ru/catalog/product/2082883", "Ознакомиться")</f>
        <v>Ознакомиться</v>
      </c>
      <c r="W2404" s="8" t="s">
        <v>354</v>
      </c>
      <c r="X2404" s="6"/>
      <c r="Y2404" s="6"/>
      <c r="Z2404" s="6"/>
      <c r="AA2404" s="6" t="s">
        <v>122</v>
      </c>
      <c r="AB2404" s="8"/>
    </row>
    <row r="2405" spans="1:28" s="4" customFormat="1" ht="42" customHeight="1">
      <c r="A2405" s="5">
        <v>0</v>
      </c>
      <c r="B2405" s="6" t="s">
        <v>14654</v>
      </c>
      <c r="C2405" s="13">
        <v>1754</v>
      </c>
      <c r="D2405" s="8" t="s">
        <v>14655</v>
      </c>
      <c r="E2405" s="8" t="s">
        <v>14656</v>
      </c>
      <c r="F2405" s="8" t="s">
        <v>14657</v>
      </c>
      <c r="G2405" s="6" t="s">
        <v>52</v>
      </c>
      <c r="H2405" s="6" t="s">
        <v>53</v>
      </c>
      <c r="I2405" s="8" t="s">
        <v>90</v>
      </c>
      <c r="J2405" s="9">
        <v>1</v>
      </c>
      <c r="K2405" s="9">
        <v>381</v>
      </c>
      <c r="L2405" s="9">
        <v>2024</v>
      </c>
      <c r="M2405" s="8" t="s">
        <v>14658</v>
      </c>
      <c r="N2405" s="8" t="s">
        <v>41</v>
      </c>
      <c r="O2405" s="8" t="s">
        <v>1204</v>
      </c>
      <c r="P2405" s="6" t="s">
        <v>43</v>
      </c>
      <c r="Q2405" s="8" t="s">
        <v>44</v>
      </c>
      <c r="R2405" s="10" t="s">
        <v>4214</v>
      </c>
      <c r="S2405" s="11"/>
      <c r="T2405" s="6" t="s">
        <v>299</v>
      </c>
      <c r="U2405" s="24" t="str">
        <f>HYPERLINK("https://media.infra-m.ru/2087/2087740/cover/2087740.jpg", "Обложка")</f>
        <v>Обложка</v>
      </c>
      <c r="V2405" s="24" t="str">
        <f>HYPERLINK("https://znanium.ru/catalog/product/1220558", "Ознакомиться")</f>
        <v>Ознакомиться</v>
      </c>
      <c r="W2405" s="8" t="s">
        <v>14659</v>
      </c>
      <c r="X2405" s="6"/>
      <c r="Y2405" s="6"/>
      <c r="Z2405" s="6"/>
      <c r="AA2405" s="6" t="s">
        <v>111</v>
      </c>
      <c r="AB2405" s="8"/>
    </row>
    <row r="2406" spans="1:28" s="4" customFormat="1" ht="51.95" customHeight="1">
      <c r="A2406" s="5">
        <v>0</v>
      </c>
      <c r="B2406" s="6" t="s">
        <v>14660</v>
      </c>
      <c r="C2406" s="7">
        <v>554.9</v>
      </c>
      <c r="D2406" s="8" t="s">
        <v>14661</v>
      </c>
      <c r="E2406" s="8" t="s">
        <v>14662</v>
      </c>
      <c r="F2406" s="8" t="s">
        <v>14663</v>
      </c>
      <c r="G2406" s="6" t="s">
        <v>38</v>
      </c>
      <c r="H2406" s="6" t="s">
        <v>438</v>
      </c>
      <c r="I2406" s="8" t="s">
        <v>90</v>
      </c>
      <c r="J2406" s="9">
        <v>1</v>
      </c>
      <c r="K2406" s="9">
        <v>144</v>
      </c>
      <c r="L2406" s="9">
        <v>2022</v>
      </c>
      <c r="M2406" s="8" t="s">
        <v>14664</v>
      </c>
      <c r="N2406" s="8" t="s">
        <v>79</v>
      </c>
      <c r="O2406" s="8" t="s">
        <v>684</v>
      </c>
      <c r="P2406" s="6" t="s">
        <v>43</v>
      </c>
      <c r="Q2406" s="8" t="s">
        <v>44</v>
      </c>
      <c r="R2406" s="10" t="s">
        <v>14665</v>
      </c>
      <c r="S2406" s="11" t="s">
        <v>14666</v>
      </c>
      <c r="T2406" s="6"/>
      <c r="U2406" s="24" t="str">
        <f>HYPERLINK("https://media.infra-m.ru/1094/1094752/cover/1094752.jpg", "Обложка")</f>
        <v>Обложка</v>
      </c>
      <c r="V2406" s="24" t="str">
        <f>HYPERLINK("https://znanium.ru/catalog/product/1002655", "Ознакомиться")</f>
        <v>Ознакомиться</v>
      </c>
      <c r="W2406" s="8" t="s">
        <v>1587</v>
      </c>
      <c r="X2406" s="6"/>
      <c r="Y2406" s="6"/>
      <c r="Z2406" s="6"/>
      <c r="AA2406" s="6" t="s">
        <v>84</v>
      </c>
      <c r="AB2406" s="8"/>
    </row>
    <row r="2407" spans="1:28" s="4" customFormat="1" ht="51.95" customHeight="1">
      <c r="A2407" s="5">
        <v>0</v>
      </c>
      <c r="B2407" s="6" t="s">
        <v>14667</v>
      </c>
      <c r="C2407" s="7">
        <v>520</v>
      </c>
      <c r="D2407" s="8" t="s">
        <v>14668</v>
      </c>
      <c r="E2407" s="8" t="s">
        <v>14669</v>
      </c>
      <c r="F2407" s="8" t="s">
        <v>14670</v>
      </c>
      <c r="G2407" s="6" t="s">
        <v>38</v>
      </c>
      <c r="H2407" s="6" t="s">
        <v>53</v>
      </c>
      <c r="I2407" s="8" t="s">
        <v>90</v>
      </c>
      <c r="J2407" s="9">
        <v>1</v>
      </c>
      <c r="K2407" s="9">
        <v>112</v>
      </c>
      <c r="L2407" s="9">
        <v>2023</v>
      </c>
      <c r="M2407" s="8" t="s">
        <v>14671</v>
      </c>
      <c r="N2407" s="8" t="s">
        <v>413</v>
      </c>
      <c r="O2407" s="8" t="s">
        <v>414</v>
      </c>
      <c r="P2407" s="6" t="s">
        <v>43</v>
      </c>
      <c r="Q2407" s="8" t="s">
        <v>44</v>
      </c>
      <c r="R2407" s="10" t="s">
        <v>14672</v>
      </c>
      <c r="S2407" s="11" t="s">
        <v>14673</v>
      </c>
      <c r="T2407" s="6"/>
      <c r="U2407" s="24" t="str">
        <f>HYPERLINK("https://media.infra-m.ru/1893/1893973/cover/1893973.jpg", "Обложка")</f>
        <v>Обложка</v>
      </c>
      <c r="V2407" s="24" t="str">
        <f>HYPERLINK("https://znanium.ru/catalog/product/1893973", "Ознакомиться")</f>
        <v>Ознакомиться</v>
      </c>
      <c r="W2407" s="8" t="s">
        <v>334</v>
      </c>
      <c r="X2407" s="6"/>
      <c r="Y2407" s="6"/>
      <c r="Z2407" s="6"/>
      <c r="AA2407" s="6" t="s">
        <v>418</v>
      </c>
      <c r="AB2407" s="8"/>
    </row>
    <row r="2408" spans="1:28" s="4" customFormat="1" ht="51.95" customHeight="1">
      <c r="A2408" s="5">
        <v>0</v>
      </c>
      <c r="B2408" s="6" t="s">
        <v>14674</v>
      </c>
      <c r="C2408" s="7">
        <v>680</v>
      </c>
      <c r="D2408" s="8" t="s">
        <v>14675</v>
      </c>
      <c r="E2408" s="8" t="s">
        <v>14676</v>
      </c>
      <c r="F2408" s="8" t="s">
        <v>14677</v>
      </c>
      <c r="G2408" s="6" t="s">
        <v>89</v>
      </c>
      <c r="H2408" s="6" t="s">
        <v>53</v>
      </c>
      <c r="I2408" s="8" t="s">
        <v>4855</v>
      </c>
      <c r="J2408" s="9">
        <v>1</v>
      </c>
      <c r="K2408" s="9">
        <v>149</v>
      </c>
      <c r="L2408" s="9">
        <v>2023</v>
      </c>
      <c r="M2408" s="8" t="s">
        <v>14678</v>
      </c>
      <c r="N2408" s="8" t="s">
        <v>413</v>
      </c>
      <c r="O2408" s="8" t="s">
        <v>1141</v>
      </c>
      <c r="P2408" s="6" t="s">
        <v>43</v>
      </c>
      <c r="Q2408" s="8" t="s">
        <v>44</v>
      </c>
      <c r="R2408" s="10" t="s">
        <v>14679</v>
      </c>
      <c r="S2408" s="11" t="s">
        <v>14680</v>
      </c>
      <c r="T2408" s="6"/>
      <c r="U2408" s="24" t="str">
        <f>HYPERLINK("https://media.infra-m.ru/2000/2000033/cover/2000033.jpg", "Обложка")</f>
        <v>Обложка</v>
      </c>
      <c r="V2408" s="12"/>
      <c r="W2408" s="8" t="s">
        <v>784</v>
      </c>
      <c r="X2408" s="6"/>
      <c r="Y2408" s="6"/>
      <c r="Z2408" s="6"/>
      <c r="AA2408" s="6" t="s">
        <v>151</v>
      </c>
      <c r="AB2408" s="8"/>
    </row>
    <row r="2409" spans="1:28" s="4" customFormat="1" ht="51.95" customHeight="1">
      <c r="A2409" s="5">
        <v>0</v>
      </c>
      <c r="B2409" s="6" t="s">
        <v>14681</v>
      </c>
      <c r="C2409" s="13">
        <v>1914.9</v>
      </c>
      <c r="D2409" s="8" t="s">
        <v>14682</v>
      </c>
      <c r="E2409" s="8" t="s">
        <v>14683</v>
      </c>
      <c r="F2409" s="8" t="s">
        <v>14684</v>
      </c>
      <c r="G2409" s="6" t="s">
        <v>52</v>
      </c>
      <c r="H2409" s="6" t="s">
        <v>53</v>
      </c>
      <c r="I2409" s="8" t="s">
        <v>90</v>
      </c>
      <c r="J2409" s="9">
        <v>1</v>
      </c>
      <c r="K2409" s="9">
        <v>491</v>
      </c>
      <c r="L2409" s="9">
        <v>2022</v>
      </c>
      <c r="M2409" s="8" t="s">
        <v>14685</v>
      </c>
      <c r="N2409" s="8" t="s">
        <v>41</v>
      </c>
      <c r="O2409" s="8" t="s">
        <v>118</v>
      </c>
      <c r="P2409" s="6" t="s">
        <v>1046</v>
      </c>
      <c r="Q2409" s="8" t="s">
        <v>44</v>
      </c>
      <c r="R2409" s="10" t="s">
        <v>14686</v>
      </c>
      <c r="S2409" s="11"/>
      <c r="T2409" s="6"/>
      <c r="U2409" s="24" t="str">
        <f>HYPERLINK("https://media.infra-m.ru/1841/1841677/cover/1841677.jpg", "Обложка")</f>
        <v>Обложка</v>
      </c>
      <c r="V2409" s="24" t="str">
        <f>HYPERLINK("https://znanium.ru/catalog/product/1018283", "Ознакомиться")</f>
        <v>Ознакомиться</v>
      </c>
      <c r="W2409" s="8" t="s">
        <v>5825</v>
      </c>
      <c r="X2409" s="6"/>
      <c r="Y2409" s="6"/>
      <c r="Z2409" s="6"/>
      <c r="AA2409" s="6" t="s">
        <v>72</v>
      </c>
      <c r="AB2409" s="8"/>
    </row>
    <row r="2410" spans="1:28" s="4" customFormat="1" ht="51.95" customHeight="1">
      <c r="A2410" s="5">
        <v>0</v>
      </c>
      <c r="B2410" s="6" t="s">
        <v>14687</v>
      </c>
      <c r="C2410" s="13">
        <v>1174</v>
      </c>
      <c r="D2410" s="8" t="s">
        <v>14688</v>
      </c>
      <c r="E2410" s="8" t="s">
        <v>14689</v>
      </c>
      <c r="F2410" s="8" t="s">
        <v>14690</v>
      </c>
      <c r="G2410" s="6" t="s">
        <v>52</v>
      </c>
      <c r="H2410" s="6" t="s">
        <v>53</v>
      </c>
      <c r="I2410" s="8" t="s">
        <v>276</v>
      </c>
      <c r="J2410" s="9">
        <v>1</v>
      </c>
      <c r="K2410" s="9">
        <v>256</v>
      </c>
      <c r="L2410" s="9">
        <v>2018</v>
      </c>
      <c r="M2410" s="8" t="s">
        <v>14691</v>
      </c>
      <c r="N2410" s="8" t="s">
        <v>41</v>
      </c>
      <c r="O2410" s="8" t="s">
        <v>118</v>
      </c>
      <c r="P2410" s="6" t="s">
        <v>43</v>
      </c>
      <c r="Q2410" s="8" t="s">
        <v>279</v>
      </c>
      <c r="R2410" s="10" t="s">
        <v>14692</v>
      </c>
      <c r="S2410" s="11"/>
      <c r="T2410" s="6"/>
      <c r="U2410" s="24" t="str">
        <f>HYPERLINK("https://media.infra-m.ru/0960/0960026/cover/960026.jpg", "Обложка")</f>
        <v>Обложка</v>
      </c>
      <c r="V2410" s="24" t="str">
        <f>HYPERLINK("https://znanium.ru/catalog/product/960026", "Ознакомиться")</f>
        <v>Ознакомиться</v>
      </c>
      <c r="W2410" s="8" t="s">
        <v>5825</v>
      </c>
      <c r="X2410" s="6"/>
      <c r="Y2410" s="6"/>
      <c r="Z2410" s="6"/>
      <c r="AA2410" s="6" t="s">
        <v>84</v>
      </c>
      <c r="AB2410" s="8"/>
    </row>
    <row r="2411" spans="1:28" s="4" customFormat="1" ht="51.95" customHeight="1">
      <c r="A2411" s="5">
        <v>0</v>
      </c>
      <c r="B2411" s="6" t="s">
        <v>14693</v>
      </c>
      <c r="C2411" s="13">
        <v>1849</v>
      </c>
      <c r="D2411" s="8" t="s">
        <v>14694</v>
      </c>
      <c r="E2411" s="8" t="s">
        <v>14695</v>
      </c>
      <c r="F2411" s="8" t="s">
        <v>14696</v>
      </c>
      <c r="G2411" s="6" t="s">
        <v>52</v>
      </c>
      <c r="H2411" s="6" t="s">
        <v>53</v>
      </c>
      <c r="I2411" s="8" t="s">
        <v>960</v>
      </c>
      <c r="J2411" s="9">
        <v>1</v>
      </c>
      <c r="K2411" s="9">
        <v>192</v>
      </c>
      <c r="L2411" s="9">
        <v>2024</v>
      </c>
      <c r="M2411" s="8" t="s">
        <v>14697</v>
      </c>
      <c r="N2411" s="8" t="s">
        <v>413</v>
      </c>
      <c r="O2411" s="8" t="s">
        <v>1584</v>
      </c>
      <c r="P2411" s="6" t="s">
        <v>43</v>
      </c>
      <c r="Q2411" s="8" t="s">
        <v>58</v>
      </c>
      <c r="R2411" s="10" t="s">
        <v>11975</v>
      </c>
      <c r="S2411" s="11" t="s">
        <v>14698</v>
      </c>
      <c r="T2411" s="6"/>
      <c r="U2411" s="24" t="str">
        <f>HYPERLINK("https://media.infra-m.ru/2150/2150313/cover/2150313.jpg", "Обложка")</f>
        <v>Обложка</v>
      </c>
      <c r="V2411" s="24" t="str">
        <f>HYPERLINK("https://znanium.ru/catalog/product/2150313", "Ознакомиться")</f>
        <v>Ознакомиться</v>
      </c>
      <c r="W2411" s="8" t="s">
        <v>178</v>
      </c>
      <c r="X2411" s="6" t="s">
        <v>772</v>
      </c>
      <c r="Y2411" s="6"/>
      <c r="Z2411" s="6"/>
      <c r="AA2411" s="6" t="s">
        <v>133</v>
      </c>
      <c r="AB2411" s="8"/>
    </row>
    <row r="2412" spans="1:28" s="4" customFormat="1" ht="42" customHeight="1">
      <c r="A2412" s="5">
        <v>0</v>
      </c>
      <c r="B2412" s="6" t="s">
        <v>14699</v>
      </c>
      <c r="C2412" s="13">
        <v>1130</v>
      </c>
      <c r="D2412" s="8" t="s">
        <v>14700</v>
      </c>
      <c r="E2412" s="8" t="s">
        <v>14701</v>
      </c>
      <c r="F2412" s="8" t="s">
        <v>14702</v>
      </c>
      <c r="G2412" s="6" t="s">
        <v>89</v>
      </c>
      <c r="H2412" s="6" t="s">
        <v>1738</v>
      </c>
      <c r="I2412" s="8" t="s">
        <v>14703</v>
      </c>
      <c r="J2412" s="9">
        <v>1</v>
      </c>
      <c r="K2412" s="9">
        <v>244</v>
      </c>
      <c r="L2412" s="9">
        <v>2023</v>
      </c>
      <c r="M2412" s="8" t="s">
        <v>14704</v>
      </c>
      <c r="N2412" s="8" t="s">
        <v>413</v>
      </c>
      <c r="O2412" s="8" t="s">
        <v>414</v>
      </c>
      <c r="P2412" s="6" t="s">
        <v>167</v>
      </c>
      <c r="Q2412" s="8" t="s">
        <v>279</v>
      </c>
      <c r="R2412" s="10" t="s">
        <v>12090</v>
      </c>
      <c r="S2412" s="11"/>
      <c r="T2412" s="6" t="s">
        <v>299</v>
      </c>
      <c r="U2412" s="24" t="str">
        <f>HYPERLINK("https://media.infra-m.ru/2124/2124358/cover/2124358.jpg", "Обложка")</f>
        <v>Обложка</v>
      </c>
      <c r="V2412" s="24" t="str">
        <f>HYPERLINK("https://znanium.ru/catalog/product/2124358", "Ознакомиться")</f>
        <v>Ознакомиться</v>
      </c>
      <c r="W2412" s="8" t="s">
        <v>5142</v>
      </c>
      <c r="X2412" s="6"/>
      <c r="Y2412" s="6"/>
      <c r="Z2412" s="6"/>
      <c r="AA2412" s="6" t="s">
        <v>418</v>
      </c>
      <c r="AB2412" s="8"/>
    </row>
    <row r="2413" spans="1:28" s="4" customFormat="1" ht="51.95" customHeight="1">
      <c r="A2413" s="5">
        <v>0</v>
      </c>
      <c r="B2413" s="6" t="s">
        <v>14705</v>
      </c>
      <c r="C2413" s="13">
        <v>1364</v>
      </c>
      <c r="D2413" s="8" t="s">
        <v>14706</v>
      </c>
      <c r="E2413" s="8" t="s">
        <v>14707</v>
      </c>
      <c r="F2413" s="8" t="s">
        <v>14708</v>
      </c>
      <c r="G2413" s="6" t="s">
        <v>89</v>
      </c>
      <c r="H2413" s="6" t="s">
        <v>53</v>
      </c>
      <c r="I2413" s="8" t="s">
        <v>276</v>
      </c>
      <c r="J2413" s="9">
        <v>1</v>
      </c>
      <c r="K2413" s="9">
        <v>272</v>
      </c>
      <c r="L2413" s="9">
        <v>2024</v>
      </c>
      <c r="M2413" s="8" t="s">
        <v>14709</v>
      </c>
      <c r="N2413" s="8" t="s">
        <v>56</v>
      </c>
      <c r="O2413" s="8" t="s">
        <v>4042</v>
      </c>
      <c r="P2413" s="6" t="s">
        <v>43</v>
      </c>
      <c r="Q2413" s="8" t="s">
        <v>279</v>
      </c>
      <c r="R2413" s="10" t="s">
        <v>9439</v>
      </c>
      <c r="S2413" s="11" t="s">
        <v>14710</v>
      </c>
      <c r="T2413" s="6"/>
      <c r="U2413" s="24" t="str">
        <f>HYPERLINK("https://media.infra-m.ru/2163/2163031/cover/2163031.jpg", "Обложка")</f>
        <v>Обложка</v>
      </c>
      <c r="V2413" s="24" t="str">
        <f>HYPERLINK("https://znanium.ru/catalog/product/2155999", "Ознакомиться")</f>
        <v>Ознакомиться</v>
      </c>
      <c r="W2413" s="8" t="s">
        <v>12172</v>
      </c>
      <c r="X2413" s="6"/>
      <c r="Y2413" s="6"/>
      <c r="Z2413" s="6"/>
      <c r="AA2413" s="6" t="s">
        <v>84</v>
      </c>
      <c r="AB2413" s="8"/>
    </row>
    <row r="2414" spans="1:28" s="4" customFormat="1" ht="51.95" customHeight="1">
      <c r="A2414" s="5">
        <v>0</v>
      </c>
      <c r="B2414" s="6" t="s">
        <v>14711</v>
      </c>
      <c r="C2414" s="13">
        <v>1204</v>
      </c>
      <c r="D2414" s="8" t="s">
        <v>14712</v>
      </c>
      <c r="E2414" s="8" t="s">
        <v>14713</v>
      </c>
      <c r="F2414" s="8" t="s">
        <v>14714</v>
      </c>
      <c r="G2414" s="6" t="s">
        <v>89</v>
      </c>
      <c r="H2414" s="6" t="s">
        <v>53</v>
      </c>
      <c r="I2414" s="8" t="s">
        <v>1325</v>
      </c>
      <c r="J2414" s="9">
        <v>1</v>
      </c>
      <c r="K2414" s="9">
        <v>238</v>
      </c>
      <c r="L2414" s="9">
        <v>2024</v>
      </c>
      <c r="M2414" s="8" t="s">
        <v>14715</v>
      </c>
      <c r="N2414" s="8" t="s">
        <v>79</v>
      </c>
      <c r="O2414" s="8" t="s">
        <v>570</v>
      </c>
      <c r="P2414" s="6" t="s">
        <v>43</v>
      </c>
      <c r="Q2414" s="8" t="s">
        <v>58</v>
      </c>
      <c r="R2414" s="10" t="s">
        <v>14716</v>
      </c>
      <c r="S2414" s="11"/>
      <c r="T2414" s="6"/>
      <c r="U2414" s="24" t="str">
        <f>HYPERLINK("https://media.infra-m.ru/2103/2103720/cover/2103720.jpg", "Обложка")</f>
        <v>Обложка</v>
      </c>
      <c r="V2414" s="24" t="str">
        <f>HYPERLINK("https://znanium.ru/catalog/product/1833533", "Ознакомиться")</f>
        <v>Ознакомиться</v>
      </c>
      <c r="W2414" s="8" t="s">
        <v>1329</v>
      </c>
      <c r="X2414" s="6"/>
      <c r="Y2414" s="6"/>
      <c r="Z2414" s="6"/>
      <c r="AA2414" s="6" t="s">
        <v>219</v>
      </c>
      <c r="AB2414" s="8"/>
    </row>
    <row r="2415" spans="1:28" s="4" customFormat="1" ht="51.95" customHeight="1">
      <c r="A2415" s="5">
        <v>0</v>
      </c>
      <c r="B2415" s="6" t="s">
        <v>14717</v>
      </c>
      <c r="C2415" s="7">
        <v>870</v>
      </c>
      <c r="D2415" s="8" t="s">
        <v>14718</v>
      </c>
      <c r="E2415" s="8" t="s">
        <v>14719</v>
      </c>
      <c r="F2415" s="8" t="s">
        <v>14720</v>
      </c>
      <c r="G2415" s="6" t="s">
        <v>38</v>
      </c>
      <c r="H2415" s="6" t="s">
        <v>53</v>
      </c>
      <c r="I2415" s="8" t="s">
        <v>11324</v>
      </c>
      <c r="J2415" s="9">
        <v>1</v>
      </c>
      <c r="K2415" s="9">
        <v>194</v>
      </c>
      <c r="L2415" s="9">
        <v>2022</v>
      </c>
      <c r="M2415" s="8" t="s">
        <v>14721</v>
      </c>
      <c r="N2415" s="8" t="s">
        <v>413</v>
      </c>
      <c r="O2415" s="8" t="s">
        <v>1528</v>
      </c>
      <c r="P2415" s="6" t="s">
        <v>43</v>
      </c>
      <c r="Q2415" s="8" t="s">
        <v>44</v>
      </c>
      <c r="R2415" s="10" t="s">
        <v>14722</v>
      </c>
      <c r="S2415" s="11" t="s">
        <v>14723</v>
      </c>
      <c r="T2415" s="6"/>
      <c r="U2415" s="24" t="str">
        <f>HYPERLINK("https://media.infra-m.ru/1947/1947390/cover/1947390.jpg", "Обложка")</f>
        <v>Обложка</v>
      </c>
      <c r="V2415" s="24" t="str">
        <f>HYPERLINK("https://znanium.ru/catalog/product/1852225", "Ознакомиться")</f>
        <v>Ознакомиться</v>
      </c>
      <c r="W2415" s="8" t="s">
        <v>1514</v>
      </c>
      <c r="X2415" s="6"/>
      <c r="Y2415" s="6"/>
      <c r="Z2415" s="6"/>
      <c r="AA2415" s="6" t="s">
        <v>418</v>
      </c>
      <c r="AB2415" s="8"/>
    </row>
    <row r="2416" spans="1:28" s="4" customFormat="1" ht="42" customHeight="1">
      <c r="A2416" s="5">
        <v>0</v>
      </c>
      <c r="B2416" s="6" t="s">
        <v>14724</v>
      </c>
      <c r="C2416" s="13">
        <v>1730</v>
      </c>
      <c r="D2416" s="8" t="s">
        <v>14725</v>
      </c>
      <c r="E2416" s="8" t="s">
        <v>14726</v>
      </c>
      <c r="F2416" s="8" t="s">
        <v>14727</v>
      </c>
      <c r="G2416" s="6" t="s">
        <v>89</v>
      </c>
      <c r="H2416" s="6" t="s">
        <v>438</v>
      </c>
      <c r="I2416" s="8"/>
      <c r="J2416" s="9">
        <v>1</v>
      </c>
      <c r="K2416" s="9">
        <v>384</v>
      </c>
      <c r="L2416" s="9">
        <v>2023</v>
      </c>
      <c r="M2416" s="8" t="s">
        <v>14728</v>
      </c>
      <c r="N2416" s="8" t="s">
        <v>79</v>
      </c>
      <c r="O2416" s="8" t="s">
        <v>80</v>
      </c>
      <c r="P2416" s="6" t="s">
        <v>167</v>
      </c>
      <c r="Q2416" s="8" t="s">
        <v>44</v>
      </c>
      <c r="R2416" s="10" t="s">
        <v>2461</v>
      </c>
      <c r="S2416" s="11"/>
      <c r="T2416" s="6"/>
      <c r="U2416" s="24" t="str">
        <f>HYPERLINK("https://media.infra-m.ru/1907/1907609/cover/1907609.jpg", "Обложка")</f>
        <v>Обложка</v>
      </c>
      <c r="V2416" s="24" t="str">
        <f>HYPERLINK("https://znanium.ru/catalog/product/1907609", "Ознакомиться")</f>
        <v>Ознакомиться</v>
      </c>
      <c r="W2416" s="8" t="s">
        <v>189</v>
      </c>
      <c r="X2416" s="6"/>
      <c r="Y2416" s="6"/>
      <c r="Z2416" s="6"/>
      <c r="AA2416" s="6" t="s">
        <v>418</v>
      </c>
      <c r="AB2416" s="8"/>
    </row>
    <row r="2417" spans="1:28" s="4" customFormat="1" ht="51.95" customHeight="1">
      <c r="A2417" s="5">
        <v>0</v>
      </c>
      <c r="B2417" s="6" t="s">
        <v>14729</v>
      </c>
      <c r="C2417" s="7">
        <v>924</v>
      </c>
      <c r="D2417" s="8" t="s">
        <v>14730</v>
      </c>
      <c r="E2417" s="8" t="s">
        <v>14726</v>
      </c>
      <c r="F2417" s="8" t="s">
        <v>14731</v>
      </c>
      <c r="G2417" s="6" t="s">
        <v>89</v>
      </c>
      <c r="H2417" s="6" t="s">
        <v>53</v>
      </c>
      <c r="I2417" s="8" t="s">
        <v>90</v>
      </c>
      <c r="J2417" s="9">
        <v>1</v>
      </c>
      <c r="K2417" s="9">
        <v>203</v>
      </c>
      <c r="L2417" s="9">
        <v>2023</v>
      </c>
      <c r="M2417" s="8" t="s">
        <v>14732</v>
      </c>
      <c r="N2417" s="8" t="s">
        <v>41</v>
      </c>
      <c r="O2417" s="8" t="s">
        <v>118</v>
      </c>
      <c r="P2417" s="6" t="s">
        <v>43</v>
      </c>
      <c r="Q2417" s="8" t="s">
        <v>44</v>
      </c>
      <c r="R2417" s="10" t="s">
        <v>157</v>
      </c>
      <c r="S2417" s="11" t="s">
        <v>14733</v>
      </c>
      <c r="T2417" s="6"/>
      <c r="U2417" s="24" t="str">
        <f>HYPERLINK("https://media.infra-m.ru/1962/1962491/cover/1962491.jpg", "Обложка")</f>
        <v>Обложка</v>
      </c>
      <c r="V2417" s="24" t="str">
        <f>HYPERLINK("https://znanium.ru/catalog/product/1947409", "Ознакомиться")</f>
        <v>Ознакомиться</v>
      </c>
      <c r="W2417" s="8" t="s">
        <v>1635</v>
      </c>
      <c r="X2417" s="6"/>
      <c r="Y2417" s="6"/>
      <c r="Z2417" s="6"/>
      <c r="AA2417" s="6" t="s">
        <v>258</v>
      </c>
      <c r="AB2417" s="8"/>
    </row>
    <row r="2418" spans="1:28" s="4" customFormat="1" ht="51.95" customHeight="1">
      <c r="A2418" s="5">
        <v>0</v>
      </c>
      <c r="B2418" s="6" t="s">
        <v>14734</v>
      </c>
      <c r="C2418" s="13">
        <v>1404</v>
      </c>
      <c r="D2418" s="8" t="s">
        <v>14735</v>
      </c>
      <c r="E2418" s="8" t="s">
        <v>14736</v>
      </c>
      <c r="F2418" s="8" t="s">
        <v>14737</v>
      </c>
      <c r="G2418" s="6" t="s">
        <v>89</v>
      </c>
      <c r="H2418" s="6" t="s">
        <v>184</v>
      </c>
      <c r="I2418" s="8" t="s">
        <v>90</v>
      </c>
      <c r="J2418" s="9">
        <v>1</v>
      </c>
      <c r="K2418" s="9">
        <v>270</v>
      </c>
      <c r="L2418" s="9">
        <v>2025</v>
      </c>
      <c r="M2418" s="8" t="s">
        <v>14738</v>
      </c>
      <c r="N2418" s="8" t="s">
        <v>413</v>
      </c>
      <c r="O2418" s="8" t="s">
        <v>1141</v>
      </c>
      <c r="P2418" s="6" t="s">
        <v>43</v>
      </c>
      <c r="Q2418" s="8" t="s">
        <v>44</v>
      </c>
      <c r="R2418" s="10" t="s">
        <v>14739</v>
      </c>
      <c r="S2418" s="11" t="s">
        <v>14740</v>
      </c>
      <c r="T2418" s="6"/>
      <c r="U2418" s="24" t="str">
        <f>HYPERLINK("https://media.infra-m.ru/2192/2192208/cover/2192208.jpg", "Обложка")</f>
        <v>Обложка</v>
      </c>
      <c r="V2418" s="24" t="str">
        <f>HYPERLINK("https://znanium.ru/catalog/product/1930702", "Ознакомиться")</f>
        <v>Ознакомиться</v>
      </c>
      <c r="W2418" s="8" t="s">
        <v>399</v>
      </c>
      <c r="X2418" s="6"/>
      <c r="Y2418" s="6"/>
      <c r="Z2418" s="6"/>
      <c r="AA2418" s="6" t="s">
        <v>122</v>
      </c>
      <c r="AB2418" s="8"/>
    </row>
    <row r="2419" spans="1:28" s="4" customFormat="1" ht="51.95" customHeight="1">
      <c r="A2419" s="5">
        <v>0</v>
      </c>
      <c r="B2419" s="6" t="s">
        <v>14741</v>
      </c>
      <c r="C2419" s="7">
        <v>750</v>
      </c>
      <c r="D2419" s="8" t="s">
        <v>14742</v>
      </c>
      <c r="E2419" s="8" t="s">
        <v>14743</v>
      </c>
      <c r="F2419" s="8" t="s">
        <v>14744</v>
      </c>
      <c r="G2419" s="6" t="s">
        <v>38</v>
      </c>
      <c r="H2419" s="6" t="s">
        <v>53</v>
      </c>
      <c r="I2419" s="8" t="s">
        <v>276</v>
      </c>
      <c r="J2419" s="9">
        <v>1</v>
      </c>
      <c r="K2419" s="9">
        <v>162</v>
      </c>
      <c r="L2419" s="9">
        <v>2024</v>
      </c>
      <c r="M2419" s="8" t="s">
        <v>14745</v>
      </c>
      <c r="N2419" s="8" t="s">
        <v>79</v>
      </c>
      <c r="O2419" s="8" t="s">
        <v>424</v>
      </c>
      <c r="P2419" s="6" t="s">
        <v>43</v>
      </c>
      <c r="Q2419" s="8" t="s">
        <v>279</v>
      </c>
      <c r="R2419" s="10" t="s">
        <v>4598</v>
      </c>
      <c r="S2419" s="11" t="s">
        <v>14746</v>
      </c>
      <c r="T2419" s="6"/>
      <c r="U2419" s="24" t="str">
        <f>HYPERLINK("https://media.infra-m.ru/2135/2135821/cover/2135821.jpg", "Обложка")</f>
        <v>Обложка</v>
      </c>
      <c r="V2419" s="24" t="str">
        <f>HYPERLINK("https://znanium.ru/catalog/product/2135821", "Ознакомиться")</f>
        <v>Ознакомиться</v>
      </c>
      <c r="W2419" s="8" t="s">
        <v>450</v>
      </c>
      <c r="X2419" s="6"/>
      <c r="Y2419" s="6"/>
      <c r="Z2419" s="6"/>
      <c r="AA2419" s="6" t="s">
        <v>418</v>
      </c>
      <c r="AB2419" s="8"/>
    </row>
    <row r="2420" spans="1:28" s="4" customFormat="1" ht="51.95" customHeight="1">
      <c r="A2420" s="5">
        <v>0</v>
      </c>
      <c r="B2420" s="6" t="s">
        <v>14747</v>
      </c>
      <c r="C2420" s="13">
        <v>1020</v>
      </c>
      <c r="D2420" s="8" t="s">
        <v>14748</v>
      </c>
      <c r="E2420" s="8" t="s">
        <v>14749</v>
      </c>
      <c r="F2420" s="8" t="s">
        <v>14750</v>
      </c>
      <c r="G2420" s="6" t="s">
        <v>89</v>
      </c>
      <c r="H2420" s="6" t="s">
        <v>53</v>
      </c>
      <c r="I2420" s="8" t="s">
        <v>90</v>
      </c>
      <c r="J2420" s="9">
        <v>1</v>
      </c>
      <c r="K2420" s="9">
        <v>227</v>
      </c>
      <c r="L2420" s="9">
        <v>2023</v>
      </c>
      <c r="M2420" s="8" t="s">
        <v>14751</v>
      </c>
      <c r="N2420" s="8" t="s">
        <v>41</v>
      </c>
      <c r="O2420" s="8" t="s">
        <v>118</v>
      </c>
      <c r="P2420" s="6" t="s">
        <v>43</v>
      </c>
      <c r="Q2420" s="8" t="s">
        <v>44</v>
      </c>
      <c r="R2420" s="10" t="s">
        <v>1251</v>
      </c>
      <c r="S2420" s="11" t="s">
        <v>120</v>
      </c>
      <c r="T2420" s="6"/>
      <c r="U2420" s="24" t="str">
        <f>HYPERLINK("https://media.infra-m.ru/1897/1897693/cover/1897693.jpg", "Обложка")</f>
        <v>Обложка</v>
      </c>
      <c r="V2420" s="24" t="str">
        <f>HYPERLINK("https://znanium.ru/catalog/product/1897693", "Ознакомиться")</f>
        <v>Ознакомиться</v>
      </c>
      <c r="W2420" s="8" t="s">
        <v>450</v>
      </c>
      <c r="X2420" s="6"/>
      <c r="Y2420" s="6"/>
      <c r="Z2420" s="6"/>
      <c r="AA2420" s="6" t="s">
        <v>418</v>
      </c>
      <c r="AB2420" s="8"/>
    </row>
    <row r="2421" spans="1:28" s="4" customFormat="1" ht="51.95" customHeight="1">
      <c r="A2421" s="5">
        <v>0</v>
      </c>
      <c r="B2421" s="6" t="s">
        <v>14752</v>
      </c>
      <c r="C2421" s="13">
        <v>1034</v>
      </c>
      <c r="D2421" s="8" t="s">
        <v>14753</v>
      </c>
      <c r="E2421" s="8" t="s">
        <v>14749</v>
      </c>
      <c r="F2421" s="8" t="s">
        <v>14754</v>
      </c>
      <c r="G2421" s="6" t="s">
        <v>89</v>
      </c>
      <c r="H2421" s="6" t="s">
        <v>53</v>
      </c>
      <c r="I2421" s="8" t="s">
        <v>90</v>
      </c>
      <c r="J2421" s="9">
        <v>1</v>
      </c>
      <c r="K2421" s="9">
        <v>222</v>
      </c>
      <c r="L2421" s="9">
        <v>2024</v>
      </c>
      <c r="M2421" s="8" t="s">
        <v>14755</v>
      </c>
      <c r="N2421" s="8" t="s">
        <v>41</v>
      </c>
      <c r="O2421" s="8" t="s">
        <v>118</v>
      </c>
      <c r="P2421" s="6" t="s">
        <v>43</v>
      </c>
      <c r="Q2421" s="8" t="s">
        <v>44</v>
      </c>
      <c r="R2421" s="10" t="s">
        <v>1371</v>
      </c>
      <c r="S2421" s="11" t="s">
        <v>1372</v>
      </c>
      <c r="T2421" s="6" t="s">
        <v>299</v>
      </c>
      <c r="U2421" s="24" t="str">
        <f>HYPERLINK("https://media.infra-m.ru/2150/2150740/cover/2150740.jpg", "Обложка")</f>
        <v>Обложка</v>
      </c>
      <c r="V2421" s="24" t="str">
        <f>HYPERLINK("https://znanium.ru/catalog/product/2076927", "Ознакомиться")</f>
        <v>Ознакомиться</v>
      </c>
      <c r="W2421" s="8" t="s">
        <v>11304</v>
      </c>
      <c r="X2421" s="6"/>
      <c r="Y2421" s="6"/>
      <c r="Z2421" s="6"/>
      <c r="AA2421" s="6" t="s">
        <v>111</v>
      </c>
      <c r="AB2421" s="8"/>
    </row>
    <row r="2422" spans="1:28" s="4" customFormat="1" ht="51.95" customHeight="1">
      <c r="A2422" s="5">
        <v>0</v>
      </c>
      <c r="B2422" s="6" t="s">
        <v>14756</v>
      </c>
      <c r="C2422" s="7">
        <v>584</v>
      </c>
      <c r="D2422" s="8" t="s">
        <v>14757</v>
      </c>
      <c r="E2422" s="8" t="s">
        <v>14758</v>
      </c>
      <c r="F2422" s="8" t="s">
        <v>14759</v>
      </c>
      <c r="G2422" s="6" t="s">
        <v>38</v>
      </c>
      <c r="H2422" s="6" t="s">
        <v>53</v>
      </c>
      <c r="I2422" s="8" t="s">
        <v>90</v>
      </c>
      <c r="J2422" s="9">
        <v>1</v>
      </c>
      <c r="K2422" s="9">
        <v>124</v>
      </c>
      <c r="L2422" s="9">
        <v>2024</v>
      </c>
      <c r="M2422" s="8" t="s">
        <v>14760</v>
      </c>
      <c r="N2422" s="8" t="s">
        <v>79</v>
      </c>
      <c r="O2422" s="8" t="s">
        <v>424</v>
      </c>
      <c r="P2422" s="6" t="s">
        <v>43</v>
      </c>
      <c r="Q2422" s="8" t="s">
        <v>44</v>
      </c>
      <c r="R2422" s="10" t="s">
        <v>5274</v>
      </c>
      <c r="S2422" s="11" t="s">
        <v>14761</v>
      </c>
      <c r="T2422" s="6"/>
      <c r="U2422" s="24" t="str">
        <f>HYPERLINK("https://media.infra-m.ru/2108/2108573/cover/2108573.jpg", "Обложка")</f>
        <v>Обложка</v>
      </c>
      <c r="V2422" s="24" t="str">
        <f>HYPERLINK("https://znanium.ru/catalog/product/2066381", "Ознакомиться")</f>
        <v>Ознакомиться</v>
      </c>
      <c r="W2422" s="8" t="s">
        <v>2521</v>
      </c>
      <c r="X2422" s="6"/>
      <c r="Y2422" s="6"/>
      <c r="Z2422" s="6"/>
      <c r="AA2422" s="6" t="s">
        <v>258</v>
      </c>
      <c r="AB2422" s="8"/>
    </row>
    <row r="2423" spans="1:28" s="4" customFormat="1" ht="51.95" customHeight="1">
      <c r="A2423" s="5">
        <v>0</v>
      </c>
      <c r="B2423" s="6" t="s">
        <v>14762</v>
      </c>
      <c r="C2423" s="13">
        <v>2400</v>
      </c>
      <c r="D2423" s="8" t="s">
        <v>14763</v>
      </c>
      <c r="E2423" s="8" t="s">
        <v>14764</v>
      </c>
      <c r="F2423" s="8" t="s">
        <v>14765</v>
      </c>
      <c r="G2423" s="6" t="s">
        <v>52</v>
      </c>
      <c r="H2423" s="6" t="s">
        <v>53</v>
      </c>
      <c r="I2423" s="8" t="s">
        <v>116</v>
      </c>
      <c r="J2423" s="9">
        <v>1</v>
      </c>
      <c r="K2423" s="9">
        <v>768</v>
      </c>
      <c r="L2423" s="9">
        <v>2024</v>
      </c>
      <c r="M2423" s="8" t="s">
        <v>14766</v>
      </c>
      <c r="N2423" s="8" t="s">
        <v>41</v>
      </c>
      <c r="O2423" s="8" t="s">
        <v>1204</v>
      </c>
      <c r="P2423" s="6" t="s">
        <v>167</v>
      </c>
      <c r="Q2423" s="8" t="s">
        <v>58</v>
      </c>
      <c r="R2423" s="10" t="s">
        <v>14767</v>
      </c>
      <c r="S2423" s="11" t="s">
        <v>14768</v>
      </c>
      <c r="T2423" s="6"/>
      <c r="U2423" s="24" t="str">
        <f>HYPERLINK("https://media.infra-m.ru/2078/2078369/cover/2078369.jpg", "Обложка")</f>
        <v>Обложка</v>
      </c>
      <c r="V2423" s="24" t="str">
        <f>HYPERLINK("https://znanium.ru/catalog/product/2078369", "Ознакомиться")</f>
        <v>Ознакомиться</v>
      </c>
      <c r="W2423" s="8" t="s">
        <v>14769</v>
      </c>
      <c r="X2423" s="6"/>
      <c r="Y2423" s="6"/>
      <c r="Z2423" s="6"/>
      <c r="AA2423" s="6" t="s">
        <v>614</v>
      </c>
      <c r="AB2423" s="8"/>
    </row>
    <row r="2424" spans="1:28" s="4" customFormat="1" ht="44.1" customHeight="1">
      <c r="A2424" s="5">
        <v>0</v>
      </c>
      <c r="B2424" s="6" t="s">
        <v>14770</v>
      </c>
      <c r="C2424" s="13">
        <v>1364.9</v>
      </c>
      <c r="D2424" s="8" t="s">
        <v>14771</v>
      </c>
      <c r="E2424" s="8" t="s">
        <v>14772</v>
      </c>
      <c r="F2424" s="8" t="s">
        <v>14773</v>
      </c>
      <c r="G2424" s="6" t="s">
        <v>52</v>
      </c>
      <c r="H2424" s="6" t="s">
        <v>649</v>
      </c>
      <c r="I2424" s="8" t="s">
        <v>116</v>
      </c>
      <c r="J2424" s="9">
        <v>1</v>
      </c>
      <c r="K2424" s="9">
        <v>304</v>
      </c>
      <c r="L2424" s="9">
        <v>2023</v>
      </c>
      <c r="M2424" s="8" t="s">
        <v>14774</v>
      </c>
      <c r="N2424" s="8" t="s">
        <v>41</v>
      </c>
      <c r="O2424" s="8" t="s">
        <v>278</v>
      </c>
      <c r="P2424" s="6" t="s">
        <v>167</v>
      </c>
      <c r="Q2424" s="8" t="s">
        <v>44</v>
      </c>
      <c r="R2424" s="10" t="s">
        <v>3378</v>
      </c>
      <c r="S2424" s="11"/>
      <c r="T2424" s="6"/>
      <c r="U2424" s="24" t="str">
        <f>HYPERLINK("https://media.infra-m.ru/1981/1981717/cover/1981717.jpg", "Обложка")</f>
        <v>Обложка</v>
      </c>
      <c r="V2424" s="24" t="str">
        <f>HYPERLINK("https://znanium.ru/catalog/product/1234910", "Ознакомиться")</f>
        <v>Ознакомиться</v>
      </c>
      <c r="W2424" s="8" t="s">
        <v>189</v>
      </c>
      <c r="X2424" s="6"/>
      <c r="Y2424" s="6"/>
      <c r="Z2424" s="6"/>
      <c r="AA2424" s="6" t="s">
        <v>47</v>
      </c>
      <c r="AB2424" s="8"/>
    </row>
    <row r="2425" spans="1:28" s="4" customFormat="1" ht="51.95" customHeight="1">
      <c r="A2425" s="5">
        <v>0</v>
      </c>
      <c r="B2425" s="6" t="s">
        <v>14775</v>
      </c>
      <c r="C2425" s="13">
        <v>1040</v>
      </c>
      <c r="D2425" s="8" t="s">
        <v>14776</v>
      </c>
      <c r="E2425" s="8" t="s">
        <v>14772</v>
      </c>
      <c r="F2425" s="8" t="s">
        <v>14777</v>
      </c>
      <c r="G2425" s="6" t="s">
        <v>89</v>
      </c>
      <c r="H2425" s="6" t="s">
        <v>649</v>
      </c>
      <c r="I2425" s="8" t="s">
        <v>100</v>
      </c>
      <c r="J2425" s="9">
        <v>1</v>
      </c>
      <c r="K2425" s="9">
        <v>304</v>
      </c>
      <c r="L2425" s="9">
        <v>2020</v>
      </c>
      <c r="M2425" s="8" t="s">
        <v>14778</v>
      </c>
      <c r="N2425" s="8" t="s">
        <v>41</v>
      </c>
      <c r="O2425" s="8" t="s">
        <v>278</v>
      </c>
      <c r="P2425" s="6" t="s">
        <v>167</v>
      </c>
      <c r="Q2425" s="8" t="s">
        <v>102</v>
      </c>
      <c r="R2425" s="10" t="s">
        <v>14779</v>
      </c>
      <c r="S2425" s="11" t="s">
        <v>14780</v>
      </c>
      <c r="T2425" s="6"/>
      <c r="U2425" s="24" t="str">
        <f>HYPERLINK("https://media.infra-m.ru/1077/1077649/cover/1077649.jpg", "Обложка")</f>
        <v>Обложка</v>
      </c>
      <c r="V2425" s="24" t="str">
        <f>HYPERLINK("https://znanium.ru/catalog/product/1077649", "Ознакомиться")</f>
        <v>Ознакомиться</v>
      </c>
      <c r="W2425" s="8" t="s">
        <v>189</v>
      </c>
      <c r="X2425" s="6"/>
      <c r="Y2425" s="6"/>
      <c r="Z2425" s="6" t="s">
        <v>104</v>
      </c>
      <c r="AA2425" s="6" t="s">
        <v>151</v>
      </c>
      <c r="AB2425" s="8"/>
    </row>
    <row r="2426" spans="1:28" s="4" customFormat="1" ht="51.95" customHeight="1">
      <c r="A2426" s="5">
        <v>0</v>
      </c>
      <c r="B2426" s="6" t="s">
        <v>14781</v>
      </c>
      <c r="C2426" s="13">
        <v>2817</v>
      </c>
      <c r="D2426" s="8" t="s">
        <v>14782</v>
      </c>
      <c r="E2426" s="8" t="s">
        <v>14783</v>
      </c>
      <c r="F2426" s="8" t="s">
        <v>14784</v>
      </c>
      <c r="G2426" s="6" t="s">
        <v>52</v>
      </c>
      <c r="H2426" s="6" t="s">
        <v>649</v>
      </c>
      <c r="I2426" s="8" t="s">
        <v>100</v>
      </c>
      <c r="J2426" s="9">
        <v>1</v>
      </c>
      <c r="K2426" s="9">
        <v>417</v>
      </c>
      <c r="L2426" s="9">
        <v>2025</v>
      </c>
      <c r="M2426" s="8" t="s">
        <v>14785</v>
      </c>
      <c r="N2426" s="8" t="s">
        <v>79</v>
      </c>
      <c r="O2426" s="8" t="s">
        <v>570</v>
      </c>
      <c r="P2426" s="6" t="s">
        <v>43</v>
      </c>
      <c r="Q2426" s="8" t="s">
        <v>102</v>
      </c>
      <c r="R2426" s="10" t="s">
        <v>6520</v>
      </c>
      <c r="S2426" s="11" t="s">
        <v>14786</v>
      </c>
      <c r="T2426" s="6"/>
      <c r="U2426" s="24" t="str">
        <f>HYPERLINK("https://media.infra-m.ru/2199/2199963/cover/2199963.jpg", "Обложка")</f>
        <v>Обложка</v>
      </c>
      <c r="V2426" s="24" t="str">
        <f>HYPERLINK("https://znanium.ru/catalog/product/2079931", "Ознакомиться")</f>
        <v>Ознакомиться</v>
      </c>
      <c r="W2426" s="8" t="s">
        <v>10910</v>
      </c>
      <c r="X2426" s="6"/>
      <c r="Y2426" s="6"/>
      <c r="Z2426" s="6" t="s">
        <v>104</v>
      </c>
      <c r="AA2426" s="6" t="s">
        <v>151</v>
      </c>
      <c r="AB2426" s="8"/>
    </row>
    <row r="2427" spans="1:28" s="4" customFormat="1" ht="51.95" customHeight="1">
      <c r="A2427" s="5">
        <v>0</v>
      </c>
      <c r="B2427" s="6" t="s">
        <v>14787</v>
      </c>
      <c r="C2427" s="13">
        <v>2432</v>
      </c>
      <c r="D2427" s="8" t="s">
        <v>14788</v>
      </c>
      <c r="E2427" s="8" t="s">
        <v>14783</v>
      </c>
      <c r="F2427" s="8" t="s">
        <v>14789</v>
      </c>
      <c r="G2427" s="6" t="s">
        <v>89</v>
      </c>
      <c r="H2427" s="6" t="s">
        <v>649</v>
      </c>
      <c r="I2427" s="8" t="s">
        <v>90</v>
      </c>
      <c r="J2427" s="9">
        <v>1</v>
      </c>
      <c r="K2427" s="9">
        <v>417</v>
      </c>
      <c r="L2427" s="9">
        <v>2023</v>
      </c>
      <c r="M2427" s="8" t="s">
        <v>14790</v>
      </c>
      <c r="N2427" s="8" t="s">
        <v>79</v>
      </c>
      <c r="O2427" s="8" t="s">
        <v>570</v>
      </c>
      <c r="P2427" s="6" t="s">
        <v>43</v>
      </c>
      <c r="Q2427" s="8" t="s">
        <v>44</v>
      </c>
      <c r="R2427" s="10" t="s">
        <v>14791</v>
      </c>
      <c r="S2427" s="11" t="s">
        <v>14792</v>
      </c>
      <c r="T2427" s="6"/>
      <c r="U2427" s="24" t="str">
        <f>HYPERLINK("https://media.infra-m.ru/1978/1978088/cover/1978088.jpg", "Обложка")</f>
        <v>Обложка</v>
      </c>
      <c r="V2427" s="24" t="str">
        <f>HYPERLINK("https://znanium.ru/catalog/product/1978088", "Ознакомиться")</f>
        <v>Ознакомиться</v>
      </c>
      <c r="W2427" s="8" t="s">
        <v>10910</v>
      </c>
      <c r="X2427" s="6"/>
      <c r="Y2427" s="6"/>
      <c r="Z2427" s="6"/>
      <c r="AA2427" s="6" t="s">
        <v>84</v>
      </c>
      <c r="AB2427" s="8"/>
    </row>
    <row r="2428" spans="1:28" s="4" customFormat="1" ht="51.95" customHeight="1">
      <c r="A2428" s="5">
        <v>0</v>
      </c>
      <c r="B2428" s="6" t="s">
        <v>14793</v>
      </c>
      <c r="C2428" s="7">
        <v>494.9</v>
      </c>
      <c r="D2428" s="8" t="s">
        <v>14794</v>
      </c>
      <c r="E2428" s="8" t="s">
        <v>14795</v>
      </c>
      <c r="F2428" s="8" t="s">
        <v>14596</v>
      </c>
      <c r="G2428" s="6" t="s">
        <v>38</v>
      </c>
      <c r="H2428" s="6" t="s">
        <v>66</v>
      </c>
      <c r="I2428" s="8" t="s">
        <v>116</v>
      </c>
      <c r="J2428" s="9">
        <v>24</v>
      </c>
      <c r="K2428" s="9">
        <v>184</v>
      </c>
      <c r="L2428" s="9">
        <v>2017</v>
      </c>
      <c r="M2428" s="8" t="s">
        <v>14796</v>
      </c>
      <c r="N2428" s="8" t="s">
        <v>41</v>
      </c>
      <c r="O2428" s="8" t="s">
        <v>118</v>
      </c>
      <c r="P2428" s="6" t="s">
        <v>43</v>
      </c>
      <c r="Q2428" s="8" t="s">
        <v>44</v>
      </c>
      <c r="R2428" s="10" t="s">
        <v>14598</v>
      </c>
      <c r="S2428" s="11"/>
      <c r="T2428" s="6"/>
      <c r="U2428" s="24" t="str">
        <f>HYPERLINK("https://media.infra-m.ru/0558/0558416/cover/558416.jpg", "Обложка")</f>
        <v>Обложка</v>
      </c>
      <c r="V2428" s="24" t="str">
        <f>HYPERLINK("https://znanium.ru/catalog/product/2079634", "Ознакомиться")</f>
        <v>Ознакомиться</v>
      </c>
      <c r="W2428" s="8" t="s">
        <v>83</v>
      </c>
      <c r="X2428" s="6"/>
      <c r="Y2428" s="6"/>
      <c r="Z2428" s="6"/>
      <c r="AA2428" s="6" t="s">
        <v>72</v>
      </c>
      <c r="AB2428" s="8"/>
    </row>
    <row r="2429" spans="1:28" s="4" customFormat="1" ht="51.95" customHeight="1">
      <c r="A2429" s="5">
        <v>0</v>
      </c>
      <c r="B2429" s="6" t="s">
        <v>14797</v>
      </c>
      <c r="C2429" s="13">
        <v>2180</v>
      </c>
      <c r="D2429" s="8" t="s">
        <v>14798</v>
      </c>
      <c r="E2429" s="8" t="s">
        <v>14799</v>
      </c>
      <c r="F2429" s="8" t="s">
        <v>14800</v>
      </c>
      <c r="G2429" s="6" t="s">
        <v>52</v>
      </c>
      <c r="H2429" s="6" t="s">
        <v>53</v>
      </c>
      <c r="I2429" s="8" t="s">
        <v>116</v>
      </c>
      <c r="J2429" s="9">
        <v>1</v>
      </c>
      <c r="K2429" s="9">
        <v>474</v>
      </c>
      <c r="L2429" s="9">
        <v>2024</v>
      </c>
      <c r="M2429" s="8" t="s">
        <v>14801</v>
      </c>
      <c r="N2429" s="8" t="s">
        <v>413</v>
      </c>
      <c r="O2429" s="8" t="s">
        <v>414</v>
      </c>
      <c r="P2429" s="6" t="s">
        <v>167</v>
      </c>
      <c r="Q2429" s="8" t="s">
        <v>58</v>
      </c>
      <c r="R2429" s="10" t="s">
        <v>14802</v>
      </c>
      <c r="S2429" s="11" t="s">
        <v>14803</v>
      </c>
      <c r="T2429" s="6" t="s">
        <v>299</v>
      </c>
      <c r="U2429" s="24" t="str">
        <f>HYPERLINK("https://media.infra-m.ru/2126/2126610/cover/2126610.jpg", "Обложка")</f>
        <v>Обложка</v>
      </c>
      <c r="V2429" s="24" t="str">
        <f>HYPERLINK("https://znanium.ru/catalog/product/2126610", "Ознакомиться")</f>
        <v>Ознакомиться</v>
      </c>
      <c r="W2429" s="8" t="s">
        <v>3282</v>
      </c>
      <c r="X2429" s="6"/>
      <c r="Y2429" s="6"/>
      <c r="Z2429" s="6"/>
      <c r="AA2429" s="6" t="s">
        <v>258</v>
      </c>
      <c r="AB2429" s="8"/>
    </row>
    <row r="2430" spans="1:28" s="4" customFormat="1" ht="51.95" customHeight="1">
      <c r="A2430" s="5">
        <v>0</v>
      </c>
      <c r="B2430" s="6" t="s">
        <v>14804</v>
      </c>
      <c r="C2430" s="13">
        <v>2897</v>
      </c>
      <c r="D2430" s="8" t="s">
        <v>14805</v>
      </c>
      <c r="E2430" s="8" t="s">
        <v>14806</v>
      </c>
      <c r="F2430" s="8" t="s">
        <v>14807</v>
      </c>
      <c r="G2430" s="6" t="s">
        <v>52</v>
      </c>
      <c r="H2430" s="6" t="s">
        <v>952</v>
      </c>
      <c r="I2430" s="8" t="s">
        <v>1171</v>
      </c>
      <c r="J2430" s="9">
        <v>1</v>
      </c>
      <c r="K2430" s="9">
        <v>512</v>
      </c>
      <c r="L2430" s="9">
        <v>2025</v>
      </c>
      <c r="M2430" s="8" t="s">
        <v>14808</v>
      </c>
      <c r="N2430" s="8" t="s">
        <v>413</v>
      </c>
      <c r="O2430" s="8" t="s">
        <v>1141</v>
      </c>
      <c r="P2430" s="6" t="s">
        <v>167</v>
      </c>
      <c r="Q2430" s="8" t="s">
        <v>44</v>
      </c>
      <c r="R2430" s="10" t="s">
        <v>14809</v>
      </c>
      <c r="S2430" s="11" t="s">
        <v>14810</v>
      </c>
      <c r="T2430" s="6"/>
      <c r="U2430" s="24" t="str">
        <f>HYPERLINK("https://media.infra-m.ru/2141/2141345/cover/2141345.jpg", "Обложка")</f>
        <v>Обложка</v>
      </c>
      <c r="V2430" s="24" t="str">
        <f>HYPERLINK("https://znanium.ru/catalog/product/1840468", "Ознакомиться")</f>
        <v>Ознакомиться</v>
      </c>
      <c r="W2430" s="8" t="s">
        <v>7926</v>
      </c>
      <c r="X2430" s="6"/>
      <c r="Y2430" s="6"/>
      <c r="Z2430" s="6"/>
      <c r="AA2430" s="6" t="s">
        <v>622</v>
      </c>
      <c r="AB2430" s="8"/>
    </row>
    <row r="2431" spans="1:28" s="4" customFormat="1" ht="51.95" customHeight="1">
      <c r="A2431" s="5">
        <v>0</v>
      </c>
      <c r="B2431" s="6" t="s">
        <v>14811</v>
      </c>
      <c r="C2431" s="13">
        <v>1724</v>
      </c>
      <c r="D2431" s="8" t="s">
        <v>14812</v>
      </c>
      <c r="E2431" s="8" t="s">
        <v>14813</v>
      </c>
      <c r="F2431" s="8" t="s">
        <v>9617</v>
      </c>
      <c r="G2431" s="6" t="s">
        <v>89</v>
      </c>
      <c r="H2431" s="6" t="s">
        <v>53</v>
      </c>
      <c r="I2431" s="8" t="s">
        <v>90</v>
      </c>
      <c r="J2431" s="9">
        <v>1</v>
      </c>
      <c r="K2431" s="9">
        <v>344</v>
      </c>
      <c r="L2431" s="9">
        <v>2025</v>
      </c>
      <c r="M2431" s="8" t="s">
        <v>14814</v>
      </c>
      <c r="N2431" s="8" t="s">
        <v>41</v>
      </c>
      <c r="O2431" s="8" t="s">
        <v>1007</v>
      </c>
      <c r="P2431" s="6" t="s">
        <v>43</v>
      </c>
      <c r="Q2431" s="8" t="s">
        <v>44</v>
      </c>
      <c r="R2431" s="10" t="s">
        <v>1231</v>
      </c>
      <c r="S2431" s="11" t="s">
        <v>14815</v>
      </c>
      <c r="T2431" s="6"/>
      <c r="U2431" s="24" t="str">
        <f>HYPERLINK("https://media.infra-m.ru/2185/2185909/cover/2185909.jpg", "Обложка")</f>
        <v>Обложка</v>
      </c>
      <c r="V2431" s="24" t="str">
        <f>HYPERLINK("https://znanium.ru/catalog/product/1913850", "Ознакомиться")</f>
        <v>Ознакомиться</v>
      </c>
      <c r="W2431" s="8" t="s">
        <v>947</v>
      </c>
      <c r="X2431" s="6"/>
      <c r="Y2431" s="6"/>
      <c r="Z2431" s="6"/>
      <c r="AA2431" s="6" t="s">
        <v>377</v>
      </c>
      <c r="AB2431" s="8"/>
    </row>
    <row r="2432" spans="1:28" s="4" customFormat="1" ht="51.95" customHeight="1">
      <c r="A2432" s="5">
        <v>0</v>
      </c>
      <c r="B2432" s="6" t="s">
        <v>14816</v>
      </c>
      <c r="C2432" s="7">
        <v>770</v>
      </c>
      <c r="D2432" s="8" t="s">
        <v>14817</v>
      </c>
      <c r="E2432" s="8" t="s">
        <v>14818</v>
      </c>
      <c r="F2432" s="8" t="s">
        <v>14819</v>
      </c>
      <c r="G2432" s="6" t="s">
        <v>89</v>
      </c>
      <c r="H2432" s="6" t="s">
        <v>53</v>
      </c>
      <c r="I2432" s="8" t="s">
        <v>90</v>
      </c>
      <c r="J2432" s="9">
        <v>1</v>
      </c>
      <c r="K2432" s="9">
        <v>166</v>
      </c>
      <c r="L2432" s="9">
        <v>2023</v>
      </c>
      <c r="M2432" s="8" t="s">
        <v>14820</v>
      </c>
      <c r="N2432" s="8" t="s">
        <v>56</v>
      </c>
      <c r="O2432" s="8" t="s">
        <v>57</v>
      </c>
      <c r="P2432" s="6" t="s">
        <v>43</v>
      </c>
      <c r="Q2432" s="8" t="s">
        <v>58</v>
      </c>
      <c r="R2432" s="10" t="s">
        <v>14821</v>
      </c>
      <c r="S2432" s="11" t="s">
        <v>14822</v>
      </c>
      <c r="T2432" s="6"/>
      <c r="U2432" s="24" t="str">
        <f>HYPERLINK("https://media.infra-m.ru/2111/2111335/cover/2111335.jpg", "Обложка")</f>
        <v>Обложка</v>
      </c>
      <c r="V2432" s="24" t="str">
        <f>HYPERLINK("https://znanium.ru/catalog/product/2111335", "Ознакомиться")</f>
        <v>Ознакомиться</v>
      </c>
      <c r="W2432" s="8" t="s">
        <v>3577</v>
      </c>
      <c r="X2432" s="6"/>
      <c r="Y2432" s="6"/>
      <c r="Z2432" s="6"/>
      <c r="AA2432" s="6" t="s">
        <v>258</v>
      </c>
      <c r="AB2432" s="8"/>
    </row>
    <row r="2433" spans="1:28" s="4" customFormat="1" ht="51.95" customHeight="1">
      <c r="A2433" s="5">
        <v>0</v>
      </c>
      <c r="B2433" s="6" t="s">
        <v>14823</v>
      </c>
      <c r="C2433" s="7">
        <v>840</v>
      </c>
      <c r="D2433" s="8" t="s">
        <v>14824</v>
      </c>
      <c r="E2433" s="8" t="s">
        <v>14825</v>
      </c>
      <c r="F2433" s="8" t="s">
        <v>14826</v>
      </c>
      <c r="G2433" s="6" t="s">
        <v>89</v>
      </c>
      <c r="H2433" s="6" t="s">
        <v>77</v>
      </c>
      <c r="I2433" s="8"/>
      <c r="J2433" s="9">
        <v>1</v>
      </c>
      <c r="K2433" s="9">
        <v>168</v>
      </c>
      <c r="L2433" s="9">
        <v>2024</v>
      </c>
      <c r="M2433" s="8" t="s">
        <v>14827</v>
      </c>
      <c r="N2433" s="8" t="s">
        <v>79</v>
      </c>
      <c r="O2433" s="8" t="s">
        <v>80</v>
      </c>
      <c r="P2433" s="6" t="s">
        <v>167</v>
      </c>
      <c r="Q2433" s="8" t="s">
        <v>44</v>
      </c>
      <c r="R2433" s="10" t="s">
        <v>14828</v>
      </c>
      <c r="S2433" s="11"/>
      <c r="T2433" s="6"/>
      <c r="U2433" s="24" t="str">
        <f>HYPERLINK("https://media.infra-m.ru/2122/2122966/cover/2122966.jpg", "Обложка")</f>
        <v>Обложка</v>
      </c>
      <c r="V2433" s="24" t="str">
        <f>HYPERLINK("https://znanium.ru/catalog/product/2122966", "Ознакомиться")</f>
        <v>Ознакомиться</v>
      </c>
      <c r="W2433" s="8" t="s">
        <v>83</v>
      </c>
      <c r="X2433" s="6"/>
      <c r="Y2433" s="6"/>
      <c r="Z2433" s="6"/>
      <c r="AA2433" s="6" t="s">
        <v>418</v>
      </c>
      <c r="AB2433" s="8"/>
    </row>
    <row r="2434" spans="1:28" s="4" customFormat="1" ht="51.95" customHeight="1">
      <c r="A2434" s="5">
        <v>0</v>
      </c>
      <c r="B2434" s="6" t="s">
        <v>14829</v>
      </c>
      <c r="C2434" s="13">
        <v>1584</v>
      </c>
      <c r="D2434" s="8" t="s">
        <v>14830</v>
      </c>
      <c r="E2434" s="8" t="s">
        <v>14831</v>
      </c>
      <c r="F2434" s="8" t="s">
        <v>14832</v>
      </c>
      <c r="G2434" s="6" t="s">
        <v>52</v>
      </c>
      <c r="H2434" s="6" t="s">
        <v>438</v>
      </c>
      <c r="I2434" s="8"/>
      <c r="J2434" s="9">
        <v>1</v>
      </c>
      <c r="K2434" s="9">
        <v>352</v>
      </c>
      <c r="L2434" s="9">
        <v>2023</v>
      </c>
      <c r="M2434" s="8" t="s">
        <v>14833</v>
      </c>
      <c r="N2434" s="8" t="s">
        <v>413</v>
      </c>
      <c r="O2434" s="8" t="s">
        <v>414</v>
      </c>
      <c r="P2434" s="6" t="s">
        <v>43</v>
      </c>
      <c r="Q2434" s="8" t="s">
        <v>44</v>
      </c>
      <c r="R2434" s="10" t="s">
        <v>14834</v>
      </c>
      <c r="S2434" s="11" t="s">
        <v>14835</v>
      </c>
      <c r="T2434" s="6"/>
      <c r="U2434" s="24" t="str">
        <f>HYPERLINK("https://media.infra-m.ru/1981/1981620/cover/1981620.jpg", "Обложка")</f>
        <v>Обложка</v>
      </c>
      <c r="V2434" s="24" t="str">
        <f>HYPERLINK("https://znanium.ru/catalog/product/961823", "Ознакомиться")</f>
        <v>Ознакомиться</v>
      </c>
      <c r="W2434" s="8"/>
      <c r="X2434" s="6"/>
      <c r="Y2434" s="6"/>
      <c r="Z2434" s="6"/>
      <c r="AA2434" s="6" t="s">
        <v>84</v>
      </c>
      <c r="AB2434" s="8"/>
    </row>
    <row r="2435" spans="1:28" s="4" customFormat="1" ht="51.95" customHeight="1">
      <c r="A2435" s="5">
        <v>0</v>
      </c>
      <c r="B2435" s="6" t="s">
        <v>14836</v>
      </c>
      <c r="C2435" s="13">
        <v>1294</v>
      </c>
      <c r="D2435" s="8" t="s">
        <v>14837</v>
      </c>
      <c r="E2435" s="8" t="s">
        <v>14838</v>
      </c>
      <c r="F2435" s="8" t="s">
        <v>14839</v>
      </c>
      <c r="G2435" s="6" t="s">
        <v>89</v>
      </c>
      <c r="H2435" s="6" t="s">
        <v>53</v>
      </c>
      <c r="I2435" s="8" t="s">
        <v>90</v>
      </c>
      <c r="J2435" s="9">
        <v>1</v>
      </c>
      <c r="K2435" s="9">
        <v>259</v>
      </c>
      <c r="L2435" s="9">
        <v>2025</v>
      </c>
      <c r="M2435" s="8" t="s">
        <v>14840</v>
      </c>
      <c r="N2435" s="8" t="s">
        <v>79</v>
      </c>
      <c r="O2435" s="8" t="s">
        <v>396</v>
      </c>
      <c r="P2435" s="6" t="s">
        <v>167</v>
      </c>
      <c r="Q2435" s="8" t="s">
        <v>44</v>
      </c>
      <c r="R2435" s="10" t="s">
        <v>5362</v>
      </c>
      <c r="S2435" s="11" t="s">
        <v>14841</v>
      </c>
      <c r="T2435" s="6" t="s">
        <v>299</v>
      </c>
      <c r="U2435" s="24" t="str">
        <f>HYPERLINK("https://media.infra-m.ru/2161/2161681/cover/2161681.jpg", "Обложка")</f>
        <v>Обложка</v>
      </c>
      <c r="V2435" s="24" t="str">
        <f>HYPERLINK("https://znanium.ru/catalog/product/1229453", "Ознакомиться")</f>
        <v>Ознакомиться</v>
      </c>
      <c r="W2435" s="8" t="s">
        <v>758</v>
      </c>
      <c r="X2435" s="6"/>
      <c r="Y2435" s="6"/>
      <c r="Z2435" s="6"/>
      <c r="AA2435" s="6" t="s">
        <v>418</v>
      </c>
      <c r="AB2435" s="8"/>
    </row>
    <row r="2436" spans="1:28" s="4" customFormat="1" ht="51.95" customHeight="1">
      <c r="A2436" s="5">
        <v>0</v>
      </c>
      <c r="B2436" s="6" t="s">
        <v>14842</v>
      </c>
      <c r="C2436" s="13">
        <v>1270</v>
      </c>
      <c r="D2436" s="8" t="s">
        <v>14843</v>
      </c>
      <c r="E2436" s="8" t="s">
        <v>14844</v>
      </c>
      <c r="F2436" s="8" t="s">
        <v>14845</v>
      </c>
      <c r="G2436" s="6" t="s">
        <v>89</v>
      </c>
      <c r="H2436" s="6" t="s">
        <v>53</v>
      </c>
      <c r="I2436" s="8" t="s">
        <v>90</v>
      </c>
      <c r="J2436" s="9">
        <v>1</v>
      </c>
      <c r="K2436" s="9">
        <v>273</v>
      </c>
      <c r="L2436" s="9">
        <v>2023</v>
      </c>
      <c r="M2436" s="8" t="s">
        <v>14846</v>
      </c>
      <c r="N2436" s="8" t="s">
        <v>79</v>
      </c>
      <c r="O2436" s="8" t="s">
        <v>148</v>
      </c>
      <c r="P2436" s="6" t="s">
        <v>43</v>
      </c>
      <c r="Q2436" s="8" t="s">
        <v>44</v>
      </c>
      <c r="R2436" s="10" t="s">
        <v>14847</v>
      </c>
      <c r="S2436" s="11" t="s">
        <v>14848</v>
      </c>
      <c r="T2436" s="6"/>
      <c r="U2436" s="24" t="str">
        <f>HYPERLINK("https://media.infra-m.ru/2126/2126641/cover/2126641.jpg", "Обложка")</f>
        <v>Обложка</v>
      </c>
      <c r="V2436" s="24" t="str">
        <f>HYPERLINK("https://znanium.ru/catalog/product/2126641", "Ознакомиться")</f>
        <v>Ознакомиться</v>
      </c>
      <c r="W2436" s="8" t="s">
        <v>71</v>
      </c>
      <c r="X2436" s="6"/>
      <c r="Y2436" s="6"/>
      <c r="Z2436" s="6"/>
      <c r="AA2436" s="6" t="s">
        <v>47</v>
      </c>
      <c r="AB2436" s="8"/>
    </row>
    <row r="2437" spans="1:28" s="4" customFormat="1" ht="51.95" customHeight="1">
      <c r="A2437" s="5">
        <v>0</v>
      </c>
      <c r="B2437" s="6" t="s">
        <v>14849</v>
      </c>
      <c r="C2437" s="13">
        <v>1060</v>
      </c>
      <c r="D2437" s="8" t="s">
        <v>14850</v>
      </c>
      <c r="E2437" s="8" t="s">
        <v>14851</v>
      </c>
      <c r="F2437" s="8" t="s">
        <v>14852</v>
      </c>
      <c r="G2437" s="6" t="s">
        <v>89</v>
      </c>
      <c r="H2437" s="6" t="s">
        <v>39</v>
      </c>
      <c r="I2437" s="8" t="s">
        <v>100</v>
      </c>
      <c r="J2437" s="9">
        <v>1</v>
      </c>
      <c r="K2437" s="9">
        <v>224</v>
      </c>
      <c r="L2437" s="9">
        <v>2024</v>
      </c>
      <c r="M2437" s="8" t="s">
        <v>14853</v>
      </c>
      <c r="N2437" s="8" t="s">
        <v>79</v>
      </c>
      <c r="O2437" s="8" t="s">
        <v>148</v>
      </c>
      <c r="P2437" s="6" t="s">
        <v>43</v>
      </c>
      <c r="Q2437" s="8" t="s">
        <v>102</v>
      </c>
      <c r="R2437" s="10" t="s">
        <v>14854</v>
      </c>
      <c r="S2437" s="11" t="s">
        <v>12677</v>
      </c>
      <c r="T2437" s="6"/>
      <c r="U2437" s="24" t="str">
        <f>HYPERLINK("https://media.infra-m.ru/2139/2139099/cover/2139099.jpg", "Обложка")</f>
        <v>Обложка</v>
      </c>
      <c r="V2437" s="24" t="str">
        <f>HYPERLINK("https://znanium.ru/catalog/product/2139099", "Ознакомиться")</f>
        <v>Ознакомиться</v>
      </c>
      <c r="W2437" s="8" t="s">
        <v>83</v>
      </c>
      <c r="X2437" s="6"/>
      <c r="Y2437" s="6"/>
      <c r="Z2437" s="6"/>
      <c r="AA2437" s="6" t="s">
        <v>494</v>
      </c>
      <c r="AB2437" s="8"/>
    </row>
    <row r="2438" spans="1:28" s="4" customFormat="1" ht="51.95" customHeight="1">
      <c r="A2438" s="5">
        <v>0</v>
      </c>
      <c r="B2438" s="6" t="s">
        <v>14855</v>
      </c>
      <c r="C2438" s="13">
        <v>1600</v>
      </c>
      <c r="D2438" s="8" t="s">
        <v>14856</v>
      </c>
      <c r="E2438" s="8" t="s">
        <v>14857</v>
      </c>
      <c r="F2438" s="8" t="s">
        <v>14858</v>
      </c>
      <c r="G2438" s="6" t="s">
        <v>89</v>
      </c>
      <c r="H2438" s="6" t="s">
        <v>53</v>
      </c>
      <c r="I2438" s="8" t="s">
        <v>116</v>
      </c>
      <c r="J2438" s="9">
        <v>1</v>
      </c>
      <c r="K2438" s="9">
        <v>337</v>
      </c>
      <c r="L2438" s="9">
        <v>2024</v>
      </c>
      <c r="M2438" s="8" t="s">
        <v>14859</v>
      </c>
      <c r="N2438" s="8" t="s">
        <v>79</v>
      </c>
      <c r="O2438" s="8" t="s">
        <v>148</v>
      </c>
      <c r="P2438" s="6" t="s">
        <v>167</v>
      </c>
      <c r="Q2438" s="8" t="s">
        <v>58</v>
      </c>
      <c r="R2438" s="10" t="s">
        <v>14860</v>
      </c>
      <c r="S2438" s="11" t="s">
        <v>14861</v>
      </c>
      <c r="T2438" s="6"/>
      <c r="U2438" s="24" t="str">
        <f>HYPERLINK("https://media.infra-m.ru/2074/2074338/cover/2074338.jpg", "Обложка")</f>
        <v>Обложка</v>
      </c>
      <c r="V2438" s="24" t="str">
        <f>HYPERLINK("https://znanium.ru/catalog/product/2074338", "Ознакомиться")</f>
        <v>Ознакомиться</v>
      </c>
      <c r="W2438" s="8" t="s">
        <v>334</v>
      </c>
      <c r="X2438" s="6"/>
      <c r="Y2438" s="6"/>
      <c r="Z2438" s="6"/>
      <c r="AA2438" s="6" t="s">
        <v>122</v>
      </c>
      <c r="AB2438" s="8"/>
    </row>
    <row r="2439" spans="1:28" s="4" customFormat="1" ht="44.1" customHeight="1">
      <c r="A2439" s="5">
        <v>0</v>
      </c>
      <c r="B2439" s="6" t="s">
        <v>14862</v>
      </c>
      <c r="C2439" s="13">
        <v>1660</v>
      </c>
      <c r="D2439" s="8" t="s">
        <v>14863</v>
      </c>
      <c r="E2439" s="8" t="s">
        <v>14864</v>
      </c>
      <c r="F2439" s="8" t="s">
        <v>14865</v>
      </c>
      <c r="G2439" s="6" t="s">
        <v>52</v>
      </c>
      <c r="H2439" s="6" t="s">
        <v>53</v>
      </c>
      <c r="I2439" s="8" t="s">
        <v>212</v>
      </c>
      <c r="J2439" s="9">
        <v>1</v>
      </c>
      <c r="K2439" s="9">
        <v>341</v>
      </c>
      <c r="L2439" s="9">
        <v>2024</v>
      </c>
      <c r="M2439" s="8" t="s">
        <v>14866</v>
      </c>
      <c r="N2439" s="8" t="s">
        <v>79</v>
      </c>
      <c r="O2439" s="8" t="s">
        <v>148</v>
      </c>
      <c r="P2439" s="6" t="s">
        <v>167</v>
      </c>
      <c r="Q2439" s="8" t="s">
        <v>214</v>
      </c>
      <c r="R2439" s="10" t="s">
        <v>14867</v>
      </c>
      <c r="S2439" s="11"/>
      <c r="T2439" s="6"/>
      <c r="U2439" s="24" t="str">
        <f>HYPERLINK("https://media.infra-m.ru/1908/1908972/cover/1908972.jpg", "Обложка")</f>
        <v>Обложка</v>
      </c>
      <c r="V2439" s="24" t="str">
        <f>HYPERLINK("https://znanium.ru/catalog/product/1908972", "Ознакомиться")</f>
        <v>Ознакомиться</v>
      </c>
      <c r="W2439" s="8" t="s">
        <v>12467</v>
      </c>
      <c r="X2439" s="6"/>
      <c r="Y2439" s="6"/>
      <c r="Z2439" s="6"/>
      <c r="AA2439" s="6" t="s">
        <v>133</v>
      </c>
      <c r="AB2439" s="8"/>
    </row>
    <row r="2440" spans="1:28" s="4" customFormat="1" ht="51.95" customHeight="1">
      <c r="A2440" s="5">
        <v>0</v>
      </c>
      <c r="B2440" s="6" t="s">
        <v>14868</v>
      </c>
      <c r="C2440" s="13">
        <v>1374</v>
      </c>
      <c r="D2440" s="8" t="s">
        <v>14869</v>
      </c>
      <c r="E2440" s="8" t="s">
        <v>14870</v>
      </c>
      <c r="F2440" s="8" t="s">
        <v>14871</v>
      </c>
      <c r="G2440" s="6" t="s">
        <v>52</v>
      </c>
      <c r="H2440" s="6" t="s">
        <v>53</v>
      </c>
      <c r="I2440" s="8" t="s">
        <v>100</v>
      </c>
      <c r="J2440" s="9">
        <v>1</v>
      </c>
      <c r="K2440" s="9">
        <v>264</v>
      </c>
      <c r="L2440" s="9">
        <v>2025</v>
      </c>
      <c r="M2440" s="8" t="s">
        <v>14872</v>
      </c>
      <c r="N2440" s="8" t="s">
        <v>79</v>
      </c>
      <c r="O2440" s="8" t="s">
        <v>148</v>
      </c>
      <c r="P2440" s="6" t="s">
        <v>43</v>
      </c>
      <c r="Q2440" s="8" t="s">
        <v>102</v>
      </c>
      <c r="R2440" s="10" t="s">
        <v>14873</v>
      </c>
      <c r="S2440" s="11" t="s">
        <v>14874</v>
      </c>
      <c r="T2440" s="6"/>
      <c r="U2440" s="24" t="str">
        <f>HYPERLINK("https://media.infra-m.ru/2191/2191609/cover/2191609.jpg", "Обложка")</f>
        <v>Обложка</v>
      </c>
      <c r="V2440" s="24" t="str">
        <f>HYPERLINK("https://znanium.ru/catalog/product/1020742", "Ознакомиться")</f>
        <v>Ознакомиться</v>
      </c>
      <c r="W2440" s="8" t="s">
        <v>462</v>
      </c>
      <c r="X2440" s="6"/>
      <c r="Y2440" s="6"/>
      <c r="Z2440" s="6" t="s">
        <v>502</v>
      </c>
      <c r="AA2440" s="6" t="s">
        <v>1374</v>
      </c>
      <c r="AB2440" s="8"/>
    </row>
    <row r="2441" spans="1:28" s="4" customFormat="1" ht="51.95" customHeight="1">
      <c r="A2441" s="5">
        <v>0</v>
      </c>
      <c r="B2441" s="6" t="s">
        <v>14875</v>
      </c>
      <c r="C2441" s="13">
        <v>1220</v>
      </c>
      <c r="D2441" s="8" t="s">
        <v>14876</v>
      </c>
      <c r="E2441" s="8" t="s">
        <v>14870</v>
      </c>
      <c r="F2441" s="8" t="s">
        <v>14871</v>
      </c>
      <c r="G2441" s="6" t="s">
        <v>89</v>
      </c>
      <c r="H2441" s="6" t="s">
        <v>53</v>
      </c>
      <c r="I2441" s="8" t="s">
        <v>116</v>
      </c>
      <c r="J2441" s="9">
        <v>1</v>
      </c>
      <c r="K2441" s="9">
        <v>264</v>
      </c>
      <c r="L2441" s="9">
        <v>2024</v>
      </c>
      <c r="M2441" s="8" t="s">
        <v>14877</v>
      </c>
      <c r="N2441" s="8" t="s">
        <v>79</v>
      </c>
      <c r="O2441" s="8" t="s">
        <v>148</v>
      </c>
      <c r="P2441" s="6" t="s">
        <v>43</v>
      </c>
      <c r="Q2441" s="8" t="s">
        <v>58</v>
      </c>
      <c r="R2441" s="10" t="s">
        <v>13369</v>
      </c>
      <c r="S2441" s="11" t="s">
        <v>14878</v>
      </c>
      <c r="T2441" s="6"/>
      <c r="U2441" s="24" t="str">
        <f>HYPERLINK("https://media.infra-m.ru/2079/2079283/cover/2079283.jpg", "Обложка")</f>
        <v>Обложка</v>
      </c>
      <c r="V2441" s="24" t="str">
        <f>HYPERLINK("https://znanium.ru/catalog/product/2079283", "Ознакомиться")</f>
        <v>Ознакомиться</v>
      </c>
      <c r="W2441" s="8" t="s">
        <v>462</v>
      </c>
      <c r="X2441" s="6"/>
      <c r="Y2441" s="6"/>
      <c r="Z2441" s="6"/>
      <c r="AA2441" s="6" t="s">
        <v>196</v>
      </c>
      <c r="AB2441" s="8"/>
    </row>
    <row r="2442" spans="1:28" s="4" customFormat="1" ht="51.95" customHeight="1">
      <c r="A2442" s="5">
        <v>0</v>
      </c>
      <c r="B2442" s="6" t="s">
        <v>14879</v>
      </c>
      <c r="C2442" s="13">
        <v>1514</v>
      </c>
      <c r="D2442" s="8" t="s">
        <v>14880</v>
      </c>
      <c r="E2442" s="8" t="s">
        <v>14881</v>
      </c>
      <c r="F2442" s="8" t="s">
        <v>14882</v>
      </c>
      <c r="G2442" s="6" t="s">
        <v>89</v>
      </c>
      <c r="H2442" s="6" t="s">
        <v>53</v>
      </c>
      <c r="I2442" s="8" t="s">
        <v>4726</v>
      </c>
      <c r="J2442" s="9">
        <v>1</v>
      </c>
      <c r="K2442" s="9">
        <v>301</v>
      </c>
      <c r="L2442" s="9">
        <v>2025</v>
      </c>
      <c r="M2442" s="8" t="s">
        <v>14883</v>
      </c>
      <c r="N2442" s="8" t="s">
        <v>79</v>
      </c>
      <c r="O2442" s="8" t="s">
        <v>148</v>
      </c>
      <c r="P2442" s="6" t="s">
        <v>167</v>
      </c>
      <c r="Q2442" s="8" t="s">
        <v>58</v>
      </c>
      <c r="R2442" s="10" t="s">
        <v>14884</v>
      </c>
      <c r="S2442" s="11" t="s">
        <v>14885</v>
      </c>
      <c r="T2442" s="6"/>
      <c r="U2442" s="24" t="str">
        <f>HYPERLINK("https://media.infra-m.ru/2187/2187219/cover/2187219.jpg", "Обложка")</f>
        <v>Обложка</v>
      </c>
      <c r="V2442" s="24" t="str">
        <f>HYPERLINK("https://znanium.ru/catalog/product/2013673", "Ознакомиться")</f>
        <v>Ознакомиться</v>
      </c>
      <c r="W2442" s="8"/>
      <c r="X2442" s="6"/>
      <c r="Y2442" s="6"/>
      <c r="Z2442" s="6"/>
      <c r="AA2442" s="6" t="s">
        <v>219</v>
      </c>
      <c r="AB2442" s="8"/>
    </row>
    <row r="2443" spans="1:28" s="4" customFormat="1" ht="51.95" customHeight="1">
      <c r="A2443" s="5">
        <v>0</v>
      </c>
      <c r="B2443" s="6" t="s">
        <v>14886</v>
      </c>
      <c r="C2443" s="13">
        <v>1994</v>
      </c>
      <c r="D2443" s="8" t="s">
        <v>14887</v>
      </c>
      <c r="E2443" s="8" t="s">
        <v>14881</v>
      </c>
      <c r="F2443" s="8" t="s">
        <v>14888</v>
      </c>
      <c r="G2443" s="6" t="s">
        <v>52</v>
      </c>
      <c r="H2443" s="6" t="s">
        <v>53</v>
      </c>
      <c r="I2443" s="8" t="s">
        <v>4726</v>
      </c>
      <c r="J2443" s="9">
        <v>1</v>
      </c>
      <c r="K2443" s="9">
        <v>523</v>
      </c>
      <c r="L2443" s="9">
        <v>2023</v>
      </c>
      <c r="M2443" s="8" t="s">
        <v>14889</v>
      </c>
      <c r="N2443" s="8" t="s">
        <v>79</v>
      </c>
      <c r="O2443" s="8" t="s">
        <v>148</v>
      </c>
      <c r="P2443" s="6" t="s">
        <v>167</v>
      </c>
      <c r="Q2443" s="8" t="s">
        <v>58</v>
      </c>
      <c r="R2443" s="10" t="s">
        <v>14890</v>
      </c>
      <c r="S2443" s="11" t="s">
        <v>14891</v>
      </c>
      <c r="T2443" s="6"/>
      <c r="U2443" s="24" t="str">
        <f>HYPERLINK("https://media.infra-m.ru/1965/1965772/cover/1965772.jpg", "Обложка")</f>
        <v>Обложка</v>
      </c>
      <c r="V2443" s="24" t="str">
        <f>HYPERLINK("https://znanium.ru/catalog/product/1088892", "Ознакомиться")</f>
        <v>Ознакомиться</v>
      </c>
      <c r="W2443" s="8" t="s">
        <v>487</v>
      </c>
      <c r="X2443" s="6"/>
      <c r="Y2443" s="6"/>
      <c r="Z2443" s="6"/>
      <c r="AA2443" s="6" t="s">
        <v>258</v>
      </c>
      <c r="AB2443" s="8"/>
    </row>
    <row r="2444" spans="1:28" s="4" customFormat="1" ht="51.95" customHeight="1">
      <c r="A2444" s="5">
        <v>0</v>
      </c>
      <c r="B2444" s="6" t="s">
        <v>14892</v>
      </c>
      <c r="C2444" s="7">
        <v>880</v>
      </c>
      <c r="D2444" s="8" t="s">
        <v>14893</v>
      </c>
      <c r="E2444" s="8" t="s">
        <v>14851</v>
      </c>
      <c r="F2444" s="8" t="s">
        <v>14894</v>
      </c>
      <c r="G2444" s="6" t="s">
        <v>89</v>
      </c>
      <c r="H2444" s="6" t="s">
        <v>53</v>
      </c>
      <c r="I2444" s="8" t="s">
        <v>90</v>
      </c>
      <c r="J2444" s="9">
        <v>1</v>
      </c>
      <c r="K2444" s="9">
        <v>196</v>
      </c>
      <c r="L2444" s="9">
        <v>2023</v>
      </c>
      <c r="M2444" s="8" t="s">
        <v>14895</v>
      </c>
      <c r="N2444" s="8" t="s">
        <v>79</v>
      </c>
      <c r="O2444" s="8" t="s">
        <v>148</v>
      </c>
      <c r="P2444" s="6" t="s">
        <v>43</v>
      </c>
      <c r="Q2444" s="8" t="s">
        <v>44</v>
      </c>
      <c r="R2444" s="10" t="s">
        <v>14896</v>
      </c>
      <c r="S2444" s="11" t="s">
        <v>14897</v>
      </c>
      <c r="T2444" s="6"/>
      <c r="U2444" s="24" t="str">
        <f>HYPERLINK("https://media.infra-m.ru/1983/1983263/cover/1983263.jpg", "Обложка")</f>
        <v>Обложка</v>
      </c>
      <c r="V2444" s="24" t="str">
        <f>HYPERLINK("https://znanium.ru/catalog/product/1983263", "Ознакомиться")</f>
        <v>Ознакомиться</v>
      </c>
      <c r="W2444" s="8" t="s">
        <v>14898</v>
      </c>
      <c r="X2444" s="6"/>
      <c r="Y2444" s="6"/>
      <c r="Z2444" s="6"/>
      <c r="AA2444" s="6" t="s">
        <v>326</v>
      </c>
      <c r="AB2444" s="8"/>
    </row>
    <row r="2445" spans="1:28" s="4" customFormat="1" ht="42" customHeight="1">
      <c r="A2445" s="5">
        <v>0</v>
      </c>
      <c r="B2445" s="6" t="s">
        <v>14899</v>
      </c>
      <c r="C2445" s="13">
        <v>1630</v>
      </c>
      <c r="D2445" s="8" t="s">
        <v>14900</v>
      </c>
      <c r="E2445" s="8" t="s">
        <v>14901</v>
      </c>
      <c r="F2445" s="8" t="s">
        <v>14902</v>
      </c>
      <c r="G2445" s="6" t="s">
        <v>89</v>
      </c>
      <c r="H2445" s="6" t="s">
        <v>438</v>
      </c>
      <c r="I2445" s="8" t="s">
        <v>100</v>
      </c>
      <c r="J2445" s="9">
        <v>1</v>
      </c>
      <c r="K2445" s="9">
        <v>312</v>
      </c>
      <c r="L2445" s="9">
        <v>2025</v>
      </c>
      <c r="M2445" s="8" t="s">
        <v>14903</v>
      </c>
      <c r="N2445" s="8" t="s">
        <v>79</v>
      </c>
      <c r="O2445" s="8" t="s">
        <v>148</v>
      </c>
      <c r="P2445" s="6" t="s">
        <v>167</v>
      </c>
      <c r="Q2445" s="8" t="s">
        <v>102</v>
      </c>
      <c r="R2445" s="10" t="s">
        <v>14904</v>
      </c>
      <c r="S2445" s="11"/>
      <c r="T2445" s="6"/>
      <c r="U2445" s="24" t="str">
        <f>HYPERLINK("https://media.infra-m.ru/2164/2164371/cover/2164371.jpg", "Обложка")</f>
        <v>Обложка</v>
      </c>
      <c r="V2445" s="24" t="str">
        <f>HYPERLINK("https://znanium.ru/catalog/product/2164371", "Ознакомиться")</f>
        <v>Ознакомиться</v>
      </c>
      <c r="W2445" s="8" t="s">
        <v>1514</v>
      </c>
      <c r="X2445" s="6"/>
      <c r="Y2445" s="6"/>
      <c r="Z2445" s="6"/>
      <c r="AA2445" s="6" t="s">
        <v>442</v>
      </c>
      <c r="AB2445" s="8"/>
    </row>
    <row r="2446" spans="1:28" s="4" customFormat="1" ht="51.95" customHeight="1">
      <c r="A2446" s="5">
        <v>0</v>
      </c>
      <c r="B2446" s="6" t="s">
        <v>14905</v>
      </c>
      <c r="C2446" s="13">
        <v>2580</v>
      </c>
      <c r="D2446" s="8" t="s">
        <v>14906</v>
      </c>
      <c r="E2446" s="8" t="s">
        <v>14907</v>
      </c>
      <c r="F2446" s="8" t="s">
        <v>14908</v>
      </c>
      <c r="G2446" s="6" t="s">
        <v>52</v>
      </c>
      <c r="H2446" s="6" t="s">
        <v>39</v>
      </c>
      <c r="I2446" s="8" t="s">
        <v>116</v>
      </c>
      <c r="J2446" s="9">
        <v>1</v>
      </c>
      <c r="K2446" s="9">
        <v>432</v>
      </c>
      <c r="L2446" s="9">
        <v>2024</v>
      </c>
      <c r="M2446" s="8" t="s">
        <v>14909</v>
      </c>
      <c r="N2446" s="8" t="s">
        <v>79</v>
      </c>
      <c r="O2446" s="8" t="s">
        <v>148</v>
      </c>
      <c r="P2446" s="6" t="s">
        <v>167</v>
      </c>
      <c r="Q2446" s="8" t="s">
        <v>44</v>
      </c>
      <c r="R2446" s="10" t="s">
        <v>14910</v>
      </c>
      <c r="S2446" s="11"/>
      <c r="T2446" s="6"/>
      <c r="U2446" s="24" t="str">
        <f>HYPERLINK("https://media.infra-m.ru/0987/0987721/cover/987721.jpg", "Обложка")</f>
        <v>Обложка</v>
      </c>
      <c r="V2446" s="24" t="str">
        <f>HYPERLINK("https://znanium.ru/catalog/product/987721", "Ознакомиться")</f>
        <v>Ознакомиться</v>
      </c>
      <c r="W2446" s="8" t="s">
        <v>450</v>
      </c>
      <c r="X2446" s="6"/>
      <c r="Y2446" s="6"/>
      <c r="Z2446" s="6"/>
      <c r="AA2446" s="6" t="s">
        <v>494</v>
      </c>
      <c r="AB2446" s="8"/>
    </row>
    <row r="2447" spans="1:28" s="4" customFormat="1" ht="42" customHeight="1">
      <c r="A2447" s="5">
        <v>0</v>
      </c>
      <c r="B2447" s="6" t="s">
        <v>14911</v>
      </c>
      <c r="C2447" s="13">
        <v>1670</v>
      </c>
      <c r="D2447" s="8" t="s">
        <v>14912</v>
      </c>
      <c r="E2447" s="8" t="s">
        <v>14907</v>
      </c>
      <c r="F2447" s="8" t="s">
        <v>1439</v>
      </c>
      <c r="G2447" s="6" t="s">
        <v>52</v>
      </c>
      <c r="H2447" s="6" t="s">
        <v>53</v>
      </c>
      <c r="I2447" s="8" t="s">
        <v>116</v>
      </c>
      <c r="J2447" s="9">
        <v>1</v>
      </c>
      <c r="K2447" s="9">
        <v>363</v>
      </c>
      <c r="L2447" s="9">
        <v>2023</v>
      </c>
      <c r="M2447" s="8" t="s">
        <v>14913</v>
      </c>
      <c r="N2447" s="8" t="s">
        <v>79</v>
      </c>
      <c r="O2447" s="8" t="s">
        <v>148</v>
      </c>
      <c r="P2447" s="6" t="s">
        <v>167</v>
      </c>
      <c r="Q2447" s="8" t="s">
        <v>58</v>
      </c>
      <c r="R2447" s="10" t="s">
        <v>14914</v>
      </c>
      <c r="S2447" s="11"/>
      <c r="T2447" s="6"/>
      <c r="U2447" s="24" t="str">
        <f>HYPERLINK("https://media.infra-m.ru/1243/1243101/cover/1243101.jpg", "Обложка")</f>
        <v>Обложка</v>
      </c>
      <c r="V2447" s="24" t="str">
        <f>HYPERLINK("https://znanium.ru/catalog/product/1243101", "Ознакомиться")</f>
        <v>Ознакомиться</v>
      </c>
      <c r="W2447" s="8" t="s">
        <v>83</v>
      </c>
      <c r="X2447" s="6"/>
      <c r="Y2447" s="6"/>
      <c r="Z2447" s="6" t="s">
        <v>2627</v>
      </c>
      <c r="AA2447" s="6" t="s">
        <v>813</v>
      </c>
      <c r="AB2447" s="8"/>
    </row>
    <row r="2448" spans="1:28" s="4" customFormat="1" ht="51.95" customHeight="1">
      <c r="A2448" s="5">
        <v>0</v>
      </c>
      <c r="B2448" s="6" t="s">
        <v>14915</v>
      </c>
      <c r="C2448" s="13">
        <v>1770</v>
      </c>
      <c r="D2448" s="8" t="s">
        <v>14916</v>
      </c>
      <c r="E2448" s="8" t="s">
        <v>14907</v>
      </c>
      <c r="F2448" s="8" t="s">
        <v>1439</v>
      </c>
      <c r="G2448" s="6" t="s">
        <v>89</v>
      </c>
      <c r="H2448" s="6" t="s">
        <v>53</v>
      </c>
      <c r="I2448" s="8" t="s">
        <v>100</v>
      </c>
      <c r="J2448" s="9">
        <v>1</v>
      </c>
      <c r="K2448" s="9">
        <v>363</v>
      </c>
      <c r="L2448" s="9">
        <v>2023</v>
      </c>
      <c r="M2448" s="8" t="s">
        <v>14917</v>
      </c>
      <c r="N2448" s="8" t="s">
        <v>79</v>
      </c>
      <c r="O2448" s="8" t="s">
        <v>148</v>
      </c>
      <c r="P2448" s="6" t="s">
        <v>167</v>
      </c>
      <c r="Q2448" s="8" t="s">
        <v>102</v>
      </c>
      <c r="R2448" s="10" t="s">
        <v>14918</v>
      </c>
      <c r="S2448" s="11" t="s">
        <v>242</v>
      </c>
      <c r="T2448" s="6"/>
      <c r="U2448" s="24" t="str">
        <f>HYPERLINK("https://media.infra-m.ru/1239/1239425/cover/1239425.jpg", "Обложка")</f>
        <v>Обложка</v>
      </c>
      <c r="V2448" s="24" t="str">
        <f>HYPERLINK("https://znanium.ru/catalog/product/2037420", "Ознакомиться")</f>
        <v>Ознакомиться</v>
      </c>
      <c r="W2448" s="8" t="s">
        <v>83</v>
      </c>
      <c r="X2448" s="6"/>
      <c r="Y2448" s="6"/>
      <c r="Z2448" s="6"/>
      <c r="AA2448" s="6" t="s">
        <v>813</v>
      </c>
      <c r="AB2448" s="8"/>
    </row>
    <row r="2449" spans="1:28" s="4" customFormat="1" ht="51.95" customHeight="1">
      <c r="A2449" s="5">
        <v>0</v>
      </c>
      <c r="B2449" s="6" t="s">
        <v>14919</v>
      </c>
      <c r="C2449" s="13">
        <v>1870</v>
      </c>
      <c r="D2449" s="8" t="s">
        <v>14920</v>
      </c>
      <c r="E2449" s="8" t="s">
        <v>14921</v>
      </c>
      <c r="F2449" s="8" t="s">
        <v>14922</v>
      </c>
      <c r="G2449" s="6" t="s">
        <v>52</v>
      </c>
      <c r="H2449" s="6" t="s">
        <v>53</v>
      </c>
      <c r="I2449" s="8"/>
      <c r="J2449" s="9">
        <v>1</v>
      </c>
      <c r="K2449" s="9">
        <v>415</v>
      </c>
      <c r="L2449" s="9">
        <v>2022</v>
      </c>
      <c r="M2449" s="8" t="s">
        <v>14923</v>
      </c>
      <c r="N2449" s="8" t="s">
        <v>79</v>
      </c>
      <c r="O2449" s="8" t="s">
        <v>148</v>
      </c>
      <c r="P2449" s="6" t="s">
        <v>167</v>
      </c>
      <c r="Q2449" s="8" t="s">
        <v>102</v>
      </c>
      <c r="R2449" s="10" t="s">
        <v>14918</v>
      </c>
      <c r="S2449" s="11" t="s">
        <v>242</v>
      </c>
      <c r="T2449" s="6"/>
      <c r="U2449" s="24" t="str">
        <f>HYPERLINK("https://media.infra-m.ru/2037/2037420/cover/2037420.jpg", "Обложка")</f>
        <v>Обложка</v>
      </c>
      <c r="V2449" s="24" t="str">
        <f>HYPERLINK("https://znanium.ru/catalog/product/2037420", "Ознакомиться")</f>
        <v>Ознакомиться</v>
      </c>
      <c r="W2449" s="8" t="s">
        <v>1345</v>
      </c>
      <c r="X2449" s="6"/>
      <c r="Y2449" s="6"/>
      <c r="Z2449" s="6"/>
      <c r="AA2449" s="6" t="s">
        <v>1135</v>
      </c>
      <c r="AB2449" s="8"/>
    </row>
    <row r="2450" spans="1:28" s="4" customFormat="1" ht="51.95" customHeight="1">
      <c r="A2450" s="5">
        <v>0</v>
      </c>
      <c r="B2450" s="6" t="s">
        <v>14924</v>
      </c>
      <c r="C2450" s="7">
        <v>724.9</v>
      </c>
      <c r="D2450" s="8" t="s">
        <v>14925</v>
      </c>
      <c r="E2450" s="8" t="s">
        <v>14926</v>
      </c>
      <c r="F2450" s="8" t="s">
        <v>14927</v>
      </c>
      <c r="G2450" s="6"/>
      <c r="H2450" s="6" t="s">
        <v>39</v>
      </c>
      <c r="I2450" s="8" t="s">
        <v>116</v>
      </c>
      <c r="J2450" s="9">
        <v>10</v>
      </c>
      <c r="K2450" s="9">
        <v>464</v>
      </c>
      <c r="L2450" s="9">
        <v>2015</v>
      </c>
      <c r="M2450" s="8" t="s">
        <v>14928</v>
      </c>
      <c r="N2450" s="8" t="s">
        <v>79</v>
      </c>
      <c r="O2450" s="8" t="s">
        <v>148</v>
      </c>
      <c r="P2450" s="6" t="s">
        <v>167</v>
      </c>
      <c r="Q2450" s="8" t="s">
        <v>44</v>
      </c>
      <c r="R2450" s="10" t="s">
        <v>14929</v>
      </c>
      <c r="S2450" s="11" t="s">
        <v>14930</v>
      </c>
      <c r="T2450" s="6"/>
      <c r="U2450" s="24" t="str">
        <f>HYPERLINK("https://media.infra-m.ru/0502/0502369/cover/502369.jpg", "Обложка")</f>
        <v>Обложка</v>
      </c>
      <c r="V2450" s="24" t="str">
        <f>HYPERLINK("https://znanium.ru/catalog/product/2058775", "Ознакомиться")</f>
        <v>Ознакомиться</v>
      </c>
      <c r="W2450" s="8" t="s">
        <v>450</v>
      </c>
      <c r="X2450" s="6"/>
      <c r="Y2450" s="6"/>
      <c r="Z2450" s="6"/>
      <c r="AA2450" s="6" t="s">
        <v>1461</v>
      </c>
      <c r="AB2450" s="8"/>
    </row>
    <row r="2451" spans="1:28" s="4" customFormat="1" ht="51.95" customHeight="1">
      <c r="A2451" s="5">
        <v>0</v>
      </c>
      <c r="B2451" s="6" t="s">
        <v>14931</v>
      </c>
      <c r="C2451" s="13">
        <v>2400</v>
      </c>
      <c r="D2451" s="8" t="s">
        <v>14932</v>
      </c>
      <c r="E2451" s="8" t="s">
        <v>14933</v>
      </c>
      <c r="F2451" s="8" t="s">
        <v>14934</v>
      </c>
      <c r="G2451" s="6" t="s">
        <v>52</v>
      </c>
      <c r="H2451" s="6" t="s">
        <v>39</v>
      </c>
      <c r="I2451" s="8" t="s">
        <v>116</v>
      </c>
      <c r="J2451" s="9">
        <v>1</v>
      </c>
      <c r="K2451" s="9">
        <v>522</v>
      </c>
      <c r="L2451" s="9">
        <v>2024</v>
      </c>
      <c r="M2451" s="8" t="s">
        <v>14935</v>
      </c>
      <c r="N2451" s="8" t="s">
        <v>79</v>
      </c>
      <c r="O2451" s="8" t="s">
        <v>148</v>
      </c>
      <c r="P2451" s="6" t="s">
        <v>167</v>
      </c>
      <c r="Q2451" s="8" t="s">
        <v>44</v>
      </c>
      <c r="R2451" s="10" t="s">
        <v>14929</v>
      </c>
      <c r="S2451" s="11" t="s">
        <v>14936</v>
      </c>
      <c r="T2451" s="6"/>
      <c r="U2451" s="24" t="str">
        <f>HYPERLINK("https://media.infra-m.ru/2058/2058775/cover/2058775.jpg", "Обложка")</f>
        <v>Обложка</v>
      </c>
      <c r="V2451" s="24" t="str">
        <f>HYPERLINK("https://znanium.ru/catalog/product/2058775", "Ознакомиться")</f>
        <v>Ознакомиться</v>
      </c>
      <c r="W2451" s="8" t="s">
        <v>450</v>
      </c>
      <c r="X2451" s="6"/>
      <c r="Y2451" s="6"/>
      <c r="Z2451" s="6"/>
      <c r="AA2451" s="6" t="s">
        <v>707</v>
      </c>
      <c r="AB2451" s="8"/>
    </row>
    <row r="2452" spans="1:28" s="4" customFormat="1" ht="51.95" customHeight="1">
      <c r="A2452" s="5">
        <v>0</v>
      </c>
      <c r="B2452" s="6" t="s">
        <v>14937</v>
      </c>
      <c r="C2452" s="13">
        <v>1930</v>
      </c>
      <c r="D2452" s="8" t="s">
        <v>14938</v>
      </c>
      <c r="E2452" s="8" t="s">
        <v>14939</v>
      </c>
      <c r="F2452" s="8" t="s">
        <v>14940</v>
      </c>
      <c r="G2452" s="6" t="s">
        <v>89</v>
      </c>
      <c r="H2452" s="6" t="s">
        <v>53</v>
      </c>
      <c r="I2452" s="8" t="s">
        <v>90</v>
      </c>
      <c r="J2452" s="9">
        <v>1</v>
      </c>
      <c r="K2452" s="9">
        <v>427</v>
      </c>
      <c r="L2452" s="9">
        <v>2019</v>
      </c>
      <c r="M2452" s="8" t="s">
        <v>14941</v>
      </c>
      <c r="N2452" s="8" t="s">
        <v>79</v>
      </c>
      <c r="O2452" s="8" t="s">
        <v>684</v>
      </c>
      <c r="P2452" s="6" t="s">
        <v>43</v>
      </c>
      <c r="Q2452" s="8" t="s">
        <v>44</v>
      </c>
      <c r="R2452" s="10" t="s">
        <v>13433</v>
      </c>
      <c r="S2452" s="11" t="s">
        <v>14942</v>
      </c>
      <c r="T2452" s="6" t="s">
        <v>299</v>
      </c>
      <c r="U2452" s="24" t="str">
        <f>HYPERLINK("https://media.infra-m.ru/1948/1948226/cover/1948226.jpg", "Обложка")</f>
        <v>Обложка</v>
      </c>
      <c r="V2452" s="24" t="str">
        <f>HYPERLINK("https://znanium.ru/catalog/product/1016393", "Ознакомиться")</f>
        <v>Ознакомиться</v>
      </c>
      <c r="W2452" s="8" t="s">
        <v>637</v>
      </c>
      <c r="X2452" s="6"/>
      <c r="Y2452" s="6"/>
      <c r="Z2452" s="6"/>
      <c r="AA2452" s="6" t="s">
        <v>84</v>
      </c>
      <c r="AB2452" s="8"/>
    </row>
    <row r="2453" spans="1:28" s="4" customFormat="1" ht="51.95" customHeight="1">
      <c r="A2453" s="5">
        <v>0</v>
      </c>
      <c r="B2453" s="6" t="s">
        <v>14943</v>
      </c>
      <c r="C2453" s="7">
        <v>930</v>
      </c>
      <c r="D2453" s="8" t="s">
        <v>14944</v>
      </c>
      <c r="E2453" s="8" t="s">
        <v>14945</v>
      </c>
      <c r="F2453" s="8" t="s">
        <v>14946</v>
      </c>
      <c r="G2453" s="6" t="s">
        <v>89</v>
      </c>
      <c r="H2453" s="6" t="s">
        <v>53</v>
      </c>
      <c r="I2453" s="8" t="s">
        <v>100</v>
      </c>
      <c r="J2453" s="9">
        <v>1</v>
      </c>
      <c r="K2453" s="9">
        <v>208</v>
      </c>
      <c r="L2453" s="9">
        <v>2023</v>
      </c>
      <c r="M2453" s="8" t="s">
        <v>14947</v>
      </c>
      <c r="N2453" s="8" t="s">
        <v>79</v>
      </c>
      <c r="O2453" s="8" t="s">
        <v>684</v>
      </c>
      <c r="P2453" s="6" t="s">
        <v>43</v>
      </c>
      <c r="Q2453" s="8" t="s">
        <v>102</v>
      </c>
      <c r="R2453" s="10" t="s">
        <v>14948</v>
      </c>
      <c r="S2453" s="11" t="s">
        <v>14949</v>
      </c>
      <c r="T2453" s="6"/>
      <c r="U2453" s="24" t="str">
        <f>HYPERLINK("https://media.infra-m.ru/1910/1910858/cover/1910858.jpg", "Обложка")</f>
        <v>Обложка</v>
      </c>
      <c r="V2453" s="24" t="str">
        <f>HYPERLINK("https://znanium.ru/catalog/product/1910858", "Ознакомиться")</f>
        <v>Ознакомиться</v>
      </c>
      <c r="W2453" s="8" t="s">
        <v>637</v>
      </c>
      <c r="X2453" s="6"/>
      <c r="Y2453" s="6"/>
      <c r="Z2453" s="6" t="s">
        <v>104</v>
      </c>
      <c r="AA2453" s="6" t="s">
        <v>151</v>
      </c>
      <c r="AB2453" s="8"/>
    </row>
    <row r="2454" spans="1:28" s="4" customFormat="1" ht="51.95" customHeight="1">
      <c r="A2454" s="5">
        <v>0</v>
      </c>
      <c r="B2454" s="6" t="s">
        <v>14950</v>
      </c>
      <c r="C2454" s="7">
        <v>960</v>
      </c>
      <c r="D2454" s="8" t="s">
        <v>14951</v>
      </c>
      <c r="E2454" s="8" t="s">
        <v>14945</v>
      </c>
      <c r="F2454" s="8" t="s">
        <v>14952</v>
      </c>
      <c r="G2454" s="6" t="s">
        <v>89</v>
      </c>
      <c r="H2454" s="6" t="s">
        <v>53</v>
      </c>
      <c r="I2454" s="8" t="s">
        <v>90</v>
      </c>
      <c r="J2454" s="9">
        <v>1</v>
      </c>
      <c r="K2454" s="9">
        <v>208</v>
      </c>
      <c r="L2454" s="9">
        <v>2023</v>
      </c>
      <c r="M2454" s="8" t="s">
        <v>14953</v>
      </c>
      <c r="N2454" s="8" t="s">
        <v>79</v>
      </c>
      <c r="O2454" s="8" t="s">
        <v>684</v>
      </c>
      <c r="P2454" s="6" t="s">
        <v>43</v>
      </c>
      <c r="Q2454" s="8" t="s">
        <v>44</v>
      </c>
      <c r="R2454" s="10" t="s">
        <v>14954</v>
      </c>
      <c r="S2454" s="11" t="s">
        <v>14955</v>
      </c>
      <c r="T2454" s="6"/>
      <c r="U2454" s="24" t="str">
        <f>HYPERLINK("https://media.infra-m.ru/2125/2125019/cover/2125019.jpg", "Обложка")</f>
        <v>Обложка</v>
      </c>
      <c r="V2454" s="24" t="str">
        <f>HYPERLINK("https://znanium.ru/catalog/product/2125019", "Ознакомиться")</f>
        <v>Ознакомиться</v>
      </c>
      <c r="W2454" s="8" t="s">
        <v>637</v>
      </c>
      <c r="X2454" s="6"/>
      <c r="Y2454" s="6"/>
      <c r="Z2454" s="6"/>
      <c r="AA2454" s="6" t="s">
        <v>418</v>
      </c>
      <c r="AB2454" s="8"/>
    </row>
    <row r="2455" spans="1:28" s="4" customFormat="1" ht="51.95" customHeight="1">
      <c r="A2455" s="5">
        <v>0</v>
      </c>
      <c r="B2455" s="6" t="s">
        <v>14956</v>
      </c>
      <c r="C2455" s="13">
        <v>2744</v>
      </c>
      <c r="D2455" s="8" t="s">
        <v>14957</v>
      </c>
      <c r="E2455" s="8" t="s">
        <v>14958</v>
      </c>
      <c r="F2455" s="8" t="s">
        <v>14959</v>
      </c>
      <c r="G2455" s="6" t="s">
        <v>89</v>
      </c>
      <c r="H2455" s="6" t="s">
        <v>53</v>
      </c>
      <c r="I2455" s="8" t="s">
        <v>90</v>
      </c>
      <c r="J2455" s="9">
        <v>1</v>
      </c>
      <c r="K2455" s="9">
        <v>585</v>
      </c>
      <c r="L2455" s="9">
        <v>2024</v>
      </c>
      <c r="M2455" s="8" t="s">
        <v>14960</v>
      </c>
      <c r="N2455" s="8" t="s">
        <v>79</v>
      </c>
      <c r="O2455" s="8" t="s">
        <v>684</v>
      </c>
      <c r="P2455" s="6" t="s">
        <v>167</v>
      </c>
      <c r="Q2455" s="8" t="s">
        <v>44</v>
      </c>
      <c r="R2455" s="10" t="s">
        <v>1591</v>
      </c>
      <c r="S2455" s="11" t="s">
        <v>14961</v>
      </c>
      <c r="T2455" s="6"/>
      <c r="U2455" s="24" t="str">
        <f>HYPERLINK("https://media.infra-m.ru/2138/2138284/cover/2138284.jpg", "Обложка")</f>
        <v>Обложка</v>
      </c>
      <c r="V2455" s="24" t="str">
        <f>HYPERLINK("https://znanium.ru/catalog/product/1941762", "Ознакомиться")</f>
        <v>Ознакомиться</v>
      </c>
      <c r="W2455" s="8" t="s">
        <v>14962</v>
      </c>
      <c r="X2455" s="6"/>
      <c r="Y2455" s="6"/>
      <c r="Z2455" s="6"/>
      <c r="AA2455" s="6" t="s">
        <v>47</v>
      </c>
      <c r="AB2455" s="8"/>
    </row>
    <row r="2456" spans="1:28" s="4" customFormat="1" ht="51.95" customHeight="1">
      <c r="A2456" s="5">
        <v>0</v>
      </c>
      <c r="B2456" s="6" t="s">
        <v>14963</v>
      </c>
      <c r="C2456" s="13">
        <v>1914</v>
      </c>
      <c r="D2456" s="8" t="s">
        <v>14964</v>
      </c>
      <c r="E2456" s="8" t="s">
        <v>14965</v>
      </c>
      <c r="F2456" s="8" t="s">
        <v>14966</v>
      </c>
      <c r="G2456" s="6" t="s">
        <v>89</v>
      </c>
      <c r="H2456" s="6" t="s">
        <v>53</v>
      </c>
      <c r="I2456" s="8" t="s">
        <v>90</v>
      </c>
      <c r="J2456" s="9">
        <v>1</v>
      </c>
      <c r="K2456" s="9">
        <v>383</v>
      </c>
      <c r="L2456" s="9">
        <v>2025</v>
      </c>
      <c r="M2456" s="8" t="s">
        <v>14967</v>
      </c>
      <c r="N2456" s="8" t="s">
        <v>79</v>
      </c>
      <c r="O2456" s="8" t="s">
        <v>684</v>
      </c>
      <c r="P2456" s="6" t="s">
        <v>167</v>
      </c>
      <c r="Q2456" s="8" t="s">
        <v>44</v>
      </c>
      <c r="R2456" s="10" t="s">
        <v>4062</v>
      </c>
      <c r="S2456" s="11" t="s">
        <v>14968</v>
      </c>
      <c r="T2456" s="6"/>
      <c r="U2456" s="24" t="str">
        <f>HYPERLINK("https://media.infra-m.ru/2180/2180236/cover/2180236.jpg", "Обложка")</f>
        <v>Обложка</v>
      </c>
      <c r="V2456" s="24" t="str">
        <f>HYPERLINK("https://znanium.ru/catalog/product/1920333", "Ознакомиться")</f>
        <v>Ознакомиться</v>
      </c>
      <c r="W2456" s="8" t="s">
        <v>3760</v>
      </c>
      <c r="X2456" s="6"/>
      <c r="Y2456" s="6"/>
      <c r="Z2456" s="6"/>
      <c r="AA2456" s="6" t="s">
        <v>418</v>
      </c>
      <c r="AB2456" s="8"/>
    </row>
    <row r="2457" spans="1:28" s="4" customFormat="1" ht="51.95" customHeight="1">
      <c r="A2457" s="5">
        <v>0</v>
      </c>
      <c r="B2457" s="6" t="s">
        <v>14969</v>
      </c>
      <c r="C2457" s="13">
        <v>1924</v>
      </c>
      <c r="D2457" s="8" t="s">
        <v>14970</v>
      </c>
      <c r="E2457" s="8" t="s">
        <v>14965</v>
      </c>
      <c r="F2457" s="8" t="s">
        <v>14966</v>
      </c>
      <c r="G2457" s="6" t="s">
        <v>89</v>
      </c>
      <c r="H2457" s="6" t="s">
        <v>53</v>
      </c>
      <c r="I2457" s="8" t="s">
        <v>100</v>
      </c>
      <c r="J2457" s="9">
        <v>1</v>
      </c>
      <c r="K2457" s="9">
        <v>383</v>
      </c>
      <c r="L2457" s="9">
        <v>2025</v>
      </c>
      <c r="M2457" s="8" t="s">
        <v>14971</v>
      </c>
      <c r="N2457" s="8" t="s">
        <v>79</v>
      </c>
      <c r="O2457" s="8" t="s">
        <v>684</v>
      </c>
      <c r="P2457" s="6" t="s">
        <v>167</v>
      </c>
      <c r="Q2457" s="8" t="s">
        <v>102</v>
      </c>
      <c r="R2457" s="10" t="s">
        <v>14972</v>
      </c>
      <c r="S2457" s="11" t="s">
        <v>14973</v>
      </c>
      <c r="T2457" s="6"/>
      <c r="U2457" s="24" t="str">
        <f>HYPERLINK("https://media.infra-m.ru/2185/2185215/cover/2185215.jpg", "Обложка")</f>
        <v>Обложка</v>
      </c>
      <c r="V2457" s="24" t="str">
        <f>HYPERLINK("https://znanium.ru/catalog/product/2160648", "Ознакомиться")</f>
        <v>Ознакомиться</v>
      </c>
      <c r="W2457" s="8" t="s">
        <v>3760</v>
      </c>
      <c r="X2457" s="6"/>
      <c r="Y2457" s="6"/>
      <c r="Z2457" s="6" t="s">
        <v>104</v>
      </c>
      <c r="AA2457" s="6" t="s">
        <v>151</v>
      </c>
      <c r="AB2457" s="8"/>
    </row>
    <row r="2458" spans="1:28" s="4" customFormat="1" ht="51.95" customHeight="1">
      <c r="A2458" s="5">
        <v>0</v>
      </c>
      <c r="B2458" s="6" t="s">
        <v>14974</v>
      </c>
      <c r="C2458" s="7">
        <v>504.9</v>
      </c>
      <c r="D2458" s="8" t="s">
        <v>14975</v>
      </c>
      <c r="E2458" s="8" t="s">
        <v>14976</v>
      </c>
      <c r="F2458" s="8" t="s">
        <v>14977</v>
      </c>
      <c r="G2458" s="6" t="s">
        <v>38</v>
      </c>
      <c r="H2458" s="6" t="s">
        <v>39</v>
      </c>
      <c r="I2458" s="8" t="s">
        <v>90</v>
      </c>
      <c r="J2458" s="9">
        <v>1</v>
      </c>
      <c r="K2458" s="9">
        <v>111</v>
      </c>
      <c r="L2458" s="9">
        <v>2023</v>
      </c>
      <c r="M2458" s="8" t="s">
        <v>14978</v>
      </c>
      <c r="N2458" s="8" t="s">
        <v>79</v>
      </c>
      <c r="O2458" s="8" t="s">
        <v>396</v>
      </c>
      <c r="P2458" s="6" t="s">
        <v>43</v>
      </c>
      <c r="Q2458" s="8" t="s">
        <v>44</v>
      </c>
      <c r="R2458" s="10" t="s">
        <v>11473</v>
      </c>
      <c r="S2458" s="11" t="s">
        <v>14423</v>
      </c>
      <c r="T2458" s="6"/>
      <c r="U2458" s="24" t="str">
        <f>HYPERLINK("https://media.infra-m.ru/2044/2044331/cover/2044331.jpg", "Обложка")</f>
        <v>Обложка</v>
      </c>
      <c r="V2458" s="24" t="str">
        <f>HYPERLINK("https://znanium.ru/catalog/product/1010079", "Ознакомиться")</f>
        <v>Ознакомиться</v>
      </c>
      <c r="W2458" s="8" t="s">
        <v>14979</v>
      </c>
      <c r="X2458" s="6"/>
      <c r="Y2458" s="6"/>
      <c r="Z2458" s="6"/>
      <c r="AA2458" s="6" t="s">
        <v>47</v>
      </c>
      <c r="AB2458" s="8"/>
    </row>
    <row r="2459" spans="1:28" s="4" customFormat="1" ht="51.95" customHeight="1">
      <c r="A2459" s="5">
        <v>0</v>
      </c>
      <c r="B2459" s="6" t="s">
        <v>14980</v>
      </c>
      <c r="C2459" s="13">
        <v>1550</v>
      </c>
      <c r="D2459" s="8" t="s">
        <v>14981</v>
      </c>
      <c r="E2459" s="8" t="s">
        <v>14982</v>
      </c>
      <c r="F2459" s="8" t="s">
        <v>14983</v>
      </c>
      <c r="G2459" s="6" t="s">
        <v>89</v>
      </c>
      <c r="H2459" s="6" t="s">
        <v>53</v>
      </c>
      <c r="I2459" s="8" t="s">
        <v>116</v>
      </c>
      <c r="J2459" s="9">
        <v>1</v>
      </c>
      <c r="K2459" s="9">
        <v>336</v>
      </c>
      <c r="L2459" s="9">
        <v>2024</v>
      </c>
      <c r="M2459" s="8" t="s">
        <v>14984</v>
      </c>
      <c r="N2459" s="8" t="s">
        <v>79</v>
      </c>
      <c r="O2459" s="8" t="s">
        <v>424</v>
      </c>
      <c r="P2459" s="6" t="s">
        <v>43</v>
      </c>
      <c r="Q2459" s="8" t="s">
        <v>58</v>
      </c>
      <c r="R2459" s="10" t="s">
        <v>14985</v>
      </c>
      <c r="S2459" s="11" t="s">
        <v>14986</v>
      </c>
      <c r="T2459" s="6"/>
      <c r="U2459" s="24" t="str">
        <f>HYPERLINK("https://media.infra-m.ru/2013/2013693/cover/2013693.jpg", "Обложка")</f>
        <v>Обложка</v>
      </c>
      <c r="V2459" s="24" t="str">
        <f>HYPERLINK("https://znanium.ru/catalog/product/2013693", "Ознакомиться")</f>
        <v>Ознакомиться</v>
      </c>
      <c r="W2459" s="8" t="s">
        <v>14987</v>
      </c>
      <c r="X2459" s="6"/>
      <c r="Y2459" s="6"/>
      <c r="Z2459" s="6"/>
      <c r="AA2459" s="6" t="s">
        <v>160</v>
      </c>
      <c r="AB2459" s="8"/>
    </row>
    <row r="2460" spans="1:28" s="4" customFormat="1" ht="51.95" customHeight="1">
      <c r="A2460" s="5">
        <v>0</v>
      </c>
      <c r="B2460" s="6" t="s">
        <v>14988</v>
      </c>
      <c r="C2460" s="13">
        <v>2990</v>
      </c>
      <c r="D2460" s="8" t="s">
        <v>14989</v>
      </c>
      <c r="E2460" s="8" t="s">
        <v>14990</v>
      </c>
      <c r="F2460" s="8" t="s">
        <v>14991</v>
      </c>
      <c r="G2460" s="6" t="s">
        <v>52</v>
      </c>
      <c r="H2460" s="6" t="s">
        <v>53</v>
      </c>
      <c r="I2460" s="8" t="s">
        <v>116</v>
      </c>
      <c r="J2460" s="9">
        <v>1</v>
      </c>
      <c r="K2460" s="9">
        <v>704</v>
      </c>
      <c r="L2460" s="9">
        <v>2025</v>
      </c>
      <c r="M2460" s="8" t="s">
        <v>14992</v>
      </c>
      <c r="N2460" s="8" t="s">
        <v>79</v>
      </c>
      <c r="O2460" s="8" t="s">
        <v>148</v>
      </c>
      <c r="P2460" s="6" t="s">
        <v>167</v>
      </c>
      <c r="Q2460" s="8" t="s">
        <v>44</v>
      </c>
      <c r="R2460" s="10" t="s">
        <v>14993</v>
      </c>
      <c r="S2460" s="11" t="s">
        <v>14994</v>
      </c>
      <c r="T2460" s="6"/>
      <c r="U2460" s="24" t="str">
        <f>HYPERLINK("https://media.infra-m.ru/2165/2165844/cover/2165844.jpg", "Обложка")</f>
        <v>Обложка</v>
      </c>
      <c r="V2460" s="24" t="str">
        <f>HYPERLINK("https://znanium.ru/catalog/product/2165844", "Ознакомиться")</f>
        <v>Ознакомиться</v>
      </c>
      <c r="W2460" s="8" t="s">
        <v>14995</v>
      </c>
      <c r="X2460" s="6"/>
      <c r="Y2460" s="6"/>
      <c r="Z2460" s="6"/>
      <c r="AA2460" s="6" t="s">
        <v>196</v>
      </c>
      <c r="AB2460" s="8"/>
    </row>
    <row r="2461" spans="1:28" s="4" customFormat="1" ht="51.95" customHeight="1">
      <c r="A2461" s="5">
        <v>0</v>
      </c>
      <c r="B2461" s="6" t="s">
        <v>14996</v>
      </c>
      <c r="C2461" s="13">
        <v>1194.9000000000001</v>
      </c>
      <c r="D2461" s="8" t="s">
        <v>14997</v>
      </c>
      <c r="E2461" s="8" t="s">
        <v>14998</v>
      </c>
      <c r="F2461" s="8" t="s">
        <v>14991</v>
      </c>
      <c r="G2461" s="6" t="s">
        <v>52</v>
      </c>
      <c r="H2461" s="6" t="s">
        <v>53</v>
      </c>
      <c r="I2461" s="8" t="s">
        <v>90</v>
      </c>
      <c r="J2461" s="9">
        <v>1</v>
      </c>
      <c r="K2461" s="9">
        <v>704</v>
      </c>
      <c r="L2461" s="9">
        <v>2017</v>
      </c>
      <c r="M2461" s="8" t="s">
        <v>14999</v>
      </c>
      <c r="N2461" s="8" t="s">
        <v>79</v>
      </c>
      <c r="O2461" s="8" t="s">
        <v>148</v>
      </c>
      <c r="P2461" s="6" t="s">
        <v>167</v>
      </c>
      <c r="Q2461" s="8" t="s">
        <v>44</v>
      </c>
      <c r="R2461" s="10" t="s">
        <v>14993</v>
      </c>
      <c r="S2461" s="11" t="s">
        <v>14994</v>
      </c>
      <c r="T2461" s="6"/>
      <c r="U2461" s="12"/>
      <c r="V2461" s="24" t="str">
        <f>HYPERLINK("https://znanium.ru/catalog/product/2165844", "Ознакомиться")</f>
        <v>Ознакомиться</v>
      </c>
      <c r="W2461" s="8" t="s">
        <v>14995</v>
      </c>
      <c r="X2461" s="6"/>
      <c r="Y2461" s="6"/>
      <c r="Z2461" s="6"/>
      <c r="AA2461" s="6" t="s">
        <v>84</v>
      </c>
      <c r="AB2461" s="8"/>
    </row>
    <row r="2462" spans="1:28" s="4" customFormat="1" ht="51.95" customHeight="1">
      <c r="A2462" s="5">
        <v>0</v>
      </c>
      <c r="B2462" s="6" t="s">
        <v>15000</v>
      </c>
      <c r="C2462" s="7">
        <v>990</v>
      </c>
      <c r="D2462" s="8" t="s">
        <v>15001</v>
      </c>
      <c r="E2462" s="8" t="s">
        <v>15002</v>
      </c>
      <c r="F2462" s="8" t="s">
        <v>15003</v>
      </c>
      <c r="G2462" s="6" t="s">
        <v>89</v>
      </c>
      <c r="H2462" s="6" t="s">
        <v>53</v>
      </c>
      <c r="I2462" s="8" t="s">
        <v>116</v>
      </c>
      <c r="J2462" s="9">
        <v>1</v>
      </c>
      <c r="K2462" s="9">
        <v>216</v>
      </c>
      <c r="L2462" s="9">
        <v>2023</v>
      </c>
      <c r="M2462" s="8" t="s">
        <v>15004</v>
      </c>
      <c r="N2462" s="8" t="s">
        <v>79</v>
      </c>
      <c r="O2462" s="8" t="s">
        <v>424</v>
      </c>
      <c r="P2462" s="6" t="s">
        <v>43</v>
      </c>
      <c r="Q2462" s="8" t="s">
        <v>44</v>
      </c>
      <c r="R2462" s="10" t="s">
        <v>5274</v>
      </c>
      <c r="S2462" s="11" t="s">
        <v>15005</v>
      </c>
      <c r="T2462" s="6"/>
      <c r="U2462" s="24" t="str">
        <f>HYPERLINK("https://media.infra-m.ru/2098/2098531/cover/2098531.jpg", "Обложка")</f>
        <v>Обложка</v>
      </c>
      <c r="V2462" s="24" t="str">
        <f>HYPERLINK("https://znanium.ru/catalog/product/2098531", "Ознакомиться")</f>
        <v>Ознакомиться</v>
      </c>
      <c r="W2462" s="8" t="s">
        <v>15006</v>
      </c>
      <c r="X2462" s="6"/>
      <c r="Y2462" s="6"/>
      <c r="Z2462" s="6"/>
      <c r="AA2462" s="6" t="s">
        <v>160</v>
      </c>
      <c r="AB2462" s="8"/>
    </row>
    <row r="2463" spans="1:28" s="4" customFormat="1" ht="42" customHeight="1">
      <c r="A2463" s="5">
        <v>0</v>
      </c>
      <c r="B2463" s="6" t="s">
        <v>15007</v>
      </c>
      <c r="C2463" s="7">
        <v>720</v>
      </c>
      <c r="D2463" s="8" t="s">
        <v>15008</v>
      </c>
      <c r="E2463" s="8" t="s">
        <v>15009</v>
      </c>
      <c r="F2463" s="8" t="s">
        <v>15010</v>
      </c>
      <c r="G2463" s="6" t="s">
        <v>38</v>
      </c>
      <c r="H2463" s="6" t="s">
        <v>53</v>
      </c>
      <c r="I2463" s="8" t="s">
        <v>1325</v>
      </c>
      <c r="J2463" s="9">
        <v>1</v>
      </c>
      <c r="K2463" s="9">
        <v>170</v>
      </c>
      <c r="L2463" s="9">
        <v>2022</v>
      </c>
      <c r="M2463" s="8" t="s">
        <v>15011</v>
      </c>
      <c r="N2463" s="8" t="s">
        <v>79</v>
      </c>
      <c r="O2463" s="8" t="s">
        <v>570</v>
      </c>
      <c r="P2463" s="6" t="s">
        <v>43</v>
      </c>
      <c r="Q2463" s="8" t="s">
        <v>214</v>
      </c>
      <c r="R2463" s="10" t="s">
        <v>15012</v>
      </c>
      <c r="S2463" s="11"/>
      <c r="T2463" s="6"/>
      <c r="U2463" s="24" t="str">
        <f>HYPERLINK("https://media.infra-m.ru/1864/1864100/cover/1864100.jpg", "Обложка")</f>
        <v>Обложка</v>
      </c>
      <c r="V2463" s="24" t="str">
        <f>HYPERLINK("https://znanium.ru/catalog/product/1864100", "Ознакомиться")</f>
        <v>Ознакомиться</v>
      </c>
      <c r="W2463" s="8" t="s">
        <v>150</v>
      </c>
      <c r="X2463" s="6"/>
      <c r="Y2463" s="6"/>
      <c r="Z2463" s="6"/>
      <c r="AA2463" s="6" t="s">
        <v>219</v>
      </c>
      <c r="AB2463" s="8"/>
    </row>
    <row r="2464" spans="1:28" s="4" customFormat="1" ht="51.95" customHeight="1">
      <c r="A2464" s="5">
        <v>0</v>
      </c>
      <c r="B2464" s="6" t="s">
        <v>15013</v>
      </c>
      <c r="C2464" s="13">
        <v>1574.9</v>
      </c>
      <c r="D2464" s="8" t="s">
        <v>15014</v>
      </c>
      <c r="E2464" s="8" t="s">
        <v>15015</v>
      </c>
      <c r="F2464" s="8" t="s">
        <v>15016</v>
      </c>
      <c r="G2464" s="6" t="s">
        <v>52</v>
      </c>
      <c r="H2464" s="6" t="s">
        <v>53</v>
      </c>
      <c r="I2464" s="8" t="s">
        <v>90</v>
      </c>
      <c r="J2464" s="9">
        <v>1</v>
      </c>
      <c r="K2464" s="9">
        <v>349</v>
      </c>
      <c r="L2464" s="9">
        <v>2023</v>
      </c>
      <c r="M2464" s="8" t="s">
        <v>15017</v>
      </c>
      <c r="N2464" s="8" t="s">
        <v>79</v>
      </c>
      <c r="O2464" s="8" t="s">
        <v>396</v>
      </c>
      <c r="P2464" s="6" t="s">
        <v>43</v>
      </c>
      <c r="Q2464" s="8" t="s">
        <v>44</v>
      </c>
      <c r="R2464" s="10" t="s">
        <v>15018</v>
      </c>
      <c r="S2464" s="11" t="s">
        <v>15019</v>
      </c>
      <c r="T2464" s="6" t="s">
        <v>299</v>
      </c>
      <c r="U2464" s="24" t="str">
        <f>HYPERLINK("https://media.infra-m.ru/1891/1891389/cover/1891389.jpg", "Обложка")</f>
        <v>Обложка</v>
      </c>
      <c r="V2464" s="24" t="str">
        <f>HYPERLINK("https://znanium.ru/catalog/product/1052199", "Ознакомиться")</f>
        <v>Ознакомиться</v>
      </c>
      <c r="W2464" s="8" t="s">
        <v>334</v>
      </c>
      <c r="X2464" s="6"/>
      <c r="Y2464" s="6"/>
      <c r="Z2464" s="6"/>
      <c r="AA2464" s="6" t="s">
        <v>84</v>
      </c>
      <c r="AB2464" s="8"/>
    </row>
    <row r="2465" spans="1:28" s="4" customFormat="1" ht="51.95" customHeight="1">
      <c r="A2465" s="5">
        <v>0</v>
      </c>
      <c r="B2465" s="6" t="s">
        <v>15020</v>
      </c>
      <c r="C2465" s="13">
        <v>1564</v>
      </c>
      <c r="D2465" s="8" t="s">
        <v>15021</v>
      </c>
      <c r="E2465" s="8" t="s">
        <v>15022</v>
      </c>
      <c r="F2465" s="8" t="s">
        <v>15023</v>
      </c>
      <c r="G2465" s="6" t="s">
        <v>89</v>
      </c>
      <c r="H2465" s="6" t="s">
        <v>53</v>
      </c>
      <c r="I2465" s="8" t="s">
        <v>4855</v>
      </c>
      <c r="J2465" s="9">
        <v>1</v>
      </c>
      <c r="K2465" s="9">
        <v>345</v>
      </c>
      <c r="L2465" s="9">
        <v>2023</v>
      </c>
      <c r="M2465" s="8" t="s">
        <v>15024</v>
      </c>
      <c r="N2465" s="8" t="s">
        <v>413</v>
      </c>
      <c r="O2465" s="8" t="s">
        <v>1141</v>
      </c>
      <c r="P2465" s="6" t="s">
        <v>43</v>
      </c>
      <c r="Q2465" s="8" t="s">
        <v>44</v>
      </c>
      <c r="R2465" s="10" t="s">
        <v>2256</v>
      </c>
      <c r="S2465" s="11" t="s">
        <v>15025</v>
      </c>
      <c r="T2465" s="6"/>
      <c r="U2465" s="24" t="str">
        <f>HYPERLINK("https://media.infra-m.ru/1894/1894482/cover/1894482.jpg", "Обложка")</f>
        <v>Обложка</v>
      </c>
      <c r="V2465" s="12"/>
      <c r="W2465" s="8" t="s">
        <v>784</v>
      </c>
      <c r="X2465" s="6"/>
      <c r="Y2465" s="6"/>
      <c r="Z2465" s="6"/>
      <c r="AA2465" s="6" t="s">
        <v>151</v>
      </c>
      <c r="AB2465" s="8"/>
    </row>
    <row r="2466" spans="1:28" s="4" customFormat="1" ht="51.95" customHeight="1">
      <c r="A2466" s="5">
        <v>0</v>
      </c>
      <c r="B2466" s="6" t="s">
        <v>15026</v>
      </c>
      <c r="C2466" s="13">
        <v>2294</v>
      </c>
      <c r="D2466" s="8" t="s">
        <v>15027</v>
      </c>
      <c r="E2466" s="8" t="s">
        <v>15022</v>
      </c>
      <c r="F2466" s="8" t="s">
        <v>15028</v>
      </c>
      <c r="G2466" s="6" t="s">
        <v>52</v>
      </c>
      <c r="H2466" s="6" t="s">
        <v>184</v>
      </c>
      <c r="I2466" s="8" t="s">
        <v>90</v>
      </c>
      <c r="J2466" s="9">
        <v>1</v>
      </c>
      <c r="K2466" s="9">
        <v>512</v>
      </c>
      <c r="L2466" s="9">
        <v>2023</v>
      </c>
      <c r="M2466" s="8" t="s">
        <v>15029</v>
      </c>
      <c r="N2466" s="8" t="s">
        <v>413</v>
      </c>
      <c r="O2466" s="8" t="s">
        <v>1141</v>
      </c>
      <c r="P2466" s="6" t="s">
        <v>43</v>
      </c>
      <c r="Q2466" s="8" t="s">
        <v>44</v>
      </c>
      <c r="R2466" s="10" t="s">
        <v>15030</v>
      </c>
      <c r="S2466" s="11" t="s">
        <v>15031</v>
      </c>
      <c r="T2466" s="6"/>
      <c r="U2466" s="24" t="str">
        <f>HYPERLINK("https://media.infra-m.ru/1841/1841428/cover/1841428.jpg", "Обложка")</f>
        <v>Обложка</v>
      </c>
      <c r="V2466" s="24" t="str">
        <f>HYPERLINK("https://znanium.ru/catalog/product/1072292", "Ознакомиться")</f>
        <v>Ознакомиться</v>
      </c>
      <c r="W2466" s="8" t="s">
        <v>427</v>
      </c>
      <c r="X2466" s="6"/>
      <c r="Y2466" s="6"/>
      <c r="Z2466" s="6"/>
      <c r="AA2466" s="6" t="s">
        <v>72</v>
      </c>
      <c r="AB2466" s="8"/>
    </row>
    <row r="2467" spans="1:28" s="4" customFormat="1" ht="51.95" customHeight="1">
      <c r="A2467" s="5">
        <v>0</v>
      </c>
      <c r="B2467" s="6" t="s">
        <v>15032</v>
      </c>
      <c r="C2467" s="13">
        <v>1354</v>
      </c>
      <c r="D2467" s="8" t="s">
        <v>15033</v>
      </c>
      <c r="E2467" s="8" t="s">
        <v>15034</v>
      </c>
      <c r="F2467" s="8" t="s">
        <v>15035</v>
      </c>
      <c r="G2467" s="6" t="s">
        <v>52</v>
      </c>
      <c r="H2467" s="6" t="s">
        <v>649</v>
      </c>
      <c r="I2467" s="8" t="s">
        <v>58</v>
      </c>
      <c r="J2467" s="9">
        <v>1</v>
      </c>
      <c r="K2467" s="9">
        <v>272</v>
      </c>
      <c r="L2467" s="9">
        <v>2025</v>
      </c>
      <c r="M2467" s="8" t="s">
        <v>15036</v>
      </c>
      <c r="N2467" s="8" t="s">
        <v>79</v>
      </c>
      <c r="O2467" s="8" t="s">
        <v>396</v>
      </c>
      <c r="P2467" s="6" t="s">
        <v>167</v>
      </c>
      <c r="Q2467" s="8" t="s">
        <v>102</v>
      </c>
      <c r="R2467" s="10" t="s">
        <v>15037</v>
      </c>
      <c r="S2467" s="11" t="s">
        <v>15038</v>
      </c>
      <c r="T2467" s="6"/>
      <c r="U2467" s="24" t="str">
        <f>HYPERLINK("https://media.infra-m.ru/2162/2162083/cover/2162083.jpg", "Обложка")</f>
        <v>Обложка</v>
      </c>
      <c r="V2467" s="24" t="str">
        <f>HYPERLINK("https://znanium.ru/catalog/product/1778876", "Ознакомиться")</f>
        <v>Ознакомиться</v>
      </c>
      <c r="W2467" s="8" t="s">
        <v>450</v>
      </c>
      <c r="X2467" s="6"/>
      <c r="Y2467" s="6"/>
      <c r="Z2467" s="6"/>
      <c r="AA2467" s="6" t="s">
        <v>111</v>
      </c>
      <c r="AB2467" s="8"/>
    </row>
    <row r="2468" spans="1:28" s="4" customFormat="1" ht="51.95" customHeight="1">
      <c r="A2468" s="5">
        <v>0</v>
      </c>
      <c r="B2468" s="6" t="s">
        <v>15039</v>
      </c>
      <c r="C2468" s="13">
        <v>1954</v>
      </c>
      <c r="D2468" s="8" t="s">
        <v>15040</v>
      </c>
      <c r="E2468" s="8" t="s">
        <v>15041</v>
      </c>
      <c r="F2468" s="8" t="s">
        <v>15042</v>
      </c>
      <c r="G2468" s="6" t="s">
        <v>89</v>
      </c>
      <c r="H2468" s="6" t="s">
        <v>77</v>
      </c>
      <c r="I2468" s="8" t="s">
        <v>150</v>
      </c>
      <c r="J2468" s="9">
        <v>1</v>
      </c>
      <c r="K2468" s="9">
        <v>376</v>
      </c>
      <c r="L2468" s="9">
        <v>2025</v>
      </c>
      <c r="M2468" s="8" t="s">
        <v>15043</v>
      </c>
      <c r="N2468" s="8" t="s">
        <v>79</v>
      </c>
      <c r="O2468" s="8" t="s">
        <v>570</v>
      </c>
      <c r="P2468" s="6" t="s">
        <v>43</v>
      </c>
      <c r="Q2468" s="8" t="s">
        <v>44</v>
      </c>
      <c r="R2468" s="10" t="s">
        <v>6409</v>
      </c>
      <c r="S2468" s="11" t="s">
        <v>15044</v>
      </c>
      <c r="T2468" s="6"/>
      <c r="U2468" s="24" t="str">
        <f>HYPERLINK("https://media.infra-m.ru/2196/2196910/cover/2196910.jpg", "Обложка")</f>
        <v>Обложка</v>
      </c>
      <c r="V2468" s="24" t="str">
        <f>HYPERLINK("https://znanium.ru/catalog/product/2113858", "Ознакомиться")</f>
        <v>Ознакомиться</v>
      </c>
      <c r="W2468" s="8" t="s">
        <v>150</v>
      </c>
      <c r="X2468" s="6"/>
      <c r="Y2468" s="6"/>
      <c r="Z2468" s="6"/>
      <c r="AA2468" s="6" t="s">
        <v>1374</v>
      </c>
      <c r="AB2468" s="8"/>
    </row>
    <row r="2469" spans="1:28" s="4" customFormat="1" ht="42" customHeight="1">
      <c r="A2469" s="5">
        <v>0</v>
      </c>
      <c r="B2469" s="6" t="s">
        <v>15045</v>
      </c>
      <c r="C2469" s="13">
        <v>1000</v>
      </c>
      <c r="D2469" s="8" t="s">
        <v>15046</v>
      </c>
      <c r="E2469" s="8" t="s">
        <v>15047</v>
      </c>
      <c r="F2469" s="8" t="s">
        <v>15042</v>
      </c>
      <c r="G2469" s="6" t="s">
        <v>52</v>
      </c>
      <c r="H2469" s="6" t="s">
        <v>77</v>
      </c>
      <c r="I2469" s="8"/>
      <c r="J2469" s="9">
        <v>1</v>
      </c>
      <c r="K2469" s="9">
        <v>343</v>
      </c>
      <c r="L2469" s="9">
        <v>2018</v>
      </c>
      <c r="M2469" s="8" t="s">
        <v>15048</v>
      </c>
      <c r="N2469" s="8" t="s">
        <v>79</v>
      </c>
      <c r="O2469" s="8" t="s">
        <v>570</v>
      </c>
      <c r="P2469" s="6" t="s">
        <v>43</v>
      </c>
      <c r="Q2469" s="8" t="s">
        <v>44</v>
      </c>
      <c r="R2469" s="10" t="s">
        <v>6409</v>
      </c>
      <c r="S2469" s="11"/>
      <c r="T2469" s="6" t="s">
        <v>299</v>
      </c>
      <c r="U2469" s="24" t="str">
        <f>HYPERLINK("https://media.infra-m.ru/0948/0948688/cover/948688.jpg", "Обложка")</f>
        <v>Обложка</v>
      </c>
      <c r="V2469" s="24" t="str">
        <f>HYPERLINK("https://znanium.ru/catalog/product/2113858", "Ознакомиться")</f>
        <v>Ознакомиться</v>
      </c>
      <c r="W2469" s="8" t="s">
        <v>150</v>
      </c>
      <c r="X2469" s="6"/>
      <c r="Y2469" s="6"/>
      <c r="Z2469" s="6"/>
      <c r="AA2469" s="6" t="s">
        <v>111</v>
      </c>
      <c r="AB2469" s="8"/>
    </row>
    <row r="2470" spans="1:28" s="4" customFormat="1" ht="51.95" customHeight="1">
      <c r="A2470" s="5">
        <v>0</v>
      </c>
      <c r="B2470" s="6" t="s">
        <v>15049</v>
      </c>
      <c r="C2470" s="13">
        <v>1994</v>
      </c>
      <c r="D2470" s="8" t="s">
        <v>15050</v>
      </c>
      <c r="E2470" s="8" t="s">
        <v>15051</v>
      </c>
      <c r="F2470" s="8" t="s">
        <v>15052</v>
      </c>
      <c r="G2470" s="6" t="s">
        <v>52</v>
      </c>
      <c r="H2470" s="6" t="s">
        <v>53</v>
      </c>
      <c r="I2470" s="8" t="s">
        <v>100</v>
      </c>
      <c r="J2470" s="9">
        <v>1</v>
      </c>
      <c r="K2470" s="9">
        <v>432</v>
      </c>
      <c r="L2470" s="9">
        <v>2024</v>
      </c>
      <c r="M2470" s="8" t="s">
        <v>15053</v>
      </c>
      <c r="N2470" s="8" t="s">
        <v>79</v>
      </c>
      <c r="O2470" s="8" t="s">
        <v>396</v>
      </c>
      <c r="P2470" s="6" t="s">
        <v>167</v>
      </c>
      <c r="Q2470" s="8" t="s">
        <v>102</v>
      </c>
      <c r="R2470" s="10" t="s">
        <v>15054</v>
      </c>
      <c r="S2470" s="11" t="s">
        <v>15055</v>
      </c>
      <c r="T2470" s="6"/>
      <c r="U2470" s="24" t="str">
        <f>HYPERLINK("https://media.infra-m.ru/1862/1862259/cover/1862259.jpg", "Обложка")</f>
        <v>Обложка</v>
      </c>
      <c r="V2470" s="24" t="str">
        <f>HYPERLINK("https://znanium.ru/catalog/product/418049", "Ознакомиться")</f>
        <v>Ознакомиться</v>
      </c>
      <c r="W2470" s="8"/>
      <c r="X2470" s="6"/>
      <c r="Y2470" s="6"/>
      <c r="Z2470" s="6"/>
      <c r="AA2470" s="6" t="s">
        <v>3065</v>
      </c>
      <c r="AB2470" s="8"/>
    </row>
    <row r="2471" spans="1:28" s="4" customFormat="1" ht="51.95" customHeight="1">
      <c r="A2471" s="5">
        <v>0</v>
      </c>
      <c r="B2471" s="6" t="s">
        <v>15056</v>
      </c>
      <c r="C2471" s="13">
        <v>2090</v>
      </c>
      <c r="D2471" s="8" t="s">
        <v>15057</v>
      </c>
      <c r="E2471" s="8" t="s">
        <v>15058</v>
      </c>
      <c r="F2471" s="8" t="s">
        <v>7081</v>
      </c>
      <c r="G2471" s="6" t="s">
        <v>52</v>
      </c>
      <c r="H2471" s="6" t="s">
        <v>53</v>
      </c>
      <c r="I2471" s="8" t="s">
        <v>116</v>
      </c>
      <c r="J2471" s="9">
        <v>1</v>
      </c>
      <c r="K2471" s="9">
        <v>418</v>
      </c>
      <c r="L2471" s="9">
        <v>2025</v>
      </c>
      <c r="M2471" s="8" t="s">
        <v>15059</v>
      </c>
      <c r="N2471" s="8" t="s">
        <v>41</v>
      </c>
      <c r="O2471" s="8" t="s">
        <v>1007</v>
      </c>
      <c r="P2471" s="6" t="s">
        <v>167</v>
      </c>
      <c r="Q2471" s="8" t="s">
        <v>44</v>
      </c>
      <c r="R2471" s="10" t="s">
        <v>15060</v>
      </c>
      <c r="S2471" s="11" t="s">
        <v>15061</v>
      </c>
      <c r="T2471" s="6" t="s">
        <v>299</v>
      </c>
      <c r="U2471" s="24" t="str">
        <f>HYPERLINK("https://media.infra-m.ru/2166/2166900/cover/2166900.jpg", "Обложка")</f>
        <v>Обложка</v>
      </c>
      <c r="V2471" s="24" t="str">
        <f>HYPERLINK("https://znanium.ru/catalog/product/2166900", "Ознакомиться")</f>
        <v>Ознакомиться</v>
      </c>
      <c r="W2471" s="8" t="s">
        <v>5635</v>
      </c>
      <c r="X2471" s="6"/>
      <c r="Y2471" s="6"/>
      <c r="Z2471" s="6"/>
      <c r="AA2471" s="6" t="s">
        <v>258</v>
      </c>
      <c r="AB2471" s="8"/>
    </row>
    <row r="2472" spans="1:28" s="4" customFormat="1" ht="51.95" customHeight="1">
      <c r="A2472" s="5">
        <v>0</v>
      </c>
      <c r="B2472" s="6" t="s">
        <v>15062</v>
      </c>
      <c r="C2472" s="13">
        <v>1154</v>
      </c>
      <c r="D2472" s="8" t="s">
        <v>15063</v>
      </c>
      <c r="E2472" s="8" t="s">
        <v>15064</v>
      </c>
      <c r="F2472" s="8" t="s">
        <v>3111</v>
      </c>
      <c r="G2472" s="6" t="s">
        <v>89</v>
      </c>
      <c r="H2472" s="6" t="s">
        <v>53</v>
      </c>
      <c r="I2472" s="8" t="s">
        <v>90</v>
      </c>
      <c r="J2472" s="9">
        <v>1</v>
      </c>
      <c r="K2472" s="9">
        <v>230</v>
      </c>
      <c r="L2472" s="9">
        <v>2025</v>
      </c>
      <c r="M2472" s="8" t="s">
        <v>15065</v>
      </c>
      <c r="N2472" s="8" t="s">
        <v>79</v>
      </c>
      <c r="O2472" s="8" t="s">
        <v>684</v>
      </c>
      <c r="P2472" s="6" t="s">
        <v>175</v>
      </c>
      <c r="Q2472" s="8" t="s">
        <v>44</v>
      </c>
      <c r="R2472" s="10" t="s">
        <v>1121</v>
      </c>
      <c r="S2472" s="11" t="s">
        <v>15066</v>
      </c>
      <c r="T2472" s="6"/>
      <c r="U2472" s="24" t="str">
        <f>HYPERLINK("https://media.infra-m.ru/2157/2157921/cover/2157921.jpg", "Обложка")</f>
        <v>Обложка</v>
      </c>
      <c r="V2472" s="24" t="str">
        <f>HYPERLINK("https://znanium.ru/catalog/product/1150302", "Ознакомиться")</f>
        <v>Ознакомиться</v>
      </c>
      <c r="W2472" s="8" t="s">
        <v>637</v>
      </c>
      <c r="X2472" s="6"/>
      <c r="Y2472" s="6"/>
      <c r="Z2472" s="6"/>
      <c r="AA2472" s="6" t="s">
        <v>513</v>
      </c>
      <c r="AB2472" s="8" t="s">
        <v>840</v>
      </c>
    </row>
    <row r="2473" spans="1:28" s="4" customFormat="1" ht="51.95" customHeight="1">
      <c r="A2473" s="5">
        <v>0</v>
      </c>
      <c r="B2473" s="6" t="s">
        <v>15067</v>
      </c>
      <c r="C2473" s="7">
        <v>714.9</v>
      </c>
      <c r="D2473" s="8" t="s">
        <v>15068</v>
      </c>
      <c r="E2473" s="8" t="s">
        <v>15069</v>
      </c>
      <c r="F2473" s="8" t="s">
        <v>3111</v>
      </c>
      <c r="G2473" s="6" t="s">
        <v>52</v>
      </c>
      <c r="H2473" s="6" t="s">
        <v>53</v>
      </c>
      <c r="I2473" s="8" t="s">
        <v>90</v>
      </c>
      <c r="J2473" s="9">
        <v>1</v>
      </c>
      <c r="K2473" s="9">
        <v>190</v>
      </c>
      <c r="L2473" s="9">
        <v>2020</v>
      </c>
      <c r="M2473" s="8" t="s">
        <v>15070</v>
      </c>
      <c r="N2473" s="8" t="s">
        <v>79</v>
      </c>
      <c r="O2473" s="8" t="s">
        <v>684</v>
      </c>
      <c r="P2473" s="6" t="s">
        <v>175</v>
      </c>
      <c r="Q2473" s="8" t="s">
        <v>44</v>
      </c>
      <c r="R2473" s="10" t="s">
        <v>1121</v>
      </c>
      <c r="S2473" s="11" t="s">
        <v>15066</v>
      </c>
      <c r="T2473" s="6"/>
      <c r="U2473" s="24" t="str">
        <f>HYPERLINK("https://media.infra-m.ru/1150/1150301/cover/1150301.jpg", "Обложка")</f>
        <v>Обложка</v>
      </c>
      <c r="V2473" s="24" t="str">
        <f>HYPERLINK("https://znanium.ru/catalog/product/1150302", "Ознакомиться")</f>
        <v>Ознакомиться</v>
      </c>
      <c r="W2473" s="8" t="s">
        <v>637</v>
      </c>
      <c r="X2473" s="6"/>
      <c r="Y2473" s="6"/>
      <c r="Z2473" s="6"/>
      <c r="AA2473" s="6" t="s">
        <v>258</v>
      </c>
      <c r="AB2473" s="8" t="s">
        <v>840</v>
      </c>
    </row>
    <row r="2474" spans="1:28" s="4" customFormat="1" ht="51.95" customHeight="1">
      <c r="A2474" s="5">
        <v>0</v>
      </c>
      <c r="B2474" s="6" t="s">
        <v>15071</v>
      </c>
      <c r="C2474" s="7">
        <v>790</v>
      </c>
      <c r="D2474" s="8" t="s">
        <v>15072</v>
      </c>
      <c r="E2474" s="8" t="s">
        <v>15073</v>
      </c>
      <c r="F2474" s="8" t="s">
        <v>3111</v>
      </c>
      <c r="G2474" s="6" t="s">
        <v>38</v>
      </c>
      <c r="H2474" s="6" t="s">
        <v>53</v>
      </c>
      <c r="I2474" s="8" t="s">
        <v>116</v>
      </c>
      <c r="J2474" s="9">
        <v>1</v>
      </c>
      <c r="K2474" s="9">
        <v>172</v>
      </c>
      <c r="L2474" s="9">
        <v>2024</v>
      </c>
      <c r="M2474" s="8" t="s">
        <v>15074</v>
      </c>
      <c r="N2474" s="8" t="s">
        <v>79</v>
      </c>
      <c r="O2474" s="8" t="s">
        <v>684</v>
      </c>
      <c r="P2474" s="6" t="s">
        <v>43</v>
      </c>
      <c r="Q2474" s="8" t="s">
        <v>44</v>
      </c>
      <c r="R2474" s="10" t="s">
        <v>15075</v>
      </c>
      <c r="S2474" s="11" t="s">
        <v>15076</v>
      </c>
      <c r="T2474" s="6" t="s">
        <v>299</v>
      </c>
      <c r="U2474" s="24" t="str">
        <f>HYPERLINK("https://media.infra-m.ru/2099/2099076/cover/2099076.jpg", "Обложка")</f>
        <v>Обложка</v>
      </c>
      <c r="V2474" s="24" t="str">
        <f>HYPERLINK("https://znanium.ru/catalog/product/2099076", "Ознакомиться")</f>
        <v>Ознакомиться</v>
      </c>
      <c r="W2474" s="8" t="s">
        <v>637</v>
      </c>
      <c r="X2474" s="6"/>
      <c r="Y2474" s="6"/>
      <c r="Z2474" s="6"/>
      <c r="AA2474" s="6" t="s">
        <v>111</v>
      </c>
      <c r="AB2474" s="8"/>
    </row>
    <row r="2475" spans="1:28" s="4" customFormat="1" ht="51.95" customHeight="1">
      <c r="A2475" s="5">
        <v>0</v>
      </c>
      <c r="B2475" s="6" t="s">
        <v>15077</v>
      </c>
      <c r="C2475" s="13">
        <v>1194</v>
      </c>
      <c r="D2475" s="8" t="s">
        <v>15078</v>
      </c>
      <c r="E2475" s="8" t="s">
        <v>15079</v>
      </c>
      <c r="F2475" s="8" t="s">
        <v>15080</v>
      </c>
      <c r="G2475" s="6" t="s">
        <v>89</v>
      </c>
      <c r="H2475" s="6" t="s">
        <v>39</v>
      </c>
      <c r="I2475" s="8" t="s">
        <v>100</v>
      </c>
      <c r="J2475" s="9">
        <v>1</v>
      </c>
      <c r="K2475" s="9">
        <v>240</v>
      </c>
      <c r="L2475" s="9">
        <v>2025</v>
      </c>
      <c r="M2475" s="8" t="s">
        <v>15081</v>
      </c>
      <c r="N2475" s="8" t="s">
        <v>79</v>
      </c>
      <c r="O2475" s="8" t="s">
        <v>396</v>
      </c>
      <c r="P2475" s="6" t="s">
        <v>43</v>
      </c>
      <c r="Q2475" s="8" t="s">
        <v>102</v>
      </c>
      <c r="R2475" s="10" t="s">
        <v>15082</v>
      </c>
      <c r="S2475" s="11" t="s">
        <v>15083</v>
      </c>
      <c r="T2475" s="6"/>
      <c r="U2475" s="24" t="str">
        <f>HYPERLINK("https://media.infra-m.ru/2170/2170789/cover/2170789.jpg", "Обложка")</f>
        <v>Обложка</v>
      </c>
      <c r="V2475" s="24" t="str">
        <f>HYPERLINK("https://znanium.ru/catalog/product/2084415", "Ознакомиться")</f>
        <v>Ознакомиться</v>
      </c>
      <c r="W2475" s="8" t="s">
        <v>189</v>
      </c>
      <c r="X2475" s="6"/>
      <c r="Y2475" s="6"/>
      <c r="Z2475" s="6"/>
      <c r="AA2475" s="6" t="s">
        <v>494</v>
      </c>
      <c r="AB2475" s="8"/>
    </row>
    <row r="2476" spans="1:28" s="4" customFormat="1" ht="42" customHeight="1">
      <c r="A2476" s="5">
        <v>0</v>
      </c>
      <c r="B2476" s="6" t="s">
        <v>15084</v>
      </c>
      <c r="C2476" s="13">
        <v>1920</v>
      </c>
      <c r="D2476" s="8" t="s">
        <v>15085</v>
      </c>
      <c r="E2476" s="8" t="s">
        <v>15086</v>
      </c>
      <c r="F2476" s="8" t="s">
        <v>15087</v>
      </c>
      <c r="G2476" s="6" t="s">
        <v>52</v>
      </c>
      <c r="H2476" s="6" t="s">
        <v>53</v>
      </c>
      <c r="I2476" s="8" t="s">
        <v>116</v>
      </c>
      <c r="J2476" s="9">
        <v>1</v>
      </c>
      <c r="K2476" s="9">
        <v>381</v>
      </c>
      <c r="L2476" s="9">
        <v>2025</v>
      </c>
      <c r="M2476" s="8" t="s">
        <v>15088</v>
      </c>
      <c r="N2476" s="8" t="s">
        <v>413</v>
      </c>
      <c r="O2476" s="8" t="s">
        <v>1584</v>
      </c>
      <c r="P2476" s="6" t="s">
        <v>43</v>
      </c>
      <c r="Q2476" s="8" t="s">
        <v>44</v>
      </c>
      <c r="R2476" s="10" t="s">
        <v>15089</v>
      </c>
      <c r="S2476" s="11"/>
      <c r="T2476" s="6"/>
      <c r="U2476" s="24" t="str">
        <f>HYPERLINK("https://media.infra-m.ru/1938/1938076/cover/1938076.jpg", "Обложка")</f>
        <v>Обложка</v>
      </c>
      <c r="V2476" s="24" t="str">
        <f>HYPERLINK("https://znanium.ru/catalog/product/1938076", "Ознакомиться")</f>
        <v>Ознакомиться</v>
      </c>
      <c r="W2476" s="8" t="s">
        <v>15090</v>
      </c>
      <c r="X2476" s="6" t="s">
        <v>389</v>
      </c>
      <c r="Y2476" s="6"/>
      <c r="Z2476" s="6"/>
      <c r="AA2476" s="6" t="s">
        <v>61</v>
      </c>
      <c r="AB2476" s="8"/>
    </row>
    <row r="2477" spans="1:28" s="4" customFormat="1" ht="51.95" customHeight="1">
      <c r="A2477" s="5">
        <v>0</v>
      </c>
      <c r="B2477" s="6" t="s">
        <v>15091</v>
      </c>
      <c r="C2477" s="13">
        <v>1194</v>
      </c>
      <c r="D2477" s="8" t="s">
        <v>15092</v>
      </c>
      <c r="E2477" s="8" t="s">
        <v>15086</v>
      </c>
      <c r="F2477" s="8" t="s">
        <v>4379</v>
      </c>
      <c r="G2477" s="6" t="s">
        <v>89</v>
      </c>
      <c r="H2477" s="6" t="s">
        <v>53</v>
      </c>
      <c r="I2477" s="8" t="s">
        <v>90</v>
      </c>
      <c r="J2477" s="9">
        <v>1</v>
      </c>
      <c r="K2477" s="9">
        <v>239</v>
      </c>
      <c r="L2477" s="9">
        <v>2025</v>
      </c>
      <c r="M2477" s="8" t="s">
        <v>15093</v>
      </c>
      <c r="N2477" s="8" t="s">
        <v>413</v>
      </c>
      <c r="O2477" s="8" t="s">
        <v>1584</v>
      </c>
      <c r="P2477" s="6" t="s">
        <v>43</v>
      </c>
      <c r="Q2477" s="8" t="s">
        <v>44</v>
      </c>
      <c r="R2477" s="10" t="s">
        <v>4401</v>
      </c>
      <c r="S2477" s="11" t="s">
        <v>15094</v>
      </c>
      <c r="T2477" s="6"/>
      <c r="U2477" s="24" t="str">
        <f>HYPERLINK("https://media.infra-m.ru/2188/2188494/cover/2188494.jpg", "Обложка")</f>
        <v>Обложка</v>
      </c>
      <c r="V2477" s="24" t="str">
        <f>HYPERLINK("https://znanium.ru/catalog/product/1505323", "Ознакомиться")</f>
        <v>Ознакомиться</v>
      </c>
      <c r="W2477" s="8" t="s">
        <v>4383</v>
      </c>
      <c r="X2477" s="6"/>
      <c r="Y2477" s="6"/>
      <c r="Z2477" s="6"/>
      <c r="AA2477" s="6" t="s">
        <v>793</v>
      </c>
      <c r="AB2477" s="8"/>
    </row>
    <row r="2478" spans="1:28" s="4" customFormat="1" ht="51.95" customHeight="1">
      <c r="A2478" s="5">
        <v>0</v>
      </c>
      <c r="B2478" s="6" t="s">
        <v>15095</v>
      </c>
      <c r="C2478" s="13">
        <v>1220</v>
      </c>
      <c r="D2478" s="8" t="s">
        <v>15096</v>
      </c>
      <c r="E2478" s="8" t="s">
        <v>15097</v>
      </c>
      <c r="F2478" s="8" t="s">
        <v>15098</v>
      </c>
      <c r="G2478" s="6" t="s">
        <v>89</v>
      </c>
      <c r="H2478" s="6" t="s">
        <v>53</v>
      </c>
      <c r="I2478" s="8" t="s">
        <v>116</v>
      </c>
      <c r="J2478" s="9">
        <v>1</v>
      </c>
      <c r="K2478" s="9">
        <v>263</v>
      </c>
      <c r="L2478" s="9">
        <v>2024</v>
      </c>
      <c r="M2478" s="8" t="s">
        <v>15099</v>
      </c>
      <c r="N2478" s="8" t="s">
        <v>413</v>
      </c>
      <c r="O2478" s="8" t="s">
        <v>1584</v>
      </c>
      <c r="P2478" s="6" t="s">
        <v>167</v>
      </c>
      <c r="Q2478" s="8" t="s">
        <v>58</v>
      </c>
      <c r="R2478" s="10" t="s">
        <v>15100</v>
      </c>
      <c r="S2478" s="11"/>
      <c r="T2478" s="6" t="s">
        <v>299</v>
      </c>
      <c r="U2478" s="24" t="str">
        <f>HYPERLINK("https://media.infra-m.ru/2079/2079284/cover/2079284.jpg", "Обложка")</f>
        <v>Обложка</v>
      </c>
      <c r="V2478" s="24" t="str">
        <f>HYPERLINK("https://znanium.ru/catalog/product/2079284", "Ознакомиться")</f>
        <v>Ознакомиться</v>
      </c>
      <c r="W2478" s="8" t="s">
        <v>1587</v>
      </c>
      <c r="X2478" s="6"/>
      <c r="Y2478" s="6"/>
      <c r="Z2478" s="6"/>
      <c r="AA2478" s="6" t="s">
        <v>258</v>
      </c>
      <c r="AB2478" s="8"/>
    </row>
    <row r="2479" spans="1:28" s="4" customFormat="1" ht="51.95" customHeight="1">
      <c r="A2479" s="5">
        <v>0</v>
      </c>
      <c r="B2479" s="6" t="s">
        <v>15101</v>
      </c>
      <c r="C2479" s="13">
        <v>1300</v>
      </c>
      <c r="D2479" s="8" t="s">
        <v>15102</v>
      </c>
      <c r="E2479" s="8" t="s">
        <v>15097</v>
      </c>
      <c r="F2479" s="8" t="s">
        <v>15098</v>
      </c>
      <c r="G2479" s="6" t="s">
        <v>52</v>
      </c>
      <c r="H2479" s="6" t="s">
        <v>53</v>
      </c>
      <c r="I2479" s="8" t="s">
        <v>100</v>
      </c>
      <c r="J2479" s="9">
        <v>1</v>
      </c>
      <c r="K2479" s="9">
        <v>263</v>
      </c>
      <c r="L2479" s="9">
        <v>2025</v>
      </c>
      <c r="M2479" s="8" t="s">
        <v>15103</v>
      </c>
      <c r="N2479" s="8" t="s">
        <v>413</v>
      </c>
      <c r="O2479" s="8" t="s">
        <v>1584</v>
      </c>
      <c r="P2479" s="6" t="s">
        <v>167</v>
      </c>
      <c r="Q2479" s="8" t="s">
        <v>102</v>
      </c>
      <c r="R2479" s="10" t="s">
        <v>15104</v>
      </c>
      <c r="S2479" s="11" t="s">
        <v>15105</v>
      </c>
      <c r="T2479" s="6" t="s">
        <v>299</v>
      </c>
      <c r="U2479" s="24" t="str">
        <f>HYPERLINK("https://media.infra-m.ru/2186/2186893/cover/2186893.jpg", "Обложка")</f>
        <v>Обложка</v>
      </c>
      <c r="V2479" s="24" t="str">
        <f>HYPERLINK("https://znanium.ru/catalog/product/1150324", "Ознакомиться")</f>
        <v>Ознакомиться</v>
      </c>
      <c r="W2479" s="8" t="s">
        <v>1587</v>
      </c>
      <c r="X2479" s="6"/>
      <c r="Y2479" s="6"/>
      <c r="Z2479" s="6" t="s">
        <v>502</v>
      </c>
      <c r="AA2479" s="6" t="s">
        <v>219</v>
      </c>
      <c r="AB2479" s="8"/>
    </row>
    <row r="2480" spans="1:28" s="4" customFormat="1" ht="42" customHeight="1">
      <c r="A2480" s="5">
        <v>0</v>
      </c>
      <c r="B2480" s="6" t="s">
        <v>15106</v>
      </c>
      <c r="C2480" s="13">
        <v>1190</v>
      </c>
      <c r="D2480" s="8" t="s">
        <v>15107</v>
      </c>
      <c r="E2480" s="8" t="s">
        <v>15097</v>
      </c>
      <c r="F2480" s="8" t="s">
        <v>15087</v>
      </c>
      <c r="G2480" s="6" t="s">
        <v>52</v>
      </c>
      <c r="H2480" s="6" t="s">
        <v>53</v>
      </c>
      <c r="I2480" s="8" t="s">
        <v>116</v>
      </c>
      <c r="J2480" s="9">
        <v>1</v>
      </c>
      <c r="K2480" s="9">
        <v>251</v>
      </c>
      <c r="L2480" s="9">
        <v>2024</v>
      </c>
      <c r="M2480" s="8" t="s">
        <v>15108</v>
      </c>
      <c r="N2480" s="8" t="s">
        <v>413</v>
      </c>
      <c r="O2480" s="8" t="s">
        <v>1584</v>
      </c>
      <c r="P2480" s="6" t="s">
        <v>167</v>
      </c>
      <c r="Q2480" s="8" t="s">
        <v>44</v>
      </c>
      <c r="R2480" s="10" t="s">
        <v>15089</v>
      </c>
      <c r="S2480" s="11"/>
      <c r="T2480" s="6"/>
      <c r="U2480" s="24" t="str">
        <f>HYPERLINK("https://media.infra-m.ru/1864/1864666/cover/1864666.jpg", "Обложка")</f>
        <v>Обложка</v>
      </c>
      <c r="V2480" s="24" t="str">
        <f>HYPERLINK("https://znanium.ru/catalog/product/1864666", "Ознакомиться")</f>
        <v>Ознакомиться</v>
      </c>
      <c r="W2480" s="8" t="s">
        <v>15090</v>
      </c>
      <c r="X2480" s="6"/>
      <c r="Y2480" s="6"/>
      <c r="Z2480" s="6"/>
      <c r="AA2480" s="6" t="s">
        <v>133</v>
      </c>
      <c r="AB2480" s="8"/>
    </row>
    <row r="2481" spans="1:28" s="4" customFormat="1" ht="51.95" customHeight="1">
      <c r="A2481" s="5">
        <v>0</v>
      </c>
      <c r="B2481" s="6" t="s">
        <v>15109</v>
      </c>
      <c r="C2481" s="13">
        <v>1730</v>
      </c>
      <c r="D2481" s="8" t="s">
        <v>15110</v>
      </c>
      <c r="E2481" s="8" t="s">
        <v>15111</v>
      </c>
      <c r="F2481" s="8" t="s">
        <v>3111</v>
      </c>
      <c r="G2481" s="6" t="s">
        <v>52</v>
      </c>
      <c r="H2481" s="6" t="s">
        <v>53</v>
      </c>
      <c r="I2481" s="8" t="s">
        <v>116</v>
      </c>
      <c r="J2481" s="14">
        <v>0</v>
      </c>
      <c r="K2481" s="9">
        <v>368</v>
      </c>
      <c r="L2481" s="9">
        <v>2024</v>
      </c>
      <c r="M2481" s="8" t="s">
        <v>15112</v>
      </c>
      <c r="N2481" s="8" t="s">
        <v>79</v>
      </c>
      <c r="O2481" s="8" t="s">
        <v>684</v>
      </c>
      <c r="P2481" s="6" t="s">
        <v>167</v>
      </c>
      <c r="Q2481" s="8" t="s">
        <v>58</v>
      </c>
      <c r="R2481" s="10" t="s">
        <v>15113</v>
      </c>
      <c r="S2481" s="11" t="s">
        <v>15114</v>
      </c>
      <c r="T2481" s="6"/>
      <c r="U2481" s="24" t="str">
        <f>HYPERLINK("https://media.infra-m.ru/2122/2122973/cover/2122973.jpg", "Обложка")</f>
        <v>Обложка</v>
      </c>
      <c r="V2481" s="24" t="str">
        <f>HYPERLINK("https://znanium.ru/catalog/product/2122973", "Ознакомиться")</f>
        <v>Ознакомиться</v>
      </c>
      <c r="W2481" s="8" t="s">
        <v>637</v>
      </c>
      <c r="X2481" s="6" t="s">
        <v>3761</v>
      </c>
      <c r="Y2481" s="6"/>
      <c r="Z2481" s="6"/>
      <c r="AA2481" s="6" t="s">
        <v>105</v>
      </c>
      <c r="AB2481" s="8"/>
    </row>
    <row r="2482" spans="1:28" s="4" customFormat="1" ht="42" customHeight="1">
      <c r="A2482" s="5">
        <v>0</v>
      </c>
      <c r="B2482" s="6" t="s">
        <v>15115</v>
      </c>
      <c r="C2482" s="13">
        <v>1254</v>
      </c>
      <c r="D2482" s="8" t="s">
        <v>15116</v>
      </c>
      <c r="E2482" s="8" t="s">
        <v>15097</v>
      </c>
      <c r="F2482" s="8" t="s">
        <v>15117</v>
      </c>
      <c r="G2482" s="6" t="s">
        <v>52</v>
      </c>
      <c r="H2482" s="6" t="s">
        <v>53</v>
      </c>
      <c r="I2482" s="8" t="s">
        <v>90</v>
      </c>
      <c r="J2482" s="9">
        <v>1</v>
      </c>
      <c r="K2482" s="9">
        <v>272</v>
      </c>
      <c r="L2482" s="9">
        <v>2024</v>
      </c>
      <c r="M2482" s="8" t="s">
        <v>15118</v>
      </c>
      <c r="N2482" s="8" t="s">
        <v>79</v>
      </c>
      <c r="O2482" s="8" t="s">
        <v>684</v>
      </c>
      <c r="P2482" s="6" t="s">
        <v>167</v>
      </c>
      <c r="Q2482" s="8" t="s">
        <v>44</v>
      </c>
      <c r="R2482" s="10" t="s">
        <v>15119</v>
      </c>
      <c r="S2482" s="11"/>
      <c r="T2482" s="6"/>
      <c r="U2482" s="24" t="str">
        <f>HYPERLINK("https://media.infra-m.ru/2083/2083867/cover/2083867.jpg", "Обложка")</f>
        <v>Обложка</v>
      </c>
      <c r="V2482" s="24" t="str">
        <f>HYPERLINK("https://znanium.ru/catalog/product/1009634", "Ознакомиться")</f>
        <v>Ознакомиться</v>
      </c>
      <c r="W2482" s="8" t="s">
        <v>4383</v>
      </c>
      <c r="X2482" s="6"/>
      <c r="Y2482" s="6"/>
      <c r="Z2482" s="6"/>
      <c r="AA2482" s="6" t="s">
        <v>111</v>
      </c>
      <c r="AB2482" s="8"/>
    </row>
    <row r="2483" spans="1:28" s="4" customFormat="1" ht="51.95" customHeight="1">
      <c r="A2483" s="5">
        <v>0</v>
      </c>
      <c r="B2483" s="6" t="s">
        <v>15120</v>
      </c>
      <c r="C2483" s="13">
        <v>1290</v>
      </c>
      <c r="D2483" s="8" t="s">
        <v>15121</v>
      </c>
      <c r="E2483" s="8" t="s">
        <v>15097</v>
      </c>
      <c r="F2483" s="8" t="s">
        <v>15122</v>
      </c>
      <c r="G2483" s="6" t="s">
        <v>38</v>
      </c>
      <c r="H2483" s="6" t="s">
        <v>53</v>
      </c>
      <c r="I2483" s="8" t="s">
        <v>116</v>
      </c>
      <c r="J2483" s="9">
        <v>1</v>
      </c>
      <c r="K2483" s="9">
        <v>286</v>
      </c>
      <c r="L2483" s="9">
        <v>2024</v>
      </c>
      <c r="M2483" s="8" t="s">
        <v>15123</v>
      </c>
      <c r="N2483" s="8" t="s">
        <v>413</v>
      </c>
      <c r="O2483" s="8" t="s">
        <v>1584</v>
      </c>
      <c r="P2483" s="6" t="s">
        <v>167</v>
      </c>
      <c r="Q2483" s="8" t="s">
        <v>44</v>
      </c>
      <c r="R2483" s="10" t="s">
        <v>15113</v>
      </c>
      <c r="S2483" s="11" t="s">
        <v>15114</v>
      </c>
      <c r="T2483" s="6"/>
      <c r="U2483" s="24" t="str">
        <f>HYPERLINK("https://media.infra-m.ru/2055/2055768/cover/2055768.jpg", "Обложка")</f>
        <v>Обложка</v>
      </c>
      <c r="V2483" s="24" t="str">
        <f>HYPERLINK("https://znanium.ru/catalog/product/2122973", "Ознакомиться")</f>
        <v>Ознакомиться</v>
      </c>
      <c r="W2483" s="8" t="s">
        <v>637</v>
      </c>
      <c r="X2483" s="6"/>
      <c r="Y2483" s="6"/>
      <c r="Z2483" s="6"/>
      <c r="AA2483" s="6" t="s">
        <v>3065</v>
      </c>
      <c r="AB2483" s="8"/>
    </row>
    <row r="2484" spans="1:28" s="4" customFormat="1" ht="51.95" customHeight="1">
      <c r="A2484" s="5">
        <v>0</v>
      </c>
      <c r="B2484" s="6" t="s">
        <v>15124</v>
      </c>
      <c r="C2484" s="13">
        <v>1014</v>
      </c>
      <c r="D2484" s="8" t="s">
        <v>15125</v>
      </c>
      <c r="E2484" s="8" t="s">
        <v>15126</v>
      </c>
      <c r="F2484" s="8" t="s">
        <v>15127</v>
      </c>
      <c r="G2484" s="6" t="s">
        <v>89</v>
      </c>
      <c r="H2484" s="6" t="s">
        <v>53</v>
      </c>
      <c r="I2484" s="8" t="s">
        <v>90</v>
      </c>
      <c r="J2484" s="9">
        <v>1</v>
      </c>
      <c r="K2484" s="9">
        <v>195</v>
      </c>
      <c r="L2484" s="9">
        <v>2025</v>
      </c>
      <c r="M2484" s="8" t="s">
        <v>15128</v>
      </c>
      <c r="N2484" s="8" t="s">
        <v>413</v>
      </c>
      <c r="O2484" s="8" t="s">
        <v>1584</v>
      </c>
      <c r="P2484" s="6" t="s">
        <v>43</v>
      </c>
      <c r="Q2484" s="8" t="s">
        <v>44</v>
      </c>
      <c r="R2484" s="10" t="s">
        <v>15129</v>
      </c>
      <c r="S2484" s="11" t="s">
        <v>15130</v>
      </c>
      <c r="T2484" s="6"/>
      <c r="U2484" s="24" t="str">
        <f>HYPERLINK("https://media.infra-m.ru/2196/2196137/cover/2196137.jpg", "Обложка")</f>
        <v>Обложка</v>
      </c>
      <c r="V2484" s="24" t="str">
        <f>HYPERLINK("https://znanium.ru/catalog/product/1995360", "Ознакомиться")</f>
        <v>Ознакомиться</v>
      </c>
      <c r="W2484" s="8" t="s">
        <v>1587</v>
      </c>
      <c r="X2484" s="6"/>
      <c r="Y2484" s="6"/>
      <c r="Z2484" s="6"/>
      <c r="AA2484" s="6" t="s">
        <v>326</v>
      </c>
      <c r="AB2484" s="8"/>
    </row>
    <row r="2485" spans="1:28" s="4" customFormat="1" ht="51.95" customHeight="1">
      <c r="A2485" s="5">
        <v>0</v>
      </c>
      <c r="B2485" s="6" t="s">
        <v>15131</v>
      </c>
      <c r="C2485" s="13">
        <v>1520</v>
      </c>
      <c r="D2485" s="8" t="s">
        <v>15132</v>
      </c>
      <c r="E2485" s="8" t="s">
        <v>15133</v>
      </c>
      <c r="F2485" s="8" t="s">
        <v>15134</v>
      </c>
      <c r="G2485" s="6" t="s">
        <v>89</v>
      </c>
      <c r="H2485" s="6" t="s">
        <v>53</v>
      </c>
      <c r="I2485" s="8" t="s">
        <v>90</v>
      </c>
      <c r="J2485" s="9">
        <v>1</v>
      </c>
      <c r="K2485" s="9">
        <v>336</v>
      </c>
      <c r="L2485" s="9">
        <v>2023</v>
      </c>
      <c r="M2485" s="8" t="s">
        <v>15135</v>
      </c>
      <c r="N2485" s="8" t="s">
        <v>79</v>
      </c>
      <c r="O2485" s="8" t="s">
        <v>80</v>
      </c>
      <c r="P2485" s="6" t="s">
        <v>43</v>
      </c>
      <c r="Q2485" s="8" t="s">
        <v>44</v>
      </c>
      <c r="R2485" s="10" t="s">
        <v>15136</v>
      </c>
      <c r="S2485" s="11" t="s">
        <v>15137</v>
      </c>
      <c r="T2485" s="6" t="s">
        <v>299</v>
      </c>
      <c r="U2485" s="24" t="str">
        <f>HYPERLINK("https://media.infra-m.ru/1984/1984021/cover/1984021.jpg", "Обложка")</f>
        <v>Обложка</v>
      </c>
      <c r="V2485" s="24" t="str">
        <f>HYPERLINK("https://znanium.ru/catalog/product/1984021", "Ознакомиться")</f>
        <v>Ознакомиться</v>
      </c>
      <c r="W2485" s="8" t="s">
        <v>2201</v>
      </c>
      <c r="X2485" s="6"/>
      <c r="Y2485" s="6"/>
      <c r="Z2485" s="6"/>
      <c r="AA2485" s="6" t="s">
        <v>418</v>
      </c>
      <c r="AB2485" s="8"/>
    </row>
    <row r="2486" spans="1:28" s="4" customFormat="1" ht="51.95" customHeight="1">
      <c r="A2486" s="5">
        <v>0</v>
      </c>
      <c r="B2486" s="6" t="s">
        <v>15138</v>
      </c>
      <c r="C2486" s="13">
        <v>1684</v>
      </c>
      <c r="D2486" s="8" t="s">
        <v>15139</v>
      </c>
      <c r="E2486" s="8" t="s">
        <v>15133</v>
      </c>
      <c r="F2486" s="8" t="s">
        <v>15134</v>
      </c>
      <c r="G2486" s="6" t="s">
        <v>89</v>
      </c>
      <c r="H2486" s="6" t="s">
        <v>53</v>
      </c>
      <c r="I2486" s="8" t="s">
        <v>100</v>
      </c>
      <c r="J2486" s="9">
        <v>1</v>
      </c>
      <c r="K2486" s="9">
        <v>336</v>
      </c>
      <c r="L2486" s="9">
        <v>2025</v>
      </c>
      <c r="M2486" s="8" t="s">
        <v>15140</v>
      </c>
      <c r="N2486" s="8" t="s">
        <v>79</v>
      </c>
      <c r="O2486" s="8" t="s">
        <v>80</v>
      </c>
      <c r="P2486" s="6" t="s">
        <v>167</v>
      </c>
      <c r="Q2486" s="8" t="s">
        <v>102</v>
      </c>
      <c r="R2486" s="10" t="s">
        <v>15141</v>
      </c>
      <c r="S2486" s="11" t="s">
        <v>15142</v>
      </c>
      <c r="T2486" s="6" t="s">
        <v>299</v>
      </c>
      <c r="U2486" s="24" t="str">
        <f>HYPERLINK("https://media.infra-m.ru/2186/2186212/cover/2186212.jpg", "Обложка")</f>
        <v>Обложка</v>
      </c>
      <c r="V2486" s="24" t="str">
        <f>HYPERLINK("https://znanium.ru/catalog/product/2094377", "Ознакомиться")</f>
        <v>Ознакомиться</v>
      </c>
      <c r="W2486" s="8" t="s">
        <v>2201</v>
      </c>
      <c r="X2486" s="6"/>
      <c r="Y2486" s="6"/>
      <c r="Z2486" s="6" t="s">
        <v>104</v>
      </c>
      <c r="AA2486" s="6" t="s">
        <v>258</v>
      </c>
      <c r="AB2486" s="8"/>
    </row>
    <row r="2487" spans="1:28" s="4" customFormat="1" ht="51.95" customHeight="1">
      <c r="A2487" s="5">
        <v>0</v>
      </c>
      <c r="B2487" s="6" t="s">
        <v>15143</v>
      </c>
      <c r="C2487" s="13">
        <v>1694</v>
      </c>
      <c r="D2487" s="8" t="s">
        <v>15144</v>
      </c>
      <c r="E2487" s="8" t="s">
        <v>15145</v>
      </c>
      <c r="F2487" s="8" t="s">
        <v>15146</v>
      </c>
      <c r="G2487" s="6" t="s">
        <v>89</v>
      </c>
      <c r="H2487" s="6" t="s">
        <v>53</v>
      </c>
      <c r="I2487" s="8" t="s">
        <v>90</v>
      </c>
      <c r="J2487" s="9">
        <v>1</v>
      </c>
      <c r="K2487" s="9">
        <v>368</v>
      </c>
      <c r="L2487" s="9">
        <v>2024</v>
      </c>
      <c r="M2487" s="8" t="s">
        <v>15147</v>
      </c>
      <c r="N2487" s="8" t="s">
        <v>41</v>
      </c>
      <c r="O2487" s="8" t="s">
        <v>1204</v>
      </c>
      <c r="P2487" s="6" t="s">
        <v>167</v>
      </c>
      <c r="Q2487" s="8" t="s">
        <v>44</v>
      </c>
      <c r="R2487" s="10" t="s">
        <v>9489</v>
      </c>
      <c r="S2487" s="11" t="s">
        <v>15148</v>
      </c>
      <c r="T2487" s="6"/>
      <c r="U2487" s="24" t="str">
        <f>HYPERLINK("https://media.infra-m.ru/2083/2083555/cover/2083555.jpg", "Обложка")</f>
        <v>Обложка</v>
      </c>
      <c r="V2487" s="24" t="str">
        <f>HYPERLINK("https://znanium.ru/catalog/product/2083555", "Ознакомиться")</f>
        <v>Ознакомиться</v>
      </c>
      <c r="W2487" s="8" t="s">
        <v>14769</v>
      </c>
      <c r="X2487" s="6"/>
      <c r="Y2487" s="6"/>
      <c r="Z2487" s="6"/>
      <c r="AA2487" s="6" t="s">
        <v>638</v>
      </c>
      <c r="AB2487" s="8"/>
    </row>
    <row r="2488" spans="1:28" s="4" customFormat="1" ht="51.95" customHeight="1">
      <c r="A2488" s="5">
        <v>0</v>
      </c>
      <c r="B2488" s="6" t="s">
        <v>15149</v>
      </c>
      <c r="C2488" s="13">
        <v>1074.9000000000001</v>
      </c>
      <c r="D2488" s="8" t="s">
        <v>15150</v>
      </c>
      <c r="E2488" s="8" t="s">
        <v>15151</v>
      </c>
      <c r="F2488" s="8" t="s">
        <v>15152</v>
      </c>
      <c r="G2488" s="6" t="s">
        <v>52</v>
      </c>
      <c r="H2488" s="6" t="s">
        <v>66</v>
      </c>
      <c r="I2488" s="8" t="s">
        <v>15153</v>
      </c>
      <c r="J2488" s="9">
        <v>14</v>
      </c>
      <c r="K2488" s="9">
        <v>368</v>
      </c>
      <c r="L2488" s="9">
        <v>2018</v>
      </c>
      <c r="M2488" s="8" t="s">
        <v>15154</v>
      </c>
      <c r="N2488" s="8" t="s">
        <v>41</v>
      </c>
      <c r="O2488" s="8" t="s">
        <v>1204</v>
      </c>
      <c r="P2488" s="6" t="s">
        <v>167</v>
      </c>
      <c r="Q2488" s="8" t="s">
        <v>44</v>
      </c>
      <c r="R2488" s="10" t="s">
        <v>9489</v>
      </c>
      <c r="S2488" s="11" t="s">
        <v>15155</v>
      </c>
      <c r="T2488" s="6"/>
      <c r="U2488" s="24" t="str">
        <f>HYPERLINK("https://media.infra-m.ru/0927/0927412/cover/927412.jpg", "Обложка")</f>
        <v>Обложка</v>
      </c>
      <c r="V2488" s="24" t="str">
        <f>HYPERLINK("https://znanium.ru/catalog/product/2083555", "Ознакомиться")</f>
        <v>Ознакомиться</v>
      </c>
      <c r="W2488" s="8" t="s">
        <v>14769</v>
      </c>
      <c r="X2488" s="6"/>
      <c r="Y2488" s="6"/>
      <c r="Z2488" s="6"/>
      <c r="AA2488" s="6" t="s">
        <v>1442</v>
      </c>
      <c r="AB2488" s="8"/>
    </row>
    <row r="2489" spans="1:28" s="4" customFormat="1" ht="51.95" customHeight="1">
      <c r="A2489" s="5">
        <v>0</v>
      </c>
      <c r="B2489" s="6" t="s">
        <v>15156</v>
      </c>
      <c r="C2489" s="13">
        <v>1514</v>
      </c>
      <c r="D2489" s="8" t="s">
        <v>15157</v>
      </c>
      <c r="E2489" s="8" t="s">
        <v>15158</v>
      </c>
      <c r="F2489" s="8" t="s">
        <v>15159</v>
      </c>
      <c r="G2489" s="6" t="s">
        <v>89</v>
      </c>
      <c r="H2489" s="6" t="s">
        <v>53</v>
      </c>
      <c r="I2489" s="8" t="s">
        <v>116</v>
      </c>
      <c r="J2489" s="9">
        <v>1</v>
      </c>
      <c r="K2489" s="9">
        <v>292</v>
      </c>
      <c r="L2489" s="9">
        <v>2025</v>
      </c>
      <c r="M2489" s="8" t="s">
        <v>15160</v>
      </c>
      <c r="N2489" s="8" t="s">
        <v>79</v>
      </c>
      <c r="O2489" s="8" t="s">
        <v>537</v>
      </c>
      <c r="P2489" s="6" t="s">
        <v>167</v>
      </c>
      <c r="Q2489" s="8" t="s">
        <v>44</v>
      </c>
      <c r="R2489" s="10" t="s">
        <v>15161</v>
      </c>
      <c r="S2489" s="11" t="s">
        <v>15162</v>
      </c>
      <c r="T2489" s="6"/>
      <c r="U2489" s="24" t="str">
        <f>HYPERLINK("https://media.infra-m.ru/2202/2202910/cover/2202910.jpg", "Обложка")</f>
        <v>Обложка</v>
      </c>
      <c r="V2489" s="24" t="str">
        <f>HYPERLINK("https://znanium.ru/catalog/product/2067367", "Ознакомиться")</f>
        <v>Ознакомиться</v>
      </c>
      <c r="W2489" s="8" t="s">
        <v>9885</v>
      </c>
      <c r="X2489" s="6"/>
      <c r="Y2489" s="6"/>
      <c r="Z2489" s="6"/>
      <c r="AA2489" s="6" t="s">
        <v>151</v>
      </c>
      <c r="AB2489" s="8"/>
    </row>
    <row r="2490" spans="1:28" s="4" customFormat="1" ht="51.95" customHeight="1">
      <c r="A2490" s="5">
        <v>0</v>
      </c>
      <c r="B2490" s="6" t="s">
        <v>15163</v>
      </c>
      <c r="C2490" s="13">
        <v>1320</v>
      </c>
      <c r="D2490" s="8" t="s">
        <v>15164</v>
      </c>
      <c r="E2490" s="8" t="s">
        <v>15158</v>
      </c>
      <c r="F2490" s="8" t="s">
        <v>15159</v>
      </c>
      <c r="G2490" s="6" t="s">
        <v>89</v>
      </c>
      <c r="H2490" s="6" t="s">
        <v>53</v>
      </c>
      <c r="I2490" s="8" t="s">
        <v>100</v>
      </c>
      <c r="J2490" s="9">
        <v>1</v>
      </c>
      <c r="K2490" s="9">
        <v>292</v>
      </c>
      <c r="L2490" s="9">
        <v>2023</v>
      </c>
      <c r="M2490" s="8" t="s">
        <v>15165</v>
      </c>
      <c r="N2490" s="8" t="s">
        <v>79</v>
      </c>
      <c r="O2490" s="8" t="s">
        <v>537</v>
      </c>
      <c r="P2490" s="6" t="s">
        <v>167</v>
      </c>
      <c r="Q2490" s="8" t="s">
        <v>102</v>
      </c>
      <c r="R2490" s="10" t="s">
        <v>15166</v>
      </c>
      <c r="S2490" s="11" t="s">
        <v>15167</v>
      </c>
      <c r="T2490" s="6"/>
      <c r="U2490" s="24" t="str">
        <f>HYPERLINK("https://media.infra-m.ru/1899/1899022/cover/1899022.jpg", "Обложка")</f>
        <v>Обложка</v>
      </c>
      <c r="V2490" s="24" t="str">
        <f>HYPERLINK("https://znanium.ru/catalog/product/1899022", "Ознакомиться")</f>
        <v>Ознакомиться</v>
      </c>
      <c r="W2490" s="8" t="s">
        <v>9885</v>
      </c>
      <c r="X2490" s="6"/>
      <c r="Y2490" s="6"/>
      <c r="Z2490" s="6" t="s">
        <v>104</v>
      </c>
      <c r="AA2490" s="6" t="s">
        <v>793</v>
      </c>
      <c r="AB2490" s="8"/>
    </row>
    <row r="2491" spans="1:28" s="4" customFormat="1" ht="51.95" customHeight="1">
      <c r="A2491" s="5">
        <v>0</v>
      </c>
      <c r="B2491" s="6" t="s">
        <v>15168</v>
      </c>
      <c r="C2491" s="7">
        <v>804</v>
      </c>
      <c r="D2491" s="8" t="s">
        <v>15169</v>
      </c>
      <c r="E2491" s="8" t="s">
        <v>15170</v>
      </c>
      <c r="F2491" s="8" t="s">
        <v>15171</v>
      </c>
      <c r="G2491" s="6" t="s">
        <v>89</v>
      </c>
      <c r="H2491" s="6" t="s">
        <v>77</v>
      </c>
      <c r="I2491" s="8"/>
      <c r="J2491" s="9">
        <v>1</v>
      </c>
      <c r="K2491" s="9">
        <v>160</v>
      </c>
      <c r="L2491" s="9">
        <v>2025</v>
      </c>
      <c r="M2491" s="8" t="s">
        <v>15172</v>
      </c>
      <c r="N2491" s="8" t="s">
        <v>41</v>
      </c>
      <c r="O2491" s="8" t="s">
        <v>1007</v>
      </c>
      <c r="P2491" s="6" t="s">
        <v>43</v>
      </c>
      <c r="Q2491" s="8" t="s">
        <v>44</v>
      </c>
      <c r="R2491" s="10" t="s">
        <v>15173</v>
      </c>
      <c r="S2491" s="11"/>
      <c r="T2491" s="6"/>
      <c r="U2491" s="24" t="str">
        <f>HYPERLINK("https://media.infra-m.ru/2188/2188726/cover/2188726.jpg", "Обложка")</f>
        <v>Обложка</v>
      </c>
      <c r="V2491" s="24" t="str">
        <f>HYPERLINK("https://znanium.ru/catalog/product/1902031", "Ознакомиться")</f>
        <v>Ознакомиться</v>
      </c>
      <c r="W2491" s="8"/>
      <c r="X2491" s="6"/>
      <c r="Y2491" s="6"/>
      <c r="Z2491" s="6"/>
      <c r="AA2491" s="6" t="s">
        <v>622</v>
      </c>
      <c r="AB2491" s="8"/>
    </row>
    <row r="2492" spans="1:28" s="4" customFormat="1" ht="44.1" customHeight="1">
      <c r="A2492" s="5">
        <v>0</v>
      </c>
      <c r="B2492" s="6" t="s">
        <v>15174</v>
      </c>
      <c r="C2492" s="13">
        <v>1844</v>
      </c>
      <c r="D2492" s="8" t="s">
        <v>15175</v>
      </c>
      <c r="E2492" s="8" t="s">
        <v>15176</v>
      </c>
      <c r="F2492" s="8" t="s">
        <v>12400</v>
      </c>
      <c r="G2492" s="6" t="s">
        <v>52</v>
      </c>
      <c r="H2492" s="6" t="s">
        <v>674</v>
      </c>
      <c r="I2492" s="8"/>
      <c r="J2492" s="9">
        <v>1</v>
      </c>
      <c r="K2492" s="9">
        <v>400</v>
      </c>
      <c r="L2492" s="9">
        <v>2023</v>
      </c>
      <c r="M2492" s="8" t="s">
        <v>15177</v>
      </c>
      <c r="N2492" s="8" t="s">
        <v>41</v>
      </c>
      <c r="O2492" s="8" t="s">
        <v>1007</v>
      </c>
      <c r="P2492" s="6" t="s">
        <v>6714</v>
      </c>
      <c r="Q2492" s="8" t="s">
        <v>44</v>
      </c>
      <c r="R2492" s="10" t="s">
        <v>12407</v>
      </c>
      <c r="S2492" s="11"/>
      <c r="T2492" s="6"/>
      <c r="U2492" s="24" t="str">
        <f>HYPERLINK("https://media.infra-m.ru/1900/1900860/cover/1900860.jpg", "Обложка")</f>
        <v>Обложка</v>
      </c>
      <c r="V2492" s="24" t="str">
        <f>HYPERLINK("https://znanium.ru/catalog/product/1219413", "Ознакомиться")</f>
        <v>Ознакомиться</v>
      </c>
      <c r="W2492" s="8" t="s">
        <v>947</v>
      </c>
      <c r="X2492" s="6"/>
      <c r="Y2492" s="6"/>
      <c r="Z2492" s="6"/>
      <c r="AA2492" s="6" t="s">
        <v>418</v>
      </c>
      <c r="AB2492" s="8"/>
    </row>
    <row r="2493" spans="1:28" s="4" customFormat="1" ht="51.95" customHeight="1">
      <c r="A2493" s="5">
        <v>0</v>
      </c>
      <c r="B2493" s="6" t="s">
        <v>15178</v>
      </c>
      <c r="C2493" s="7">
        <v>800</v>
      </c>
      <c r="D2493" s="8" t="s">
        <v>15179</v>
      </c>
      <c r="E2493" s="8" t="s">
        <v>15180</v>
      </c>
      <c r="F2493" s="8" t="s">
        <v>15181</v>
      </c>
      <c r="G2493" s="6" t="s">
        <v>38</v>
      </c>
      <c r="H2493" s="6" t="s">
        <v>53</v>
      </c>
      <c r="I2493" s="8" t="s">
        <v>90</v>
      </c>
      <c r="J2493" s="9">
        <v>1</v>
      </c>
      <c r="K2493" s="9">
        <v>176</v>
      </c>
      <c r="L2493" s="9">
        <v>2023</v>
      </c>
      <c r="M2493" s="8" t="s">
        <v>15182</v>
      </c>
      <c r="N2493" s="8" t="s">
        <v>41</v>
      </c>
      <c r="O2493" s="8" t="s">
        <v>1007</v>
      </c>
      <c r="P2493" s="6" t="s">
        <v>43</v>
      </c>
      <c r="Q2493" s="8" t="s">
        <v>44</v>
      </c>
      <c r="R2493" s="10" t="s">
        <v>12384</v>
      </c>
      <c r="S2493" s="11" t="s">
        <v>6044</v>
      </c>
      <c r="T2493" s="6"/>
      <c r="U2493" s="24" t="str">
        <f>HYPERLINK("https://media.infra-m.ru/1910/1910546/cover/1910546.jpg", "Обложка")</f>
        <v>Обложка</v>
      </c>
      <c r="V2493" s="24" t="str">
        <f>HYPERLINK("https://znanium.ru/catalog/product/1910546", "Ознакомиться")</f>
        <v>Ознакомиться</v>
      </c>
      <c r="W2493" s="8" t="s">
        <v>3426</v>
      </c>
      <c r="X2493" s="6"/>
      <c r="Y2493" s="6"/>
      <c r="Z2493" s="6"/>
      <c r="AA2493" s="6" t="s">
        <v>47</v>
      </c>
      <c r="AB2493" s="8"/>
    </row>
    <row r="2494" spans="1:28" s="4" customFormat="1" ht="44.1" customHeight="1">
      <c r="A2494" s="5">
        <v>0</v>
      </c>
      <c r="B2494" s="6" t="s">
        <v>15183</v>
      </c>
      <c r="C2494" s="13">
        <v>1840</v>
      </c>
      <c r="D2494" s="8" t="s">
        <v>15184</v>
      </c>
      <c r="E2494" s="8" t="s">
        <v>15176</v>
      </c>
      <c r="F2494" s="8" t="s">
        <v>12400</v>
      </c>
      <c r="G2494" s="6" t="s">
        <v>89</v>
      </c>
      <c r="H2494" s="6" t="s">
        <v>674</v>
      </c>
      <c r="I2494" s="8"/>
      <c r="J2494" s="9">
        <v>1</v>
      </c>
      <c r="K2494" s="9">
        <v>352</v>
      </c>
      <c r="L2494" s="9">
        <v>2025</v>
      </c>
      <c r="M2494" s="8" t="s">
        <v>15185</v>
      </c>
      <c r="N2494" s="8" t="s">
        <v>41</v>
      </c>
      <c r="O2494" s="8" t="s">
        <v>1007</v>
      </c>
      <c r="P2494" s="6" t="s">
        <v>187</v>
      </c>
      <c r="Q2494" s="8" t="s">
        <v>44</v>
      </c>
      <c r="R2494" s="10" t="s">
        <v>12407</v>
      </c>
      <c r="S2494" s="11"/>
      <c r="T2494" s="6"/>
      <c r="U2494" s="24" t="str">
        <f>HYPERLINK("https://media.infra-m.ru/2199/2199935/cover/2199935.jpg", "Обложка")</f>
        <v>Обложка</v>
      </c>
      <c r="V2494" s="24" t="str">
        <f>HYPERLINK("https://znanium.ru/catalog/product/2086357", "Ознакомиться")</f>
        <v>Ознакомиться</v>
      </c>
      <c r="W2494" s="8" t="s">
        <v>947</v>
      </c>
      <c r="X2494" s="6"/>
      <c r="Y2494" s="6"/>
      <c r="Z2494" s="6"/>
      <c r="AA2494" s="6" t="s">
        <v>111</v>
      </c>
      <c r="AB2494" s="8"/>
    </row>
    <row r="2495" spans="1:28" s="4" customFormat="1" ht="51.95" customHeight="1">
      <c r="A2495" s="5">
        <v>0</v>
      </c>
      <c r="B2495" s="6" t="s">
        <v>15186</v>
      </c>
      <c r="C2495" s="13">
        <v>2394</v>
      </c>
      <c r="D2495" s="8" t="s">
        <v>15187</v>
      </c>
      <c r="E2495" s="8" t="s">
        <v>15176</v>
      </c>
      <c r="F2495" s="8" t="s">
        <v>15188</v>
      </c>
      <c r="G2495" s="6" t="s">
        <v>52</v>
      </c>
      <c r="H2495" s="6" t="s">
        <v>53</v>
      </c>
      <c r="I2495" s="8" t="s">
        <v>90</v>
      </c>
      <c r="J2495" s="9">
        <v>1</v>
      </c>
      <c r="K2495" s="9">
        <v>553</v>
      </c>
      <c r="L2495" s="9">
        <v>2025</v>
      </c>
      <c r="M2495" s="8" t="s">
        <v>15189</v>
      </c>
      <c r="N2495" s="8" t="s">
        <v>41</v>
      </c>
      <c r="O2495" s="8" t="s">
        <v>1007</v>
      </c>
      <c r="P2495" s="6" t="s">
        <v>167</v>
      </c>
      <c r="Q2495" s="8" t="s">
        <v>44</v>
      </c>
      <c r="R2495" s="10" t="s">
        <v>15190</v>
      </c>
      <c r="S2495" s="11" t="s">
        <v>15191</v>
      </c>
      <c r="T2495" s="6"/>
      <c r="U2495" s="24" t="str">
        <f>HYPERLINK("https://media.infra-m.ru/2173/2173437/cover/2173437.jpg", "Обложка")</f>
        <v>Обложка</v>
      </c>
      <c r="V2495" s="24" t="str">
        <f>HYPERLINK("https://znanium.ru/catalog/product/1324014", "Ознакомиться")</f>
        <v>Ознакомиться</v>
      </c>
      <c r="W2495" s="8" t="s">
        <v>744</v>
      </c>
      <c r="X2495" s="6"/>
      <c r="Y2495" s="6"/>
      <c r="Z2495" s="6"/>
      <c r="AA2495" s="6" t="s">
        <v>47</v>
      </c>
      <c r="AB2495" s="8"/>
    </row>
    <row r="2496" spans="1:28" s="4" customFormat="1" ht="51.95" customHeight="1">
      <c r="A2496" s="5">
        <v>0</v>
      </c>
      <c r="B2496" s="6" t="s">
        <v>15192</v>
      </c>
      <c r="C2496" s="13">
        <v>1124</v>
      </c>
      <c r="D2496" s="8" t="s">
        <v>15193</v>
      </c>
      <c r="E2496" s="8" t="s">
        <v>15176</v>
      </c>
      <c r="F2496" s="8" t="s">
        <v>12422</v>
      </c>
      <c r="G2496" s="6" t="s">
        <v>52</v>
      </c>
      <c r="H2496" s="6" t="s">
        <v>53</v>
      </c>
      <c r="I2496" s="8" t="s">
        <v>90</v>
      </c>
      <c r="J2496" s="9">
        <v>1</v>
      </c>
      <c r="K2496" s="9">
        <v>224</v>
      </c>
      <c r="L2496" s="9">
        <v>2025</v>
      </c>
      <c r="M2496" s="8" t="s">
        <v>15194</v>
      </c>
      <c r="N2496" s="8" t="s">
        <v>41</v>
      </c>
      <c r="O2496" s="8" t="s">
        <v>1007</v>
      </c>
      <c r="P2496" s="6" t="s">
        <v>167</v>
      </c>
      <c r="Q2496" s="8" t="s">
        <v>44</v>
      </c>
      <c r="R2496" s="10" t="s">
        <v>15195</v>
      </c>
      <c r="S2496" s="11" t="s">
        <v>15196</v>
      </c>
      <c r="T2496" s="6"/>
      <c r="U2496" s="24" t="str">
        <f>HYPERLINK("https://media.infra-m.ru/2188/2188749/cover/2188749.jpg", "Обложка")</f>
        <v>Обложка</v>
      </c>
      <c r="V2496" s="24" t="str">
        <f>HYPERLINK("https://znanium.ru/catalog/product/1894504", "Ознакомиться")</f>
        <v>Ознакомиться</v>
      </c>
      <c r="W2496" s="8" t="s">
        <v>4161</v>
      </c>
      <c r="X2496" s="6"/>
      <c r="Y2496" s="6"/>
      <c r="Z2496" s="6"/>
      <c r="AA2496" s="6" t="s">
        <v>72</v>
      </c>
      <c r="AB2496" s="8"/>
    </row>
    <row r="2497" spans="1:28" s="4" customFormat="1" ht="51.95" customHeight="1">
      <c r="A2497" s="5">
        <v>0</v>
      </c>
      <c r="B2497" s="6" t="s">
        <v>15197</v>
      </c>
      <c r="C2497" s="13">
        <v>1814</v>
      </c>
      <c r="D2497" s="8" t="s">
        <v>15198</v>
      </c>
      <c r="E2497" s="8" t="s">
        <v>15176</v>
      </c>
      <c r="F2497" s="8" t="s">
        <v>8149</v>
      </c>
      <c r="G2497" s="6" t="s">
        <v>52</v>
      </c>
      <c r="H2497" s="6" t="s">
        <v>53</v>
      </c>
      <c r="I2497" s="8" t="s">
        <v>90</v>
      </c>
      <c r="J2497" s="9">
        <v>1</v>
      </c>
      <c r="K2497" s="9">
        <v>395</v>
      </c>
      <c r="L2497" s="9">
        <v>2024</v>
      </c>
      <c r="M2497" s="8" t="s">
        <v>15199</v>
      </c>
      <c r="N2497" s="8" t="s">
        <v>41</v>
      </c>
      <c r="O2497" s="8" t="s">
        <v>1007</v>
      </c>
      <c r="P2497" s="6" t="s">
        <v>167</v>
      </c>
      <c r="Q2497" s="8" t="s">
        <v>44</v>
      </c>
      <c r="R2497" s="10" t="s">
        <v>15200</v>
      </c>
      <c r="S2497" s="11" t="s">
        <v>15201</v>
      </c>
      <c r="T2497" s="6"/>
      <c r="U2497" s="24" t="str">
        <f>HYPERLINK("https://media.infra-m.ru/2096/2096818/cover/2096818.jpg", "Обложка")</f>
        <v>Обложка</v>
      </c>
      <c r="V2497" s="24" t="str">
        <f>HYPERLINK("https://znanium.ru/catalog/product/2096818", "Ознакомиться")</f>
        <v>Ознакомиться</v>
      </c>
      <c r="W2497" s="8" t="s">
        <v>3426</v>
      </c>
      <c r="X2497" s="6"/>
      <c r="Y2497" s="6"/>
      <c r="Z2497" s="6"/>
      <c r="AA2497" s="6" t="s">
        <v>47</v>
      </c>
      <c r="AB2497" s="8"/>
    </row>
    <row r="2498" spans="1:28" s="4" customFormat="1" ht="51.95" customHeight="1">
      <c r="A2498" s="5">
        <v>0</v>
      </c>
      <c r="B2498" s="6" t="s">
        <v>15202</v>
      </c>
      <c r="C2498" s="13">
        <v>1954</v>
      </c>
      <c r="D2498" s="8" t="s">
        <v>15203</v>
      </c>
      <c r="E2498" s="8" t="s">
        <v>15176</v>
      </c>
      <c r="F2498" s="8" t="s">
        <v>15204</v>
      </c>
      <c r="G2498" s="6" t="s">
        <v>52</v>
      </c>
      <c r="H2498" s="6" t="s">
        <v>53</v>
      </c>
      <c r="I2498" s="8" t="s">
        <v>90</v>
      </c>
      <c r="J2498" s="9">
        <v>1</v>
      </c>
      <c r="K2498" s="9">
        <v>415</v>
      </c>
      <c r="L2498" s="9">
        <v>2024</v>
      </c>
      <c r="M2498" s="8" t="s">
        <v>15205</v>
      </c>
      <c r="N2498" s="8" t="s">
        <v>41</v>
      </c>
      <c r="O2498" s="8" t="s">
        <v>1007</v>
      </c>
      <c r="P2498" s="6" t="s">
        <v>167</v>
      </c>
      <c r="Q2498" s="8" t="s">
        <v>44</v>
      </c>
      <c r="R2498" s="10" t="s">
        <v>12384</v>
      </c>
      <c r="S2498" s="11"/>
      <c r="T2498" s="6"/>
      <c r="U2498" s="24" t="str">
        <f>HYPERLINK("https://media.infra-m.ru/2139/2139485/cover/2139485.jpg", "Обложка")</f>
        <v>Обложка</v>
      </c>
      <c r="V2498" s="24" t="str">
        <f>HYPERLINK("https://znanium.ru/catalog/product/2139485", "Ознакомиться")</f>
        <v>Ознакомиться</v>
      </c>
      <c r="W2498" s="8" t="s">
        <v>189</v>
      </c>
      <c r="X2498" s="6"/>
      <c r="Y2498" s="6"/>
      <c r="Z2498" s="6"/>
      <c r="AA2498" s="6" t="s">
        <v>111</v>
      </c>
      <c r="AB2498" s="8"/>
    </row>
    <row r="2499" spans="1:28" s="4" customFormat="1" ht="51.95" customHeight="1">
      <c r="A2499" s="5">
        <v>0</v>
      </c>
      <c r="B2499" s="6" t="s">
        <v>15206</v>
      </c>
      <c r="C2499" s="13">
        <v>1114.9000000000001</v>
      </c>
      <c r="D2499" s="8" t="s">
        <v>15207</v>
      </c>
      <c r="E2499" s="8" t="s">
        <v>15176</v>
      </c>
      <c r="F2499" s="8" t="s">
        <v>15208</v>
      </c>
      <c r="G2499" s="6" t="s">
        <v>52</v>
      </c>
      <c r="H2499" s="6" t="s">
        <v>53</v>
      </c>
      <c r="I2499" s="8" t="s">
        <v>90</v>
      </c>
      <c r="J2499" s="9">
        <v>1</v>
      </c>
      <c r="K2499" s="9">
        <v>247</v>
      </c>
      <c r="L2499" s="9">
        <v>2023</v>
      </c>
      <c r="M2499" s="8" t="s">
        <v>15209</v>
      </c>
      <c r="N2499" s="8" t="s">
        <v>41</v>
      </c>
      <c r="O2499" s="8" t="s">
        <v>1007</v>
      </c>
      <c r="P2499" s="6" t="s">
        <v>43</v>
      </c>
      <c r="Q2499" s="8" t="s">
        <v>44</v>
      </c>
      <c r="R2499" s="10" t="s">
        <v>15210</v>
      </c>
      <c r="S2499" s="11" t="s">
        <v>15211</v>
      </c>
      <c r="T2499" s="6"/>
      <c r="U2499" s="24" t="str">
        <f>HYPERLINK("https://media.infra-m.ru/2045/2045809/cover/2045809.jpg", "Обложка")</f>
        <v>Обложка</v>
      </c>
      <c r="V2499" s="24" t="str">
        <f>HYPERLINK("https://znanium.ru/catalog/product/2045809", "Ознакомиться")</f>
        <v>Ознакомиться</v>
      </c>
      <c r="W2499" s="8" t="s">
        <v>1272</v>
      </c>
      <c r="X2499" s="6"/>
      <c r="Y2499" s="6"/>
      <c r="Z2499" s="6"/>
      <c r="AA2499" s="6" t="s">
        <v>84</v>
      </c>
      <c r="AB2499" s="8"/>
    </row>
    <row r="2500" spans="1:28" s="4" customFormat="1" ht="51.95" customHeight="1">
      <c r="A2500" s="5">
        <v>0</v>
      </c>
      <c r="B2500" s="6" t="s">
        <v>15212</v>
      </c>
      <c r="C2500" s="13">
        <v>1250</v>
      </c>
      <c r="D2500" s="8" t="s">
        <v>15213</v>
      </c>
      <c r="E2500" s="8" t="s">
        <v>15176</v>
      </c>
      <c r="F2500" s="8" t="s">
        <v>15214</v>
      </c>
      <c r="G2500" s="6" t="s">
        <v>89</v>
      </c>
      <c r="H2500" s="6" t="s">
        <v>53</v>
      </c>
      <c r="I2500" s="8" t="s">
        <v>116</v>
      </c>
      <c r="J2500" s="9">
        <v>1</v>
      </c>
      <c r="K2500" s="9">
        <v>250</v>
      </c>
      <c r="L2500" s="9">
        <v>2025</v>
      </c>
      <c r="M2500" s="8" t="s">
        <v>15215</v>
      </c>
      <c r="N2500" s="8" t="s">
        <v>41</v>
      </c>
      <c r="O2500" s="8" t="s">
        <v>1007</v>
      </c>
      <c r="P2500" s="6" t="s">
        <v>167</v>
      </c>
      <c r="Q2500" s="8" t="s">
        <v>44</v>
      </c>
      <c r="R2500" s="10" t="s">
        <v>9599</v>
      </c>
      <c r="S2500" s="11" t="s">
        <v>1372</v>
      </c>
      <c r="T2500" s="6"/>
      <c r="U2500" s="24" t="str">
        <f>HYPERLINK("https://media.infra-m.ru/2186/2186890/cover/2186890.jpg", "Обложка")</f>
        <v>Обложка</v>
      </c>
      <c r="V2500" s="24" t="str">
        <f>HYPERLINK("https://znanium.ru/catalog/product/2186890", "Ознакомиться")</f>
        <v>Ознакомиться</v>
      </c>
      <c r="W2500" s="8" t="s">
        <v>1076</v>
      </c>
      <c r="X2500" s="6"/>
      <c r="Y2500" s="6"/>
      <c r="Z2500" s="6"/>
      <c r="AA2500" s="6" t="s">
        <v>84</v>
      </c>
      <c r="AB2500" s="8"/>
    </row>
    <row r="2501" spans="1:28" s="4" customFormat="1" ht="51.95" customHeight="1">
      <c r="A2501" s="5">
        <v>0</v>
      </c>
      <c r="B2501" s="6" t="s">
        <v>15216</v>
      </c>
      <c r="C2501" s="13">
        <v>2174</v>
      </c>
      <c r="D2501" s="8" t="s">
        <v>15217</v>
      </c>
      <c r="E2501" s="8" t="s">
        <v>15218</v>
      </c>
      <c r="F2501" s="8" t="s">
        <v>15219</v>
      </c>
      <c r="G2501" s="6" t="s">
        <v>52</v>
      </c>
      <c r="H2501" s="6" t="s">
        <v>53</v>
      </c>
      <c r="I2501" s="8" t="s">
        <v>100</v>
      </c>
      <c r="J2501" s="9">
        <v>1</v>
      </c>
      <c r="K2501" s="9">
        <v>418</v>
      </c>
      <c r="L2501" s="9">
        <v>2025</v>
      </c>
      <c r="M2501" s="8" t="s">
        <v>15220</v>
      </c>
      <c r="N2501" s="8" t="s">
        <v>41</v>
      </c>
      <c r="O2501" s="8" t="s">
        <v>42</v>
      </c>
      <c r="P2501" s="6" t="s">
        <v>43</v>
      </c>
      <c r="Q2501" s="8" t="s">
        <v>102</v>
      </c>
      <c r="R2501" s="10" t="s">
        <v>15221</v>
      </c>
      <c r="S2501" s="11" t="s">
        <v>15222</v>
      </c>
      <c r="T2501" s="6"/>
      <c r="U2501" s="24" t="str">
        <f>HYPERLINK("https://media.infra-m.ru/2203/2203157/cover/2203157.jpg", "Обложка")</f>
        <v>Обложка</v>
      </c>
      <c r="V2501" s="24" t="str">
        <f>HYPERLINK("https://znanium.ru/catalog/product/2107409", "Ознакомиться")</f>
        <v>Ознакомиться</v>
      </c>
      <c r="W2501" s="8" t="s">
        <v>14016</v>
      </c>
      <c r="X2501" s="6"/>
      <c r="Y2501" s="6"/>
      <c r="Z2501" s="6" t="s">
        <v>104</v>
      </c>
      <c r="AA2501" s="6" t="s">
        <v>196</v>
      </c>
      <c r="AB2501" s="8"/>
    </row>
    <row r="2502" spans="1:28" s="4" customFormat="1" ht="51.95" customHeight="1">
      <c r="A2502" s="5">
        <v>0</v>
      </c>
      <c r="B2502" s="6" t="s">
        <v>15223</v>
      </c>
      <c r="C2502" s="13">
        <v>2174</v>
      </c>
      <c r="D2502" s="8" t="s">
        <v>15224</v>
      </c>
      <c r="E2502" s="8" t="s">
        <v>15218</v>
      </c>
      <c r="F2502" s="8" t="s">
        <v>15225</v>
      </c>
      <c r="G2502" s="6" t="s">
        <v>52</v>
      </c>
      <c r="H2502" s="6" t="s">
        <v>53</v>
      </c>
      <c r="I2502" s="8" t="s">
        <v>116</v>
      </c>
      <c r="J2502" s="9">
        <v>1</v>
      </c>
      <c r="K2502" s="9">
        <v>418</v>
      </c>
      <c r="L2502" s="9">
        <v>2025</v>
      </c>
      <c r="M2502" s="8" t="s">
        <v>15226</v>
      </c>
      <c r="N2502" s="8" t="s">
        <v>41</v>
      </c>
      <c r="O2502" s="8" t="s">
        <v>42</v>
      </c>
      <c r="P2502" s="6" t="s">
        <v>43</v>
      </c>
      <c r="Q2502" s="8" t="s">
        <v>44</v>
      </c>
      <c r="R2502" s="10" t="s">
        <v>15227</v>
      </c>
      <c r="S2502" s="11" t="s">
        <v>15228</v>
      </c>
      <c r="T2502" s="6"/>
      <c r="U2502" s="24" t="str">
        <f>HYPERLINK("https://media.infra-m.ru/2193/2193744/cover/2193744.jpg", "Обложка")</f>
        <v>Обложка</v>
      </c>
      <c r="V2502" s="24" t="str">
        <f>HYPERLINK("https://znanium.ru/catalog/product/2193744", "Ознакомиться")</f>
        <v>Ознакомиться</v>
      </c>
      <c r="W2502" s="8" t="s">
        <v>14016</v>
      </c>
      <c r="X2502" s="6"/>
      <c r="Y2502" s="6"/>
      <c r="Z2502" s="6"/>
      <c r="AA2502" s="6" t="s">
        <v>326</v>
      </c>
      <c r="AB2502" s="8"/>
    </row>
    <row r="2503" spans="1:28" s="4" customFormat="1" ht="51.95" customHeight="1">
      <c r="A2503" s="5">
        <v>0</v>
      </c>
      <c r="B2503" s="6" t="s">
        <v>15229</v>
      </c>
      <c r="C2503" s="13">
        <v>1300</v>
      </c>
      <c r="D2503" s="8" t="s">
        <v>15230</v>
      </c>
      <c r="E2503" s="8" t="s">
        <v>15231</v>
      </c>
      <c r="F2503" s="8" t="s">
        <v>15232</v>
      </c>
      <c r="G2503" s="6" t="s">
        <v>89</v>
      </c>
      <c r="H2503" s="6" t="s">
        <v>53</v>
      </c>
      <c r="I2503" s="8" t="s">
        <v>15233</v>
      </c>
      <c r="J2503" s="9">
        <v>1</v>
      </c>
      <c r="K2503" s="9">
        <v>281</v>
      </c>
      <c r="L2503" s="9">
        <v>2024</v>
      </c>
      <c r="M2503" s="8" t="s">
        <v>15234</v>
      </c>
      <c r="N2503" s="8" t="s">
        <v>41</v>
      </c>
      <c r="O2503" s="8" t="s">
        <v>42</v>
      </c>
      <c r="P2503" s="6" t="s">
        <v>43</v>
      </c>
      <c r="Q2503" s="8" t="s">
        <v>102</v>
      </c>
      <c r="R2503" s="10" t="s">
        <v>15235</v>
      </c>
      <c r="S2503" s="11" t="s">
        <v>15236</v>
      </c>
      <c r="T2503" s="6"/>
      <c r="U2503" s="24" t="str">
        <f>HYPERLINK("https://media.infra-m.ru/2099/2099053/cover/2099053.jpg", "Обложка")</f>
        <v>Обложка</v>
      </c>
      <c r="V2503" s="24" t="str">
        <f>HYPERLINK("https://znanium.ru/catalog/product/2099053", "Ознакомиться")</f>
        <v>Ознакомиться</v>
      </c>
      <c r="W2503" s="8" t="s">
        <v>150</v>
      </c>
      <c r="X2503" s="6"/>
      <c r="Y2503" s="6"/>
      <c r="Z2503" s="6"/>
      <c r="AA2503" s="6" t="s">
        <v>793</v>
      </c>
      <c r="AB2503" s="8" t="s">
        <v>906</v>
      </c>
    </row>
    <row r="2504" spans="1:28" s="4" customFormat="1" ht="51.95" customHeight="1">
      <c r="A2504" s="5">
        <v>0</v>
      </c>
      <c r="B2504" s="6" t="s">
        <v>15237</v>
      </c>
      <c r="C2504" s="13">
        <v>1700</v>
      </c>
      <c r="D2504" s="8" t="s">
        <v>15238</v>
      </c>
      <c r="E2504" s="8" t="s">
        <v>15239</v>
      </c>
      <c r="F2504" s="8" t="s">
        <v>15240</v>
      </c>
      <c r="G2504" s="6" t="s">
        <v>89</v>
      </c>
      <c r="H2504" s="6" t="s">
        <v>53</v>
      </c>
      <c r="I2504" s="8" t="s">
        <v>116</v>
      </c>
      <c r="J2504" s="9">
        <v>1</v>
      </c>
      <c r="K2504" s="9">
        <v>370</v>
      </c>
      <c r="L2504" s="9">
        <v>2024</v>
      </c>
      <c r="M2504" s="8" t="s">
        <v>15241</v>
      </c>
      <c r="N2504" s="8" t="s">
        <v>41</v>
      </c>
      <c r="O2504" s="8" t="s">
        <v>1007</v>
      </c>
      <c r="P2504" s="6" t="s">
        <v>167</v>
      </c>
      <c r="Q2504" s="8" t="s">
        <v>44</v>
      </c>
      <c r="R2504" s="10" t="s">
        <v>1278</v>
      </c>
      <c r="S2504" s="11" t="s">
        <v>15242</v>
      </c>
      <c r="T2504" s="6" t="s">
        <v>299</v>
      </c>
      <c r="U2504" s="24" t="str">
        <f>HYPERLINK("https://media.infra-m.ru/2073/2073483/cover/2073483.jpg", "Обложка")</f>
        <v>Обложка</v>
      </c>
      <c r="V2504" s="24" t="str">
        <f>HYPERLINK("https://znanium.ru/catalog/product/2073483", "Ознакомиться")</f>
        <v>Ознакомиться</v>
      </c>
      <c r="W2504" s="8" t="s">
        <v>83</v>
      </c>
      <c r="X2504" s="6"/>
      <c r="Y2504" s="6"/>
      <c r="Z2504" s="6"/>
      <c r="AA2504" s="6" t="s">
        <v>442</v>
      </c>
      <c r="AB2504" s="8"/>
    </row>
    <row r="2505" spans="1:28" s="4" customFormat="1" ht="51.95" customHeight="1">
      <c r="A2505" s="5">
        <v>0</v>
      </c>
      <c r="B2505" s="6" t="s">
        <v>15243</v>
      </c>
      <c r="C2505" s="13">
        <v>2000</v>
      </c>
      <c r="D2505" s="8" t="s">
        <v>15244</v>
      </c>
      <c r="E2505" s="8" t="s">
        <v>15245</v>
      </c>
      <c r="F2505" s="8" t="s">
        <v>15246</v>
      </c>
      <c r="G2505" s="6" t="s">
        <v>89</v>
      </c>
      <c r="H2505" s="6" t="s">
        <v>952</v>
      </c>
      <c r="I2505" s="8"/>
      <c r="J2505" s="9">
        <v>1</v>
      </c>
      <c r="K2505" s="9">
        <v>400</v>
      </c>
      <c r="L2505" s="9">
        <v>2024</v>
      </c>
      <c r="M2505" s="8" t="s">
        <v>15247</v>
      </c>
      <c r="N2505" s="8" t="s">
        <v>41</v>
      </c>
      <c r="O2505" s="8" t="s">
        <v>1007</v>
      </c>
      <c r="P2505" s="6" t="s">
        <v>167</v>
      </c>
      <c r="Q2505" s="8" t="s">
        <v>44</v>
      </c>
      <c r="R2505" s="10" t="s">
        <v>15248</v>
      </c>
      <c r="S2505" s="11"/>
      <c r="T2505" s="6"/>
      <c r="U2505" s="24" t="str">
        <f>HYPERLINK("https://media.infra-m.ru/2156/2156902/cover/2156902.jpg", "Обложка")</f>
        <v>Обложка</v>
      </c>
      <c r="V2505" s="24" t="str">
        <f>HYPERLINK("https://znanium.ru/catalog/product/1744672", "Ознакомиться")</f>
        <v>Ознакомиться</v>
      </c>
      <c r="W2505" s="8" t="s">
        <v>189</v>
      </c>
      <c r="X2505" s="6"/>
      <c r="Y2505" s="6"/>
      <c r="Z2505" s="6"/>
      <c r="AA2505" s="6" t="s">
        <v>2414</v>
      </c>
      <c r="AB2505" s="8"/>
    </row>
    <row r="2506" spans="1:28" s="4" customFormat="1" ht="51.95" customHeight="1">
      <c r="A2506" s="5">
        <v>0</v>
      </c>
      <c r="B2506" s="6" t="s">
        <v>15249</v>
      </c>
      <c r="C2506" s="13">
        <v>1030</v>
      </c>
      <c r="D2506" s="8" t="s">
        <v>15250</v>
      </c>
      <c r="E2506" s="8" t="s">
        <v>15239</v>
      </c>
      <c r="F2506" s="8" t="s">
        <v>15251</v>
      </c>
      <c r="G2506" s="6" t="s">
        <v>38</v>
      </c>
      <c r="H2506" s="6" t="s">
        <v>184</v>
      </c>
      <c r="I2506" s="8" t="s">
        <v>90</v>
      </c>
      <c r="J2506" s="9">
        <v>1</v>
      </c>
      <c r="K2506" s="9">
        <v>228</v>
      </c>
      <c r="L2506" s="9">
        <v>2022</v>
      </c>
      <c r="M2506" s="8" t="s">
        <v>15252</v>
      </c>
      <c r="N2506" s="8" t="s">
        <v>41</v>
      </c>
      <c r="O2506" s="8" t="s">
        <v>1007</v>
      </c>
      <c r="P2506" s="6" t="s">
        <v>167</v>
      </c>
      <c r="Q2506" s="8" t="s">
        <v>44</v>
      </c>
      <c r="R2506" s="10" t="s">
        <v>15253</v>
      </c>
      <c r="S2506" s="11"/>
      <c r="T2506" s="6" t="s">
        <v>299</v>
      </c>
      <c r="U2506" s="24" t="str">
        <f>HYPERLINK("https://media.infra-m.ru/1926/1926423/cover/1926423.jpg", "Обложка")</f>
        <v>Обложка</v>
      </c>
      <c r="V2506" s="24" t="str">
        <f>HYPERLINK("https://znanium.ru/catalog/product/1926423", "Ознакомиться")</f>
        <v>Ознакомиться</v>
      </c>
      <c r="W2506" s="8" t="s">
        <v>15254</v>
      </c>
      <c r="X2506" s="6"/>
      <c r="Y2506" s="6"/>
      <c r="Z2506" s="6"/>
      <c r="AA2506" s="6" t="s">
        <v>418</v>
      </c>
      <c r="AB2506" s="8"/>
    </row>
    <row r="2507" spans="1:28" s="4" customFormat="1" ht="51.95" customHeight="1">
      <c r="A2507" s="5">
        <v>0</v>
      </c>
      <c r="B2507" s="6" t="s">
        <v>15255</v>
      </c>
      <c r="C2507" s="13">
        <v>1240</v>
      </c>
      <c r="D2507" s="8" t="s">
        <v>15256</v>
      </c>
      <c r="E2507" s="8" t="s">
        <v>15239</v>
      </c>
      <c r="F2507" s="8" t="s">
        <v>15257</v>
      </c>
      <c r="G2507" s="6" t="s">
        <v>89</v>
      </c>
      <c r="H2507" s="6" t="s">
        <v>53</v>
      </c>
      <c r="I2507" s="8" t="s">
        <v>15258</v>
      </c>
      <c r="J2507" s="9">
        <v>1</v>
      </c>
      <c r="K2507" s="9">
        <v>275</v>
      </c>
      <c r="L2507" s="9">
        <v>2023</v>
      </c>
      <c r="M2507" s="8" t="s">
        <v>15259</v>
      </c>
      <c r="N2507" s="8" t="s">
        <v>41</v>
      </c>
      <c r="O2507" s="8" t="s">
        <v>1007</v>
      </c>
      <c r="P2507" s="6" t="s">
        <v>167</v>
      </c>
      <c r="Q2507" s="8" t="s">
        <v>44</v>
      </c>
      <c r="R2507" s="10" t="s">
        <v>2461</v>
      </c>
      <c r="S2507" s="11" t="s">
        <v>15260</v>
      </c>
      <c r="T2507" s="6"/>
      <c r="U2507" s="24" t="str">
        <f>HYPERLINK("https://media.infra-m.ru/1894/1894755/cover/1894755.jpg", "Обложка")</f>
        <v>Обложка</v>
      </c>
      <c r="V2507" s="24" t="str">
        <f>HYPERLINK("https://znanium.ru/catalog/product/1894755", "Ознакомиться")</f>
        <v>Ознакомиться</v>
      </c>
      <c r="W2507" s="8" t="s">
        <v>9295</v>
      </c>
      <c r="X2507" s="6"/>
      <c r="Y2507" s="6"/>
      <c r="Z2507" s="6"/>
      <c r="AA2507" s="6" t="s">
        <v>219</v>
      </c>
      <c r="AB2507" s="8"/>
    </row>
    <row r="2508" spans="1:28" s="4" customFormat="1" ht="51.95" customHeight="1">
      <c r="A2508" s="5">
        <v>0</v>
      </c>
      <c r="B2508" s="6" t="s">
        <v>15261</v>
      </c>
      <c r="C2508" s="7">
        <v>760</v>
      </c>
      <c r="D2508" s="8" t="s">
        <v>15262</v>
      </c>
      <c r="E2508" s="8" t="s">
        <v>15263</v>
      </c>
      <c r="F2508" s="8" t="s">
        <v>15264</v>
      </c>
      <c r="G2508" s="6" t="s">
        <v>89</v>
      </c>
      <c r="H2508" s="6" t="s">
        <v>53</v>
      </c>
      <c r="I2508" s="8" t="s">
        <v>165</v>
      </c>
      <c r="J2508" s="9">
        <v>1</v>
      </c>
      <c r="K2508" s="9">
        <v>164</v>
      </c>
      <c r="L2508" s="9">
        <v>2024</v>
      </c>
      <c r="M2508" s="8" t="s">
        <v>15265</v>
      </c>
      <c r="N2508" s="8" t="s">
        <v>41</v>
      </c>
      <c r="O2508" s="8" t="s">
        <v>1007</v>
      </c>
      <c r="P2508" s="6" t="s">
        <v>43</v>
      </c>
      <c r="Q2508" s="8" t="s">
        <v>44</v>
      </c>
      <c r="R2508" s="10" t="s">
        <v>2461</v>
      </c>
      <c r="S2508" s="11" t="s">
        <v>15266</v>
      </c>
      <c r="T2508" s="6" t="s">
        <v>299</v>
      </c>
      <c r="U2508" s="24" t="str">
        <f>HYPERLINK("https://media.infra-m.ru/2108/2108587/cover/2108587.jpg", "Обложка")</f>
        <v>Обложка</v>
      </c>
      <c r="V2508" s="24" t="str">
        <f>HYPERLINK("https://znanium.ru/catalog/product/2108587", "Ознакомиться")</f>
        <v>Ознакомиться</v>
      </c>
      <c r="W2508" s="8" t="s">
        <v>83</v>
      </c>
      <c r="X2508" s="6"/>
      <c r="Y2508" s="6"/>
      <c r="Z2508" s="6"/>
      <c r="AA2508" s="6" t="s">
        <v>1259</v>
      </c>
      <c r="AB2508" s="8"/>
    </row>
    <row r="2509" spans="1:28" s="4" customFormat="1" ht="42" customHeight="1">
      <c r="A2509" s="5">
        <v>0</v>
      </c>
      <c r="B2509" s="6" t="s">
        <v>15267</v>
      </c>
      <c r="C2509" s="7">
        <v>360</v>
      </c>
      <c r="D2509" s="8" t="s">
        <v>15268</v>
      </c>
      <c r="E2509" s="8" t="s">
        <v>15239</v>
      </c>
      <c r="F2509" s="8" t="s">
        <v>15264</v>
      </c>
      <c r="G2509" s="6" t="s">
        <v>38</v>
      </c>
      <c r="H2509" s="6" t="s">
        <v>77</v>
      </c>
      <c r="I2509" s="8" t="s">
        <v>2979</v>
      </c>
      <c r="J2509" s="9">
        <v>1</v>
      </c>
      <c r="K2509" s="9">
        <v>136</v>
      </c>
      <c r="L2509" s="9">
        <v>2018</v>
      </c>
      <c r="M2509" s="8" t="s">
        <v>15269</v>
      </c>
      <c r="N2509" s="8" t="s">
        <v>41</v>
      </c>
      <c r="O2509" s="8" t="s">
        <v>1204</v>
      </c>
      <c r="P2509" s="6" t="s">
        <v>187</v>
      </c>
      <c r="Q2509" s="8" t="s">
        <v>44</v>
      </c>
      <c r="R2509" s="10" t="s">
        <v>2461</v>
      </c>
      <c r="S2509" s="11"/>
      <c r="T2509" s="6"/>
      <c r="U2509" s="24" t="str">
        <f>HYPERLINK("https://media.infra-m.ru/0926/0926578/cover/926578.jpg", "Обложка")</f>
        <v>Обложка</v>
      </c>
      <c r="V2509" s="24" t="str">
        <f>HYPERLINK("https://znanium.ru/catalog/product/2108587", "Ознакомиться")</f>
        <v>Ознакомиться</v>
      </c>
      <c r="W2509" s="8" t="s">
        <v>83</v>
      </c>
      <c r="X2509" s="6"/>
      <c r="Y2509" s="6"/>
      <c r="Z2509" s="6"/>
      <c r="AA2509" s="6" t="s">
        <v>418</v>
      </c>
      <c r="AB2509" s="8"/>
    </row>
    <row r="2510" spans="1:28" s="4" customFormat="1" ht="51.95" customHeight="1">
      <c r="A2510" s="5">
        <v>0</v>
      </c>
      <c r="B2510" s="6" t="s">
        <v>15270</v>
      </c>
      <c r="C2510" s="13">
        <v>1200</v>
      </c>
      <c r="D2510" s="8" t="s">
        <v>15271</v>
      </c>
      <c r="E2510" s="8" t="s">
        <v>15239</v>
      </c>
      <c r="F2510" s="8" t="s">
        <v>15272</v>
      </c>
      <c r="G2510" s="6" t="s">
        <v>89</v>
      </c>
      <c r="H2510" s="6" t="s">
        <v>184</v>
      </c>
      <c r="I2510" s="8" t="s">
        <v>90</v>
      </c>
      <c r="J2510" s="9">
        <v>1</v>
      </c>
      <c r="K2510" s="9">
        <v>259</v>
      </c>
      <c r="L2510" s="9">
        <v>2023</v>
      </c>
      <c r="M2510" s="8" t="s">
        <v>15273</v>
      </c>
      <c r="N2510" s="8" t="s">
        <v>41</v>
      </c>
      <c r="O2510" s="8" t="s">
        <v>1007</v>
      </c>
      <c r="P2510" s="6" t="s">
        <v>43</v>
      </c>
      <c r="Q2510" s="8" t="s">
        <v>44</v>
      </c>
      <c r="R2510" s="10" t="s">
        <v>15274</v>
      </c>
      <c r="S2510" s="11" t="s">
        <v>15275</v>
      </c>
      <c r="T2510" s="6"/>
      <c r="U2510" s="24" t="str">
        <f>HYPERLINK("https://media.infra-m.ru/2125/2125167/cover/2125167.jpg", "Обложка")</f>
        <v>Обложка</v>
      </c>
      <c r="V2510" s="24" t="str">
        <f>HYPERLINK("https://znanium.ru/catalog/product/2125167", "Ознакомиться")</f>
        <v>Ознакомиться</v>
      </c>
      <c r="W2510" s="8" t="s">
        <v>94</v>
      </c>
      <c r="X2510" s="6"/>
      <c r="Y2510" s="6"/>
      <c r="Z2510" s="6"/>
      <c r="AA2510" s="6" t="s">
        <v>442</v>
      </c>
      <c r="AB2510" s="8"/>
    </row>
    <row r="2511" spans="1:28" s="4" customFormat="1" ht="51.95" customHeight="1">
      <c r="A2511" s="5">
        <v>0</v>
      </c>
      <c r="B2511" s="6" t="s">
        <v>15276</v>
      </c>
      <c r="C2511" s="13">
        <v>1794</v>
      </c>
      <c r="D2511" s="8" t="s">
        <v>15277</v>
      </c>
      <c r="E2511" s="8" t="s">
        <v>15278</v>
      </c>
      <c r="F2511" s="8" t="s">
        <v>15279</v>
      </c>
      <c r="G2511" s="6" t="s">
        <v>52</v>
      </c>
      <c r="H2511" s="6" t="s">
        <v>952</v>
      </c>
      <c r="I2511" s="8"/>
      <c r="J2511" s="9">
        <v>1</v>
      </c>
      <c r="K2511" s="9">
        <v>399</v>
      </c>
      <c r="L2511" s="9">
        <v>2024</v>
      </c>
      <c r="M2511" s="8" t="s">
        <v>15280</v>
      </c>
      <c r="N2511" s="8" t="s">
        <v>41</v>
      </c>
      <c r="O2511" s="8" t="s">
        <v>1007</v>
      </c>
      <c r="P2511" s="6" t="s">
        <v>43</v>
      </c>
      <c r="Q2511" s="8" t="s">
        <v>44</v>
      </c>
      <c r="R2511" s="10" t="s">
        <v>15281</v>
      </c>
      <c r="S2511" s="11"/>
      <c r="T2511" s="6"/>
      <c r="U2511" s="24" t="str">
        <f>HYPERLINK("https://media.infra-m.ru/2058/2058771/cover/2058771.jpg", "Обложка")</f>
        <v>Обложка</v>
      </c>
      <c r="V2511" s="24" t="str">
        <f>HYPERLINK("https://znanium.ru/catalog/product/2058771", "Ознакомиться")</f>
        <v>Ознакомиться</v>
      </c>
      <c r="W2511" s="8" t="s">
        <v>15282</v>
      </c>
      <c r="X2511" s="6"/>
      <c r="Y2511" s="6"/>
      <c r="Z2511" s="6"/>
      <c r="AA2511" s="6" t="s">
        <v>2217</v>
      </c>
      <c r="AB2511" s="8"/>
    </row>
    <row r="2512" spans="1:28" s="4" customFormat="1" ht="51.95" customHeight="1">
      <c r="A2512" s="5">
        <v>0</v>
      </c>
      <c r="B2512" s="6" t="s">
        <v>15283</v>
      </c>
      <c r="C2512" s="13">
        <v>2350</v>
      </c>
      <c r="D2512" s="8" t="s">
        <v>15284</v>
      </c>
      <c r="E2512" s="8" t="s">
        <v>15285</v>
      </c>
      <c r="F2512" s="8" t="s">
        <v>15286</v>
      </c>
      <c r="G2512" s="6" t="s">
        <v>52</v>
      </c>
      <c r="H2512" s="6" t="s">
        <v>53</v>
      </c>
      <c r="I2512" s="8" t="s">
        <v>116</v>
      </c>
      <c r="J2512" s="9">
        <v>1</v>
      </c>
      <c r="K2512" s="9">
        <v>452</v>
      </c>
      <c r="L2512" s="9">
        <v>2025</v>
      </c>
      <c r="M2512" s="8" t="s">
        <v>15287</v>
      </c>
      <c r="N2512" s="8" t="s">
        <v>41</v>
      </c>
      <c r="O2512" s="8" t="s">
        <v>1007</v>
      </c>
      <c r="P2512" s="6" t="s">
        <v>167</v>
      </c>
      <c r="Q2512" s="8" t="s">
        <v>44</v>
      </c>
      <c r="R2512" s="10" t="s">
        <v>15288</v>
      </c>
      <c r="S2512" s="11" t="s">
        <v>7907</v>
      </c>
      <c r="T2512" s="6"/>
      <c r="U2512" s="24" t="str">
        <f>HYPERLINK("https://media.infra-m.ru/2157/2157179/cover/2157179.jpg", "Обложка")</f>
        <v>Обложка</v>
      </c>
      <c r="V2512" s="24" t="str">
        <f>HYPERLINK("https://znanium.ru/catalog/product/2157179", "Ознакомиться")</f>
        <v>Ознакомиться</v>
      </c>
      <c r="W2512" s="8" t="s">
        <v>354</v>
      </c>
      <c r="X2512" s="6" t="s">
        <v>60</v>
      </c>
      <c r="Y2512" s="6"/>
      <c r="Z2512" s="6"/>
      <c r="AA2512" s="6" t="s">
        <v>61</v>
      </c>
      <c r="AB2512" s="8" t="s">
        <v>7908</v>
      </c>
    </row>
    <row r="2513" spans="1:28" s="4" customFormat="1" ht="51.95" customHeight="1">
      <c r="A2513" s="5">
        <v>0</v>
      </c>
      <c r="B2513" s="6" t="s">
        <v>15289</v>
      </c>
      <c r="C2513" s="13">
        <v>1914</v>
      </c>
      <c r="D2513" s="8" t="s">
        <v>15290</v>
      </c>
      <c r="E2513" s="8" t="s">
        <v>15291</v>
      </c>
      <c r="F2513" s="8" t="s">
        <v>15292</v>
      </c>
      <c r="G2513" s="6" t="s">
        <v>89</v>
      </c>
      <c r="H2513" s="6" t="s">
        <v>53</v>
      </c>
      <c r="I2513" s="8" t="s">
        <v>116</v>
      </c>
      <c r="J2513" s="9">
        <v>1</v>
      </c>
      <c r="K2513" s="9">
        <v>369</v>
      </c>
      <c r="L2513" s="9">
        <v>2025</v>
      </c>
      <c r="M2513" s="8" t="s">
        <v>15293</v>
      </c>
      <c r="N2513" s="8" t="s">
        <v>41</v>
      </c>
      <c r="O2513" s="8" t="s">
        <v>1007</v>
      </c>
      <c r="P2513" s="6" t="s">
        <v>167</v>
      </c>
      <c r="Q2513" s="8" t="s">
        <v>58</v>
      </c>
      <c r="R2513" s="10" t="s">
        <v>15294</v>
      </c>
      <c r="S2513" s="11" t="s">
        <v>15295</v>
      </c>
      <c r="T2513" s="6"/>
      <c r="U2513" s="24" t="str">
        <f>HYPERLINK("https://media.infra-m.ru/2192/2192942/cover/2192942.jpg", "Обложка")</f>
        <v>Обложка</v>
      </c>
      <c r="V2513" s="24" t="str">
        <f>HYPERLINK("https://znanium.ru/catalog/product/2008762", "Ознакомиться")</f>
        <v>Ознакомиться</v>
      </c>
      <c r="W2513" s="8" t="s">
        <v>1233</v>
      </c>
      <c r="X2513" s="6"/>
      <c r="Y2513" s="6"/>
      <c r="Z2513" s="6"/>
      <c r="AA2513" s="6" t="s">
        <v>5034</v>
      </c>
      <c r="AB2513" s="8"/>
    </row>
    <row r="2514" spans="1:28" s="4" customFormat="1" ht="51.95" customHeight="1">
      <c r="A2514" s="5">
        <v>0</v>
      </c>
      <c r="B2514" s="6" t="s">
        <v>15296</v>
      </c>
      <c r="C2514" s="13">
        <v>1330</v>
      </c>
      <c r="D2514" s="8" t="s">
        <v>15297</v>
      </c>
      <c r="E2514" s="8" t="s">
        <v>15298</v>
      </c>
      <c r="F2514" s="8" t="s">
        <v>5700</v>
      </c>
      <c r="G2514" s="6" t="s">
        <v>89</v>
      </c>
      <c r="H2514" s="6" t="s">
        <v>53</v>
      </c>
      <c r="I2514" s="8" t="s">
        <v>116</v>
      </c>
      <c r="J2514" s="9">
        <v>1</v>
      </c>
      <c r="K2514" s="9">
        <v>288</v>
      </c>
      <c r="L2514" s="9">
        <v>2024</v>
      </c>
      <c r="M2514" s="8" t="s">
        <v>15299</v>
      </c>
      <c r="N2514" s="8" t="s">
        <v>41</v>
      </c>
      <c r="O2514" s="8" t="s">
        <v>1007</v>
      </c>
      <c r="P2514" s="6" t="s">
        <v>167</v>
      </c>
      <c r="Q2514" s="8" t="s">
        <v>44</v>
      </c>
      <c r="R2514" s="10" t="s">
        <v>6064</v>
      </c>
      <c r="S2514" s="11" t="s">
        <v>15300</v>
      </c>
      <c r="T2514" s="6"/>
      <c r="U2514" s="24" t="str">
        <f>HYPERLINK("https://media.infra-m.ru/2084/2084531/cover/2084531.jpg", "Обложка")</f>
        <v>Обложка</v>
      </c>
      <c r="V2514" s="24" t="str">
        <f>HYPERLINK("https://znanium.ru/catalog/product/2084531", "Ознакомиться")</f>
        <v>Ознакомиться</v>
      </c>
      <c r="W2514" s="8" t="s">
        <v>450</v>
      </c>
      <c r="X2514" s="6"/>
      <c r="Y2514" s="6"/>
      <c r="Z2514" s="6"/>
      <c r="AA2514" s="6" t="s">
        <v>160</v>
      </c>
      <c r="AB2514" s="8"/>
    </row>
    <row r="2515" spans="1:28" s="4" customFormat="1" ht="51.95" customHeight="1">
      <c r="A2515" s="5">
        <v>0</v>
      </c>
      <c r="B2515" s="6" t="s">
        <v>15301</v>
      </c>
      <c r="C2515" s="13">
        <v>1004.9</v>
      </c>
      <c r="D2515" s="8" t="s">
        <v>15302</v>
      </c>
      <c r="E2515" s="8" t="s">
        <v>15303</v>
      </c>
      <c r="F2515" s="8" t="s">
        <v>15292</v>
      </c>
      <c r="G2515" s="6" t="s">
        <v>52</v>
      </c>
      <c r="H2515" s="6" t="s">
        <v>53</v>
      </c>
      <c r="I2515" s="8" t="s">
        <v>90</v>
      </c>
      <c r="J2515" s="9">
        <v>1</v>
      </c>
      <c r="K2515" s="9">
        <v>344</v>
      </c>
      <c r="L2515" s="9">
        <v>2017</v>
      </c>
      <c r="M2515" s="8" t="s">
        <v>15304</v>
      </c>
      <c r="N2515" s="8" t="s">
        <v>41</v>
      </c>
      <c r="O2515" s="8" t="s">
        <v>1007</v>
      </c>
      <c r="P2515" s="6" t="s">
        <v>167</v>
      </c>
      <c r="Q2515" s="8" t="s">
        <v>44</v>
      </c>
      <c r="R2515" s="10" t="s">
        <v>15294</v>
      </c>
      <c r="S2515" s="11" t="s">
        <v>15305</v>
      </c>
      <c r="T2515" s="6"/>
      <c r="U2515" s="24" t="str">
        <f>HYPERLINK("https://media.infra-m.ru/0895/0895221/cover/895221.jpg", "Обложка")</f>
        <v>Обложка</v>
      </c>
      <c r="V2515" s="24" t="str">
        <f>HYPERLINK("https://znanium.ru/catalog/product/2008762", "Ознакомиться")</f>
        <v>Ознакомиться</v>
      </c>
      <c r="W2515" s="8" t="s">
        <v>1233</v>
      </c>
      <c r="X2515" s="6"/>
      <c r="Y2515" s="6"/>
      <c r="Z2515" s="6"/>
      <c r="AA2515" s="6" t="s">
        <v>244</v>
      </c>
      <c r="AB2515" s="8"/>
    </row>
    <row r="2516" spans="1:28" s="4" customFormat="1" ht="51.95" customHeight="1">
      <c r="A2516" s="5">
        <v>0</v>
      </c>
      <c r="B2516" s="6" t="s">
        <v>15306</v>
      </c>
      <c r="C2516" s="13">
        <v>1914</v>
      </c>
      <c r="D2516" s="8" t="s">
        <v>15307</v>
      </c>
      <c r="E2516" s="8" t="s">
        <v>15285</v>
      </c>
      <c r="F2516" s="8" t="s">
        <v>15279</v>
      </c>
      <c r="G2516" s="6" t="s">
        <v>52</v>
      </c>
      <c r="H2516" s="6" t="s">
        <v>952</v>
      </c>
      <c r="I2516" s="8"/>
      <c r="J2516" s="9">
        <v>8</v>
      </c>
      <c r="K2516" s="9">
        <v>416</v>
      </c>
      <c r="L2516" s="9">
        <v>2024</v>
      </c>
      <c r="M2516" s="8" t="s">
        <v>15308</v>
      </c>
      <c r="N2516" s="8" t="s">
        <v>41</v>
      </c>
      <c r="O2516" s="8" t="s">
        <v>1007</v>
      </c>
      <c r="P2516" s="6" t="s">
        <v>43</v>
      </c>
      <c r="Q2516" s="8" t="s">
        <v>44</v>
      </c>
      <c r="R2516" s="10" t="s">
        <v>15309</v>
      </c>
      <c r="S2516" s="11"/>
      <c r="T2516" s="6"/>
      <c r="U2516" s="24" t="str">
        <f>HYPERLINK("https://media.infra-m.ru/2091/2091932/cover/2091932.jpg", "Обложка")</f>
        <v>Обложка</v>
      </c>
      <c r="V2516" s="24" t="str">
        <f>HYPERLINK("https://znanium.ru/catalog/product/2091932", "Ознакомиться")</f>
        <v>Ознакомиться</v>
      </c>
      <c r="W2516" s="8" t="s">
        <v>15282</v>
      </c>
      <c r="X2516" s="6"/>
      <c r="Y2516" s="6"/>
      <c r="Z2516" s="6"/>
      <c r="AA2516" s="6" t="s">
        <v>47</v>
      </c>
      <c r="AB2516" s="8"/>
    </row>
    <row r="2517" spans="1:28" s="4" customFormat="1" ht="51.95" customHeight="1">
      <c r="A2517" s="5">
        <v>0</v>
      </c>
      <c r="B2517" s="6" t="s">
        <v>15310</v>
      </c>
      <c r="C2517" s="13">
        <v>1654.9</v>
      </c>
      <c r="D2517" s="8" t="s">
        <v>15311</v>
      </c>
      <c r="E2517" s="8" t="s">
        <v>15285</v>
      </c>
      <c r="F2517" s="8" t="s">
        <v>15312</v>
      </c>
      <c r="G2517" s="6" t="s">
        <v>52</v>
      </c>
      <c r="H2517" s="6" t="s">
        <v>649</v>
      </c>
      <c r="I2517" s="8" t="s">
        <v>116</v>
      </c>
      <c r="J2517" s="9">
        <v>1</v>
      </c>
      <c r="K2517" s="9">
        <v>368</v>
      </c>
      <c r="L2517" s="9">
        <v>2023</v>
      </c>
      <c r="M2517" s="8" t="s">
        <v>15313</v>
      </c>
      <c r="N2517" s="8" t="s">
        <v>41</v>
      </c>
      <c r="O2517" s="8" t="s">
        <v>1007</v>
      </c>
      <c r="P2517" s="6" t="s">
        <v>43</v>
      </c>
      <c r="Q2517" s="8" t="s">
        <v>44</v>
      </c>
      <c r="R2517" s="10" t="s">
        <v>6209</v>
      </c>
      <c r="S2517" s="11" t="s">
        <v>15314</v>
      </c>
      <c r="T2517" s="6"/>
      <c r="U2517" s="24" t="str">
        <f>HYPERLINK("https://media.infra-m.ru/1913/1913685/cover/1913685.jpg", "Обложка")</f>
        <v>Обложка</v>
      </c>
      <c r="V2517" s="24" t="str">
        <f>HYPERLINK("https://znanium.ru/catalog/product/1913685", "Ознакомиться")</f>
        <v>Ознакомиться</v>
      </c>
      <c r="W2517" s="8" t="s">
        <v>450</v>
      </c>
      <c r="X2517" s="6"/>
      <c r="Y2517" s="6"/>
      <c r="Z2517" s="6"/>
      <c r="AA2517" s="6" t="s">
        <v>418</v>
      </c>
      <c r="AB2517" s="8"/>
    </row>
    <row r="2518" spans="1:28" s="4" customFormat="1" ht="51.95" customHeight="1">
      <c r="A2518" s="5">
        <v>0</v>
      </c>
      <c r="B2518" s="6" t="s">
        <v>15315</v>
      </c>
      <c r="C2518" s="13">
        <v>2160</v>
      </c>
      <c r="D2518" s="8" t="s">
        <v>15316</v>
      </c>
      <c r="E2518" s="8" t="s">
        <v>15317</v>
      </c>
      <c r="F2518" s="8" t="s">
        <v>15318</v>
      </c>
      <c r="G2518" s="6" t="s">
        <v>52</v>
      </c>
      <c r="H2518" s="6" t="s">
        <v>952</v>
      </c>
      <c r="I2518" s="8"/>
      <c r="J2518" s="9">
        <v>1</v>
      </c>
      <c r="K2518" s="9">
        <v>416</v>
      </c>
      <c r="L2518" s="9">
        <v>2025</v>
      </c>
      <c r="M2518" s="8" t="s">
        <v>15319</v>
      </c>
      <c r="N2518" s="8" t="s">
        <v>41</v>
      </c>
      <c r="O2518" s="8" t="s">
        <v>1204</v>
      </c>
      <c r="P2518" s="6" t="s">
        <v>167</v>
      </c>
      <c r="Q2518" s="8" t="s">
        <v>279</v>
      </c>
      <c r="R2518" s="10" t="s">
        <v>15320</v>
      </c>
      <c r="S2518" s="11" t="s">
        <v>15321</v>
      </c>
      <c r="T2518" s="6"/>
      <c r="U2518" s="24" t="str">
        <f>HYPERLINK("https://media.infra-m.ru/2186/2186883/cover/2186883.jpg", "Обложка")</f>
        <v>Обложка</v>
      </c>
      <c r="V2518" s="24" t="str">
        <f>HYPERLINK("https://znanium.ru/catalog/product/2186883", "Ознакомиться")</f>
        <v>Ознакомиться</v>
      </c>
      <c r="W2518" s="8" t="s">
        <v>3282</v>
      </c>
      <c r="X2518" s="6"/>
      <c r="Y2518" s="6"/>
      <c r="Z2518" s="6"/>
      <c r="AA2518" s="6" t="s">
        <v>84</v>
      </c>
      <c r="AB2518" s="8"/>
    </row>
    <row r="2519" spans="1:28" s="4" customFormat="1" ht="51.95" customHeight="1">
      <c r="A2519" s="5">
        <v>0</v>
      </c>
      <c r="B2519" s="6" t="s">
        <v>15322</v>
      </c>
      <c r="C2519" s="13">
        <v>2240</v>
      </c>
      <c r="D2519" s="8" t="s">
        <v>15323</v>
      </c>
      <c r="E2519" s="8" t="s">
        <v>15324</v>
      </c>
      <c r="F2519" s="8" t="s">
        <v>15325</v>
      </c>
      <c r="G2519" s="6" t="s">
        <v>52</v>
      </c>
      <c r="H2519" s="6" t="s">
        <v>952</v>
      </c>
      <c r="I2519" s="8" t="s">
        <v>1171</v>
      </c>
      <c r="J2519" s="9">
        <v>1</v>
      </c>
      <c r="K2519" s="9">
        <v>448</v>
      </c>
      <c r="L2519" s="9">
        <v>2025</v>
      </c>
      <c r="M2519" s="8" t="s">
        <v>15326</v>
      </c>
      <c r="N2519" s="8" t="s">
        <v>41</v>
      </c>
      <c r="O2519" s="8" t="s">
        <v>1007</v>
      </c>
      <c r="P2519" s="6" t="s">
        <v>167</v>
      </c>
      <c r="Q2519" s="8" t="s">
        <v>44</v>
      </c>
      <c r="R2519" s="10" t="s">
        <v>15327</v>
      </c>
      <c r="S2519" s="11" t="s">
        <v>15328</v>
      </c>
      <c r="T2519" s="6" t="s">
        <v>299</v>
      </c>
      <c r="U2519" s="24" t="str">
        <f>HYPERLINK("https://media.infra-m.ru/2192/2192095/cover/2192095.jpg", "Обложка")</f>
        <v>Обложка</v>
      </c>
      <c r="V2519" s="24" t="str">
        <f>HYPERLINK("https://znanium.ru/catalog/product/2091899", "Ознакомиться")</f>
        <v>Ознакомиться</v>
      </c>
      <c r="W2519" s="8" t="s">
        <v>3282</v>
      </c>
      <c r="X2519" s="6"/>
      <c r="Y2519" s="6"/>
      <c r="Z2519" s="6"/>
      <c r="AA2519" s="6" t="s">
        <v>111</v>
      </c>
      <c r="AB2519" s="8"/>
    </row>
    <row r="2520" spans="1:28" s="4" customFormat="1" ht="42" customHeight="1">
      <c r="A2520" s="5">
        <v>0</v>
      </c>
      <c r="B2520" s="6" t="s">
        <v>15329</v>
      </c>
      <c r="C2520" s="7">
        <v>814.9</v>
      </c>
      <c r="D2520" s="8" t="s">
        <v>15330</v>
      </c>
      <c r="E2520" s="8" t="s">
        <v>15331</v>
      </c>
      <c r="F2520" s="8" t="s">
        <v>15332</v>
      </c>
      <c r="G2520" s="6" t="s">
        <v>38</v>
      </c>
      <c r="H2520" s="6" t="s">
        <v>952</v>
      </c>
      <c r="I2520" s="8" t="s">
        <v>1171</v>
      </c>
      <c r="J2520" s="9">
        <v>1</v>
      </c>
      <c r="K2520" s="9">
        <v>304</v>
      </c>
      <c r="L2520" s="9">
        <v>2018</v>
      </c>
      <c r="M2520" s="8" t="s">
        <v>15333</v>
      </c>
      <c r="N2520" s="8" t="s">
        <v>41</v>
      </c>
      <c r="O2520" s="8" t="s">
        <v>1007</v>
      </c>
      <c r="P2520" s="6" t="s">
        <v>43</v>
      </c>
      <c r="Q2520" s="8" t="s">
        <v>44</v>
      </c>
      <c r="R2520" s="10" t="s">
        <v>15334</v>
      </c>
      <c r="S2520" s="11"/>
      <c r="T2520" s="6"/>
      <c r="U2520" s="24" t="str">
        <f>HYPERLINK("https://media.infra-m.ru/0959/0959993/cover/959993.jpg", "Обложка")</f>
        <v>Обложка</v>
      </c>
      <c r="V2520" s="24" t="str">
        <f>HYPERLINK("https://znanium.ru/catalog/product/959993", "Ознакомиться")</f>
        <v>Ознакомиться</v>
      </c>
      <c r="W2520" s="8" t="s">
        <v>2988</v>
      </c>
      <c r="X2520" s="6"/>
      <c r="Y2520" s="6"/>
      <c r="Z2520" s="6"/>
      <c r="AA2520" s="6" t="s">
        <v>84</v>
      </c>
      <c r="AB2520" s="8"/>
    </row>
    <row r="2521" spans="1:28" s="4" customFormat="1" ht="33" customHeight="1">
      <c r="A2521" s="5">
        <v>0</v>
      </c>
      <c r="B2521" s="6" t="s">
        <v>15335</v>
      </c>
      <c r="C2521" s="7">
        <v>390</v>
      </c>
      <c r="D2521" s="8" t="s">
        <v>15336</v>
      </c>
      <c r="E2521" s="8" t="s">
        <v>15337</v>
      </c>
      <c r="F2521" s="8" t="s">
        <v>15338</v>
      </c>
      <c r="G2521" s="6" t="s">
        <v>38</v>
      </c>
      <c r="H2521" s="6" t="s">
        <v>77</v>
      </c>
      <c r="I2521" s="8"/>
      <c r="J2521" s="9">
        <v>1</v>
      </c>
      <c r="K2521" s="9">
        <v>125</v>
      </c>
      <c r="L2521" s="9">
        <v>2018</v>
      </c>
      <c r="M2521" s="8" t="s">
        <v>15339</v>
      </c>
      <c r="N2521" s="8" t="s">
        <v>79</v>
      </c>
      <c r="O2521" s="8" t="s">
        <v>537</v>
      </c>
      <c r="P2521" s="6" t="s">
        <v>1046</v>
      </c>
      <c r="Q2521" s="8" t="s">
        <v>279</v>
      </c>
      <c r="R2521" s="10" t="s">
        <v>15340</v>
      </c>
      <c r="S2521" s="11"/>
      <c r="T2521" s="6"/>
      <c r="U2521" s="12"/>
      <c r="V2521" s="24" t="str">
        <f>HYPERLINK("https://znanium.ru/catalog/product/2119944", "Ознакомиться")</f>
        <v>Ознакомиться</v>
      </c>
      <c r="W2521" s="8" t="s">
        <v>150</v>
      </c>
      <c r="X2521" s="6"/>
      <c r="Y2521" s="6"/>
      <c r="Z2521" s="6"/>
      <c r="AA2521" s="6" t="s">
        <v>418</v>
      </c>
      <c r="AB2521" s="8"/>
    </row>
    <row r="2522" spans="1:28" s="4" customFormat="1" ht="42" customHeight="1">
      <c r="A2522" s="5">
        <v>0</v>
      </c>
      <c r="B2522" s="6" t="s">
        <v>15341</v>
      </c>
      <c r="C2522" s="7">
        <v>500</v>
      </c>
      <c r="D2522" s="8" t="s">
        <v>15342</v>
      </c>
      <c r="E2522" s="8" t="s">
        <v>15343</v>
      </c>
      <c r="F2522" s="8" t="s">
        <v>15344</v>
      </c>
      <c r="G2522" s="6" t="s">
        <v>38</v>
      </c>
      <c r="H2522" s="6" t="s">
        <v>184</v>
      </c>
      <c r="I2522" s="8" t="s">
        <v>7049</v>
      </c>
      <c r="J2522" s="9">
        <v>1</v>
      </c>
      <c r="K2522" s="9">
        <v>104</v>
      </c>
      <c r="L2522" s="9">
        <v>2024</v>
      </c>
      <c r="M2522" s="8" t="s">
        <v>15345</v>
      </c>
      <c r="N2522" s="8" t="s">
        <v>79</v>
      </c>
      <c r="O2522" s="8" t="s">
        <v>537</v>
      </c>
      <c r="P2522" s="6" t="s">
        <v>43</v>
      </c>
      <c r="Q2522" s="8" t="s">
        <v>44</v>
      </c>
      <c r="R2522" s="10" t="s">
        <v>15346</v>
      </c>
      <c r="S2522" s="11"/>
      <c r="T2522" s="6"/>
      <c r="U2522" s="24" t="str">
        <f>HYPERLINK("https://media.infra-m.ru/2150/2150737/cover/2150737.jpg", "Обложка")</f>
        <v>Обложка</v>
      </c>
      <c r="V2522" s="24" t="str">
        <f>HYPERLINK("https://znanium.ru/catalog/product/2150737", "Ознакомиться")</f>
        <v>Ознакомиться</v>
      </c>
      <c r="W2522" s="8" t="s">
        <v>15347</v>
      </c>
      <c r="X2522" s="6"/>
      <c r="Y2522" s="6"/>
      <c r="Z2522" s="6"/>
      <c r="AA2522" s="6" t="s">
        <v>47</v>
      </c>
      <c r="AB2522" s="8"/>
    </row>
    <row r="2523" spans="1:28" s="4" customFormat="1" ht="51.95" customHeight="1">
      <c r="A2523" s="5">
        <v>0</v>
      </c>
      <c r="B2523" s="6" t="s">
        <v>15348</v>
      </c>
      <c r="C2523" s="13">
        <v>1760</v>
      </c>
      <c r="D2523" s="8" t="s">
        <v>15349</v>
      </c>
      <c r="E2523" s="8" t="s">
        <v>15350</v>
      </c>
      <c r="F2523" s="8" t="s">
        <v>15351</v>
      </c>
      <c r="G2523" s="6" t="s">
        <v>52</v>
      </c>
      <c r="H2523" s="6" t="s">
        <v>53</v>
      </c>
      <c r="I2523" s="8" t="s">
        <v>116</v>
      </c>
      <c r="J2523" s="9">
        <v>1</v>
      </c>
      <c r="K2523" s="9">
        <v>340</v>
      </c>
      <c r="L2523" s="9">
        <v>2024</v>
      </c>
      <c r="M2523" s="8" t="s">
        <v>15352</v>
      </c>
      <c r="N2523" s="8" t="s">
        <v>41</v>
      </c>
      <c r="O2523" s="8" t="s">
        <v>118</v>
      </c>
      <c r="P2523" s="6" t="s">
        <v>167</v>
      </c>
      <c r="Q2523" s="8" t="s">
        <v>58</v>
      </c>
      <c r="R2523" s="10" t="s">
        <v>15353</v>
      </c>
      <c r="S2523" s="11"/>
      <c r="T2523" s="6"/>
      <c r="U2523" s="24" t="str">
        <f>HYPERLINK("https://media.infra-m.ru/2127/2127019/cover/2127019.jpg", "Обложка")</f>
        <v>Обложка</v>
      </c>
      <c r="V2523" s="24" t="str">
        <f>HYPERLINK("https://znanium.ru/catalog/product/2127019", "Ознакомиться")</f>
        <v>Ознакомиться</v>
      </c>
      <c r="W2523" s="8" t="s">
        <v>347</v>
      </c>
      <c r="X2523" s="6" t="s">
        <v>132</v>
      </c>
      <c r="Y2523" s="6"/>
      <c r="Z2523" s="6"/>
      <c r="AA2523" s="6" t="s">
        <v>133</v>
      </c>
      <c r="AB2523" s="8"/>
    </row>
    <row r="2524" spans="1:28" s="4" customFormat="1" ht="51.95" customHeight="1">
      <c r="A2524" s="5">
        <v>0</v>
      </c>
      <c r="B2524" s="6" t="s">
        <v>15354</v>
      </c>
      <c r="C2524" s="13">
        <v>1610</v>
      </c>
      <c r="D2524" s="8" t="s">
        <v>15355</v>
      </c>
      <c r="E2524" s="8" t="s">
        <v>15356</v>
      </c>
      <c r="F2524" s="8" t="s">
        <v>15357</v>
      </c>
      <c r="G2524" s="6" t="s">
        <v>89</v>
      </c>
      <c r="H2524" s="6" t="s">
        <v>53</v>
      </c>
      <c r="I2524" s="8" t="s">
        <v>116</v>
      </c>
      <c r="J2524" s="9">
        <v>1</v>
      </c>
      <c r="K2524" s="9">
        <v>342</v>
      </c>
      <c r="L2524" s="9">
        <v>2024</v>
      </c>
      <c r="M2524" s="8" t="s">
        <v>15358</v>
      </c>
      <c r="N2524" s="8" t="s">
        <v>41</v>
      </c>
      <c r="O2524" s="8" t="s">
        <v>118</v>
      </c>
      <c r="P2524" s="6" t="s">
        <v>167</v>
      </c>
      <c r="Q2524" s="8" t="s">
        <v>44</v>
      </c>
      <c r="R2524" s="10" t="s">
        <v>15359</v>
      </c>
      <c r="S2524" s="11"/>
      <c r="T2524" s="6"/>
      <c r="U2524" s="24" t="str">
        <f>HYPERLINK("https://media.infra-m.ru/2150/2150305/cover/2150305.jpg", "Обложка")</f>
        <v>Обложка</v>
      </c>
      <c r="V2524" s="24" t="str">
        <f>HYPERLINK("https://znanium.ru/catalog/product/2150305", "Ознакомиться")</f>
        <v>Ознакомиться</v>
      </c>
      <c r="W2524" s="8" t="s">
        <v>347</v>
      </c>
      <c r="X2524" s="6"/>
      <c r="Y2524" s="6"/>
      <c r="Z2524" s="6"/>
      <c r="AA2524" s="6" t="s">
        <v>207</v>
      </c>
      <c r="AB2524" s="8"/>
    </row>
    <row r="2525" spans="1:28" s="4" customFormat="1" ht="51.95" customHeight="1">
      <c r="A2525" s="5">
        <v>0</v>
      </c>
      <c r="B2525" s="6" t="s">
        <v>15360</v>
      </c>
      <c r="C2525" s="7">
        <v>920</v>
      </c>
      <c r="D2525" s="8" t="s">
        <v>15361</v>
      </c>
      <c r="E2525" s="8" t="s">
        <v>15362</v>
      </c>
      <c r="F2525" s="8" t="s">
        <v>15363</v>
      </c>
      <c r="G2525" s="6" t="s">
        <v>38</v>
      </c>
      <c r="H2525" s="6" t="s">
        <v>184</v>
      </c>
      <c r="I2525" s="8"/>
      <c r="J2525" s="9">
        <v>1</v>
      </c>
      <c r="K2525" s="9">
        <v>203</v>
      </c>
      <c r="L2525" s="9">
        <v>2023</v>
      </c>
      <c r="M2525" s="8" t="s">
        <v>15364</v>
      </c>
      <c r="N2525" s="8" t="s">
        <v>41</v>
      </c>
      <c r="O2525" s="8" t="s">
        <v>6182</v>
      </c>
      <c r="P2525" s="6" t="s">
        <v>167</v>
      </c>
      <c r="Q2525" s="8" t="s">
        <v>44</v>
      </c>
      <c r="R2525" s="10" t="s">
        <v>15365</v>
      </c>
      <c r="S2525" s="11"/>
      <c r="T2525" s="6"/>
      <c r="U2525" s="24" t="str">
        <f>HYPERLINK("https://media.infra-m.ru/1048/1048326/cover/1048326.jpg", "Обложка")</f>
        <v>Обложка</v>
      </c>
      <c r="V2525" s="24" t="str">
        <f>HYPERLINK("https://znanium.ru/catalog/product/1048326", "Ознакомиться")</f>
        <v>Ознакомиться</v>
      </c>
      <c r="W2525" s="8" t="s">
        <v>10126</v>
      </c>
      <c r="X2525" s="6"/>
      <c r="Y2525" s="6"/>
      <c r="Z2525" s="6"/>
      <c r="AA2525" s="6" t="s">
        <v>442</v>
      </c>
      <c r="AB2525" s="8"/>
    </row>
    <row r="2526" spans="1:28" s="4" customFormat="1" ht="51.95" customHeight="1">
      <c r="A2526" s="5">
        <v>0</v>
      </c>
      <c r="B2526" s="6" t="s">
        <v>15366</v>
      </c>
      <c r="C2526" s="13">
        <v>1430</v>
      </c>
      <c r="D2526" s="8" t="s">
        <v>15367</v>
      </c>
      <c r="E2526" s="8" t="s">
        <v>15368</v>
      </c>
      <c r="F2526" s="8" t="s">
        <v>15369</v>
      </c>
      <c r="G2526" s="6" t="s">
        <v>89</v>
      </c>
      <c r="H2526" s="6" t="s">
        <v>77</v>
      </c>
      <c r="I2526" s="8" t="s">
        <v>116</v>
      </c>
      <c r="J2526" s="9">
        <v>1</v>
      </c>
      <c r="K2526" s="9">
        <v>310</v>
      </c>
      <c r="L2526" s="9">
        <v>2024</v>
      </c>
      <c r="M2526" s="8" t="s">
        <v>15370</v>
      </c>
      <c r="N2526" s="8" t="s">
        <v>79</v>
      </c>
      <c r="O2526" s="8" t="s">
        <v>80</v>
      </c>
      <c r="P2526" s="6" t="s">
        <v>43</v>
      </c>
      <c r="Q2526" s="8" t="s">
        <v>44</v>
      </c>
      <c r="R2526" s="10" t="s">
        <v>6221</v>
      </c>
      <c r="S2526" s="11" t="s">
        <v>15371</v>
      </c>
      <c r="T2526" s="6" t="s">
        <v>299</v>
      </c>
      <c r="U2526" s="24" t="str">
        <f>HYPERLINK("https://media.infra-m.ru/2073/2073497/cover/2073497.jpg", "Обложка")</f>
        <v>Обложка</v>
      </c>
      <c r="V2526" s="24" t="str">
        <f>HYPERLINK("https://znanium.ru/catalog/product/2073497", "Ознакомиться")</f>
        <v>Ознакомиться</v>
      </c>
      <c r="W2526" s="8" t="s">
        <v>83</v>
      </c>
      <c r="X2526" s="6"/>
      <c r="Y2526" s="6"/>
      <c r="Z2526" s="6"/>
      <c r="AA2526" s="6" t="s">
        <v>2217</v>
      </c>
      <c r="AB2526" s="8"/>
    </row>
    <row r="2527" spans="1:28" s="4" customFormat="1" ht="51.95" customHeight="1">
      <c r="A2527" s="5">
        <v>0</v>
      </c>
      <c r="B2527" s="6" t="s">
        <v>15372</v>
      </c>
      <c r="C2527" s="13">
        <v>1574.9</v>
      </c>
      <c r="D2527" s="8" t="s">
        <v>15373</v>
      </c>
      <c r="E2527" s="8" t="s">
        <v>15374</v>
      </c>
      <c r="F2527" s="8" t="s">
        <v>15375</v>
      </c>
      <c r="G2527" s="6" t="s">
        <v>52</v>
      </c>
      <c r="H2527" s="6" t="s">
        <v>53</v>
      </c>
      <c r="I2527" s="8" t="s">
        <v>90</v>
      </c>
      <c r="J2527" s="9">
        <v>1</v>
      </c>
      <c r="K2527" s="9">
        <v>350</v>
      </c>
      <c r="L2527" s="9">
        <v>2023</v>
      </c>
      <c r="M2527" s="8" t="s">
        <v>15376</v>
      </c>
      <c r="N2527" s="8" t="s">
        <v>79</v>
      </c>
      <c r="O2527" s="8" t="s">
        <v>570</v>
      </c>
      <c r="P2527" s="6" t="s">
        <v>43</v>
      </c>
      <c r="Q2527" s="8" t="s">
        <v>44</v>
      </c>
      <c r="R2527" s="10" t="s">
        <v>15377</v>
      </c>
      <c r="S2527" s="11" t="s">
        <v>15378</v>
      </c>
      <c r="T2527" s="6"/>
      <c r="U2527" s="24" t="str">
        <f>HYPERLINK("https://media.infra-m.ru/2029/2029905/cover/2029905.jpg", "Обложка")</f>
        <v>Обложка</v>
      </c>
      <c r="V2527" s="24" t="str">
        <f>HYPERLINK("https://znanium.ru/catalog/product/1009641", "Ознакомиться")</f>
        <v>Ознакомиться</v>
      </c>
      <c r="W2527" s="8" t="s">
        <v>5825</v>
      </c>
      <c r="X2527" s="6"/>
      <c r="Y2527" s="6"/>
      <c r="Z2527" s="6"/>
      <c r="AA2527" s="6" t="s">
        <v>111</v>
      </c>
      <c r="AB2527" s="8"/>
    </row>
    <row r="2528" spans="1:28" s="4" customFormat="1" ht="51.95" customHeight="1">
      <c r="A2528" s="5">
        <v>0</v>
      </c>
      <c r="B2528" s="6" t="s">
        <v>15379</v>
      </c>
      <c r="C2528" s="13">
        <v>2500</v>
      </c>
      <c r="D2528" s="8" t="s">
        <v>15380</v>
      </c>
      <c r="E2528" s="8" t="s">
        <v>15381</v>
      </c>
      <c r="F2528" s="8" t="s">
        <v>15382</v>
      </c>
      <c r="G2528" s="6" t="s">
        <v>52</v>
      </c>
      <c r="H2528" s="6" t="s">
        <v>53</v>
      </c>
      <c r="I2528" s="8" t="s">
        <v>116</v>
      </c>
      <c r="J2528" s="9">
        <v>1</v>
      </c>
      <c r="K2528" s="9">
        <v>543</v>
      </c>
      <c r="L2528" s="9">
        <v>2023</v>
      </c>
      <c r="M2528" s="8" t="s">
        <v>15383</v>
      </c>
      <c r="N2528" s="8" t="s">
        <v>79</v>
      </c>
      <c r="O2528" s="8" t="s">
        <v>570</v>
      </c>
      <c r="P2528" s="6" t="s">
        <v>43</v>
      </c>
      <c r="Q2528" s="8" t="s">
        <v>44</v>
      </c>
      <c r="R2528" s="10" t="s">
        <v>15384</v>
      </c>
      <c r="S2528" s="11" t="s">
        <v>15385</v>
      </c>
      <c r="T2528" s="6"/>
      <c r="U2528" s="24" t="str">
        <f>HYPERLINK("https://media.infra-m.ru/2029/2029906/cover/2029906.jpg", "Обложка")</f>
        <v>Обложка</v>
      </c>
      <c r="V2528" s="24" t="str">
        <f>HYPERLINK("https://znanium.ru/catalog/product/2029906", "Ознакомиться")</f>
        <v>Ознакомиться</v>
      </c>
      <c r="W2528" s="8" t="s">
        <v>5825</v>
      </c>
      <c r="X2528" s="6"/>
      <c r="Y2528" s="6"/>
      <c r="Z2528" s="6"/>
      <c r="AA2528" s="6" t="s">
        <v>122</v>
      </c>
      <c r="AB2528" s="8"/>
    </row>
    <row r="2529" spans="1:28" s="4" customFormat="1" ht="51.95" customHeight="1">
      <c r="A2529" s="5">
        <v>0</v>
      </c>
      <c r="B2529" s="6" t="s">
        <v>15386</v>
      </c>
      <c r="C2529" s="13">
        <v>1344</v>
      </c>
      <c r="D2529" s="8" t="s">
        <v>15387</v>
      </c>
      <c r="E2529" s="8" t="s">
        <v>15388</v>
      </c>
      <c r="F2529" s="8" t="s">
        <v>15389</v>
      </c>
      <c r="G2529" s="6" t="s">
        <v>52</v>
      </c>
      <c r="H2529" s="6" t="s">
        <v>53</v>
      </c>
      <c r="I2529" s="8" t="s">
        <v>90</v>
      </c>
      <c r="J2529" s="9">
        <v>1</v>
      </c>
      <c r="K2529" s="9">
        <v>296</v>
      </c>
      <c r="L2529" s="9">
        <v>2023</v>
      </c>
      <c r="M2529" s="8" t="s">
        <v>15390</v>
      </c>
      <c r="N2529" s="8" t="s">
        <v>79</v>
      </c>
      <c r="O2529" s="8" t="s">
        <v>570</v>
      </c>
      <c r="P2529" s="6" t="s">
        <v>43</v>
      </c>
      <c r="Q2529" s="8" t="s">
        <v>44</v>
      </c>
      <c r="R2529" s="10" t="s">
        <v>15391</v>
      </c>
      <c r="S2529" s="11" t="s">
        <v>15392</v>
      </c>
      <c r="T2529" s="6"/>
      <c r="U2529" s="24" t="str">
        <f>HYPERLINK("https://media.infra-m.ru/2006/2006941/cover/2006941.jpg", "Обложка")</f>
        <v>Обложка</v>
      </c>
      <c r="V2529" s="24" t="str">
        <f>HYPERLINK("https://znanium.ru/catalog/product/953482", "Ознакомиться")</f>
        <v>Ознакомиться</v>
      </c>
      <c r="W2529" s="8" t="s">
        <v>5825</v>
      </c>
      <c r="X2529" s="6"/>
      <c r="Y2529" s="6"/>
      <c r="Z2529" s="6"/>
      <c r="AA2529" s="6" t="s">
        <v>151</v>
      </c>
      <c r="AB2529" s="8"/>
    </row>
    <row r="2530" spans="1:28" s="4" customFormat="1" ht="51.95" customHeight="1">
      <c r="A2530" s="5">
        <v>0</v>
      </c>
      <c r="B2530" s="6" t="s">
        <v>15393</v>
      </c>
      <c r="C2530" s="13">
        <v>1564</v>
      </c>
      <c r="D2530" s="8" t="s">
        <v>15394</v>
      </c>
      <c r="E2530" s="8" t="s">
        <v>15395</v>
      </c>
      <c r="F2530" s="8" t="s">
        <v>15396</v>
      </c>
      <c r="G2530" s="6" t="s">
        <v>52</v>
      </c>
      <c r="H2530" s="6" t="s">
        <v>53</v>
      </c>
      <c r="I2530" s="8" t="s">
        <v>3356</v>
      </c>
      <c r="J2530" s="9">
        <v>1</v>
      </c>
      <c r="K2530" s="9">
        <v>346</v>
      </c>
      <c r="L2530" s="9">
        <v>2023</v>
      </c>
      <c r="M2530" s="8" t="s">
        <v>15397</v>
      </c>
      <c r="N2530" s="8" t="s">
        <v>79</v>
      </c>
      <c r="O2530" s="8" t="s">
        <v>570</v>
      </c>
      <c r="P2530" s="6" t="s">
        <v>43</v>
      </c>
      <c r="Q2530" s="8" t="s">
        <v>214</v>
      </c>
      <c r="R2530" s="10" t="s">
        <v>15398</v>
      </c>
      <c r="S2530" s="11" t="s">
        <v>15399</v>
      </c>
      <c r="T2530" s="6"/>
      <c r="U2530" s="24" t="str">
        <f>HYPERLINK("https://media.infra-m.ru/1911/1911131/cover/1911131.jpg", "Обложка")</f>
        <v>Обложка</v>
      </c>
      <c r="V2530" s="12"/>
      <c r="W2530" s="8" t="s">
        <v>784</v>
      </c>
      <c r="X2530" s="6"/>
      <c r="Y2530" s="6"/>
      <c r="Z2530" s="6"/>
      <c r="AA2530" s="6" t="s">
        <v>196</v>
      </c>
      <c r="AB2530" s="8"/>
    </row>
    <row r="2531" spans="1:28" s="4" customFormat="1" ht="44.1" customHeight="1">
      <c r="A2531" s="5">
        <v>0</v>
      </c>
      <c r="B2531" s="6" t="s">
        <v>15400</v>
      </c>
      <c r="C2531" s="13">
        <v>1364.9</v>
      </c>
      <c r="D2531" s="8" t="s">
        <v>15401</v>
      </c>
      <c r="E2531" s="8" t="s">
        <v>15402</v>
      </c>
      <c r="F2531" s="8" t="s">
        <v>15403</v>
      </c>
      <c r="G2531" s="6" t="s">
        <v>38</v>
      </c>
      <c r="H2531" s="6" t="s">
        <v>39</v>
      </c>
      <c r="I2531" s="8" t="s">
        <v>116</v>
      </c>
      <c r="J2531" s="9">
        <v>1</v>
      </c>
      <c r="K2531" s="9">
        <v>304</v>
      </c>
      <c r="L2531" s="9">
        <v>2023</v>
      </c>
      <c r="M2531" s="8" t="s">
        <v>15404</v>
      </c>
      <c r="N2531" s="8" t="s">
        <v>41</v>
      </c>
      <c r="O2531" s="8" t="s">
        <v>278</v>
      </c>
      <c r="P2531" s="6" t="s">
        <v>43</v>
      </c>
      <c r="Q2531" s="8" t="s">
        <v>44</v>
      </c>
      <c r="R2531" s="10" t="s">
        <v>15405</v>
      </c>
      <c r="S2531" s="11"/>
      <c r="T2531" s="6"/>
      <c r="U2531" s="24" t="str">
        <f>HYPERLINK("https://media.infra-m.ru/2044/2044341/cover/2044341.jpg", "Обложка")</f>
        <v>Обложка</v>
      </c>
      <c r="V2531" s="24" t="str">
        <f>HYPERLINK("https://znanium.ru/catalog/product/1010657", "Ознакомиться")</f>
        <v>Ознакомиться</v>
      </c>
      <c r="W2531" s="8"/>
      <c r="X2531" s="6"/>
      <c r="Y2531" s="6"/>
      <c r="Z2531" s="6"/>
      <c r="AA2531" s="6" t="s">
        <v>47</v>
      </c>
      <c r="AB2531" s="8"/>
    </row>
    <row r="2532" spans="1:28" s="4" customFormat="1" ht="44.1" customHeight="1">
      <c r="A2532" s="5">
        <v>0</v>
      </c>
      <c r="B2532" s="6" t="s">
        <v>15406</v>
      </c>
      <c r="C2532" s="7">
        <v>884</v>
      </c>
      <c r="D2532" s="8" t="s">
        <v>15407</v>
      </c>
      <c r="E2532" s="8" t="s">
        <v>15408</v>
      </c>
      <c r="F2532" s="8" t="s">
        <v>15409</v>
      </c>
      <c r="G2532" s="6" t="s">
        <v>52</v>
      </c>
      <c r="H2532" s="6" t="s">
        <v>77</v>
      </c>
      <c r="I2532" s="8"/>
      <c r="J2532" s="9">
        <v>1</v>
      </c>
      <c r="K2532" s="9">
        <v>192</v>
      </c>
      <c r="L2532" s="9">
        <v>2024</v>
      </c>
      <c r="M2532" s="8" t="s">
        <v>15410</v>
      </c>
      <c r="N2532" s="8" t="s">
        <v>41</v>
      </c>
      <c r="O2532" s="8" t="s">
        <v>1007</v>
      </c>
      <c r="P2532" s="6" t="s">
        <v>43</v>
      </c>
      <c r="Q2532" s="8" t="s">
        <v>279</v>
      </c>
      <c r="R2532" s="10" t="s">
        <v>15411</v>
      </c>
      <c r="S2532" s="11"/>
      <c r="T2532" s="6"/>
      <c r="U2532" s="24" t="str">
        <f>HYPERLINK("https://media.infra-m.ru/2120/2120766/cover/2120766.jpg", "Обложка")</f>
        <v>Обложка</v>
      </c>
      <c r="V2532" s="24" t="str">
        <f>HYPERLINK("https://znanium.ru/catalog/product/1082315", "Ознакомиться")</f>
        <v>Ознакомиться</v>
      </c>
      <c r="W2532" s="8" t="s">
        <v>71</v>
      </c>
      <c r="X2532" s="6"/>
      <c r="Y2532" s="6"/>
      <c r="Z2532" s="6"/>
      <c r="AA2532" s="6" t="s">
        <v>84</v>
      </c>
      <c r="AB2532" s="8"/>
    </row>
    <row r="2533" spans="1:28" s="4" customFormat="1" ht="51.95" customHeight="1">
      <c r="A2533" s="5">
        <v>0</v>
      </c>
      <c r="B2533" s="6" t="s">
        <v>15412</v>
      </c>
      <c r="C2533" s="13">
        <v>1770</v>
      </c>
      <c r="D2533" s="8" t="s">
        <v>15413</v>
      </c>
      <c r="E2533" s="8" t="s">
        <v>15414</v>
      </c>
      <c r="F2533" s="8" t="s">
        <v>15415</v>
      </c>
      <c r="G2533" s="6" t="s">
        <v>52</v>
      </c>
      <c r="H2533" s="6" t="s">
        <v>53</v>
      </c>
      <c r="I2533" s="8" t="s">
        <v>116</v>
      </c>
      <c r="J2533" s="9">
        <v>1</v>
      </c>
      <c r="K2533" s="9">
        <v>347</v>
      </c>
      <c r="L2533" s="9">
        <v>2025</v>
      </c>
      <c r="M2533" s="8" t="s">
        <v>15416</v>
      </c>
      <c r="N2533" s="8" t="s">
        <v>413</v>
      </c>
      <c r="O2533" s="8" t="s">
        <v>1141</v>
      </c>
      <c r="P2533" s="6" t="s">
        <v>167</v>
      </c>
      <c r="Q2533" s="8" t="s">
        <v>58</v>
      </c>
      <c r="R2533" s="10" t="s">
        <v>15417</v>
      </c>
      <c r="S2533" s="11"/>
      <c r="T2533" s="6"/>
      <c r="U2533" s="24" t="str">
        <f>HYPERLINK("https://media.infra-m.ru/2049/2049708/cover/2049708.jpg", "Обложка")</f>
        <v>Обложка</v>
      </c>
      <c r="V2533" s="24" t="str">
        <f>HYPERLINK("https://znanium.ru/catalog/product/2049708", "Ознакомиться")</f>
        <v>Ознакомиться</v>
      </c>
      <c r="W2533" s="8" t="s">
        <v>918</v>
      </c>
      <c r="X2533" s="6" t="s">
        <v>548</v>
      </c>
      <c r="Y2533" s="6"/>
      <c r="Z2533" s="6"/>
      <c r="AA2533" s="6" t="s">
        <v>61</v>
      </c>
      <c r="AB2533" s="8"/>
    </row>
    <row r="2534" spans="1:28" s="4" customFormat="1" ht="51.95" customHeight="1">
      <c r="A2534" s="5">
        <v>0</v>
      </c>
      <c r="B2534" s="6" t="s">
        <v>15418</v>
      </c>
      <c r="C2534" s="7">
        <v>264.89999999999998</v>
      </c>
      <c r="D2534" s="8" t="s">
        <v>15419</v>
      </c>
      <c r="E2534" s="8" t="s">
        <v>15420</v>
      </c>
      <c r="F2534" s="8" t="s">
        <v>15421</v>
      </c>
      <c r="G2534" s="6" t="s">
        <v>38</v>
      </c>
      <c r="H2534" s="6" t="s">
        <v>53</v>
      </c>
      <c r="I2534" s="8" t="s">
        <v>90</v>
      </c>
      <c r="J2534" s="9">
        <v>1</v>
      </c>
      <c r="K2534" s="9">
        <v>79</v>
      </c>
      <c r="L2534" s="9">
        <v>2020</v>
      </c>
      <c r="M2534" s="8" t="s">
        <v>15422</v>
      </c>
      <c r="N2534" s="8" t="s">
        <v>41</v>
      </c>
      <c r="O2534" s="8" t="s">
        <v>1007</v>
      </c>
      <c r="P2534" s="6" t="s">
        <v>43</v>
      </c>
      <c r="Q2534" s="8" t="s">
        <v>44</v>
      </c>
      <c r="R2534" s="10" t="s">
        <v>15423</v>
      </c>
      <c r="S2534" s="11"/>
      <c r="T2534" s="6"/>
      <c r="U2534" s="24" t="str">
        <f>HYPERLINK("https://media.infra-m.ru/1079/1079871/cover/1079871.jpg", "Обложка")</f>
        <v>Обложка</v>
      </c>
      <c r="V2534" s="24" t="str">
        <f>HYPERLINK("https://znanium.ru/catalog/product/1172173", "Ознакомиться")</f>
        <v>Ознакомиться</v>
      </c>
      <c r="W2534" s="8" t="s">
        <v>83</v>
      </c>
      <c r="X2534" s="6"/>
      <c r="Y2534" s="6"/>
      <c r="Z2534" s="6"/>
      <c r="AA2534" s="6" t="s">
        <v>122</v>
      </c>
      <c r="AB2534" s="8"/>
    </row>
    <row r="2535" spans="1:28" s="4" customFormat="1" ht="51.95" customHeight="1">
      <c r="A2535" s="5">
        <v>0</v>
      </c>
      <c r="B2535" s="6" t="s">
        <v>15424</v>
      </c>
      <c r="C2535" s="7">
        <v>534</v>
      </c>
      <c r="D2535" s="8" t="s">
        <v>15425</v>
      </c>
      <c r="E2535" s="8" t="s">
        <v>15426</v>
      </c>
      <c r="F2535" s="8" t="s">
        <v>15427</v>
      </c>
      <c r="G2535" s="6" t="s">
        <v>89</v>
      </c>
      <c r="H2535" s="6" t="s">
        <v>53</v>
      </c>
      <c r="I2535" s="8" t="s">
        <v>90</v>
      </c>
      <c r="J2535" s="9">
        <v>1</v>
      </c>
      <c r="K2535" s="9">
        <v>103</v>
      </c>
      <c r="L2535" s="9">
        <v>2025</v>
      </c>
      <c r="M2535" s="8" t="s">
        <v>15428</v>
      </c>
      <c r="N2535" s="8" t="s">
        <v>41</v>
      </c>
      <c r="O2535" s="8" t="s">
        <v>1007</v>
      </c>
      <c r="P2535" s="6" t="s">
        <v>43</v>
      </c>
      <c r="Q2535" s="8" t="s">
        <v>44</v>
      </c>
      <c r="R2535" s="10" t="s">
        <v>15423</v>
      </c>
      <c r="S2535" s="11" t="s">
        <v>15429</v>
      </c>
      <c r="T2535" s="6"/>
      <c r="U2535" s="24" t="str">
        <f>HYPERLINK("https://media.infra-m.ru/2192/2192207/cover/2192207.jpg", "Обложка")</f>
        <v>Обложка</v>
      </c>
      <c r="V2535" s="24" t="str">
        <f>HYPERLINK("https://znanium.ru/catalog/product/1172173", "Ознакомиться")</f>
        <v>Ознакомиться</v>
      </c>
      <c r="W2535" s="8" t="s">
        <v>83</v>
      </c>
      <c r="X2535" s="6"/>
      <c r="Y2535" s="6"/>
      <c r="Z2535" s="6"/>
      <c r="AA2535" s="6" t="s">
        <v>95</v>
      </c>
      <c r="AB2535" s="8"/>
    </row>
    <row r="2536" spans="1:28" s="4" customFormat="1" ht="51.95" customHeight="1">
      <c r="A2536" s="5">
        <v>0</v>
      </c>
      <c r="B2536" s="6" t="s">
        <v>15430</v>
      </c>
      <c r="C2536" s="7">
        <v>820</v>
      </c>
      <c r="D2536" s="8" t="s">
        <v>15431</v>
      </c>
      <c r="E2536" s="8" t="s">
        <v>15432</v>
      </c>
      <c r="F2536" s="8" t="s">
        <v>15433</v>
      </c>
      <c r="G2536" s="6" t="s">
        <v>89</v>
      </c>
      <c r="H2536" s="6" t="s">
        <v>53</v>
      </c>
      <c r="I2536" s="8" t="s">
        <v>116</v>
      </c>
      <c r="J2536" s="9">
        <v>1</v>
      </c>
      <c r="K2536" s="9">
        <v>178</v>
      </c>
      <c r="L2536" s="9">
        <v>2024</v>
      </c>
      <c r="M2536" s="8" t="s">
        <v>15434</v>
      </c>
      <c r="N2536" s="8" t="s">
        <v>79</v>
      </c>
      <c r="O2536" s="8" t="s">
        <v>537</v>
      </c>
      <c r="P2536" s="6" t="s">
        <v>43</v>
      </c>
      <c r="Q2536" s="8" t="s">
        <v>44</v>
      </c>
      <c r="R2536" s="10" t="s">
        <v>15435</v>
      </c>
      <c r="S2536" s="11" t="s">
        <v>15436</v>
      </c>
      <c r="T2536" s="6"/>
      <c r="U2536" s="24" t="str">
        <f>HYPERLINK("https://media.infra-m.ru/2125/2125281/cover/2125281.jpg", "Обложка")</f>
        <v>Обложка</v>
      </c>
      <c r="V2536" s="24" t="str">
        <f>HYPERLINK("https://znanium.ru/catalog/product/2125281", "Ознакомиться")</f>
        <v>Ознакомиться</v>
      </c>
      <c r="W2536" s="8" t="s">
        <v>6558</v>
      </c>
      <c r="X2536" s="6"/>
      <c r="Y2536" s="6"/>
      <c r="Z2536" s="6"/>
      <c r="AA2536" s="6" t="s">
        <v>258</v>
      </c>
      <c r="AB2536" s="8"/>
    </row>
    <row r="2537" spans="1:28" s="4" customFormat="1" ht="51.95" customHeight="1">
      <c r="A2537" s="5">
        <v>0</v>
      </c>
      <c r="B2537" s="6" t="s">
        <v>15437</v>
      </c>
      <c r="C2537" s="13">
        <v>1140</v>
      </c>
      <c r="D2537" s="8" t="s">
        <v>15438</v>
      </c>
      <c r="E2537" s="8" t="s">
        <v>15439</v>
      </c>
      <c r="F2537" s="8" t="s">
        <v>15440</v>
      </c>
      <c r="G2537" s="6" t="s">
        <v>52</v>
      </c>
      <c r="H2537" s="6" t="s">
        <v>53</v>
      </c>
      <c r="I2537" s="8" t="s">
        <v>100</v>
      </c>
      <c r="J2537" s="9">
        <v>1</v>
      </c>
      <c r="K2537" s="9">
        <v>333</v>
      </c>
      <c r="L2537" s="9">
        <v>2020</v>
      </c>
      <c r="M2537" s="8" t="s">
        <v>15441</v>
      </c>
      <c r="N2537" s="8" t="s">
        <v>79</v>
      </c>
      <c r="O2537" s="8" t="s">
        <v>80</v>
      </c>
      <c r="P2537" s="6" t="s">
        <v>43</v>
      </c>
      <c r="Q2537" s="8" t="s">
        <v>102</v>
      </c>
      <c r="R2537" s="10" t="s">
        <v>15442</v>
      </c>
      <c r="S2537" s="11" t="s">
        <v>15443</v>
      </c>
      <c r="T2537" s="6"/>
      <c r="U2537" s="24" t="str">
        <f>HYPERLINK("https://media.infra-m.ru/1084/1084915/cover/1084915.jpg", "Обложка")</f>
        <v>Обложка</v>
      </c>
      <c r="V2537" s="24" t="str">
        <f>HYPERLINK("https://znanium.ru/catalog/product/1084915", "Ознакомиться")</f>
        <v>Ознакомиться</v>
      </c>
      <c r="W2537" s="8" t="s">
        <v>10375</v>
      </c>
      <c r="X2537" s="6"/>
      <c r="Y2537" s="6"/>
      <c r="Z2537" s="6" t="s">
        <v>104</v>
      </c>
      <c r="AA2537" s="6" t="s">
        <v>793</v>
      </c>
      <c r="AB2537" s="8"/>
    </row>
    <row r="2538" spans="1:28" s="4" customFormat="1" ht="51.95" customHeight="1">
      <c r="A2538" s="5">
        <v>0</v>
      </c>
      <c r="B2538" s="6" t="s">
        <v>15444</v>
      </c>
      <c r="C2538" s="13">
        <v>1734</v>
      </c>
      <c r="D2538" s="8" t="s">
        <v>15445</v>
      </c>
      <c r="E2538" s="8" t="s">
        <v>15446</v>
      </c>
      <c r="F2538" s="8" t="s">
        <v>15440</v>
      </c>
      <c r="G2538" s="6" t="s">
        <v>52</v>
      </c>
      <c r="H2538" s="6" t="s">
        <v>53</v>
      </c>
      <c r="I2538" s="8" t="s">
        <v>90</v>
      </c>
      <c r="J2538" s="9">
        <v>1</v>
      </c>
      <c r="K2538" s="9">
        <v>333</v>
      </c>
      <c r="L2538" s="9">
        <v>2025</v>
      </c>
      <c r="M2538" s="8" t="s">
        <v>15447</v>
      </c>
      <c r="N2538" s="8" t="s">
        <v>79</v>
      </c>
      <c r="O2538" s="8" t="s">
        <v>80</v>
      </c>
      <c r="P2538" s="6" t="s">
        <v>43</v>
      </c>
      <c r="Q2538" s="8" t="s">
        <v>44</v>
      </c>
      <c r="R2538" s="10" t="s">
        <v>15448</v>
      </c>
      <c r="S2538" s="11" t="s">
        <v>15449</v>
      </c>
      <c r="T2538" s="6"/>
      <c r="U2538" s="24" t="str">
        <f>HYPERLINK("https://media.infra-m.ru/2202/2202099/cover/2202099.jpg", "Обложка")</f>
        <v>Обложка</v>
      </c>
      <c r="V2538" s="24" t="str">
        <f>HYPERLINK("https://znanium.ru/catalog/product/959073", "Ознакомиться")</f>
        <v>Ознакомиться</v>
      </c>
      <c r="W2538" s="8" t="s">
        <v>10375</v>
      </c>
      <c r="X2538" s="6"/>
      <c r="Y2538" s="6"/>
      <c r="Z2538" s="6"/>
      <c r="AA2538" s="6" t="s">
        <v>258</v>
      </c>
      <c r="AB2538" s="8"/>
    </row>
    <row r="2539" spans="1:28" s="4" customFormat="1" ht="51.95" customHeight="1">
      <c r="A2539" s="5">
        <v>0</v>
      </c>
      <c r="B2539" s="6" t="s">
        <v>15450</v>
      </c>
      <c r="C2539" s="7">
        <v>880</v>
      </c>
      <c r="D2539" s="8" t="s">
        <v>15451</v>
      </c>
      <c r="E2539" s="8" t="s">
        <v>15452</v>
      </c>
      <c r="F2539" s="8" t="s">
        <v>15453</v>
      </c>
      <c r="G2539" s="6" t="s">
        <v>89</v>
      </c>
      <c r="H2539" s="6" t="s">
        <v>53</v>
      </c>
      <c r="I2539" s="8" t="s">
        <v>90</v>
      </c>
      <c r="J2539" s="9">
        <v>1</v>
      </c>
      <c r="K2539" s="9">
        <v>259</v>
      </c>
      <c r="L2539" s="9">
        <v>2020</v>
      </c>
      <c r="M2539" s="8" t="s">
        <v>15454</v>
      </c>
      <c r="N2539" s="8" t="s">
        <v>79</v>
      </c>
      <c r="O2539" s="8" t="s">
        <v>396</v>
      </c>
      <c r="P2539" s="6" t="s">
        <v>167</v>
      </c>
      <c r="Q2539" s="8" t="s">
        <v>279</v>
      </c>
      <c r="R2539" s="10" t="s">
        <v>10827</v>
      </c>
      <c r="S2539" s="11" t="s">
        <v>15455</v>
      </c>
      <c r="T2539" s="6"/>
      <c r="U2539" s="24" t="str">
        <f>HYPERLINK("https://media.infra-m.ru/1090/1090549/cover/1090549.jpg", "Обложка")</f>
        <v>Обложка</v>
      </c>
      <c r="V2539" s="24" t="str">
        <f>HYPERLINK("https://znanium.ru/catalog/product/1090549", "Ознакомиться")</f>
        <v>Ознакомиться</v>
      </c>
      <c r="W2539" s="8" t="s">
        <v>478</v>
      </c>
      <c r="X2539" s="6"/>
      <c r="Y2539" s="6"/>
      <c r="Z2539" s="6"/>
      <c r="AA2539" s="6" t="s">
        <v>196</v>
      </c>
      <c r="AB2539" s="8"/>
    </row>
    <row r="2540" spans="1:28" s="4" customFormat="1" ht="42" customHeight="1">
      <c r="A2540" s="5">
        <v>0</v>
      </c>
      <c r="B2540" s="6" t="s">
        <v>15456</v>
      </c>
      <c r="C2540" s="7">
        <v>710</v>
      </c>
      <c r="D2540" s="8" t="s">
        <v>15457</v>
      </c>
      <c r="E2540" s="8" t="s">
        <v>15458</v>
      </c>
      <c r="F2540" s="8" t="s">
        <v>15459</v>
      </c>
      <c r="G2540" s="6" t="s">
        <v>38</v>
      </c>
      <c r="H2540" s="6" t="s">
        <v>53</v>
      </c>
      <c r="I2540" s="8" t="s">
        <v>116</v>
      </c>
      <c r="J2540" s="9">
        <v>1</v>
      </c>
      <c r="K2540" s="9">
        <v>111</v>
      </c>
      <c r="L2540" s="9">
        <v>2024</v>
      </c>
      <c r="M2540" s="8" t="s">
        <v>15460</v>
      </c>
      <c r="N2540" s="8" t="s">
        <v>79</v>
      </c>
      <c r="O2540" s="8" t="s">
        <v>396</v>
      </c>
      <c r="P2540" s="6" t="s">
        <v>43</v>
      </c>
      <c r="Q2540" s="8" t="s">
        <v>44</v>
      </c>
      <c r="R2540" s="10" t="s">
        <v>15461</v>
      </c>
      <c r="S2540" s="11"/>
      <c r="T2540" s="6"/>
      <c r="U2540" s="24" t="str">
        <f>HYPERLINK("https://media.infra-m.ru/1851/1851518/cover/1851518.jpg", "Обложка")</f>
        <v>Обложка</v>
      </c>
      <c r="V2540" s="24" t="str">
        <f>HYPERLINK("https://znanium.ru/catalog/product/1851518", "Ознакомиться")</f>
        <v>Ознакомиться</v>
      </c>
      <c r="W2540" s="8" t="s">
        <v>7020</v>
      </c>
      <c r="X2540" s="6" t="s">
        <v>772</v>
      </c>
      <c r="Y2540" s="6"/>
      <c r="Z2540" s="6"/>
      <c r="AA2540" s="6" t="s">
        <v>133</v>
      </c>
      <c r="AB2540" s="8"/>
    </row>
    <row r="2541" spans="1:28" s="4" customFormat="1" ht="51.95" customHeight="1">
      <c r="A2541" s="5">
        <v>0</v>
      </c>
      <c r="B2541" s="6" t="s">
        <v>15462</v>
      </c>
      <c r="C2541" s="7">
        <v>954</v>
      </c>
      <c r="D2541" s="8" t="s">
        <v>15463</v>
      </c>
      <c r="E2541" s="8" t="s">
        <v>15464</v>
      </c>
      <c r="F2541" s="8" t="s">
        <v>15465</v>
      </c>
      <c r="G2541" s="6" t="s">
        <v>38</v>
      </c>
      <c r="H2541" s="6" t="s">
        <v>39</v>
      </c>
      <c r="I2541" s="8" t="s">
        <v>90</v>
      </c>
      <c r="J2541" s="9">
        <v>1</v>
      </c>
      <c r="K2541" s="9">
        <v>208</v>
      </c>
      <c r="L2541" s="9">
        <v>2024</v>
      </c>
      <c r="M2541" s="8" t="s">
        <v>15466</v>
      </c>
      <c r="N2541" s="8" t="s">
        <v>79</v>
      </c>
      <c r="O2541" s="8" t="s">
        <v>396</v>
      </c>
      <c r="P2541" s="6" t="s">
        <v>167</v>
      </c>
      <c r="Q2541" s="8" t="s">
        <v>44</v>
      </c>
      <c r="R2541" s="10" t="s">
        <v>11473</v>
      </c>
      <c r="S2541" s="11" t="s">
        <v>15467</v>
      </c>
      <c r="T2541" s="6"/>
      <c r="U2541" s="24" t="str">
        <f>HYPERLINK("https://media.infra-m.ru/2094/2094515/cover/2094515.jpg", "Обложка")</f>
        <v>Обложка</v>
      </c>
      <c r="V2541" s="24" t="str">
        <f>HYPERLINK("https://znanium.ru/catalog/product/1012428", "Ознакомиться")</f>
        <v>Ознакомиться</v>
      </c>
      <c r="W2541" s="8" t="s">
        <v>14979</v>
      </c>
      <c r="X2541" s="6"/>
      <c r="Y2541" s="6"/>
      <c r="Z2541" s="6"/>
      <c r="AA2541" s="6" t="s">
        <v>47</v>
      </c>
      <c r="AB2541" s="8"/>
    </row>
    <row r="2542" spans="1:28" s="4" customFormat="1" ht="51.95" customHeight="1">
      <c r="A2542" s="5">
        <v>0</v>
      </c>
      <c r="B2542" s="6" t="s">
        <v>15468</v>
      </c>
      <c r="C2542" s="13">
        <v>1790</v>
      </c>
      <c r="D2542" s="8" t="s">
        <v>15469</v>
      </c>
      <c r="E2542" s="8" t="s">
        <v>15470</v>
      </c>
      <c r="F2542" s="8" t="s">
        <v>15471</v>
      </c>
      <c r="G2542" s="6" t="s">
        <v>38</v>
      </c>
      <c r="H2542" s="6" t="s">
        <v>184</v>
      </c>
      <c r="I2542" s="8" t="s">
        <v>90</v>
      </c>
      <c r="J2542" s="9">
        <v>1</v>
      </c>
      <c r="K2542" s="9">
        <v>355</v>
      </c>
      <c r="L2542" s="9">
        <v>2025</v>
      </c>
      <c r="M2542" s="8" t="s">
        <v>15472</v>
      </c>
      <c r="N2542" s="8" t="s">
        <v>79</v>
      </c>
      <c r="O2542" s="8" t="s">
        <v>80</v>
      </c>
      <c r="P2542" s="6" t="s">
        <v>43</v>
      </c>
      <c r="Q2542" s="8" t="s">
        <v>44</v>
      </c>
      <c r="R2542" s="10" t="s">
        <v>15473</v>
      </c>
      <c r="S2542" s="11" t="s">
        <v>15474</v>
      </c>
      <c r="T2542" s="6"/>
      <c r="U2542" s="24" t="str">
        <f>HYPERLINK("https://media.infra-m.ru/2173/2173934/cover/2173934.jpg", "Обложка")</f>
        <v>Обложка</v>
      </c>
      <c r="V2542" s="24" t="str">
        <f>HYPERLINK("https://znanium.ru/catalog/product/2173934", "Ознакомиться")</f>
        <v>Ознакомиться</v>
      </c>
      <c r="W2542" s="8" t="s">
        <v>347</v>
      </c>
      <c r="X2542" s="6" t="s">
        <v>2790</v>
      </c>
      <c r="Y2542" s="6"/>
      <c r="Z2542" s="6"/>
      <c r="AA2542" s="6" t="s">
        <v>15475</v>
      </c>
      <c r="AB2542" s="8"/>
    </row>
    <row r="2543" spans="1:28" s="4" customFormat="1" ht="51.95" customHeight="1">
      <c r="A2543" s="5">
        <v>0</v>
      </c>
      <c r="B2543" s="6" t="s">
        <v>15476</v>
      </c>
      <c r="C2543" s="13">
        <v>1450</v>
      </c>
      <c r="D2543" s="8" t="s">
        <v>15477</v>
      </c>
      <c r="E2543" s="8" t="s">
        <v>15478</v>
      </c>
      <c r="F2543" s="8" t="s">
        <v>15471</v>
      </c>
      <c r="G2543" s="6" t="s">
        <v>38</v>
      </c>
      <c r="H2543" s="6" t="s">
        <v>184</v>
      </c>
      <c r="I2543" s="8" t="s">
        <v>90</v>
      </c>
      <c r="J2543" s="9">
        <v>1</v>
      </c>
      <c r="K2543" s="9">
        <v>320</v>
      </c>
      <c r="L2543" s="9">
        <v>2023</v>
      </c>
      <c r="M2543" s="8" t="s">
        <v>15479</v>
      </c>
      <c r="N2543" s="8" t="s">
        <v>79</v>
      </c>
      <c r="O2543" s="8" t="s">
        <v>80</v>
      </c>
      <c r="P2543" s="6" t="s">
        <v>43</v>
      </c>
      <c r="Q2543" s="8" t="s">
        <v>44</v>
      </c>
      <c r="R2543" s="10" t="s">
        <v>15473</v>
      </c>
      <c r="S2543" s="11" t="s">
        <v>15474</v>
      </c>
      <c r="T2543" s="6" t="s">
        <v>299</v>
      </c>
      <c r="U2543" s="24" t="str">
        <f>HYPERLINK("https://media.infra-m.ru/2038/2038247/cover/2038247.jpg", "Обложка")</f>
        <v>Обложка</v>
      </c>
      <c r="V2543" s="24" t="str">
        <f>HYPERLINK("https://znanium.ru/catalog/product/2173934", "Ознакомиться")</f>
        <v>Ознакомиться</v>
      </c>
      <c r="W2543" s="8" t="s">
        <v>347</v>
      </c>
      <c r="X2543" s="6"/>
      <c r="Y2543" s="6"/>
      <c r="Z2543" s="6"/>
      <c r="AA2543" s="6" t="s">
        <v>874</v>
      </c>
      <c r="AB2543" s="8"/>
    </row>
    <row r="2544" spans="1:28" s="4" customFormat="1" ht="51.95" customHeight="1">
      <c r="A2544" s="5">
        <v>0</v>
      </c>
      <c r="B2544" s="6" t="s">
        <v>15480</v>
      </c>
      <c r="C2544" s="7">
        <v>790</v>
      </c>
      <c r="D2544" s="8" t="s">
        <v>15481</v>
      </c>
      <c r="E2544" s="8" t="s">
        <v>15482</v>
      </c>
      <c r="F2544" s="8" t="s">
        <v>15483</v>
      </c>
      <c r="G2544" s="6" t="s">
        <v>38</v>
      </c>
      <c r="H2544" s="6" t="s">
        <v>184</v>
      </c>
      <c r="I2544" s="8" t="s">
        <v>90</v>
      </c>
      <c r="J2544" s="9">
        <v>1</v>
      </c>
      <c r="K2544" s="9">
        <v>224</v>
      </c>
      <c r="L2544" s="9">
        <v>2019</v>
      </c>
      <c r="M2544" s="8" t="s">
        <v>15484</v>
      </c>
      <c r="N2544" s="8" t="s">
        <v>79</v>
      </c>
      <c r="O2544" s="8" t="s">
        <v>80</v>
      </c>
      <c r="P2544" s="6" t="s">
        <v>43</v>
      </c>
      <c r="Q2544" s="8" t="s">
        <v>44</v>
      </c>
      <c r="R2544" s="10" t="s">
        <v>15473</v>
      </c>
      <c r="S2544" s="11" t="s">
        <v>15474</v>
      </c>
      <c r="T2544" s="6" t="s">
        <v>299</v>
      </c>
      <c r="U2544" s="24" t="str">
        <f>HYPERLINK("https://media.infra-m.ru/0982/0982197/cover/982197.jpg", "Обложка")</f>
        <v>Обложка</v>
      </c>
      <c r="V2544" s="24" t="str">
        <f>HYPERLINK("https://znanium.ru/catalog/product/2173934", "Ознакомиться")</f>
        <v>Ознакомиться</v>
      </c>
      <c r="W2544" s="8" t="s">
        <v>347</v>
      </c>
      <c r="X2544" s="6"/>
      <c r="Y2544" s="6"/>
      <c r="Z2544" s="6"/>
      <c r="AA2544" s="6" t="s">
        <v>160</v>
      </c>
      <c r="AB2544" s="8"/>
    </row>
    <row r="2545" spans="1:28" s="4" customFormat="1" ht="51.95" customHeight="1">
      <c r="A2545" s="5">
        <v>0</v>
      </c>
      <c r="B2545" s="6" t="s">
        <v>15485</v>
      </c>
      <c r="C2545" s="13">
        <v>1794</v>
      </c>
      <c r="D2545" s="8" t="s">
        <v>15486</v>
      </c>
      <c r="E2545" s="8" t="s">
        <v>15487</v>
      </c>
      <c r="F2545" s="8" t="s">
        <v>15488</v>
      </c>
      <c r="G2545" s="6" t="s">
        <v>52</v>
      </c>
      <c r="H2545" s="6" t="s">
        <v>184</v>
      </c>
      <c r="I2545" s="8" t="s">
        <v>90</v>
      </c>
      <c r="J2545" s="9">
        <v>1</v>
      </c>
      <c r="K2545" s="9">
        <v>398</v>
      </c>
      <c r="L2545" s="9">
        <v>2023</v>
      </c>
      <c r="M2545" s="8" t="s">
        <v>15489</v>
      </c>
      <c r="N2545" s="8" t="s">
        <v>79</v>
      </c>
      <c r="O2545" s="8" t="s">
        <v>396</v>
      </c>
      <c r="P2545" s="6" t="s">
        <v>43</v>
      </c>
      <c r="Q2545" s="8" t="s">
        <v>44</v>
      </c>
      <c r="R2545" s="10" t="s">
        <v>15490</v>
      </c>
      <c r="S2545" s="11"/>
      <c r="T2545" s="6"/>
      <c r="U2545" s="24" t="str">
        <f>HYPERLINK("https://media.infra-m.ru/1995/1995366/cover/1995366.jpg", "Обложка")</f>
        <v>Обложка</v>
      </c>
      <c r="V2545" s="24" t="str">
        <f>HYPERLINK("https://znanium.ru/catalog/product/1225064", "Ознакомиться")</f>
        <v>Ознакомиться</v>
      </c>
      <c r="W2545" s="8"/>
      <c r="X2545" s="6"/>
      <c r="Y2545" s="6"/>
      <c r="Z2545" s="6"/>
      <c r="AA2545" s="6" t="s">
        <v>47</v>
      </c>
      <c r="AB2545" s="8"/>
    </row>
    <row r="2546" spans="1:28" s="4" customFormat="1" ht="51.95" customHeight="1">
      <c r="A2546" s="5">
        <v>0</v>
      </c>
      <c r="B2546" s="6" t="s">
        <v>15491</v>
      </c>
      <c r="C2546" s="13">
        <v>1284</v>
      </c>
      <c r="D2546" s="8" t="s">
        <v>15492</v>
      </c>
      <c r="E2546" s="8" t="s">
        <v>15493</v>
      </c>
      <c r="F2546" s="8" t="s">
        <v>15494</v>
      </c>
      <c r="G2546" s="6" t="s">
        <v>89</v>
      </c>
      <c r="H2546" s="6" t="s">
        <v>53</v>
      </c>
      <c r="I2546" s="8" t="s">
        <v>116</v>
      </c>
      <c r="J2546" s="9">
        <v>1</v>
      </c>
      <c r="K2546" s="9">
        <v>256</v>
      </c>
      <c r="L2546" s="9">
        <v>2025</v>
      </c>
      <c r="M2546" s="8" t="s">
        <v>15495</v>
      </c>
      <c r="N2546" s="8" t="s">
        <v>79</v>
      </c>
      <c r="O2546" s="8" t="s">
        <v>80</v>
      </c>
      <c r="P2546" s="6" t="s">
        <v>43</v>
      </c>
      <c r="Q2546" s="8" t="s">
        <v>44</v>
      </c>
      <c r="R2546" s="10" t="s">
        <v>519</v>
      </c>
      <c r="S2546" s="11" t="s">
        <v>15496</v>
      </c>
      <c r="T2546" s="6"/>
      <c r="U2546" s="24" t="str">
        <f>HYPERLINK("https://media.infra-m.ru/2138/2138832/cover/2138832.jpg", "Обложка")</f>
        <v>Обложка</v>
      </c>
      <c r="V2546" s="24" t="str">
        <f>HYPERLINK("https://znanium.ru/catalog/product/2084144", "Ознакомиться")</f>
        <v>Ознакомиться</v>
      </c>
      <c r="W2546" s="8" t="s">
        <v>1571</v>
      </c>
      <c r="X2546" s="6"/>
      <c r="Y2546" s="6"/>
      <c r="Z2546" s="6"/>
      <c r="AA2546" s="6" t="s">
        <v>418</v>
      </c>
      <c r="AB2546" s="8"/>
    </row>
    <row r="2547" spans="1:28" s="4" customFormat="1" ht="51.95" customHeight="1">
      <c r="A2547" s="5">
        <v>0</v>
      </c>
      <c r="B2547" s="6" t="s">
        <v>15497</v>
      </c>
      <c r="C2547" s="13">
        <v>1490</v>
      </c>
      <c r="D2547" s="8" t="s">
        <v>15498</v>
      </c>
      <c r="E2547" s="8" t="s">
        <v>15499</v>
      </c>
      <c r="F2547" s="8" t="s">
        <v>15500</v>
      </c>
      <c r="G2547" s="6" t="s">
        <v>89</v>
      </c>
      <c r="H2547" s="6" t="s">
        <v>53</v>
      </c>
      <c r="I2547" s="8" t="s">
        <v>90</v>
      </c>
      <c r="J2547" s="9">
        <v>1</v>
      </c>
      <c r="K2547" s="9">
        <v>216</v>
      </c>
      <c r="L2547" s="9">
        <v>2023</v>
      </c>
      <c r="M2547" s="8" t="s">
        <v>15501</v>
      </c>
      <c r="N2547" s="8" t="s">
        <v>413</v>
      </c>
      <c r="O2547" s="8" t="s">
        <v>1141</v>
      </c>
      <c r="P2547" s="6" t="s">
        <v>43</v>
      </c>
      <c r="Q2547" s="8" t="s">
        <v>44</v>
      </c>
      <c r="R2547" s="10" t="s">
        <v>15502</v>
      </c>
      <c r="S2547" s="11" t="s">
        <v>15503</v>
      </c>
      <c r="T2547" s="6"/>
      <c r="U2547" s="24" t="str">
        <f>HYPERLINK("https://media.infra-m.ru/2111/2111337/cover/2111337.jpg", "Обложка")</f>
        <v>Обложка</v>
      </c>
      <c r="V2547" s="24" t="str">
        <f>HYPERLINK("https://znanium.ru/catalog/product/1831624", "Ознакомиться")</f>
        <v>Ознакомиться</v>
      </c>
      <c r="W2547" s="8" t="s">
        <v>15504</v>
      </c>
      <c r="X2547" s="6"/>
      <c r="Y2547" s="6"/>
      <c r="Z2547" s="6"/>
      <c r="AA2547" s="6" t="s">
        <v>235</v>
      </c>
      <c r="AB2547" s="8"/>
    </row>
    <row r="2548" spans="1:28" s="4" customFormat="1" ht="44.1" customHeight="1">
      <c r="A2548" s="5">
        <v>0</v>
      </c>
      <c r="B2548" s="6" t="s">
        <v>15505</v>
      </c>
      <c r="C2548" s="7">
        <v>724.9</v>
      </c>
      <c r="D2548" s="8" t="s">
        <v>15506</v>
      </c>
      <c r="E2548" s="8" t="s">
        <v>15507</v>
      </c>
      <c r="F2548" s="8" t="s">
        <v>5527</v>
      </c>
      <c r="G2548" s="6" t="s">
        <v>52</v>
      </c>
      <c r="H2548" s="6" t="s">
        <v>674</v>
      </c>
      <c r="I2548" s="8" t="s">
        <v>5528</v>
      </c>
      <c r="J2548" s="9">
        <v>1</v>
      </c>
      <c r="K2548" s="9">
        <v>192</v>
      </c>
      <c r="L2548" s="9">
        <v>2022</v>
      </c>
      <c r="M2548" s="8" t="s">
        <v>15508</v>
      </c>
      <c r="N2548" s="8" t="s">
        <v>41</v>
      </c>
      <c r="O2548" s="8" t="s">
        <v>1204</v>
      </c>
      <c r="P2548" s="6" t="s">
        <v>43</v>
      </c>
      <c r="Q2548" s="8" t="s">
        <v>44</v>
      </c>
      <c r="R2548" s="10" t="s">
        <v>15509</v>
      </c>
      <c r="S2548" s="11"/>
      <c r="T2548" s="6"/>
      <c r="U2548" s="24" t="str">
        <f>HYPERLINK("https://media.infra-m.ru/1853/1853514/cover/1853514.jpg", "Обложка")</f>
        <v>Обложка</v>
      </c>
      <c r="V2548" s="24" t="str">
        <f>HYPERLINK("https://znanium.ru/catalog/product/1853514", "Ознакомиться")</f>
        <v>Ознакомиться</v>
      </c>
      <c r="W2548" s="8" t="s">
        <v>4293</v>
      </c>
      <c r="X2548" s="6"/>
      <c r="Y2548" s="6"/>
      <c r="Z2548" s="6"/>
      <c r="AA2548" s="6" t="s">
        <v>84</v>
      </c>
      <c r="AB2548" s="8"/>
    </row>
    <row r="2549" spans="1:28" s="4" customFormat="1" ht="51.95" customHeight="1">
      <c r="A2549" s="5">
        <v>0</v>
      </c>
      <c r="B2549" s="6" t="s">
        <v>15510</v>
      </c>
      <c r="C2549" s="7">
        <v>930</v>
      </c>
      <c r="D2549" s="8" t="s">
        <v>15511</v>
      </c>
      <c r="E2549" s="8" t="s">
        <v>15512</v>
      </c>
      <c r="F2549" s="8" t="s">
        <v>2972</v>
      </c>
      <c r="G2549" s="6" t="s">
        <v>89</v>
      </c>
      <c r="H2549" s="6" t="s">
        <v>53</v>
      </c>
      <c r="I2549" s="8" t="s">
        <v>116</v>
      </c>
      <c r="J2549" s="9">
        <v>1</v>
      </c>
      <c r="K2549" s="9">
        <v>197</v>
      </c>
      <c r="L2549" s="9">
        <v>2024</v>
      </c>
      <c r="M2549" s="8" t="s">
        <v>15513</v>
      </c>
      <c r="N2549" s="8" t="s">
        <v>79</v>
      </c>
      <c r="O2549" s="8" t="s">
        <v>80</v>
      </c>
      <c r="P2549" s="6" t="s">
        <v>43</v>
      </c>
      <c r="Q2549" s="8" t="s">
        <v>44</v>
      </c>
      <c r="R2549" s="10" t="s">
        <v>157</v>
      </c>
      <c r="S2549" s="11" t="s">
        <v>14733</v>
      </c>
      <c r="T2549" s="6"/>
      <c r="U2549" s="24" t="str">
        <f>HYPERLINK("https://media.infra-m.ru/2147/2147812/cover/2147812.jpg", "Обложка")</f>
        <v>Обложка</v>
      </c>
      <c r="V2549" s="24" t="str">
        <f>HYPERLINK("https://znanium.ru/catalog/product/2147812", "Ознакомиться")</f>
        <v>Ознакомиться</v>
      </c>
      <c r="W2549" s="8" t="s">
        <v>83</v>
      </c>
      <c r="X2549" s="6"/>
      <c r="Y2549" s="6"/>
      <c r="Z2549" s="6"/>
      <c r="AA2549" s="6" t="s">
        <v>151</v>
      </c>
      <c r="AB2549" s="8"/>
    </row>
    <row r="2550" spans="1:28" s="4" customFormat="1" ht="51.95" customHeight="1">
      <c r="A2550" s="5">
        <v>0</v>
      </c>
      <c r="B2550" s="6" t="s">
        <v>15514</v>
      </c>
      <c r="C2550" s="7">
        <v>654</v>
      </c>
      <c r="D2550" s="8" t="s">
        <v>15515</v>
      </c>
      <c r="E2550" s="8" t="s">
        <v>15516</v>
      </c>
      <c r="F2550" s="8" t="s">
        <v>15517</v>
      </c>
      <c r="G2550" s="6" t="s">
        <v>38</v>
      </c>
      <c r="H2550" s="6" t="s">
        <v>184</v>
      </c>
      <c r="I2550" s="8" t="s">
        <v>90</v>
      </c>
      <c r="J2550" s="9">
        <v>1</v>
      </c>
      <c r="K2550" s="9">
        <v>142</v>
      </c>
      <c r="L2550" s="9">
        <v>2024</v>
      </c>
      <c r="M2550" s="8" t="s">
        <v>15518</v>
      </c>
      <c r="N2550" s="8" t="s">
        <v>79</v>
      </c>
      <c r="O2550" s="8" t="s">
        <v>396</v>
      </c>
      <c r="P2550" s="6" t="s">
        <v>43</v>
      </c>
      <c r="Q2550" s="8" t="s">
        <v>44</v>
      </c>
      <c r="R2550" s="10" t="s">
        <v>507</v>
      </c>
      <c r="S2550" s="11" t="s">
        <v>15519</v>
      </c>
      <c r="T2550" s="6"/>
      <c r="U2550" s="24" t="str">
        <f>HYPERLINK("https://media.infra-m.ru/1981/1981694/cover/1981694.jpg", "Обложка")</f>
        <v>Обложка</v>
      </c>
      <c r="V2550" s="12"/>
      <c r="W2550" s="8" t="s">
        <v>8577</v>
      </c>
      <c r="X2550" s="6"/>
      <c r="Y2550" s="6"/>
      <c r="Z2550" s="6"/>
      <c r="AA2550" s="6" t="s">
        <v>479</v>
      </c>
      <c r="AB2550" s="8"/>
    </row>
    <row r="2551" spans="1:28" s="4" customFormat="1" ht="51.95" customHeight="1">
      <c r="A2551" s="5">
        <v>0</v>
      </c>
      <c r="B2551" s="6" t="s">
        <v>15520</v>
      </c>
      <c r="C2551" s="13">
        <v>1294</v>
      </c>
      <c r="D2551" s="8" t="s">
        <v>15521</v>
      </c>
      <c r="E2551" s="8" t="s">
        <v>15522</v>
      </c>
      <c r="F2551" s="8" t="s">
        <v>15523</v>
      </c>
      <c r="G2551" s="6" t="s">
        <v>89</v>
      </c>
      <c r="H2551" s="6" t="s">
        <v>53</v>
      </c>
      <c r="I2551" s="8" t="s">
        <v>90</v>
      </c>
      <c r="J2551" s="9">
        <v>1</v>
      </c>
      <c r="K2551" s="9">
        <v>260</v>
      </c>
      <c r="L2551" s="9">
        <v>2025</v>
      </c>
      <c r="M2551" s="8" t="s">
        <v>15524</v>
      </c>
      <c r="N2551" s="8" t="s">
        <v>79</v>
      </c>
      <c r="O2551" s="8" t="s">
        <v>396</v>
      </c>
      <c r="P2551" s="6" t="s">
        <v>167</v>
      </c>
      <c r="Q2551" s="8" t="s">
        <v>44</v>
      </c>
      <c r="R2551" s="10" t="s">
        <v>15525</v>
      </c>
      <c r="S2551" s="11" t="s">
        <v>15526</v>
      </c>
      <c r="T2551" s="6" t="s">
        <v>299</v>
      </c>
      <c r="U2551" s="24" t="str">
        <f>HYPERLINK("https://media.infra-m.ru/2084/2084196/cover/2084196.jpg", "Обложка")</f>
        <v>Обложка</v>
      </c>
      <c r="V2551" s="24" t="str">
        <f>HYPERLINK("https://znanium.ru/catalog/product/1913021", "Ознакомиться")</f>
        <v>Ознакомиться</v>
      </c>
      <c r="W2551" s="8" t="s">
        <v>450</v>
      </c>
      <c r="X2551" s="6"/>
      <c r="Y2551" s="6"/>
      <c r="Z2551" s="6"/>
      <c r="AA2551" s="6" t="s">
        <v>95</v>
      </c>
      <c r="AB2551" s="8"/>
    </row>
    <row r="2552" spans="1:28" s="4" customFormat="1" ht="51.95" customHeight="1">
      <c r="A2552" s="5">
        <v>0</v>
      </c>
      <c r="B2552" s="6" t="s">
        <v>15527</v>
      </c>
      <c r="C2552" s="7">
        <v>820</v>
      </c>
      <c r="D2552" s="8" t="s">
        <v>15528</v>
      </c>
      <c r="E2552" s="8" t="s">
        <v>15529</v>
      </c>
      <c r="F2552" s="8" t="s">
        <v>15523</v>
      </c>
      <c r="G2552" s="6" t="s">
        <v>89</v>
      </c>
      <c r="H2552" s="6" t="s">
        <v>53</v>
      </c>
      <c r="I2552" s="8" t="s">
        <v>90</v>
      </c>
      <c r="J2552" s="9">
        <v>1</v>
      </c>
      <c r="K2552" s="9">
        <v>255</v>
      </c>
      <c r="L2552" s="9">
        <v>2019</v>
      </c>
      <c r="M2552" s="8" t="s">
        <v>15530</v>
      </c>
      <c r="N2552" s="8" t="s">
        <v>79</v>
      </c>
      <c r="O2552" s="8" t="s">
        <v>396</v>
      </c>
      <c r="P2552" s="6" t="s">
        <v>167</v>
      </c>
      <c r="Q2552" s="8" t="s">
        <v>44</v>
      </c>
      <c r="R2552" s="10" t="s">
        <v>15525</v>
      </c>
      <c r="S2552" s="11" t="s">
        <v>15531</v>
      </c>
      <c r="T2552" s="6" t="s">
        <v>299</v>
      </c>
      <c r="U2552" s="24" t="str">
        <f>HYPERLINK("https://media.infra-m.ru/0989/0989195/cover/989195.jpg", "Обложка")</f>
        <v>Обложка</v>
      </c>
      <c r="V2552" s="24" t="str">
        <f>HYPERLINK("https://znanium.ru/catalog/product/1913021", "Ознакомиться")</f>
        <v>Ознакомиться</v>
      </c>
      <c r="W2552" s="8" t="s">
        <v>450</v>
      </c>
      <c r="X2552" s="6"/>
      <c r="Y2552" s="6"/>
      <c r="Z2552" s="6"/>
      <c r="AA2552" s="6" t="s">
        <v>418</v>
      </c>
      <c r="AB2552" s="8"/>
    </row>
    <row r="2553" spans="1:28" s="4" customFormat="1" ht="51.95" customHeight="1">
      <c r="A2553" s="5">
        <v>0</v>
      </c>
      <c r="B2553" s="6" t="s">
        <v>15532</v>
      </c>
      <c r="C2553" s="13">
        <v>1254</v>
      </c>
      <c r="D2553" s="8" t="s">
        <v>15533</v>
      </c>
      <c r="E2553" s="8" t="s">
        <v>15534</v>
      </c>
      <c r="F2553" s="8" t="s">
        <v>15535</v>
      </c>
      <c r="G2553" s="6" t="s">
        <v>52</v>
      </c>
      <c r="H2553" s="6" t="s">
        <v>53</v>
      </c>
      <c r="I2553" s="8" t="s">
        <v>276</v>
      </c>
      <c r="J2553" s="9">
        <v>1</v>
      </c>
      <c r="K2553" s="9">
        <v>272</v>
      </c>
      <c r="L2553" s="9">
        <v>2024</v>
      </c>
      <c r="M2553" s="8" t="s">
        <v>15536</v>
      </c>
      <c r="N2553" s="8" t="s">
        <v>413</v>
      </c>
      <c r="O2553" s="8" t="s">
        <v>1141</v>
      </c>
      <c r="P2553" s="6" t="s">
        <v>43</v>
      </c>
      <c r="Q2553" s="8" t="s">
        <v>44</v>
      </c>
      <c r="R2553" s="10" t="s">
        <v>15537</v>
      </c>
      <c r="S2553" s="11" t="s">
        <v>15538</v>
      </c>
      <c r="T2553" s="6"/>
      <c r="U2553" s="24" t="str">
        <f>HYPERLINK("https://media.infra-m.ru/2061/2061317/cover/2061317.jpg", "Обложка")</f>
        <v>Обложка</v>
      </c>
      <c r="V2553" s="24" t="str">
        <f>HYPERLINK("https://znanium.ru/catalog/product/1072253", "Ознакомиться")</f>
        <v>Ознакомиться</v>
      </c>
      <c r="W2553" s="8" t="s">
        <v>83</v>
      </c>
      <c r="X2553" s="6"/>
      <c r="Y2553" s="6"/>
      <c r="Z2553" s="6"/>
      <c r="AA2553" s="6" t="s">
        <v>377</v>
      </c>
      <c r="AB2553" s="8"/>
    </row>
    <row r="2554" spans="1:28" s="4" customFormat="1" ht="51.95" customHeight="1">
      <c r="A2554" s="5">
        <v>0</v>
      </c>
      <c r="B2554" s="6" t="s">
        <v>15539</v>
      </c>
      <c r="C2554" s="13">
        <v>1544</v>
      </c>
      <c r="D2554" s="8" t="s">
        <v>15540</v>
      </c>
      <c r="E2554" s="8" t="s">
        <v>15541</v>
      </c>
      <c r="F2554" s="8" t="s">
        <v>15542</v>
      </c>
      <c r="G2554" s="6" t="s">
        <v>52</v>
      </c>
      <c r="H2554" s="6" t="s">
        <v>53</v>
      </c>
      <c r="I2554" s="8" t="s">
        <v>90</v>
      </c>
      <c r="J2554" s="9">
        <v>1</v>
      </c>
      <c r="K2554" s="9">
        <v>336</v>
      </c>
      <c r="L2554" s="9">
        <v>2024</v>
      </c>
      <c r="M2554" s="8" t="s">
        <v>15543</v>
      </c>
      <c r="N2554" s="8" t="s">
        <v>41</v>
      </c>
      <c r="O2554" s="8" t="s">
        <v>1007</v>
      </c>
      <c r="P2554" s="6" t="s">
        <v>43</v>
      </c>
      <c r="Q2554" s="8" t="s">
        <v>44</v>
      </c>
      <c r="R2554" s="10" t="s">
        <v>15544</v>
      </c>
      <c r="S2554" s="11" t="s">
        <v>15545</v>
      </c>
      <c r="T2554" s="6"/>
      <c r="U2554" s="24" t="str">
        <f>HYPERLINK("https://media.infra-m.ru/2102/2102174/cover/2102174.jpg", "Обложка")</f>
        <v>Обложка</v>
      </c>
      <c r="V2554" s="24" t="str">
        <f>HYPERLINK("https://znanium.ru/catalog/product/983584", "Ознакомиться")</f>
        <v>Ознакомиться</v>
      </c>
      <c r="W2554" s="8" t="s">
        <v>700</v>
      </c>
      <c r="X2554" s="6"/>
      <c r="Y2554" s="6"/>
      <c r="Z2554" s="6"/>
      <c r="AA2554" s="6" t="s">
        <v>47</v>
      </c>
      <c r="AB2554" s="8"/>
    </row>
    <row r="2555" spans="1:28" s="4" customFormat="1" ht="51.95" customHeight="1">
      <c r="A2555" s="5">
        <v>0</v>
      </c>
      <c r="B2555" s="6" t="s">
        <v>15546</v>
      </c>
      <c r="C2555" s="13">
        <v>1304</v>
      </c>
      <c r="D2555" s="8" t="s">
        <v>15547</v>
      </c>
      <c r="E2555" s="8" t="s">
        <v>15548</v>
      </c>
      <c r="F2555" s="8" t="s">
        <v>15549</v>
      </c>
      <c r="G2555" s="6" t="s">
        <v>89</v>
      </c>
      <c r="H2555" s="6" t="s">
        <v>53</v>
      </c>
      <c r="I2555" s="8" t="s">
        <v>15550</v>
      </c>
      <c r="J2555" s="9">
        <v>1</v>
      </c>
      <c r="K2555" s="9">
        <v>283</v>
      </c>
      <c r="L2555" s="9">
        <v>2024</v>
      </c>
      <c r="M2555" s="8" t="s">
        <v>15551</v>
      </c>
      <c r="N2555" s="8" t="s">
        <v>41</v>
      </c>
      <c r="O2555" s="8" t="s">
        <v>1007</v>
      </c>
      <c r="P2555" s="6" t="s">
        <v>43</v>
      </c>
      <c r="Q2555" s="8" t="s">
        <v>279</v>
      </c>
      <c r="R2555" s="10" t="s">
        <v>15552</v>
      </c>
      <c r="S2555" s="11" t="s">
        <v>15553</v>
      </c>
      <c r="T2555" s="6"/>
      <c r="U2555" s="24" t="str">
        <f>HYPERLINK("https://media.infra-m.ru/2083/2083568/cover/2083568.jpg", "Обложка")</f>
        <v>Обложка</v>
      </c>
      <c r="V2555" s="24" t="str">
        <f>HYPERLINK("https://znanium.ru/catalog/product/1907496", "Ознакомиться")</f>
        <v>Ознакомиться</v>
      </c>
      <c r="W2555" s="8" t="s">
        <v>206</v>
      </c>
      <c r="X2555" s="6"/>
      <c r="Y2555" s="6"/>
      <c r="Z2555" s="6"/>
      <c r="AA2555" s="6" t="s">
        <v>219</v>
      </c>
      <c r="AB2555" s="8"/>
    </row>
    <row r="2556" spans="1:28" s="4" customFormat="1" ht="51.95" customHeight="1">
      <c r="A2556" s="5">
        <v>0</v>
      </c>
      <c r="B2556" s="6" t="s">
        <v>15554</v>
      </c>
      <c r="C2556" s="7">
        <v>750</v>
      </c>
      <c r="D2556" s="8" t="s">
        <v>15555</v>
      </c>
      <c r="E2556" s="8" t="s">
        <v>15556</v>
      </c>
      <c r="F2556" s="8" t="s">
        <v>15557</v>
      </c>
      <c r="G2556" s="6" t="s">
        <v>52</v>
      </c>
      <c r="H2556" s="6" t="s">
        <v>53</v>
      </c>
      <c r="I2556" s="8" t="s">
        <v>276</v>
      </c>
      <c r="J2556" s="9">
        <v>1</v>
      </c>
      <c r="K2556" s="9">
        <v>171</v>
      </c>
      <c r="L2556" s="9">
        <v>2022</v>
      </c>
      <c r="M2556" s="8" t="s">
        <v>15558</v>
      </c>
      <c r="N2556" s="8" t="s">
        <v>41</v>
      </c>
      <c r="O2556" s="8" t="s">
        <v>1007</v>
      </c>
      <c r="P2556" s="6" t="s">
        <v>43</v>
      </c>
      <c r="Q2556" s="8" t="s">
        <v>279</v>
      </c>
      <c r="R2556" s="10" t="s">
        <v>15559</v>
      </c>
      <c r="S2556" s="11" t="s">
        <v>15560</v>
      </c>
      <c r="T2556" s="6"/>
      <c r="U2556" s="24" t="str">
        <f>HYPERLINK("https://media.infra-m.ru/1842/1842518/cover/1842518.jpg", "Обложка")</f>
        <v>Обложка</v>
      </c>
      <c r="V2556" s="24" t="str">
        <f>HYPERLINK("https://znanium.ru/catalog/product/1842518", "Ознакомиться")</f>
        <v>Ознакомиться</v>
      </c>
      <c r="W2556" s="8" t="s">
        <v>15561</v>
      </c>
      <c r="X2556" s="6"/>
      <c r="Y2556" s="6"/>
      <c r="Z2556" s="6"/>
      <c r="AA2556" s="6" t="s">
        <v>235</v>
      </c>
      <c r="AB2556" s="8"/>
    </row>
    <row r="2557" spans="1:28" s="4" customFormat="1" ht="51.95" customHeight="1">
      <c r="A2557" s="5">
        <v>0</v>
      </c>
      <c r="B2557" s="6" t="s">
        <v>15562</v>
      </c>
      <c r="C2557" s="7">
        <v>624</v>
      </c>
      <c r="D2557" s="8" t="s">
        <v>15563</v>
      </c>
      <c r="E2557" s="8" t="s">
        <v>15564</v>
      </c>
      <c r="F2557" s="8" t="s">
        <v>15565</v>
      </c>
      <c r="G2557" s="6" t="s">
        <v>38</v>
      </c>
      <c r="H2557" s="6" t="s">
        <v>53</v>
      </c>
      <c r="I2557" s="8" t="s">
        <v>90</v>
      </c>
      <c r="J2557" s="9">
        <v>1</v>
      </c>
      <c r="K2557" s="9">
        <v>135</v>
      </c>
      <c r="L2557" s="9">
        <v>2024</v>
      </c>
      <c r="M2557" s="8" t="s">
        <v>15566</v>
      </c>
      <c r="N2557" s="8" t="s">
        <v>79</v>
      </c>
      <c r="O2557" s="8" t="s">
        <v>396</v>
      </c>
      <c r="P2557" s="6" t="s">
        <v>43</v>
      </c>
      <c r="Q2557" s="8" t="s">
        <v>44</v>
      </c>
      <c r="R2557" s="10" t="s">
        <v>15567</v>
      </c>
      <c r="S2557" s="11" t="s">
        <v>15568</v>
      </c>
      <c r="T2557" s="6"/>
      <c r="U2557" s="24" t="str">
        <f>HYPERLINK("https://media.infra-m.ru/2087/2087261/cover/2087261.jpg", "Обложка")</f>
        <v>Обложка</v>
      </c>
      <c r="V2557" s="24" t="str">
        <f>HYPERLINK("https://znanium.ru/catalog/product/1199262", "Ознакомиться")</f>
        <v>Ознакомиться</v>
      </c>
      <c r="W2557" s="8" t="s">
        <v>71</v>
      </c>
      <c r="X2557" s="6"/>
      <c r="Y2557" s="6"/>
      <c r="Z2557" s="6"/>
      <c r="AA2557" s="6" t="s">
        <v>418</v>
      </c>
      <c r="AB2557" s="8"/>
    </row>
    <row r="2558" spans="1:28" s="4" customFormat="1" ht="51.95" customHeight="1">
      <c r="A2558" s="5">
        <v>0</v>
      </c>
      <c r="B2558" s="6" t="s">
        <v>15569</v>
      </c>
      <c r="C2558" s="7">
        <v>660</v>
      </c>
      <c r="D2558" s="8" t="s">
        <v>15570</v>
      </c>
      <c r="E2558" s="8" t="s">
        <v>15571</v>
      </c>
      <c r="F2558" s="8" t="s">
        <v>15572</v>
      </c>
      <c r="G2558" s="6" t="s">
        <v>38</v>
      </c>
      <c r="H2558" s="6" t="s">
        <v>53</v>
      </c>
      <c r="I2558" s="8" t="s">
        <v>165</v>
      </c>
      <c r="J2558" s="9">
        <v>1</v>
      </c>
      <c r="K2558" s="9">
        <v>96</v>
      </c>
      <c r="L2558" s="9">
        <v>2025</v>
      </c>
      <c r="M2558" s="8" t="s">
        <v>15573</v>
      </c>
      <c r="N2558" s="8" t="s">
        <v>79</v>
      </c>
      <c r="O2558" s="8" t="s">
        <v>396</v>
      </c>
      <c r="P2558" s="6" t="s">
        <v>43</v>
      </c>
      <c r="Q2558" s="8" t="s">
        <v>44</v>
      </c>
      <c r="R2558" s="10" t="s">
        <v>15574</v>
      </c>
      <c r="S2558" s="11" t="s">
        <v>15575</v>
      </c>
      <c r="T2558" s="6" t="s">
        <v>299</v>
      </c>
      <c r="U2558" s="24" t="str">
        <f>HYPERLINK("https://media.infra-m.ru/2165/2165085/cover/2165085.jpg", "Обложка")</f>
        <v>Обложка</v>
      </c>
      <c r="V2558" s="24" t="str">
        <f>HYPERLINK("https://znanium.ru/catalog/product/2165085", "Ознакомиться")</f>
        <v>Ознакомиться</v>
      </c>
      <c r="W2558" s="8" t="s">
        <v>15576</v>
      </c>
      <c r="X2558" s="6"/>
      <c r="Y2558" s="6"/>
      <c r="Z2558" s="6"/>
      <c r="AA2558" s="6" t="s">
        <v>418</v>
      </c>
      <c r="AB2558" s="8"/>
    </row>
    <row r="2559" spans="1:28" s="4" customFormat="1" ht="51.95" customHeight="1">
      <c r="A2559" s="5">
        <v>0</v>
      </c>
      <c r="B2559" s="6" t="s">
        <v>15577</v>
      </c>
      <c r="C2559" s="7">
        <v>854</v>
      </c>
      <c r="D2559" s="8" t="s">
        <v>15578</v>
      </c>
      <c r="E2559" s="8" t="s">
        <v>15579</v>
      </c>
      <c r="F2559" s="8" t="s">
        <v>15580</v>
      </c>
      <c r="G2559" s="6" t="s">
        <v>52</v>
      </c>
      <c r="H2559" s="6" t="s">
        <v>53</v>
      </c>
      <c r="I2559" s="8" t="s">
        <v>90</v>
      </c>
      <c r="J2559" s="9">
        <v>1</v>
      </c>
      <c r="K2559" s="9">
        <v>188</v>
      </c>
      <c r="L2559" s="9">
        <v>2023</v>
      </c>
      <c r="M2559" s="8" t="s">
        <v>15581</v>
      </c>
      <c r="N2559" s="8" t="s">
        <v>56</v>
      </c>
      <c r="O2559" s="8" t="s">
        <v>2183</v>
      </c>
      <c r="P2559" s="6" t="s">
        <v>43</v>
      </c>
      <c r="Q2559" s="8" t="s">
        <v>44</v>
      </c>
      <c r="R2559" s="10" t="s">
        <v>2286</v>
      </c>
      <c r="S2559" s="11" t="s">
        <v>15582</v>
      </c>
      <c r="T2559" s="6"/>
      <c r="U2559" s="24" t="str">
        <f>HYPERLINK("https://media.infra-m.ru/2021/2021463/cover/2021463.jpg", "Обложка")</f>
        <v>Обложка</v>
      </c>
      <c r="V2559" s="24" t="str">
        <f>HYPERLINK("https://znanium.ru/catalog/product/997136", "Ознакомиться")</f>
        <v>Ознакомиться</v>
      </c>
      <c r="W2559" s="8"/>
      <c r="X2559" s="6"/>
      <c r="Y2559" s="6"/>
      <c r="Z2559" s="6"/>
      <c r="AA2559" s="6" t="s">
        <v>219</v>
      </c>
      <c r="AB2559" s="8" t="s">
        <v>8790</v>
      </c>
    </row>
    <row r="2560" spans="1:28" s="4" customFormat="1" ht="44.1" customHeight="1">
      <c r="A2560" s="5">
        <v>0</v>
      </c>
      <c r="B2560" s="6" t="s">
        <v>15583</v>
      </c>
      <c r="C2560" s="13">
        <v>1804</v>
      </c>
      <c r="D2560" s="8" t="s">
        <v>15584</v>
      </c>
      <c r="E2560" s="8" t="s">
        <v>15585</v>
      </c>
      <c r="F2560" s="8" t="s">
        <v>483</v>
      </c>
      <c r="G2560" s="6" t="s">
        <v>52</v>
      </c>
      <c r="H2560" s="6" t="s">
        <v>39</v>
      </c>
      <c r="I2560" s="8" t="s">
        <v>90</v>
      </c>
      <c r="J2560" s="9">
        <v>1</v>
      </c>
      <c r="K2560" s="9">
        <v>384</v>
      </c>
      <c r="L2560" s="9">
        <v>2024</v>
      </c>
      <c r="M2560" s="8" t="s">
        <v>15586</v>
      </c>
      <c r="N2560" s="8" t="s">
        <v>79</v>
      </c>
      <c r="O2560" s="8" t="s">
        <v>396</v>
      </c>
      <c r="P2560" s="6" t="s">
        <v>43</v>
      </c>
      <c r="Q2560" s="8" t="s">
        <v>44</v>
      </c>
      <c r="R2560" s="10" t="s">
        <v>440</v>
      </c>
      <c r="S2560" s="11"/>
      <c r="T2560" s="6"/>
      <c r="U2560" s="24" t="str">
        <f>HYPERLINK("https://media.infra-m.ru/2142/2142820/cover/2142820.jpg", "Обложка")</f>
        <v>Обложка</v>
      </c>
      <c r="V2560" s="24" t="str">
        <f>HYPERLINK("https://znanium.ru/catalog/product/1020660", "Ознакомиться")</f>
        <v>Ознакомиться</v>
      </c>
      <c r="W2560" s="8" t="s">
        <v>487</v>
      </c>
      <c r="X2560" s="6"/>
      <c r="Y2560" s="6"/>
      <c r="Z2560" s="6"/>
      <c r="AA2560" s="6" t="s">
        <v>111</v>
      </c>
      <c r="AB2560" s="8"/>
    </row>
    <row r="2561" spans="1:28" s="4" customFormat="1" ht="42" customHeight="1">
      <c r="A2561" s="5">
        <v>0</v>
      </c>
      <c r="B2561" s="6" t="s">
        <v>15587</v>
      </c>
      <c r="C2561" s="13">
        <v>1170</v>
      </c>
      <c r="D2561" s="8" t="s">
        <v>15588</v>
      </c>
      <c r="E2561" s="8" t="s">
        <v>15589</v>
      </c>
      <c r="F2561" s="8" t="s">
        <v>15590</v>
      </c>
      <c r="G2561" s="6" t="s">
        <v>89</v>
      </c>
      <c r="H2561" s="6" t="s">
        <v>184</v>
      </c>
      <c r="I2561" s="8" t="s">
        <v>116</v>
      </c>
      <c r="J2561" s="9">
        <v>1</v>
      </c>
      <c r="K2561" s="9">
        <v>233</v>
      </c>
      <c r="L2561" s="9">
        <v>2024</v>
      </c>
      <c r="M2561" s="8" t="s">
        <v>15591</v>
      </c>
      <c r="N2561" s="8" t="s">
        <v>413</v>
      </c>
      <c r="O2561" s="8" t="s">
        <v>1584</v>
      </c>
      <c r="P2561" s="6" t="s">
        <v>167</v>
      </c>
      <c r="Q2561" s="8" t="s">
        <v>44</v>
      </c>
      <c r="R2561" s="10" t="s">
        <v>15592</v>
      </c>
      <c r="S2561" s="11"/>
      <c r="T2561" s="6"/>
      <c r="U2561" s="24" t="str">
        <f>HYPERLINK("https://media.infra-m.ru/2122/2122970/cover/2122970.jpg", "Обложка")</f>
        <v>Обложка</v>
      </c>
      <c r="V2561" s="24" t="str">
        <f>HYPERLINK("https://znanium.ru/catalog/product/2122970", "Ознакомиться")</f>
        <v>Ознакомиться</v>
      </c>
      <c r="W2561" s="8" t="s">
        <v>4161</v>
      </c>
      <c r="X2561" s="6"/>
      <c r="Y2561" s="6"/>
      <c r="Z2561" s="6"/>
      <c r="AA2561" s="6" t="s">
        <v>95</v>
      </c>
      <c r="AB2561" s="8"/>
    </row>
    <row r="2562" spans="1:28" s="4" customFormat="1" ht="42" customHeight="1">
      <c r="A2562" s="5">
        <v>0</v>
      </c>
      <c r="B2562" s="6" t="s">
        <v>15593</v>
      </c>
      <c r="C2562" s="7">
        <v>790</v>
      </c>
      <c r="D2562" s="8" t="s">
        <v>15594</v>
      </c>
      <c r="E2562" s="8" t="s">
        <v>15595</v>
      </c>
      <c r="F2562" s="8" t="s">
        <v>15590</v>
      </c>
      <c r="G2562" s="6" t="s">
        <v>52</v>
      </c>
      <c r="H2562" s="6" t="s">
        <v>184</v>
      </c>
      <c r="I2562" s="8"/>
      <c r="J2562" s="9">
        <v>1</v>
      </c>
      <c r="K2562" s="9">
        <v>225</v>
      </c>
      <c r="L2562" s="9">
        <v>2019</v>
      </c>
      <c r="M2562" s="8" t="s">
        <v>15596</v>
      </c>
      <c r="N2562" s="8" t="s">
        <v>413</v>
      </c>
      <c r="O2562" s="8" t="s">
        <v>1584</v>
      </c>
      <c r="P2562" s="6" t="s">
        <v>167</v>
      </c>
      <c r="Q2562" s="8" t="s">
        <v>44</v>
      </c>
      <c r="R2562" s="10" t="s">
        <v>15592</v>
      </c>
      <c r="S2562" s="11"/>
      <c r="T2562" s="6"/>
      <c r="U2562" s="24" t="str">
        <f>HYPERLINK("https://media.infra-m.ru/1019/1019421/cover/1019421.jpg", "Обложка")</f>
        <v>Обложка</v>
      </c>
      <c r="V2562" s="24" t="str">
        <f>HYPERLINK("https://znanium.ru/catalog/product/2122970", "Ознакомиться")</f>
        <v>Ознакомиться</v>
      </c>
      <c r="W2562" s="8" t="s">
        <v>4161</v>
      </c>
      <c r="X2562" s="6"/>
      <c r="Y2562" s="6"/>
      <c r="Z2562" s="6"/>
      <c r="AA2562" s="6" t="s">
        <v>151</v>
      </c>
      <c r="AB2562" s="8"/>
    </row>
    <row r="2563" spans="1:28" s="4" customFormat="1" ht="51.95" customHeight="1">
      <c r="A2563" s="5">
        <v>0</v>
      </c>
      <c r="B2563" s="6" t="s">
        <v>15597</v>
      </c>
      <c r="C2563" s="13">
        <v>1234</v>
      </c>
      <c r="D2563" s="8" t="s">
        <v>15598</v>
      </c>
      <c r="E2563" s="8" t="s">
        <v>15599</v>
      </c>
      <c r="F2563" s="8" t="s">
        <v>15600</v>
      </c>
      <c r="G2563" s="6" t="s">
        <v>38</v>
      </c>
      <c r="H2563" s="6" t="s">
        <v>53</v>
      </c>
      <c r="I2563" s="8" t="s">
        <v>90</v>
      </c>
      <c r="J2563" s="9">
        <v>1</v>
      </c>
      <c r="K2563" s="9">
        <v>263</v>
      </c>
      <c r="L2563" s="9">
        <v>2024</v>
      </c>
      <c r="M2563" s="8" t="s">
        <v>15601</v>
      </c>
      <c r="N2563" s="8" t="s">
        <v>413</v>
      </c>
      <c r="O2563" s="8" t="s">
        <v>1584</v>
      </c>
      <c r="P2563" s="6" t="s">
        <v>43</v>
      </c>
      <c r="Q2563" s="8" t="s">
        <v>44</v>
      </c>
      <c r="R2563" s="10" t="s">
        <v>15602</v>
      </c>
      <c r="S2563" s="11" t="s">
        <v>15603</v>
      </c>
      <c r="T2563" s="6"/>
      <c r="U2563" s="24" t="str">
        <f>HYPERLINK("https://media.infra-m.ru/2149/2149195/cover/2149195.jpg", "Обложка")</f>
        <v>Обложка</v>
      </c>
      <c r="V2563" s="24" t="str">
        <f>HYPERLINK("https://znanium.ru/catalog/product/1816818", "Ознакомиться")</f>
        <v>Ознакомиться</v>
      </c>
      <c r="W2563" s="8" t="s">
        <v>4293</v>
      </c>
      <c r="X2563" s="6"/>
      <c r="Y2563" s="6"/>
      <c r="Z2563" s="6"/>
      <c r="AA2563" s="6" t="s">
        <v>47</v>
      </c>
      <c r="AB2563" s="8"/>
    </row>
    <row r="2564" spans="1:28" s="4" customFormat="1" ht="51.95" customHeight="1">
      <c r="A2564" s="5">
        <v>0</v>
      </c>
      <c r="B2564" s="6" t="s">
        <v>15604</v>
      </c>
      <c r="C2564" s="7">
        <v>654</v>
      </c>
      <c r="D2564" s="8" t="s">
        <v>15605</v>
      </c>
      <c r="E2564" s="8" t="s">
        <v>15606</v>
      </c>
      <c r="F2564" s="8" t="s">
        <v>15607</v>
      </c>
      <c r="G2564" s="6" t="s">
        <v>52</v>
      </c>
      <c r="H2564" s="6" t="s">
        <v>53</v>
      </c>
      <c r="I2564" s="8" t="s">
        <v>212</v>
      </c>
      <c r="J2564" s="9">
        <v>1</v>
      </c>
      <c r="K2564" s="9">
        <v>125</v>
      </c>
      <c r="L2564" s="9">
        <v>2025</v>
      </c>
      <c r="M2564" s="8" t="s">
        <v>15608</v>
      </c>
      <c r="N2564" s="8" t="s">
        <v>79</v>
      </c>
      <c r="O2564" s="8" t="s">
        <v>174</v>
      </c>
      <c r="P2564" s="6" t="s">
        <v>43</v>
      </c>
      <c r="Q2564" s="8" t="s">
        <v>214</v>
      </c>
      <c r="R2564" s="10" t="s">
        <v>11975</v>
      </c>
      <c r="S2564" s="11" t="s">
        <v>15609</v>
      </c>
      <c r="T2564" s="6" t="s">
        <v>299</v>
      </c>
      <c r="U2564" s="24" t="str">
        <f>HYPERLINK("https://media.infra-m.ru/2198/2198147/cover/2198147.jpg", "Обложка")</f>
        <v>Обложка</v>
      </c>
      <c r="V2564" s="12"/>
      <c r="W2564" s="8" t="s">
        <v>15610</v>
      </c>
      <c r="X2564" s="6"/>
      <c r="Y2564" s="6"/>
      <c r="Z2564" s="6"/>
      <c r="AA2564" s="6" t="s">
        <v>793</v>
      </c>
      <c r="AB2564" s="8"/>
    </row>
    <row r="2565" spans="1:28" s="4" customFormat="1" ht="51.95" customHeight="1">
      <c r="A2565" s="5">
        <v>0</v>
      </c>
      <c r="B2565" s="6" t="s">
        <v>15611</v>
      </c>
      <c r="C2565" s="7">
        <v>754</v>
      </c>
      <c r="D2565" s="8" t="s">
        <v>15612</v>
      </c>
      <c r="E2565" s="8" t="s">
        <v>15613</v>
      </c>
      <c r="F2565" s="8" t="s">
        <v>15614</v>
      </c>
      <c r="G2565" s="6" t="s">
        <v>26</v>
      </c>
      <c r="H2565" s="6" t="s">
        <v>184</v>
      </c>
      <c r="I2565" s="8" t="s">
        <v>90</v>
      </c>
      <c r="J2565" s="9">
        <v>1</v>
      </c>
      <c r="K2565" s="9">
        <v>239</v>
      </c>
      <c r="L2565" s="9">
        <v>2024</v>
      </c>
      <c r="M2565" s="8" t="s">
        <v>15615</v>
      </c>
      <c r="N2565" s="8" t="s">
        <v>41</v>
      </c>
      <c r="O2565" s="8" t="s">
        <v>4035</v>
      </c>
      <c r="P2565" s="6" t="s">
        <v>43</v>
      </c>
      <c r="Q2565" s="8" t="s">
        <v>44</v>
      </c>
      <c r="R2565" s="10" t="s">
        <v>15616</v>
      </c>
      <c r="S2565" s="11"/>
      <c r="T2565" s="6"/>
      <c r="U2565" s="24" t="str">
        <f>HYPERLINK("https://media.infra-m.ru/1850/1850678/cover/1850678.jpg", "Обложка")</f>
        <v>Обложка</v>
      </c>
      <c r="V2565" s="24" t="str">
        <f>HYPERLINK("https://znanium.ru/catalog/product/431381", "Ознакомиться")</f>
        <v>Ознакомиться</v>
      </c>
      <c r="W2565" s="8" t="s">
        <v>15617</v>
      </c>
      <c r="X2565" s="6"/>
      <c r="Y2565" s="6"/>
      <c r="Z2565" s="6"/>
      <c r="AA2565" s="6" t="s">
        <v>479</v>
      </c>
      <c r="AB2565" s="8"/>
    </row>
    <row r="2566" spans="1:28" s="4" customFormat="1" ht="51.95" customHeight="1">
      <c r="A2566" s="5">
        <v>0</v>
      </c>
      <c r="B2566" s="6" t="s">
        <v>15618</v>
      </c>
      <c r="C2566" s="7">
        <v>900</v>
      </c>
      <c r="D2566" s="8" t="s">
        <v>15619</v>
      </c>
      <c r="E2566" s="8" t="s">
        <v>15620</v>
      </c>
      <c r="F2566" s="8" t="s">
        <v>15621</v>
      </c>
      <c r="G2566" s="6" t="s">
        <v>52</v>
      </c>
      <c r="H2566" s="6" t="s">
        <v>53</v>
      </c>
      <c r="I2566" s="8" t="s">
        <v>712</v>
      </c>
      <c r="J2566" s="9">
        <v>1</v>
      </c>
      <c r="K2566" s="9">
        <v>170</v>
      </c>
      <c r="L2566" s="9">
        <v>2024</v>
      </c>
      <c r="M2566" s="8" t="s">
        <v>15622</v>
      </c>
      <c r="N2566" s="8" t="s">
        <v>413</v>
      </c>
      <c r="O2566" s="8" t="s">
        <v>414</v>
      </c>
      <c r="P2566" s="6" t="s">
        <v>43</v>
      </c>
      <c r="Q2566" s="8" t="s">
        <v>58</v>
      </c>
      <c r="R2566" s="10" t="s">
        <v>7193</v>
      </c>
      <c r="S2566" s="11" t="s">
        <v>15623</v>
      </c>
      <c r="T2566" s="6"/>
      <c r="U2566" s="24" t="str">
        <f>HYPERLINK("https://media.infra-m.ru/2116/2116154/cover/2116154.jpg", "Обложка")</f>
        <v>Обложка</v>
      </c>
      <c r="V2566" s="24" t="str">
        <f>HYPERLINK("https://znanium.ru/catalog/product/2116154", "Ознакомиться")</f>
        <v>Ознакомиться</v>
      </c>
      <c r="W2566" s="8" t="s">
        <v>716</v>
      </c>
      <c r="X2566" s="6"/>
      <c r="Y2566" s="6"/>
      <c r="Z2566" s="6"/>
      <c r="AA2566" s="6" t="s">
        <v>133</v>
      </c>
      <c r="AB2566" s="8"/>
    </row>
    <row r="2567" spans="1:28" s="4" customFormat="1" ht="51.95" customHeight="1">
      <c r="A2567" s="5">
        <v>0</v>
      </c>
      <c r="B2567" s="6" t="s">
        <v>15624</v>
      </c>
      <c r="C2567" s="13">
        <v>2080</v>
      </c>
      <c r="D2567" s="8" t="s">
        <v>15625</v>
      </c>
      <c r="E2567" s="8" t="s">
        <v>15626</v>
      </c>
      <c r="F2567" s="8" t="s">
        <v>15627</v>
      </c>
      <c r="G2567" s="6" t="s">
        <v>38</v>
      </c>
      <c r="H2567" s="6" t="s">
        <v>53</v>
      </c>
      <c r="I2567" s="8" t="s">
        <v>116</v>
      </c>
      <c r="J2567" s="9">
        <v>1</v>
      </c>
      <c r="K2567" s="9">
        <v>400</v>
      </c>
      <c r="L2567" s="9">
        <v>2025</v>
      </c>
      <c r="M2567" s="8" t="s">
        <v>15628</v>
      </c>
      <c r="N2567" s="8" t="s">
        <v>997</v>
      </c>
      <c r="O2567" s="8" t="s">
        <v>998</v>
      </c>
      <c r="P2567" s="6" t="s">
        <v>43</v>
      </c>
      <c r="Q2567" s="8" t="s">
        <v>58</v>
      </c>
      <c r="R2567" s="10" t="s">
        <v>15629</v>
      </c>
      <c r="S2567" s="11" t="s">
        <v>15630</v>
      </c>
      <c r="T2567" s="6"/>
      <c r="U2567" s="24" t="str">
        <f>HYPERLINK("https://media.infra-m.ru/2196/2196090/cover/2196090.jpg", "Обложка")</f>
        <v>Обложка</v>
      </c>
      <c r="V2567" s="24" t="str">
        <f>HYPERLINK("https://znanium.ru/catalog/product/2196090", "Ознакомиться")</f>
        <v>Ознакомиться</v>
      </c>
      <c r="W2567" s="8" t="s">
        <v>6648</v>
      </c>
      <c r="X2567" s="6"/>
      <c r="Y2567" s="6"/>
      <c r="Z2567" s="6"/>
      <c r="AA2567" s="6" t="s">
        <v>418</v>
      </c>
      <c r="AB2567" s="8"/>
    </row>
    <row r="2568" spans="1:28" s="4" customFormat="1" ht="51.95" customHeight="1">
      <c r="A2568" s="5">
        <v>0</v>
      </c>
      <c r="B2568" s="6" t="s">
        <v>15631</v>
      </c>
      <c r="C2568" s="13">
        <v>1610</v>
      </c>
      <c r="D2568" s="8" t="s">
        <v>15632</v>
      </c>
      <c r="E2568" s="8" t="s">
        <v>15633</v>
      </c>
      <c r="F2568" s="8" t="s">
        <v>15634</v>
      </c>
      <c r="G2568" s="6" t="s">
        <v>89</v>
      </c>
      <c r="H2568" s="6" t="s">
        <v>53</v>
      </c>
      <c r="I2568" s="8" t="s">
        <v>100</v>
      </c>
      <c r="J2568" s="9">
        <v>1</v>
      </c>
      <c r="K2568" s="9">
        <v>309</v>
      </c>
      <c r="L2568" s="9">
        <v>2025</v>
      </c>
      <c r="M2568" s="8" t="s">
        <v>15635</v>
      </c>
      <c r="N2568" s="8" t="s">
        <v>79</v>
      </c>
      <c r="O2568" s="8" t="s">
        <v>424</v>
      </c>
      <c r="P2568" s="6" t="s">
        <v>43</v>
      </c>
      <c r="Q2568" s="8" t="s">
        <v>102</v>
      </c>
      <c r="R2568" s="10" t="s">
        <v>15636</v>
      </c>
      <c r="S2568" s="11" t="s">
        <v>15637</v>
      </c>
      <c r="T2568" s="6"/>
      <c r="U2568" s="24" t="str">
        <f>HYPERLINK("https://media.infra-m.ru/2183/2183420/cover/2183420.jpg", "Обложка")</f>
        <v>Обложка</v>
      </c>
      <c r="V2568" s="24" t="str">
        <f>HYPERLINK("https://znanium.ru/catalog/product/2183420", "Ознакомиться")</f>
        <v>Ознакомиться</v>
      </c>
      <c r="W2568" s="8" t="s">
        <v>450</v>
      </c>
      <c r="X2568" s="6"/>
      <c r="Y2568" s="6"/>
      <c r="Z2568" s="6"/>
      <c r="AA2568" s="6" t="s">
        <v>122</v>
      </c>
      <c r="AB2568" s="8"/>
    </row>
    <row r="2569" spans="1:28" s="4" customFormat="1" ht="51.95" customHeight="1">
      <c r="A2569" s="5">
        <v>0</v>
      </c>
      <c r="B2569" s="6" t="s">
        <v>15638</v>
      </c>
      <c r="C2569" s="13">
        <v>1270</v>
      </c>
      <c r="D2569" s="8" t="s">
        <v>15639</v>
      </c>
      <c r="E2569" s="8" t="s">
        <v>15640</v>
      </c>
      <c r="F2569" s="8" t="s">
        <v>15641</v>
      </c>
      <c r="G2569" s="6" t="s">
        <v>89</v>
      </c>
      <c r="H2569" s="6" t="s">
        <v>53</v>
      </c>
      <c r="I2569" s="8" t="s">
        <v>3356</v>
      </c>
      <c r="J2569" s="9">
        <v>1</v>
      </c>
      <c r="K2569" s="9">
        <v>254</v>
      </c>
      <c r="L2569" s="9">
        <v>2025</v>
      </c>
      <c r="M2569" s="8" t="s">
        <v>15642</v>
      </c>
      <c r="N2569" s="8" t="s">
        <v>79</v>
      </c>
      <c r="O2569" s="8" t="s">
        <v>396</v>
      </c>
      <c r="P2569" s="6" t="s">
        <v>43</v>
      </c>
      <c r="Q2569" s="8" t="s">
        <v>214</v>
      </c>
      <c r="R2569" s="10" t="s">
        <v>5237</v>
      </c>
      <c r="S2569" s="11" t="s">
        <v>15643</v>
      </c>
      <c r="T2569" s="6"/>
      <c r="U2569" s="24" t="str">
        <f>HYPERLINK("https://media.infra-m.ru/2173/2173995/cover/2173995.jpg", "Обложка")</f>
        <v>Обложка</v>
      </c>
      <c r="V2569" s="12"/>
      <c r="W2569" s="8" t="s">
        <v>784</v>
      </c>
      <c r="X2569" s="6"/>
      <c r="Y2569" s="6"/>
      <c r="Z2569" s="6"/>
      <c r="AA2569" s="6" t="s">
        <v>151</v>
      </c>
      <c r="AB2569" s="8"/>
    </row>
    <row r="2570" spans="1:28" s="4" customFormat="1" ht="51.95" customHeight="1">
      <c r="A2570" s="5">
        <v>0</v>
      </c>
      <c r="B2570" s="6" t="s">
        <v>15644</v>
      </c>
      <c r="C2570" s="13">
        <v>1990</v>
      </c>
      <c r="D2570" s="8" t="s">
        <v>15645</v>
      </c>
      <c r="E2570" s="8" t="s">
        <v>15646</v>
      </c>
      <c r="F2570" s="8" t="s">
        <v>15647</v>
      </c>
      <c r="G2570" s="6" t="s">
        <v>89</v>
      </c>
      <c r="H2570" s="6" t="s">
        <v>53</v>
      </c>
      <c r="I2570" s="8" t="s">
        <v>782</v>
      </c>
      <c r="J2570" s="9">
        <v>1</v>
      </c>
      <c r="K2570" s="9">
        <v>400</v>
      </c>
      <c r="L2570" s="9">
        <v>2025</v>
      </c>
      <c r="M2570" s="8" t="s">
        <v>15648</v>
      </c>
      <c r="N2570" s="8" t="s">
        <v>79</v>
      </c>
      <c r="O2570" s="8" t="s">
        <v>396</v>
      </c>
      <c r="P2570" s="6" t="s">
        <v>43</v>
      </c>
      <c r="Q2570" s="8" t="s">
        <v>44</v>
      </c>
      <c r="R2570" s="10" t="s">
        <v>6409</v>
      </c>
      <c r="S2570" s="11" t="s">
        <v>15649</v>
      </c>
      <c r="T2570" s="6"/>
      <c r="U2570" s="24" t="str">
        <f>HYPERLINK("https://media.infra-m.ru/2186/2186408/cover/2186408.jpg", "Обложка")</f>
        <v>Обложка</v>
      </c>
      <c r="V2570" s="12"/>
      <c r="W2570" s="8"/>
      <c r="X2570" s="6"/>
      <c r="Y2570" s="6"/>
      <c r="Z2570" s="6"/>
      <c r="AA2570" s="6" t="s">
        <v>207</v>
      </c>
      <c r="AB2570" s="8"/>
    </row>
    <row r="2571" spans="1:28" s="4" customFormat="1" ht="51.95" customHeight="1">
      <c r="A2571" s="5">
        <v>0</v>
      </c>
      <c r="B2571" s="6" t="s">
        <v>15650</v>
      </c>
      <c r="C2571" s="13">
        <v>1124</v>
      </c>
      <c r="D2571" s="8" t="s">
        <v>15651</v>
      </c>
      <c r="E2571" s="8" t="s">
        <v>15652</v>
      </c>
      <c r="F2571" s="8" t="s">
        <v>15634</v>
      </c>
      <c r="G2571" s="6" t="s">
        <v>89</v>
      </c>
      <c r="H2571" s="6" t="s">
        <v>53</v>
      </c>
      <c r="I2571" s="8" t="s">
        <v>100</v>
      </c>
      <c r="J2571" s="9">
        <v>1</v>
      </c>
      <c r="K2571" s="9">
        <v>224</v>
      </c>
      <c r="L2571" s="9">
        <v>2025</v>
      </c>
      <c r="M2571" s="8" t="s">
        <v>15653</v>
      </c>
      <c r="N2571" s="8" t="s">
        <v>79</v>
      </c>
      <c r="O2571" s="8" t="s">
        <v>424</v>
      </c>
      <c r="P2571" s="6" t="s">
        <v>43</v>
      </c>
      <c r="Q2571" s="8" t="s">
        <v>102</v>
      </c>
      <c r="R2571" s="10" t="s">
        <v>15654</v>
      </c>
      <c r="S2571" s="11" t="s">
        <v>15655</v>
      </c>
      <c r="T2571" s="6"/>
      <c r="U2571" s="24" t="str">
        <f>HYPERLINK("https://media.infra-m.ru/2187/2187242/cover/2187242.jpg", "Обложка")</f>
        <v>Обложка</v>
      </c>
      <c r="V2571" s="24" t="str">
        <f>HYPERLINK("https://znanium.ru/catalog/product/2184038", "Ознакомиться")</f>
        <v>Ознакомиться</v>
      </c>
      <c r="W2571" s="8" t="s">
        <v>450</v>
      </c>
      <c r="X2571" s="6"/>
      <c r="Y2571" s="6"/>
      <c r="Z2571" s="6"/>
      <c r="AA2571" s="6" t="s">
        <v>122</v>
      </c>
      <c r="AB2571" s="8"/>
    </row>
    <row r="2572" spans="1:28" s="4" customFormat="1" ht="42" customHeight="1">
      <c r="A2572" s="5">
        <v>0</v>
      </c>
      <c r="B2572" s="6" t="s">
        <v>15656</v>
      </c>
      <c r="C2572" s="7">
        <v>924</v>
      </c>
      <c r="D2572" s="8" t="s">
        <v>15657</v>
      </c>
      <c r="E2572" s="8" t="s">
        <v>15658</v>
      </c>
      <c r="F2572" s="8" t="s">
        <v>9797</v>
      </c>
      <c r="G2572" s="6" t="s">
        <v>52</v>
      </c>
      <c r="H2572" s="6" t="s">
        <v>53</v>
      </c>
      <c r="I2572" s="8" t="s">
        <v>90</v>
      </c>
      <c r="J2572" s="9">
        <v>1</v>
      </c>
      <c r="K2572" s="9">
        <v>200</v>
      </c>
      <c r="L2572" s="9">
        <v>2024</v>
      </c>
      <c r="M2572" s="8" t="s">
        <v>15659</v>
      </c>
      <c r="N2572" s="8" t="s">
        <v>79</v>
      </c>
      <c r="O2572" s="8" t="s">
        <v>424</v>
      </c>
      <c r="P2572" s="6" t="s">
        <v>43</v>
      </c>
      <c r="Q2572" s="8" t="s">
        <v>44</v>
      </c>
      <c r="R2572" s="10" t="s">
        <v>4598</v>
      </c>
      <c r="S2572" s="11"/>
      <c r="T2572" s="6"/>
      <c r="U2572" s="24" t="str">
        <f>HYPERLINK("https://media.infra-m.ru/2104/2104851/cover/2104851.jpg", "Обложка")</f>
        <v>Обложка</v>
      </c>
      <c r="V2572" s="24" t="str">
        <f>HYPERLINK("https://znanium.ru/catalog/product/483102", "Ознакомиться")</f>
        <v>Ознакомиться</v>
      </c>
      <c r="W2572" s="8" t="s">
        <v>9799</v>
      </c>
      <c r="X2572" s="6"/>
      <c r="Y2572" s="6"/>
      <c r="Z2572" s="6"/>
      <c r="AA2572" s="6" t="s">
        <v>111</v>
      </c>
      <c r="AB2572" s="8"/>
    </row>
    <row r="2573" spans="1:28" s="4" customFormat="1" ht="51.95" customHeight="1">
      <c r="A2573" s="5">
        <v>0</v>
      </c>
      <c r="B2573" s="6" t="s">
        <v>15660</v>
      </c>
      <c r="C2573" s="13">
        <v>1354</v>
      </c>
      <c r="D2573" s="8" t="s">
        <v>15661</v>
      </c>
      <c r="E2573" s="8" t="s">
        <v>15662</v>
      </c>
      <c r="F2573" s="8" t="s">
        <v>15663</v>
      </c>
      <c r="G2573" s="6" t="s">
        <v>89</v>
      </c>
      <c r="H2573" s="6" t="s">
        <v>53</v>
      </c>
      <c r="I2573" s="8" t="s">
        <v>90</v>
      </c>
      <c r="J2573" s="9">
        <v>1</v>
      </c>
      <c r="K2573" s="9">
        <v>271</v>
      </c>
      <c r="L2573" s="9">
        <v>2025</v>
      </c>
      <c r="M2573" s="8" t="s">
        <v>15664</v>
      </c>
      <c r="N2573" s="8" t="s">
        <v>79</v>
      </c>
      <c r="O2573" s="8" t="s">
        <v>396</v>
      </c>
      <c r="P2573" s="6" t="s">
        <v>43</v>
      </c>
      <c r="Q2573" s="8" t="s">
        <v>44</v>
      </c>
      <c r="R2573" s="10" t="s">
        <v>6409</v>
      </c>
      <c r="S2573" s="11" t="s">
        <v>15665</v>
      </c>
      <c r="T2573" s="6"/>
      <c r="U2573" s="24" t="str">
        <f>HYPERLINK("https://media.infra-m.ru/2184/2184918/cover/2184918.jpg", "Обложка")</f>
        <v>Обложка</v>
      </c>
      <c r="V2573" s="24" t="str">
        <f>HYPERLINK("https://znanium.ru/catalog/product/1930705", "Ознакомиться")</f>
        <v>Ознакомиться</v>
      </c>
      <c r="W2573" s="8" t="s">
        <v>15666</v>
      </c>
      <c r="X2573" s="6"/>
      <c r="Y2573" s="6"/>
      <c r="Z2573" s="6"/>
      <c r="AA2573" s="6" t="s">
        <v>47</v>
      </c>
      <c r="AB2573" s="8"/>
    </row>
    <row r="2574" spans="1:28" s="4" customFormat="1" ht="51.95" customHeight="1">
      <c r="A2574" s="5">
        <v>0</v>
      </c>
      <c r="B2574" s="6" t="s">
        <v>15667</v>
      </c>
      <c r="C2574" s="13">
        <v>1404</v>
      </c>
      <c r="D2574" s="8" t="s">
        <v>15668</v>
      </c>
      <c r="E2574" s="8" t="s">
        <v>15662</v>
      </c>
      <c r="F2574" s="8" t="s">
        <v>15663</v>
      </c>
      <c r="G2574" s="6" t="s">
        <v>89</v>
      </c>
      <c r="H2574" s="6" t="s">
        <v>53</v>
      </c>
      <c r="I2574" s="8" t="s">
        <v>100</v>
      </c>
      <c r="J2574" s="9">
        <v>1</v>
      </c>
      <c r="K2574" s="9">
        <v>271</v>
      </c>
      <c r="L2574" s="9">
        <v>2025</v>
      </c>
      <c r="M2574" s="8" t="s">
        <v>15669</v>
      </c>
      <c r="N2574" s="8" t="s">
        <v>79</v>
      </c>
      <c r="O2574" s="8" t="s">
        <v>396</v>
      </c>
      <c r="P2574" s="6" t="s">
        <v>43</v>
      </c>
      <c r="Q2574" s="8" t="s">
        <v>102</v>
      </c>
      <c r="R2574" s="10" t="s">
        <v>15670</v>
      </c>
      <c r="S2574" s="11" t="s">
        <v>15671</v>
      </c>
      <c r="T2574" s="6"/>
      <c r="U2574" s="24" t="str">
        <f>HYPERLINK("https://media.infra-m.ru/2202/2202653/cover/2202653.jpg", "Обложка")</f>
        <v>Обложка</v>
      </c>
      <c r="V2574" s="24" t="str">
        <f>HYPERLINK("https://znanium.ru/catalog/product/2174001", "Ознакомиться")</f>
        <v>Ознакомиться</v>
      </c>
      <c r="W2574" s="8" t="s">
        <v>15666</v>
      </c>
      <c r="X2574" s="6"/>
      <c r="Y2574" s="6" t="s">
        <v>30</v>
      </c>
      <c r="Z2574" s="6" t="s">
        <v>104</v>
      </c>
      <c r="AA2574" s="6" t="s">
        <v>793</v>
      </c>
      <c r="AB2574" s="8"/>
    </row>
    <row r="2575" spans="1:28" s="4" customFormat="1" ht="42" customHeight="1">
      <c r="A2575" s="5">
        <v>0</v>
      </c>
      <c r="B2575" s="6" t="s">
        <v>15672</v>
      </c>
      <c r="C2575" s="13">
        <v>1790</v>
      </c>
      <c r="D2575" s="8" t="s">
        <v>15673</v>
      </c>
      <c r="E2575" s="8" t="s">
        <v>15674</v>
      </c>
      <c r="F2575" s="8" t="s">
        <v>15675</v>
      </c>
      <c r="G2575" s="6" t="s">
        <v>52</v>
      </c>
      <c r="H2575" s="6" t="s">
        <v>53</v>
      </c>
      <c r="I2575" s="8" t="s">
        <v>116</v>
      </c>
      <c r="J2575" s="9">
        <v>1</v>
      </c>
      <c r="K2575" s="9">
        <v>311</v>
      </c>
      <c r="L2575" s="9">
        <v>2025</v>
      </c>
      <c r="M2575" s="8" t="s">
        <v>15676</v>
      </c>
      <c r="N2575" s="8" t="s">
        <v>79</v>
      </c>
      <c r="O2575" s="8" t="s">
        <v>396</v>
      </c>
      <c r="P2575" s="6" t="s">
        <v>3424</v>
      </c>
      <c r="Q2575" s="8" t="s">
        <v>58</v>
      </c>
      <c r="R2575" s="10" t="s">
        <v>15677</v>
      </c>
      <c r="S2575" s="11"/>
      <c r="T2575" s="6"/>
      <c r="U2575" s="24" t="str">
        <f>HYPERLINK("https://media.infra-m.ru/1840/1840325/cover/1840325.jpg", "Обложка")</f>
        <v>Обложка</v>
      </c>
      <c r="V2575" s="24" t="str">
        <f>HYPERLINK("https://znanium.ru/catalog/product/1840325", "Ознакомиться")</f>
        <v>Ознакомиться</v>
      </c>
      <c r="W2575" s="8" t="s">
        <v>71</v>
      </c>
      <c r="X2575" s="6" t="s">
        <v>226</v>
      </c>
      <c r="Y2575" s="6"/>
      <c r="Z2575" s="6"/>
      <c r="AA2575" s="6" t="s">
        <v>133</v>
      </c>
      <c r="AB2575" s="8"/>
    </row>
    <row r="2576" spans="1:28" s="4" customFormat="1" ht="51.95" customHeight="1">
      <c r="A2576" s="5">
        <v>0</v>
      </c>
      <c r="B2576" s="6" t="s">
        <v>15678</v>
      </c>
      <c r="C2576" s="13">
        <v>2420</v>
      </c>
      <c r="D2576" s="8" t="s">
        <v>15679</v>
      </c>
      <c r="E2576" s="8" t="s">
        <v>15680</v>
      </c>
      <c r="F2576" s="8" t="s">
        <v>1185</v>
      </c>
      <c r="G2576" s="6" t="s">
        <v>52</v>
      </c>
      <c r="H2576" s="6" t="s">
        <v>53</v>
      </c>
      <c r="I2576" s="8" t="s">
        <v>100</v>
      </c>
      <c r="J2576" s="9">
        <v>1</v>
      </c>
      <c r="K2576" s="9">
        <v>464</v>
      </c>
      <c r="L2576" s="9">
        <v>2025</v>
      </c>
      <c r="M2576" s="8" t="s">
        <v>15681</v>
      </c>
      <c r="N2576" s="8" t="s">
        <v>79</v>
      </c>
      <c r="O2576" s="8" t="s">
        <v>396</v>
      </c>
      <c r="P2576" s="6" t="s">
        <v>43</v>
      </c>
      <c r="Q2576" s="8" t="s">
        <v>102</v>
      </c>
      <c r="R2576" s="10" t="s">
        <v>15682</v>
      </c>
      <c r="S2576" s="11" t="s">
        <v>15683</v>
      </c>
      <c r="T2576" s="6"/>
      <c r="U2576" s="24" t="str">
        <f>HYPERLINK("https://media.infra-m.ru/2202/2202331/cover/2202331.jpg", "Обложка")</f>
        <v>Обложка</v>
      </c>
      <c r="V2576" s="24" t="str">
        <f>HYPERLINK("https://znanium.ru/catalog/product/2202331", "Ознакомиться")</f>
        <v>Ознакомиться</v>
      </c>
      <c r="W2576" s="8" t="s">
        <v>71</v>
      </c>
      <c r="X2576" s="6"/>
      <c r="Y2576" s="6"/>
      <c r="Z2576" s="6"/>
      <c r="AA2576" s="6" t="s">
        <v>513</v>
      </c>
      <c r="AB2576" s="8"/>
    </row>
    <row r="2577" spans="1:28" s="4" customFormat="1" ht="51.95" customHeight="1">
      <c r="A2577" s="5">
        <v>0</v>
      </c>
      <c r="B2577" s="6" t="s">
        <v>15684</v>
      </c>
      <c r="C2577" s="13">
        <v>2390</v>
      </c>
      <c r="D2577" s="8" t="s">
        <v>15685</v>
      </c>
      <c r="E2577" s="8" t="s">
        <v>15686</v>
      </c>
      <c r="F2577" s="8" t="s">
        <v>15687</v>
      </c>
      <c r="G2577" s="6" t="s">
        <v>52</v>
      </c>
      <c r="H2577" s="6" t="s">
        <v>53</v>
      </c>
      <c r="I2577" s="8" t="s">
        <v>127</v>
      </c>
      <c r="J2577" s="9">
        <v>1</v>
      </c>
      <c r="K2577" s="9">
        <v>498</v>
      </c>
      <c r="L2577" s="9">
        <v>2025</v>
      </c>
      <c r="M2577" s="8" t="s">
        <v>15688</v>
      </c>
      <c r="N2577" s="8" t="s">
        <v>41</v>
      </c>
      <c r="O2577" s="8" t="s">
        <v>129</v>
      </c>
      <c r="P2577" s="6" t="s">
        <v>167</v>
      </c>
      <c r="Q2577" s="8" t="s">
        <v>58</v>
      </c>
      <c r="R2577" s="10" t="s">
        <v>15689</v>
      </c>
      <c r="S2577" s="11" t="s">
        <v>15690</v>
      </c>
      <c r="T2577" s="6" t="s">
        <v>299</v>
      </c>
      <c r="U2577" s="24" t="str">
        <f>HYPERLINK("https://media.infra-m.ru/2168/2168385/cover/2168385.jpg", "Обложка")</f>
        <v>Обложка</v>
      </c>
      <c r="V2577" s="24" t="str">
        <f>HYPERLINK("https://znanium.ru/catalog/product/2168385", "Ознакомиться")</f>
        <v>Ознакомиться</v>
      </c>
      <c r="W2577" s="8" t="s">
        <v>7243</v>
      </c>
      <c r="X2577" s="6"/>
      <c r="Y2577" s="6"/>
      <c r="Z2577" s="6"/>
      <c r="AA2577" s="6" t="s">
        <v>442</v>
      </c>
      <c r="AB2577" s="8" t="s">
        <v>271</v>
      </c>
    </row>
    <row r="2578" spans="1:28" s="4" customFormat="1" ht="51.95" customHeight="1">
      <c r="A2578" s="5">
        <v>0</v>
      </c>
      <c r="B2578" s="6" t="s">
        <v>15691</v>
      </c>
      <c r="C2578" s="7">
        <v>960</v>
      </c>
      <c r="D2578" s="8" t="s">
        <v>15692</v>
      </c>
      <c r="E2578" s="8" t="s">
        <v>15693</v>
      </c>
      <c r="F2578" s="8" t="s">
        <v>15694</v>
      </c>
      <c r="G2578" s="6" t="s">
        <v>89</v>
      </c>
      <c r="H2578" s="6" t="s">
        <v>53</v>
      </c>
      <c r="I2578" s="8" t="s">
        <v>1325</v>
      </c>
      <c r="J2578" s="9">
        <v>1</v>
      </c>
      <c r="K2578" s="9">
        <v>188</v>
      </c>
      <c r="L2578" s="9">
        <v>2024</v>
      </c>
      <c r="M2578" s="8" t="s">
        <v>15695</v>
      </c>
      <c r="N2578" s="8" t="s">
        <v>79</v>
      </c>
      <c r="O2578" s="8" t="s">
        <v>570</v>
      </c>
      <c r="P2578" s="6" t="s">
        <v>43</v>
      </c>
      <c r="Q2578" s="8" t="s">
        <v>58</v>
      </c>
      <c r="R2578" s="10" t="s">
        <v>15696</v>
      </c>
      <c r="S2578" s="11"/>
      <c r="T2578" s="6"/>
      <c r="U2578" s="24" t="str">
        <f>HYPERLINK("https://media.infra-m.ru/2110/2110936/cover/2110936.jpg", "Обложка")</f>
        <v>Обложка</v>
      </c>
      <c r="V2578" s="24" t="str">
        <f>HYPERLINK("https://znanium.ru/catalog/product/2110936", "Ознакомиться")</f>
        <v>Ознакомиться</v>
      </c>
      <c r="W2578" s="8" t="s">
        <v>1329</v>
      </c>
      <c r="X2578" s="6"/>
      <c r="Y2578" s="6"/>
      <c r="Z2578" s="6"/>
      <c r="AA2578" s="6" t="s">
        <v>219</v>
      </c>
      <c r="AB2578" s="8"/>
    </row>
    <row r="2579" spans="1:28" s="4" customFormat="1" ht="51.95" customHeight="1">
      <c r="A2579" s="5">
        <v>0</v>
      </c>
      <c r="B2579" s="6" t="s">
        <v>15697</v>
      </c>
      <c r="C2579" s="13">
        <v>1694</v>
      </c>
      <c r="D2579" s="8" t="s">
        <v>15698</v>
      </c>
      <c r="E2579" s="8" t="s">
        <v>15699</v>
      </c>
      <c r="F2579" s="8" t="s">
        <v>15700</v>
      </c>
      <c r="G2579" s="6" t="s">
        <v>89</v>
      </c>
      <c r="H2579" s="6" t="s">
        <v>53</v>
      </c>
      <c r="I2579" s="8" t="s">
        <v>1325</v>
      </c>
      <c r="J2579" s="9">
        <v>1</v>
      </c>
      <c r="K2579" s="9">
        <v>328</v>
      </c>
      <c r="L2579" s="9">
        <v>2024</v>
      </c>
      <c r="M2579" s="8" t="s">
        <v>15701</v>
      </c>
      <c r="N2579" s="8" t="s">
        <v>79</v>
      </c>
      <c r="O2579" s="8" t="s">
        <v>570</v>
      </c>
      <c r="P2579" s="6" t="s">
        <v>822</v>
      </c>
      <c r="Q2579" s="8" t="s">
        <v>58</v>
      </c>
      <c r="R2579" s="10" t="s">
        <v>15702</v>
      </c>
      <c r="S2579" s="11"/>
      <c r="T2579" s="6"/>
      <c r="U2579" s="24" t="str">
        <f>HYPERLINK("https://media.infra-m.ru/2140/2140867/cover/2140867.jpg", "Обложка")</f>
        <v>Обложка</v>
      </c>
      <c r="V2579" s="24" t="str">
        <f>HYPERLINK("https://znanium.ru/catalog/product/1696701", "Ознакомиться")</f>
        <v>Ознакомиться</v>
      </c>
      <c r="W2579" s="8" t="s">
        <v>1329</v>
      </c>
      <c r="X2579" s="6"/>
      <c r="Y2579" s="6"/>
      <c r="Z2579" s="6"/>
      <c r="AA2579" s="6" t="s">
        <v>258</v>
      </c>
      <c r="AB2579" s="8"/>
    </row>
    <row r="2580" spans="1:28" s="4" customFormat="1" ht="51.95" customHeight="1">
      <c r="A2580" s="5">
        <v>0</v>
      </c>
      <c r="B2580" s="6" t="s">
        <v>15703</v>
      </c>
      <c r="C2580" s="7">
        <v>800</v>
      </c>
      <c r="D2580" s="8" t="s">
        <v>15704</v>
      </c>
      <c r="E2580" s="8" t="s">
        <v>15705</v>
      </c>
      <c r="F2580" s="8" t="s">
        <v>15706</v>
      </c>
      <c r="G2580" s="6" t="s">
        <v>38</v>
      </c>
      <c r="H2580" s="6" t="s">
        <v>53</v>
      </c>
      <c r="I2580" s="8" t="s">
        <v>116</v>
      </c>
      <c r="J2580" s="9">
        <v>1</v>
      </c>
      <c r="K2580" s="9">
        <v>168</v>
      </c>
      <c r="L2580" s="9">
        <v>2024</v>
      </c>
      <c r="M2580" s="8" t="s">
        <v>15707</v>
      </c>
      <c r="N2580" s="8" t="s">
        <v>413</v>
      </c>
      <c r="O2580" s="8" t="s">
        <v>414</v>
      </c>
      <c r="P2580" s="6" t="s">
        <v>43</v>
      </c>
      <c r="Q2580" s="8" t="s">
        <v>44</v>
      </c>
      <c r="R2580" s="10" t="s">
        <v>15708</v>
      </c>
      <c r="S2580" s="11" t="s">
        <v>15709</v>
      </c>
      <c r="T2580" s="6"/>
      <c r="U2580" s="24" t="str">
        <f>HYPERLINK("https://media.infra-m.ru/2096/2096937/cover/2096937.jpg", "Обложка")</f>
        <v>Обложка</v>
      </c>
      <c r="V2580" s="24" t="str">
        <f>HYPERLINK("https://znanium.ru/catalog/product/2096937", "Ознакомиться")</f>
        <v>Ознакомиться</v>
      </c>
      <c r="W2580" s="8" t="s">
        <v>4083</v>
      </c>
      <c r="X2580" s="6"/>
      <c r="Y2580" s="6"/>
      <c r="Z2580" s="6"/>
      <c r="AA2580" s="6" t="s">
        <v>160</v>
      </c>
      <c r="AB2580" s="8"/>
    </row>
    <row r="2581" spans="1:28" s="4" customFormat="1" ht="42" customHeight="1">
      <c r="A2581" s="5">
        <v>0</v>
      </c>
      <c r="B2581" s="6" t="s">
        <v>15710</v>
      </c>
      <c r="C2581" s="13">
        <v>2362</v>
      </c>
      <c r="D2581" s="8" t="s">
        <v>15711</v>
      </c>
      <c r="E2581" s="8" t="s">
        <v>15712</v>
      </c>
      <c r="F2581" s="8" t="s">
        <v>15713</v>
      </c>
      <c r="G2581" s="6" t="s">
        <v>38</v>
      </c>
      <c r="H2581" s="6" t="s">
        <v>77</v>
      </c>
      <c r="I2581" s="8"/>
      <c r="J2581" s="9">
        <v>1</v>
      </c>
      <c r="K2581" s="9">
        <v>266</v>
      </c>
      <c r="L2581" s="9">
        <v>2025</v>
      </c>
      <c r="M2581" s="8" t="s">
        <v>15714</v>
      </c>
      <c r="N2581" s="8" t="s">
        <v>56</v>
      </c>
      <c r="O2581" s="8" t="s">
        <v>57</v>
      </c>
      <c r="P2581" s="6" t="s">
        <v>43</v>
      </c>
      <c r="Q2581" s="8" t="s">
        <v>44</v>
      </c>
      <c r="R2581" s="10" t="s">
        <v>15715</v>
      </c>
      <c r="S2581" s="11"/>
      <c r="T2581" s="6" t="s">
        <v>299</v>
      </c>
      <c r="U2581" s="24" t="str">
        <f>HYPERLINK("https://media.infra-m.ru/2120/2120739/cover/2120739.jpg", "Обложка")</f>
        <v>Обложка</v>
      </c>
      <c r="V2581" s="24" t="str">
        <f>HYPERLINK("https://znanium.ru/catalog/product/2120739", "Ознакомиться")</f>
        <v>Ознакомиться</v>
      </c>
      <c r="W2581" s="8" t="s">
        <v>150</v>
      </c>
      <c r="X2581" s="6"/>
      <c r="Y2581" s="6"/>
      <c r="Z2581" s="6"/>
      <c r="AA2581" s="6" t="s">
        <v>1365</v>
      </c>
      <c r="AB2581" s="8"/>
    </row>
    <row r="2582" spans="1:28" s="4" customFormat="1" ht="51.95" customHeight="1">
      <c r="A2582" s="5">
        <v>0</v>
      </c>
      <c r="B2582" s="6" t="s">
        <v>15716</v>
      </c>
      <c r="C2582" s="7">
        <v>824</v>
      </c>
      <c r="D2582" s="8" t="s">
        <v>15717</v>
      </c>
      <c r="E2582" s="8" t="s">
        <v>15718</v>
      </c>
      <c r="F2582" s="8" t="s">
        <v>1621</v>
      </c>
      <c r="G2582" s="6" t="s">
        <v>38</v>
      </c>
      <c r="H2582" s="6" t="s">
        <v>53</v>
      </c>
      <c r="I2582" s="8" t="s">
        <v>116</v>
      </c>
      <c r="J2582" s="9">
        <v>1</v>
      </c>
      <c r="K2582" s="9">
        <v>158</v>
      </c>
      <c r="L2582" s="9">
        <v>2025</v>
      </c>
      <c r="M2582" s="8" t="s">
        <v>15719</v>
      </c>
      <c r="N2582" s="8" t="s">
        <v>79</v>
      </c>
      <c r="O2582" s="8" t="s">
        <v>174</v>
      </c>
      <c r="P2582" s="6" t="s">
        <v>43</v>
      </c>
      <c r="Q2582" s="8" t="s">
        <v>58</v>
      </c>
      <c r="R2582" s="10" t="s">
        <v>15720</v>
      </c>
      <c r="S2582" s="11" t="s">
        <v>15721</v>
      </c>
      <c r="T2582" s="6"/>
      <c r="U2582" s="24" t="str">
        <f>HYPERLINK("https://media.infra-m.ru/2194/2194326/cover/2194326.jpg", "Обложка")</f>
        <v>Обложка</v>
      </c>
      <c r="V2582" s="24" t="str">
        <f>HYPERLINK("https://znanium.ru/catalog/product/1863044", "Ознакомиться")</f>
        <v>Ознакомиться</v>
      </c>
      <c r="W2582" s="8" t="s">
        <v>1626</v>
      </c>
      <c r="X2582" s="6"/>
      <c r="Y2582" s="6"/>
      <c r="Z2582" s="6"/>
      <c r="AA2582" s="6" t="s">
        <v>84</v>
      </c>
      <c r="AB2582" s="8"/>
    </row>
    <row r="2583" spans="1:28" s="4" customFormat="1" ht="51.95" customHeight="1">
      <c r="A2583" s="5">
        <v>0</v>
      </c>
      <c r="B2583" s="6" t="s">
        <v>15722</v>
      </c>
      <c r="C2583" s="13">
        <v>1534</v>
      </c>
      <c r="D2583" s="8" t="s">
        <v>15723</v>
      </c>
      <c r="E2583" s="8" t="s">
        <v>15724</v>
      </c>
      <c r="F2583" s="8" t="s">
        <v>15725</v>
      </c>
      <c r="G2583" s="6" t="s">
        <v>52</v>
      </c>
      <c r="H2583" s="6" t="s">
        <v>53</v>
      </c>
      <c r="I2583" s="8" t="s">
        <v>90</v>
      </c>
      <c r="J2583" s="9">
        <v>1</v>
      </c>
      <c r="K2583" s="9">
        <v>307</v>
      </c>
      <c r="L2583" s="9">
        <v>2025</v>
      </c>
      <c r="M2583" s="8" t="s">
        <v>15726</v>
      </c>
      <c r="N2583" s="8" t="s">
        <v>79</v>
      </c>
      <c r="O2583" s="8" t="s">
        <v>684</v>
      </c>
      <c r="P2583" s="6" t="s">
        <v>167</v>
      </c>
      <c r="Q2583" s="8" t="s">
        <v>44</v>
      </c>
      <c r="R2583" s="10" t="s">
        <v>15727</v>
      </c>
      <c r="S2583" s="11" t="s">
        <v>15728</v>
      </c>
      <c r="T2583" s="6"/>
      <c r="U2583" s="24" t="str">
        <f>HYPERLINK("https://media.infra-m.ru/2157/2157810/cover/2157810.jpg", "Обложка")</f>
        <v>Обложка</v>
      </c>
      <c r="V2583" s="24" t="str">
        <f>HYPERLINK("https://znanium.ru/catalog/product/1865949", "Ознакомиться")</f>
        <v>Ознакомиться</v>
      </c>
      <c r="W2583" s="8" t="s">
        <v>637</v>
      </c>
      <c r="X2583" s="6"/>
      <c r="Y2583" s="6"/>
      <c r="Z2583" s="6"/>
      <c r="AA2583" s="6" t="s">
        <v>442</v>
      </c>
      <c r="AB2583" s="8"/>
    </row>
    <row r="2584" spans="1:28" s="4" customFormat="1" ht="51.95" customHeight="1">
      <c r="A2584" s="5">
        <v>0</v>
      </c>
      <c r="B2584" s="6" t="s">
        <v>15729</v>
      </c>
      <c r="C2584" s="13">
        <v>1170</v>
      </c>
      <c r="D2584" s="8" t="s">
        <v>15730</v>
      </c>
      <c r="E2584" s="8" t="s">
        <v>15724</v>
      </c>
      <c r="F2584" s="8" t="s">
        <v>15725</v>
      </c>
      <c r="G2584" s="6" t="s">
        <v>52</v>
      </c>
      <c r="H2584" s="6" t="s">
        <v>53</v>
      </c>
      <c r="I2584" s="8" t="s">
        <v>100</v>
      </c>
      <c r="J2584" s="9">
        <v>1</v>
      </c>
      <c r="K2584" s="9">
        <v>307</v>
      </c>
      <c r="L2584" s="9">
        <v>2022</v>
      </c>
      <c r="M2584" s="8" t="s">
        <v>15731</v>
      </c>
      <c r="N2584" s="8" t="s">
        <v>79</v>
      </c>
      <c r="O2584" s="8" t="s">
        <v>684</v>
      </c>
      <c r="P2584" s="6" t="s">
        <v>167</v>
      </c>
      <c r="Q2584" s="8" t="s">
        <v>102</v>
      </c>
      <c r="R2584" s="10" t="s">
        <v>15732</v>
      </c>
      <c r="S2584" s="11" t="s">
        <v>15733</v>
      </c>
      <c r="T2584" s="6"/>
      <c r="U2584" s="24" t="str">
        <f>HYPERLINK("https://media.infra-m.ru/1831/1831934/cover/1831934.jpg", "Обложка")</f>
        <v>Обложка</v>
      </c>
      <c r="V2584" s="24" t="str">
        <f>HYPERLINK("https://znanium.ru/catalog/product/1831934", "Ознакомиться")</f>
        <v>Ознакомиться</v>
      </c>
      <c r="W2584" s="8" t="s">
        <v>637</v>
      </c>
      <c r="X2584" s="6"/>
      <c r="Y2584" s="6"/>
      <c r="Z2584" s="6" t="s">
        <v>104</v>
      </c>
      <c r="AA2584" s="6" t="s">
        <v>235</v>
      </c>
      <c r="AB2584" s="8"/>
    </row>
    <row r="2585" spans="1:28" s="4" customFormat="1" ht="51.95" customHeight="1">
      <c r="A2585" s="5">
        <v>0</v>
      </c>
      <c r="B2585" s="6" t="s">
        <v>15734</v>
      </c>
      <c r="C2585" s="13">
        <v>1800</v>
      </c>
      <c r="D2585" s="8" t="s">
        <v>15735</v>
      </c>
      <c r="E2585" s="8" t="s">
        <v>15736</v>
      </c>
      <c r="F2585" s="8" t="s">
        <v>15737</v>
      </c>
      <c r="G2585" s="6" t="s">
        <v>89</v>
      </c>
      <c r="H2585" s="6" t="s">
        <v>53</v>
      </c>
      <c r="I2585" s="8" t="s">
        <v>116</v>
      </c>
      <c r="J2585" s="9">
        <v>1</v>
      </c>
      <c r="K2585" s="9">
        <v>346</v>
      </c>
      <c r="L2585" s="9">
        <v>2025</v>
      </c>
      <c r="M2585" s="8" t="s">
        <v>15738</v>
      </c>
      <c r="N2585" s="8" t="s">
        <v>41</v>
      </c>
      <c r="O2585" s="8" t="s">
        <v>118</v>
      </c>
      <c r="P2585" s="6" t="s">
        <v>43</v>
      </c>
      <c r="Q2585" s="8" t="s">
        <v>58</v>
      </c>
      <c r="R2585" s="10" t="s">
        <v>1020</v>
      </c>
      <c r="S2585" s="11" t="s">
        <v>10150</v>
      </c>
      <c r="T2585" s="6"/>
      <c r="U2585" s="24" t="str">
        <f>HYPERLINK("https://media.infra-m.ru/2194/2194347/cover/2194347.jpg", "Обложка")</f>
        <v>Обложка</v>
      </c>
      <c r="V2585" s="24" t="str">
        <f>HYPERLINK("https://znanium.ru/catalog/product/2194347", "Ознакомиться")</f>
        <v>Ознакомиться</v>
      </c>
      <c r="W2585" s="8" t="s">
        <v>347</v>
      </c>
      <c r="X2585" s="6"/>
      <c r="Y2585" s="6"/>
      <c r="Z2585" s="6"/>
      <c r="AA2585" s="6" t="s">
        <v>418</v>
      </c>
      <c r="AB2585" s="8"/>
    </row>
    <row r="2586" spans="1:28" s="4" customFormat="1" ht="51.95" customHeight="1">
      <c r="A2586" s="5">
        <v>0</v>
      </c>
      <c r="B2586" s="6" t="s">
        <v>15739</v>
      </c>
      <c r="C2586" s="13">
        <v>1290</v>
      </c>
      <c r="D2586" s="8" t="s">
        <v>15740</v>
      </c>
      <c r="E2586" s="8" t="s">
        <v>15741</v>
      </c>
      <c r="F2586" s="8" t="s">
        <v>15742</v>
      </c>
      <c r="G2586" s="6" t="s">
        <v>89</v>
      </c>
      <c r="H2586" s="6" t="s">
        <v>53</v>
      </c>
      <c r="I2586" s="8" t="s">
        <v>116</v>
      </c>
      <c r="J2586" s="9">
        <v>1</v>
      </c>
      <c r="K2586" s="9">
        <v>275</v>
      </c>
      <c r="L2586" s="9">
        <v>2024</v>
      </c>
      <c r="M2586" s="8" t="s">
        <v>15743</v>
      </c>
      <c r="N2586" s="8" t="s">
        <v>41</v>
      </c>
      <c r="O2586" s="8" t="s">
        <v>118</v>
      </c>
      <c r="P2586" s="6" t="s">
        <v>167</v>
      </c>
      <c r="Q2586" s="8" t="s">
        <v>58</v>
      </c>
      <c r="R2586" s="10" t="s">
        <v>10144</v>
      </c>
      <c r="S2586" s="11" t="s">
        <v>15744</v>
      </c>
      <c r="T2586" s="6" t="s">
        <v>299</v>
      </c>
      <c r="U2586" s="24" t="str">
        <f>HYPERLINK("https://media.infra-m.ru/2075/2075159/cover/2075159.jpg", "Обложка")</f>
        <v>Обложка</v>
      </c>
      <c r="V2586" s="24" t="str">
        <f>HYPERLINK("https://znanium.ru/catalog/product/2075159", "Ознакомиться")</f>
        <v>Ознакомиться</v>
      </c>
      <c r="W2586" s="8" t="s">
        <v>5142</v>
      </c>
      <c r="X2586" s="6"/>
      <c r="Y2586" s="6"/>
      <c r="Z2586" s="6"/>
      <c r="AA2586" s="6" t="s">
        <v>1259</v>
      </c>
      <c r="AB2586" s="8"/>
    </row>
    <row r="2587" spans="1:28" s="4" customFormat="1" ht="51.95" customHeight="1">
      <c r="A2587" s="5">
        <v>0</v>
      </c>
      <c r="B2587" s="6" t="s">
        <v>15745</v>
      </c>
      <c r="C2587" s="13">
        <v>1744</v>
      </c>
      <c r="D2587" s="8" t="s">
        <v>15746</v>
      </c>
      <c r="E2587" s="8" t="s">
        <v>15747</v>
      </c>
      <c r="F2587" s="8" t="s">
        <v>15748</v>
      </c>
      <c r="G2587" s="6" t="s">
        <v>52</v>
      </c>
      <c r="H2587" s="6" t="s">
        <v>53</v>
      </c>
      <c r="I2587" s="8" t="s">
        <v>116</v>
      </c>
      <c r="J2587" s="9">
        <v>1</v>
      </c>
      <c r="K2587" s="9">
        <v>378</v>
      </c>
      <c r="L2587" s="9">
        <v>2024</v>
      </c>
      <c r="M2587" s="8" t="s">
        <v>15749</v>
      </c>
      <c r="N2587" s="8" t="s">
        <v>41</v>
      </c>
      <c r="O2587" s="8" t="s">
        <v>118</v>
      </c>
      <c r="P2587" s="6" t="s">
        <v>43</v>
      </c>
      <c r="Q2587" s="8" t="s">
        <v>44</v>
      </c>
      <c r="R2587" s="10" t="s">
        <v>15750</v>
      </c>
      <c r="S2587" s="11" t="s">
        <v>15751</v>
      </c>
      <c r="T2587" s="6"/>
      <c r="U2587" s="24" t="str">
        <f>HYPERLINK("https://media.infra-m.ru/2054/2054988/cover/2054988.jpg", "Обложка")</f>
        <v>Обложка</v>
      </c>
      <c r="V2587" s="24" t="str">
        <f>HYPERLINK("https://znanium.ru/catalog/product/1242309", "Ознакомиться")</f>
        <v>Ознакомиться</v>
      </c>
      <c r="W2587" s="8" t="s">
        <v>15752</v>
      </c>
      <c r="X2587" s="6"/>
      <c r="Y2587" s="6"/>
      <c r="Z2587" s="6"/>
      <c r="AA2587" s="6" t="s">
        <v>7663</v>
      </c>
      <c r="AB2587" s="8"/>
    </row>
    <row r="2588" spans="1:28" s="4" customFormat="1" ht="42" customHeight="1">
      <c r="A2588" s="5">
        <v>0</v>
      </c>
      <c r="B2588" s="6" t="s">
        <v>15753</v>
      </c>
      <c r="C2588" s="7">
        <v>794.9</v>
      </c>
      <c r="D2588" s="8" t="s">
        <v>15754</v>
      </c>
      <c r="E2588" s="8" t="s">
        <v>15755</v>
      </c>
      <c r="F2588" s="8" t="s">
        <v>15756</v>
      </c>
      <c r="G2588" s="6" t="s">
        <v>52</v>
      </c>
      <c r="H2588" s="6" t="s">
        <v>1738</v>
      </c>
      <c r="I2588" s="8" t="s">
        <v>15757</v>
      </c>
      <c r="J2588" s="9">
        <v>1</v>
      </c>
      <c r="K2588" s="9">
        <v>272</v>
      </c>
      <c r="L2588" s="9">
        <v>2017</v>
      </c>
      <c r="M2588" s="8" t="s">
        <v>15758</v>
      </c>
      <c r="N2588" s="8" t="s">
        <v>41</v>
      </c>
      <c r="O2588" s="8" t="s">
        <v>118</v>
      </c>
      <c r="P2588" s="6" t="s">
        <v>167</v>
      </c>
      <c r="Q2588" s="8" t="s">
        <v>44</v>
      </c>
      <c r="R2588" s="10" t="s">
        <v>10144</v>
      </c>
      <c r="S2588" s="11"/>
      <c r="T2588" s="6"/>
      <c r="U2588" s="24" t="str">
        <f>HYPERLINK("https://media.infra-m.ru/0772/0772502/cover/772502.jpg", "Обложка")</f>
        <v>Обложка</v>
      </c>
      <c r="V2588" s="24" t="str">
        <f>HYPERLINK("https://znanium.ru/catalog/product/2075159", "Ознакомиться")</f>
        <v>Ознакомиться</v>
      </c>
      <c r="W2588" s="8" t="s">
        <v>5142</v>
      </c>
      <c r="X2588" s="6"/>
      <c r="Y2588" s="6"/>
      <c r="Z2588" s="6"/>
      <c r="AA2588" s="6" t="s">
        <v>111</v>
      </c>
      <c r="AB2588" s="8"/>
    </row>
    <row r="2589" spans="1:28" s="4" customFormat="1" ht="51.95" customHeight="1">
      <c r="A2589" s="5">
        <v>0</v>
      </c>
      <c r="B2589" s="6" t="s">
        <v>15759</v>
      </c>
      <c r="C2589" s="13">
        <v>2344.9</v>
      </c>
      <c r="D2589" s="8" t="s">
        <v>15760</v>
      </c>
      <c r="E2589" s="8" t="s">
        <v>15755</v>
      </c>
      <c r="F2589" s="8" t="s">
        <v>15761</v>
      </c>
      <c r="G2589" s="6" t="s">
        <v>89</v>
      </c>
      <c r="H2589" s="6" t="s">
        <v>53</v>
      </c>
      <c r="I2589" s="8" t="s">
        <v>90</v>
      </c>
      <c r="J2589" s="9">
        <v>1</v>
      </c>
      <c r="K2589" s="9">
        <v>524</v>
      </c>
      <c r="L2589" s="9">
        <v>2022</v>
      </c>
      <c r="M2589" s="8" t="s">
        <v>15762</v>
      </c>
      <c r="N2589" s="8" t="s">
        <v>41</v>
      </c>
      <c r="O2589" s="8" t="s">
        <v>118</v>
      </c>
      <c r="P2589" s="6" t="s">
        <v>167</v>
      </c>
      <c r="Q2589" s="8" t="s">
        <v>44</v>
      </c>
      <c r="R2589" s="10" t="s">
        <v>15763</v>
      </c>
      <c r="S2589" s="11" t="s">
        <v>15764</v>
      </c>
      <c r="T2589" s="6"/>
      <c r="U2589" s="24" t="str">
        <f>HYPERLINK("https://media.infra-m.ru/1914/1914601/cover/1914601.jpg", "Обложка")</f>
        <v>Обложка</v>
      </c>
      <c r="V2589" s="24" t="str">
        <f>HYPERLINK("https://znanium.ru/catalog/product/1894611", "Ознакомиться")</f>
        <v>Ознакомиться</v>
      </c>
      <c r="W2589" s="8" t="s">
        <v>1345</v>
      </c>
      <c r="X2589" s="6"/>
      <c r="Y2589" s="6"/>
      <c r="Z2589" s="6"/>
      <c r="AA2589" s="6" t="s">
        <v>2217</v>
      </c>
      <c r="AB2589" s="8"/>
    </row>
    <row r="2590" spans="1:28" s="4" customFormat="1" ht="51.95" customHeight="1">
      <c r="A2590" s="5">
        <v>0</v>
      </c>
      <c r="B2590" s="6" t="s">
        <v>15765</v>
      </c>
      <c r="C2590" s="13">
        <v>1310</v>
      </c>
      <c r="D2590" s="8" t="s">
        <v>15766</v>
      </c>
      <c r="E2590" s="8" t="s">
        <v>15755</v>
      </c>
      <c r="F2590" s="8" t="s">
        <v>15767</v>
      </c>
      <c r="G2590" s="6" t="s">
        <v>89</v>
      </c>
      <c r="H2590" s="6" t="s">
        <v>53</v>
      </c>
      <c r="I2590" s="8" t="s">
        <v>90</v>
      </c>
      <c r="J2590" s="9">
        <v>1</v>
      </c>
      <c r="K2590" s="9">
        <v>278</v>
      </c>
      <c r="L2590" s="9">
        <v>2023</v>
      </c>
      <c r="M2590" s="8" t="s">
        <v>15768</v>
      </c>
      <c r="N2590" s="8" t="s">
        <v>41</v>
      </c>
      <c r="O2590" s="8" t="s">
        <v>118</v>
      </c>
      <c r="P2590" s="6" t="s">
        <v>167</v>
      </c>
      <c r="Q2590" s="8" t="s">
        <v>44</v>
      </c>
      <c r="R2590" s="10" t="s">
        <v>15769</v>
      </c>
      <c r="S2590" s="11" t="s">
        <v>15770</v>
      </c>
      <c r="T2590" s="6"/>
      <c r="U2590" s="24" t="str">
        <f>HYPERLINK("https://media.infra-m.ru/1960/1960099/cover/1960099.jpg", "Обложка")</f>
        <v>Обложка</v>
      </c>
      <c r="V2590" s="24" t="str">
        <f>HYPERLINK("https://znanium.ru/catalog/product/1960099", "Ознакомиться")</f>
        <v>Ознакомиться</v>
      </c>
      <c r="W2590" s="8" t="s">
        <v>15771</v>
      </c>
      <c r="X2590" s="6"/>
      <c r="Y2590" s="6"/>
      <c r="Z2590" s="6"/>
      <c r="AA2590" s="6" t="s">
        <v>219</v>
      </c>
      <c r="AB2590" s="8"/>
    </row>
    <row r="2591" spans="1:28" s="4" customFormat="1" ht="51.95" customHeight="1">
      <c r="A2591" s="5">
        <v>0</v>
      </c>
      <c r="B2591" s="6" t="s">
        <v>15772</v>
      </c>
      <c r="C2591" s="13">
        <v>1970</v>
      </c>
      <c r="D2591" s="8" t="s">
        <v>15773</v>
      </c>
      <c r="E2591" s="8" t="s">
        <v>15774</v>
      </c>
      <c r="F2591" s="8" t="s">
        <v>15775</v>
      </c>
      <c r="G2591" s="6" t="s">
        <v>89</v>
      </c>
      <c r="H2591" s="6" t="s">
        <v>53</v>
      </c>
      <c r="I2591" s="8" t="s">
        <v>116</v>
      </c>
      <c r="J2591" s="9">
        <v>1</v>
      </c>
      <c r="K2591" s="9">
        <v>394</v>
      </c>
      <c r="L2591" s="9">
        <v>2025</v>
      </c>
      <c r="M2591" s="8" t="s">
        <v>15776</v>
      </c>
      <c r="N2591" s="8" t="s">
        <v>41</v>
      </c>
      <c r="O2591" s="8" t="s">
        <v>118</v>
      </c>
      <c r="P2591" s="6" t="s">
        <v>43</v>
      </c>
      <c r="Q2591" s="8" t="s">
        <v>44</v>
      </c>
      <c r="R2591" s="10" t="s">
        <v>15777</v>
      </c>
      <c r="S2591" s="11" t="s">
        <v>15778</v>
      </c>
      <c r="T2591" s="6"/>
      <c r="U2591" s="24" t="str">
        <f>HYPERLINK("https://media.infra-m.ru/2188/2188343/cover/2188343.jpg", "Обложка")</f>
        <v>Обложка</v>
      </c>
      <c r="V2591" s="24" t="str">
        <f>HYPERLINK("https://znanium.ru/catalog/product/2188343", "Ознакомиться")</f>
        <v>Ознакомиться</v>
      </c>
      <c r="W2591" s="8" t="s">
        <v>5635</v>
      </c>
      <c r="X2591" s="6"/>
      <c r="Y2591" s="6"/>
      <c r="Z2591" s="6"/>
      <c r="AA2591" s="6" t="s">
        <v>72</v>
      </c>
      <c r="AB2591" s="8"/>
    </row>
    <row r="2592" spans="1:28" s="4" customFormat="1" ht="51.95" customHeight="1">
      <c r="A2592" s="5">
        <v>0</v>
      </c>
      <c r="B2592" s="6" t="s">
        <v>15779</v>
      </c>
      <c r="C2592" s="13">
        <v>1990</v>
      </c>
      <c r="D2592" s="8" t="s">
        <v>15780</v>
      </c>
      <c r="E2592" s="8" t="s">
        <v>15781</v>
      </c>
      <c r="F2592" s="8" t="s">
        <v>13783</v>
      </c>
      <c r="G2592" s="6" t="s">
        <v>89</v>
      </c>
      <c r="H2592" s="6" t="s">
        <v>53</v>
      </c>
      <c r="I2592" s="8" t="s">
        <v>1054</v>
      </c>
      <c r="J2592" s="9">
        <v>1</v>
      </c>
      <c r="K2592" s="9">
        <v>451</v>
      </c>
      <c r="L2592" s="9">
        <v>2023</v>
      </c>
      <c r="M2592" s="8" t="s">
        <v>15782</v>
      </c>
      <c r="N2592" s="8" t="s">
        <v>41</v>
      </c>
      <c r="O2592" s="8" t="s">
        <v>1007</v>
      </c>
      <c r="P2592" s="6" t="s">
        <v>167</v>
      </c>
      <c r="Q2592" s="8" t="s">
        <v>279</v>
      </c>
      <c r="R2592" s="10" t="s">
        <v>1356</v>
      </c>
      <c r="S2592" s="11" t="s">
        <v>4516</v>
      </c>
      <c r="T2592" s="6"/>
      <c r="U2592" s="24" t="str">
        <f>HYPERLINK("https://media.infra-m.ru/1905/1905624/cover/1905624.jpg", "Обложка")</f>
        <v>Обложка</v>
      </c>
      <c r="V2592" s="24" t="str">
        <f>HYPERLINK("https://znanium.ru/catalog/product/1905624", "Ознакомиться")</f>
        <v>Ознакомиться</v>
      </c>
      <c r="W2592" s="8" t="s">
        <v>83</v>
      </c>
      <c r="X2592" s="6"/>
      <c r="Y2592" s="6"/>
      <c r="Z2592" s="6"/>
      <c r="AA2592" s="6" t="s">
        <v>151</v>
      </c>
      <c r="AB2592" s="8"/>
    </row>
    <row r="2593" spans="1:28" s="4" customFormat="1" ht="51.95" customHeight="1">
      <c r="A2593" s="5">
        <v>0</v>
      </c>
      <c r="B2593" s="6" t="s">
        <v>15783</v>
      </c>
      <c r="C2593" s="7">
        <v>450</v>
      </c>
      <c r="D2593" s="8" t="s">
        <v>15784</v>
      </c>
      <c r="E2593" s="8" t="s">
        <v>15785</v>
      </c>
      <c r="F2593" s="8" t="s">
        <v>15786</v>
      </c>
      <c r="G2593" s="6" t="s">
        <v>38</v>
      </c>
      <c r="H2593" s="6" t="s">
        <v>77</v>
      </c>
      <c r="I2593" s="8" t="s">
        <v>116</v>
      </c>
      <c r="J2593" s="9">
        <v>1</v>
      </c>
      <c r="K2593" s="9">
        <v>64</v>
      </c>
      <c r="L2593" s="9">
        <v>2024</v>
      </c>
      <c r="M2593" s="8" t="s">
        <v>15787</v>
      </c>
      <c r="N2593" s="8" t="s">
        <v>79</v>
      </c>
      <c r="O2593" s="8" t="s">
        <v>174</v>
      </c>
      <c r="P2593" s="6" t="s">
        <v>43</v>
      </c>
      <c r="Q2593" s="8" t="s">
        <v>44</v>
      </c>
      <c r="R2593" s="10" t="s">
        <v>15788</v>
      </c>
      <c r="S2593" s="11" t="s">
        <v>15789</v>
      </c>
      <c r="T2593" s="6"/>
      <c r="U2593" s="24" t="str">
        <f>HYPERLINK("https://media.infra-m.ru/2083/2083338/cover/2083338.jpg", "Обложка")</f>
        <v>Обложка</v>
      </c>
      <c r="V2593" s="24" t="str">
        <f>HYPERLINK("https://znanium.ru/catalog/product/2083338", "Ознакомиться")</f>
        <v>Ознакомиться</v>
      </c>
      <c r="W2593" s="8" t="s">
        <v>5475</v>
      </c>
      <c r="X2593" s="6"/>
      <c r="Y2593" s="6"/>
      <c r="Z2593" s="6"/>
      <c r="AA2593" s="6" t="s">
        <v>72</v>
      </c>
      <c r="AB2593" s="8"/>
    </row>
    <row r="2594" spans="1:28" s="4" customFormat="1" ht="51.95" customHeight="1">
      <c r="A2594" s="5">
        <v>0</v>
      </c>
      <c r="B2594" s="6" t="s">
        <v>15790</v>
      </c>
      <c r="C2594" s="7">
        <v>770</v>
      </c>
      <c r="D2594" s="8" t="s">
        <v>15791</v>
      </c>
      <c r="E2594" s="8" t="s">
        <v>15792</v>
      </c>
      <c r="F2594" s="8" t="s">
        <v>15793</v>
      </c>
      <c r="G2594" s="6" t="s">
        <v>89</v>
      </c>
      <c r="H2594" s="6" t="s">
        <v>53</v>
      </c>
      <c r="I2594" s="8" t="s">
        <v>116</v>
      </c>
      <c r="J2594" s="9">
        <v>1</v>
      </c>
      <c r="K2594" s="9">
        <v>166</v>
      </c>
      <c r="L2594" s="9">
        <v>2024</v>
      </c>
      <c r="M2594" s="8" t="s">
        <v>15794</v>
      </c>
      <c r="N2594" s="8" t="s">
        <v>56</v>
      </c>
      <c r="O2594" s="8" t="s">
        <v>2183</v>
      </c>
      <c r="P2594" s="6" t="s">
        <v>175</v>
      </c>
      <c r="Q2594" s="8" t="s">
        <v>58</v>
      </c>
      <c r="R2594" s="10" t="s">
        <v>15795</v>
      </c>
      <c r="S2594" s="11" t="s">
        <v>15796</v>
      </c>
      <c r="T2594" s="6"/>
      <c r="U2594" s="24" t="str">
        <f>HYPERLINK("https://media.infra-m.ru/2111/2111911/cover/2111911.jpg", "Обложка")</f>
        <v>Обложка</v>
      </c>
      <c r="V2594" s="24" t="str">
        <f>HYPERLINK("https://znanium.ru/catalog/product/2111911", "Ознакомиться")</f>
        <v>Ознакомиться</v>
      </c>
      <c r="W2594" s="8" t="s">
        <v>141</v>
      </c>
      <c r="X2594" s="6"/>
      <c r="Y2594" s="6"/>
      <c r="Z2594" s="6"/>
      <c r="AA2594" s="6" t="s">
        <v>793</v>
      </c>
      <c r="AB2594" s="8"/>
    </row>
    <row r="2595" spans="1:28" s="4" customFormat="1" ht="51.95" customHeight="1">
      <c r="A2595" s="5">
        <v>0</v>
      </c>
      <c r="B2595" s="6" t="s">
        <v>15797</v>
      </c>
      <c r="C2595" s="7">
        <v>610</v>
      </c>
      <c r="D2595" s="8" t="s">
        <v>15798</v>
      </c>
      <c r="E2595" s="8" t="s">
        <v>15792</v>
      </c>
      <c r="F2595" s="8" t="s">
        <v>15793</v>
      </c>
      <c r="G2595" s="6" t="s">
        <v>89</v>
      </c>
      <c r="H2595" s="6" t="s">
        <v>53</v>
      </c>
      <c r="I2595" s="8" t="s">
        <v>100</v>
      </c>
      <c r="J2595" s="9">
        <v>1</v>
      </c>
      <c r="K2595" s="9">
        <v>166</v>
      </c>
      <c r="L2595" s="9">
        <v>2021</v>
      </c>
      <c r="M2595" s="8" t="s">
        <v>15799</v>
      </c>
      <c r="N2595" s="8" t="s">
        <v>56</v>
      </c>
      <c r="O2595" s="8" t="s">
        <v>2183</v>
      </c>
      <c r="P2595" s="6" t="s">
        <v>175</v>
      </c>
      <c r="Q2595" s="8" t="s">
        <v>102</v>
      </c>
      <c r="R2595" s="10" t="s">
        <v>15800</v>
      </c>
      <c r="S2595" s="11" t="s">
        <v>15801</v>
      </c>
      <c r="T2595" s="6"/>
      <c r="U2595" s="24" t="str">
        <f>HYPERLINK("https://media.infra-m.ru/1203/1203960/cover/1203960.jpg", "Обложка")</f>
        <v>Обложка</v>
      </c>
      <c r="V2595" s="24" t="str">
        <f>HYPERLINK("https://znanium.ru/catalog/product/1203960", "Ознакомиться")</f>
        <v>Ознакомиться</v>
      </c>
      <c r="W2595" s="8" t="s">
        <v>141</v>
      </c>
      <c r="X2595" s="6"/>
      <c r="Y2595" s="6"/>
      <c r="Z2595" s="6" t="s">
        <v>502</v>
      </c>
      <c r="AA2595" s="6" t="s">
        <v>219</v>
      </c>
      <c r="AB2595" s="8"/>
    </row>
    <row r="2596" spans="1:28" s="4" customFormat="1" ht="51.95" customHeight="1">
      <c r="A2596" s="5">
        <v>0</v>
      </c>
      <c r="B2596" s="6" t="s">
        <v>15802</v>
      </c>
      <c r="C2596" s="7">
        <v>730</v>
      </c>
      <c r="D2596" s="8" t="s">
        <v>15803</v>
      </c>
      <c r="E2596" s="8" t="s">
        <v>15804</v>
      </c>
      <c r="F2596" s="8" t="s">
        <v>15805</v>
      </c>
      <c r="G2596" s="6" t="s">
        <v>52</v>
      </c>
      <c r="H2596" s="6" t="s">
        <v>53</v>
      </c>
      <c r="I2596" s="8" t="s">
        <v>116</v>
      </c>
      <c r="J2596" s="9">
        <v>1</v>
      </c>
      <c r="K2596" s="9">
        <v>137</v>
      </c>
      <c r="L2596" s="9">
        <v>2025</v>
      </c>
      <c r="M2596" s="8" t="s">
        <v>15806</v>
      </c>
      <c r="N2596" s="8" t="s">
        <v>41</v>
      </c>
      <c r="O2596" s="8" t="s">
        <v>676</v>
      </c>
      <c r="P2596" s="6" t="s">
        <v>43</v>
      </c>
      <c r="Q2596" s="8" t="s">
        <v>58</v>
      </c>
      <c r="R2596" s="10" t="s">
        <v>15807</v>
      </c>
      <c r="S2596" s="11"/>
      <c r="T2596" s="6"/>
      <c r="U2596" s="24" t="str">
        <f>HYPERLINK("https://media.infra-m.ru/2170/2170987/cover/2170987.jpg", "Обложка")</f>
        <v>Обложка</v>
      </c>
      <c r="V2596" s="24" t="str">
        <f>HYPERLINK("https://znanium.ru/catalog/product/2170987", "Ознакомиться")</f>
        <v>Ознакомиться</v>
      </c>
      <c r="W2596" s="8" t="s">
        <v>15808</v>
      </c>
      <c r="X2596" s="6" t="s">
        <v>60</v>
      </c>
      <c r="Y2596" s="6"/>
      <c r="Z2596" s="6"/>
      <c r="AA2596" s="6" t="s">
        <v>61</v>
      </c>
      <c r="AB2596" s="8"/>
    </row>
    <row r="2597" spans="1:28" s="4" customFormat="1" ht="51.95" customHeight="1">
      <c r="A2597" s="5">
        <v>0</v>
      </c>
      <c r="B2597" s="6" t="s">
        <v>15809</v>
      </c>
      <c r="C2597" s="7">
        <v>720</v>
      </c>
      <c r="D2597" s="8" t="s">
        <v>15810</v>
      </c>
      <c r="E2597" s="8" t="s">
        <v>15811</v>
      </c>
      <c r="F2597" s="8" t="s">
        <v>15812</v>
      </c>
      <c r="G2597" s="6" t="s">
        <v>38</v>
      </c>
      <c r="H2597" s="6" t="s">
        <v>53</v>
      </c>
      <c r="I2597" s="8" t="s">
        <v>90</v>
      </c>
      <c r="J2597" s="9">
        <v>1</v>
      </c>
      <c r="K2597" s="9">
        <v>158</v>
      </c>
      <c r="L2597" s="9">
        <v>2023</v>
      </c>
      <c r="M2597" s="8" t="s">
        <v>15813</v>
      </c>
      <c r="N2597" s="8" t="s">
        <v>41</v>
      </c>
      <c r="O2597" s="8" t="s">
        <v>676</v>
      </c>
      <c r="P2597" s="6" t="s">
        <v>43</v>
      </c>
      <c r="Q2597" s="8" t="s">
        <v>44</v>
      </c>
      <c r="R2597" s="10" t="s">
        <v>7326</v>
      </c>
      <c r="S2597" s="11" t="s">
        <v>15814</v>
      </c>
      <c r="T2597" s="6"/>
      <c r="U2597" s="24" t="str">
        <f>HYPERLINK("https://media.infra-m.ru/1891/1891643/cover/1891643.jpg", "Обложка")</f>
        <v>Обложка</v>
      </c>
      <c r="V2597" s="24" t="str">
        <f>HYPERLINK("https://znanium.ru/catalog/product/1891643", "Ознакомиться")</f>
        <v>Ознакомиться</v>
      </c>
      <c r="W2597" s="8" t="s">
        <v>15815</v>
      </c>
      <c r="X2597" s="6"/>
      <c r="Y2597" s="6"/>
      <c r="Z2597" s="6"/>
      <c r="AA2597" s="6" t="s">
        <v>442</v>
      </c>
      <c r="AB2597" s="8"/>
    </row>
    <row r="2598" spans="1:28" s="4" customFormat="1" ht="21.95" customHeight="1">
      <c r="A2598" s="5">
        <v>0</v>
      </c>
      <c r="B2598" s="6" t="s">
        <v>15816</v>
      </c>
      <c r="C2598" s="7">
        <v>564.9</v>
      </c>
      <c r="D2598" s="8" t="s">
        <v>15817</v>
      </c>
      <c r="E2598" s="8" t="s">
        <v>15818</v>
      </c>
      <c r="F2598" s="8" t="s">
        <v>15819</v>
      </c>
      <c r="G2598" s="6" t="s">
        <v>4902</v>
      </c>
      <c r="H2598" s="6" t="s">
        <v>674</v>
      </c>
      <c r="I2598" s="8"/>
      <c r="J2598" s="9">
        <v>20</v>
      </c>
      <c r="K2598" s="9">
        <v>256</v>
      </c>
      <c r="L2598" s="9">
        <v>2015</v>
      </c>
      <c r="M2598" s="8" t="s">
        <v>15820</v>
      </c>
      <c r="N2598" s="8" t="s">
        <v>41</v>
      </c>
      <c r="O2598" s="8" t="s">
        <v>676</v>
      </c>
      <c r="P2598" s="6" t="s">
        <v>167</v>
      </c>
      <c r="Q2598" s="8" t="s">
        <v>44</v>
      </c>
      <c r="R2598" s="10" t="s">
        <v>969</v>
      </c>
      <c r="S2598" s="11"/>
      <c r="T2598" s="6"/>
      <c r="U2598" s="12"/>
      <c r="V2598" s="24" t="str">
        <f>HYPERLINK("https://znanium.ru/catalog/product/1899696", "Ознакомиться")</f>
        <v>Ознакомиться</v>
      </c>
      <c r="W2598" s="8" t="s">
        <v>15821</v>
      </c>
      <c r="X2598" s="6"/>
      <c r="Y2598" s="6"/>
      <c r="Z2598" s="6"/>
      <c r="AA2598" s="6" t="s">
        <v>8892</v>
      </c>
      <c r="AB2598" s="8"/>
    </row>
    <row r="2599" spans="1:28" s="4" customFormat="1" ht="42" customHeight="1">
      <c r="A2599" s="5">
        <v>0</v>
      </c>
      <c r="B2599" s="6" t="s">
        <v>15822</v>
      </c>
      <c r="C2599" s="13">
        <v>1244</v>
      </c>
      <c r="D2599" s="8" t="s">
        <v>15823</v>
      </c>
      <c r="E2599" s="8" t="s">
        <v>15824</v>
      </c>
      <c r="F2599" s="8" t="s">
        <v>15819</v>
      </c>
      <c r="G2599" s="6" t="s">
        <v>52</v>
      </c>
      <c r="H2599" s="6" t="s">
        <v>674</v>
      </c>
      <c r="I2599" s="8"/>
      <c r="J2599" s="9">
        <v>1</v>
      </c>
      <c r="K2599" s="9">
        <v>264</v>
      </c>
      <c r="L2599" s="9">
        <v>2024</v>
      </c>
      <c r="M2599" s="8" t="s">
        <v>15825</v>
      </c>
      <c r="N2599" s="8" t="s">
        <v>41</v>
      </c>
      <c r="O2599" s="8" t="s">
        <v>676</v>
      </c>
      <c r="P2599" s="6" t="s">
        <v>167</v>
      </c>
      <c r="Q2599" s="8" t="s">
        <v>44</v>
      </c>
      <c r="R2599" s="10" t="s">
        <v>969</v>
      </c>
      <c r="S2599" s="11"/>
      <c r="T2599" s="6"/>
      <c r="U2599" s="24" t="str">
        <f>HYPERLINK("https://media.infra-m.ru/2155/2155024/cover/2155024.jpg", "Обложка")</f>
        <v>Обложка</v>
      </c>
      <c r="V2599" s="24" t="str">
        <f>HYPERLINK("https://znanium.ru/catalog/product/1899696", "Ознакомиться")</f>
        <v>Ознакомиться</v>
      </c>
      <c r="W2599" s="8" t="s">
        <v>15821</v>
      </c>
      <c r="X2599" s="6"/>
      <c r="Y2599" s="6"/>
      <c r="Z2599" s="6"/>
      <c r="AA2599" s="6" t="s">
        <v>5914</v>
      </c>
      <c r="AB2599" s="8"/>
    </row>
    <row r="2600" spans="1:28" s="4" customFormat="1" ht="51.95" customHeight="1">
      <c r="A2600" s="5">
        <v>0</v>
      </c>
      <c r="B2600" s="6" t="s">
        <v>15826</v>
      </c>
      <c r="C2600" s="13">
        <v>2164</v>
      </c>
      <c r="D2600" s="8" t="s">
        <v>15827</v>
      </c>
      <c r="E2600" s="8" t="s">
        <v>15828</v>
      </c>
      <c r="F2600" s="8" t="s">
        <v>10547</v>
      </c>
      <c r="G2600" s="6" t="s">
        <v>89</v>
      </c>
      <c r="H2600" s="6" t="s">
        <v>184</v>
      </c>
      <c r="I2600" s="8" t="s">
        <v>116</v>
      </c>
      <c r="J2600" s="9">
        <v>1</v>
      </c>
      <c r="K2600" s="9">
        <v>480</v>
      </c>
      <c r="L2600" s="9">
        <v>2023</v>
      </c>
      <c r="M2600" s="8" t="s">
        <v>15829</v>
      </c>
      <c r="N2600" s="8" t="s">
        <v>41</v>
      </c>
      <c r="O2600" s="8" t="s">
        <v>676</v>
      </c>
      <c r="P2600" s="6" t="s">
        <v>43</v>
      </c>
      <c r="Q2600" s="8" t="s">
        <v>44</v>
      </c>
      <c r="R2600" s="10" t="s">
        <v>969</v>
      </c>
      <c r="S2600" s="11" t="s">
        <v>15830</v>
      </c>
      <c r="T2600" s="6"/>
      <c r="U2600" s="24" t="str">
        <f>HYPERLINK("https://media.infra-m.ru/1976/1976180/cover/1976180.jpg", "Обложка")</f>
        <v>Обложка</v>
      </c>
      <c r="V2600" s="24" t="str">
        <f>HYPERLINK("https://znanium.ru/catalog/product/944364", "Ознакомиться")</f>
        <v>Ознакомиться</v>
      </c>
      <c r="W2600" s="8" t="s">
        <v>94</v>
      </c>
      <c r="X2600" s="6"/>
      <c r="Y2600" s="6"/>
      <c r="Z2600" s="6"/>
      <c r="AA2600" s="6" t="s">
        <v>513</v>
      </c>
      <c r="AB2600" s="8"/>
    </row>
    <row r="2601" spans="1:28" s="4" customFormat="1" ht="51.95" customHeight="1">
      <c r="A2601" s="5">
        <v>0</v>
      </c>
      <c r="B2601" s="6" t="s">
        <v>15831</v>
      </c>
      <c r="C2601" s="7">
        <v>760</v>
      </c>
      <c r="D2601" s="8" t="s">
        <v>15832</v>
      </c>
      <c r="E2601" s="8" t="s">
        <v>15833</v>
      </c>
      <c r="F2601" s="8" t="s">
        <v>15834</v>
      </c>
      <c r="G2601" s="6" t="s">
        <v>89</v>
      </c>
      <c r="H2601" s="6" t="s">
        <v>649</v>
      </c>
      <c r="I2601" s="8" t="s">
        <v>185</v>
      </c>
      <c r="J2601" s="9">
        <v>1</v>
      </c>
      <c r="K2601" s="9">
        <v>223</v>
      </c>
      <c r="L2601" s="9">
        <v>2020</v>
      </c>
      <c r="M2601" s="8" t="s">
        <v>15835</v>
      </c>
      <c r="N2601" s="8" t="s">
        <v>41</v>
      </c>
      <c r="O2601" s="8" t="s">
        <v>676</v>
      </c>
      <c r="P2601" s="6" t="s">
        <v>43</v>
      </c>
      <c r="Q2601" s="8" t="s">
        <v>102</v>
      </c>
      <c r="R2601" s="10" t="s">
        <v>256</v>
      </c>
      <c r="S2601" s="11" t="s">
        <v>15836</v>
      </c>
      <c r="T2601" s="6"/>
      <c r="U2601" s="24" t="str">
        <f>HYPERLINK("https://media.infra-m.ru/1099/1099269/cover/1099269.jpg", "Обложка")</f>
        <v>Обложка</v>
      </c>
      <c r="V2601" s="24" t="str">
        <f>HYPERLINK("https://znanium.ru/catalog/product/1099269", "Ознакомиться")</f>
        <v>Ознакомиться</v>
      </c>
      <c r="W2601" s="8" t="s">
        <v>354</v>
      </c>
      <c r="X2601" s="6"/>
      <c r="Y2601" s="6"/>
      <c r="Z2601" s="6"/>
      <c r="AA2601" s="6" t="s">
        <v>644</v>
      </c>
      <c r="AB2601" s="8"/>
    </row>
    <row r="2602" spans="1:28" s="4" customFormat="1" ht="51.95" customHeight="1">
      <c r="A2602" s="5">
        <v>0</v>
      </c>
      <c r="B2602" s="6" t="s">
        <v>15837</v>
      </c>
      <c r="C2602" s="13">
        <v>1114</v>
      </c>
      <c r="D2602" s="8" t="s">
        <v>15838</v>
      </c>
      <c r="E2602" s="8" t="s">
        <v>15839</v>
      </c>
      <c r="F2602" s="8" t="s">
        <v>860</v>
      </c>
      <c r="G2602" s="6" t="s">
        <v>52</v>
      </c>
      <c r="H2602" s="6" t="s">
        <v>53</v>
      </c>
      <c r="I2602" s="8" t="s">
        <v>100</v>
      </c>
      <c r="J2602" s="9">
        <v>1</v>
      </c>
      <c r="K2602" s="9">
        <v>222</v>
      </c>
      <c r="L2602" s="9">
        <v>2024</v>
      </c>
      <c r="M2602" s="8" t="s">
        <v>15840</v>
      </c>
      <c r="N2602" s="8" t="s">
        <v>41</v>
      </c>
      <c r="O2602" s="8" t="s">
        <v>676</v>
      </c>
      <c r="P2602" s="6" t="s">
        <v>43</v>
      </c>
      <c r="Q2602" s="8" t="s">
        <v>102</v>
      </c>
      <c r="R2602" s="10" t="s">
        <v>256</v>
      </c>
      <c r="S2602" s="11" t="s">
        <v>15836</v>
      </c>
      <c r="T2602" s="6"/>
      <c r="U2602" s="24" t="str">
        <f>HYPERLINK("https://media.infra-m.ru/1176/1176913/cover/1176913.jpg", "Обложка")</f>
        <v>Обложка</v>
      </c>
      <c r="V2602" s="24" t="str">
        <f>HYPERLINK("https://znanium.ru/catalog/product/1099269", "Ознакомиться")</f>
        <v>Ознакомиться</v>
      </c>
      <c r="W2602" s="8" t="s">
        <v>354</v>
      </c>
      <c r="X2602" s="6"/>
      <c r="Y2602" s="6"/>
      <c r="Z2602" s="6"/>
      <c r="AA2602" s="6" t="s">
        <v>867</v>
      </c>
      <c r="AB2602" s="8"/>
    </row>
    <row r="2603" spans="1:28" s="4" customFormat="1" ht="51.95" customHeight="1">
      <c r="A2603" s="5">
        <v>0</v>
      </c>
      <c r="B2603" s="6" t="s">
        <v>15841</v>
      </c>
      <c r="C2603" s="13">
        <v>1154</v>
      </c>
      <c r="D2603" s="8" t="s">
        <v>15842</v>
      </c>
      <c r="E2603" s="8" t="s">
        <v>15833</v>
      </c>
      <c r="F2603" s="8" t="s">
        <v>15843</v>
      </c>
      <c r="G2603" s="6" t="s">
        <v>52</v>
      </c>
      <c r="H2603" s="6" t="s">
        <v>53</v>
      </c>
      <c r="I2603" s="8" t="s">
        <v>100</v>
      </c>
      <c r="J2603" s="9">
        <v>1</v>
      </c>
      <c r="K2603" s="9">
        <v>254</v>
      </c>
      <c r="L2603" s="9">
        <v>2023</v>
      </c>
      <c r="M2603" s="8" t="s">
        <v>15844</v>
      </c>
      <c r="N2603" s="8" t="s">
        <v>41</v>
      </c>
      <c r="O2603" s="8" t="s">
        <v>676</v>
      </c>
      <c r="P2603" s="6" t="s">
        <v>43</v>
      </c>
      <c r="Q2603" s="8" t="s">
        <v>102</v>
      </c>
      <c r="R2603" s="10" t="s">
        <v>256</v>
      </c>
      <c r="S2603" s="11" t="s">
        <v>15845</v>
      </c>
      <c r="T2603" s="6"/>
      <c r="U2603" s="24" t="str">
        <f>HYPERLINK("https://media.infra-m.ru/2021/2021431/cover/2021431.jpg", "Обложка")</f>
        <v>Обложка</v>
      </c>
      <c r="V2603" s="24" t="str">
        <f>HYPERLINK("https://znanium.ru/catalog/product/1945240", "Ознакомиться")</f>
        <v>Ознакомиться</v>
      </c>
      <c r="W2603" s="8" t="s">
        <v>15846</v>
      </c>
      <c r="X2603" s="6"/>
      <c r="Y2603" s="6"/>
      <c r="Z2603" s="6" t="s">
        <v>104</v>
      </c>
      <c r="AA2603" s="6" t="s">
        <v>707</v>
      </c>
      <c r="AB2603" s="8"/>
    </row>
    <row r="2604" spans="1:28" s="4" customFormat="1" ht="51.95" customHeight="1">
      <c r="A2604" s="5">
        <v>0</v>
      </c>
      <c r="B2604" s="6" t="s">
        <v>15847</v>
      </c>
      <c r="C2604" s="13">
        <v>1200</v>
      </c>
      <c r="D2604" s="8" t="s">
        <v>15848</v>
      </c>
      <c r="E2604" s="8" t="s">
        <v>15833</v>
      </c>
      <c r="F2604" s="8" t="s">
        <v>15843</v>
      </c>
      <c r="G2604" s="6" t="s">
        <v>89</v>
      </c>
      <c r="H2604" s="6" t="s">
        <v>53</v>
      </c>
      <c r="I2604" s="8" t="s">
        <v>116</v>
      </c>
      <c r="J2604" s="9">
        <v>1</v>
      </c>
      <c r="K2604" s="9">
        <v>254</v>
      </c>
      <c r="L2604" s="9">
        <v>2024</v>
      </c>
      <c r="M2604" s="8" t="s">
        <v>15849</v>
      </c>
      <c r="N2604" s="8" t="s">
        <v>41</v>
      </c>
      <c r="O2604" s="8" t="s">
        <v>676</v>
      </c>
      <c r="P2604" s="6" t="s">
        <v>43</v>
      </c>
      <c r="Q2604" s="8" t="s">
        <v>44</v>
      </c>
      <c r="R2604" s="10" t="s">
        <v>7326</v>
      </c>
      <c r="S2604" s="11" t="s">
        <v>15850</v>
      </c>
      <c r="T2604" s="6"/>
      <c r="U2604" s="24" t="str">
        <f>HYPERLINK("https://media.infra-m.ru/2136/2136004/cover/2136004.jpg", "Обложка")</f>
        <v>Обложка</v>
      </c>
      <c r="V2604" s="24" t="str">
        <f>HYPERLINK("https://znanium.ru/catalog/product/2136004", "Ознакомиться")</f>
        <v>Ознакомиться</v>
      </c>
      <c r="W2604" s="8" t="s">
        <v>15846</v>
      </c>
      <c r="X2604" s="6"/>
      <c r="Y2604" s="6"/>
      <c r="Z2604" s="6"/>
      <c r="AA2604" s="6" t="s">
        <v>1365</v>
      </c>
      <c r="AB2604" s="8"/>
    </row>
    <row r="2605" spans="1:28" s="4" customFormat="1" ht="51.95" customHeight="1">
      <c r="A2605" s="5">
        <v>0</v>
      </c>
      <c r="B2605" s="6" t="s">
        <v>15851</v>
      </c>
      <c r="C2605" s="13">
        <v>1250</v>
      </c>
      <c r="D2605" s="8" t="s">
        <v>15852</v>
      </c>
      <c r="E2605" s="8" t="s">
        <v>15853</v>
      </c>
      <c r="F2605" s="8" t="s">
        <v>15854</v>
      </c>
      <c r="G2605" s="6" t="s">
        <v>52</v>
      </c>
      <c r="H2605" s="6" t="s">
        <v>674</v>
      </c>
      <c r="I2605" s="8"/>
      <c r="J2605" s="9">
        <v>1</v>
      </c>
      <c r="K2605" s="9">
        <v>272</v>
      </c>
      <c r="L2605" s="9">
        <v>2024</v>
      </c>
      <c r="M2605" s="8" t="s">
        <v>15855</v>
      </c>
      <c r="N2605" s="8" t="s">
        <v>41</v>
      </c>
      <c r="O2605" s="8" t="s">
        <v>676</v>
      </c>
      <c r="P2605" s="6" t="s">
        <v>187</v>
      </c>
      <c r="Q2605" s="8" t="s">
        <v>58</v>
      </c>
      <c r="R2605" s="10" t="s">
        <v>15856</v>
      </c>
      <c r="S2605" s="11"/>
      <c r="T2605" s="6"/>
      <c r="U2605" s="24" t="str">
        <f>HYPERLINK("https://media.infra-m.ru/2123/2123813/cover/2123813.jpg", "Обложка")</f>
        <v>Обложка</v>
      </c>
      <c r="V2605" s="24" t="str">
        <f>HYPERLINK("https://znanium.ru/catalog/product/2123813", "Ознакомиться")</f>
        <v>Ознакомиться</v>
      </c>
      <c r="W2605" s="8" t="s">
        <v>792</v>
      </c>
      <c r="X2605" s="6"/>
      <c r="Y2605" s="6"/>
      <c r="Z2605" s="6"/>
      <c r="AA2605" s="6" t="s">
        <v>133</v>
      </c>
      <c r="AB2605" s="8"/>
    </row>
    <row r="2606" spans="1:28" s="4" customFormat="1" ht="51.95" customHeight="1">
      <c r="A2606" s="5">
        <v>0</v>
      </c>
      <c r="B2606" s="6" t="s">
        <v>15857</v>
      </c>
      <c r="C2606" s="13">
        <v>2050</v>
      </c>
      <c r="D2606" s="8" t="s">
        <v>15858</v>
      </c>
      <c r="E2606" s="8" t="s">
        <v>15859</v>
      </c>
      <c r="F2606" s="8" t="s">
        <v>15860</v>
      </c>
      <c r="G2606" s="6" t="s">
        <v>52</v>
      </c>
      <c r="H2606" s="6" t="s">
        <v>674</v>
      </c>
      <c r="I2606" s="8"/>
      <c r="J2606" s="9">
        <v>1</v>
      </c>
      <c r="K2606" s="9">
        <v>408</v>
      </c>
      <c r="L2606" s="9">
        <v>2025</v>
      </c>
      <c r="M2606" s="8" t="s">
        <v>15861</v>
      </c>
      <c r="N2606" s="8" t="s">
        <v>41</v>
      </c>
      <c r="O2606" s="8" t="s">
        <v>676</v>
      </c>
      <c r="P2606" s="6" t="s">
        <v>167</v>
      </c>
      <c r="Q2606" s="8" t="s">
        <v>44</v>
      </c>
      <c r="R2606" s="10" t="s">
        <v>969</v>
      </c>
      <c r="S2606" s="11" t="s">
        <v>15862</v>
      </c>
      <c r="T2606" s="6"/>
      <c r="U2606" s="24" t="str">
        <f>HYPERLINK("https://media.infra-m.ru/2169/2169272/cover/2169272.jpg", "Обложка")</f>
        <v>Обложка</v>
      </c>
      <c r="V2606" s="24" t="str">
        <f>HYPERLINK("https://znanium.ru/catalog/product/2146077", "Ознакомиться")</f>
        <v>Ознакомиться</v>
      </c>
      <c r="W2606" s="8" t="s">
        <v>792</v>
      </c>
      <c r="X2606" s="6"/>
      <c r="Y2606" s="6"/>
      <c r="Z2606" s="6"/>
      <c r="AA2606" s="6" t="s">
        <v>15863</v>
      </c>
      <c r="AB2606" s="8"/>
    </row>
    <row r="2607" spans="1:28" s="4" customFormat="1" ht="51.95" customHeight="1">
      <c r="A2607" s="5">
        <v>0</v>
      </c>
      <c r="B2607" s="6" t="s">
        <v>15864</v>
      </c>
      <c r="C2607" s="7">
        <v>994.9</v>
      </c>
      <c r="D2607" s="8" t="s">
        <v>15865</v>
      </c>
      <c r="E2607" s="8" t="s">
        <v>15866</v>
      </c>
      <c r="F2607" s="8" t="s">
        <v>15860</v>
      </c>
      <c r="G2607" s="6" t="s">
        <v>52</v>
      </c>
      <c r="H2607" s="6" t="s">
        <v>674</v>
      </c>
      <c r="I2607" s="8"/>
      <c r="J2607" s="9">
        <v>14</v>
      </c>
      <c r="K2607" s="9">
        <v>576</v>
      </c>
      <c r="L2607" s="9">
        <v>2015</v>
      </c>
      <c r="M2607" s="8" t="s">
        <v>15867</v>
      </c>
      <c r="N2607" s="8" t="s">
        <v>41</v>
      </c>
      <c r="O2607" s="8" t="s">
        <v>676</v>
      </c>
      <c r="P2607" s="6" t="s">
        <v>167</v>
      </c>
      <c r="Q2607" s="8" t="s">
        <v>44</v>
      </c>
      <c r="R2607" s="10" t="s">
        <v>969</v>
      </c>
      <c r="S2607" s="11" t="s">
        <v>15862</v>
      </c>
      <c r="T2607" s="6"/>
      <c r="U2607" s="24" t="str">
        <f>HYPERLINK("https://media.infra-m.ru/0552/0552518/cover/552518.jpg", "Обложка")</f>
        <v>Обложка</v>
      </c>
      <c r="V2607" s="24" t="str">
        <f>HYPERLINK("https://znanium.ru/catalog/product/2146077", "Ознакомиться")</f>
        <v>Ознакомиться</v>
      </c>
      <c r="W2607" s="8" t="s">
        <v>792</v>
      </c>
      <c r="X2607" s="6"/>
      <c r="Y2607" s="6"/>
      <c r="Z2607" s="6"/>
      <c r="AA2607" s="6" t="s">
        <v>9405</v>
      </c>
      <c r="AB2607" s="8"/>
    </row>
    <row r="2608" spans="1:28" s="4" customFormat="1" ht="51.95" customHeight="1">
      <c r="A2608" s="5">
        <v>0</v>
      </c>
      <c r="B2608" s="6" t="s">
        <v>15868</v>
      </c>
      <c r="C2608" s="7">
        <v>974</v>
      </c>
      <c r="D2608" s="8" t="s">
        <v>15869</v>
      </c>
      <c r="E2608" s="8" t="s">
        <v>15853</v>
      </c>
      <c r="F2608" s="8" t="s">
        <v>15870</v>
      </c>
      <c r="G2608" s="6" t="s">
        <v>89</v>
      </c>
      <c r="H2608" s="6" t="s">
        <v>53</v>
      </c>
      <c r="I2608" s="8" t="s">
        <v>90</v>
      </c>
      <c r="J2608" s="9">
        <v>1</v>
      </c>
      <c r="K2608" s="9">
        <v>209</v>
      </c>
      <c r="L2608" s="9">
        <v>2023</v>
      </c>
      <c r="M2608" s="8" t="s">
        <v>15871</v>
      </c>
      <c r="N2608" s="8" t="s">
        <v>41</v>
      </c>
      <c r="O2608" s="8" t="s">
        <v>676</v>
      </c>
      <c r="P2608" s="6" t="s">
        <v>43</v>
      </c>
      <c r="Q2608" s="8" t="s">
        <v>44</v>
      </c>
      <c r="R2608" s="10" t="s">
        <v>15807</v>
      </c>
      <c r="S2608" s="11" t="s">
        <v>15872</v>
      </c>
      <c r="T2608" s="6"/>
      <c r="U2608" s="24" t="str">
        <f>HYPERLINK("https://media.infra-m.ru/2113/2113847/cover/2113847.jpg", "Обложка")</f>
        <v>Обложка</v>
      </c>
      <c r="V2608" s="24" t="str">
        <f>HYPERLINK("https://znanium.ru/catalog/product/2113846", "Ознакомиться")</f>
        <v>Ознакомиться</v>
      </c>
      <c r="W2608" s="8" t="s">
        <v>15873</v>
      </c>
      <c r="X2608" s="6"/>
      <c r="Y2608" s="6"/>
      <c r="Z2608" s="6"/>
      <c r="AA2608" s="6" t="s">
        <v>235</v>
      </c>
      <c r="AB2608" s="8"/>
    </row>
    <row r="2609" spans="1:28" s="4" customFormat="1" ht="51.95" customHeight="1">
      <c r="A2609" s="5">
        <v>0</v>
      </c>
      <c r="B2609" s="6" t="s">
        <v>15874</v>
      </c>
      <c r="C2609" s="7">
        <v>980</v>
      </c>
      <c r="D2609" s="8" t="s">
        <v>15875</v>
      </c>
      <c r="E2609" s="8" t="s">
        <v>15853</v>
      </c>
      <c r="F2609" s="8" t="s">
        <v>15870</v>
      </c>
      <c r="G2609" s="6" t="s">
        <v>52</v>
      </c>
      <c r="H2609" s="6" t="s">
        <v>53</v>
      </c>
      <c r="I2609" s="8" t="s">
        <v>100</v>
      </c>
      <c r="J2609" s="9">
        <v>1</v>
      </c>
      <c r="K2609" s="9">
        <v>209</v>
      </c>
      <c r="L2609" s="9">
        <v>2023</v>
      </c>
      <c r="M2609" s="8" t="s">
        <v>15876</v>
      </c>
      <c r="N2609" s="8" t="s">
        <v>41</v>
      </c>
      <c r="O2609" s="8" t="s">
        <v>676</v>
      </c>
      <c r="P2609" s="6" t="s">
        <v>43</v>
      </c>
      <c r="Q2609" s="8" t="s">
        <v>102</v>
      </c>
      <c r="R2609" s="10" t="s">
        <v>256</v>
      </c>
      <c r="S2609" s="11" t="s">
        <v>15877</v>
      </c>
      <c r="T2609" s="6"/>
      <c r="U2609" s="24" t="str">
        <f>HYPERLINK("https://media.infra-m.ru/1903/1903981/cover/1903981.jpg", "Обложка")</f>
        <v>Обложка</v>
      </c>
      <c r="V2609" s="24" t="str">
        <f>HYPERLINK("https://znanium.ru/catalog/product/1903981", "Ознакомиться")</f>
        <v>Ознакомиться</v>
      </c>
      <c r="W2609" s="8" t="s">
        <v>15873</v>
      </c>
      <c r="X2609" s="6"/>
      <c r="Y2609" s="6"/>
      <c r="Z2609" s="6" t="s">
        <v>104</v>
      </c>
      <c r="AA2609" s="6" t="s">
        <v>207</v>
      </c>
      <c r="AB2609" s="8"/>
    </row>
    <row r="2610" spans="1:28" s="4" customFormat="1" ht="51.95" customHeight="1">
      <c r="A2610" s="5">
        <v>0</v>
      </c>
      <c r="B2610" s="6" t="s">
        <v>15878</v>
      </c>
      <c r="C2610" s="13">
        <v>1834</v>
      </c>
      <c r="D2610" s="8" t="s">
        <v>15879</v>
      </c>
      <c r="E2610" s="8" t="s">
        <v>15880</v>
      </c>
      <c r="F2610" s="8" t="s">
        <v>15843</v>
      </c>
      <c r="G2610" s="6" t="s">
        <v>89</v>
      </c>
      <c r="H2610" s="6" t="s">
        <v>53</v>
      </c>
      <c r="I2610" s="8" t="s">
        <v>276</v>
      </c>
      <c r="J2610" s="9">
        <v>1</v>
      </c>
      <c r="K2610" s="9">
        <v>353</v>
      </c>
      <c r="L2610" s="9">
        <v>2025</v>
      </c>
      <c r="M2610" s="8" t="s">
        <v>15881</v>
      </c>
      <c r="N2610" s="8" t="s">
        <v>41</v>
      </c>
      <c r="O2610" s="8" t="s">
        <v>676</v>
      </c>
      <c r="P2610" s="6" t="s">
        <v>167</v>
      </c>
      <c r="Q2610" s="8" t="s">
        <v>279</v>
      </c>
      <c r="R2610" s="10" t="s">
        <v>806</v>
      </c>
      <c r="S2610" s="11" t="s">
        <v>15882</v>
      </c>
      <c r="T2610" s="6"/>
      <c r="U2610" s="24" t="str">
        <f>HYPERLINK("https://media.infra-m.ru/2179/2179232/cover/2179232.jpg", "Обложка")</f>
        <v>Обложка</v>
      </c>
      <c r="V2610" s="24" t="str">
        <f>HYPERLINK("https://znanium.ru/catalog/product/1901771", "Ознакомиться")</f>
        <v>Ознакомиться</v>
      </c>
      <c r="W2610" s="8" t="s">
        <v>15846</v>
      </c>
      <c r="X2610" s="6"/>
      <c r="Y2610" s="6"/>
      <c r="Z2610" s="6"/>
      <c r="AA2610" s="6" t="s">
        <v>151</v>
      </c>
      <c r="AB2610" s="8"/>
    </row>
    <row r="2611" spans="1:28" s="4" customFormat="1" ht="51.95" customHeight="1">
      <c r="A2611" s="5">
        <v>0</v>
      </c>
      <c r="B2611" s="6" t="s">
        <v>15883</v>
      </c>
      <c r="C2611" s="7">
        <v>314</v>
      </c>
      <c r="D2611" s="8" t="s">
        <v>15884</v>
      </c>
      <c r="E2611" s="8" t="s">
        <v>15885</v>
      </c>
      <c r="F2611" s="8" t="s">
        <v>15886</v>
      </c>
      <c r="G2611" s="6" t="s">
        <v>38</v>
      </c>
      <c r="H2611" s="6" t="s">
        <v>53</v>
      </c>
      <c r="I2611" s="8" t="s">
        <v>1325</v>
      </c>
      <c r="J2611" s="9">
        <v>1</v>
      </c>
      <c r="K2611" s="9">
        <v>49</v>
      </c>
      <c r="L2611" s="9">
        <v>2024</v>
      </c>
      <c r="M2611" s="8" t="s">
        <v>15887</v>
      </c>
      <c r="N2611" s="8" t="s">
        <v>79</v>
      </c>
      <c r="O2611" s="8" t="s">
        <v>570</v>
      </c>
      <c r="P2611" s="6" t="s">
        <v>175</v>
      </c>
      <c r="Q2611" s="8" t="s">
        <v>58</v>
      </c>
      <c r="R2611" s="10" t="s">
        <v>15888</v>
      </c>
      <c r="S2611" s="11"/>
      <c r="T2611" s="6"/>
      <c r="U2611" s="24" t="str">
        <f>HYPERLINK("https://media.infra-m.ru/2141/2141617/cover/2141617.jpg", "Обложка")</f>
        <v>Обложка</v>
      </c>
      <c r="V2611" s="24" t="str">
        <f>HYPERLINK("https://znanium.ru/catalog/product/2103618", "Ознакомиться")</f>
        <v>Ознакомиться</v>
      </c>
      <c r="W2611" s="8" t="s">
        <v>1329</v>
      </c>
      <c r="X2611" s="6"/>
      <c r="Y2611" s="6"/>
      <c r="Z2611" s="6"/>
      <c r="AA2611" s="6" t="s">
        <v>258</v>
      </c>
      <c r="AB2611" s="8"/>
    </row>
    <row r="2612" spans="1:28" s="4" customFormat="1" ht="51.95" customHeight="1">
      <c r="A2612" s="5">
        <v>0</v>
      </c>
      <c r="B2612" s="6" t="s">
        <v>15889</v>
      </c>
      <c r="C2612" s="7">
        <v>944</v>
      </c>
      <c r="D2612" s="8" t="s">
        <v>15890</v>
      </c>
      <c r="E2612" s="8" t="s">
        <v>15891</v>
      </c>
      <c r="F2612" s="8" t="s">
        <v>15892</v>
      </c>
      <c r="G2612" s="6" t="s">
        <v>89</v>
      </c>
      <c r="H2612" s="6" t="s">
        <v>53</v>
      </c>
      <c r="I2612" s="8" t="s">
        <v>4013</v>
      </c>
      <c r="J2612" s="9">
        <v>1</v>
      </c>
      <c r="K2612" s="9">
        <v>167</v>
      </c>
      <c r="L2612" s="9">
        <v>2024</v>
      </c>
      <c r="M2612" s="8" t="s">
        <v>15893</v>
      </c>
      <c r="N2612" s="8" t="s">
        <v>79</v>
      </c>
      <c r="O2612" s="8" t="s">
        <v>570</v>
      </c>
      <c r="P2612" s="6" t="s">
        <v>187</v>
      </c>
      <c r="Q2612" s="8" t="s">
        <v>102</v>
      </c>
      <c r="R2612" s="10" t="s">
        <v>15894</v>
      </c>
      <c r="S2612" s="11" t="s">
        <v>15895</v>
      </c>
      <c r="T2612" s="6"/>
      <c r="U2612" s="24" t="str">
        <f>HYPERLINK("https://media.infra-m.ru/2155/2155750/cover/2155750.jpg", "Обложка")</f>
        <v>Обложка</v>
      </c>
      <c r="V2612" s="12"/>
      <c r="W2612" s="8" t="s">
        <v>1329</v>
      </c>
      <c r="X2612" s="6"/>
      <c r="Y2612" s="6"/>
      <c r="Z2612" s="6" t="s">
        <v>502</v>
      </c>
      <c r="AA2612" s="6" t="s">
        <v>219</v>
      </c>
      <c r="AB2612" s="8"/>
    </row>
    <row r="2613" spans="1:28" s="4" customFormat="1" ht="42" customHeight="1">
      <c r="A2613" s="5">
        <v>0</v>
      </c>
      <c r="B2613" s="6" t="s">
        <v>15896</v>
      </c>
      <c r="C2613" s="7">
        <v>900</v>
      </c>
      <c r="D2613" s="8" t="s">
        <v>15897</v>
      </c>
      <c r="E2613" s="8" t="s">
        <v>15891</v>
      </c>
      <c r="F2613" s="8" t="s">
        <v>15898</v>
      </c>
      <c r="G2613" s="6" t="s">
        <v>89</v>
      </c>
      <c r="H2613" s="6" t="s">
        <v>53</v>
      </c>
      <c r="I2613" s="8" t="s">
        <v>1325</v>
      </c>
      <c r="J2613" s="9">
        <v>1</v>
      </c>
      <c r="K2613" s="9">
        <v>167</v>
      </c>
      <c r="L2613" s="9">
        <v>2024</v>
      </c>
      <c r="M2613" s="8" t="s">
        <v>15899</v>
      </c>
      <c r="N2613" s="8" t="s">
        <v>79</v>
      </c>
      <c r="O2613" s="8" t="s">
        <v>570</v>
      </c>
      <c r="P2613" s="6" t="s">
        <v>187</v>
      </c>
      <c r="Q2613" s="8" t="s">
        <v>58</v>
      </c>
      <c r="R2613" s="10" t="s">
        <v>5423</v>
      </c>
      <c r="S2613" s="11"/>
      <c r="T2613" s="6"/>
      <c r="U2613" s="24" t="str">
        <f>HYPERLINK("https://media.infra-m.ru/2059/2059574/cover/2059574.jpg", "Обложка")</f>
        <v>Обложка</v>
      </c>
      <c r="V2613" s="24" t="str">
        <f>HYPERLINK("https://znanium.ru/catalog/product/2059574", "Ознакомиться")</f>
        <v>Ознакомиться</v>
      </c>
      <c r="W2613" s="8" t="s">
        <v>1329</v>
      </c>
      <c r="X2613" s="6"/>
      <c r="Y2613" s="6"/>
      <c r="Z2613" s="6"/>
      <c r="AA2613" s="6" t="s">
        <v>258</v>
      </c>
      <c r="AB2613" s="8"/>
    </row>
    <row r="2614" spans="1:28" s="4" customFormat="1" ht="51.95" customHeight="1">
      <c r="A2614" s="5">
        <v>0</v>
      </c>
      <c r="B2614" s="6" t="s">
        <v>15900</v>
      </c>
      <c r="C2614" s="7">
        <v>980</v>
      </c>
      <c r="D2614" s="8" t="s">
        <v>15901</v>
      </c>
      <c r="E2614" s="8" t="s">
        <v>15902</v>
      </c>
      <c r="F2614" s="8" t="s">
        <v>15903</v>
      </c>
      <c r="G2614" s="6" t="s">
        <v>89</v>
      </c>
      <c r="H2614" s="6" t="s">
        <v>53</v>
      </c>
      <c r="I2614" s="8" t="s">
        <v>90</v>
      </c>
      <c r="J2614" s="9">
        <v>1</v>
      </c>
      <c r="K2614" s="9">
        <v>218</v>
      </c>
      <c r="L2614" s="9">
        <v>2023</v>
      </c>
      <c r="M2614" s="8" t="s">
        <v>15904</v>
      </c>
      <c r="N2614" s="8" t="s">
        <v>79</v>
      </c>
      <c r="O2614" s="8" t="s">
        <v>396</v>
      </c>
      <c r="P2614" s="6" t="s">
        <v>43</v>
      </c>
      <c r="Q2614" s="8" t="s">
        <v>44</v>
      </c>
      <c r="R2614" s="10" t="s">
        <v>5384</v>
      </c>
      <c r="S2614" s="11" t="s">
        <v>15905</v>
      </c>
      <c r="T2614" s="6"/>
      <c r="U2614" s="24" t="str">
        <f>HYPERLINK("https://media.infra-m.ru/1938/1938027/cover/1938027.jpg", "Обложка")</f>
        <v>Обложка</v>
      </c>
      <c r="V2614" s="24" t="str">
        <f>HYPERLINK("https://znanium.ru/catalog/product/1938027", "Ознакомиться")</f>
        <v>Ознакомиться</v>
      </c>
      <c r="W2614" s="8" t="s">
        <v>159</v>
      </c>
      <c r="X2614" s="6"/>
      <c r="Y2614" s="6"/>
      <c r="Z2614" s="6"/>
      <c r="AA2614" s="6" t="s">
        <v>442</v>
      </c>
      <c r="AB2614" s="8"/>
    </row>
    <row r="2615" spans="1:28" s="4" customFormat="1" ht="51.95" customHeight="1">
      <c r="A2615" s="5">
        <v>0</v>
      </c>
      <c r="B2615" s="6" t="s">
        <v>15906</v>
      </c>
      <c r="C2615" s="7">
        <v>600</v>
      </c>
      <c r="D2615" s="8" t="s">
        <v>15907</v>
      </c>
      <c r="E2615" s="8" t="s">
        <v>15908</v>
      </c>
      <c r="F2615" s="8" t="s">
        <v>15909</v>
      </c>
      <c r="G2615" s="6" t="s">
        <v>38</v>
      </c>
      <c r="H2615" s="6" t="s">
        <v>53</v>
      </c>
      <c r="I2615" s="8" t="s">
        <v>3356</v>
      </c>
      <c r="J2615" s="9">
        <v>1</v>
      </c>
      <c r="K2615" s="9">
        <v>133</v>
      </c>
      <c r="L2615" s="9">
        <v>2023</v>
      </c>
      <c r="M2615" s="8" t="s">
        <v>15910</v>
      </c>
      <c r="N2615" s="8" t="s">
        <v>79</v>
      </c>
      <c r="O2615" s="8" t="s">
        <v>396</v>
      </c>
      <c r="P2615" s="6" t="s">
        <v>43</v>
      </c>
      <c r="Q2615" s="8" t="s">
        <v>214</v>
      </c>
      <c r="R2615" s="10" t="s">
        <v>5237</v>
      </c>
      <c r="S2615" s="11" t="s">
        <v>15911</v>
      </c>
      <c r="T2615" s="6"/>
      <c r="U2615" s="24" t="str">
        <f>HYPERLINK("https://media.infra-m.ru/1938/1938881/cover/1938881.jpg", "Обложка")</f>
        <v>Обложка</v>
      </c>
      <c r="V2615" s="12"/>
      <c r="W2615" s="8" t="s">
        <v>784</v>
      </c>
      <c r="X2615" s="6"/>
      <c r="Y2615" s="6"/>
      <c r="Z2615" s="6"/>
      <c r="AA2615" s="6" t="s">
        <v>151</v>
      </c>
      <c r="AB2615" s="8"/>
    </row>
    <row r="2616" spans="1:28" s="4" customFormat="1" ht="51.95" customHeight="1">
      <c r="A2616" s="5">
        <v>0</v>
      </c>
      <c r="B2616" s="6" t="s">
        <v>15912</v>
      </c>
      <c r="C2616" s="13">
        <v>1104</v>
      </c>
      <c r="D2616" s="8" t="s">
        <v>15913</v>
      </c>
      <c r="E2616" s="8" t="s">
        <v>15914</v>
      </c>
      <c r="F2616" s="8" t="s">
        <v>15915</v>
      </c>
      <c r="G2616" s="6" t="s">
        <v>52</v>
      </c>
      <c r="H2616" s="6" t="s">
        <v>39</v>
      </c>
      <c r="I2616" s="8" t="s">
        <v>90</v>
      </c>
      <c r="J2616" s="9">
        <v>1</v>
      </c>
      <c r="K2616" s="9">
        <v>240</v>
      </c>
      <c r="L2616" s="9">
        <v>2022</v>
      </c>
      <c r="M2616" s="8" t="s">
        <v>15916</v>
      </c>
      <c r="N2616" s="8" t="s">
        <v>79</v>
      </c>
      <c r="O2616" s="8" t="s">
        <v>570</v>
      </c>
      <c r="P2616" s="6" t="s">
        <v>43</v>
      </c>
      <c r="Q2616" s="8" t="s">
        <v>44</v>
      </c>
      <c r="R2616" s="10" t="s">
        <v>15917</v>
      </c>
      <c r="S2616" s="11" t="s">
        <v>15918</v>
      </c>
      <c r="T2616" s="6"/>
      <c r="U2616" s="24" t="str">
        <f>HYPERLINK("https://media.infra-m.ru/1846/1846456/cover/1846456.jpg", "Обложка")</f>
        <v>Обложка</v>
      </c>
      <c r="V2616" s="12"/>
      <c r="W2616" s="8" t="s">
        <v>662</v>
      </c>
      <c r="X2616" s="6"/>
      <c r="Y2616" s="6"/>
      <c r="Z2616" s="6"/>
      <c r="AA2616" s="6" t="s">
        <v>47</v>
      </c>
      <c r="AB2616" s="8"/>
    </row>
    <row r="2617" spans="1:28" s="4" customFormat="1" ht="51.95" customHeight="1">
      <c r="A2617" s="5">
        <v>0</v>
      </c>
      <c r="B2617" s="6" t="s">
        <v>15919</v>
      </c>
      <c r="C2617" s="13">
        <v>1744</v>
      </c>
      <c r="D2617" s="8" t="s">
        <v>15920</v>
      </c>
      <c r="E2617" s="8" t="s">
        <v>15921</v>
      </c>
      <c r="F2617" s="8" t="s">
        <v>15922</v>
      </c>
      <c r="G2617" s="6" t="s">
        <v>89</v>
      </c>
      <c r="H2617" s="6" t="s">
        <v>53</v>
      </c>
      <c r="I2617" s="8" t="s">
        <v>165</v>
      </c>
      <c r="J2617" s="9">
        <v>1</v>
      </c>
      <c r="K2617" s="9">
        <v>380</v>
      </c>
      <c r="L2617" s="9">
        <v>2024</v>
      </c>
      <c r="M2617" s="8" t="s">
        <v>15923</v>
      </c>
      <c r="N2617" s="8" t="s">
        <v>79</v>
      </c>
      <c r="O2617" s="8" t="s">
        <v>148</v>
      </c>
      <c r="P2617" s="6" t="s">
        <v>167</v>
      </c>
      <c r="Q2617" s="8" t="s">
        <v>44</v>
      </c>
      <c r="R2617" s="10" t="s">
        <v>15924</v>
      </c>
      <c r="S2617" s="11" t="s">
        <v>15925</v>
      </c>
      <c r="T2617" s="6"/>
      <c r="U2617" s="24" t="str">
        <f>HYPERLINK("https://media.infra-m.ru/2087/2087307/cover/2087307.jpg", "Обложка")</f>
        <v>Обложка</v>
      </c>
      <c r="V2617" s="24" t="str">
        <f>HYPERLINK("https://znanium.ru/catalog/product/1136796", "Ознакомиться")</f>
        <v>Ознакомиться</v>
      </c>
      <c r="W2617" s="8" t="s">
        <v>2938</v>
      </c>
      <c r="X2617" s="6"/>
      <c r="Y2617" s="6"/>
      <c r="Z2617" s="6"/>
      <c r="AA2617" s="6" t="s">
        <v>111</v>
      </c>
      <c r="AB2617" s="8"/>
    </row>
    <row r="2618" spans="1:28" s="4" customFormat="1" ht="51.95" customHeight="1">
      <c r="A2618" s="5">
        <v>0</v>
      </c>
      <c r="B2618" s="6" t="s">
        <v>15926</v>
      </c>
      <c r="C2618" s="7">
        <v>784</v>
      </c>
      <c r="D2618" s="8" t="s">
        <v>15927</v>
      </c>
      <c r="E2618" s="8" t="s">
        <v>15928</v>
      </c>
      <c r="F2618" s="8" t="s">
        <v>15929</v>
      </c>
      <c r="G2618" s="6" t="s">
        <v>38</v>
      </c>
      <c r="H2618" s="6" t="s">
        <v>53</v>
      </c>
      <c r="I2618" s="8" t="s">
        <v>90</v>
      </c>
      <c r="J2618" s="9">
        <v>1</v>
      </c>
      <c r="K2618" s="9">
        <v>170</v>
      </c>
      <c r="L2618" s="9">
        <v>2024</v>
      </c>
      <c r="M2618" s="8" t="s">
        <v>15930</v>
      </c>
      <c r="N2618" s="8" t="s">
        <v>79</v>
      </c>
      <c r="O2618" s="8" t="s">
        <v>396</v>
      </c>
      <c r="P2618" s="6" t="s">
        <v>167</v>
      </c>
      <c r="Q2618" s="8" t="s">
        <v>44</v>
      </c>
      <c r="R2618" s="10" t="s">
        <v>15931</v>
      </c>
      <c r="S2618" s="11" t="s">
        <v>15932</v>
      </c>
      <c r="T2618" s="6"/>
      <c r="U2618" s="24" t="str">
        <f>HYPERLINK("https://media.infra-m.ru/2125/2125127/cover/2125127.jpg", "Обложка")</f>
        <v>Обложка</v>
      </c>
      <c r="V2618" s="24" t="str">
        <f>HYPERLINK("https://znanium.ru/catalog/product/1220537", "Ознакомиться")</f>
        <v>Ознакомиться</v>
      </c>
      <c r="W2618" s="8" t="s">
        <v>8022</v>
      </c>
      <c r="X2618" s="6"/>
      <c r="Y2618" s="6"/>
      <c r="Z2618" s="6"/>
      <c r="AA2618" s="6" t="s">
        <v>418</v>
      </c>
      <c r="AB2618" s="8"/>
    </row>
    <row r="2619" spans="1:28" s="4" customFormat="1" ht="51.95" customHeight="1">
      <c r="A2619" s="5">
        <v>0</v>
      </c>
      <c r="B2619" s="6" t="s">
        <v>15933</v>
      </c>
      <c r="C2619" s="7">
        <v>890</v>
      </c>
      <c r="D2619" s="8" t="s">
        <v>15934</v>
      </c>
      <c r="E2619" s="8" t="s">
        <v>15935</v>
      </c>
      <c r="F2619" s="8" t="s">
        <v>15936</v>
      </c>
      <c r="G2619" s="6" t="s">
        <v>89</v>
      </c>
      <c r="H2619" s="6" t="s">
        <v>53</v>
      </c>
      <c r="I2619" s="8" t="s">
        <v>165</v>
      </c>
      <c r="J2619" s="9">
        <v>1</v>
      </c>
      <c r="K2619" s="9">
        <v>192</v>
      </c>
      <c r="L2619" s="9">
        <v>2024</v>
      </c>
      <c r="M2619" s="8" t="s">
        <v>15937</v>
      </c>
      <c r="N2619" s="8" t="s">
        <v>79</v>
      </c>
      <c r="O2619" s="8" t="s">
        <v>148</v>
      </c>
      <c r="P2619" s="6" t="s">
        <v>43</v>
      </c>
      <c r="Q2619" s="8" t="s">
        <v>44</v>
      </c>
      <c r="R2619" s="10" t="s">
        <v>13474</v>
      </c>
      <c r="S2619" s="11" t="s">
        <v>15938</v>
      </c>
      <c r="T2619" s="6"/>
      <c r="U2619" s="24" t="str">
        <f>HYPERLINK("https://media.infra-m.ru/2093/2093512/cover/2093512.jpg", "Обложка")</f>
        <v>Обложка</v>
      </c>
      <c r="V2619" s="24" t="str">
        <f>HYPERLINK("https://znanium.ru/catalog/product/2093512", "Ознакомиться")</f>
        <v>Ознакомиться</v>
      </c>
      <c r="W2619" s="8" t="s">
        <v>6558</v>
      </c>
      <c r="X2619" s="6"/>
      <c r="Y2619" s="6"/>
      <c r="Z2619" s="6"/>
      <c r="AA2619" s="6" t="s">
        <v>418</v>
      </c>
      <c r="AB2619" s="8"/>
    </row>
    <row r="2620" spans="1:28" s="4" customFormat="1" ht="42" customHeight="1">
      <c r="A2620" s="5">
        <v>0</v>
      </c>
      <c r="B2620" s="6" t="s">
        <v>15939</v>
      </c>
      <c r="C2620" s="7">
        <v>760</v>
      </c>
      <c r="D2620" s="8" t="s">
        <v>15940</v>
      </c>
      <c r="E2620" s="8" t="s">
        <v>15941</v>
      </c>
      <c r="F2620" s="8" t="s">
        <v>15942</v>
      </c>
      <c r="G2620" s="6" t="s">
        <v>89</v>
      </c>
      <c r="H2620" s="6" t="s">
        <v>77</v>
      </c>
      <c r="I2620" s="8" t="s">
        <v>77</v>
      </c>
      <c r="J2620" s="9">
        <v>1</v>
      </c>
      <c r="K2620" s="9">
        <v>167</v>
      </c>
      <c r="L2620" s="9">
        <v>2023</v>
      </c>
      <c r="M2620" s="8" t="s">
        <v>15943</v>
      </c>
      <c r="N2620" s="8" t="s">
        <v>79</v>
      </c>
      <c r="O2620" s="8" t="s">
        <v>396</v>
      </c>
      <c r="P2620" s="6" t="s">
        <v>43</v>
      </c>
      <c r="Q2620" s="8" t="s">
        <v>44</v>
      </c>
      <c r="R2620" s="10" t="s">
        <v>7643</v>
      </c>
      <c r="S2620" s="11"/>
      <c r="T2620" s="6" t="s">
        <v>299</v>
      </c>
      <c r="U2620" s="24" t="str">
        <f>HYPERLINK("https://media.infra-m.ru/1941/1941734/cover/1941734.jpg", "Обложка")</f>
        <v>Обложка</v>
      </c>
      <c r="V2620" s="24" t="str">
        <f>HYPERLINK("https://znanium.ru/catalog/product/1941734", "Ознакомиться")</f>
        <v>Ознакомиться</v>
      </c>
      <c r="W2620" s="8" t="s">
        <v>150</v>
      </c>
      <c r="X2620" s="6"/>
      <c r="Y2620" s="6"/>
      <c r="Z2620" s="6"/>
      <c r="AA2620" s="6" t="s">
        <v>111</v>
      </c>
      <c r="AB2620" s="8"/>
    </row>
    <row r="2621" spans="1:28" s="4" customFormat="1" ht="44.1" customHeight="1">
      <c r="A2621" s="5">
        <v>0</v>
      </c>
      <c r="B2621" s="6" t="s">
        <v>15944</v>
      </c>
      <c r="C2621" s="13">
        <v>1250</v>
      </c>
      <c r="D2621" s="8" t="s">
        <v>15945</v>
      </c>
      <c r="E2621" s="8" t="s">
        <v>15946</v>
      </c>
      <c r="F2621" s="8" t="s">
        <v>15947</v>
      </c>
      <c r="G2621" s="6" t="s">
        <v>52</v>
      </c>
      <c r="H2621" s="6" t="s">
        <v>53</v>
      </c>
      <c r="I2621" s="8" t="s">
        <v>116</v>
      </c>
      <c r="J2621" s="9">
        <v>1</v>
      </c>
      <c r="K2621" s="9">
        <v>220</v>
      </c>
      <c r="L2621" s="9">
        <v>2025</v>
      </c>
      <c r="M2621" s="8" t="s">
        <v>15948</v>
      </c>
      <c r="N2621" s="8" t="s">
        <v>79</v>
      </c>
      <c r="O2621" s="8" t="s">
        <v>537</v>
      </c>
      <c r="P2621" s="6" t="s">
        <v>43</v>
      </c>
      <c r="Q2621" s="8" t="s">
        <v>58</v>
      </c>
      <c r="R2621" s="10" t="s">
        <v>15949</v>
      </c>
      <c r="S2621" s="11"/>
      <c r="T2621" s="6"/>
      <c r="U2621" s="24" t="str">
        <f>HYPERLINK("https://media.infra-m.ru/2130/2130171/cover/2130171.jpg", "Обложка")</f>
        <v>Обложка</v>
      </c>
      <c r="V2621" s="24" t="str">
        <f>HYPERLINK("https://znanium.ru/catalog/product/2130171", "Ознакомиться")</f>
        <v>Ознакомиться</v>
      </c>
      <c r="W2621" s="8" t="s">
        <v>9885</v>
      </c>
      <c r="X2621" s="6" t="s">
        <v>226</v>
      </c>
      <c r="Y2621" s="6"/>
      <c r="Z2621" s="6"/>
      <c r="AA2621" s="6" t="s">
        <v>61</v>
      </c>
      <c r="AB2621" s="8"/>
    </row>
    <row r="2622" spans="1:28" s="4" customFormat="1" ht="51.95" customHeight="1">
      <c r="A2622" s="5">
        <v>0</v>
      </c>
      <c r="B2622" s="6" t="s">
        <v>15950</v>
      </c>
      <c r="C2622" s="7">
        <v>684</v>
      </c>
      <c r="D2622" s="8" t="s">
        <v>15951</v>
      </c>
      <c r="E2622" s="8" t="s">
        <v>15952</v>
      </c>
      <c r="F2622" s="8" t="s">
        <v>15953</v>
      </c>
      <c r="G2622" s="6" t="s">
        <v>38</v>
      </c>
      <c r="H2622" s="6" t="s">
        <v>39</v>
      </c>
      <c r="I2622" s="8" t="s">
        <v>90</v>
      </c>
      <c r="J2622" s="9">
        <v>1</v>
      </c>
      <c r="K2622" s="9">
        <v>127</v>
      </c>
      <c r="L2622" s="9">
        <v>2025</v>
      </c>
      <c r="M2622" s="8" t="s">
        <v>15954</v>
      </c>
      <c r="N2622" s="8" t="s">
        <v>79</v>
      </c>
      <c r="O2622" s="8" t="s">
        <v>396</v>
      </c>
      <c r="P2622" s="6" t="s">
        <v>43</v>
      </c>
      <c r="Q2622" s="8" t="s">
        <v>44</v>
      </c>
      <c r="R2622" s="10" t="s">
        <v>6409</v>
      </c>
      <c r="S2622" s="11" t="s">
        <v>15955</v>
      </c>
      <c r="T2622" s="6"/>
      <c r="U2622" s="24" t="str">
        <f>HYPERLINK("https://media.infra-m.ru/2194/2194330/cover/2194330.jpg", "Обложка")</f>
        <v>Обложка</v>
      </c>
      <c r="V2622" s="24" t="str">
        <f>HYPERLINK("https://znanium.ru/catalog/product/1938922", "Ознакомиться")</f>
        <v>Ознакомиться</v>
      </c>
      <c r="W2622" s="8" t="s">
        <v>10544</v>
      </c>
      <c r="X2622" s="6"/>
      <c r="Y2622" s="6"/>
      <c r="Z2622" s="6"/>
      <c r="AA2622" s="6" t="s">
        <v>47</v>
      </c>
      <c r="AB2622" s="8"/>
    </row>
    <row r="2623" spans="1:28" s="4" customFormat="1" ht="51.95" customHeight="1">
      <c r="A2623" s="5">
        <v>0</v>
      </c>
      <c r="B2623" s="6" t="s">
        <v>15956</v>
      </c>
      <c r="C2623" s="7">
        <v>574.9</v>
      </c>
      <c r="D2623" s="8" t="s">
        <v>15957</v>
      </c>
      <c r="E2623" s="8" t="s">
        <v>15952</v>
      </c>
      <c r="F2623" s="8" t="s">
        <v>15953</v>
      </c>
      <c r="G2623" s="6" t="s">
        <v>38</v>
      </c>
      <c r="H2623" s="6" t="s">
        <v>39</v>
      </c>
      <c r="I2623" s="8" t="s">
        <v>100</v>
      </c>
      <c r="J2623" s="9">
        <v>1</v>
      </c>
      <c r="K2623" s="9">
        <v>127</v>
      </c>
      <c r="L2623" s="9">
        <v>2023</v>
      </c>
      <c r="M2623" s="8" t="s">
        <v>15958</v>
      </c>
      <c r="N2623" s="8" t="s">
        <v>79</v>
      </c>
      <c r="O2623" s="8" t="s">
        <v>396</v>
      </c>
      <c r="P2623" s="6" t="s">
        <v>43</v>
      </c>
      <c r="Q2623" s="8" t="s">
        <v>102</v>
      </c>
      <c r="R2623" s="10" t="s">
        <v>15959</v>
      </c>
      <c r="S2623" s="11" t="s">
        <v>15960</v>
      </c>
      <c r="T2623" s="6"/>
      <c r="U2623" s="24" t="str">
        <f>HYPERLINK("https://media.infra-m.ru/2021/2021432/cover/2021432.jpg", "Обложка")</f>
        <v>Обложка</v>
      </c>
      <c r="V2623" s="24" t="str">
        <f>HYPERLINK("https://znanium.ru/catalog/product/1851654", "Ознакомиться")</f>
        <v>Ознакомиться</v>
      </c>
      <c r="W2623" s="8" t="s">
        <v>10544</v>
      </c>
      <c r="X2623" s="6"/>
      <c r="Y2623" s="6"/>
      <c r="Z2623" s="6" t="s">
        <v>104</v>
      </c>
      <c r="AA2623" s="6" t="s">
        <v>258</v>
      </c>
      <c r="AB2623" s="8"/>
    </row>
    <row r="2624" spans="1:28" s="4" customFormat="1" ht="51.95" customHeight="1">
      <c r="A2624" s="5">
        <v>0</v>
      </c>
      <c r="B2624" s="6" t="s">
        <v>15961</v>
      </c>
      <c r="C2624" s="13">
        <v>1240</v>
      </c>
      <c r="D2624" s="8" t="s">
        <v>15962</v>
      </c>
      <c r="E2624" s="8" t="s">
        <v>15963</v>
      </c>
      <c r="F2624" s="8" t="s">
        <v>15964</v>
      </c>
      <c r="G2624" s="6" t="s">
        <v>89</v>
      </c>
      <c r="H2624" s="6" t="s">
        <v>53</v>
      </c>
      <c r="I2624" s="8" t="s">
        <v>116</v>
      </c>
      <c r="J2624" s="9">
        <v>1</v>
      </c>
      <c r="K2624" s="9">
        <v>227</v>
      </c>
      <c r="L2624" s="9">
        <v>2025</v>
      </c>
      <c r="M2624" s="8" t="s">
        <v>15965</v>
      </c>
      <c r="N2624" s="8" t="s">
        <v>41</v>
      </c>
      <c r="O2624" s="8" t="s">
        <v>676</v>
      </c>
      <c r="P2624" s="6" t="s">
        <v>43</v>
      </c>
      <c r="Q2624" s="8" t="s">
        <v>279</v>
      </c>
      <c r="R2624" s="10" t="s">
        <v>15966</v>
      </c>
      <c r="S2624" s="11" t="s">
        <v>15967</v>
      </c>
      <c r="T2624" s="6"/>
      <c r="U2624" s="24" t="str">
        <f>HYPERLINK("https://media.infra-m.ru/2187/2187447/cover/2187447.jpg", "Обложка")</f>
        <v>Обложка</v>
      </c>
      <c r="V2624" s="24" t="str">
        <f>HYPERLINK("https://znanium.ru/catalog/product/2187447", "Ознакомиться")</f>
        <v>Ознакомиться</v>
      </c>
      <c r="W2624" s="8" t="s">
        <v>15968</v>
      </c>
      <c r="X2624" s="6"/>
      <c r="Y2624" s="6"/>
      <c r="Z2624" s="6"/>
      <c r="AA2624" s="6" t="s">
        <v>235</v>
      </c>
      <c r="AB2624" s="8"/>
    </row>
    <row r="2625" spans="1:28" s="4" customFormat="1" ht="42" customHeight="1">
      <c r="A2625" s="5">
        <v>0</v>
      </c>
      <c r="B2625" s="6" t="s">
        <v>15969</v>
      </c>
      <c r="C2625" s="7">
        <v>790</v>
      </c>
      <c r="D2625" s="8" t="s">
        <v>15970</v>
      </c>
      <c r="E2625" s="8" t="s">
        <v>15971</v>
      </c>
      <c r="F2625" s="8" t="s">
        <v>15972</v>
      </c>
      <c r="G2625" s="6" t="s">
        <v>89</v>
      </c>
      <c r="H2625" s="6" t="s">
        <v>184</v>
      </c>
      <c r="I2625" s="8"/>
      <c r="J2625" s="9">
        <v>1</v>
      </c>
      <c r="K2625" s="9">
        <v>174</v>
      </c>
      <c r="L2625" s="9">
        <v>2023</v>
      </c>
      <c r="M2625" s="8" t="s">
        <v>15973</v>
      </c>
      <c r="N2625" s="8" t="s">
        <v>41</v>
      </c>
      <c r="O2625" s="8" t="s">
        <v>1007</v>
      </c>
      <c r="P2625" s="6" t="s">
        <v>43</v>
      </c>
      <c r="Q2625" s="8" t="s">
        <v>44</v>
      </c>
      <c r="R2625" s="10" t="s">
        <v>15210</v>
      </c>
      <c r="S2625" s="11"/>
      <c r="T2625" s="6"/>
      <c r="U2625" s="24" t="str">
        <f>HYPERLINK("https://media.infra-m.ru/1931/1931484/cover/1931484.jpg", "Обложка")</f>
        <v>Обложка</v>
      </c>
      <c r="V2625" s="24" t="str">
        <f>HYPERLINK("https://znanium.ru/catalog/product/1931484", "Ознакомиться")</f>
        <v>Ознакомиться</v>
      </c>
      <c r="W2625" s="8" t="s">
        <v>1151</v>
      </c>
      <c r="X2625" s="6"/>
      <c r="Y2625" s="6"/>
      <c r="Z2625" s="6"/>
      <c r="AA2625" s="6" t="s">
        <v>151</v>
      </c>
      <c r="AB2625" s="8"/>
    </row>
    <row r="2626" spans="1:28" s="4" customFormat="1" ht="51.95" customHeight="1">
      <c r="A2626" s="5">
        <v>0</v>
      </c>
      <c r="B2626" s="6" t="s">
        <v>15974</v>
      </c>
      <c r="C2626" s="7">
        <v>534</v>
      </c>
      <c r="D2626" s="8" t="s">
        <v>15975</v>
      </c>
      <c r="E2626" s="8" t="s">
        <v>15976</v>
      </c>
      <c r="F2626" s="8" t="s">
        <v>15977</v>
      </c>
      <c r="G2626" s="6" t="s">
        <v>38</v>
      </c>
      <c r="H2626" s="6" t="s">
        <v>184</v>
      </c>
      <c r="I2626" s="8" t="s">
        <v>116</v>
      </c>
      <c r="J2626" s="9">
        <v>1</v>
      </c>
      <c r="K2626" s="9">
        <v>76</v>
      </c>
      <c r="L2626" s="9">
        <v>2023</v>
      </c>
      <c r="M2626" s="8" t="s">
        <v>15978</v>
      </c>
      <c r="N2626" s="8" t="s">
        <v>41</v>
      </c>
      <c r="O2626" s="8" t="s">
        <v>1007</v>
      </c>
      <c r="P2626" s="6" t="s">
        <v>43</v>
      </c>
      <c r="Q2626" s="8" t="s">
        <v>44</v>
      </c>
      <c r="R2626" s="10" t="s">
        <v>15979</v>
      </c>
      <c r="S2626" s="11" t="s">
        <v>15980</v>
      </c>
      <c r="T2626" s="6"/>
      <c r="U2626" s="24" t="str">
        <f>HYPERLINK("https://media.infra-m.ru/2115/2115325/cover/2115325.jpg", "Обложка")</f>
        <v>Обложка</v>
      </c>
      <c r="V2626" s="24" t="str">
        <f>HYPERLINK("https://znanium.ru/catalog/product/2115324", "Ознакомиться")</f>
        <v>Ознакомиться</v>
      </c>
      <c r="W2626" s="8" t="s">
        <v>3426</v>
      </c>
      <c r="X2626" s="6"/>
      <c r="Y2626" s="6"/>
      <c r="Z2626" s="6"/>
      <c r="AA2626" s="6" t="s">
        <v>2657</v>
      </c>
      <c r="AB2626" s="8"/>
    </row>
    <row r="2627" spans="1:28" s="4" customFormat="1" ht="51.95" customHeight="1">
      <c r="A2627" s="5">
        <v>0</v>
      </c>
      <c r="B2627" s="6" t="s">
        <v>15981</v>
      </c>
      <c r="C2627" s="7">
        <v>420</v>
      </c>
      <c r="D2627" s="8" t="s">
        <v>15982</v>
      </c>
      <c r="E2627" s="8" t="s">
        <v>15983</v>
      </c>
      <c r="F2627" s="8" t="s">
        <v>15977</v>
      </c>
      <c r="G2627" s="6" t="s">
        <v>38</v>
      </c>
      <c r="H2627" s="6" t="s">
        <v>184</v>
      </c>
      <c r="I2627" s="8" t="s">
        <v>90</v>
      </c>
      <c r="J2627" s="9">
        <v>1</v>
      </c>
      <c r="K2627" s="9">
        <v>87</v>
      </c>
      <c r="L2627" s="9">
        <v>2019</v>
      </c>
      <c r="M2627" s="8" t="s">
        <v>15984</v>
      </c>
      <c r="N2627" s="8" t="s">
        <v>41</v>
      </c>
      <c r="O2627" s="8" t="s">
        <v>1007</v>
      </c>
      <c r="P2627" s="6" t="s">
        <v>43</v>
      </c>
      <c r="Q2627" s="8" t="s">
        <v>44</v>
      </c>
      <c r="R2627" s="10" t="s">
        <v>15979</v>
      </c>
      <c r="S2627" s="11" t="s">
        <v>15980</v>
      </c>
      <c r="T2627" s="6" t="s">
        <v>299</v>
      </c>
      <c r="U2627" s="24" t="str">
        <f>HYPERLINK("https://media.infra-m.ru/1027/1027034/cover/1027034.jpg", "Обложка")</f>
        <v>Обложка</v>
      </c>
      <c r="V2627" s="24" t="str">
        <f>HYPERLINK("https://znanium.ru/catalog/product/2115324", "Ознакомиться")</f>
        <v>Ознакомиться</v>
      </c>
      <c r="W2627" s="8" t="s">
        <v>3426</v>
      </c>
      <c r="X2627" s="6"/>
      <c r="Y2627" s="6"/>
      <c r="Z2627" s="6"/>
      <c r="AA2627" s="6" t="s">
        <v>326</v>
      </c>
      <c r="AB2627" s="8"/>
    </row>
    <row r="2628" spans="1:28" s="4" customFormat="1" ht="51.95" customHeight="1">
      <c r="A2628" s="5">
        <v>0</v>
      </c>
      <c r="B2628" s="6" t="s">
        <v>15985</v>
      </c>
      <c r="C2628" s="7">
        <v>650</v>
      </c>
      <c r="D2628" s="8" t="s">
        <v>15986</v>
      </c>
      <c r="E2628" s="8" t="s">
        <v>15987</v>
      </c>
      <c r="F2628" s="8" t="s">
        <v>15988</v>
      </c>
      <c r="G2628" s="6" t="s">
        <v>38</v>
      </c>
      <c r="H2628" s="6" t="s">
        <v>184</v>
      </c>
      <c r="I2628" s="8"/>
      <c r="J2628" s="9">
        <v>1</v>
      </c>
      <c r="K2628" s="9">
        <v>128</v>
      </c>
      <c r="L2628" s="9">
        <v>2024</v>
      </c>
      <c r="M2628" s="8" t="s">
        <v>15989</v>
      </c>
      <c r="N2628" s="8" t="s">
        <v>41</v>
      </c>
      <c r="O2628" s="8" t="s">
        <v>1007</v>
      </c>
      <c r="P2628" s="6" t="s">
        <v>43</v>
      </c>
      <c r="Q2628" s="8" t="s">
        <v>102</v>
      </c>
      <c r="R2628" s="10" t="s">
        <v>15990</v>
      </c>
      <c r="S2628" s="11"/>
      <c r="T2628" s="6" t="s">
        <v>299</v>
      </c>
      <c r="U2628" s="24" t="str">
        <f>HYPERLINK("https://media.infra-m.ru/2068/2068173/cover/2068173.jpg", "Обложка")</f>
        <v>Обложка</v>
      </c>
      <c r="V2628" s="24" t="str">
        <f>HYPERLINK("https://znanium.ru/catalog/product/2068173", "Ознакомиться")</f>
        <v>Ознакомиться</v>
      </c>
      <c r="W2628" s="8" t="s">
        <v>3426</v>
      </c>
      <c r="X2628" s="6"/>
      <c r="Y2628" s="6"/>
      <c r="Z2628" s="6"/>
      <c r="AA2628" s="6" t="s">
        <v>105</v>
      </c>
      <c r="AB2628" s="8"/>
    </row>
    <row r="2629" spans="1:28" s="4" customFormat="1" ht="51.95" customHeight="1">
      <c r="A2629" s="5">
        <v>0</v>
      </c>
      <c r="B2629" s="6" t="s">
        <v>15991</v>
      </c>
      <c r="C2629" s="13">
        <v>1420</v>
      </c>
      <c r="D2629" s="8" t="s">
        <v>15992</v>
      </c>
      <c r="E2629" s="8" t="s">
        <v>15993</v>
      </c>
      <c r="F2629" s="8" t="s">
        <v>15994</v>
      </c>
      <c r="G2629" s="6" t="s">
        <v>89</v>
      </c>
      <c r="H2629" s="6" t="s">
        <v>53</v>
      </c>
      <c r="I2629" s="8" t="s">
        <v>100</v>
      </c>
      <c r="J2629" s="9">
        <v>1</v>
      </c>
      <c r="K2629" s="9">
        <v>272</v>
      </c>
      <c r="L2629" s="9">
        <v>2025</v>
      </c>
      <c r="M2629" s="8" t="s">
        <v>15995</v>
      </c>
      <c r="N2629" s="8" t="s">
        <v>41</v>
      </c>
      <c r="O2629" s="8" t="s">
        <v>1007</v>
      </c>
      <c r="P2629" s="6" t="s">
        <v>43</v>
      </c>
      <c r="Q2629" s="8" t="s">
        <v>102</v>
      </c>
      <c r="R2629" s="10" t="s">
        <v>15996</v>
      </c>
      <c r="S2629" s="11"/>
      <c r="T2629" s="6"/>
      <c r="U2629" s="24" t="str">
        <f>HYPERLINK("https://media.infra-m.ru/2118/2118693/cover/2118693.jpg", "Обложка")</f>
        <v>Обложка</v>
      </c>
      <c r="V2629" s="24" t="str">
        <f>HYPERLINK("https://znanium.ru/catalog/product/2118693", "Ознакомиться")</f>
        <v>Ознакомиться</v>
      </c>
      <c r="W2629" s="8" t="s">
        <v>947</v>
      </c>
      <c r="X2629" s="6" t="s">
        <v>2790</v>
      </c>
      <c r="Y2629" s="6"/>
      <c r="Z2629" s="6" t="s">
        <v>502</v>
      </c>
      <c r="AA2629" s="6" t="s">
        <v>818</v>
      </c>
      <c r="AB2629" s="8"/>
    </row>
    <row r="2630" spans="1:28" s="4" customFormat="1" ht="51.95" customHeight="1">
      <c r="A2630" s="5">
        <v>0</v>
      </c>
      <c r="B2630" s="6" t="s">
        <v>15997</v>
      </c>
      <c r="C2630" s="7">
        <v>450</v>
      </c>
      <c r="D2630" s="8" t="s">
        <v>15998</v>
      </c>
      <c r="E2630" s="8" t="s">
        <v>15999</v>
      </c>
      <c r="F2630" s="8" t="s">
        <v>15988</v>
      </c>
      <c r="G2630" s="6" t="s">
        <v>38</v>
      </c>
      <c r="H2630" s="6" t="s">
        <v>184</v>
      </c>
      <c r="I2630" s="8"/>
      <c r="J2630" s="9">
        <v>1</v>
      </c>
      <c r="K2630" s="9">
        <v>118</v>
      </c>
      <c r="L2630" s="9">
        <v>2020</v>
      </c>
      <c r="M2630" s="8" t="s">
        <v>16000</v>
      </c>
      <c r="N2630" s="8" t="s">
        <v>41</v>
      </c>
      <c r="O2630" s="8" t="s">
        <v>1007</v>
      </c>
      <c r="P2630" s="6" t="s">
        <v>43</v>
      </c>
      <c r="Q2630" s="8" t="s">
        <v>102</v>
      </c>
      <c r="R2630" s="10" t="s">
        <v>15990</v>
      </c>
      <c r="S2630" s="11"/>
      <c r="T2630" s="6" t="s">
        <v>299</v>
      </c>
      <c r="U2630" s="24" t="str">
        <f>HYPERLINK("https://media.infra-m.ru/1072/1072123/cover/1072123.jpg", "Обложка")</f>
        <v>Обложка</v>
      </c>
      <c r="V2630" s="24" t="str">
        <f>HYPERLINK("https://znanium.ru/catalog/product/2068173", "Ознакомиться")</f>
        <v>Ознакомиться</v>
      </c>
      <c r="W2630" s="8" t="s">
        <v>3426</v>
      </c>
      <c r="X2630" s="6"/>
      <c r="Y2630" s="6"/>
      <c r="Z2630" s="6"/>
      <c r="AA2630" s="6" t="s">
        <v>258</v>
      </c>
      <c r="AB2630" s="8"/>
    </row>
    <row r="2631" spans="1:28" s="4" customFormat="1" ht="51.95" customHeight="1">
      <c r="A2631" s="5">
        <v>0</v>
      </c>
      <c r="B2631" s="6" t="s">
        <v>16001</v>
      </c>
      <c r="C2631" s="13">
        <v>1110</v>
      </c>
      <c r="D2631" s="8" t="s">
        <v>16002</v>
      </c>
      <c r="E2631" s="8" t="s">
        <v>16003</v>
      </c>
      <c r="F2631" s="8" t="s">
        <v>15994</v>
      </c>
      <c r="G2631" s="6" t="s">
        <v>89</v>
      </c>
      <c r="H2631" s="6" t="s">
        <v>53</v>
      </c>
      <c r="I2631" s="8" t="s">
        <v>100</v>
      </c>
      <c r="J2631" s="9">
        <v>1</v>
      </c>
      <c r="K2631" s="9">
        <v>309</v>
      </c>
      <c r="L2631" s="9">
        <v>2021</v>
      </c>
      <c r="M2631" s="8" t="s">
        <v>16004</v>
      </c>
      <c r="N2631" s="8" t="s">
        <v>41</v>
      </c>
      <c r="O2631" s="8" t="s">
        <v>1007</v>
      </c>
      <c r="P2631" s="6" t="s">
        <v>43</v>
      </c>
      <c r="Q2631" s="8" t="s">
        <v>102</v>
      </c>
      <c r="R2631" s="10" t="s">
        <v>15996</v>
      </c>
      <c r="S2631" s="11" t="s">
        <v>16005</v>
      </c>
      <c r="T2631" s="6"/>
      <c r="U2631" s="24" t="str">
        <f>HYPERLINK("https://media.infra-m.ru/1168/1168490/cover/1168490.jpg", "Обложка")</f>
        <v>Обложка</v>
      </c>
      <c r="V2631" s="24" t="str">
        <f>HYPERLINK("https://znanium.ru/catalog/product/2118693", "Ознакомиться")</f>
        <v>Ознакомиться</v>
      </c>
      <c r="W2631" s="8" t="s">
        <v>947</v>
      </c>
      <c r="X2631" s="6"/>
      <c r="Y2631" s="6"/>
      <c r="Z2631" s="6" t="s">
        <v>502</v>
      </c>
      <c r="AA2631" s="6" t="s">
        <v>219</v>
      </c>
      <c r="AB2631" s="8"/>
    </row>
    <row r="2632" spans="1:28" s="4" customFormat="1" ht="51.95" customHeight="1">
      <c r="A2632" s="5">
        <v>0</v>
      </c>
      <c r="B2632" s="6" t="s">
        <v>16006</v>
      </c>
      <c r="C2632" s="13">
        <v>1090</v>
      </c>
      <c r="D2632" s="8" t="s">
        <v>16007</v>
      </c>
      <c r="E2632" s="8" t="s">
        <v>16008</v>
      </c>
      <c r="F2632" s="8" t="s">
        <v>15994</v>
      </c>
      <c r="G2632" s="6" t="s">
        <v>52</v>
      </c>
      <c r="H2632" s="6" t="s">
        <v>53</v>
      </c>
      <c r="I2632" s="8" t="s">
        <v>276</v>
      </c>
      <c r="J2632" s="9">
        <v>1</v>
      </c>
      <c r="K2632" s="9">
        <v>262</v>
      </c>
      <c r="L2632" s="9">
        <v>2022</v>
      </c>
      <c r="M2632" s="8" t="s">
        <v>16009</v>
      </c>
      <c r="N2632" s="8" t="s">
        <v>41</v>
      </c>
      <c r="O2632" s="8" t="s">
        <v>1007</v>
      </c>
      <c r="P2632" s="6" t="s">
        <v>43</v>
      </c>
      <c r="Q2632" s="8" t="s">
        <v>279</v>
      </c>
      <c r="R2632" s="10" t="s">
        <v>16010</v>
      </c>
      <c r="S2632" s="11" t="s">
        <v>16011</v>
      </c>
      <c r="T2632" s="6"/>
      <c r="U2632" s="24" t="str">
        <f>HYPERLINK("https://media.infra-m.ru/1413/1413930/cover/1413930.jpg", "Обложка")</f>
        <v>Обложка</v>
      </c>
      <c r="V2632" s="24" t="str">
        <f>HYPERLINK("https://znanium.ru/catalog/product/1413930", "Ознакомиться")</f>
        <v>Ознакомиться</v>
      </c>
      <c r="W2632" s="8" t="s">
        <v>947</v>
      </c>
      <c r="X2632" s="6"/>
      <c r="Y2632" s="6"/>
      <c r="Z2632" s="6"/>
      <c r="AA2632" s="6" t="s">
        <v>235</v>
      </c>
      <c r="AB2632" s="8"/>
    </row>
    <row r="2633" spans="1:28" s="4" customFormat="1" ht="51.95" customHeight="1">
      <c r="A2633" s="5">
        <v>0</v>
      </c>
      <c r="B2633" s="6" t="s">
        <v>16012</v>
      </c>
      <c r="C2633" s="13">
        <v>1394.9</v>
      </c>
      <c r="D2633" s="8" t="s">
        <v>16013</v>
      </c>
      <c r="E2633" s="8" t="s">
        <v>16008</v>
      </c>
      <c r="F2633" s="8" t="s">
        <v>15994</v>
      </c>
      <c r="G2633" s="6" t="s">
        <v>89</v>
      </c>
      <c r="H2633" s="6" t="s">
        <v>53</v>
      </c>
      <c r="I2633" s="8" t="s">
        <v>90</v>
      </c>
      <c r="J2633" s="9">
        <v>1</v>
      </c>
      <c r="K2633" s="9">
        <v>309</v>
      </c>
      <c r="L2633" s="9">
        <v>2023</v>
      </c>
      <c r="M2633" s="8" t="s">
        <v>16014</v>
      </c>
      <c r="N2633" s="8" t="s">
        <v>41</v>
      </c>
      <c r="O2633" s="8" t="s">
        <v>1007</v>
      </c>
      <c r="P2633" s="6" t="s">
        <v>43</v>
      </c>
      <c r="Q2633" s="8" t="s">
        <v>44</v>
      </c>
      <c r="R2633" s="10" t="s">
        <v>2461</v>
      </c>
      <c r="S2633" s="11" t="s">
        <v>16015</v>
      </c>
      <c r="T2633" s="6"/>
      <c r="U2633" s="24" t="str">
        <f>HYPERLINK("https://media.infra-m.ru/2006/2006036/cover/2006036.jpg", "Обложка")</f>
        <v>Обложка</v>
      </c>
      <c r="V2633" s="24" t="str">
        <f>HYPERLINK("https://znanium.ru/catalog/product/2118065", "Ознакомиться")</f>
        <v>Ознакомиться</v>
      </c>
      <c r="W2633" s="8" t="s">
        <v>947</v>
      </c>
      <c r="X2633" s="6"/>
      <c r="Y2633" s="6"/>
      <c r="Z2633" s="6"/>
      <c r="AA2633" s="6" t="s">
        <v>258</v>
      </c>
      <c r="AB2633" s="8"/>
    </row>
    <row r="2634" spans="1:28" s="4" customFormat="1" ht="42" customHeight="1">
      <c r="A2634" s="5">
        <v>0</v>
      </c>
      <c r="B2634" s="6" t="s">
        <v>16016</v>
      </c>
      <c r="C2634" s="13">
        <v>1400</v>
      </c>
      <c r="D2634" s="8" t="s">
        <v>16017</v>
      </c>
      <c r="E2634" s="8" t="s">
        <v>15993</v>
      </c>
      <c r="F2634" s="8" t="s">
        <v>15994</v>
      </c>
      <c r="G2634" s="6" t="s">
        <v>52</v>
      </c>
      <c r="H2634" s="6" t="s">
        <v>53</v>
      </c>
      <c r="I2634" s="8" t="s">
        <v>116</v>
      </c>
      <c r="J2634" s="9">
        <v>1</v>
      </c>
      <c r="K2634" s="9">
        <v>272</v>
      </c>
      <c r="L2634" s="9">
        <v>2025</v>
      </c>
      <c r="M2634" s="8" t="s">
        <v>16018</v>
      </c>
      <c r="N2634" s="8" t="s">
        <v>41</v>
      </c>
      <c r="O2634" s="8" t="s">
        <v>1007</v>
      </c>
      <c r="P2634" s="6" t="s">
        <v>43</v>
      </c>
      <c r="Q2634" s="8" t="s">
        <v>58</v>
      </c>
      <c r="R2634" s="10" t="s">
        <v>2461</v>
      </c>
      <c r="S2634" s="11"/>
      <c r="T2634" s="6"/>
      <c r="U2634" s="24" t="str">
        <f>HYPERLINK("https://media.infra-m.ru/2118/2118065/cover/2118065.jpg", "Обложка")</f>
        <v>Обложка</v>
      </c>
      <c r="V2634" s="24" t="str">
        <f>HYPERLINK("https://znanium.ru/catalog/product/2118065", "Ознакомиться")</f>
        <v>Ознакомиться</v>
      </c>
      <c r="W2634" s="8" t="s">
        <v>947</v>
      </c>
      <c r="X2634" s="6" t="s">
        <v>785</v>
      </c>
      <c r="Y2634" s="6"/>
      <c r="Z2634" s="6"/>
      <c r="AA2634" s="6" t="s">
        <v>818</v>
      </c>
      <c r="AB2634" s="8"/>
    </row>
    <row r="2635" spans="1:28" s="4" customFormat="1" ht="51.95" customHeight="1">
      <c r="A2635" s="5">
        <v>0</v>
      </c>
      <c r="B2635" s="6" t="s">
        <v>16019</v>
      </c>
      <c r="C2635" s="13">
        <v>1000</v>
      </c>
      <c r="D2635" s="8" t="s">
        <v>16020</v>
      </c>
      <c r="E2635" s="8" t="s">
        <v>16021</v>
      </c>
      <c r="F2635" s="8" t="s">
        <v>3370</v>
      </c>
      <c r="G2635" s="6" t="s">
        <v>89</v>
      </c>
      <c r="H2635" s="6" t="s">
        <v>184</v>
      </c>
      <c r="I2635" s="8" t="s">
        <v>116</v>
      </c>
      <c r="J2635" s="9">
        <v>1</v>
      </c>
      <c r="K2635" s="9">
        <v>208</v>
      </c>
      <c r="L2635" s="9">
        <v>2023</v>
      </c>
      <c r="M2635" s="8" t="s">
        <v>16022</v>
      </c>
      <c r="N2635" s="8" t="s">
        <v>41</v>
      </c>
      <c r="O2635" s="8" t="s">
        <v>1007</v>
      </c>
      <c r="P2635" s="6" t="s">
        <v>43</v>
      </c>
      <c r="Q2635" s="8" t="s">
        <v>44</v>
      </c>
      <c r="R2635" s="10" t="s">
        <v>9599</v>
      </c>
      <c r="S2635" s="11"/>
      <c r="T2635" s="6"/>
      <c r="U2635" s="24" t="str">
        <f>HYPERLINK("https://media.infra-m.ru/2124/2124948/cover/2124948.jpg", "Обложка")</f>
        <v>Обложка</v>
      </c>
      <c r="V2635" s="24" t="str">
        <f>HYPERLINK("https://znanium.ru/catalog/product/2115318", "Ознакомиться")</f>
        <v>Ознакомиться</v>
      </c>
      <c r="W2635" s="8"/>
      <c r="X2635" s="6"/>
      <c r="Y2635" s="6"/>
      <c r="Z2635" s="6"/>
      <c r="AA2635" s="6" t="s">
        <v>3922</v>
      </c>
      <c r="AB2635" s="8"/>
    </row>
    <row r="2636" spans="1:28" s="4" customFormat="1" ht="51.95" customHeight="1">
      <c r="A2636" s="5">
        <v>0</v>
      </c>
      <c r="B2636" s="6" t="s">
        <v>16023</v>
      </c>
      <c r="C2636" s="7">
        <v>374.9</v>
      </c>
      <c r="D2636" s="8" t="s">
        <v>16024</v>
      </c>
      <c r="E2636" s="8" t="s">
        <v>16025</v>
      </c>
      <c r="F2636" s="8" t="s">
        <v>16026</v>
      </c>
      <c r="G2636" s="6" t="s">
        <v>52</v>
      </c>
      <c r="H2636" s="6" t="s">
        <v>184</v>
      </c>
      <c r="I2636" s="8" t="s">
        <v>90</v>
      </c>
      <c r="J2636" s="9">
        <v>20</v>
      </c>
      <c r="K2636" s="9">
        <v>205</v>
      </c>
      <c r="L2636" s="9">
        <v>2016</v>
      </c>
      <c r="M2636" s="8" t="s">
        <v>16027</v>
      </c>
      <c r="N2636" s="8" t="s">
        <v>41</v>
      </c>
      <c r="O2636" s="8" t="s">
        <v>1007</v>
      </c>
      <c r="P2636" s="6" t="s">
        <v>43</v>
      </c>
      <c r="Q2636" s="8" t="s">
        <v>44</v>
      </c>
      <c r="R2636" s="10" t="s">
        <v>9599</v>
      </c>
      <c r="S2636" s="11"/>
      <c r="T2636" s="6"/>
      <c r="U2636" s="24" t="str">
        <f>HYPERLINK("https://media.infra-m.ru/0567/0567166/cover/567166.jpg", "Обложка")</f>
        <v>Обложка</v>
      </c>
      <c r="V2636" s="24" t="str">
        <f>HYPERLINK("https://znanium.ru/catalog/product/2115318", "Ознакомиться")</f>
        <v>Ознакомиться</v>
      </c>
      <c r="W2636" s="8"/>
      <c r="X2636" s="6"/>
      <c r="Y2636" s="6"/>
      <c r="Z2636" s="6"/>
      <c r="AA2636" s="6" t="s">
        <v>701</v>
      </c>
      <c r="AB2636" s="8"/>
    </row>
    <row r="2637" spans="1:28" s="4" customFormat="1" ht="51.95" customHeight="1">
      <c r="A2637" s="5">
        <v>0</v>
      </c>
      <c r="B2637" s="6" t="s">
        <v>16028</v>
      </c>
      <c r="C2637" s="13">
        <v>1080</v>
      </c>
      <c r="D2637" s="8" t="s">
        <v>16029</v>
      </c>
      <c r="E2637" s="8" t="s">
        <v>16030</v>
      </c>
      <c r="F2637" s="8" t="s">
        <v>15994</v>
      </c>
      <c r="G2637" s="6" t="s">
        <v>89</v>
      </c>
      <c r="H2637" s="6" t="s">
        <v>53</v>
      </c>
      <c r="I2637" s="8" t="s">
        <v>90</v>
      </c>
      <c r="J2637" s="9">
        <v>1</v>
      </c>
      <c r="K2637" s="9">
        <v>235</v>
      </c>
      <c r="L2637" s="9">
        <v>2023</v>
      </c>
      <c r="M2637" s="8" t="s">
        <v>16031</v>
      </c>
      <c r="N2637" s="8" t="s">
        <v>41</v>
      </c>
      <c r="O2637" s="8" t="s">
        <v>1007</v>
      </c>
      <c r="P2637" s="6" t="s">
        <v>167</v>
      </c>
      <c r="Q2637" s="8" t="s">
        <v>44</v>
      </c>
      <c r="R2637" s="10" t="s">
        <v>16032</v>
      </c>
      <c r="S2637" s="11" t="s">
        <v>16033</v>
      </c>
      <c r="T2637" s="6"/>
      <c r="U2637" s="24" t="str">
        <f>HYPERLINK("https://media.infra-m.ru/1931/1931498/cover/1931498.jpg", "Обложка")</f>
        <v>Обложка</v>
      </c>
      <c r="V2637" s="24" t="str">
        <f>HYPERLINK("https://znanium.ru/catalog/product/2122898", "Ознакомиться")</f>
        <v>Ознакомиться</v>
      </c>
      <c r="W2637" s="8" t="s">
        <v>947</v>
      </c>
      <c r="X2637" s="6"/>
      <c r="Y2637" s="6"/>
      <c r="Z2637" s="6"/>
      <c r="AA2637" s="6" t="s">
        <v>258</v>
      </c>
      <c r="AB2637" s="8"/>
    </row>
    <row r="2638" spans="1:28" s="4" customFormat="1" ht="44.1" customHeight="1">
      <c r="A2638" s="5">
        <v>0</v>
      </c>
      <c r="B2638" s="6" t="s">
        <v>16034</v>
      </c>
      <c r="C2638" s="13">
        <v>1200</v>
      </c>
      <c r="D2638" s="8" t="s">
        <v>16035</v>
      </c>
      <c r="E2638" s="8" t="s">
        <v>16036</v>
      </c>
      <c r="F2638" s="8" t="s">
        <v>15994</v>
      </c>
      <c r="G2638" s="6" t="s">
        <v>52</v>
      </c>
      <c r="H2638" s="6" t="s">
        <v>53</v>
      </c>
      <c r="I2638" s="8" t="s">
        <v>116</v>
      </c>
      <c r="J2638" s="9">
        <v>1</v>
      </c>
      <c r="K2638" s="9">
        <v>228</v>
      </c>
      <c r="L2638" s="9">
        <v>2025</v>
      </c>
      <c r="M2638" s="8" t="s">
        <v>16037</v>
      </c>
      <c r="N2638" s="8" t="s">
        <v>41</v>
      </c>
      <c r="O2638" s="8" t="s">
        <v>1007</v>
      </c>
      <c r="P2638" s="6" t="s">
        <v>167</v>
      </c>
      <c r="Q2638" s="8" t="s">
        <v>58</v>
      </c>
      <c r="R2638" s="10" t="s">
        <v>16032</v>
      </c>
      <c r="S2638" s="11"/>
      <c r="T2638" s="6"/>
      <c r="U2638" s="24" t="str">
        <f>HYPERLINK("https://media.infra-m.ru/2122/2122898/cover/2122898.jpg", "Обложка")</f>
        <v>Обложка</v>
      </c>
      <c r="V2638" s="24" t="str">
        <f>HYPERLINK("https://znanium.ru/catalog/product/2122898", "Ознакомиться")</f>
        <v>Ознакомиться</v>
      </c>
      <c r="W2638" s="8" t="s">
        <v>947</v>
      </c>
      <c r="X2638" s="6" t="s">
        <v>132</v>
      </c>
      <c r="Y2638" s="6"/>
      <c r="Z2638" s="6"/>
      <c r="AA2638" s="6" t="s">
        <v>549</v>
      </c>
      <c r="AB2638" s="8"/>
    </row>
    <row r="2639" spans="1:28" s="4" customFormat="1" ht="51.95" customHeight="1">
      <c r="A2639" s="5">
        <v>0</v>
      </c>
      <c r="B2639" s="6" t="s">
        <v>16038</v>
      </c>
      <c r="C2639" s="13">
        <v>1180</v>
      </c>
      <c r="D2639" s="8" t="s">
        <v>16039</v>
      </c>
      <c r="E2639" s="8" t="s">
        <v>16036</v>
      </c>
      <c r="F2639" s="8" t="s">
        <v>15994</v>
      </c>
      <c r="G2639" s="6" t="s">
        <v>89</v>
      </c>
      <c r="H2639" s="6" t="s">
        <v>53</v>
      </c>
      <c r="I2639" s="8" t="s">
        <v>100</v>
      </c>
      <c r="J2639" s="9">
        <v>1</v>
      </c>
      <c r="K2639" s="9">
        <v>228</v>
      </c>
      <c r="L2639" s="9">
        <v>2025</v>
      </c>
      <c r="M2639" s="8" t="s">
        <v>16040</v>
      </c>
      <c r="N2639" s="8" t="s">
        <v>41</v>
      </c>
      <c r="O2639" s="8" t="s">
        <v>1007</v>
      </c>
      <c r="P2639" s="6" t="s">
        <v>167</v>
      </c>
      <c r="Q2639" s="8" t="s">
        <v>102</v>
      </c>
      <c r="R2639" s="10" t="s">
        <v>16041</v>
      </c>
      <c r="S2639" s="11" t="s">
        <v>16042</v>
      </c>
      <c r="T2639" s="6"/>
      <c r="U2639" s="24" t="str">
        <f>HYPERLINK("https://media.infra-m.ru/2181/2181309/cover/2181309.jpg", "Обложка")</f>
        <v>Обложка</v>
      </c>
      <c r="V2639" s="24" t="str">
        <f>HYPERLINK("https://znanium.ru/catalog/product/2181309", "Ознакомиться")</f>
        <v>Ознакомиться</v>
      </c>
      <c r="W2639" s="8" t="s">
        <v>947</v>
      </c>
      <c r="X2639" s="6" t="s">
        <v>2790</v>
      </c>
      <c r="Y2639" s="6"/>
      <c r="Z2639" s="6" t="s">
        <v>502</v>
      </c>
      <c r="AA2639" s="6" t="s">
        <v>549</v>
      </c>
      <c r="AB2639" s="8"/>
    </row>
    <row r="2640" spans="1:28" s="4" customFormat="1" ht="51.95" customHeight="1">
      <c r="A2640" s="5">
        <v>0</v>
      </c>
      <c r="B2640" s="6" t="s">
        <v>16043</v>
      </c>
      <c r="C2640" s="13">
        <v>1090</v>
      </c>
      <c r="D2640" s="8" t="s">
        <v>16044</v>
      </c>
      <c r="E2640" s="8" t="s">
        <v>16030</v>
      </c>
      <c r="F2640" s="8" t="s">
        <v>15994</v>
      </c>
      <c r="G2640" s="6" t="s">
        <v>89</v>
      </c>
      <c r="H2640" s="6" t="s">
        <v>53</v>
      </c>
      <c r="I2640" s="8" t="s">
        <v>100</v>
      </c>
      <c r="J2640" s="9">
        <v>1</v>
      </c>
      <c r="K2640" s="9">
        <v>235</v>
      </c>
      <c r="L2640" s="9">
        <v>2024</v>
      </c>
      <c r="M2640" s="8" t="s">
        <v>16045</v>
      </c>
      <c r="N2640" s="8" t="s">
        <v>41</v>
      </c>
      <c r="O2640" s="8" t="s">
        <v>1007</v>
      </c>
      <c r="P2640" s="6" t="s">
        <v>167</v>
      </c>
      <c r="Q2640" s="8" t="s">
        <v>102</v>
      </c>
      <c r="R2640" s="10" t="s">
        <v>16041</v>
      </c>
      <c r="S2640" s="11" t="s">
        <v>16042</v>
      </c>
      <c r="T2640" s="6"/>
      <c r="U2640" s="24" t="str">
        <f>HYPERLINK("https://media.infra-m.ru/1981/1981652/cover/1981652.jpg", "Обложка")</f>
        <v>Обложка</v>
      </c>
      <c r="V2640" s="24" t="str">
        <f>HYPERLINK("https://znanium.ru/catalog/product/2181309", "Ознакомиться")</f>
        <v>Ознакомиться</v>
      </c>
      <c r="W2640" s="8" t="s">
        <v>947</v>
      </c>
      <c r="X2640" s="6"/>
      <c r="Y2640" s="6"/>
      <c r="Z2640" s="6" t="s">
        <v>502</v>
      </c>
      <c r="AA2640" s="6" t="s">
        <v>219</v>
      </c>
      <c r="AB2640" s="8"/>
    </row>
    <row r="2641" spans="1:28" s="4" customFormat="1" ht="51.95" customHeight="1">
      <c r="A2641" s="5">
        <v>0</v>
      </c>
      <c r="B2641" s="6" t="s">
        <v>16046</v>
      </c>
      <c r="C2641" s="13">
        <v>2450</v>
      </c>
      <c r="D2641" s="8" t="s">
        <v>16047</v>
      </c>
      <c r="E2641" s="8" t="s">
        <v>16030</v>
      </c>
      <c r="F2641" s="8" t="s">
        <v>16048</v>
      </c>
      <c r="G2641" s="6" t="s">
        <v>52</v>
      </c>
      <c r="H2641" s="6" t="s">
        <v>53</v>
      </c>
      <c r="I2641" s="8" t="s">
        <v>90</v>
      </c>
      <c r="J2641" s="9">
        <v>1</v>
      </c>
      <c r="K2641" s="9">
        <v>531</v>
      </c>
      <c r="L2641" s="9">
        <v>2024</v>
      </c>
      <c r="M2641" s="8" t="s">
        <v>16049</v>
      </c>
      <c r="N2641" s="8" t="s">
        <v>41</v>
      </c>
      <c r="O2641" s="8" t="s">
        <v>1007</v>
      </c>
      <c r="P2641" s="6" t="s">
        <v>167</v>
      </c>
      <c r="Q2641" s="8" t="s">
        <v>44</v>
      </c>
      <c r="R2641" s="10" t="s">
        <v>16050</v>
      </c>
      <c r="S2641" s="11" t="s">
        <v>16051</v>
      </c>
      <c r="T2641" s="6" t="s">
        <v>299</v>
      </c>
      <c r="U2641" s="24" t="str">
        <f>HYPERLINK("https://media.infra-m.ru/2111/2111811/cover/2111811.jpg", "Обложка")</f>
        <v>Обложка</v>
      </c>
      <c r="V2641" s="24" t="str">
        <f>HYPERLINK("https://znanium.ru/catalog/product/2111811", "Ознакомиться")</f>
        <v>Ознакомиться</v>
      </c>
      <c r="W2641" s="8"/>
      <c r="X2641" s="6"/>
      <c r="Y2641" s="6"/>
      <c r="Z2641" s="6"/>
      <c r="AA2641" s="6" t="s">
        <v>151</v>
      </c>
      <c r="AB2641" s="8"/>
    </row>
    <row r="2642" spans="1:28" s="4" customFormat="1" ht="51.95" customHeight="1">
      <c r="A2642" s="5">
        <v>0</v>
      </c>
      <c r="B2642" s="6" t="s">
        <v>16052</v>
      </c>
      <c r="C2642" s="13">
        <v>2034</v>
      </c>
      <c r="D2642" s="8" t="s">
        <v>16053</v>
      </c>
      <c r="E2642" s="8" t="s">
        <v>16030</v>
      </c>
      <c r="F2642" s="8" t="s">
        <v>16054</v>
      </c>
      <c r="G2642" s="6" t="s">
        <v>89</v>
      </c>
      <c r="H2642" s="6" t="s">
        <v>77</v>
      </c>
      <c r="I2642" s="8" t="s">
        <v>100</v>
      </c>
      <c r="J2642" s="9">
        <v>1</v>
      </c>
      <c r="K2642" s="9">
        <v>391</v>
      </c>
      <c r="L2642" s="9">
        <v>2024</v>
      </c>
      <c r="M2642" s="8" t="s">
        <v>16055</v>
      </c>
      <c r="N2642" s="8" t="s">
        <v>41</v>
      </c>
      <c r="O2642" s="8" t="s">
        <v>1007</v>
      </c>
      <c r="P2642" s="6" t="s">
        <v>43</v>
      </c>
      <c r="Q2642" s="8" t="s">
        <v>102</v>
      </c>
      <c r="R2642" s="10" t="s">
        <v>16056</v>
      </c>
      <c r="S2642" s="11" t="s">
        <v>16057</v>
      </c>
      <c r="T2642" s="6"/>
      <c r="U2642" s="24" t="str">
        <f>HYPERLINK("https://media.infra-m.ru/2110/2110490/cover/2110490.jpg", "Обложка")</f>
        <v>Обложка</v>
      </c>
      <c r="V2642" s="24" t="str">
        <f>HYPERLINK("https://znanium.ru/catalog/product/1029672", "Ознакомиться")</f>
        <v>Ознакомиться</v>
      </c>
      <c r="W2642" s="8" t="s">
        <v>83</v>
      </c>
      <c r="X2642" s="6"/>
      <c r="Y2642" s="6"/>
      <c r="Z2642" s="6" t="s">
        <v>104</v>
      </c>
      <c r="AA2642" s="6" t="s">
        <v>258</v>
      </c>
      <c r="AB2642" s="8"/>
    </row>
    <row r="2643" spans="1:28" s="4" customFormat="1" ht="51.95" customHeight="1">
      <c r="A2643" s="5">
        <v>0</v>
      </c>
      <c r="B2643" s="6" t="s">
        <v>16058</v>
      </c>
      <c r="C2643" s="13">
        <v>1800</v>
      </c>
      <c r="D2643" s="8" t="s">
        <v>16059</v>
      </c>
      <c r="E2643" s="8" t="s">
        <v>16030</v>
      </c>
      <c r="F2643" s="8" t="s">
        <v>16054</v>
      </c>
      <c r="G2643" s="6" t="s">
        <v>89</v>
      </c>
      <c r="H2643" s="6" t="s">
        <v>77</v>
      </c>
      <c r="I2643" s="8" t="s">
        <v>16060</v>
      </c>
      <c r="J2643" s="9">
        <v>1</v>
      </c>
      <c r="K2643" s="9">
        <v>391</v>
      </c>
      <c r="L2643" s="9">
        <v>2023</v>
      </c>
      <c r="M2643" s="8" t="s">
        <v>16061</v>
      </c>
      <c r="N2643" s="8" t="s">
        <v>41</v>
      </c>
      <c r="O2643" s="8" t="s">
        <v>1007</v>
      </c>
      <c r="P2643" s="6" t="s">
        <v>43</v>
      </c>
      <c r="Q2643" s="8" t="s">
        <v>44</v>
      </c>
      <c r="R2643" s="10" t="s">
        <v>15210</v>
      </c>
      <c r="S2643" s="11" t="s">
        <v>16062</v>
      </c>
      <c r="T2643" s="6"/>
      <c r="U2643" s="24" t="str">
        <f>HYPERLINK("https://media.infra-m.ru/2124/2124354/cover/2124354.jpg", "Обложка")</f>
        <v>Обложка</v>
      </c>
      <c r="V2643" s="24" t="str">
        <f>HYPERLINK("https://znanium.ru/catalog/product/2124354", "Ознакомиться")</f>
        <v>Ознакомиться</v>
      </c>
      <c r="W2643" s="8" t="s">
        <v>83</v>
      </c>
      <c r="X2643" s="6"/>
      <c r="Y2643" s="6"/>
      <c r="Z2643" s="6"/>
      <c r="AA2643" s="6" t="s">
        <v>151</v>
      </c>
      <c r="AB2643" s="8"/>
    </row>
    <row r="2644" spans="1:28" s="4" customFormat="1" ht="51.95" customHeight="1">
      <c r="A2644" s="5">
        <v>0</v>
      </c>
      <c r="B2644" s="6" t="s">
        <v>16063</v>
      </c>
      <c r="C2644" s="13">
        <v>1150</v>
      </c>
      <c r="D2644" s="8" t="s">
        <v>16064</v>
      </c>
      <c r="E2644" s="8" t="s">
        <v>16030</v>
      </c>
      <c r="F2644" s="8" t="s">
        <v>16065</v>
      </c>
      <c r="G2644" s="6" t="s">
        <v>89</v>
      </c>
      <c r="H2644" s="6" t="s">
        <v>53</v>
      </c>
      <c r="I2644" s="8" t="s">
        <v>100</v>
      </c>
      <c r="J2644" s="9">
        <v>1</v>
      </c>
      <c r="K2644" s="9">
        <v>249</v>
      </c>
      <c r="L2644" s="9">
        <v>2024</v>
      </c>
      <c r="M2644" s="8" t="s">
        <v>16066</v>
      </c>
      <c r="N2644" s="8" t="s">
        <v>41</v>
      </c>
      <c r="O2644" s="8" t="s">
        <v>1007</v>
      </c>
      <c r="P2644" s="6" t="s">
        <v>43</v>
      </c>
      <c r="Q2644" s="8" t="s">
        <v>102</v>
      </c>
      <c r="R2644" s="10" t="s">
        <v>16056</v>
      </c>
      <c r="S2644" s="11" t="s">
        <v>16067</v>
      </c>
      <c r="T2644" s="6" t="s">
        <v>299</v>
      </c>
      <c r="U2644" s="24" t="str">
        <f>HYPERLINK("https://media.infra-m.ru/2096/2096329/cover/2096329.jpg", "Обложка")</f>
        <v>Обложка</v>
      </c>
      <c r="V2644" s="24" t="str">
        <f>HYPERLINK("https://znanium.ru/catalog/product/2096329", "Ознакомиться")</f>
        <v>Ознакомиться</v>
      </c>
      <c r="W2644" s="8" t="s">
        <v>637</v>
      </c>
      <c r="X2644" s="6"/>
      <c r="Y2644" s="6"/>
      <c r="Z2644" s="6" t="s">
        <v>104</v>
      </c>
      <c r="AA2644" s="6" t="s">
        <v>793</v>
      </c>
      <c r="AB2644" s="8"/>
    </row>
    <row r="2645" spans="1:28" s="4" customFormat="1" ht="51.95" customHeight="1">
      <c r="A2645" s="5">
        <v>0</v>
      </c>
      <c r="B2645" s="6" t="s">
        <v>16068</v>
      </c>
      <c r="C2645" s="13">
        <v>1280</v>
      </c>
      <c r="D2645" s="8" t="s">
        <v>16069</v>
      </c>
      <c r="E2645" s="8" t="s">
        <v>16030</v>
      </c>
      <c r="F2645" s="8" t="s">
        <v>16070</v>
      </c>
      <c r="G2645" s="6" t="s">
        <v>52</v>
      </c>
      <c r="H2645" s="6" t="s">
        <v>53</v>
      </c>
      <c r="I2645" s="8" t="s">
        <v>116</v>
      </c>
      <c r="J2645" s="9">
        <v>1</v>
      </c>
      <c r="K2645" s="9">
        <v>244</v>
      </c>
      <c r="L2645" s="9">
        <v>2025</v>
      </c>
      <c r="M2645" s="8" t="s">
        <v>16071</v>
      </c>
      <c r="N2645" s="8" t="s">
        <v>41</v>
      </c>
      <c r="O2645" s="8" t="s">
        <v>1007</v>
      </c>
      <c r="P2645" s="6" t="s">
        <v>43</v>
      </c>
      <c r="Q2645" s="8" t="s">
        <v>58</v>
      </c>
      <c r="R2645" s="10" t="s">
        <v>16072</v>
      </c>
      <c r="S2645" s="11"/>
      <c r="T2645" s="6"/>
      <c r="U2645" s="24" t="str">
        <f>HYPERLINK("https://media.infra-m.ru/2116/2116158/cover/2116158.jpg", "Обложка")</f>
        <v>Обложка</v>
      </c>
      <c r="V2645" s="24" t="str">
        <f>HYPERLINK("https://znanium.ru/catalog/product/2116158", "Ознакомиться")</f>
        <v>Ознакомиться</v>
      </c>
      <c r="W2645" s="8" t="s">
        <v>3226</v>
      </c>
      <c r="X2645" s="6" t="s">
        <v>785</v>
      </c>
      <c r="Y2645" s="6"/>
      <c r="Z2645" s="6"/>
      <c r="AA2645" s="6" t="s">
        <v>61</v>
      </c>
      <c r="AB2645" s="8"/>
    </row>
    <row r="2646" spans="1:28" s="4" customFormat="1" ht="42" customHeight="1">
      <c r="A2646" s="5">
        <v>0</v>
      </c>
      <c r="B2646" s="6" t="s">
        <v>16073</v>
      </c>
      <c r="C2646" s="13">
        <v>1470</v>
      </c>
      <c r="D2646" s="8" t="s">
        <v>16074</v>
      </c>
      <c r="E2646" s="8" t="s">
        <v>16075</v>
      </c>
      <c r="F2646" s="8" t="s">
        <v>16076</v>
      </c>
      <c r="G2646" s="6" t="s">
        <v>52</v>
      </c>
      <c r="H2646" s="6" t="s">
        <v>952</v>
      </c>
      <c r="I2646" s="8"/>
      <c r="J2646" s="9">
        <v>1</v>
      </c>
      <c r="K2646" s="9">
        <v>432</v>
      </c>
      <c r="L2646" s="9">
        <v>2020</v>
      </c>
      <c r="M2646" s="8" t="s">
        <v>16077</v>
      </c>
      <c r="N2646" s="8" t="s">
        <v>41</v>
      </c>
      <c r="O2646" s="8" t="s">
        <v>1007</v>
      </c>
      <c r="P2646" s="6" t="s">
        <v>167</v>
      </c>
      <c r="Q2646" s="8" t="s">
        <v>279</v>
      </c>
      <c r="R2646" s="10" t="s">
        <v>16078</v>
      </c>
      <c r="S2646" s="11"/>
      <c r="T2646" s="6"/>
      <c r="U2646" s="24" t="str">
        <f>HYPERLINK("https://media.infra-m.ru/1124/1124347/cover/1124347.jpg", "Обложка")</f>
        <v>Обложка</v>
      </c>
      <c r="V2646" s="24" t="str">
        <f>HYPERLINK("https://znanium.ru/catalog/product/1124347", "Ознакомиться")</f>
        <v>Ознакомиться</v>
      </c>
      <c r="W2646" s="8" t="s">
        <v>83</v>
      </c>
      <c r="X2646" s="6"/>
      <c r="Y2646" s="6"/>
      <c r="Z2646" s="6"/>
      <c r="AA2646" s="6" t="s">
        <v>151</v>
      </c>
      <c r="AB2646" s="8"/>
    </row>
    <row r="2647" spans="1:28" s="4" customFormat="1" ht="51.95" customHeight="1">
      <c r="A2647" s="5">
        <v>0</v>
      </c>
      <c r="B2647" s="6" t="s">
        <v>16079</v>
      </c>
      <c r="C2647" s="7">
        <v>350</v>
      </c>
      <c r="D2647" s="8" t="s">
        <v>16080</v>
      </c>
      <c r="E2647" s="8" t="s">
        <v>16081</v>
      </c>
      <c r="F2647" s="8" t="s">
        <v>16082</v>
      </c>
      <c r="G2647" s="6" t="s">
        <v>38</v>
      </c>
      <c r="H2647" s="6" t="s">
        <v>674</v>
      </c>
      <c r="I2647" s="8"/>
      <c r="J2647" s="9">
        <v>1</v>
      </c>
      <c r="K2647" s="9">
        <v>112</v>
      </c>
      <c r="L2647" s="9">
        <v>2019</v>
      </c>
      <c r="M2647" s="8" t="s">
        <v>16083</v>
      </c>
      <c r="N2647" s="8" t="s">
        <v>41</v>
      </c>
      <c r="O2647" s="8" t="s">
        <v>1007</v>
      </c>
      <c r="P2647" s="6" t="s">
        <v>43</v>
      </c>
      <c r="Q2647" s="8" t="s">
        <v>44</v>
      </c>
      <c r="R2647" s="10" t="s">
        <v>16084</v>
      </c>
      <c r="S2647" s="11"/>
      <c r="T2647" s="6"/>
      <c r="U2647" s="24" t="str">
        <f>HYPERLINK("https://media.infra-m.ru/1008/1008624/cover/1008624.jpg", "Обложка")</f>
        <v>Обложка</v>
      </c>
      <c r="V2647" s="24" t="str">
        <f>HYPERLINK("https://znanium.ru/catalog/product/2082010", "Ознакомиться")</f>
        <v>Ознакомиться</v>
      </c>
      <c r="W2647" s="8" t="s">
        <v>792</v>
      </c>
      <c r="X2647" s="6"/>
      <c r="Y2647" s="6"/>
      <c r="Z2647" s="6"/>
      <c r="AA2647" s="6" t="s">
        <v>258</v>
      </c>
      <c r="AB2647" s="8"/>
    </row>
    <row r="2648" spans="1:28" s="4" customFormat="1" ht="44.1" customHeight="1">
      <c r="A2648" s="5">
        <v>0</v>
      </c>
      <c r="B2648" s="6" t="s">
        <v>16085</v>
      </c>
      <c r="C2648" s="13">
        <v>1114</v>
      </c>
      <c r="D2648" s="8" t="s">
        <v>16086</v>
      </c>
      <c r="E2648" s="8" t="s">
        <v>16087</v>
      </c>
      <c r="F2648" s="8" t="s">
        <v>16088</v>
      </c>
      <c r="G2648" s="6" t="s">
        <v>38</v>
      </c>
      <c r="H2648" s="6" t="s">
        <v>77</v>
      </c>
      <c r="I2648" s="8" t="s">
        <v>7953</v>
      </c>
      <c r="J2648" s="9">
        <v>1</v>
      </c>
      <c r="K2648" s="9">
        <v>246</v>
      </c>
      <c r="L2648" s="9">
        <v>2023</v>
      </c>
      <c r="M2648" s="8" t="s">
        <v>16089</v>
      </c>
      <c r="N2648" s="8" t="s">
        <v>41</v>
      </c>
      <c r="O2648" s="8" t="s">
        <v>1007</v>
      </c>
      <c r="P2648" s="6" t="s">
        <v>1046</v>
      </c>
      <c r="Q2648" s="8" t="s">
        <v>279</v>
      </c>
      <c r="R2648" s="10" t="s">
        <v>16090</v>
      </c>
      <c r="S2648" s="11"/>
      <c r="T2648" s="6"/>
      <c r="U2648" s="24" t="str">
        <f>HYPERLINK("https://media.infra-m.ru/2006/2006026/cover/2006026.jpg", "Обложка")</f>
        <v>Обложка</v>
      </c>
      <c r="V2648" s="24" t="str">
        <f>HYPERLINK("https://znanium.ru/catalog/product/923498", "Ознакомиться")</f>
        <v>Ознакомиться</v>
      </c>
      <c r="W2648" s="8" t="s">
        <v>83</v>
      </c>
      <c r="X2648" s="6"/>
      <c r="Y2648" s="6"/>
      <c r="Z2648" s="6"/>
      <c r="AA2648" s="6" t="s">
        <v>442</v>
      </c>
      <c r="AB2648" s="8" t="s">
        <v>271</v>
      </c>
    </row>
    <row r="2649" spans="1:28" s="4" customFormat="1" ht="42" customHeight="1">
      <c r="A2649" s="5">
        <v>0</v>
      </c>
      <c r="B2649" s="6" t="s">
        <v>16091</v>
      </c>
      <c r="C2649" s="7">
        <v>454.9</v>
      </c>
      <c r="D2649" s="8" t="s">
        <v>16092</v>
      </c>
      <c r="E2649" s="8" t="s">
        <v>16093</v>
      </c>
      <c r="F2649" s="8" t="s">
        <v>16094</v>
      </c>
      <c r="G2649" s="6" t="s">
        <v>38</v>
      </c>
      <c r="H2649" s="6" t="s">
        <v>952</v>
      </c>
      <c r="I2649" s="8"/>
      <c r="J2649" s="9">
        <v>1</v>
      </c>
      <c r="K2649" s="9">
        <v>152</v>
      </c>
      <c r="L2649" s="9">
        <v>2019</v>
      </c>
      <c r="M2649" s="8" t="s">
        <v>16095</v>
      </c>
      <c r="N2649" s="8" t="s">
        <v>41</v>
      </c>
      <c r="O2649" s="8" t="s">
        <v>1007</v>
      </c>
      <c r="P2649" s="6" t="s">
        <v>43</v>
      </c>
      <c r="Q2649" s="8" t="s">
        <v>44</v>
      </c>
      <c r="R2649" s="10" t="s">
        <v>2684</v>
      </c>
      <c r="S2649" s="11"/>
      <c r="T2649" s="6"/>
      <c r="U2649" s="24" t="str">
        <f>HYPERLINK("https://media.infra-m.ru/1014/1014758/cover/1014758.jpg", "Обложка")</f>
        <v>Обложка</v>
      </c>
      <c r="V2649" s="24" t="str">
        <f>HYPERLINK("https://znanium.ru/catalog/product/1014758", "Ознакомиться")</f>
        <v>Ознакомиться</v>
      </c>
      <c r="W2649" s="8" t="s">
        <v>83</v>
      </c>
      <c r="X2649" s="6"/>
      <c r="Y2649" s="6"/>
      <c r="Z2649" s="6"/>
      <c r="AA2649" s="6" t="s">
        <v>84</v>
      </c>
      <c r="AB2649" s="8"/>
    </row>
    <row r="2650" spans="1:28" s="4" customFormat="1" ht="42" customHeight="1">
      <c r="A2650" s="5">
        <v>0</v>
      </c>
      <c r="B2650" s="6" t="s">
        <v>16096</v>
      </c>
      <c r="C2650" s="13">
        <v>1700</v>
      </c>
      <c r="D2650" s="8" t="s">
        <v>16097</v>
      </c>
      <c r="E2650" s="8" t="s">
        <v>16098</v>
      </c>
      <c r="F2650" s="8" t="s">
        <v>16099</v>
      </c>
      <c r="G2650" s="6" t="s">
        <v>89</v>
      </c>
      <c r="H2650" s="6" t="s">
        <v>184</v>
      </c>
      <c r="I2650" s="8"/>
      <c r="J2650" s="9">
        <v>1</v>
      </c>
      <c r="K2650" s="9">
        <v>583</v>
      </c>
      <c r="L2650" s="9">
        <v>2018</v>
      </c>
      <c r="M2650" s="8" t="s">
        <v>16100</v>
      </c>
      <c r="N2650" s="8" t="s">
        <v>41</v>
      </c>
      <c r="O2650" s="8" t="s">
        <v>1007</v>
      </c>
      <c r="P2650" s="6" t="s">
        <v>167</v>
      </c>
      <c r="Q2650" s="8" t="s">
        <v>279</v>
      </c>
      <c r="R2650" s="10" t="s">
        <v>1356</v>
      </c>
      <c r="S2650" s="11"/>
      <c r="T2650" s="6" t="s">
        <v>299</v>
      </c>
      <c r="U2650" s="24" t="str">
        <f>HYPERLINK("https://media.infra-m.ru/0981/0981404/cover/981404.jpg", "Обложка")</f>
        <v>Обложка</v>
      </c>
      <c r="V2650" s="24" t="str">
        <f>HYPERLINK("https://znanium.ru/catalog/product/981404", "Ознакомиться")</f>
        <v>Ознакомиться</v>
      </c>
      <c r="W2650" s="8" t="s">
        <v>234</v>
      </c>
      <c r="X2650" s="6"/>
      <c r="Y2650" s="6"/>
      <c r="Z2650" s="6"/>
      <c r="AA2650" s="6" t="s">
        <v>418</v>
      </c>
      <c r="AB2650" s="8"/>
    </row>
    <row r="2651" spans="1:28" s="4" customFormat="1" ht="42" customHeight="1">
      <c r="A2651" s="5">
        <v>0</v>
      </c>
      <c r="B2651" s="6" t="s">
        <v>16101</v>
      </c>
      <c r="C2651" s="7">
        <v>754</v>
      </c>
      <c r="D2651" s="8" t="s">
        <v>16102</v>
      </c>
      <c r="E2651" s="8" t="s">
        <v>16103</v>
      </c>
      <c r="F2651" s="8" t="s">
        <v>16104</v>
      </c>
      <c r="G2651" s="6" t="s">
        <v>38</v>
      </c>
      <c r="H2651" s="6" t="s">
        <v>53</v>
      </c>
      <c r="I2651" s="8" t="s">
        <v>90</v>
      </c>
      <c r="J2651" s="9">
        <v>1</v>
      </c>
      <c r="K2651" s="9">
        <v>164</v>
      </c>
      <c r="L2651" s="9">
        <v>2024</v>
      </c>
      <c r="M2651" s="8" t="s">
        <v>16105</v>
      </c>
      <c r="N2651" s="8" t="s">
        <v>41</v>
      </c>
      <c r="O2651" s="8" t="s">
        <v>1007</v>
      </c>
      <c r="P2651" s="6" t="s">
        <v>43</v>
      </c>
      <c r="Q2651" s="8" t="s">
        <v>44</v>
      </c>
      <c r="R2651" s="10" t="s">
        <v>1008</v>
      </c>
      <c r="S2651" s="11"/>
      <c r="T2651" s="6"/>
      <c r="U2651" s="24" t="str">
        <f>HYPERLINK("https://media.infra-m.ru/2084/2084849/cover/2084849.jpg", "Обложка")</f>
        <v>Обложка</v>
      </c>
      <c r="V2651" s="24" t="str">
        <f>HYPERLINK("https://znanium.ru/catalog/product/2084849", "Ознакомиться")</f>
        <v>Ознакомиться</v>
      </c>
      <c r="W2651" s="8" t="s">
        <v>354</v>
      </c>
      <c r="X2651" s="6"/>
      <c r="Y2651" s="6"/>
      <c r="Z2651" s="6"/>
      <c r="AA2651" s="6" t="s">
        <v>494</v>
      </c>
      <c r="AB2651" s="8"/>
    </row>
    <row r="2652" spans="1:28" s="4" customFormat="1" ht="42" customHeight="1">
      <c r="A2652" s="5">
        <v>0</v>
      </c>
      <c r="B2652" s="6" t="s">
        <v>16106</v>
      </c>
      <c r="C2652" s="13">
        <v>2324</v>
      </c>
      <c r="D2652" s="8" t="s">
        <v>16107</v>
      </c>
      <c r="E2652" s="8" t="s">
        <v>16108</v>
      </c>
      <c r="F2652" s="8" t="s">
        <v>16109</v>
      </c>
      <c r="G2652" s="6" t="s">
        <v>52</v>
      </c>
      <c r="H2652" s="6" t="s">
        <v>952</v>
      </c>
      <c r="I2652" s="8"/>
      <c r="J2652" s="9">
        <v>1</v>
      </c>
      <c r="K2652" s="9">
        <v>448</v>
      </c>
      <c r="L2652" s="9">
        <v>2025</v>
      </c>
      <c r="M2652" s="8" t="s">
        <v>16110</v>
      </c>
      <c r="N2652" s="8" t="s">
        <v>41</v>
      </c>
      <c r="O2652" s="8" t="s">
        <v>1007</v>
      </c>
      <c r="P2652" s="6" t="s">
        <v>167</v>
      </c>
      <c r="Q2652" s="8" t="s">
        <v>279</v>
      </c>
      <c r="R2652" s="10" t="s">
        <v>16111</v>
      </c>
      <c r="S2652" s="11"/>
      <c r="T2652" s="6"/>
      <c r="U2652" s="24" t="str">
        <f>HYPERLINK("https://media.infra-m.ru/2192/2192771/cover/2192771.jpg", "Обложка")</f>
        <v>Обложка</v>
      </c>
      <c r="V2652" s="24" t="str">
        <f>HYPERLINK("https://znanium.ru/catalog/product/1073458", "Ознакомиться")</f>
        <v>Ознакомиться</v>
      </c>
      <c r="W2652" s="8" t="s">
        <v>83</v>
      </c>
      <c r="X2652" s="6"/>
      <c r="Y2652" s="6"/>
      <c r="Z2652" s="6"/>
      <c r="AA2652" s="6" t="s">
        <v>258</v>
      </c>
      <c r="AB2652" s="8"/>
    </row>
    <row r="2653" spans="1:28" s="4" customFormat="1" ht="51.95" customHeight="1">
      <c r="A2653" s="5">
        <v>0</v>
      </c>
      <c r="B2653" s="6" t="s">
        <v>16112</v>
      </c>
      <c r="C2653" s="13">
        <v>1190</v>
      </c>
      <c r="D2653" s="8" t="s">
        <v>16113</v>
      </c>
      <c r="E2653" s="8" t="s">
        <v>16114</v>
      </c>
      <c r="F2653" s="8" t="s">
        <v>16115</v>
      </c>
      <c r="G2653" s="6" t="s">
        <v>52</v>
      </c>
      <c r="H2653" s="6" t="s">
        <v>53</v>
      </c>
      <c r="I2653" s="8" t="s">
        <v>116</v>
      </c>
      <c r="J2653" s="9">
        <v>1</v>
      </c>
      <c r="K2653" s="9">
        <v>254</v>
      </c>
      <c r="L2653" s="9">
        <v>2023</v>
      </c>
      <c r="M2653" s="8" t="s">
        <v>16116</v>
      </c>
      <c r="N2653" s="8" t="s">
        <v>41</v>
      </c>
      <c r="O2653" s="8" t="s">
        <v>1007</v>
      </c>
      <c r="P2653" s="6" t="s">
        <v>167</v>
      </c>
      <c r="Q2653" s="8" t="s">
        <v>44</v>
      </c>
      <c r="R2653" s="10" t="s">
        <v>16117</v>
      </c>
      <c r="S2653" s="11"/>
      <c r="T2653" s="6"/>
      <c r="U2653" s="24" t="str">
        <f>HYPERLINK("https://media.infra-m.ru/1860/1860997/cover/1860997.jpg", "Обложка")</f>
        <v>Обложка</v>
      </c>
      <c r="V2653" s="24" t="str">
        <f>HYPERLINK("https://znanium.ru/catalog/product/1860997", "Ознакомиться")</f>
        <v>Ознакомиться</v>
      </c>
      <c r="W2653" s="8" t="s">
        <v>83</v>
      </c>
      <c r="X2653" s="6"/>
      <c r="Y2653" s="6"/>
      <c r="Z2653" s="6"/>
      <c r="AA2653" s="6" t="s">
        <v>207</v>
      </c>
      <c r="AB2653" s="8"/>
    </row>
    <row r="2654" spans="1:28" s="4" customFormat="1" ht="42" customHeight="1">
      <c r="A2654" s="5">
        <v>0</v>
      </c>
      <c r="B2654" s="6" t="s">
        <v>16118</v>
      </c>
      <c r="C2654" s="13">
        <v>1420</v>
      </c>
      <c r="D2654" s="8" t="s">
        <v>16119</v>
      </c>
      <c r="E2654" s="8" t="s">
        <v>16120</v>
      </c>
      <c r="F2654" s="8" t="s">
        <v>16121</v>
      </c>
      <c r="G2654" s="6" t="s">
        <v>89</v>
      </c>
      <c r="H2654" s="6" t="s">
        <v>952</v>
      </c>
      <c r="I2654" s="8"/>
      <c r="J2654" s="9">
        <v>1</v>
      </c>
      <c r="K2654" s="9">
        <v>416</v>
      </c>
      <c r="L2654" s="9">
        <v>2020</v>
      </c>
      <c r="M2654" s="8" t="s">
        <v>16122</v>
      </c>
      <c r="N2654" s="8" t="s">
        <v>41</v>
      </c>
      <c r="O2654" s="8" t="s">
        <v>1007</v>
      </c>
      <c r="P2654" s="6" t="s">
        <v>167</v>
      </c>
      <c r="Q2654" s="8" t="s">
        <v>44</v>
      </c>
      <c r="R2654" s="10" t="s">
        <v>15210</v>
      </c>
      <c r="S2654" s="11"/>
      <c r="T2654" s="6"/>
      <c r="U2654" s="24" t="str">
        <f>HYPERLINK("https://media.infra-m.ru/1047/1047314/cover/1047314.jpg", "Обложка")</f>
        <v>Обложка</v>
      </c>
      <c r="V2654" s="24" t="str">
        <f>HYPERLINK("https://znanium.ru/catalog/product/1047314", "Ознакомиться")</f>
        <v>Ознакомиться</v>
      </c>
      <c r="W2654" s="8" t="s">
        <v>83</v>
      </c>
      <c r="X2654" s="6"/>
      <c r="Y2654" s="6"/>
      <c r="Z2654" s="6"/>
      <c r="AA2654" s="6" t="s">
        <v>442</v>
      </c>
      <c r="AB2654" s="8"/>
    </row>
    <row r="2655" spans="1:28" s="4" customFormat="1" ht="51.95" customHeight="1">
      <c r="A2655" s="5">
        <v>0</v>
      </c>
      <c r="B2655" s="6" t="s">
        <v>16123</v>
      </c>
      <c r="C2655" s="7">
        <v>310</v>
      </c>
      <c r="D2655" s="8" t="s">
        <v>16124</v>
      </c>
      <c r="E2655" s="8" t="s">
        <v>16125</v>
      </c>
      <c r="F2655" s="8" t="s">
        <v>16126</v>
      </c>
      <c r="G2655" s="6" t="s">
        <v>16127</v>
      </c>
      <c r="H2655" s="6" t="s">
        <v>674</v>
      </c>
      <c r="I2655" s="8"/>
      <c r="J2655" s="9">
        <v>1</v>
      </c>
      <c r="K2655" s="9">
        <v>36</v>
      </c>
      <c r="L2655" s="9">
        <v>2024</v>
      </c>
      <c r="M2655" s="8" t="s">
        <v>16128</v>
      </c>
      <c r="N2655" s="8" t="s">
        <v>41</v>
      </c>
      <c r="O2655" s="8" t="s">
        <v>676</v>
      </c>
      <c r="P2655" s="6" t="s">
        <v>43</v>
      </c>
      <c r="Q2655" s="8" t="s">
        <v>44</v>
      </c>
      <c r="R2655" s="10" t="s">
        <v>16129</v>
      </c>
      <c r="S2655" s="11"/>
      <c r="T2655" s="6"/>
      <c r="U2655" s="24" t="str">
        <f>HYPERLINK("https://media.infra-m.ru/1854/1854791/cover/1854791.jpg", "Обложка")</f>
        <v>Обложка</v>
      </c>
      <c r="V2655" s="24" t="str">
        <f>HYPERLINK("https://znanium.ru/catalog/product/1854791", "Ознакомиться")</f>
        <v>Ознакомиться</v>
      </c>
      <c r="W2655" s="8" t="s">
        <v>792</v>
      </c>
      <c r="X2655" s="6"/>
      <c r="Y2655" s="6"/>
      <c r="Z2655" s="6"/>
      <c r="AA2655" s="6" t="s">
        <v>258</v>
      </c>
      <c r="AB2655" s="8"/>
    </row>
    <row r="2656" spans="1:28" s="4" customFormat="1" ht="42" customHeight="1">
      <c r="A2656" s="5">
        <v>0</v>
      </c>
      <c r="B2656" s="6" t="s">
        <v>16130</v>
      </c>
      <c r="C2656" s="13">
        <v>1489.9</v>
      </c>
      <c r="D2656" s="8" t="s">
        <v>16131</v>
      </c>
      <c r="E2656" s="8" t="s">
        <v>16132</v>
      </c>
      <c r="F2656" s="8" t="s">
        <v>16133</v>
      </c>
      <c r="G2656" s="6" t="s">
        <v>52</v>
      </c>
      <c r="H2656" s="6" t="s">
        <v>674</v>
      </c>
      <c r="I2656" s="8"/>
      <c r="J2656" s="9">
        <v>1</v>
      </c>
      <c r="K2656" s="9">
        <v>388</v>
      </c>
      <c r="L2656" s="9">
        <v>2022</v>
      </c>
      <c r="M2656" s="8" t="s">
        <v>16134</v>
      </c>
      <c r="N2656" s="8" t="s">
        <v>41</v>
      </c>
      <c r="O2656" s="8" t="s">
        <v>676</v>
      </c>
      <c r="P2656" s="6" t="s">
        <v>167</v>
      </c>
      <c r="Q2656" s="8" t="s">
        <v>279</v>
      </c>
      <c r="R2656" s="10" t="s">
        <v>9872</v>
      </c>
      <c r="S2656" s="11"/>
      <c r="T2656" s="6"/>
      <c r="U2656" s="24" t="str">
        <f>HYPERLINK("https://media.infra-m.ru/1842/1842504/cover/1842504.jpg", "Обложка")</f>
        <v>Обложка</v>
      </c>
      <c r="V2656" s="24" t="str">
        <f>HYPERLINK("https://znanium.ru/catalog/product/1842504", "Ознакомиться")</f>
        <v>Ознакомиться</v>
      </c>
      <c r="W2656" s="8" t="s">
        <v>947</v>
      </c>
      <c r="X2656" s="6"/>
      <c r="Y2656" s="6"/>
      <c r="Z2656" s="6"/>
      <c r="AA2656" s="6" t="s">
        <v>235</v>
      </c>
      <c r="AB2656" s="8"/>
    </row>
    <row r="2657" spans="1:28" s="4" customFormat="1" ht="51.95" customHeight="1">
      <c r="A2657" s="5">
        <v>0</v>
      </c>
      <c r="B2657" s="6" t="s">
        <v>16135</v>
      </c>
      <c r="C2657" s="7">
        <v>310</v>
      </c>
      <c r="D2657" s="8" t="s">
        <v>16136</v>
      </c>
      <c r="E2657" s="8" t="s">
        <v>16137</v>
      </c>
      <c r="F2657" s="8" t="s">
        <v>16138</v>
      </c>
      <c r="G2657" s="6" t="s">
        <v>38</v>
      </c>
      <c r="H2657" s="6" t="s">
        <v>674</v>
      </c>
      <c r="I2657" s="8"/>
      <c r="J2657" s="9">
        <v>1</v>
      </c>
      <c r="K2657" s="9">
        <v>52</v>
      </c>
      <c r="L2657" s="9">
        <v>2023</v>
      </c>
      <c r="M2657" s="8" t="s">
        <v>16139</v>
      </c>
      <c r="N2657" s="8" t="s">
        <v>41</v>
      </c>
      <c r="O2657" s="8" t="s">
        <v>676</v>
      </c>
      <c r="P2657" s="6" t="s">
        <v>187</v>
      </c>
      <c r="Q2657" s="8" t="s">
        <v>44</v>
      </c>
      <c r="R2657" s="10" t="s">
        <v>677</v>
      </c>
      <c r="S2657" s="11"/>
      <c r="T2657" s="6"/>
      <c r="U2657" s="24" t="str">
        <f>HYPERLINK("https://media.infra-m.ru/1965/1965740/cover/1965740.jpg", "Обложка")</f>
        <v>Обложка</v>
      </c>
      <c r="V2657" s="24" t="str">
        <f>HYPERLINK("https://znanium.ru/catalog/product/1965740", "Ознакомиться")</f>
        <v>Ознакомиться</v>
      </c>
      <c r="W2657" s="8" t="s">
        <v>792</v>
      </c>
      <c r="X2657" s="6"/>
      <c r="Y2657" s="6"/>
      <c r="Z2657" s="6"/>
      <c r="AA2657" s="6" t="s">
        <v>258</v>
      </c>
      <c r="AB2657" s="8"/>
    </row>
    <row r="2658" spans="1:28" s="4" customFormat="1" ht="51.95" customHeight="1">
      <c r="A2658" s="5">
        <v>0</v>
      </c>
      <c r="B2658" s="6" t="s">
        <v>16140</v>
      </c>
      <c r="C2658" s="13">
        <v>1160</v>
      </c>
      <c r="D2658" s="8" t="s">
        <v>16141</v>
      </c>
      <c r="E2658" s="8" t="s">
        <v>16142</v>
      </c>
      <c r="F2658" s="8" t="s">
        <v>16143</v>
      </c>
      <c r="G2658" s="6" t="s">
        <v>52</v>
      </c>
      <c r="H2658" s="6" t="s">
        <v>674</v>
      </c>
      <c r="I2658" s="8"/>
      <c r="J2658" s="9">
        <v>1</v>
      </c>
      <c r="K2658" s="9">
        <v>240</v>
      </c>
      <c r="L2658" s="9">
        <v>2024</v>
      </c>
      <c r="M2658" s="8" t="s">
        <v>16144</v>
      </c>
      <c r="N2658" s="8" t="s">
        <v>41</v>
      </c>
      <c r="O2658" s="8" t="s">
        <v>676</v>
      </c>
      <c r="P2658" s="6" t="s">
        <v>167</v>
      </c>
      <c r="Q2658" s="8" t="s">
        <v>58</v>
      </c>
      <c r="R2658" s="10" t="s">
        <v>2736</v>
      </c>
      <c r="S2658" s="11"/>
      <c r="T2658" s="6"/>
      <c r="U2658" s="24" t="str">
        <f>HYPERLINK("https://media.infra-m.ru/2090/2090013/cover/2090013.jpg", "Обложка")</f>
        <v>Обложка</v>
      </c>
      <c r="V2658" s="24" t="str">
        <f>HYPERLINK("https://znanium.ru/catalog/product/2090013", "Ознакомиться")</f>
        <v>Ознакомиться</v>
      </c>
      <c r="W2658" s="8"/>
      <c r="X2658" s="6"/>
      <c r="Y2658" s="6"/>
      <c r="Z2658" s="6"/>
      <c r="AA2658" s="6" t="s">
        <v>133</v>
      </c>
      <c r="AB2658" s="8"/>
    </row>
    <row r="2659" spans="1:28" s="4" customFormat="1" ht="42" customHeight="1">
      <c r="A2659" s="5">
        <v>0</v>
      </c>
      <c r="B2659" s="6" t="s">
        <v>16145</v>
      </c>
      <c r="C2659" s="7">
        <v>760</v>
      </c>
      <c r="D2659" s="8" t="s">
        <v>16146</v>
      </c>
      <c r="E2659" s="8" t="s">
        <v>16147</v>
      </c>
      <c r="F2659" s="8" t="s">
        <v>16126</v>
      </c>
      <c r="G2659" s="6" t="s">
        <v>52</v>
      </c>
      <c r="H2659" s="6" t="s">
        <v>674</v>
      </c>
      <c r="I2659" s="8" t="s">
        <v>100</v>
      </c>
      <c r="J2659" s="9">
        <v>1</v>
      </c>
      <c r="K2659" s="9">
        <v>152</v>
      </c>
      <c r="L2659" s="9">
        <v>2024</v>
      </c>
      <c r="M2659" s="8" t="s">
        <v>16148</v>
      </c>
      <c r="N2659" s="8" t="s">
        <v>41</v>
      </c>
      <c r="O2659" s="8" t="s">
        <v>676</v>
      </c>
      <c r="P2659" s="6" t="s">
        <v>167</v>
      </c>
      <c r="Q2659" s="8" t="s">
        <v>102</v>
      </c>
      <c r="R2659" s="10" t="s">
        <v>256</v>
      </c>
      <c r="S2659" s="11"/>
      <c r="T2659" s="6"/>
      <c r="U2659" s="24" t="str">
        <f>HYPERLINK("https://media.infra-m.ru/2082/2082008/cover/2082008.jpg", "Обложка")</f>
        <v>Обложка</v>
      </c>
      <c r="V2659" s="24" t="str">
        <f>HYPERLINK("https://znanium.ru/catalog/product/2082008", "Ознакомиться")</f>
        <v>Ознакомиться</v>
      </c>
      <c r="W2659" s="8" t="s">
        <v>792</v>
      </c>
      <c r="X2659" s="6"/>
      <c r="Y2659" s="6"/>
      <c r="Z2659" s="6"/>
      <c r="AA2659" s="6" t="s">
        <v>105</v>
      </c>
      <c r="AB2659" s="8"/>
    </row>
    <row r="2660" spans="1:28" s="4" customFormat="1" ht="42" customHeight="1">
      <c r="A2660" s="5">
        <v>0</v>
      </c>
      <c r="B2660" s="6" t="s">
        <v>16149</v>
      </c>
      <c r="C2660" s="7">
        <v>684.9</v>
      </c>
      <c r="D2660" s="8" t="s">
        <v>16150</v>
      </c>
      <c r="E2660" s="8" t="s">
        <v>16142</v>
      </c>
      <c r="F2660" s="8" t="s">
        <v>16126</v>
      </c>
      <c r="G2660" s="6" t="s">
        <v>52</v>
      </c>
      <c r="H2660" s="6" t="s">
        <v>674</v>
      </c>
      <c r="I2660" s="8" t="s">
        <v>100</v>
      </c>
      <c r="J2660" s="9">
        <v>1</v>
      </c>
      <c r="K2660" s="9">
        <v>152</v>
      </c>
      <c r="L2660" s="9">
        <v>2023</v>
      </c>
      <c r="M2660" s="8" t="s">
        <v>16151</v>
      </c>
      <c r="N2660" s="8" t="s">
        <v>41</v>
      </c>
      <c r="O2660" s="8" t="s">
        <v>676</v>
      </c>
      <c r="P2660" s="6" t="s">
        <v>167</v>
      </c>
      <c r="Q2660" s="8" t="s">
        <v>102</v>
      </c>
      <c r="R2660" s="10" t="s">
        <v>256</v>
      </c>
      <c r="S2660" s="11"/>
      <c r="T2660" s="6"/>
      <c r="U2660" s="24" t="str">
        <f>HYPERLINK("https://media.infra-m.ru/1920/1920322/cover/1920322.jpg", "Обложка")</f>
        <v>Обложка</v>
      </c>
      <c r="V2660" s="24" t="str">
        <f>HYPERLINK("https://znanium.ru/catalog/product/2082008", "Ознакомиться")</f>
        <v>Ознакомиться</v>
      </c>
      <c r="W2660" s="8" t="s">
        <v>792</v>
      </c>
      <c r="X2660" s="6"/>
      <c r="Y2660" s="6"/>
      <c r="Z2660" s="6"/>
      <c r="AA2660" s="6" t="s">
        <v>258</v>
      </c>
      <c r="AB2660" s="8"/>
    </row>
    <row r="2661" spans="1:28" s="4" customFormat="1" ht="51.95" customHeight="1">
      <c r="A2661" s="5">
        <v>0</v>
      </c>
      <c r="B2661" s="6" t="s">
        <v>16152</v>
      </c>
      <c r="C2661" s="13">
        <v>1030</v>
      </c>
      <c r="D2661" s="8" t="s">
        <v>16153</v>
      </c>
      <c r="E2661" s="8" t="s">
        <v>16142</v>
      </c>
      <c r="F2661" s="8" t="s">
        <v>16154</v>
      </c>
      <c r="G2661" s="6" t="s">
        <v>89</v>
      </c>
      <c r="H2661" s="6" t="s">
        <v>184</v>
      </c>
      <c r="I2661" s="8" t="s">
        <v>116</v>
      </c>
      <c r="J2661" s="9">
        <v>1</v>
      </c>
      <c r="K2661" s="9">
        <v>206</v>
      </c>
      <c r="L2661" s="9">
        <v>2025</v>
      </c>
      <c r="M2661" s="8" t="s">
        <v>16155</v>
      </c>
      <c r="N2661" s="8" t="s">
        <v>41</v>
      </c>
      <c r="O2661" s="8" t="s">
        <v>676</v>
      </c>
      <c r="P2661" s="6" t="s">
        <v>43</v>
      </c>
      <c r="Q2661" s="8" t="s">
        <v>214</v>
      </c>
      <c r="R2661" s="10" t="s">
        <v>677</v>
      </c>
      <c r="S2661" s="11"/>
      <c r="T2661" s="6"/>
      <c r="U2661" s="24" t="str">
        <f>HYPERLINK("https://media.infra-m.ru/2173/2173385/cover/2173385.jpg", "Обложка")</f>
        <v>Обложка</v>
      </c>
      <c r="V2661" s="24" t="str">
        <f>HYPERLINK("https://znanium.ru/catalog/product/2173385", "Ознакомиться")</f>
        <v>Ознакомиться</v>
      </c>
      <c r="W2661" s="8" t="s">
        <v>4153</v>
      </c>
      <c r="X2661" s="6"/>
      <c r="Y2661" s="6"/>
      <c r="Z2661" s="6"/>
      <c r="AA2661" s="6" t="s">
        <v>793</v>
      </c>
      <c r="AB2661" s="8"/>
    </row>
    <row r="2662" spans="1:28" s="4" customFormat="1" ht="51.95" customHeight="1">
      <c r="A2662" s="5">
        <v>0</v>
      </c>
      <c r="B2662" s="6" t="s">
        <v>16156</v>
      </c>
      <c r="C2662" s="13">
        <v>1174</v>
      </c>
      <c r="D2662" s="8" t="s">
        <v>16157</v>
      </c>
      <c r="E2662" s="8" t="s">
        <v>16158</v>
      </c>
      <c r="F2662" s="8" t="s">
        <v>16159</v>
      </c>
      <c r="G2662" s="6" t="s">
        <v>38</v>
      </c>
      <c r="H2662" s="6" t="s">
        <v>952</v>
      </c>
      <c r="I2662" s="8"/>
      <c r="J2662" s="9">
        <v>1</v>
      </c>
      <c r="K2662" s="9">
        <v>256</v>
      </c>
      <c r="L2662" s="9">
        <v>2024</v>
      </c>
      <c r="M2662" s="8" t="s">
        <v>16160</v>
      </c>
      <c r="N2662" s="8" t="s">
        <v>41</v>
      </c>
      <c r="O2662" s="8" t="s">
        <v>1007</v>
      </c>
      <c r="P2662" s="6" t="s">
        <v>167</v>
      </c>
      <c r="Q2662" s="8" t="s">
        <v>44</v>
      </c>
      <c r="R2662" s="10" t="s">
        <v>15195</v>
      </c>
      <c r="S2662" s="11"/>
      <c r="T2662" s="6"/>
      <c r="U2662" s="24" t="str">
        <f>HYPERLINK("https://media.infra-m.ru/2073/2073490/cover/2073490.jpg", "Обложка")</f>
        <v>Обложка</v>
      </c>
      <c r="V2662" s="24" t="str">
        <f>HYPERLINK("https://znanium.ru/catalog/product/1817948", "Ознакомиться")</f>
        <v>Ознакомиться</v>
      </c>
      <c r="W2662" s="8" t="s">
        <v>83</v>
      </c>
      <c r="X2662" s="6"/>
      <c r="Y2662" s="6"/>
      <c r="Z2662" s="6"/>
      <c r="AA2662" s="6" t="s">
        <v>111</v>
      </c>
      <c r="AB2662" s="8"/>
    </row>
    <row r="2663" spans="1:28" s="4" customFormat="1" ht="51.95" customHeight="1">
      <c r="A2663" s="5">
        <v>0</v>
      </c>
      <c r="B2663" s="6" t="s">
        <v>16161</v>
      </c>
      <c r="C2663" s="13">
        <v>1110</v>
      </c>
      <c r="D2663" s="8" t="s">
        <v>16162</v>
      </c>
      <c r="E2663" s="8" t="s">
        <v>16163</v>
      </c>
      <c r="F2663" s="8" t="s">
        <v>16164</v>
      </c>
      <c r="G2663" s="6" t="s">
        <v>89</v>
      </c>
      <c r="H2663" s="6" t="s">
        <v>53</v>
      </c>
      <c r="I2663" s="8" t="s">
        <v>1054</v>
      </c>
      <c r="J2663" s="9">
        <v>1</v>
      </c>
      <c r="K2663" s="9">
        <v>236</v>
      </c>
      <c r="L2663" s="9">
        <v>2024</v>
      </c>
      <c r="M2663" s="8" t="s">
        <v>16165</v>
      </c>
      <c r="N2663" s="8" t="s">
        <v>41</v>
      </c>
      <c r="O2663" s="8" t="s">
        <v>118</v>
      </c>
      <c r="P2663" s="6" t="s">
        <v>43</v>
      </c>
      <c r="Q2663" s="8" t="s">
        <v>279</v>
      </c>
      <c r="R2663" s="10" t="s">
        <v>9570</v>
      </c>
      <c r="S2663" s="11" t="s">
        <v>16166</v>
      </c>
      <c r="T2663" s="6"/>
      <c r="U2663" s="24" t="str">
        <f>HYPERLINK("https://media.infra-m.ru/2073/2073480/cover/2073480.jpg", "Обложка")</f>
        <v>Обложка</v>
      </c>
      <c r="V2663" s="24" t="str">
        <f>HYPERLINK("https://znanium.ru/catalog/product/2073480", "Ознакомиться")</f>
        <v>Ознакомиться</v>
      </c>
      <c r="W2663" s="8" t="s">
        <v>83</v>
      </c>
      <c r="X2663" s="6"/>
      <c r="Y2663" s="6"/>
      <c r="Z2663" s="6"/>
      <c r="AA2663" s="6" t="s">
        <v>258</v>
      </c>
      <c r="AB2663" s="8"/>
    </row>
    <row r="2664" spans="1:28" s="4" customFormat="1" ht="51.95" customHeight="1">
      <c r="A2664" s="5">
        <v>0</v>
      </c>
      <c r="B2664" s="6" t="s">
        <v>16167</v>
      </c>
      <c r="C2664" s="13">
        <v>1194</v>
      </c>
      <c r="D2664" s="8" t="s">
        <v>16168</v>
      </c>
      <c r="E2664" s="8" t="s">
        <v>16169</v>
      </c>
      <c r="F2664" s="8" t="s">
        <v>16170</v>
      </c>
      <c r="G2664" s="6" t="s">
        <v>89</v>
      </c>
      <c r="H2664" s="6" t="s">
        <v>53</v>
      </c>
      <c r="I2664" s="8" t="s">
        <v>1223</v>
      </c>
      <c r="J2664" s="9">
        <v>1</v>
      </c>
      <c r="K2664" s="9">
        <v>239</v>
      </c>
      <c r="L2664" s="9">
        <v>2025</v>
      </c>
      <c r="M2664" s="8" t="s">
        <v>16171</v>
      </c>
      <c r="N2664" s="8" t="s">
        <v>41</v>
      </c>
      <c r="O2664" s="8" t="s">
        <v>1007</v>
      </c>
      <c r="P2664" s="6" t="s">
        <v>167</v>
      </c>
      <c r="Q2664" s="8" t="s">
        <v>44</v>
      </c>
      <c r="R2664" s="10" t="s">
        <v>1251</v>
      </c>
      <c r="S2664" s="11" t="s">
        <v>7773</v>
      </c>
      <c r="T2664" s="6"/>
      <c r="U2664" s="24" t="str">
        <f>HYPERLINK("https://media.infra-m.ru/2170/2170080/cover/2170080.jpg", "Обложка")</f>
        <v>Обложка</v>
      </c>
      <c r="V2664" s="24" t="str">
        <f>HYPERLINK("https://znanium.ru/catalog/product/1851517", "Ознакомиться")</f>
        <v>Ознакомиться</v>
      </c>
      <c r="W2664" s="8" t="s">
        <v>83</v>
      </c>
      <c r="X2664" s="6"/>
      <c r="Y2664" s="6"/>
      <c r="Z2664" s="6"/>
      <c r="AA2664" s="6" t="s">
        <v>235</v>
      </c>
      <c r="AB2664" s="8"/>
    </row>
    <row r="2665" spans="1:28" s="4" customFormat="1" ht="51.95" customHeight="1">
      <c r="A2665" s="5">
        <v>0</v>
      </c>
      <c r="B2665" s="6" t="s">
        <v>16172</v>
      </c>
      <c r="C2665" s="7">
        <v>729.9</v>
      </c>
      <c r="D2665" s="8" t="s">
        <v>16173</v>
      </c>
      <c r="E2665" s="8" t="s">
        <v>16174</v>
      </c>
      <c r="F2665" s="8" t="s">
        <v>16175</v>
      </c>
      <c r="G2665" s="6" t="s">
        <v>89</v>
      </c>
      <c r="H2665" s="6" t="s">
        <v>674</v>
      </c>
      <c r="I2665" s="8"/>
      <c r="J2665" s="9">
        <v>1</v>
      </c>
      <c r="K2665" s="9">
        <v>160</v>
      </c>
      <c r="L2665" s="9">
        <v>2022</v>
      </c>
      <c r="M2665" s="8" t="s">
        <v>16176</v>
      </c>
      <c r="N2665" s="8" t="s">
        <v>41</v>
      </c>
      <c r="O2665" s="8" t="s">
        <v>676</v>
      </c>
      <c r="P2665" s="6" t="s">
        <v>43</v>
      </c>
      <c r="Q2665" s="8" t="s">
        <v>279</v>
      </c>
      <c r="R2665" s="10" t="s">
        <v>16177</v>
      </c>
      <c r="S2665" s="11"/>
      <c r="T2665" s="6"/>
      <c r="U2665" s="24" t="str">
        <f>HYPERLINK("https://media.infra-m.ru/1831/1831635/cover/1831635.jpg", "Обложка")</f>
        <v>Обложка</v>
      </c>
      <c r="V2665" s="24" t="str">
        <f>HYPERLINK("https://znanium.ru/catalog/product/1831635", "Ознакомиться")</f>
        <v>Ознакомиться</v>
      </c>
      <c r="W2665" s="8" t="s">
        <v>792</v>
      </c>
      <c r="X2665" s="6"/>
      <c r="Y2665" s="6"/>
      <c r="Z2665" s="6"/>
      <c r="AA2665" s="6" t="s">
        <v>513</v>
      </c>
      <c r="AB2665" s="8"/>
    </row>
    <row r="2666" spans="1:28" s="4" customFormat="1" ht="51.95" customHeight="1">
      <c r="A2666" s="5">
        <v>0</v>
      </c>
      <c r="B2666" s="6" t="s">
        <v>16178</v>
      </c>
      <c r="C2666" s="7">
        <v>590</v>
      </c>
      <c r="D2666" s="8" t="s">
        <v>16179</v>
      </c>
      <c r="E2666" s="8" t="s">
        <v>16180</v>
      </c>
      <c r="F2666" s="8" t="s">
        <v>16175</v>
      </c>
      <c r="G2666" s="6" t="s">
        <v>52</v>
      </c>
      <c r="H2666" s="6" t="s">
        <v>674</v>
      </c>
      <c r="I2666" s="8" t="s">
        <v>100</v>
      </c>
      <c r="J2666" s="9">
        <v>1</v>
      </c>
      <c r="K2666" s="9">
        <v>160</v>
      </c>
      <c r="L2666" s="9">
        <v>2019</v>
      </c>
      <c r="M2666" s="8" t="s">
        <v>16181</v>
      </c>
      <c r="N2666" s="8" t="s">
        <v>41</v>
      </c>
      <c r="O2666" s="8" t="s">
        <v>676</v>
      </c>
      <c r="P2666" s="6" t="s">
        <v>43</v>
      </c>
      <c r="Q2666" s="8" t="s">
        <v>102</v>
      </c>
      <c r="R2666" s="10" t="s">
        <v>16182</v>
      </c>
      <c r="S2666" s="11"/>
      <c r="T2666" s="6"/>
      <c r="U2666" s="24" t="str">
        <f>HYPERLINK("https://media.infra-m.ru/1029/1029669/cover/1029669.jpg", "Обложка")</f>
        <v>Обложка</v>
      </c>
      <c r="V2666" s="24" t="str">
        <f>HYPERLINK("https://znanium.ru/catalog/product/1029669", "Ознакомиться")</f>
        <v>Ознакомиться</v>
      </c>
      <c r="W2666" s="8" t="s">
        <v>792</v>
      </c>
      <c r="X2666" s="6"/>
      <c r="Y2666" s="6"/>
      <c r="Z2666" s="6" t="s">
        <v>3872</v>
      </c>
      <c r="AA2666" s="6" t="s">
        <v>258</v>
      </c>
      <c r="AB2666" s="8"/>
    </row>
    <row r="2667" spans="1:28" s="4" customFormat="1" ht="51.95" customHeight="1">
      <c r="A2667" s="5">
        <v>0</v>
      </c>
      <c r="B2667" s="6" t="s">
        <v>16183</v>
      </c>
      <c r="C2667" s="7">
        <v>650</v>
      </c>
      <c r="D2667" s="8" t="s">
        <v>16184</v>
      </c>
      <c r="E2667" s="8" t="s">
        <v>16180</v>
      </c>
      <c r="F2667" s="8" t="s">
        <v>16175</v>
      </c>
      <c r="G2667" s="6" t="s">
        <v>89</v>
      </c>
      <c r="H2667" s="6" t="s">
        <v>674</v>
      </c>
      <c r="I2667" s="8"/>
      <c r="J2667" s="9">
        <v>1</v>
      </c>
      <c r="K2667" s="9">
        <v>160</v>
      </c>
      <c r="L2667" s="9">
        <v>2021</v>
      </c>
      <c r="M2667" s="8" t="s">
        <v>16185</v>
      </c>
      <c r="N2667" s="8" t="s">
        <v>41</v>
      </c>
      <c r="O2667" s="8" t="s">
        <v>676</v>
      </c>
      <c r="P2667" s="6" t="s">
        <v>43</v>
      </c>
      <c r="Q2667" s="8" t="s">
        <v>279</v>
      </c>
      <c r="R2667" s="10" t="s">
        <v>16177</v>
      </c>
      <c r="S2667" s="11"/>
      <c r="T2667" s="6"/>
      <c r="U2667" s="24" t="str">
        <f>HYPERLINK("https://media.infra-m.ru/1224/1224742/cover/1224742.jpg", "Обложка")</f>
        <v>Обложка</v>
      </c>
      <c r="V2667" s="24" t="str">
        <f>HYPERLINK("https://znanium.ru/catalog/product/1831635", "Ознакомиться")</f>
        <v>Ознакомиться</v>
      </c>
      <c r="W2667" s="8" t="s">
        <v>792</v>
      </c>
      <c r="X2667" s="6"/>
      <c r="Y2667" s="6"/>
      <c r="Z2667" s="6"/>
      <c r="AA2667" s="6" t="s">
        <v>151</v>
      </c>
      <c r="AB2667" s="8"/>
    </row>
    <row r="2668" spans="1:28" s="4" customFormat="1" ht="42" customHeight="1">
      <c r="A2668" s="5">
        <v>0</v>
      </c>
      <c r="B2668" s="6" t="s">
        <v>16186</v>
      </c>
      <c r="C2668" s="13">
        <v>2090</v>
      </c>
      <c r="D2668" s="8" t="s">
        <v>16187</v>
      </c>
      <c r="E2668" s="8" t="s">
        <v>16188</v>
      </c>
      <c r="F2668" s="8" t="s">
        <v>16189</v>
      </c>
      <c r="G2668" s="6" t="s">
        <v>52</v>
      </c>
      <c r="H2668" s="6" t="s">
        <v>53</v>
      </c>
      <c r="I2668" s="8" t="s">
        <v>212</v>
      </c>
      <c r="J2668" s="9">
        <v>1</v>
      </c>
      <c r="K2668" s="9">
        <v>417</v>
      </c>
      <c r="L2668" s="9">
        <v>2024</v>
      </c>
      <c r="M2668" s="8" t="s">
        <v>16190</v>
      </c>
      <c r="N2668" s="8" t="s">
        <v>41</v>
      </c>
      <c r="O2668" s="8" t="s">
        <v>1007</v>
      </c>
      <c r="P2668" s="6" t="s">
        <v>167</v>
      </c>
      <c r="Q2668" s="8" t="s">
        <v>58</v>
      </c>
      <c r="R2668" s="10" t="s">
        <v>9570</v>
      </c>
      <c r="S2668" s="11"/>
      <c r="T2668" s="6"/>
      <c r="U2668" s="24" t="str">
        <f>HYPERLINK("https://media.infra-m.ru/1978/1978020/cover/1978020.jpg", "Обложка")</f>
        <v>Обложка</v>
      </c>
      <c r="V2668" s="24" t="str">
        <f>HYPERLINK("https://znanium.ru/catalog/product/1978020", "Ознакомиться")</f>
        <v>Ознакомиться</v>
      </c>
      <c r="W2668" s="8" t="s">
        <v>1313</v>
      </c>
      <c r="X2668" s="6" t="s">
        <v>772</v>
      </c>
      <c r="Y2668" s="6"/>
      <c r="Z2668" s="6"/>
      <c r="AA2668" s="6" t="s">
        <v>133</v>
      </c>
      <c r="AB2668" s="8"/>
    </row>
    <row r="2669" spans="1:28" s="4" customFormat="1" ht="51.95" customHeight="1">
      <c r="A2669" s="5">
        <v>0</v>
      </c>
      <c r="B2669" s="6" t="s">
        <v>16191</v>
      </c>
      <c r="C2669" s="7">
        <v>680</v>
      </c>
      <c r="D2669" s="8" t="s">
        <v>16192</v>
      </c>
      <c r="E2669" s="8" t="s">
        <v>16193</v>
      </c>
      <c r="F2669" s="8" t="s">
        <v>16082</v>
      </c>
      <c r="G2669" s="6" t="s">
        <v>52</v>
      </c>
      <c r="H2669" s="6" t="s">
        <v>674</v>
      </c>
      <c r="I2669" s="8"/>
      <c r="J2669" s="9">
        <v>1</v>
      </c>
      <c r="K2669" s="9">
        <v>128</v>
      </c>
      <c r="L2669" s="9">
        <v>2024</v>
      </c>
      <c r="M2669" s="8" t="s">
        <v>16194</v>
      </c>
      <c r="N2669" s="8" t="s">
        <v>41</v>
      </c>
      <c r="O2669" s="8" t="s">
        <v>1007</v>
      </c>
      <c r="P2669" s="6" t="s">
        <v>43</v>
      </c>
      <c r="Q2669" s="8" t="s">
        <v>44</v>
      </c>
      <c r="R2669" s="10" t="s">
        <v>16084</v>
      </c>
      <c r="S2669" s="11"/>
      <c r="T2669" s="6"/>
      <c r="U2669" s="24" t="str">
        <f>HYPERLINK("https://media.infra-m.ru/2082/2082010/cover/2082010.jpg", "Обложка")</f>
        <v>Обложка</v>
      </c>
      <c r="V2669" s="24" t="str">
        <f>HYPERLINK("https://znanium.ru/catalog/product/2082010", "Ознакомиться")</f>
        <v>Ознакомиться</v>
      </c>
      <c r="W2669" s="8" t="s">
        <v>792</v>
      </c>
      <c r="X2669" s="6"/>
      <c r="Y2669" s="6"/>
      <c r="Z2669" s="6"/>
      <c r="AA2669" s="6" t="s">
        <v>105</v>
      </c>
      <c r="AB2669" s="8"/>
    </row>
    <row r="2670" spans="1:28" s="4" customFormat="1" ht="44.1" customHeight="1">
      <c r="A2670" s="5">
        <v>0</v>
      </c>
      <c r="B2670" s="6" t="s">
        <v>16195</v>
      </c>
      <c r="C2670" s="7">
        <v>674</v>
      </c>
      <c r="D2670" s="8" t="s">
        <v>16196</v>
      </c>
      <c r="E2670" s="8" t="s">
        <v>16197</v>
      </c>
      <c r="F2670" s="8" t="s">
        <v>16198</v>
      </c>
      <c r="G2670" s="6" t="s">
        <v>38</v>
      </c>
      <c r="H2670" s="6" t="s">
        <v>952</v>
      </c>
      <c r="I2670" s="8"/>
      <c r="J2670" s="9">
        <v>1</v>
      </c>
      <c r="K2670" s="9">
        <v>148</v>
      </c>
      <c r="L2670" s="9">
        <v>2023</v>
      </c>
      <c r="M2670" s="8" t="s">
        <v>16199</v>
      </c>
      <c r="N2670" s="8" t="s">
        <v>41</v>
      </c>
      <c r="O2670" s="8" t="s">
        <v>1007</v>
      </c>
      <c r="P2670" s="6" t="s">
        <v>43</v>
      </c>
      <c r="Q2670" s="8" t="s">
        <v>44</v>
      </c>
      <c r="R2670" s="10" t="s">
        <v>16200</v>
      </c>
      <c r="S2670" s="11"/>
      <c r="T2670" s="6"/>
      <c r="U2670" s="24" t="str">
        <f>HYPERLINK("https://media.infra-m.ru/2045/2045833/cover/2045833.jpg", "Обложка")</f>
        <v>Обложка</v>
      </c>
      <c r="V2670" s="24" t="str">
        <f>HYPERLINK("https://znanium.ru/catalog/product/1031888", "Ознакомиться")</f>
        <v>Ознакомиться</v>
      </c>
      <c r="W2670" s="8" t="s">
        <v>83</v>
      </c>
      <c r="X2670" s="6"/>
      <c r="Y2670" s="6"/>
      <c r="Z2670" s="6"/>
      <c r="AA2670" s="6" t="s">
        <v>258</v>
      </c>
      <c r="AB2670" s="8"/>
    </row>
    <row r="2671" spans="1:28" s="4" customFormat="1" ht="51.95" customHeight="1">
      <c r="A2671" s="5">
        <v>0</v>
      </c>
      <c r="B2671" s="6" t="s">
        <v>16201</v>
      </c>
      <c r="C2671" s="7">
        <v>484.9</v>
      </c>
      <c r="D2671" s="8" t="s">
        <v>16202</v>
      </c>
      <c r="E2671" s="8" t="s">
        <v>16203</v>
      </c>
      <c r="F2671" s="8" t="s">
        <v>16204</v>
      </c>
      <c r="G2671" s="6" t="s">
        <v>38</v>
      </c>
      <c r="H2671" s="6" t="s">
        <v>952</v>
      </c>
      <c r="I2671" s="8" t="s">
        <v>2699</v>
      </c>
      <c r="J2671" s="9">
        <v>1</v>
      </c>
      <c r="K2671" s="9">
        <v>160</v>
      </c>
      <c r="L2671" s="9">
        <v>2019</v>
      </c>
      <c r="M2671" s="8" t="s">
        <v>16205</v>
      </c>
      <c r="N2671" s="8" t="s">
        <v>41</v>
      </c>
      <c r="O2671" s="8" t="s">
        <v>1007</v>
      </c>
      <c r="P2671" s="6" t="s">
        <v>187</v>
      </c>
      <c r="Q2671" s="8" t="s">
        <v>279</v>
      </c>
      <c r="R2671" s="10" t="s">
        <v>16206</v>
      </c>
      <c r="S2671" s="11" t="s">
        <v>16207</v>
      </c>
      <c r="T2671" s="6"/>
      <c r="U2671" s="24" t="str">
        <f>HYPERLINK("https://media.infra-m.ru/1013/1013441/cover/1013441.jpg", "Обложка")</f>
        <v>Обложка</v>
      </c>
      <c r="V2671" s="24" t="str">
        <f>HYPERLINK("https://znanium.ru/catalog/product/1013441", "Ознакомиться")</f>
        <v>Ознакомиться</v>
      </c>
      <c r="W2671" s="8" t="s">
        <v>83</v>
      </c>
      <c r="X2671" s="6"/>
      <c r="Y2671" s="6"/>
      <c r="Z2671" s="6"/>
      <c r="AA2671" s="6" t="s">
        <v>84</v>
      </c>
      <c r="AB2671" s="8"/>
    </row>
    <row r="2672" spans="1:28" s="4" customFormat="1" ht="51.95" customHeight="1">
      <c r="A2672" s="5">
        <v>0</v>
      </c>
      <c r="B2672" s="6" t="s">
        <v>16208</v>
      </c>
      <c r="C2672" s="7">
        <v>810</v>
      </c>
      <c r="D2672" s="8" t="s">
        <v>16209</v>
      </c>
      <c r="E2672" s="8" t="s">
        <v>16210</v>
      </c>
      <c r="F2672" s="8" t="s">
        <v>16211</v>
      </c>
      <c r="G2672" s="6" t="s">
        <v>52</v>
      </c>
      <c r="H2672" s="6" t="s">
        <v>53</v>
      </c>
      <c r="I2672" s="8" t="s">
        <v>212</v>
      </c>
      <c r="J2672" s="9">
        <v>1</v>
      </c>
      <c r="K2672" s="9">
        <v>221</v>
      </c>
      <c r="L2672" s="9">
        <v>2020</v>
      </c>
      <c r="M2672" s="8" t="s">
        <v>16212</v>
      </c>
      <c r="N2672" s="8" t="s">
        <v>41</v>
      </c>
      <c r="O2672" s="8" t="s">
        <v>1007</v>
      </c>
      <c r="P2672" s="6" t="s">
        <v>43</v>
      </c>
      <c r="Q2672" s="8" t="s">
        <v>214</v>
      </c>
      <c r="R2672" s="10" t="s">
        <v>16213</v>
      </c>
      <c r="S2672" s="11" t="s">
        <v>16214</v>
      </c>
      <c r="T2672" s="6"/>
      <c r="U2672" s="24" t="str">
        <f>HYPERLINK("https://media.infra-m.ru/1048/1048562/cover/1048562.jpg", "Обложка")</f>
        <v>Обложка</v>
      </c>
      <c r="V2672" s="24" t="str">
        <f>HYPERLINK("https://znanium.ru/catalog/product/1048562", "Ознакомиться")</f>
        <v>Ознакомиться</v>
      </c>
      <c r="W2672" s="8" t="s">
        <v>3201</v>
      </c>
      <c r="X2672" s="6"/>
      <c r="Y2672" s="6"/>
      <c r="Z2672" s="6"/>
      <c r="AA2672" s="6" t="s">
        <v>793</v>
      </c>
      <c r="AB2672" s="8"/>
    </row>
    <row r="2673" spans="1:28" s="4" customFormat="1" ht="51.95" customHeight="1">
      <c r="A2673" s="5">
        <v>0</v>
      </c>
      <c r="B2673" s="6" t="s">
        <v>16215</v>
      </c>
      <c r="C2673" s="13">
        <v>1444</v>
      </c>
      <c r="D2673" s="8" t="s">
        <v>16216</v>
      </c>
      <c r="E2673" s="8" t="s">
        <v>16217</v>
      </c>
      <c r="F2673" s="8" t="s">
        <v>13411</v>
      </c>
      <c r="G2673" s="6" t="s">
        <v>52</v>
      </c>
      <c r="H2673" s="6" t="s">
        <v>53</v>
      </c>
      <c r="I2673" s="8" t="s">
        <v>276</v>
      </c>
      <c r="J2673" s="9">
        <v>1</v>
      </c>
      <c r="K2673" s="9">
        <v>307</v>
      </c>
      <c r="L2673" s="9">
        <v>2024</v>
      </c>
      <c r="M2673" s="8" t="s">
        <v>16218</v>
      </c>
      <c r="N2673" s="8" t="s">
        <v>79</v>
      </c>
      <c r="O2673" s="8" t="s">
        <v>396</v>
      </c>
      <c r="P2673" s="6" t="s">
        <v>167</v>
      </c>
      <c r="Q2673" s="8" t="s">
        <v>279</v>
      </c>
      <c r="R2673" s="10" t="s">
        <v>16219</v>
      </c>
      <c r="S2673" s="11" t="s">
        <v>16220</v>
      </c>
      <c r="T2673" s="6"/>
      <c r="U2673" s="24" t="str">
        <f>HYPERLINK("https://media.infra-m.ru/2148/2148722/cover/2148722.jpg", "Обложка")</f>
        <v>Обложка</v>
      </c>
      <c r="V2673" s="24" t="str">
        <f>HYPERLINK("https://znanium.ru/catalog/product/1088075", "Ознакомиться")</f>
        <v>Ознакомиться</v>
      </c>
      <c r="W2673" s="8" t="s">
        <v>450</v>
      </c>
      <c r="X2673" s="6"/>
      <c r="Y2673" s="6"/>
      <c r="Z2673" s="6"/>
      <c r="AA2673" s="6" t="s">
        <v>258</v>
      </c>
      <c r="AB2673" s="8"/>
    </row>
    <row r="2674" spans="1:28" s="4" customFormat="1" ht="42" customHeight="1">
      <c r="A2674" s="5">
        <v>0</v>
      </c>
      <c r="B2674" s="6" t="s">
        <v>16221</v>
      </c>
      <c r="C2674" s="13">
        <v>1514.9</v>
      </c>
      <c r="D2674" s="8" t="s">
        <v>16222</v>
      </c>
      <c r="E2674" s="8" t="s">
        <v>16223</v>
      </c>
      <c r="F2674" s="8" t="s">
        <v>3355</v>
      </c>
      <c r="G2674" s="6" t="s">
        <v>52</v>
      </c>
      <c r="H2674" s="6" t="s">
        <v>53</v>
      </c>
      <c r="I2674" s="8"/>
      <c r="J2674" s="9">
        <v>1</v>
      </c>
      <c r="K2674" s="9">
        <v>336</v>
      </c>
      <c r="L2674" s="9">
        <v>2023</v>
      </c>
      <c r="M2674" s="8" t="s">
        <v>16224</v>
      </c>
      <c r="N2674" s="8" t="s">
        <v>79</v>
      </c>
      <c r="O2674" s="8" t="s">
        <v>396</v>
      </c>
      <c r="P2674" s="6" t="s">
        <v>167</v>
      </c>
      <c r="Q2674" s="8" t="s">
        <v>44</v>
      </c>
      <c r="R2674" s="10" t="s">
        <v>16225</v>
      </c>
      <c r="S2674" s="11"/>
      <c r="T2674" s="6" t="s">
        <v>299</v>
      </c>
      <c r="U2674" s="24" t="str">
        <f>HYPERLINK("https://media.infra-m.ru/1911/1911204/cover/1911204.jpg", "Обложка")</f>
        <v>Обложка</v>
      </c>
      <c r="V2674" s="24" t="str">
        <f>HYPERLINK("https://znanium.ru/catalog/product/1911204", "Ознакомиться")</f>
        <v>Ознакомиться</v>
      </c>
      <c r="W2674" s="8" t="s">
        <v>784</v>
      </c>
      <c r="X2674" s="6"/>
      <c r="Y2674" s="6"/>
      <c r="Z2674" s="6"/>
      <c r="AA2674" s="6" t="s">
        <v>494</v>
      </c>
      <c r="AB2674" s="8"/>
    </row>
    <row r="2675" spans="1:28" s="4" customFormat="1" ht="51.95" customHeight="1">
      <c r="A2675" s="5">
        <v>0</v>
      </c>
      <c r="B2675" s="6" t="s">
        <v>16226</v>
      </c>
      <c r="C2675" s="13">
        <v>1624</v>
      </c>
      <c r="D2675" s="8" t="s">
        <v>16227</v>
      </c>
      <c r="E2675" s="8" t="s">
        <v>16228</v>
      </c>
      <c r="F2675" s="8" t="s">
        <v>3355</v>
      </c>
      <c r="G2675" s="6" t="s">
        <v>89</v>
      </c>
      <c r="H2675" s="6" t="s">
        <v>53</v>
      </c>
      <c r="I2675" s="8" t="s">
        <v>4855</v>
      </c>
      <c r="J2675" s="9">
        <v>1</v>
      </c>
      <c r="K2675" s="9">
        <v>347</v>
      </c>
      <c r="L2675" s="9">
        <v>2024</v>
      </c>
      <c r="M2675" s="8" t="s">
        <v>16229</v>
      </c>
      <c r="N2675" s="8" t="s">
        <v>79</v>
      </c>
      <c r="O2675" s="8" t="s">
        <v>396</v>
      </c>
      <c r="P2675" s="6" t="s">
        <v>167</v>
      </c>
      <c r="Q2675" s="8" t="s">
        <v>44</v>
      </c>
      <c r="R2675" s="10" t="s">
        <v>16230</v>
      </c>
      <c r="S2675" s="11" t="s">
        <v>16231</v>
      </c>
      <c r="T2675" s="6" t="s">
        <v>299</v>
      </c>
      <c r="U2675" s="24" t="str">
        <f>HYPERLINK("https://media.infra-m.ru/2128/2128982/cover/2128982.jpg", "Обложка")</f>
        <v>Обложка</v>
      </c>
      <c r="V2675" s="24" t="str">
        <f>HYPERLINK("https://znanium.ru/catalog/product/2002629", "Ознакомиться")</f>
        <v>Ознакомиться</v>
      </c>
      <c r="W2675" s="8" t="s">
        <v>784</v>
      </c>
      <c r="X2675" s="6"/>
      <c r="Y2675" s="6"/>
      <c r="Z2675" s="6"/>
      <c r="AA2675" s="6" t="s">
        <v>151</v>
      </c>
      <c r="AB2675" s="8"/>
    </row>
    <row r="2676" spans="1:28" s="4" customFormat="1" ht="51.95" customHeight="1">
      <c r="A2676" s="5">
        <v>0</v>
      </c>
      <c r="B2676" s="6" t="s">
        <v>16232</v>
      </c>
      <c r="C2676" s="13">
        <v>2460</v>
      </c>
      <c r="D2676" s="8" t="s">
        <v>16233</v>
      </c>
      <c r="E2676" s="8" t="s">
        <v>16234</v>
      </c>
      <c r="F2676" s="8" t="s">
        <v>3355</v>
      </c>
      <c r="G2676" s="6" t="s">
        <v>52</v>
      </c>
      <c r="H2676" s="6" t="s">
        <v>53</v>
      </c>
      <c r="I2676" s="8" t="s">
        <v>3356</v>
      </c>
      <c r="J2676" s="9">
        <v>1</v>
      </c>
      <c r="K2676" s="9">
        <v>409</v>
      </c>
      <c r="L2676" s="9">
        <v>2024</v>
      </c>
      <c r="M2676" s="8" t="s">
        <v>16235</v>
      </c>
      <c r="N2676" s="8" t="s">
        <v>79</v>
      </c>
      <c r="O2676" s="8" t="s">
        <v>396</v>
      </c>
      <c r="P2676" s="6" t="s">
        <v>167</v>
      </c>
      <c r="Q2676" s="8" t="s">
        <v>58</v>
      </c>
      <c r="R2676" s="10" t="s">
        <v>16236</v>
      </c>
      <c r="S2676" s="11" t="s">
        <v>16237</v>
      </c>
      <c r="T2676" s="6"/>
      <c r="U2676" s="24" t="str">
        <f>HYPERLINK("https://media.infra-m.ru/2119/2119921/cover/2119921.jpg", "Обложка")</f>
        <v>Обложка</v>
      </c>
      <c r="V2676" s="12"/>
      <c r="W2676" s="8" t="s">
        <v>784</v>
      </c>
      <c r="X2676" s="6"/>
      <c r="Y2676" s="6"/>
      <c r="Z2676" s="6"/>
      <c r="AA2676" s="6" t="s">
        <v>235</v>
      </c>
      <c r="AB2676" s="8"/>
    </row>
    <row r="2677" spans="1:28" s="4" customFormat="1" ht="51.95" customHeight="1">
      <c r="A2677" s="5">
        <v>0</v>
      </c>
      <c r="B2677" s="6" t="s">
        <v>16238</v>
      </c>
      <c r="C2677" s="7">
        <v>820</v>
      </c>
      <c r="D2677" s="8" t="s">
        <v>16239</v>
      </c>
      <c r="E2677" s="8" t="s">
        <v>16240</v>
      </c>
      <c r="F2677" s="8" t="s">
        <v>16241</v>
      </c>
      <c r="G2677" s="6" t="s">
        <v>89</v>
      </c>
      <c r="H2677" s="6" t="s">
        <v>53</v>
      </c>
      <c r="I2677" s="8" t="s">
        <v>116</v>
      </c>
      <c r="J2677" s="9">
        <v>1</v>
      </c>
      <c r="K2677" s="9">
        <v>163</v>
      </c>
      <c r="L2677" s="9">
        <v>2025</v>
      </c>
      <c r="M2677" s="8" t="s">
        <v>16242</v>
      </c>
      <c r="N2677" s="8" t="s">
        <v>79</v>
      </c>
      <c r="O2677" s="8" t="s">
        <v>174</v>
      </c>
      <c r="P2677" s="6" t="s">
        <v>43</v>
      </c>
      <c r="Q2677" s="8" t="s">
        <v>214</v>
      </c>
      <c r="R2677" s="10" t="s">
        <v>16243</v>
      </c>
      <c r="S2677" s="11" t="s">
        <v>16244</v>
      </c>
      <c r="T2677" s="6"/>
      <c r="U2677" s="24" t="str">
        <f>HYPERLINK("https://media.infra-m.ru/2172/2172554/cover/2172554.jpg", "Обложка")</f>
        <v>Обложка</v>
      </c>
      <c r="V2677" s="24" t="str">
        <f>HYPERLINK("https://znanium.ru/catalog/product/2172554", "Ознакомиться")</f>
        <v>Ознакомиться</v>
      </c>
      <c r="W2677" s="8" t="s">
        <v>16245</v>
      </c>
      <c r="X2677" s="6"/>
      <c r="Y2677" s="6"/>
      <c r="Z2677" s="6"/>
      <c r="AA2677" s="6" t="s">
        <v>196</v>
      </c>
      <c r="AB2677" s="8"/>
    </row>
    <row r="2678" spans="1:28" s="4" customFormat="1" ht="51.95" customHeight="1">
      <c r="A2678" s="5">
        <v>0</v>
      </c>
      <c r="B2678" s="6" t="s">
        <v>16246</v>
      </c>
      <c r="C2678" s="7">
        <v>990</v>
      </c>
      <c r="D2678" s="8" t="s">
        <v>16247</v>
      </c>
      <c r="E2678" s="8" t="s">
        <v>16248</v>
      </c>
      <c r="F2678" s="8" t="s">
        <v>16249</v>
      </c>
      <c r="G2678" s="6" t="s">
        <v>89</v>
      </c>
      <c r="H2678" s="6" t="s">
        <v>39</v>
      </c>
      <c r="I2678" s="8" t="s">
        <v>116</v>
      </c>
      <c r="J2678" s="9">
        <v>1</v>
      </c>
      <c r="K2678" s="9">
        <v>192</v>
      </c>
      <c r="L2678" s="9">
        <v>2025</v>
      </c>
      <c r="M2678" s="8" t="s">
        <v>16250</v>
      </c>
      <c r="N2678" s="8" t="s">
        <v>997</v>
      </c>
      <c r="O2678" s="8" t="s">
        <v>998</v>
      </c>
      <c r="P2678" s="6" t="s">
        <v>175</v>
      </c>
      <c r="Q2678" s="8" t="s">
        <v>44</v>
      </c>
      <c r="R2678" s="10" t="s">
        <v>16251</v>
      </c>
      <c r="S2678" s="11" t="s">
        <v>16252</v>
      </c>
      <c r="T2678" s="6"/>
      <c r="U2678" s="24" t="str">
        <f>HYPERLINK("https://media.infra-m.ru/2161/2161362/cover/2161362.jpg", "Обложка")</f>
        <v>Обложка</v>
      </c>
      <c r="V2678" s="24" t="str">
        <f>HYPERLINK("https://znanium.ru/catalog/product/2161362", "Ознакомиться")</f>
        <v>Ознакомиться</v>
      </c>
      <c r="W2678" s="8" t="s">
        <v>6648</v>
      </c>
      <c r="X2678" s="6"/>
      <c r="Y2678" s="6"/>
      <c r="Z2678" s="6"/>
      <c r="AA2678" s="6" t="s">
        <v>111</v>
      </c>
      <c r="AB2678" s="8"/>
    </row>
    <row r="2679" spans="1:28" s="4" customFormat="1" ht="42" customHeight="1">
      <c r="A2679" s="5">
        <v>0</v>
      </c>
      <c r="B2679" s="6" t="s">
        <v>16253</v>
      </c>
      <c r="C2679" s="13">
        <v>1020</v>
      </c>
      <c r="D2679" s="8" t="s">
        <v>16254</v>
      </c>
      <c r="E2679" s="8" t="s">
        <v>16255</v>
      </c>
      <c r="F2679" s="8" t="s">
        <v>16256</v>
      </c>
      <c r="G2679" s="6" t="s">
        <v>52</v>
      </c>
      <c r="H2679" s="6" t="s">
        <v>53</v>
      </c>
      <c r="I2679" s="8" t="s">
        <v>116</v>
      </c>
      <c r="J2679" s="9">
        <v>1</v>
      </c>
      <c r="K2679" s="9">
        <v>175</v>
      </c>
      <c r="L2679" s="9">
        <v>2025</v>
      </c>
      <c r="M2679" s="8" t="s">
        <v>16257</v>
      </c>
      <c r="N2679" s="8" t="s">
        <v>56</v>
      </c>
      <c r="O2679" s="8" t="s">
        <v>9271</v>
      </c>
      <c r="P2679" s="6" t="s">
        <v>43</v>
      </c>
      <c r="Q2679" s="8" t="s">
        <v>44</v>
      </c>
      <c r="R2679" s="10" t="s">
        <v>16258</v>
      </c>
      <c r="S2679" s="11"/>
      <c r="T2679" s="6"/>
      <c r="U2679" s="24" t="str">
        <f>HYPERLINK("https://media.infra-m.ru/2162/2162067/cover/2162067.jpg", "Обложка")</f>
        <v>Обложка</v>
      </c>
      <c r="V2679" s="24" t="str">
        <f>HYPERLINK("https://znanium.ru/catalog/product/2162067", "Ознакомиться")</f>
        <v>Ознакомиться</v>
      </c>
      <c r="W2679" s="8" t="s">
        <v>16259</v>
      </c>
      <c r="X2679" s="6" t="s">
        <v>60</v>
      </c>
      <c r="Y2679" s="6"/>
      <c r="Z2679" s="6"/>
      <c r="AA2679" s="6" t="s">
        <v>61</v>
      </c>
      <c r="AB2679" s="8"/>
    </row>
    <row r="2680" spans="1:28" s="4" customFormat="1" ht="51.95" customHeight="1">
      <c r="A2680" s="5">
        <v>0</v>
      </c>
      <c r="B2680" s="6" t="s">
        <v>16260</v>
      </c>
      <c r="C2680" s="13">
        <v>1040</v>
      </c>
      <c r="D2680" s="8" t="s">
        <v>16261</v>
      </c>
      <c r="E2680" s="8" t="s">
        <v>16262</v>
      </c>
      <c r="F2680" s="8" t="s">
        <v>16263</v>
      </c>
      <c r="G2680" s="6" t="s">
        <v>89</v>
      </c>
      <c r="H2680" s="6" t="s">
        <v>674</v>
      </c>
      <c r="I2680" s="8"/>
      <c r="J2680" s="9">
        <v>1</v>
      </c>
      <c r="K2680" s="9">
        <v>224</v>
      </c>
      <c r="L2680" s="9">
        <v>2024</v>
      </c>
      <c r="M2680" s="8" t="s">
        <v>16264</v>
      </c>
      <c r="N2680" s="8" t="s">
        <v>41</v>
      </c>
      <c r="O2680" s="8" t="s">
        <v>676</v>
      </c>
      <c r="P2680" s="6" t="s">
        <v>43</v>
      </c>
      <c r="Q2680" s="8" t="s">
        <v>44</v>
      </c>
      <c r="R2680" s="10" t="s">
        <v>806</v>
      </c>
      <c r="S2680" s="11"/>
      <c r="T2680" s="6"/>
      <c r="U2680" s="24" t="str">
        <f>HYPERLINK("https://media.infra-m.ru/2118/2118058/cover/2118058.jpg", "Обложка")</f>
        <v>Обложка</v>
      </c>
      <c r="V2680" s="24" t="str">
        <f>HYPERLINK("https://znanium.ru/catalog/product/2118058", "Ознакомиться")</f>
        <v>Ознакомиться</v>
      </c>
      <c r="W2680" s="8" t="s">
        <v>16265</v>
      </c>
      <c r="X2680" s="6"/>
      <c r="Y2680" s="6"/>
      <c r="Z2680" s="6"/>
      <c r="AA2680" s="6" t="s">
        <v>1374</v>
      </c>
      <c r="AB2680" s="8"/>
    </row>
    <row r="2681" spans="1:28" s="4" customFormat="1" ht="51.95" customHeight="1">
      <c r="A2681" s="5">
        <v>0</v>
      </c>
      <c r="B2681" s="6" t="s">
        <v>16266</v>
      </c>
      <c r="C2681" s="13">
        <v>1274</v>
      </c>
      <c r="D2681" s="8" t="s">
        <v>16267</v>
      </c>
      <c r="E2681" s="8" t="s">
        <v>16268</v>
      </c>
      <c r="F2681" s="8" t="s">
        <v>16269</v>
      </c>
      <c r="G2681" s="6" t="s">
        <v>89</v>
      </c>
      <c r="H2681" s="6" t="s">
        <v>53</v>
      </c>
      <c r="I2681" s="8" t="s">
        <v>100</v>
      </c>
      <c r="J2681" s="9">
        <v>1</v>
      </c>
      <c r="K2681" s="9">
        <v>254</v>
      </c>
      <c r="L2681" s="9">
        <v>2025</v>
      </c>
      <c r="M2681" s="8" t="s">
        <v>16270</v>
      </c>
      <c r="N2681" s="8" t="s">
        <v>79</v>
      </c>
      <c r="O2681" s="8" t="s">
        <v>424</v>
      </c>
      <c r="P2681" s="6" t="s">
        <v>167</v>
      </c>
      <c r="Q2681" s="8" t="s">
        <v>102</v>
      </c>
      <c r="R2681" s="10" t="s">
        <v>16271</v>
      </c>
      <c r="S2681" s="11" t="s">
        <v>16272</v>
      </c>
      <c r="T2681" s="6"/>
      <c r="U2681" s="24" t="str">
        <f>HYPERLINK("https://media.infra-m.ru/2178/2178823/cover/2178823.jpg", "Обложка")</f>
        <v>Обложка</v>
      </c>
      <c r="V2681" s="24" t="str">
        <f>HYPERLINK("https://znanium.ru/catalog/product/2146082", "Ознакомиться")</f>
        <v>Ознакомиться</v>
      </c>
      <c r="W2681" s="8"/>
      <c r="X2681" s="6"/>
      <c r="Y2681" s="6"/>
      <c r="Z2681" s="6"/>
      <c r="AA2681" s="6" t="s">
        <v>2217</v>
      </c>
      <c r="AB2681" s="8"/>
    </row>
    <row r="2682" spans="1:28" s="4" customFormat="1" ht="44.1" customHeight="1">
      <c r="A2682" s="5">
        <v>0</v>
      </c>
      <c r="B2682" s="6" t="s">
        <v>16273</v>
      </c>
      <c r="C2682" s="13">
        <v>1160</v>
      </c>
      <c r="D2682" s="8" t="s">
        <v>16274</v>
      </c>
      <c r="E2682" s="8" t="s">
        <v>16275</v>
      </c>
      <c r="F2682" s="8"/>
      <c r="G2682" s="6" t="s">
        <v>38</v>
      </c>
      <c r="H2682" s="6" t="s">
        <v>53</v>
      </c>
      <c r="I2682" s="8" t="s">
        <v>6634</v>
      </c>
      <c r="J2682" s="9">
        <v>1</v>
      </c>
      <c r="K2682" s="9">
        <v>232</v>
      </c>
      <c r="L2682" s="9">
        <v>2025</v>
      </c>
      <c r="M2682" s="8" t="s">
        <v>16276</v>
      </c>
      <c r="N2682" s="8" t="s">
        <v>41</v>
      </c>
      <c r="O2682" s="8" t="s">
        <v>129</v>
      </c>
      <c r="P2682" s="6" t="s">
        <v>16277</v>
      </c>
      <c r="Q2682" s="8" t="s">
        <v>58</v>
      </c>
      <c r="R2682" s="10" t="s">
        <v>16278</v>
      </c>
      <c r="S2682" s="11"/>
      <c r="T2682" s="6"/>
      <c r="U2682" s="24" t="str">
        <f>HYPERLINK("https://media.infra-m.ru/2187/2187825/cover/2187825.jpg", "Обложка")</f>
        <v>Обложка</v>
      </c>
      <c r="V2682" s="24" t="str">
        <f>HYPERLINK("https://znanium.ru/catalog/product/2187825", "Ознакомиться")</f>
        <v>Ознакомиться</v>
      </c>
      <c r="W2682" s="8"/>
      <c r="X2682" s="6"/>
      <c r="Y2682" s="6"/>
      <c r="Z2682" s="6"/>
      <c r="AA2682" s="6" t="s">
        <v>207</v>
      </c>
      <c r="AB2682" s="8"/>
    </row>
    <row r="2683" spans="1:28" s="4" customFormat="1" ht="51.95" customHeight="1">
      <c r="A2683" s="5">
        <v>0</v>
      </c>
      <c r="B2683" s="6" t="s">
        <v>16279</v>
      </c>
      <c r="C2683" s="13">
        <v>2310</v>
      </c>
      <c r="D2683" s="8" t="s">
        <v>16280</v>
      </c>
      <c r="E2683" s="8" t="s">
        <v>16281</v>
      </c>
      <c r="F2683" s="8" t="s">
        <v>16282</v>
      </c>
      <c r="G2683" s="6" t="s">
        <v>52</v>
      </c>
      <c r="H2683" s="6" t="s">
        <v>53</v>
      </c>
      <c r="I2683" s="8" t="s">
        <v>116</v>
      </c>
      <c r="J2683" s="9">
        <v>1</v>
      </c>
      <c r="K2683" s="9">
        <v>454</v>
      </c>
      <c r="L2683" s="9">
        <v>2025</v>
      </c>
      <c r="M2683" s="8" t="s">
        <v>16283</v>
      </c>
      <c r="N2683" s="8" t="s">
        <v>413</v>
      </c>
      <c r="O2683" s="8" t="s">
        <v>2771</v>
      </c>
      <c r="P2683" s="6" t="s">
        <v>6714</v>
      </c>
      <c r="Q2683" s="8" t="s">
        <v>1674</v>
      </c>
      <c r="R2683" s="10" t="s">
        <v>16284</v>
      </c>
      <c r="S2683" s="11"/>
      <c r="T2683" s="6"/>
      <c r="U2683" s="24" t="str">
        <f>HYPERLINK("https://media.infra-m.ru/2188/2188290/cover/2188290.jpg", "Обложка")</f>
        <v>Обложка</v>
      </c>
      <c r="V2683" s="24" t="str">
        <f>HYPERLINK("https://znanium.ru/catalog/product/2188290", "Ознакомиться")</f>
        <v>Ознакомиться</v>
      </c>
      <c r="W2683" s="8" t="s">
        <v>16285</v>
      </c>
      <c r="X2683" s="6"/>
      <c r="Y2683" s="6"/>
      <c r="Z2683" s="6"/>
      <c r="AA2683" s="6" t="s">
        <v>258</v>
      </c>
      <c r="AB2683" s="8"/>
    </row>
    <row r="2684" spans="1:28" s="4" customFormat="1" ht="42" customHeight="1">
      <c r="A2684" s="5">
        <v>0</v>
      </c>
      <c r="B2684" s="6" t="s">
        <v>16286</v>
      </c>
      <c r="C2684" s="13">
        <v>1330</v>
      </c>
      <c r="D2684" s="8" t="s">
        <v>16287</v>
      </c>
      <c r="E2684" s="8" t="s">
        <v>16288</v>
      </c>
      <c r="F2684" s="8" t="s">
        <v>935</v>
      </c>
      <c r="G2684" s="6" t="s">
        <v>89</v>
      </c>
      <c r="H2684" s="6" t="s">
        <v>53</v>
      </c>
      <c r="I2684" s="8" t="s">
        <v>127</v>
      </c>
      <c r="J2684" s="9">
        <v>1</v>
      </c>
      <c r="K2684" s="9">
        <v>255</v>
      </c>
      <c r="L2684" s="9">
        <v>2025</v>
      </c>
      <c r="M2684" s="8" t="s">
        <v>16289</v>
      </c>
      <c r="N2684" s="8" t="s">
        <v>41</v>
      </c>
      <c r="O2684" s="8" t="s">
        <v>129</v>
      </c>
      <c r="P2684" s="6" t="s">
        <v>43</v>
      </c>
      <c r="Q2684" s="8" t="s">
        <v>58</v>
      </c>
      <c r="R2684" s="10" t="s">
        <v>6637</v>
      </c>
      <c r="S2684" s="11"/>
      <c r="T2684" s="6"/>
      <c r="U2684" s="24" t="str">
        <f>HYPERLINK("https://media.infra-m.ru/2197/2197030/cover/2197030.jpg", "Обложка")</f>
        <v>Обложка</v>
      </c>
      <c r="V2684" s="24" t="str">
        <f>HYPERLINK("https://znanium.ru/catalog/product/2197030", "Ознакомиться")</f>
        <v>Ознакомиться</v>
      </c>
      <c r="W2684" s="8" t="s">
        <v>939</v>
      </c>
      <c r="X2684" s="6"/>
      <c r="Y2684" s="6"/>
      <c r="Z2684" s="6"/>
      <c r="AA2684" s="6" t="s">
        <v>235</v>
      </c>
      <c r="AB2684" s="8"/>
    </row>
    <row r="2685" spans="1:28" s="4" customFormat="1" ht="51.95" customHeight="1">
      <c r="A2685" s="5">
        <v>0</v>
      </c>
      <c r="B2685" s="6" t="s">
        <v>16290</v>
      </c>
      <c r="C2685" s="13">
        <v>1560</v>
      </c>
      <c r="D2685" s="8" t="s">
        <v>16291</v>
      </c>
      <c r="E2685" s="8" t="s">
        <v>16292</v>
      </c>
      <c r="F2685" s="8" t="s">
        <v>16293</v>
      </c>
      <c r="G2685" s="6" t="s">
        <v>89</v>
      </c>
      <c r="H2685" s="6" t="s">
        <v>53</v>
      </c>
      <c r="I2685" s="8" t="s">
        <v>90</v>
      </c>
      <c r="J2685" s="9">
        <v>1</v>
      </c>
      <c r="K2685" s="9">
        <v>345</v>
      </c>
      <c r="L2685" s="9">
        <v>2023</v>
      </c>
      <c r="M2685" s="8" t="s">
        <v>16294</v>
      </c>
      <c r="N2685" s="8" t="s">
        <v>413</v>
      </c>
      <c r="O2685" s="8" t="s">
        <v>414</v>
      </c>
      <c r="P2685" s="6" t="s">
        <v>167</v>
      </c>
      <c r="Q2685" s="8" t="s">
        <v>44</v>
      </c>
      <c r="R2685" s="10" t="s">
        <v>16295</v>
      </c>
      <c r="S2685" s="11" t="s">
        <v>16296</v>
      </c>
      <c r="T2685" s="6" t="s">
        <v>299</v>
      </c>
      <c r="U2685" s="24" t="str">
        <f>HYPERLINK("https://media.infra-m.ru/1971/1971059/cover/1971059.jpg", "Обложка")</f>
        <v>Обложка</v>
      </c>
      <c r="V2685" s="24" t="str">
        <f>HYPERLINK("https://znanium.ru/catalog/product/1971059", "Ознакомиться")</f>
        <v>Ознакомиться</v>
      </c>
      <c r="W2685" s="8" t="s">
        <v>12607</v>
      </c>
      <c r="X2685" s="6"/>
      <c r="Y2685" s="6"/>
      <c r="Z2685" s="6"/>
      <c r="AA2685" s="6" t="s">
        <v>258</v>
      </c>
      <c r="AB2685" s="8"/>
    </row>
    <row r="2686" spans="1:28" s="4" customFormat="1" ht="51.95" customHeight="1">
      <c r="A2686" s="5">
        <v>0</v>
      </c>
      <c r="B2686" s="6" t="s">
        <v>16297</v>
      </c>
      <c r="C2686" s="7">
        <v>890</v>
      </c>
      <c r="D2686" s="8" t="s">
        <v>16298</v>
      </c>
      <c r="E2686" s="8" t="s">
        <v>16292</v>
      </c>
      <c r="F2686" s="8" t="s">
        <v>16299</v>
      </c>
      <c r="G2686" s="6" t="s">
        <v>89</v>
      </c>
      <c r="H2686" s="6" t="s">
        <v>39</v>
      </c>
      <c r="I2686" s="8"/>
      <c r="J2686" s="9">
        <v>1</v>
      </c>
      <c r="K2686" s="9">
        <v>192</v>
      </c>
      <c r="L2686" s="9">
        <v>2023</v>
      </c>
      <c r="M2686" s="8" t="s">
        <v>16300</v>
      </c>
      <c r="N2686" s="8" t="s">
        <v>413</v>
      </c>
      <c r="O2686" s="8" t="s">
        <v>414</v>
      </c>
      <c r="P2686" s="6" t="s">
        <v>43</v>
      </c>
      <c r="Q2686" s="8" t="s">
        <v>44</v>
      </c>
      <c r="R2686" s="10" t="s">
        <v>16301</v>
      </c>
      <c r="S2686" s="11" t="s">
        <v>16302</v>
      </c>
      <c r="T2686" s="6"/>
      <c r="U2686" s="24" t="str">
        <f>HYPERLINK("https://media.infra-m.ru/2124/2124366/cover/2124366.jpg", "Обложка")</f>
        <v>Обложка</v>
      </c>
      <c r="V2686" s="24" t="str">
        <f>HYPERLINK("https://znanium.ru/catalog/product/2033512", "Ознакомиться")</f>
        <v>Ознакомиться</v>
      </c>
      <c r="W2686" s="8" t="s">
        <v>478</v>
      </c>
      <c r="X2686" s="6"/>
      <c r="Y2686" s="6"/>
      <c r="Z2686" s="6"/>
      <c r="AA2686" s="6" t="s">
        <v>72</v>
      </c>
      <c r="AB2686" s="8"/>
    </row>
    <row r="2687" spans="1:28" s="4" customFormat="1" ht="51.95" customHeight="1">
      <c r="A2687" s="5">
        <v>0</v>
      </c>
      <c r="B2687" s="6" t="s">
        <v>16303</v>
      </c>
      <c r="C2687" s="13">
        <v>1794</v>
      </c>
      <c r="D2687" s="8" t="s">
        <v>16304</v>
      </c>
      <c r="E2687" s="8" t="s">
        <v>16292</v>
      </c>
      <c r="F2687" s="8" t="s">
        <v>16305</v>
      </c>
      <c r="G2687" s="6" t="s">
        <v>89</v>
      </c>
      <c r="H2687" s="6" t="s">
        <v>53</v>
      </c>
      <c r="I2687" s="8" t="s">
        <v>90</v>
      </c>
      <c r="J2687" s="9">
        <v>1</v>
      </c>
      <c r="K2687" s="9">
        <v>390</v>
      </c>
      <c r="L2687" s="9">
        <v>2024</v>
      </c>
      <c r="M2687" s="8" t="s">
        <v>16306</v>
      </c>
      <c r="N2687" s="8" t="s">
        <v>413</v>
      </c>
      <c r="O2687" s="8" t="s">
        <v>414</v>
      </c>
      <c r="P2687" s="6" t="s">
        <v>43</v>
      </c>
      <c r="Q2687" s="8" t="s">
        <v>44</v>
      </c>
      <c r="R2687" s="10" t="s">
        <v>16307</v>
      </c>
      <c r="S2687" s="11" t="s">
        <v>16308</v>
      </c>
      <c r="T2687" s="6"/>
      <c r="U2687" s="24" t="str">
        <f>HYPERLINK("https://media.infra-m.ru/2112/2112518/cover/2112518.jpg", "Обложка")</f>
        <v>Обложка</v>
      </c>
      <c r="V2687" s="24" t="str">
        <f>HYPERLINK("https://znanium.ru/catalog/product/2112518", "Ознакомиться")</f>
        <v>Ознакомиться</v>
      </c>
      <c r="W2687" s="8" t="s">
        <v>4815</v>
      </c>
      <c r="X2687" s="6"/>
      <c r="Y2687" s="6"/>
      <c r="Z2687" s="6"/>
      <c r="AA2687" s="6" t="s">
        <v>122</v>
      </c>
      <c r="AB2687" s="8"/>
    </row>
    <row r="2688" spans="1:28" s="4" customFormat="1" ht="51.95" customHeight="1">
      <c r="A2688" s="5">
        <v>0</v>
      </c>
      <c r="B2688" s="6" t="s">
        <v>16309</v>
      </c>
      <c r="C2688" s="13">
        <v>2500</v>
      </c>
      <c r="D2688" s="8" t="s">
        <v>16310</v>
      </c>
      <c r="E2688" s="8" t="s">
        <v>16311</v>
      </c>
      <c r="F2688" s="8" t="s">
        <v>2296</v>
      </c>
      <c r="G2688" s="6" t="s">
        <v>52</v>
      </c>
      <c r="H2688" s="6" t="s">
        <v>53</v>
      </c>
      <c r="I2688" s="8" t="s">
        <v>2297</v>
      </c>
      <c r="J2688" s="9">
        <v>1</v>
      </c>
      <c r="K2688" s="9">
        <v>510</v>
      </c>
      <c r="L2688" s="9">
        <v>2025</v>
      </c>
      <c r="M2688" s="8" t="s">
        <v>16312</v>
      </c>
      <c r="N2688" s="8" t="s">
        <v>997</v>
      </c>
      <c r="O2688" s="8" t="s">
        <v>998</v>
      </c>
      <c r="P2688" s="6" t="s">
        <v>366</v>
      </c>
      <c r="Q2688" s="8" t="s">
        <v>1047</v>
      </c>
      <c r="R2688" s="10" t="s">
        <v>16313</v>
      </c>
      <c r="S2688" s="11" t="s">
        <v>16314</v>
      </c>
      <c r="T2688" s="6"/>
      <c r="U2688" s="24" t="str">
        <f>HYPERLINK("https://media.infra-m.ru/2192/2192215/cover/2192215.jpg", "Обложка")</f>
        <v>Обложка</v>
      </c>
      <c r="V2688" s="24" t="str">
        <f>HYPERLINK("https://znanium.ru/catalog/product/1896455", "Ознакомиться")</f>
        <v>Ознакомиться</v>
      </c>
      <c r="W2688" s="8" t="s">
        <v>2080</v>
      </c>
      <c r="X2688" s="6"/>
      <c r="Y2688" s="6"/>
      <c r="Z2688" s="6"/>
      <c r="AA2688" s="6" t="s">
        <v>2657</v>
      </c>
      <c r="AB2688" s="8"/>
    </row>
    <row r="2689" spans="1:28" s="4" customFormat="1" ht="51.95" customHeight="1">
      <c r="A2689" s="5">
        <v>0</v>
      </c>
      <c r="B2689" s="6" t="s">
        <v>16315</v>
      </c>
      <c r="C2689" s="13">
        <v>1814.9</v>
      </c>
      <c r="D2689" s="8" t="s">
        <v>16316</v>
      </c>
      <c r="E2689" s="8" t="s">
        <v>16317</v>
      </c>
      <c r="F2689" s="8" t="s">
        <v>6712</v>
      </c>
      <c r="G2689" s="6" t="s">
        <v>52</v>
      </c>
      <c r="H2689" s="6" t="s">
        <v>53</v>
      </c>
      <c r="I2689" s="8" t="s">
        <v>2297</v>
      </c>
      <c r="J2689" s="9">
        <v>1</v>
      </c>
      <c r="K2689" s="9">
        <v>477</v>
      </c>
      <c r="L2689" s="9">
        <v>2022</v>
      </c>
      <c r="M2689" s="8" t="s">
        <v>16318</v>
      </c>
      <c r="N2689" s="8" t="s">
        <v>41</v>
      </c>
      <c r="O2689" s="8" t="s">
        <v>118</v>
      </c>
      <c r="P2689" s="6" t="s">
        <v>366</v>
      </c>
      <c r="Q2689" s="8" t="s">
        <v>1047</v>
      </c>
      <c r="R2689" s="10" t="s">
        <v>16313</v>
      </c>
      <c r="S2689" s="11" t="s">
        <v>16319</v>
      </c>
      <c r="T2689" s="6"/>
      <c r="U2689" s="24" t="str">
        <f>HYPERLINK("https://media.infra-m.ru/1843/1843621/cover/1843621.jpg", "Обложка")</f>
        <v>Обложка</v>
      </c>
      <c r="V2689" s="24" t="str">
        <f>HYPERLINK("https://znanium.ru/catalog/product/1896455", "Ознакомиться")</f>
        <v>Ознакомиться</v>
      </c>
      <c r="W2689" s="8" t="s">
        <v>2080</v>
      </c>
      <c r="X2689" s="6"/>
      <c r="Y2689" s="6"/>
      <c r="Z2689" s="6"/>
      <c r="AA2689" s="6" t="s">
        <v>407</v>
      </c>
      <c r="AB2689" s="8"/>
    </row>
    <row r="2690" spans="1:28" s="4" customFormat="1" ht="44.1" customHeight="1">
      <c r="A2690" s="5">
        <v>0</v>
      </c>
      <c r="B2690" s="6" t="s">
        <v>16320</v>
      </c>
      <c r="C2690" s="13">
        <v>1020</v>
      </c>
      <c r="D2690" s="8" t="s">
        <v>16321</v>
      </c>
      <c r="E2690" s="8" t="s">
        <v>16322</v>
      </c>
      <c r="F2690" s="8" t="s">
        <v>16323</v>
      </c>
      <c r="G2690" s="6" t="s">
        <v>52</v>
      </c>
      <c r="H2690" s="6" t="s">
        <v>53</v>
      </c>
      <c r="I2690" s="8" t="s">
        <v>782</v>
      </c>
      <c r="J2690" s="9">
        <v>1</v>
      </c>
      <c r="K2690" s="9">
        <v>215</v>
      </c>
      <c r="L2690" s="9">
        <v>2024</v>
      </c>
      <c r="M2690" s="8" t="s">
        <v>16324</v>
      </c>
      <c r="N2690" s="8" t="s">
        <v>68</v>
      </c>
      <c r="O2690" s="8" t="s">
        <v>69</v>
      </c>
      <c r="P2690" s="6" t="s">
        <v>43</v>
      </c>
      <c r="Q2690" s="8" t="s">
        <v>58</v>
      </c>
      <c r="R2690" s="10" t="s">
        <v>16325</v>
      </c>
      <c r="S2690" s="11"/>
      <c r="T2690" s="6"/>
      <c r="U2690" s="24" t="str">
        <f>HYPERLINK("https://media.infra-m.ru/2130/2130478/cover/2130478.jpg", "Обложка")</f>
        <v>Обложка</v>
      </c>
      <c r="V2690" s="12"/>
      <c r="W2690" s="8" t="s">
        <v>784</v>
      </c>
      <c r="X2690" s="6"/>
      <c r="Y2690" s="6"/>
      <c r="Z2690" s="6"/>
      <c r="AA2690" s="6" t="s">
        <v>133</v>
      </c>
      <c r="AB2690" s="8"/>
    </row>
    <row r="2691" spans="1:28" s="4" customFormat="1" ht="42" customHeight="1">
      <c r="A2691" s="5">
        <v>0</v>
      </c>
      <c r="B2691" s="6" t="s">
        <v>16326</v>
      </c>
      <c r="C2691" s="7">
        <v>744</v>
      </c>
      <c r="D2691" s="8" t="s">
        <v>16327</v>
      </c>
      <c r="E2691" s="8" t="s">
        <v>16328</v>
      </c>
      <c r="F2691" s="8" t="s">
        <v>16329</v>
      </c>
      <c r="G2691" s="6" t="s">
        <v>52</v>
      </c>
      <c r="H2691" s="6" t="s">
        <v>53</v>
      </c>
      <c r="I2691" s="8" t="s">
        <v>2511</v>
      </c>
      <c r="J2691" s="9">
        <v>1</v>
      </c>
      <c r="K2691" s="9">
        <v>123</v>
      </c>
      <c r="L2691" s="9">
        <v>2025</v>
      </c>
      <c r="M2691" s="8" t="s">
        <v>16330</v>
      </c>
      <c r="N2691" s="8" t="s">
        <v>79</v>
      </c>
      <c r="O2691" s="8" t="s">
        <v>570</v>
      </c>
      <c r="P2691" s="6" t="s">
        <v>1046</v>
      </c>
      <c r="Q2691" s="8" t="s">
        <v>58</v>
      </c>
      <c r="R2691" s="10" t="s">
        <v>16331</v>
      </c>
      <c r="S2691" s="11"/>
      <c r="T2691" s="6"/>
      <c r="U2691" s="24" t="str">
        <f>HYPERLINK("https://media.infra-m.ru/2148/2148013/cover/2148013.jpg", "Обложка")</f>
        <v>Обложка</v>
      </c>
      <c r="V2691" s="24" t="str">
        <f>HYPERLINK("https://znanium.ru/catalog/product/2110489", "Ознакомиться")</f>
        <v>Ознакомиться</v>
      </c>
      <c r="W2691" s="8" t="s">
        <v>2343</v>
      </c>
      <c r="X2691" s="6"/>
      <c r="Y2691" s="6"/>
      <c r="Z2691" s="6"/>
      <c r="AA2691" s="6" t="s">
        <v>207</v>
      </c>
      <c r="AB2691" s="8"/>
    </row>
    <row r="2692" spans="1:28" s="4" customFormat="1" ht="51.95" customHeight="1">
      <c r="A2692" s="5">
        <v>0</v>
      </c>
      <c r="B2692" s="6" t="s">
        <v>16332</v>
      </c>
      <c r="C2692" s="13">
        <v>1354</v>
      </c>
      <c r="D2692" s="8" t="s">
        <v>16333</v>
      </c>
      <c r="E2692" s="8" t="s">
        <v>16334</v>
      </c>
      <c r="F2692" s="8" t="s">
        <v>16335</v>
      </c>
      <c r="G2692" s="6" t="s">
        <v>38</v>
      </c>
      <c r="H2692" s="6" t="s">
        <v>53</v>
      </c>
      <c r="I2692" s="8" t="s">
        <v>90</v>
      </c>
      <c r="J2692" s="9">
        <v>1</v>
      </c>
      <c r="K2692" s="9">
        <v>271</v>
      </c>
      <c r="L2692" s="9">
        <v>2025</v>
      </c>
      <c r="M2692" s="8" t="s">
        <v>16336</v>
      </c>
      <c r="N2692" s="8" t="s">
        <v>79</v>
      </c>
      <c r="O2692" s="8" t="s">
        <v>570</v>
      </c>
      <c r="P2692" s="6" t="s">
        <v>43</v>
      </c>
      <c r="Q2692" s="8" t="s">
        <v>44</v>
      </c>
      <c r="R2692" s="10" t="s">
        <v>16337</v>
      </c>
      <c r="S2692" s="11" t="s">
        <v>16338</v>
      </c>
      <c r="T2692" s="6"/>
      <c r="U2692" s="24" t="str">
        <f>HYPERLINK("https://media.infra-m.ru/2188/2188743/cover/2188743.jpg", "Обложка")</f>
        <v>Обложка</v>
      </c>
      <c r="V2692" s="24" t="str">
        <f>HYPERLINK("https://znanium.ru/catalog/product/1931502", "Ознакомиться")</f>
        <v>Ознакомиться</v>
      </c>
      <c r="W2692" s="8" t="s">
        <v>16339</v>
      </c>
      <c r="X2692" s="6"/>
      <c r="Y2692" s="6"/>
      <c r="Z2692" s="6"/>
      <c r="AA2692" s="6" t="s">
        <v>72</v>
      </c>
      <c r="AB2692" s="8"/>
    </row>
    <row r="2693" spans="1:28" s="4" customFormat="1" ht="51.95" customHeight="1">
      <c r="A2693" s="5">
        <v>0</v>
      </c>
      <c r="B2693" s="6" t="s">
        <v>16340</v>
      </c>
      <c r="C2693" s="13">
        <v>1304.9000000000001</v>
      </c>
      <c r="D2693" s="8" t="s">
        <v>16341</v>
      </c>
      <c r="E2693" s="8" t="s">
        <v>16342</v>
      </c>
      <c r="F2693" s="8" t="s">
        <v>16343</v>
      </c>
      <c r="G2693" s="6" t="s">
        <v>52</v>
      </c>
      <c r="H2693" s="6" t="s">
        <v>649</v>
      </c>
      <c r="I2693" s="8" t="s">
        <v>116</v>
      </c>
      <c r="J2693" s="9">
        <v>1</v>
      </c>
      <c r="K2693" s="9">
        <v>352</v>
      </c>
      <c r="L2693" s="9">
        <v>2022</v>
      </c>
      <c r="M2693" s="8" t="s">
        <v>16344</v>
      </c>
      <c r="N2693" s="8" t="s">
        <v>41</v>
      </c>
      <c r="O2693" s="8" t="s">
        <v>1007</v>
      </c>
      <c r="P2693" s="6" t="s">
        <v>43</v>
      </c>
      <c r="Q2693" s="8" t="s">
        <v>44</v>
      </c>
      <c r="R2693" s="10" t="s">
        <v>16345</v>
      </c>
      <c r="S2693" s="11" t="s">
        <v>16346</v>
      </c>
      <c r="T2693" s="6"/>
      <c r="U2693" s="24" t="str">
        <f>HYPERLINK("https://media.infra-m.ru/1712/1712395/cover/1712395.jpg", "Обложка")</f>
        <v>Обложка</v>
      </c>
      <c r="V2693" s="24" t="str">
        <f>HYPERLINK("https://znanium.ru/catalog/product/1712395", "Ознакомиться")</f>
        <v>Ознакомиться</v>
      </c>
      <c r="W2693" s="8" t="s">
        <v>5635</v>
      </c>
      <c r="X2693" s="6"/>
      <c r="Y2693" s="6"/>
      <c r="Z2693" s="6"/>
      <c r="AA2693" s="6" t="s">
        <v>16347</v>
      </c>
      <c r="AB2693" s="8"/>
    </row>
    <row r="2694" spans="1:28" s="4" customFormat="1" ht="51.95" customHeight="1">
      <c r="A2694" s="5">
        <v>0</v>
      </c>
      <c r="B2694" s="6" t="s">
        <v>16348</v>
      </c>
      <c r="C2694" s="13">
        <v>1100</v>
      </c>
      <c r="D2694" s="8" t="s">
        <v>16349</v>
      </c>
      <c r="E2694" s="8" t="s">
        <v>16350</v>
      </c>
      <c r="F2694" s="8" t="s">
        <v>16351</v>
      </c>
      <c r="G2694" s="6" t="s">
        <v>89</v>
      </c>
      <c r="H2694" s="6" t="s">
        <v>53</v>
      </c>
      <c r="I2694" s="8" t="s">
        <v>276</v>
      </c>
      <c r="J2694" s="9">
        <v>1</v>
      </c>
      <c r="K2694" s="9">
        <v>232</v>
      </c>
      <c r="L2694" s="9">
        <v>2024</v>
      </c>
      <c r="M2694" s="8" t="s">
        <v>16352</v>
      </c>
      <c r="N2694" s="8" t="s">
        <v>56</v>
      </c>
      <c r="O2694" s="8" t="s">
        <v>57</v>
      </c>
      <c r="P2694" s="6" t="s">
        <v>43</v>
      </c>
      <c r="Q2694" s="8" t="s">
        <v>279</v>
      </c>
      <c r="R2694" s="10" t="s">
        <v>16353</v>
      </c>
      <c r="S2694" s="11" t="s">
        <v>16354</v>
      </c>
      <c r="T2694" s="6"/>
      <c r="U2694" s="24" t="str">
        <f>HYPERLINK("https://media.infra-m.ru/2141/2141039/cover/2141039.jpg", "Обложка")</f>
        <v>Обложка</v>
      </c>
      <c r="V2694" s="24" t="str">
        <f>HYPERLINK("https://znanium.ru/catalog/product/2141039", "Ознакомиться")</f>
        <v>Ознакомиться</v>
      </c>
      <c r="W2694" s="8" t="s">
        <v>947</v>
      </c>
      <c r="X2694" s="6"/>
      <c r="Y2694" s="6"/>
      <c r="Z2694" s="6"/>
      <c r="AA2694" s="6" t="s">
        <v>793</v>
      </c>
      <c r="AB2694" s="8"/>
    </row>
    <row r="2695" spans="1:28" s="4" customFormat="1" ht="51.95" customHeight="1">
      <c r="A2695" s="5">
        <v>0</v>
      </c>
      <c r="B2695" s="6" t="s">
        <v>16355</v>
      </c>
      <c r="C2695" s="13">
        <v>1680</v>
      </c>
      <c r="D2695" s="8" t="s">
        <v>16356</v>
      </c>
      <c r="E2695" s="8" t="s">
        <v>16357</v>
      </c>
      <c r="F2695" s="8" t="s">
        <v>16358</v>
      </c>
      <c r="G2695" s="6" t="s">
        <v>89</v>
      </c>
      <c r="H2695" s="6" t="s">
        <v>53</v>
      </c>
      <c r="I2695" s="8" t="s">
        <v>116</v>
      </c>
      <c r="J2695" s="9">
        <v>1</v>
      </c>
      <c r="K2695" s="9">
        <v>363</v>
      </c>
      <c r="L2695" s="9">
        <v>2024</v>
      </c>
      <c r="M2695" s="8" t="s">
        <v>16359</v>
      </c>
      <c r="N2695" s="8" t="s">
        <v>41</v>
      </c>
      <c r="O2695" s="8" t="s">
        <v>1007</v>
      </c>
      <c r="P2695" s="6" t="s">
        <v>43</v>
      </c>
      <c r="Q2695" s="8" t="s">
        <v>44</v>
      </c>
      <c r="R2695" s="10" t="s">
        <v>5714</v>
      </c>
      <c r="S2695" s="11" t="s">
        <v>16360</v>
      </c>
      <c r="T2695" s="6" t="s">
        <v>299</v>
      </c>
      <c r="U2695" s="24" t="str">
        <f>HYPERLINK("https://media.infra-m.ru/2098/2098553/cover/2098553.jpg", "Обложка")</f>
        <v>Обложка</v>
      </c>
      <c r="V2695" s="24" t="str">
        <f>HYPERLINK("https://znanium.ru/catalog/product/2098553", "Ознакомиться")</f>
        <v>Ознакомиться</v>
      </c>
      <c r="W2695" s="8" t="s">
        <v>83</v>
      </c>
      <c r="X2695" s="6"/>
      <c r="Y2695" s="6"/>
      <c r="Z2695" s="6"/>
      <c r="AA2695" s="6" t="s">
        <v>418</v>
      </c>
      <c r="AB2695" s="8"/>
    </row>
    <row r="2696" spans="1:28" s="4" customFormat="1" ht="51.95" customHeight="1">
      <c r="A2696" s="5">
        <v>0</v>
      </c>
      <c r="B2696" s="6" t="s">
        <v>16361</v>
      </c>
      <c r="C2696" s="13">
        <v>1424</v>
      </c>
      <c r="D2696" s="8" t="s">
        <v>16362</v>
      </c>
      <c r="E2696" s="8" t="s">
        <v>16363</v>
      </c>
      <c r="F2696" s="8" t="s">
        <v>16364</v>
      </c>
      <c r="G2696" s="6" t="s">
        <v>52</v>
      </c>
      <c r="H2696" s="6" t="s">
        <v>39</v>
      </c>
      <c r="I2696" s="8" t="s">
        <v>90</v>
      </c>
      <c r="J2696" s="9">
        <v>1</v>
      </c>
      <c r="K2696" s="9">
        <v>304</v>
      </c>
      <c r="L2696" s="9">
        <v>2024</v>
      </c>
      <c r="M2696" s="8" t="s">
        <v>16365</v>
      </c>
      <c r="N2696" s="8" t="s">
        <v>41</v>
      </c>
      <c r="O2696" s="8" t="s">
        <v>1204</v>
      </c>
      <c r="P2696" s="6" t="s">
        <v>43</v>
      </c>
      <c r="Q2696" s="8" t="s">
        <v>44</v>
      </c>
      <c r="R2696" s="10" t="s">
        <v>16366</v>
      </c>
      <c r="S2696" s="11" t="s">
        <v>16367</v>
      </c>
      <c r="T2696" s="6"/>
      <c r="U2696" s="24" t="str">
        <f>HYPERLINK("https://media.infra-m.ru/2139/2139240/cover/2139240.jpg", "Обложка")</f>
        <v>Обложка</v>
      </c>
      <c r="V2696" s="24" t="str">
        <f>HYPERLINK("https://znanium.ru/catalog/product/1819001", "Ознакомиться")</f>
        <v>Ознакомиться</v>
      </c>
      <c r="W2696" s="8" t="s">
        <v>16368</v>
      </c>
      <c r="X2696" s="6"/>
      <c r="Y2696" s="6"/>
      <c r="Z2696" s="6"/>
      <c r="AA2696" s="6" t="s">
        <v>47</v>
      </c>
      <c r="AB2696" s="8"/>
    </row>
    <row r="2697" spans="1:28" s="4" customFormat="1" ht="51.95" customHeight="1">
      <c r="A2697" s="5">
        <v>0</v>
      </c>
      <c r="B2697" s="6" t="s">
        <v>16369</v>
      </c>
      <c r="C2697" s="13">
        <v>1754.9</v>
      </c>
      <c r="D2697" s="8" t="s">
        <v>16370</v>
      </c>
      <c r="E2697" s="8" t="s">
        <v>16371</v>
      </c>
      <c r="F2697" s="8" t="s">
        <v>16372</v>
      </c>
      <c r="G2697" s="6" t="s">
        <v>52</v>
      </c>
      <c r="H2697" s="6" t="s">
        <v>53</v>
      </c>
      <c r="I2697" s="8" t="s">
        <v>90</v>
      </c>
      <c r="J2697" s="9">
        <v>1</v>
      </c>
      <c r="K2697" s="9">
        <v>839</v>
      </c>
      <c r="L2697" s="9">
        <v>2017</v>
      </c>
      <c r="M2697" s="8" t="s">
        <v>16373</v>
      </c>
      <c r="N2697" s="8" t="s">
        <v>41</v>
      </c>
      <c r="O2697" s="8" t="s">
        <v>1007</v>
      </c>
      <c r="P2697" s="6" t="s">
        <v>167</v>
      </c>
      <c r="Q2697" s="8" t="s">
        <v>44</v>
      </c>
      <c r="R2697" s="10" t="s">
        <v>16374</v>
      </c>
      <c r="S2697" s="11" t="s">
        <v>16375</v>
      </c>
      <c r="T2697" s="6"/>
      <c r="U2697" s="24" t="str">
        <f>HYPERLINK("https://media.infra-m.ru/0927/0927433/cover/927433.jpg", "Обложка")</f>
        <v>Обложка</v>
      </c>
      <c r="V2697" s="24" t="str">
        <f>HYPERLINK("https://znanium.ru/catalog/product/2140270", "Ознакомиться")</f>
        <v>Ознакомиться</v>
      </c>
      <c r="W2697" s="8" t="s">
        <v>16376</v>
      </c>
      <c r="X2697" s="6"/>
      <c r="Y2697" s="6"/>
      <c r="Z2697" s="6"/>
      <c r="AA2697" s="6" t="s">
        <v>10384</v>
      </c>
      <c r="AB2697" s="8"/>
    </row>
    <row r="2698" spans="1:28" s="4" customFormat="1" ht="51.95" customHeight="1">
      <c r="A2698" s="5">
        <v>0</v>
      </c>
      <c r="B2698" s="6" t="s">
        <v>16377</v>
      </c>
      <c r="C2698" s="13">
        <v>2400</v>
      </c>
      <c r="D2698" s="8" t="s">
        <v>16378</v>
      </c>
      <c r="E2698" s="8" t="s">
        <v>16379</v>
      </c>
      <c r="F2698" s="8" t="s">
        <v>16380</v>
      </c>
      <c r="G2698" s="6" t="s">
        <v>52</v>
      </c>
      <c r="H2698" s="6" t="s">
        <v>53</v>
      </c>
      <c r="I2698" s="8" t="s">
        <v>116</v>
      </c>
      <c r="J2698" s="9">
        <v>1</v>
      </c>
      <c r="K2698" s="9">
        <v>806</v>
      </c>
      <c r="L2698" s="9">
        <v>2024</v>
      </c>
      <c r="M2698" s="8" t="s">
        <v>16381</v>
      </c>
      <c r="N2698" s="8" t="s">
        <v>41</v>
      </c>
      <c r="O2698" s="8" t="s">
        <v>1007</v>
      </c>
      <c r="P2698" s="6" t="s">
        <v>167</v>
      </c>
      <c r="Q2698" s="8" t="s">
        <v>44</v>
      </c>
      <c r="R2698" s="10" t="s">
        <v>16374</v>
      </c>
      <c r="S2698" s="11" t="s">
        <v>16375</v>
      </c>
      <c r="T2698" s="6" t="s">
        <v>299</v>
      </c>
      <c r="U2698" s="24" t="str">
        <f>HYPERLINK("https://media.infra-m.ru/2140/2140270/cover/2140270.jpg", "Обложка")</f>
        <v>Обложка</v>
      </c>
      <c r="V2698" s="24" t="str">
        <f>HYPERLINK("https://znanium.ru/catalog/product/2140270", "Ознакомиться")</f>
        <v>Ознакомиться</v>
      </c>
      <c r="W2698" s="8" t="s">
        <v>16376</v>
      </c>
      <c r="X2698" s="6"/>
      <c r="Y2698" s="6"/>
      <c r="Z2698" s="6"/>
      <c r="AA2698" s="6" t="s">
        <v>7605</v>
      </c>
      <c r="AB2698" s="8"/>
    </row>
    <row r="2699" spans="1:28" s="4" customFormat="1" ht="51.95" customHeight="1">
      <c r="A2699" s="5">
        <v>0</v>
      </c>
      <c r="B2699" s="6" t="s">
        <v>16382</v>
      </c>
      <c r="C2699" s="7">
        <v>999.9</v>
      </c>
      <c r="D2699" s="8" t="s">
        <v>16383</v>
      </c>
      <c r="E2699" s="8" t="s">
        <v>16384</v>
      </c>
      <c r="F2699" s="8" t="s">
        <v>16385</v>
      </c>
      <c r="G2699" s="6"/>
      <c r="H2699" s="6" t="s">
        <v>66</v>
      </c>
      <c r="I2699" s="8" t="s">
        <v>116</v>
      </c>
      <c r="J2699" s="9">
        <v>8</v>
      </c>
      <c r="K2699" s="9">
        <v>832</v>
      </c>
      <c r="L2699" s="9">
        <v>2015</v>
      </c>
      <c r="M2699" s="8" t="s">
        <v>16386</v>
      </c>
      <c r="N2699" s="8" t="s">
        <v>41</v>
      </c>
      <c r="O2699" s="8" t="s">
        <v>1007</v>
      </c>
      <c r="P2699" s="6" t="s">
        <v>167</v>
      </c>
      <c r="Q2699" s="8" t="s">
        <v>44</v>
      </c>
      <c r="R2699" s="10" t="s">
        <v>16374</v>
      </c>
      <c r="S2699" s="11" t="s">
        <v>16387</v>
      </c>
      <c r="T2699" s="6"/>
      <c r="U2699" s="24" t="str">
        <f>HYPERLINK("https://media.infra-m.ru/0493/0493035/cover/493035.jpg", "Обложка")</f>
        <v>Обложка</v>
      </c>
      <c r="V2699" s="24" t="str">
        <f>HYPERLINK("https://znanium.ru/catalog/product/2140270", "Ознакомиться")</f>
        <v>Ознакомиться</v>
      </c>
      <c r="W2699" s="8" t="s">
        <v>16376</v>
      </c>
      <c r="X2699" s="6"/>
      <c r="Y2699" s="6"/>
      <c r="Z2699" s="6"/>
      <c r="AA2699" s="6" t="s">
        <v>7663</v>
      </c>
      <c r="AB2699" s="8"/>
    </row>
    <row r="2700" spans="1:28" s="4" customFormat="1" ht="44.1" customHeight="1">
      <c r="A2700" s="5">
        <v>0</v>
      </c>
      <c r="B2700" s="6" t="s">
        <v>16388</v>
      </c>
      <c r="C2700" s="13">
        <v>1334.9</v>
      </c>
      <c r="D2700" s="8" t="s">
        <v>16389</v>
      </c>
      <c r="E2700" s="8" t="s">
        <v>16390</v>
      </c>
      <c r="F2700" s="8" t="s">
        <v>16391</v>
      </c>
      <c r="G2700" s="6" t="s">
        <v>38</v>
      </c>
      <c r="H2700" s="6" t="s">
        <v>952</v>
      </c>
      <c r="I2700" s="8" t="s">
        <v>1171</v>
      </c>
      <c r="J2700" s="9">
        <v>1</v>
      </c>
      <c r="K2700" s="9">
        <v>296</v>
      </c>
      <c r="L2700" s="9">
        <v>2023</v>
      </c>
      <c r="M2700" s="8" t="s">
        <v>16392</v>
      </c>
      <c r="N2700" s="8" t="s">
        <v>41</v>
      </c>
      <c r="O2700" s="8" t="s">
        <v>1007</v>
      </c>
      <c r="P2700" s="6" t="s">
        <v>43</v>
      </c>
      <c r="Q2700" s="8" t="s">
        <v>44</v>
      </c>
      <c r="R2700" s="10" t="s">
        <v>1008</v>
      </c>
      <c r="S2700" s="11"/>
      <c r="T2700" s="6"/>
      <c r="U2700" s="24" t="str">
        <f>HYPERLINK("https://media.infra-m.ru/1911/1911163/cover/1911163.jpg", "Обложка")</f>
        <v>Обложка</v>
      </c>
      <c r="V2700" s="24" t="str">
        <f>HYPERLINK("https://znanium.ru/catalog/product/1247042", "Ознакомиться")</f>
        <v>Ознакомиться</v>
      </c>
      <c r="W2700" s="8" t="s">
        <v>2666</v>
      </c>
      <c r="X2700" s="6"/>
      <c r="Y2700" s="6"/>
      <c r="Z2700" s="6"/>
      <c r="AA2700" s="6" t="s">
        <v>47</v>
      </c>
      <c r="AB2700" s="8"/>
    </row>
    <row r="2701" spans="1:28" s="4" customFormat="1" ht="44.1" customHeight="1">
      <c r="A2701" s="5">
        <v>0</v>
      </c>
      <c r="B2701" s="6" t="s">
        <v>16393</v>
      </c>
      <c r="C2701" s="13">
        <v>2120</v>
      </c>
      <c r="D2701" s="8" t="s">
        <v>16394</v>
      </c>
      <c r="E2701" s="8" t="s">
        <v>16395</v>
      </c>
      <c r="F2701" s="8" t="s">
        <v>16396</v>
      </c>
      <c r="G2701" s="6" t="s">
        <v>52</v>
      </c>
      <c r="H2701" s="6" t="s">
        <v>674</v>
      </c>
      <c r="I2701" s="8"/>
      <c r="J2701" s="9">
        <v>1</v>
      </c>
      <c r="K2701" s="9">
        <v>424</v>
      </c>
      <c r="L2701" s="9">
        <v>2025</v>
      </c>
      <c r="M2701" s="8" t="s">
        <v>16397</v>
      </c>
      <c r="N2701" s="8" t="s">
        <v>41</v>
      </c>
      <c r="O2701" s="8" t="s">
        <v>1204</v>
      </c>
      <c r="P2701" s="6" t="s">
        <v>1046</v>
      </c>
      <c r="Q2701" s="8" t="s">
        <v>1047</v>
      </c>
      <c r="R2701" s="10" t="s">
        <v>16398</v>
      </c>
      <c r="S2701" s="11"/>
      <c r="T2701" s="6"/>
      <c r="U2701" s="24" t="str">
        <f>HYPERLINK("https://media.infra-m.ru/2185/2185773/cover/2185773.jpg", "Обложка")</f>
        <v>Обложка</v>
      </c>
      <c r="V2701" s="24" t="str">
        <f>HYPERLINK("https://znanium.ru/catalog/product/2185773", "Ознакомиться")</f>
        <v>Ознакомиться</v>
      </c>
      <c r="W2701" s="8" t="s">
        <v>792</v>
      </c>
      <c r="X2701" s="6" t="s">
        <v>1476</v>
      </c>
      <c r="Y2701" s="6"/>
      <c r="Z2701" s="6"/>
      <c r="AA2701" s="6" t="s">
        <v>61</v>
      </c>
      <c r="AB2701" s="8"/>
    </row>
    <row r="2702" spans="1:28" s="4" customFormat="1" ht="51.95" customHeight="1">
      <c r="A2702" s="5">
        <v>0</v>
      </c>
      <c r="B2702" s="6" t="s">
        <v>16399</v>
      </c>
      <c r="C2702" s="13">
        <v>1664</v>
      </c>
      <c r="D2702" s="8" t="s">
        <v>16400</v>
      </c>
      <c r="E2702" s="8" t="s">
        <v>16401</v>
      </c>
      <c r="F2702" s="8" t="s">
        <v>16402</v>
      </c>
      <c r="G2702" s="6" t="s">
        <v>52</v>
      </c>
      <c r="H2702" s="6" t="s">
        <v>53</v>
      </c>
      <c r="I2702" s="8" t="s">
        <v>90</v>
      </c>
      <c r="J2702" s="9">
        <v>1</v>
      </c>
      <c r="K2702" s="9">
        <v>332</v>
      </c>
      <c r="L2702" s="9">
        <v>2025</v>
      </c>
      <c r="M2702" s="8" t="s">
        <v>16403</v>
      </c>
      <c r="N2702" s="8" t="s">
        <v>413</v>
      </c>
      <c r="O2702" s="8" t="s">
        <v>1528</v>
      </c>
      <c r="P2702" s="6" t="s">
        <v>43</v>
      </c>
      <c r="Q2702" s="8" t="s">
        <v>44</v>
      </c>
      <c r="R2702" s="10" t="s">
        <v>16404</v>
      </c>
      <c r="S2702" s="11" t="s">
        <v>16405</v>
      </c>
      <c r="T2702" s="6"/>
      <c r="U2702" s="24" t="str">
        <f>HYPERLINK("https://media.infra-m.ru/2186/2186884/cover/2186884.jpg", "Обложка")</f>
        <v>Обложка</v>
      </c>
      <c r="V2702" s="24" t="str">
        <f>HYPERLINK("https://znanium.ru/catalog/product/1846460", "Ознакомиться")</f>
        <v>Ознакомиться</v>
      </c>
      <c r="W2702" s="8" t="s">
        <v>1826</v>
      </c>
      <c r="X2702" s="6"/>
      <c r="Y2702" s="6"/>
      <c r="Z2702" s="6"/>
      <c r="AA2702" s="6" t="s">
        <v>111</v>
      </c>
      <c r="AB2702" s="8"/>
    </row>
    <row r="2703" spans="1:28" s="4" customFormat="1" ht="51.95" customHeight="1">
      <c r="A2703" s="5">
        <v>0</v>
      </c>
      <c r="B2703" s="6" t="s">
        <v>16406</v>
      </c>
      <c r="C2703" s="13">
        <v>1660</v>
      </c>
      <c r="D2703" s="8" t="s">
        <v>16407</v>
      </c>
      <c r="E2703" s="8" t="s">
        <v>16401</v>
      </c>
      <c r="F2703" s="8" t="s">
        <v>16402</v>
      </c>
      <c r="G2703" s="6" t="s">
        <v>52</v>
      </c>
      <c r="H2703" s="6" t="s">
        <v>53</v>
      </c>
      <c r="I2703" s="8" t="s">
        <v>100</v>
      </c>
      <c r="J2703" s="9">
        <v>1</v>
      </c>
      <c r="K2703" s="9">
        <v>332</v>
      </c>
      <c r="L2703" s="9">
        <v>2025</v>
      </c>
      <c r="M2703" s="8" t="s">
        <v>16408</v>
      </c>
      <c r="N2703" s="8" t="s">
        <v>413</v>
      </c>
      <c r="O2703" s="8" t="s">
        <v>1528</v>
      </c>
      <c r="P2703" s="6" t="s">
        <v>43</v>
      </c>
      <c r="Q2703" s="8" t="s">
        <v>102</v>
      </c>
      <c r="R2703" s="10" t="s">
        <v>16409</v>
      </c>
      <c r="S2703" s="11"/>
      <c r="T2703" s="6"/>
      <c r="U2703" s="24" t="str">
        <f>HYPERLINK("https://media.infra-m.ru/2175/2175111/cover/2175111.jpg", "Обложка")</f>
        <v>Обложка</v>
      </c>
      <c r="V2703" s="24" t="str">
        <f>HYPERLINK("https://znanium.ru/catalog/product/2175111", "Ознакомиться")</f>
        <v>Ознакомиться</v>
      </c>
      <c r="W2703" s="8" t="s">
        <v>1826</v>
      </c>
      <c r="X2703" s="6" t="s">
        <v>785</v>
      </c>
      <c r="Y2703" s="6"/>
      <c r="Z2703" s="6" t="s">
        <v>104</v>
      </c>
      <c r="AA2703" s="6" t="s">
        <v>61</v>
      </c>
      <c r="AB2703" s="8"/>
    </row>
    <row r="2704" spans="1:28" s="4" customFormat="1" ht="51.95" customHeight="1">
      <c r="A2704" s="5">
        <v>0</v>
      </c>
      <c r="B2704" s="6" t="s">
        <v>16410</v>
      </c>
      <c r="C2704" s="13">
        <v>2892</v>
      </c>
      <c r="D2704" s="8" t="s">
        <v>16411</v>
      </c>
      <c r="E2704" s="8" t="s">
        <v>16412</v>
      </c>
      <c r="F2704" s="8" t="s">
        <v>16413</v>
      </c>
      <c r="G2704" s="6" t="s">
        <v>52</v>
      </c>
      <c r="H2704" s="6" t="s">
        <v>53</v>
      </c>
      <c r="I2704" s="8" t="s">
        <v>1325</v>
      </c>
      <c r="J2704" s="9">
        <v>1</v>
      </c>
      <c r="K2704" s="9">
        <v>488</v>
      </c>
      <c r="L2704" s="9">
        <v>2025</v>
      </c>
      <c r="M2704" s="8" t="s">
        <v>16414</v>
      </c>
      <c r="N2704" s="8" t="s">
        <v>41</v>
      </c>
      <c r="O2704" s="8" t="s">
        <v>129</v>
      </c>
      <c r="P2704" s="6" t="s">
        <v>43</v>
      </c>
      <c r="Q2704" s="8" t="s">
        <v>58</v>
      </c>
      <c r="R2704" s="10" t="s">
        <v>16415</v>
      </c>
      <c r="S2704" s="11" t="s">
        <v>16416</v>
      </c>
      <c r="T2704" s="6"/>
      <c r="U2704" s="24" t="str">
        <f>HYPERLINK("https://media.infra-m.ru/2201/2201624/cover/2201624.jpg", "Обложка")</f>
        <v>Обложка</v>
      </c>
      <c r="V2704" s="24" t="str">
        <f>HYPERLINK("https://znanium.ru/catalog/product/2201624", "Ознакомиться")</f>
        <v>Ознакомиться</v>
      </c>
      <c r="W2704" s="8" t="s">
        <v>1329</v>
      </c>
      <c r="X2704" s="6"/>
      <c r="Y2704" s="6"/>
      <c r="Z2704" s="6"/>
      <c r="AA2704" s="6" t="s">
        <v>207</v>
      </c>
      <c r="AB2704" s="8"/>
    </row>
    <row r="2705" spans="1:28" s="4" customFormat="1" ht="51.95" customHeight="1">
      <c r="A2705" s="5">
        <v>0</v>
      </c>
      <c r="B2705" s="6" t="s">
        <v>16417</v>
      </c>
      <c r="C2705" s="13">
        <v>1250</v>
      </c>
      <c r="D2705" s="8" t="s">
        <v>16418</v>
      </c>
      <c r="E2705" s="8" t="s">
        <v>16419</v>
      </c>
      <c r="F2705" s="8" t="s">
        <v>16420</v>
      </c>
      <c r="G2705" s="6" t="s">
        <v>89</v>
      </c>
      <c r="H2705" s="6" t="s">
        <v>53</v>
      </c>
      <c r="I2705" s="8" t="s">
        <v>116</v>
      </c>
      <c r="J2705" s="9">
        <v>1</v>
      </c>
      <c r="K2705" s="9">
        <v>250</v>
      </c>
      <c r="L2705" s="9">
        <v>2024</v>
      </c>
      <c r="M2705" s="8" t="s">
        <v>16421</v>
      </c>
      <c r="N2705" s="8" t="s">
        <v>79</v>
      </c>
      <c r="O2705" s="8" t="s">
        <v>148</v>
      </c>
      <c r="P2705" s="6" t="s">
        <v>43</v>
      </c>
      <c r="Q2705" s="8" t="s">
        <v>44</v>
      </c>
      <c r="R2705" s="10" t="s">
        <v>16422</v>
      </c>
      <c r="S2705" s="11"/>
      <c r="T2705" s="6"/>
      <c r="U2705" s="24" t="str">
        <f>HYPERLINK("https://media.infra-m.ru/2128/2128632/cover/2128632.jpg", "Обложка")</f>
        <v>Обложка</v>
      </c>
      <c r="V2705" s="24" t="str">
        <f>HYPERLINK("https://znanium.ru/catalog/product/2128632", "Ознакомиться")</f>
        <v>Ознакомиться</v>
      </c>
      <c r="W2705" s="8" t="s">
        <v>637</v>
      </c>
      <c r="X2705" s="6"/>
      <c r="Y2705" s="6"/>
      <c r="Z2705" s="6"/>
      <c r="AA2705" s="6" t="s">
        <v>207</v>
      </c>
      <c r="AB2705" s="8"/>
    </row>
    <row r="2706" spans="1:28" s="4" customFormat="1" ht="51.95" customHeight="1">
      <c r="A2706" s="5">
        <v>0</v>
      </c>
      <c r="B2706" s="6" t="s">
        <v>16423</v>
      </c>
      <c r="C2706" s="13">
        <v>1174</v>
      </c>
      <c r="D2706" s="8" t="s">
        <v>16424</v>
      </c>
      <c r="E2706" s="8" t="s">
        <v>16425</v>
      </c>
      <c r="F2706" s="8" t="s">
        <v>16426</v>
      </c>
      <c r="G2706" s="6" t="s">
        <v>52</v>
      </c>
      <c r="H2706" s="6" t="s">
        <v>53</v>
      </c>
      <c r="I2706" s="8" t="s">
        <v>90</v>
      </c>
      <c r="J2706" s="9">
        <v>1</v>
      </c>
      <c r="K2706" s="9">
        <v>235</v>
      </c>
      <c r="L2706" s="9">
        <v>2025</v>
      </c>
      <c r="M2706" s="8" t="s">
        <v>16427</v>
      </c>
      <c r="N2706" s="8" t="s">
        <v>413</v>
      </c>
      <c r="O2706" s="8" t="s">
        <v>1141</v>
      </c>
      <c r="P2706" s="6" t="s">
        <v>43</v>
      </c>
      <c r="Q2706" s="8" t="s">
        <v>44</v>
      </c>
      <c r="R2706" s="10" t="s">
        <v>16428</v>
      </c>
      <c r="S2706" s="11" t="s">
        <v>16429</v>
      </c>
      <c r="T2706" s="6"/>
      <c r="U2706" s="24" t="str">
        <f>HYPERLINK("https://media.infra-m.ru/2156/2156999/cover/2156999.jpg", "Обложка")</f>
        <v>Обложка</v>
      </c>
      <c r="V2706" s="24" t="str">
        <f>HYPERLINK("https://znanium.ru/catalog/product/1007536", "Ознакомиться")</f>
        <v>Ознакомиться</v>
      </c>
      <c r="W2706" s="8" t="s">
        <v>16430</v>
      </c>
      <c r="X2706" s="6"/>
      <c r="Y2706" s="6"/>
      <c r="Z2706" s="6"/>
      <c r="AA2706" s="6" t="s">
        <v>84</v>
      </c>
      <c r="AB2706" s="8"/>
    </row>
    <row r="2707" spans="1:28" s="4" customFormat="1" ht="44.1" customHeight="1">
      <c r="A2707" s="5">
        <v>0</v>
      </c>
      <c r="B2707" s="6" t="s">
        <v>16431</v>
      </c>
      <c r="C2707" s="7">
        <v>700</v>
      </c>
      <c r="D2707" s="8" t="s">
        <v>16432</v>
      </c>
      <c r="E2707" s="8" t="s">
        <v>16433</v>
      </c>
      <c r="F2707" s="8" t="s">
        <v>16434</v>
      </c>
      <c r="G2707" s="6" t="s">
        <v>52</v>
      </c>
      <c r="H2707" s="6" t="s">
        <v>53</v>
      </c>
      <c r="I2707" s="8" t="s">
        <v>100</v>
      </c>
      <c r="J2707" s="9">
        <v>1</v>
      </c>
      <c r="K2707" s="9">
        <v>142</v>
      </c>
      <c r="L2707" s="9">
        <v>2024</v>
      </c>
      <c r="M2707" s="8" t="s">
        <v>16435</v>
      </c>
      <c r="N2707" s="8" t="s">
        <v>413</v>
      </c>
      <c r="O2707" s="8" t="s">
        <v>1141</v>
      </c>
      <c r="P2707" s="6" t="s">
        <v>43</v>
      </c>
      <c r="Q2707" s="8" t="s">
        <v>102</v>
      </c>
      <c r="R2707" s="10" t="s">
        <v>16436</v>
      </c>
      <c r="S2707" s="11"/>
      <c r="T2707" s="6"/>
      <c r="U2707" s="24" t="str">
        <f>HYPERLINK("https://media.infra-m.ru/2081/2081627/cover/2081627.jpg", "Обложка")</f>
        <v>Обложка</v>
      </c>
      <c r="V2707" s="24" t="str">
        <f>HYPERLINK("https://znanium.ru/catalog/product/2081627", "Ознакомиться")</f>
        <v>Ознакомиться</v>
      </c>
      <c r="W2707" s="8" t="s">
        <v>16430</v>
      </c>
      <c r="X2707" s="6"/>
      <c r="Y2707" s="6"/>
      <c r="Z2707" s="6"/>
      <c r="AA2707" s="6" t="s">
        <v>133</v>
      </c>
      <c r="AB2707" s="8"/>
    </row>
    <row r="2708" spans="1:28" s="4" customFormat="1" ht="51.95" customHeight="1">
      <c r="A2708" s="5">
        <v>0</v>
      </c>
      <c r="B2708" s="6" t="s">
        <v>16437</v>
      </c>
      <c r="C2708" s="7">
        <v>864</v>
      </c>
      <c r="D2708" s="8" t="s">
        <v>16438</v>
      </c>
      <c r="E2708" s="8" t="s">
        <v>16439</v>
      </c>
      <c r="F2708" s="8" t="s">
        <v>16426</v>
      </c>
      <c r="G2708" s="6" t="s">
        <v>52</v>
      </c>
      <c r="H2708" s="6" t="s">
        <v>53</v>
      </c>
      <c r="I2708" s="8" t="s">
        <v>116</v>
      </c>
      <c r="J2708" s="9">
        <v>1</v>
      </c>
      <c r="K2708" s="9">
        <v>184</v>
      </c>
      <c r="L2708" s="9">
        <v>2024</v>
      </c>
      <c r="M2708" s="8" t="s">
        <v>16440</v>
      </c>
      <c r="N2708" s="8" t="s">
        <v>413</v>
      </c>
      <c r="O2708" s="8" t="s">
        <v>1141</v>
      </c>
      <c r="P2708" s="6" t="s">
        <v>43</v>
      </c>
      <c r="Q2708" s="8" t="s">
        <v>44</v>
      </c>
      <c r="R2708" s="10" t="s">
        <v>2005</v>
      </c>
      <c r="S2708" s="11" t="s">
        <v>16429</v>
      </c>
      <c r="T2708" s="6"/>
      <c r="U2708" s="24" t="str">
        <f>HYPERLINK("https://media.infra-m.ru/2091/2091909/cover/2091909.jpg", "Обложка")</f>
        <v>Обложка</v>
      </c>
      <c r="V2708" s="24" t="str">
        <f>HYPERLINK("https://znanium.ru/catalog/product/1861975", "Ознакомиться")</f>
        <v>Ознакомиться</v>
      </c>
      <c r="W2708" s="8" t="s">
        <v>16430</v>
      </c>
      <c r="X2708" s="6"/>
      <c r="Y2708" s="6"/>
      <c r="Z2708" s="6"/>
      <c r="AA2708" s="6" t="s">
        <v>47</v>
      </c>
      <c r="AB2708" s="8"/>
    </row>
    <row r="2709" spans="1:28" s="4" customFormat="1" ht="51.95" customHeight="1">
      <c r="A2709" s="5">
        <v>0</v>
      </c>
      <c r="B2709" s="6" t="s">
        <v>16441</v>
      </c>
      <c r="C2709" s="7">
        <v>650</v>
      </c>
      <c r="D2709" s="8" t="s">
        <v>16442</v>
      </c>
      <c r="E2709" s="8" t="s">
        <v>16443</v>
      </c>
      <c r="F2709" s="8" t="s">
        <v>16434</v>
      </c>
      <c r="G2709" s="6" t="s">
        <v>89</v>
      </c>
      <c r="H2709" s="6" t="s">
        <v>53</v>
      </c>
      <c r="I2709" s="8" t="s">
        <v>116</v>
      </c>
      <c r="J2709" s="9">
        <v>1</v>
      </c>
      <c r="K2709" s="9">
        <v>117</v>
      </c>
      <c r="L2709" s="9">
        <v>2025</v>
      </c>
      <c r="M2709" s="8" t="s">
        <v>16444</v>
      </c>
      <c r="N2709" s="8" t="s">
        <v>413</v>
      </c>
      <c r="O2709" s="8" t="s">
        <v>1141</v>
      </c>
      <c r="P2709" s="6" t="s">
        <v>43</v>
      </c>
      <c r="Q2709" s="8" t="s">
        <v>44</v>
      </c>
      <c r="R2709" s="10" t="s">
        <v>16445</v>
      </c>
      <c r="S2709" s="11" t="s">
        <v>16446</v>
      </c>
      <c r="T2709" s="6"/>
      <c r="U2709" s="24" t="str">
        <f>HYPERLINK("https://media.infra-m.ru/2164/2164374/cover/2164374.jpg", "Обложка")</f>
        <v>Обложка</v>
      </c>
      <c r="V2709" s="24" t="str">
        <f>HYPERLINK("https://znanium.ru/catalog/product/2164374", "Ознакомиться")</f>
        <v>Ознакомиться</v>
      </c>
      <c r="W2709" s="8" t="s">
        <v>16430</v>
      </c>
      <c r="X2709" s="6"/>
      <c r="Y2709" s="6"/>
      <c r="Z2709" s="6"/>
      <c r="AA2709" s="6" t="s">
        <v>219</v>
      </c>
      <c r="AB2709" s="8"/>
    </row>
    <row r="2710" spans="1:28" s="4" customFormat="1" ht="51.95" customHeight="1">
      <c r="A2710" s="5">
        <v>0</v>
      </c>
      <c r="B2710" s="6" t="s">
        <v>16447</v>
      </c>
      <c r="C2710" s="13">
        <v>1100</v>
      </c>
      <c r="D2710" s="8" t="s">
        <v>16448</v>
      </c>
      <c r="E2710" s="8" t="s">
        <v>16449</v>
      </c>
      <c r="F2710" s="8" t="s">
        <v>16434</v>
      </c>
      <c r="G2710" s="6" t="s">
        <v>89</v>
      </c>
      <c r="H2710" s="6" t="s">
        <v>53</v>
      </c>
      <c r="I2710" s="8" t="s">
        <v>90</v>
      </c>
      <c r="J2710" s="9">
        <v>1</v>
      </c>
      <c r="K2710" s="9">
        <v>220</v>
      </c>
      <c r="L2710" s="9">
        <v>2022</v>
      </c>
      <c r="M2710" s="8" t="s">
        <v>16450</v>
      </c>
      <c r="N2710" s="8" t="s">
        <v>413</v>
      </c>
      <c r="O2710" s="8" t="s">
        <v>1141</v>
      </c>
      <c r="P2710" s="6" t="s">
        <v>43</v>
      </c>
      <c r="Q2710" s="8" t="s">
        <v>44</v>
      </c>
      <c r="R2710" s="10" t="s">
        <v>16445</v>
      </c>
      <c r="S2710" s="11" t="s">
        <v>16451</v>
      </c>
      <c r="T2710" s="6"/>
      <c r="U2710" s="24" t="str">
        <f>HYPERLINK("https://media.infra-m.ru/1947/1947418/cover/1947418.jpg", "Обложка")</f>
        <v>Обложка</v>
      </c>
      <c r="V2710" s="24" t="str">
        <f>HYPERLINK("https://znanium.ru/catalog/product/1196545", "Ознакомиться")</f>
        <v>Ознакомиться</v>
      </c>
      <c r="W2710" s="8" t="s">
        <v>16430</v>
      </c>
      <c r="X2710" s="6"/>
      <c r="Y2710" s="6"/>
      <c r="Z2710" s="6"/>
      <c r="AA2710" s="6" t="s">
        <v>235</v>
      </c>
      <c r="AB2710" s="8"/>
    </row>
    <row r="2711" spans="1:28" s="4" customFormat="1" ht="44.1" customHeight="1">
      <c r="A2711" s="5">
        <v>0</v>
      </c>
      <c r="B2711" s="6" t="s">
        <v>16452</v>
      </c>
      <c r="C2711" s="7">
        <v>834</v>
      </c>
      <c r="D2711" s="8" t="s">
        <v>16453</v>
      </c>
      <c r="E2711" s="8" t="s">
        <v>16454</v>
      </c>
      <c r="F2711" s="8" t="s">
        <v>16434</v>
      </c>
      <c r="G2711" s="6" t="s">
        <v>89</v>
      </c>
      <c r="H2711" s="6" t="s">
        <v>53</v>
      </c>
      <c r="I2711" s="8" t="s">
        <v>116</v>
      </c>
      <c r="J2711" s="9">
        <v>1</v>
      </c>
      <c r="K2711" s="9">
        <v>131</v>
      </c>
      <c r="L2711" s="9">
        <v>2025</v>
      </c>
      <c r="M2711" s="8" t="s">
        <v>16455</v>
      </c>
      <c r="N2711" s="8" t="s">
        <v>413</v>
      </c>
      <c r="O2711" s="8" t="s">
        <v>1141</v>
      </c>
      <c r="P2711" s="6" t="s">
        <v>43</v>
      </c>
      <c r="Q2711" s="8" t="s">
        <v>58</v>
      </c>
      <c r="R2711" s="10" t="s">
        <v>16456</v>
      </c>
      <c r="S2711" s="11"/>
      <c r="T2711" s="6"/>
      <c r="U2711" s="24" t="str">
        <f>HYPERLINK("https://media.infra-m.ru/2164/2164375/cover/2164375.jpg", "Обложка")</f>
        <v>Обложка</v>
      </c>
      <c r="V2711" s="24" t="str">
        <f>HYPERLINK("https://znanium.ru/catalog/product/2127953", "Ознакомиться")</f>
        <v>Ознакомиться</v>
      </c>
      <c r="W2711" s="8" t="s">
        <v>16430</v>
      </c>
      <c r="X2711" s="6"/>
      <c r="Y2711" s="6"/>
      <c r="Z2711" s="6"/>
      <c r="AA2711" s="6" t="s">
        <v>207</v>
      </c>
      <c r="AB2711" s="8"/>
    </row>
    <row r="2712" spans="1:28" s="4" customFormat="1" ht="51.95" customHeight="1">
      <c r="A2712" s="5">
        <v>0</v>
      </c>
      <c r="B2712" s="6" t="s">
        <v>16457</v>
      </c>
      <c r="C2712" s="7">
        <v>764.9</v>
      </c>
      <c r="D2712" s="8" t="s">
        <v>16458</v>
      </c>
      <c r="E2712" s="8" t="s">
        <v>16459</v>
      </c>
      <c r="F2712" s="8" t="s">
        <v>16434</v>
      </c>
      <c r="G2712" s="6" t="s">
        <v>52</v>
      </c>
      <c r="H2712" s="6" t="s">
        <v>53</v>
      </c>
      <c r="I2712" s="8" t="s">
        <v>100</v>
      </c>
      <c r="J2712" s="9">
        <v>1</v>
      </c>
      <c r="K2712" s="9">
        <v>148</v>
      </c>
      <c r="L2712" s="9">
        <v>2022</v>
      </c>
      <c r="M2712" s="8" t="s">
        <v>16460</v>
      </c>
      <c r="N2712" s="8" t="s">
        <v>413</v>
      </c>
      <c r="O2712" s="8" t="s">
        <v>1141</v>
      </c>
      <c r="P2712" s="6" t="s">
        <v>43</v>
      </c>
      <c r="Q2712" s="8" t="s">
        <v>102</v>
      </c>
      <c r="R2712" s="10" t="s">
        <v>16461</v>
      </c>
      <c r="S2712" s="11" t="s">
        <v>16462</v>
      </c>
      <c r="T2712" s="6"/>
      <c r="U2712" s="24" t="str">
        <f>HYPERLINK("https://media.infra-m.ru/1904/1904395/cover/1904395.jpg", "Обложка")</f>
        <v>Обложка</v>
      </c>
      <c r="V2712" s="24" t="str">
        <f>HYPERLINK("https://znanium.ru/catalog/product/1874093", "Ознакомиться")</f>
        <v>Ознакомиться</v>
      </c>
      <c r="W2712" s="8" t="s">
        <v>16430</v>
      </c>
      <c r="X2712" s="6"/>
      <c r="Y2712" s="6"/>
      <c r="Z2712" s="6"/>
      <c r="AA2712" s="6" t="s">
        <v>235</v>
      </c>
      <c r="AB2712" s="8" t="s">
        <v>1733</v>
      </c>
    </row>
    <row r="2713" spans="1:28" s="4" customFormat="1" ht="51.95" customHeight="1">
      <c r="A2713" s="5">
        <v>0</v>
      </c>
      <c r="B2713" s="6" t="s">
        <v>16463</v>
      </c>
      <c r="C2713" s="7">
        <v>800</v>
      </c>
      <c r="D2713" s="8" t="s">
        <v>16464</v>
      </c>
      <c r="E2713" s="8" t="s">
        <v>16465</v>
      </c>
      <c r="F2713" s="8" t="s">
        <v>16466</v>
      </c>
      <c r="G2713" s="6" t="s">
        <v>89</v>
      </c>
      <c r="H2713" s="6" t="s">
        <v>66</v>
      </c>
      <c r="I2713" s="8" t="s">
        <v>116</v>
      </c>
      <c r="J2713" s="9">
        <v>1</v>
      </c>
      <c r="K2713" s="9">
        <v>172</v>
      </c>
      <c r="L2713" s="9">
        <v>2024</v>
      </c>
      <c r="M2713" s="8" t="s">
        <v>16467</v>
      </c>
      <c r="N2713" s="8" t="s">
        <v>413</v>
      </c>
      <c r="O2713" s="8" t="s">
        <v>1141</v>
      </c>
      <c r="P2713" s="6" t="s">
        <v>43</v>
      </c>
      <c r="Q2713" s="8" t="s">
        <v>44</v>
      </c>
      <c r="R2713" s="10" t="s">
        <v>16468</v>
      </c>
      <c r="S2713" s="11" t="s">
        <v>16469</v>
      </c>
      <c r="T2713" s="6"/>
      <c r="U2713" s="24" t="str">
        <f>HYPERLINK("https://media.infra-m.ru/2117/2117179/cover/2117179.jpg", "Обложка")</f>
        <v>Обложка</v>
      </c>
      <c r="V2713" s="24" t="str">
        <f>HYPERLINK("https://znanium.ru/catalog/product/1834640", "Ознакомиться")</f>
        <v>Ознакомиться</v>
      </c>
      <c r="W2713" s="8" t="s">
        <v>399</v>
      </c>
      <c r="X2713" s="6"/>
      <c r="Y2713" s="6"/>
      <c r="Z2713" s="6"/>
      <c r="AA2713" s="6" t="s">
        <v>11085</v>
      </c>
      <c r="AB2713" s="8"/>
    </row>
    <row r="2714" spans="1:28" s="4" customFormat="1" ht="51.95" customHeight="1">
      <c r="A2714" s="5">
        <v>0</v>
      </c>
      <c r="B2714" s="6" t="s">
        <v>16470</v>
      </c>
      <c r="C2714" s="7">
        <v>574.4</v>
      </c>
      <c r="D2714" s="8" t="s">
        <v>16471</v>
      </c>
      <c r="E2714" s="8" t="s">
        <v>16465</v>
      </c>
      <c r="F2714" s="8" t="s">
        <v>16472</v>
      </c>
      <c r="G2714" s="6" t="s">
        <v>52</v>
      </c>
      <c r="H2714" s="6" t="s">
        <v>53</v>
      </c>
      <c r="I2714" s="8" t="s">
        <v>100</v>
      </c>
      <c r="J2714" s="9">
        <v>1</v>
      </c>
      <c r="K2714" s="9">
        <v>172</v>
      </c>
      <c r="L2714" s="9">
        <v>2019</v>
      </c>
      <c r="M2714" s="8" t="s">
        <v>16473</v>
      </c>
      <c r="N2714" s="8" t="s">
        <v>413</v>
      </c>
      <c r="O2714" s="8" t="s">
        <v>1141</v>
      </c>
      <c r="P2714" s="6" t="s">
        <v>43</v>
      </c>
      <c r="Q2714" s="8" t="s">
        <v>102</v>
      </c>
      <c r="R2714" s="10" t="s">
        <v>16474</v>
      </c>
      <c r="S2714" s="11" t="s">
        <v>16475</v>
      </c>
      <c r="T2714" s="6"/>
      <c r="U2714" s="24" t="str">
        <f>HYPERLINK("https://media.infra-m.ru/2081/2081989/cover/2081989.jpg", "Обложка")</f>
        <v>Обложка</v>
      </c>
      <c r="V2714" s="24" t="str">
        <f>HYPERLINK("https://znanium.ru/catalog/product/1971060", "Ознакомиться")</f>
        <v>Ознакомиться</v>
      </c>
      <c r="W2714" s="8" t="s">
        <v>399</v>
      </c>
      <c r="X2714" s="6"/>
      <c r="Y2714" s="6"/>
      <c r="Z2714" s="6" t="s">
        <v>104</v>
      </c>
      <c r="AA2714" s="6" t="s">
        <v>707</v>
      </c>
      <c r="AB2714" s="8"/>
    </row>
    <row r="2715" spans="1:28" s="4" customFormat="1" ht="51.95" customHeight="1">
      <c r="A2715" s="5">
        <v>0</v>
      </c>
      <c r="B2715" s="6" t="s">
        <v>16476</v>
      </c>
      <c r="C2715" s="7">
        <v>930</v>
      </c>
      <c r="D2715" s="8" t="s">
        <v>16477</v>
      </c>
      <c r="E2715" s="8" t="s">
        <v>16478</v>
      </c>
      <c r="F2715" s="8" t="s">
        <v>16434</v>
      </c>
      <c r="G2715" s="6" t="s">
        <v>52</v>
      </c>
      <c r="H2715" s="6" t="s">
        <v>53</v>
      </c>
      <c r="I2715" s="8" t="s">
        <v>5586</v>
      </c>
      <c r="J2715" s="9">
        <v>1</v>
      </c>
      <c r="K2715" s="9">
        <v>178</v>
      </c>
      <c r="L2715" s="9">
        <v>2025</v>
      </c>
      <c r="M2715" s="8" t="s">
        <v>16479</v>
      </c>
      <c r="N2715" s="8" t="s">
        <v>413</v>
      </c>
      <c r="O2715" s="8" t="s">
        <v>1141</v>
      </c>
      <c r="P2715" s="6" t="s">
        <v>5588</v>
      </c>
      <c r="Q2715" s="8" t="s">
        <v>58</v>
      </c>
      <c r="R2715" s="10" t="s">
        <v>16480</v>
      </c>
      <c r="S2715" s="11"/>
      <c r="T2715" s="6"/>
      <c r="U2715" s="24" t="str">
        <f>HYPERLINK("https://media.infra-m.ru/2151/2151101/cover/2151101.jpg", "Обложка")</f>
        <v>Обложка</v>
      </c>
      <c r="V2715" s="24" t="str">
        <f>HYPERLINK("https://znanium.ru/catalog/product/2151101", "Ознакомиться")</f>
        <v>Ознакомиться</v>
      </c>
      <c r="W2715" s="8" t="s">
        <v>16430</v>
      </c>
      <c r="X2715" s="6" t="s">
        <v>548</v>
      </c>
      <c r="Y2715" s="6"/>
      <c r="Z2715" s="6"/>
      <c r="AA2715" s="6" t="s">
        <v>61</v>
      </c>
      <c r="AB2715" s="8"/>
    </row>
    <row r="2716" spans="1:28" s="4" customFormat="1" ht="51.95" customHeight="1">
      <c r="A2716" s="5">
        <v>0</v>
      </c>
      <c r="B2716" s="6" t="s">
        <v>16481</v>
      </c>
      <c r="C2716" s="13">
        <v>1190</v>
      </c>
      <c r="D2716" s="8" t="s">
        <v>16482</v>
      </c>
      <c r="E2716" s="8" t="s">
        <v>16483</v>
      </c>
      <c r="F2716" s="8" t="s">
        <v>16484</v>
      </c>
      <c r="G2716" s="6" t="s">
        <v>89</v>
      </c>
      <c r="H2716" s="6" t="s">
        <v>53</v>
      </c>
      <c r="I2716" s="8" t="s">
        <v>782</v>
      </c>
      <c r="J2716" s="9">
        <v>1</v>
      </c>
      <c r="K2716" s="9">
        <v>259</v>
      </c>
      <c r="L2716" s="9">
        <v>2024</v>
      </c>
      <c r="M2716" s="8" t="s">
        <v>16485</v>
      </c>
      <c r="N2716" s="8" t="s">
        <v>79</v>
      </c>
      <c r="O2716" s="8" t="s">
        <v>148</v>
      </c>
      <c r="P2716" s="6" t="s">
        <v>167</v>
      </c>
      <c r="Q2716" s="8" t="s">
        <v>44</v>
      </c>
      <c r="R2716" s="10" t="s">
        <v>16486</v>
      </c>
      <c r="S2716" s="11" t="s">
        <v>16487</v>
      </c>
      <c r="T2716" s="6"/>
      <c r="U2716" s="24" t="str">
        <f>HYPERLINK("https://media.infra-m.ru/2098/2098554/cover/2098554.jpg", "Обложка")</f>
        <v>Обложка</v>
      </c>
      <c r="V2716" s="12"/>
      <c r="W2716" s="8" t="s">
        <v>784</v>
      </c>
      <c r="X2716" s="6"/>
      <c r="Y2716" s="6"/>
      <c r="Z2716" s="6"/>
      <c r="AA2716" s="6" t="s">
        <v>9347</v>
      </c>
      <c r="AB2716" s="8"/>
    </row>
    <row r="2717" spans="1:28" s="4" customFormat="1" ht="51.95" customHeight="1">
      <c r="A2717" s="5">
        <v>0</v>
      </c>
      <c r="B2717" s="6" t="s">
        <v>16488</v>
      </c>
      <c r="C2717" s="13">
        <v>1664</v>
      </c>
      <c r="D2717" s="8" t="s">
        <v>16489</v>
      </c>
      <c r="E2717" s="8" t="s">
        <v>16478</v>
      </c>
      <c r="F2717" s="8" t="s">
        <v>16434</v>
      </c>
      <c r="G2717" s="6" t="s">
        <v>52</v>
      </c>
      <c r="H2717" s="6" t="s">
        <v>53</v>
      </c>
      <c r="I2717" s="8" t="s">
        <v>100</v>
      </c>
      <c r="J2717" s="9">
        <v>1</v>
      </c>
      <c r="K2717" s="9">
        <v>332</v>
      </c>
      <c r="L2717" s="9">
        <v>2025</v>
      </c>
      <c r="M2717" s="8" t="s">
        <v>16490</v>
      </c>
      <c r="N2717" s="8" t="s">
        <v>413</v>
      </c>
      <c r="O2717" s="8" t="s">
        <v>1141</v>
      </c>
      <c r="P2717" s="6" t="s">
        <v>167</v>
      </c>
      <c r="Q2717" s="8" t="s">
        <v>102</v>
      </c>
      <c r="R2717" s="10" t="s">
        <v>16491</v>
      </c>
      <c r="S2717" s="11" t="s">
        <v>16492</v>
      </c>
      <c r="T2717" s="6"/>
      <c r="U2717" s="24" t="str">
        <f>HYPERLINK("https://media.infra-m.ru/2187/2187626/cover/2187626.jpg", "Обложка")</f>
        <v>Обложка</v>
      </c>
      <c r="V2717" s="24" t="str">
        <f>HYPERLINK("https://znanium.ru/catalog/product/1874094", "Ознакомиться")</f>
        <v>Ознакомиться</v>
      </c>
      <c r="W2717" s="8" t="s">
        <v>16430</v>
      </c>
      <c r="X2717" s="6"/>
      <c r="Y2717" s="6"/>
      <c r="Z2717" s="6"/>
      <c r="AA2717" s="6" t="s">
        <v>235</v>
      </c>
      <c r="AB2717" s="8" t="s">
        <v>1733</v>
      </c>
    </row>
    <row r="2718" spans="1:28" s="4" customFormat="1" ht="51.95" customHeight="1">
      <c r="A2718" s="5">
        <v>0</v>
      </c>
      <c r="B2718" s="6" t="s">
        <v>16493</v>
      </c>
      <c r="C2718" s="13">
        <v>1740</v>
      </c>
      <c r="D2718" s="8" t="s">
        <v>16494</v>
      </c>
      <c r="E2718" s="8" t="s">
        <v>16495</v>
      </c>
      <c r="F2718" s="8" t="s">
        <v>16472</v>
      </c>
      <c r="G2718" s="6" t="s">
        <v>89</v>
      </c>
      <c r="H2718" s="6" t="s">
        <v>53</v>
      </c>
      <c r="I2718" s="8" t="s">
        <v>116</v>
      </c>
      <c r="J2718" s="9">
        <v>1</v>
      </c>
      <c r="K2718" s="9">
        <v>285</v>
      </c>
      <c r="L2718" s="9">
        <v>2024</v>
      </c>
      <c r="M2718" s="8" t="s">
        <v>16496</v>
      </c>
      <c r="N2718" s="8" t="s">
        <v>413</v>
      </c>
      <c r="O2718" s="8" t="s">
        <v>1141</v>
      </c>
      <c r="P2718" s="6" t="s">
        <v>167</v>
      </c>
      <c r="Q2718" s="8" t="s">
        <v>44</v>
      </c>
      <c r="R2718" s="10" t="s">
        <v>16497</v>
      </c>
      <c r="S2718" s="11" t="s">
        <v>16498</v>
      </c>
      <c r="T2718" s="6"/>
      <c r="U2718" s="24" t="str">
        <f>HYPERLINK("https://media.infra-m.ru/2143/2143355/cover/2143355.jpg", "Обложка")</f>
        <v>Обложка</v>
      </c>
      <c r="V2718" s="24" t="str">
        <f>HYPERLINK("https://znanium.ru/catalog/product/2143355", "Ознакомиться")</f>
        <v>Ознакомиться</v>
      </c>
      <c r="W2718" s="8" t="s">
        <v>399</v>
      </c>
      <c r="X2718" s="6"/>
      <c r="Y2718" s="6"/>
      <c r="Z2718" s="6"/>
      <c r="AA2718" s="6" t="s">
        <v>1337</v>
      </c>
      <c r="AB2718" s="8"/>
    </row>
    <row r="2719" spans="1:28" s="4" customFormat="1" ht="44.1" customHeight="1">
      <c r="A2719" s="5">
        <v>0</v>
      </c>
      <c r="B2719" s="6" t="s">
        <v>16499</v>
      </c>
      <c r="C2719" s="13">
        <v>1200</v>
      </c>
      <c r="D2719" s="8" t="s">
        <v>16500</v>
      </c>
      <c r="E2719" s="8" t="s">
        <v>16478</v>
      </c>
      <c r="F2719" s="8" t="s">
        <v>16501</v>
      </c>
      <c r="G2719" s="6" t="s">
        <v>89</v>
      </c>
      <c r="H2719" s="6" t="s">
        <v>53</v>
      </c>
      <c r="I2719" s="8" t="s">
        <v>100</v>
      </c>
      <c r="J2719" s="9">
        <v>1</v>
      </c>
      <c r="K2719" s="9">
        <v>248</v>
      </c>
      <c r="L2719" s="9">
        <v>2024</v>
      </c>
      <c r="M2719" s="8" t="s">
        <v>16502</v>
      </c>
      <c r="N2719" s="8" t="s">
        <v>413</v>
      </c>
      <c r="O2719" s="8" t="s">
        <v>1141</v>
      </c>
      <c r="P2719" s="6" t="s">
        <v>43</v>
      </c>
      <c r="Q2719" s="8" t="s">
        <v>102</v>
      </c>
      <c r="R2719" s="10" t="s">
        <v>16503</v>
      </c>
      <c r="S2719" s="11"/>
      <c r="T2719" s="6"/>
      <c r="U2719" s="24" t="str">
        <f>HYPERLINK("https://media.infra-m.ru/2150/2150766/cover/2150766.jpg", "Обложка")</f>
        <v>Обложка</v>
      </c>
      <c r="V2719" s="24" t="str">
        <f>HYPERLINK("https://znanium.ru/catalog/product/2150766", "Ознакомиться")</f>
        <v>Ознакомиться</v>
      </c>
      <c r="W2719" s="8" t="s">
        <v>2878</v>
      </c>
      <c r="X2719" s="6" t="s">
        <v>179</v>
      </c>
      <c r="Y2719" s="6"/>
      <c r="Z2719" s="6" t="s">
        <v>502</v>
      </c>
      <c r="AA2719" s="6" t="s">
        <v>133</v>
      </c>
      <c r="AB2719" s="8"/>
    </row>
    <row r="2720" spans="1:28" s="4" customFormat="1" ht="42" customHeight="1">
      <c r="A2720" s="5">
        <v>0</v>
      </c>
      <c r="B2720" s="6" t="s">
        <v>16504</v>
      </c>
      <c r="C2720" s="13">
        <v>1892</v>
      </c>
      <c r="D2720" s="8" t="s">
        <v>16505</v>
      </c>
      <c r="E2720" s="8" t="s">
        <v>16478</v>
      </c>
      <c r="F2720" s="8" t="s">
        <v>5175</v>
      </c>
      <c r="G2720" s="6" t="s">
        <v>52</v>
      </c>
      <c r="H2720" s="6" t="s">
        <v>53</v>
      </c>
      <c r="I2720" s="8" t="s">
        <v>782</v>
      </c>
      <c r="J2720" s="9">
        <v>1</v>
      </c>
      <c r="K2720" s="9">
        <v>291</v>
      </c>
      <c r="L2720" s="9">
        <v>2024</v>
      </c>
      <c r="M2720" s="8" t="s">
        <v>16506</v>
      </c>
      <c r="N2720" s="8" t="s">
        <v>413</v>
      </c>
      <c r="O2720" s="8" t="s">
        <v>1141</v>
      </c>
      <c r="P2720" s="6" t="s">
        <v>167</v>
      </c>
      <c r="Q2720" s="8" t="s">
        <v>58</v>
      </c>
      <c r="R2720" s="10" t="s">
        <v>16507</v>
      </c>
      <c r="S2720" s="11"/>
      <c r="T2720" s="6"/>
      <c r="U2720" s="24" t="str">
        <f>HYPERLINK("https://media.infra-m.ru/2133/2133998/cover/2133998.jpg", "Обложка")</f>
        <v>Обложка</v>
      </c>
      <c r="V2720" s="12"/>
      <c r="W2720" s="8" t="s">
        <v>784</v>
      </c>
      <c r="X2720" s="6" t="s">
        <v>389</v>
      </c>
      <c r="Y2720" s="6"/>
      <c r="Z2720" s="6"/>
      <c r="AA2720" s="6" t="s">
        <v>133</v>
      </c>
      <c r="AB2720" s="8"/>
    </row>
    <row r="2721" spans="1:28" s="4" customFormat="1" ht="51.95" customHeight="1">
      <c r="A2721" s="5">
        <v>0</v>
      </c>
      <c r="B2721" s="6" t="s">
        <v>16508</v>
      </c>
      <c r="C2721" s="7">
        <v>604.9</v>
      </c>
      <c r="D2721" s="8" t="s">
        <v>16509</v>
      </c>
      <c r="E2721" s="8" t="s">
        <v>16495</v>
      </c>
      <c r="F2721" s="8" t="s">
        <v>16510</v>
      </c>
      <c r="G2721" s="6" t="s">
        <v>38</v>
      </c>
      <c r="H2721" s="6" t="s">
        <v>53</v>
      </c>
      <c r="I2721" s="8" t="s">
        <v>4855</v>
      </c>
      <c r="J2721" s="9">
        <v>1</v>
      </c>
      <c r="K2721" s="9">
        <v>144</v>
      </c>
      <c r="L2721" s="9">
        <v>2022</v>
      </c>
      <c r="M2721" s="8" t="s">
        <v>16511</v>
      </c>
      <c r="N2721" s="8" t="s">
        <v>413</v>
      </c>
      <c r="O2721" s="8" t="s">
        <v>1141</v>
      </c>
      <c r="P2721" s="6" t="s">
        <v>43</v>
      </c>
      <c r="Q2721" s="8" t="s">
        <v>44</v>
      </c>
      <c r="R2721" s="10" t="s">
        <v>16512</v>
      </c>
      <c r="S2721" s="11" t="s">
        <v>16513</v>
      </c>
      <c r="T2721" s="6"/>
      <c r="U2721" s="24" t="str">
        <f>HYPERLINK("https://media.infra-m.ru/1873/1873267/cover/1873267.jpg", "Обложка")</f>
        <v>Обложка</v>
      </c>
      <c r="V2721" s="12"/>
      <c r="W2721" s="8" t="s">
        <v>784</v>
      </c>
      <c r="X2721" s="6"/>
      <c r="Y2721" s="6"/>
      <c r="Z2721" s="6"/>
      <c r="AA2721" s="6" t="s">
        <v>1365</v>
      </c>
      <c r="AB2721" s="8"/>
    </row>
    <row r="2722" spans="1:28" s="4" customFormat="1" ht="51.95" customHeight="1">
      <c r="A2722" s="5">
        <v>0</v>
      </c>
      <c r="B2722" s="6" t="s">
        <v>16514</v>
      </c>
      <c r="C2722" s="13">
        <v>1160</v>
      </c>
      <c r="D2722" s="8" t="s">
        <v>16515</v>
      </c>
      <c r="E2722" s="8" t="s">
        <v>16478</v>
      </c>
      <c r="F2722" s="8" t="s">
        <v>16501</v>
      </c>
      <c r="G2722" s="6" t="s">
        <v>89</v>
      </c>
      <c r="H2722" s="6" t="s">
        <v>53</v>
      </c>
      <c r="I2722" s="8" t="s">
        <v>116</v>
      </c>
      <c r="J2722" s="9">
        <v>1</v>
      </c>
      <c r="K2722" s="9">
        <v>248</v>
      </c>
      <c r="L2722" s="9">
        <v>2024</v>
      </c>
      <c r="M2722" s="8" t="s">
        <v>16516</v>
      </c>
      <c r="N2722" s="8" t="s">
        <v>413</v>
      </c>
      <c r="O2722" s="8" t="s">
        <v>1141</v>
      </c>
      <c r="P2722" s="6" t="s">
        <v>43</v>
      </c>
      <c r="Q2722" s="8" t="s">
        <v>58</v>
      </c>
      <c r="R2722" s="10" t="s">
        <v>16497</v>
      </c>
      <c r="S2722" s="11" t="s">
        <v>16517</v>
      </c>
      <c r="T2722" s="6"/>
      <c r="U2722" s="24" t="str">
        <f>HYPERLINK("https://media.infra-m.ru/2151/2151388/cover/2151388.jpg", "Обложка")</f>
        <v>Обложка</v>
      </c>
      <c r="V2722" s="24" t="str">
        <f>HYPERLINK("https://znanium.ru/catalog/product/2151388", "Ознакомиться")</f>
        <v>Ознакомиться</v>
      </c>
      <c r="W2722" s="8" t="s">
        <v>2878</v>
      </c>
      <c r="X2722" s="6"/>
      <c r="Y2722" s="6"/>
      <c r="Z2722" s="6"/>
      <c r="AA2722" s="6" t="s">
        <v>47</v>
      </c>
      <c r="AB2722" s="8"/>
    </row>
    <row r="2723" spans="1:28" s="4" customFormat="1" ht="51.95" customHeight="1">
      <c r="A2723" s="5">
        <v>0</v>
      </c>
      <c r="B2723" s="6" t="s">
        <v>16518</v>
      </c>
      <c r="C2723" s="13">
        <v>1445</v>
      </c>
      <c r="D2723" s="8" t="s">
        <v>16519</v>
      </c>
      <c r="E2723" s="8" t="s">
        <v>16520</v>
      </c>
      <c r="F2723" s="8" t="s">
        <v>16521</v>
      </c>
      <c r="G2723" s="6" t="s">
        <v>38</v>
      </c>
      <c r="H2723" s="6" t="s">
        <v>438</v>
      </c>
      <c r="I2723" s="8"/>
      <c r="J2723" s="9">
        <v>1</v>
      </c>
      <c r="K2723" s="9">
        <v>170</v>
      </c>
      <c r="L2723" s="9">
        <v>2019</v>
      </c>
      <c r="M2723" s="8" t="s">
        <v>16522</v>
      </c>
      <c r="N2723" s="8" t="s">
        <v>56</v>
      </c>
      <c r="O2723" s="8" t="s">
        <v>2183</v>
      </c>
      <c r="P2723" s="6" t="s">
        <v>43</v>
      </c>
      <c r="Q2723" s="8" t="s">
        <v>44</v>
      </c>
      <c r="R2723" s="10" t="s">
        <v>16523</v>
      </c>
      <c r="S2723" s="11"/>
      <c r="T2723" s="6"/>
      <c r="U2723" s="24" t="str">
        <f>HYPERLINK("https://media.infra-m.ru/0982/0982325/cover/982325.jpg", "Обложка")</f>
        <v>Обложка</v>
      </c>
      <c r="V2723" s="12"/>
      <c r="W2723" s="8" t="s">
        <v>1853</v>
      </c>
      <c r="X2723" s="6"/>
      <c r="Y2723" s="6"/>
      <c r="Z2723" s="6"/>
      <c r="AA2723" s="6" t="s">
        <v>111</v>
      </c>
      <c r="AB2723" s="8"/>
    </row>
    <row r="2724" spans="1:28" s="4" customFormat="1" ht="42" customHeight="1">
      <c r="A2724" s="5">
        <v>0</v>
      </c>
      <c r="B2724" s="6" t="s">
        <v>16524</v>
      </c>
      <c r="C2724" s="13">
        <v>1784</v>
      </c>
      <c r="D2724" s="8" t="s">
        <v>16525</v>
      </c>
      <c r="E2724" s="8" t="s">
        <v>16526</v>
      </c>
      <c r="F2724" s="8" t="s">
        <v>16527</v>
      </c>
      <c r="G2724" s="6" t="s">
        <v>52</v>
      </c>
      <c r="H2724" s="6" t="s">
        <v>53</v>
      </c>
      <c r="I2724" s="8" t="s">
        <v>276</v>
      </c>
      <c r="J2724" s="9">
        <v>1</v>
      </c>
      <c r="K2724" s="9">
        <v>357</v>
      </c>
      <c r="L2724" s="9">
        <v>2024</v>
      </c>
      <c r="M2724" s="8" t="s">
        <v>16528</v>
      </c>
      <c r="N2724" s="8" t="s">
        <v>997</v>
      </c>
      <c r="O2724" s="8" t="s">
        <v>998</v>
      </c>
      <c r="P2724" s="6" t="s">
        <v>167</v>
      </c>
      <c r="Q2724" s="8" t="s">
        <v>279</v>
      </c>
      <c r="R2724" s="10" t="s">
        <v>12319</v>
      </c>
      <c r="S2724" s="11"/>
      <c r="T2724" s="6"/>
      <c r="U2724" s="24" t="str">
        <f>HYPERLINK("https://media.infra-m.ru/2187/2187823/cover/2187823.jpg", "Обложка")</f>
        <v>Обложка</v>
      </c>
      <c r="V2724" s="24" t="str">
        <f>HYPERLINK("https://znanium.ru/catalog/product/2137696", "Ознакомиться")</f>
        <v>Ознакомиться</v>
      </c>
      <c r="W2724" s="8" t="s">
        <v>2514</v>
      </c>
      <c r="X2724" s="6"/>
      <c r="Y2724" s="6"/>
      <c r="Z2724" s="6"/>
      <c r="AA2724" s="6" t="s">
        <v>133</v>
      </c>
      <c r="AB2724" s="8"/>
    </row>
    <row r="2725" spans="1:28" s="4" customFormat="1" ht="42" customHeight="1">
      <c r="A2725" s="5">
        <v>0</v>
      </c>
      <c r="B2725" s="6" t="s">
        <v>16529</v>
      </c>
      <c r="C2725" s="13">
        <v>1450</v>
      </c>
      <c r="D2725" s="8" t="s">
        <v>16530</v>
      </c>
      <c r="E2725" s="8" t="s">
        <v>16526</v>
      </c>
      <c r="F2725" s="8" t="s">
        <v>16527</v>
      </c>
      <c r="G2725" s="6" t="s">
        <v>52</v>
      </c>
      <c r="H2725" s="6" t="s">
        <v>53</v>
      </c>
      <c r="I2725" s="8" t="s">
        <v>116</v>
      </c>
      <c r="J2725" s="9">
        <v>1</v>
      </c>
      <c r="K2725" s="9">
        <v>272</v>
      </c>
      <c r="L2725" s="9">
        <v>2025</v>
      </c>
      <c r="M2725" s="8" t="s">
        <v>16531</v>
      </c>
      <c r="N2725" s="8" t="s">
        <v>997</v>
      </c>
      <c r="O2725" s="8" t="s">
        <v>998</v>
      </c>
      <c r="P2725" s="6" t="s">
        <v>167</v>
      </c>
      <c r="Q2725" s="8" t="s">
        <v>44</v>
      </c>
      <c r="R2725" s="10" t="s">
        <v>6394</v>
      </c>
      <c r="S2725" s="11"/>
      <c r="T2725" s="6"/>
      <c r="U2725" s="24" t="str">
        <f>HYPERLINK("https://media.infra-m.ru/2137/2137689/cover/2137689.jpg", "Обложка")</f>
        <v>Обложка</v>
      </c>
      <c r="V2725" s="24" t="str">
        <f>HYPERLINK("https://znanium.ru/catalog/product/2137689", "Ознакомиться")</f>
        <v>Ознакомиться</v>
      </c>
      <c r="W2725" s="8" t="s">
        <v>2514</v>
      </c>
      <c r="X2725" s="6" t="s">
        <v>226</v>
      </c>
      <c r="Y2725" s="6"/>
      <c r="Z2725" s="6"/>
      <c r="AA2725" s="6" t="s">
        <v>133</v>
      </c>
      <c r="AB2725" s="8"/>
    </row>
    <row r="2726" spans="1:28" s="4" customFormat="1" ht="42" customHeight="1">
      <c r="A2726" s="5">
        <v>0</v>
      </c>
      <c r="B2726" s="6" t="s">
        <v>16532</v>
      </c>
      <c r="C2726" s="13">
        <v>1764</v>
      </c>
      <c r="D2726" s="8" t="s">
        <v>16533</v>
      </c>
      <c r="E2726" s="8" t="s">
        <v>16534</v>
      </c>
      <c r="F2726" s="8" t="s">
        <v>16535</v>
      </c>
      <c r="G2726" s="6" t="s">
        <v>52</v>
      </c>
      <c r="H2726" s="6" t="s">
        <v>53</v>
      </c>
      <c r="I2726" s="8" t="s">
        <v>90</v>
      </c>
      <c r="J2726" s="9">
        <v>1</v>
      </c>
      <c r="K2726" s="9">
        <v>383</v>
      </c>
      <c r="L2726" s="9">
        <v>2024</v>
      </c>
      <c r="M2726" s="8" t="s">
        <v>16536</v>
      </c>
      <c r="N2726" s="8" t="s">
        <v>79</v>
      </c>
      <c r="O2726" s="8" t="s">
        <v>684</v>
      </c>
      <c r="P2726" s="6" t="s">
        <v>167</v>
      </c>
      <c r="Q2726" s="8" t="s">
        <v>44</v>
      </c>
      <c r="R2726" s="10" t="s">
        <v>11874</v>
      </c>
      <c r="S2726" s="11"/>
      <c r="T2726" s="6" t="s">
        <v>299</v>
      </c>
      <c r="U2726" s="24" t="str">
        <f>HYPERLINK("https://media.infra-m.ru/2087/2087320/cover/2087320.jpg", "Обложка")</f>
        <v>Обложка</v>
      </c>
      <c r="V2726" s="24" t="str">
        <f>HYPERLINK("https://znanium.ru/catalog/product/1081865", "Ознакомиться")</f>
        <v>Ознакомиться</v>
      </c>
      <c r="W2726" s="8" t="s">
        <v>16537</v>
      </c>
      <c r="X2726" s="6"/>
      <c r="Y2726" s="6"/>
      <c r="Z2726" s="6"/>
      <c r="AA2726" s="6" t="s">
        <v>494</v>
      </c>
      <c r="AB2726" s="8"/>
    </row>
    <row r="2727" spans="1:28" s="4" customFormat="1" ht="51.95" customHeight="1">
      <c r="A2727" s="5">
        <v>0</v>
      </c>
      <c r="B2727" s="6" t="s">
        <v>16538</v>
      </c>
      <c r="C2727" s="13">
        <v>2800</v>
      </c>
      <c r="D2727" s="8" t="s">
        <v>16539</v>
      </c>
      <c r="E2727" s="8" t="s">
        <v>16540</v>
      </c>
      <c r="F2727" s="8" t="s">
        <v>16541</v>
      </c>
      <c r="G2727" s="6" t="s">
        <v>52</v>
      </c>
      <c r="H2727" s="6" t="s">
        <v>53</v>
      </c>
      <c r="I2727" s="8" t="s">
        <v>116</v>
      </c>
      <c r="J2727" s="9">
        <v>1</v>
      </c>
      <c r="K2727" s="9">
        <v>539</v>
      </c>
      <c r="L2727" s="9">
        <v>2025</v>
      </c>
      <c r="M2727" s="8" t="s">
        <v>16542</v>
      </c>
      <c r="N2727" s="8" t="s">
        <v>79</v>
      </c>
      <c r="O2727" s="8" t="s">
        <v>174</v>
      </c>
      <c r="P2727" s="6" t="s">
        <v>43</v>
      </c>
      <c r="Q2727" s="8" t="s">
        <v>214</v>
      </c>
      <c r="R2727" s="10" t="s">
        <v>16543</v>
      </c>
      <c r="S2727" s="11" t="s">
        <v>16544</v>
      </c>
      <c r="T2727" s="6"/>
      <c r="U2727" s="24" t="str">
        <f>HYPERLINK("https://media.infra-m.ru/2196/2196858/cover/2196858.jpg", "Обложка")</f>
        <v>Обложка</v>
      </c>
      <c r="V2727" s="24" t="str">
        <f>HYPERLINK("https://znanium.ru/catalog/product/2196858", "Ознакомиться")</f>
        <v>Ознакомиться</v>
      </c>
      <c r="W2727" s="8" t="s">
        <v>13535</v>
      </c>
      <c r="X2727" s="6"/>
      <c r="Y2727" s="6"/>
      <c r="Z2727" s="6"/>
      <c r="AA2727" s="6" t="s">
        <v>219</v>
      </c>
      <c r="AB2727" s="8"/>
    </row>
    <row r="2728" spans="1:28" s="4" customFormat="1" ht="42" customHeight="1">
      <c r="A2728" s="5">
        <v>0</v>
      </c>
      <c r="B2728" s="6" t="s">
        <v>16545</v>
      </c>
      <c r="C2728" s="7">
        <v>550</v>
      </c>
      <c r="D2728" s="8" t="s">
        <v>16546</v>
      </c>
      <c r="E2728" s="8" t="s">
        <v>16547</v>
      </c>
      <c r="F2728" s="8" t="s">
        <v>16548</v>
      </c>
      <c r="G2728" s="6" t="s">
        <v>52</v>
      </c>
      <c r="H2728" s="6" t="s">
        <v>53</v>
      </c>
      <c r="I2728" s="8" t="s">
        <v>212</v>
      </c>
      <c r="J2728" s="9">
        <v>1</v>
      </c>
      <c r="K2728" s="9">
        <v>106</v>
      </c>
      <c r="L2728" s="9">
        <v>2021</v>
      </c>
      <c r="M2728" s="8" t="s">
        <v>16549</v>
      </c>
      <c r="N2728" s="8" t="s">
        <v>79</v>
      </c>
      <c r="O2728" s="8" t="s">
        <v>424</v>
      </c>
      <c r="P2728" s="6" t="s">
        <v>43</v>
      </c>
      <c r="Q2728" s="8" t="s">
        <v>214</v>
      </c>
      <c r="R2728" s="10" t="s">
        <v>16550</v>
      </c>
      <c r="S2728" s="11"/>
      <c r="T2728" s="6"/>
      <c r="U2728" s="24" t="str">
        <f>HYPERLINK("https://media.infra-m.ru/1201/1201340/cover/1201340.jpg", "Обложка")</f>
        <v>Обложка</v>
      </c>
      <c r="V2728" s="24" t="str">
        <f>HYPERLINK("https://znanium.ru/catalog/product/1201340", "Ознакомиться")</f>
        <v>Ознакомиться</v>
      </c>
      <c r="W2728" s="8" t="s">
        <v>2521</v>
      </c>
      <c r="X2728" s="6"/>
      <c r="Y2728" s="6"/>
      <c r="Z2728" s="6"/>
      <c r="AA2728" s="6" t="s">
        <v>219</v>
      </c>
      <c r="AB2728" s="8"/>
    </row>
    <row r="2729" spans="1:28" s="4" customFormat="1" ht="42" customHeight="1">
      <c r="A2729" s="5">
        <v>0</v>
      </c>
      <c r="B2729" s="6" t="s">
        <v>16551</v>
      </c>
      <c r="C2729" s="13">
        <v>1420</v>
      </c>
      <c r="D2729" s="8" t="s">
        <v>16552</v>
      </c>
      <c r="E2729" s="8" t="s">
        <v>16553</v>
      </c>
      <c r="F2729" s="8" t="s">
        <v>16554</v>
      </c>
      <c r="G2729" s="6" t="s">
        <v>52</v>
      </c>
      <c r="H2729" s="6" t="s">
        <v>53</v>
      </c>
      <c r="I2729" s="8" t="s">
        <v>116</v>
      </c>
      <c r="J2729" s="9">
        <v>1</v>
      </c>
      <c r="K2729" s="9">
        <v>275</v>
      </c>
      <c r="L2729" s="9">
        <v>2024</v>
      </c>
      <c r="M2729" s="8" t="s">
        <v>16555</v>
      </c>
      <c r="N2729" s="8" t="s">
        <v>56</v>
      </c>
      <c r="O2729" s="8" t="s">
        <v>4042</v>
      </c>
      <c r="P2729" s="6" t="s">
        <v>43</v>
      </c>
      <c r="Q2729" s="8" t="s">
        <v>58</v>
      </c>
      <c r="R2729" s="10" t="s">
        <v>16556</v>
      </c>
      <c r="S2729" s="11"/>
      <c r="T2729" s="6"/>
      <c r="U2729" s="24" t="str">
        <f>HYPERLINK("https://media.infra-m.ru/2030/2030897/cover/2030897.jpg", "Обложка")</f>
        <v>Обложка</v>
      </c>
      <c r="V2729" s="24" t="str">
        <f>HYPERLINK("https://znanium.ru/catalog/product/2030897", "Ознакомиться")</f>
        <v>Ознакомиться</v>
      </c>
      <c r="W2729" s="8" t="s">
        <v>16557</v>
      </c>
      <c r="X2729" s="6" t="s">
        <v>772</v>
      </c>
      <c r="Y2729" s="6"/>
      <c r="Z2729" s="6"/>
      <c r="AA2729" s="6" t="s">
        <v>133</v>
      </c>
      <c r="AB2729" s="8"/>
    </row>
    <row r="2730" spans="1:28" s="4" customFormat="1" ht="44.1" customHeight="1">
      <c r="A2730" s="5">
        <v>0</v>
      </c>
      <c r="B2730" s="6" t="s">
        <v>16558</v>
      </c>
      <c r="C2730" s="7">
        <v>494.9</v>
      </c>
      <c r="D2730" s="8" t="s">
        <v>16559</v>
      </c>
      <c r="E2730" s="8" t="s">
        <v>16560</v>
      </c>
      <c r="F2730" s="8" t="s">
        <v>6978</v>
      </c>
      <c r="G2730" s="6" t="s">
        <v>38</v>
      </c>
      <c r="H2730" s="6" t="s">
        <v>53</v>
      </c>
      <c r="I2730" s="8" t="s">
        <v>90</v>
      </c>
      <c r="J2730" s="9">
        <v>1</v>
      </c>
      <c r="K2730" s="9">
        <v>101</v>
      </c>
      <c r="L2730" s="9">
        <v>2023</v>
      </c>
      <c r="M2730" s="8" t="s">
        <v>16561</v>
      </c>
      <c r="N2730" s="8" t="s">
        <v>41</v>
      </c>
      <c r="O2730" s="8" t="s">
        <v>1204</v>
      </c>
      <c r="P2730" s="6" t="s">
        <v>43</v>
      </c>
      <c r="Q2730" s="8" t="s">
        <v>44</v>
      </c>
      <c r="R2730" s="10" t="s">
        <v>9496</v>
      </c>
      <c r="S2730" s="11"/>
      <c r="T2730" s="6"/>
      <c r="U2730" s="24" t="str">
        <f>HYPERLINK("https://media.infra-m.ru/1913/1913026/cover/1913026.jpg", "Обложка")</f>
        <v>Обложка</v>
      </c>
      <c r="V2730" s="24" t="str">
        <f>HYPERLINK("https://znanium.ru/catalog/product/938019", "Ознакомиться")</f>
        <v>Ознакомиться</v>
      </c>
      <c r="W2730" s="8" t="s">
        <v>4293</v>
      </c>
      <c r="X2730" s="6"/>
      <c r="Y2730" s="6"/>
      <c r="Z2730" s="6"/>
      <c r="AA2730" s="6" t="s">
        <v>418</v>
      </c>
      <c r="AB2730" s="8"/>
    </row>
    <row r="2731" spans="1:28" s="4" customFormat="1" ht="51.95" customHeight="1">
      <c r="A2731" s="5">
        <v>0</v>
      </c>
      <c r="B2731" s="6" t="s">
        <v>16562</v>
      </c>
      <c r="C2731" s="13">
        <v>1044</v>
      </c>
      <c r="D2731" s="8" t="s">
        <v>16563</v>
      </c>
      <c r="E2731" s="8" t="s">
        <v>16564</v>
      </c>
      <c r="F2731" s="8" t="s">
        <v>16565</v>
      </c>
      <c r="G2731" s="6" t="s">
        <v>52</v>
      </c>
      <c r="H2731" s="6" t="s">
        <v>53</v>
      </c>
      <c r="I2731" s="8" t="s">
        <v>90</v>
      </c>
      <c r="J2731" s="9">
        <v>1</v>
      </c>
      <c r="K2731" s="9">
        <v>228</v>
      </c>
      <c r="L2731" s="9">
        <v>2024</v>
      </c>
      <c r="M2731" s="8" t="s">
        <v>16566</v>
      </c>
      <c r="N2731" s="8" t="s">
        <v>56</v>
      </c>
      <c r="O2731" s="8" t="s">
        <v>57</v>
      </c>
      <c r="P2731" s="6" t="s">
        <v>43</v>
      </c>
      <c r="Q2731" s="8" t="s">
        <v>44</v>
      </c>
      <c r="R2731" s="10" t="s">
        <v>16567</v>
      </c>
      <c r="S2731" s="11" t="s">
        <v>16568</v>
      </c>
      <c r="T2731" s="6"/>
      <c r="U2731" s="24" t="str">
        <f>HYPERLINK("https://media.infra-m.ru/2110/2110949/cover/2110949.jpg", "Обложка")</f>
        <v>Обложка</v>
      </c>
      <c r="V2731" s="24" t="str">
        <f>HYPERLINK("https://znanium.ru/catalog/product/999916", "Ознакомиться")</f>
        <v>Ознакомиться</v>
      </c>
      <c r="W2731" s="8" t="s">
        <v>8824</v>
      </c>
      <c r="X2731" s="6"/>
      <c r="Y2731" s="6"/>
      <c r="Z2731" s="6"/>
      <c r="AA2731" s="6" t="s">
        <v>793</v>
      </c>
      <c r="AB2731" s="8"/>
    </row>
    <row r="2732" spans="1:28" s="4" customFormat="1" ht="51.95" customHeight="1">
      <c r="A2732" s="5">
        <v>0</v>
      </c>
      <c r="B2732" s="6" t="s">
        <v>16569</v>
      </c>
      <c r="C2732" s="13">
        <v>1214</v>
      </c>
      <c r="D2732" s="8" t="s">
        <v>16570</v>
      </c>
      <c r="E2732" s="8" t="s">
        <v>16571</v>
      </c>
      <c r="F2732" s="8" t="s">
        <v>16572</v>
      </c>
      <c r="G2732" s="6" t="s">
        <v>52</v>
      </c>
      <c r="H2732" s="6" t="s">
        <v>53</v>
      </c>
      <c r="I2732" s="8" t="s">
        <v>100</v>
      </c>
      <c r="J2732" s="9">
        <v>1</v>
      </c>
      <c r="K2732" s="9">
        <v>219</v>
      </c>
      <c r="L2732" s="9">
        <v>2024</v>
      </c>
      <c r="M2732" s="8" t="s">
        <v>16573</v>
      </c>
      <c r="N2732" s="8" t="s">
        <v>56</v>
      </c>
      <c r="O2732" s="8" t="s">
        <v>57</v>
      </c>
      <c r="P2732" s="6" t="s">
        <v>167</v>
      </c>
      <c r="Q2732" s="8" t="s">
        <v>102</v>
      </c>
      <c r="R2732" s="10" t="s">
        <v>2015</v>
      </c>
      <c r="S2732" s="11" t="s">
        <v>16574</v>
      </c>
      <c r="T2732" s="6"/>
      <c r="U2732" s="24" t="str">
        <f>HYPERLINK("https://media.infra-m.ru/2145/2145220/cover/2145220.jpg", "Обложка")</f>
        <v>Обложка</v>
      </c>
      <c r="V2732" s="24" t="str">
        <f>HYPERLINK("https://znanium.ru/catalog/product/1843012", "Ознакомиться")</f>
        <v>Ознакомиться</v>
      </c>
      <c r="W2732" s="8" t="s">
        <v>2988</v>
      </c>
      <c r="X2732" s="6"/>
      <c r="Y2732" s="6"/>
      <c r="Z2732" s="6"/>
      <c r="AA2732" s="6" t="s">
        <v>235</v>
      </c>
      <c r="AB2732" s="8" t="s">
        <v>12026</v>
      </c>
    </row>
    <row r="2733" spans="1:28" s="4" customFormat="1" ht="51.95" customHeight="1">
      <c r="A2733" s="5">
        <v>0</v>
      </c>
      <c r="B2733" s="6" t="s">
        <v>16575</v>
      </c>
      <c r="C2733" s="13">
        <v>2294</v>
      </c>
      <c r="D2733" s="8" t="s">
        <v>16576</v>
      </c>
      <c r="E2733" s="8" t="s">
        <v>16577</v>
      </c>
      <c r="F2733" s="8" t="s">
        <v>16578</v>
      </c>
      <c r="G2733" s="6" t="s">
        <v>52</v>
      </c>
      <c r="H2733" s="6" t="s">
        <v>53</v>
      </c>
      <c r="I2733" s="8" t="s">
        <v>100</v>
      </c>
      <c r="J2733" s="9">
        <v>1</v>
      </c>
      <c r="K2733" s="9">
        <v>471</v>
      </c>
      <c r="L2733" s="9">
        <v>2025</v>
      </c>
      <c r="M2733" s="8" t="s">
        <v>16579</v>
      </c>
      <c r="N2733" s="8" t="s">
        <v>56</v>
      </c>
      <c r="O2733" s="8" t="s">
        <v>57</v>
      </c>
      <c r="P2733" s="6" t="s">
        <v>43</v>
      </c>
      <c r="Q2733" s="8" t="s">
        <v>102</v>
      </c>
      <c r="R2733" s="10" t="s">
        <v>16580</v>
      </c>
      <c r="S2733" s="11" t="s">
        <v>14134</v>
      </c>
      <c r="T2733" s="6"/>
      <c r="U2733" s="24" t="str">
        <f>HYPERLINK("https://media.infra-m.ru/2188/2188882/cover/2188882.jpg", "Обложка")</f>
        <v>Обложка</v>
      </c>
      <c r="V2733" s="24" t="str">
        <f>HYPERLINK("https://znanium.ru/catalog/product/1026003", "Ознакомиться")</f>
        <v>Ознакомиться</v>
      </c>
      <c r="W2733" s="8" t="s">
        <v>450</v>
      </c>
      <c r="X2733" s="6"/>
      <c r="Y2733" s="6"/>
      <c r="Z2733" s="6" t="s">
        <v>104</v>
      </c>
      <c r="AA2733" s="6" t="s">
        <v>258</v>
      </c>
      <c r="AB2733" s="8"/>
    </row>
    <row r="2734" spans="1:28" s="4" customFormat="1" ht="51.95" customHeight="1">
      <c r="A2734" s="5">
        <v>0</v>
      </c>
      <c r="B2734" s="6" t="s">
        <v>16581</v>
      </c>
      <c r="C2734" s="13">
        <v>2100</v>
      </c>
      <c r="D2734" s="8" t="s">
        <v>16582</v>
      </c>
      <c r="E2734" s="8" t="s">
        <v>16577</v>
      </c>
      <c r="F2734" s="8" t="s">
        <v>16578</v>
      </c>
      <c r="G2734" s="6" t="s">
        <v>52</v>
      </c>
      <c r="H2734" s="6" t="s">
        <v>53</v>
      </c>
      <c r="I2734" s="8" t="s">
        <v>116</v>
      </c>
      <c r="J2734" s="9">
        <v>1</v>
      </c>
      <c r="K2734" s="9">
        <v>471</v>
      </c>
      <c r="L2734" s="9">
        <v>2024</v>
      </c>
      <c r="M2734" s="8" t="s">
        <v>16583</v>
      </c>
      <c r="N2734" s="8" t="s">
        <v>56</v>
      </c>
      <c r="O2734" s="8" t="s">
        <v>57</v>
      </c>
      <c r="P2734" s="6" t="s">
        <v>43</v>
      </c>
      <c r="Q2734" s="8" t="s">
        <v>44</v>
      </c>
      <c r="R2734" s="10" t="s">
        <v>2461</v>
      </c>
      <c r="S2734" s="11" t="s">
        <v>16584</v>
      </c>
      <c r="T2734" s="6"/>
      <c r="U2734" s="24" t="str">
        <f>HYPERLINK("https://media.infra-m.ru/2110/2110955/cover/2110955.jpg", "Обложка")</f>
        <v>Обложка</v>
      </c>
      <c r="V2734" s="24" t="str">
        <f>HYPERLINK("https://znanium.ru/catalog/product/2110955", "Ознакомиться")</f>
        <v>Ознакомиться</v>
      </c>
      <c r="W2734" s="8" t="s">
        <v>450</v>
      </c>
      <c r="X2734" s="6"/>
      <c r="Y2734" s="6"/>
      <c r="Z2734" s="6"/>
      <c r="AA2734" s="6" t="s">
        <v>258</v>
      </c>
      <c r="AB2734" s="8"/>
    </row>
    <row r="2735" spans="1:28" s="4" customFormat="1" ht="51.95" customHeight="1">
      <c r="A2735" s="5">
        <v>0</v>
      </c>
      <c r="B2735" s="6" t="s">
        <v>16585</v>
      </c>
      <c r="C2735" s="7">
        <v>794</v>
      </c>
      <c r="D2735" s="8" t="s">
        <v>16586</v>
      </c>
      <c r="E2735" s="8" t="s">
        <v>16587</v>
      </c>
      <c r="F2735" s="8" t="s">
        <v>16588</v>
      </c>
      <c r="G2735" s="6" t="s">
        <v>38</v>
      </c>
      <c r="H2735" s="6" t="s">
        <v>438</v>
      </c>
      <c r="I2735" s="8"/>
      <c r="J2735" s="9">
        <v>1</v>
      </c>
      <c r="K2735" s="9">
        <v>176</v>
      </c>
      <c r="L2735" s="9">
        <v>2023</v>
      </c>
      <c r="M2735" s="8" t="s">
        <v>16589</v>
      </c>
      <c r="N2735" s="8" t="s">
        <v>56</v>
      </c>
      <c r="O2735" s="8" t="s">
        <v>57</v>
      </c>
      <c r="P2735" s="6" t="s">
        <v>43</v>
      </c>
      <c r="Q2735" s="8" t="s">
        <v>44</v>
      </c>
      <c r="R2735" s="10" t="s">
        <v>16590</v>
      </c>
      <c r="S2735" s="11"/>
      <c r="T2735" s="6"/>
      <c r="U2735" s="24" t="str">
        <f>HYPERLINK("https://media.infra-m.ru/1054/1054213/cover/1054213.jpg", "Обложка")</f>
        <v>Обложка</v>
      </c>
      <c r="V2735" s="24" t="str">
        <f>HYPERLINK("https://znanium.ru/catalog/product/995364", "Ознакомиться")</f>
        <v>Ознакомиться</v>
      </c>
      <c r="W2735" s="8"/>
      <c r="X2735" s="6"/>
      <c r="Y2735" s="6"/>
      <c r="Z2735" s="6"/>
      <c r="AA2735" s="6" t="s">
        <v>84</v>
      </c>
      <c r="AB2735" s="8"/>
    </row>
    <row r="2736" spans="1:28" s="4" customFormat="1" ht="51.95" customHeight="1">
      <c r="A2736" s="5">
        <v>0</v>
      </c>
      <c r="B2736" s="6" t="s">
        <v>16591</v>
      </c>
      <c r="C2736" s="13">
        <v>1667</v>
      </c>
      <c r="D2736" s="8" t="s">
        <v>16592</v>
      </c>
      <c r="E2736" s="8" t="s">
        <v>16593</v>
      </c>
      <c r="F2736" s="8" t="s">
        <v>16594</v>
      </c>
      <c r="G2736" s="6" t="s">
        <v>52</v>
      </c>
      <c r="H2736" s="6" t="s">
        <v>39</v>
      </c>
      <c r="I2736" s="8" t="s">
        <v>116</v>
      </c>
      <c r="J2736" s="9">
        <v>1</v>
      </c>
      <c r="K2736" s="9">
        <v>272</v>
      </c>
      <c r="L2736" s="9">
        <v>2024</v>
      </c>
      <c r="M2736" s="8" t="s">
        <v>16595</v>
      </c>
      <c r="N2736" s="8" t="s">
        <v>56</v>
      </c>
      <c r="O2736" s="8" t="s">
        <v>57</v>
      </c>
      <c r="P2736" s="6" t="s">
        <v>43</v>
      </c>
      <c r="Q2736" s="8" t="s">
        <v>58</v>
      </c>
      <c r="R2736" s="10" t="s">
        <v>1910</v>
      </c>
      <c r="S2736" s="11" t="s">
        <v>16596</v>
      </c>
      <c r="T2736" s="6"/>
      <c r="U2736" s="24" t="str">
        <f>HYPERLINK("https://media.infra-m.ru/1981/1981729/cover/1981729.jpg", "Обложка")</f>
        <v>Обложка</v>
      </c>
      <c r="V2736" s="24" t="str">
        <f>HYPERLINK("https://znanium.ru/catalog/product/535143", "Ознакомиться")</f>
        <v>Ознакомиться</v>
      </c>
      <c r="W2736" s="8" t="s">
        <v>450</v>
      </c>
      <c r="X2736" s="6"/>
      <c r="Y2736" s="6"/>
      <c r="Z2736" s="6"/>
      <c r="AA2736" s="6" t="s">
        <v>47</v>
      </c>
      <c r="AB2736" s="8"/>
    </row>
    <row r="2737" spans="1:28" s="4" customFormat="1" ht="51.95" customHeight="1">
      <c r="A2737" s="5">
        <v>0</v>
      </c>
      <c r="B2737" s="6" t="s">
        <v>16597</v>
      </c>
      <c r="C2737" s="13">
        <v>1714</v>
      </c>
      <c r="D2737" s="8" t="s">
        <v>16598</v>
      </c>
      <c r="E2737" s="8" t="s">
        <v>16599</v>
      </c>
      <c r="F2737" s="8" t="s">
        <v>16600</v>
      </c>
      <c r="G2737" s="6" t="s">
        <v>52</v>
      </c>
      <c r="H2737" s="6" t="s">
        <v>53</v>
      </c>
      <c r="I2737" s="8" t="s">
        <v>90</v>
      </c>
      <c r="J2737" s="9">
        <v>1</v>
      </c>
      <c r="K2737" s="9">
        <v>343</v>
      </c>
      <c r="L2737" s="9">
        <v>2025</v>
      </c>
      <c r="M2737" s="8" t="s">
        <v>16601</v>
      </c>
      <c r="N2737" s="8" t="s">
        <v>56</v>
      </c>
      <c r="O2737" s="8" t="s">
        <v>57</v>
      </c>
      <c r="P2737" s="6" t="s">
        <v>167</v>
      </c>
      <c r="Q2737" s="8" t="s">
        <v>44</v>
      </c>
      <c r="R2737" s="10" t="s">
        <v>3586</v>
      </c>
      <c r="S2737" s="11" t="s">
        <v>16602</v>
      </c>
      <c r="T2737" s="6"/>
      <c r="U2737" s="24" t="str">
        <f>HYPERLINK("https://media.infra-m.ru/2184/2184953/cover/2184953.jpg", "Обложка")</f>
        <v>Обложка</v>
      </c>
      <c r="V2737" s="24" t="str">
        <f>HYPERLINK("https://znanium.ru/catalog/product/1356162", "Ознакомиться")</f>
        <v>Ознакомиться</v>
      </c>
      <c r="W2737" s="8" t="s">
        <v>8022</v>
      </c>
      <c r="X2737" s="6"/>
      <c r="Y2737" s="6"/>
      <c r="Z2737" s="6"/>
      <c r="AA2737" s="6" t="s">
        <v>5769</v>
      </c>
      <c r="AB2737" s="8"/>
    </row>
    <row r="2738" spans="1:28" s="4" customFormat="1" ht="51.95" customHeight="1">
      <c r="A2738" s="5">
        <v>0</v>
      </c>
      <c r="B2738" s="6" t="s">
        <v>16603</v>
      </c>
      <c r="C2738" s="13">
        <v>1124.9000000000001</v>
      </c>
      <c r="D2738" s="8" t="s">
        <v>16604</v>
      </c>
      <c r="E2738" s="8" t="s">
        <v>16605</v>
      </c>
      <c r="F2738" s="8" t="s">
        <v>16606</v>
      </c>
      <c r="G2738" s="6" t="s">
        <v>52</v>
      </c>
      <c r="H2738" s="6" t="s">
        <v>1738</v>
      </c>
      <c r="I2738" s="8" t="s">
        <v>1171</v>
      </c>
      <c r="J2738" s="9">
        <v>1</v>
      </c>
      <c r="K2738" s="9">
        <v>350</v>
      </c>
      <c r="L2738" s="9">
        <v>2019</v>
      </c>
      <c r="M2738" s="8" t="s">
        <v>16607</v>
      </c>
      <c r="N2738" s="8" t="s">
        <v>56</v>
      </c>
      <c r="O2738" s="8" t="s">
        <v>57</v>
      </c>
      <c r="P2738" s="6" t="s">
        <v>167</v>
      </c>
      <c r="Q2738" s="8" t="s">
        <v>44</v>
      </c>
      <c r="R2738" s="10" t="s">
        <v>3586</v>
      </c>
      <c r="S2738" s="11" t="s">
        <v>16608</v>
      </c>
      <c r="T2738" s="6"/>
      <c r="U2738" s="24" t="str">
        <f>HYPERLINK("https://media.infra-m.ru/0987/0987787/cover/987787.jpg", "Обложка")</f>
        <v>Обложка</v>
      </c>
      <c r="V2738" s="24" t="str">
        <f>HYPERLINK("https://znanium.ru/catalog/product/1356162", "Ознакомиться")</f>
        <v>Ознакомиться</v>
      </c>
      <c r="W2738" s="8" t="s">
        <v>8022</v>
      </c>
      <c r="X2738" s="6"/>
      <c r="Y2738" s="6"/>
      <c r="Z2738" s="6"/>
      <c r="AA2738" s="6" t="s">
        <v>11034</v>
      </c>
      <c r="AB2738" s="8"/>
    </row>
    <row r="2739" spans="1:28" s="4" customFormat="1" ht="51.95" customHeight="1">
      <c r="A2739" s="5">
        <v>0</v>
      </c>
      <c r="B2739" s="6" t="s">
        <v>16609</v>
      </c>
      <c r="C2739" s="13">
        <v>1370</v>
      </c>
      <c r="D2739" s="8" t="s">
        <v>16610</v>
      </c>
      <c r="E2739" s="8" t="s">
        <v>16611</v>
      </c>
      <c r="F2739" s="8" t="s">
        <v>16612</v>
      </c>
      <c r="G2739" s="6" t="s">
        <v>89</v>
      </c>
      <c r="H2739" s="6" t="s">
        <v>53</v>
      </c>
      <c r="I2739" s="8" t="s">
        <v>90</v>
      </c>
      <c r="J2739" s="9">
        <v>1</v>
      </c>
      <c r="K2739" s="9">
        <v>304</v>
      </c>
      <c r="L2739" s="9">
        <v>2023</v>
      </c>
      <c r="M2739" s="8" t="s">
        <v>16613</v>
      </c>
      <c r="N2739" s="8" t="s">
        <v>56</v>
      </c>
      <c r="O2739" s="8" t="s">
        <v>57</v>
      </c>
      <c r="P2739" s="6" t="s">
        <v>43</v>
      </c>
      <c r="Q2739" s="8" t="s">
        <v>58</v>
      </c>
      <c r="R2739" s="10" t="s">
        <v>16614</v>
      </c>
      <c r="S2739" s="11" t="s">
        <v>16615</v>
      </c>
      <c r="T2739" s="6"/>
      <c r="U2739" s="24" t="str">
        <f>HYPERLINK("https://media.infra-m.ru/1995/1995273/cover/1995273.jpg", "Обложка")</f>
        <v>Обложка</v>
      </c>
      <c r="V2739" s="24" t="str">
        <f>HYPERLINK("https://znanium.ru/catalog/product/1816624", "Ознакомиться")</f>
        <v>Ознакомиться</v>
      </c>
      <c r="W2739" s="8" t="s">
        <v>8022</v>
      </c>
      <c r="X2739" s="6"/>
      <c r="Y2739" s="6"/>
      <c r="Z2739" s="6"/>
      <c r="AA2739" s="6" t="s">
        <v>84</v>
      </c>
      <c r="AB2739" s="8"/>
    </row>
    <row r="2740" spans="1:28" s="4" customFormat="1" ht="51.95" customHeight="1">
      <c r="A2740" s="5">
        <v>0</v>
      </c>
      <c r="B2740" s="6" t="s">
        <v>16616</v>
      </c>
      <c r="C2740" s="13">
        <v>1934</v>
      </c>
      <c r="D2740" s="8" t="s">
        <v>16617</v>
      </c>
      <c r="E2740" s="8" t="s">
        <v>16618</v>
      </c>
      <c r="F2740" s="8" t="s">
        <v>16619</v>
      </c>
      <c r="G2740" s="6" t="s">
        <v>52</v>
      </c>
      <c r="H2740" s="6" t="s">
        <v>53</v>
      </c>
      <c r="I2740" s="8" t="s">
        <v>90</v>
      </c>
      <c r="J2740" s="9">
        <v>1</v>
      </c>
      <c r="K2740" s="9">
        <v>421</v>
      </c>
      <c r="L2740" s="9">
        <v>2023</v>
      </c>
      <c r="M2740" s="8" t="s">
        <v>16620</v>
      </c>
      <c r="N2740" s="8" t="s">
        <v>56</v>
      </c>
      <c r="O2740" s="8" t="s">
        <v>57</v>
      </c>
      <c r="P2740" s="6" t="s">
        <v>43</v>
      </c>
      <c r="Q2740" s="8" t="s">
        <v>44</v>
      </c>
      <c r="R2740" s="10" t="s">
        <v>13892</v>
      </c>
      <c r="S2740" s="11" t="s">
        <v>16621</v>
      </c>
      <c r="T2740" s="6"/>
      <c r="U2740" s="24" t="str">
        <f>HYPERLINK("https://media.infra-m.ru/2006/2006076/cover/2006076.jpg", "Обложка")</f>
        <v>Обложка</v>
      </c>
      <c r="V2740" s="24" t="str">
        <f>HYPERLINK("https://znanium.ru/catalog/product/968121", "Ознакомиться")</f>
        <v>Ознакомиться</v>
      </c>
      <c r="W2740" s="8" t="s">
        <v>450</v>
      </c>
      <c r="X2740" s="6"/>
      <c r="Y2740" s="6"/>
      <c r="Z2740" s="6"/>
      <c r="AA2740" s="6" t="s">
        <v>219</v>
      </c>
      <c r="AB2740" s="8"/>
    </row>
    <row r="2741" spans="1:28" s="4" customFormat="1" ht="51.95" customHeight="1">
      <c r="A2741" s="5">
        <v>0</v>
      </c>
      <c r="B2741" s="6" t="s">
        <v>16622</v>
      </c>
      <c r="C2741" s="13">
        <v>1514</v>
      </c>
      <c r="D2741" s="8" t="s">
        <v>16623</v>
      </c>
      <c r="E2741" s="8" t="s">
        <v>16624</v>
      </c>
      <c r="F2741" s="8" t="s">
        <v>16625</v>
      </c>
      <c r="G2741" s="6" t="s">
        <v>89</v>
      </c>
      <c r="H2741" s="6" t="s">
        <v>53</v>
      </c>
      <c r="I2741" s="8" t="s">
        <v>100</v>
      </c>
      <c r="J2741" s="9">
        <v>1</v>
      </c>
      <c r="K2741" s="9">
        <v>302</v>
      </c>
      <c r="L2741" s="9">
        <v>2025</v>
      </c>
      <c r="M2741" s="8" t="s">
        <v>16626</v>
      </c>
      <c r="N2741" s="8" t="s">
        <v>56</v>
      </c>
      <c r="O2741" s="8" t="s">
        <v>57</v>
      </c>
      <c r="P2741" s="6" t="s">
        <v>167</v>
      </c>
      <c r="Q2741" s="8" t="s">
        <v>102</v>
      </c>
      <c r="R2741" s="10" t="s">
        <v>1801</v>
      </c>
      <c r="S2741" s="11" t="s">
        <v>16627</v>
      </c>
      <c r="T2741" s="6"/>
      <c r="U2741" s="24" t="str">
        <f>HYPERLINK("https://media.infra-m.ru/2175/2175576/cover/2175576.jpg", "Обложка")</f>
        <v>Обложка</v>
      </c>
      <c r="V2741" s="24" t="str">
        <f>HYPERLINK("https://znanium.ru/catalog/product/2174266", "Ознакомиться")</f>
        <v>Ознакомиться</v>
      </c>
      <c r="W2741" s="8" t="s">
        <v>8022</v>
      </c>
      <c r="X2741" s="6"/>
      <c r="Y2741" s="6"/>
      <c r="Z2741" s="6" t="s">
        <v>104</v>
      </c>
      <c r="AA2741" s="6" t="s">
        <v>219</v>
      </c>
      <c r="AB2741" s="8"/>
    </row>
    <row r="2742" spans="1:28" s="4" customFormat="1" ht="51.95" customHeight="1">
      <c r="A2742" s="5">
        <v>0</v>
      </c>
      <c r="B2742" s="6" t="s">
        <v>16628</v>
      </c>
      <c r="C2742" s="13">
        <v>1384</v>
      </c>
      <c r="D2742" s="8" t="s">
        <v>16629</v>
      </c>
      <c r="E2742" s="8" t="s">
        <v>16624</v>
      </c>
      <c r="F2742" s="8" t="s">
        <v>16625</v>
      </c>
      <c r="G2742" s="6" t="s">
        <v>89</v>
      </c>
      <c r="H2742" s="6" t="s">
        <v>53</v>
      </c>
      <c r="I2742" s="8" t="s">
        <v>90</v>
      </c>
      <c r="J2742" s="9">
        <v>1</v>
      </c>
      <c r="K2742" s="9">
        <v>302</v>
      </c>
      <c r="L2742" s="9">
        <v>2024</v>
      </c>
      <c r="M2742" s="8" t="s">
        <v>16630</v>
      </c>
      <c r="N2742" s="8" t="s">
        <v>56</v>
      </c>
      <c r="O2742" s="8" t="s">
        <v>57</v>
      </c>
      <c r="P2742" s="6" t="s">
        <v>167</v>
      </c>
      <c r="Q2742" s="8" t="s">
        <v>44</v>
      </c>
      <c r="R2742" s="10" t="s">
        <v>7543</v>
      </c>
      <c r="S2742" s="11" t="s">
        <v>16631</v>
      </c>
      <c r="T2742" s="6"/>
      <c r="U2742" s="24" t="str">
        <f>HYPERLINK("https://media.infra-m.ru/2058/2058766/cover/2058766.jpg", "Обложка")</f>
        <v>Обложка</v>
      </c>
      <c r="V2742" s="24" t="str">
        <f>HYPERLINK("https://znanium.ru/catalog/product/1221472", "Ознакомиться")</f>
        <v>Ознакомиться</v>
      </c>
      <c r="W2742" s="8" t="s">
        <v>8022</v>
      </c>
      <c r="X2742" s="6"/>
      <c r="Y2742" s="6"/>
      <c r="Z2742" s="6"/>
      <c r="AA2742" s="6" t="s">
        <v>2217</v>
      </c>
      <c r="AB2742" s="8"/>
    </row>
    <row r="2743" spans="1:28" s="4" customFormat="1" ht="51.95" customHeight="1">
      <c r="A2743" s="5">
        <v>0</v>
      </c>
      <c r="B2743" s="6" t="s">
        <v>16632</v>
      </c>
      <c r="C2743" s="13">
        <v>1120</v>
      </c>
      <c r="D2743" s="8" t="s">
        <v>16633</v>
      </c>
      <c r="E2743" s="8" t="s">
        <v>16634</v>
      </c>
      <c r="F2743" s="8" t="s">
        <v>16565</v>
      </c>
      <c r="G2743" s="6" t="s">
        <v>89</v>
      </c>
      <c r="H2743" s="6" t="s">
        <v>53</v>
      </c>
      <c r="I2743" s="8" t="s">
        <v>90</v>
      </c>
      <c r="J2743" s="9">
        <v>1</v>
      </c>
      <c r="K2743" s="9">
        <v>247</v>
      </c>
      <c r="L2743" s="9">
        <v>2023</v>
      </c>
      <c r="M2743" s="8" t="s">
        <v>16635</v>
      </c>
      <c r="N2743" s="8" t="s">
        <v>56</v>
      </c>
      <c r="O2743" s="8" t="s">
        <v>57</v>
      </c>
      <c r="P2743" s="6" t="s">
        <v>167</v>
      </c>
      <c r="Q2743" s="8" t="s">
        <v>44</v>
      </c>
      <c r="R2743" s="10" t="s">
        <v>292</v>
      </c>
      <c r="S2743" s="11" t="s">
        <v>16636</v>
      </c>
      <c r="T2743" s="6"/>
      <c r="U2743" s="24" t="str">
        <f>HYPERLINK("https://media.infra-m.ru/1901/1901472/cover/1901472.jpg", "Обложка")</f>
        <v>Обложка</v>
      </c>
      <c r="V2743" s="24" t="str">
        <f>HYPERLINK("https://znanium.ru/catalog/product/1901472", "Ознакомиться")</f>
        <v>Ознакомиться</v>
      </c>
      <c r="W2743" s="8" t="s">
        <v>8824</v>
      </c>
      <c r="X2743" s="6"/>
      <c r="Y2743" s="6"/>
      <c r="Z2743" s="6"/>
      <c r="AA2743" s="6" t="s">
        <v>258</v>
      </c>
      <c r="AB2743" s="8"/>
    </row>
    <row r="2744" spans="1:28" s="4" customFormat="1" ht="51.95" customHeight="1">
      <c r="A2744" s="5">
        <v>0</v>
      </c>
      <c r="B2744" s="6" t="s">
        <v>16637</v>
      </c>
      <c r="C2744" s="13">
        <v>1110</v>
      </c>
      <c r="D2744" s="8" t="s">
        <v>16638</v>
      </c>
      <c r="E2744" s="8" t="s">
        <v>16634</v>
      </c>
      <c r="F2744" s="8" t="s">
        <v>16565</v>
      </c>
      <c r="G2744" s="6" t="s">
        <v>89</v>
      </c>
      <c r="H2744" s="6" t="s">
        <v>53</v>
      </c>
      <c r="I2744" s="8" t="s">
        <v>212</v>
      </c>
      <c r="J2744" s="9">
        <v>1</v>
      </c>
      <c r="K2744" s="9">
        <v>247</v>
      </c>
      <c r="L2744" s="9">
        <v>2023</v>
      </c>
      <c r="M2744" s="8" t="s">
        <v>16639</v>
      </c>
      <c r="N2744" s="8" t="s">
        <v>56</v>
      </c>
      <c r="O2744" s="8" t="s">
        <v>57</v>
      </c>
      <c r="P2744" s="6" t="s">
        <v>167</v>
      </c>
      <c r="Q2744" s="8" t="s">
        <v>214</v>
      </c>
      <c r="R2744" s="10" t="s">
        <v>16640</v>
      </c>
      <c r="S2744" s="11" t="s">
        <v>16641</v>
      </c>
      <c r="T2744" s="6"/>
      <c r="U2744" s="24" t="str">
        <f>HYPERLINK("https://media.infra-m.ru/1959/1959268/cover/1959268.jpg", "Обложка")</f>
        <v>Обложка</v>
      </c>
      <c r="V2744" s="24" t="str">
        <f>HYPERLINK("https://znanium.ru/catalog/product/1959268", "Ознакомиться")</f>
        <v>Ознакомиться</v>
      </c>
      <c r="W2744" s="8" t="s">
        <v>8824</v>
      </c>
      <c r="X2744" s="6"/>
      <c r="Y2744" s="6"/>
      <c r="Z2744" s="6" t="s">
        <v>218</v>
      </c>
      <c r="AA2744" s="6" t="s">
        <v>219</v>
      </c>
      <c r="AB2744" s="8"/>
    </row>
    <row r="2745" spans="1:28" s="4" customFormat="1" ht="51.95" customHeight="1">
      <c r="A2745" s="5">
        <v>0</v>
      </c>
      <c r="B2745" s="6" t="s">
        <v>16642</v>
      </c>
      <c r="C2745" s="13">
        <v>1150</v>
      </c>
      <c r="D2745" s="8" t="s">
        <v>16643</v>
      </c>
      <c r="E2745" s="8" t="s">
        <v>16634</v>
      </c>
      <c r="F2745" s="8" t="s">
        <v>16565</v>
      </c>
      <c r="G2745" s="6" t="s">
        <v>89</v>
      </c>
      <c r="H2745" s="6" t="s">
        <v>53</v>
      </c>
      <c r="I2745" s="8" t="s">
        <v>100</v>
      </c>
      <c r="J2745" s="9">
        <v>1</v>
      </c>
      <c r="K2745" s="9">
        <v>247</v>
      </c>
      <c r="L2745" s="9">
        <v>2024</v>
      </c>
      <c r="M2745" s="8" t="s">
        <v>16644</v>
      </c>
      <c r="N2745" s="8" t="s">
        <v>56</v>
      </c>
      <c r="O2745" s="8" t="s">
        <v>57</v>
      </c>
      <c r="P2745" s="6" t="s">
        <v>167</v>
      </c>
      <c r="Q2745" s="8" t="s">
        <v>102</v>
      </c>
      <c r="R2745" s="10" t="s">
        <v>16645</v>
      </c>
      <c r="S2745" s="11" t="s">
        <v>16646</v>
      </c>
      <c r="T2745" s="6"/>
      <c r="U2745" s="24" t="str">
        <f>HYPERLINK("https://media.infra-m.ru/2076/2076901/cover/2076901.jpg", "Обложка")</f>
        <v>Обложка</v>
      </c>
      <c r="V2745" s="24" t="str">
        <f>HYPERLINK("https://znanium.ru/catalog/product/2076901", "Ознакомиться")</f>
        <v>Ознакомиться</v>
      </c>
      <c r="W2745" s="8" t="s">
        <v>8824</v>
      </c>
      <c r="X2745" s="6"/>
      <c r="Y2745" s="6"/>
      <c r="Z2745" s="6" t="s">
        <v>104</v>
      </c>
      <c r="AA2745" s="6" t="s">
        <v>793</v>
      </c>
      <c r="AB2745" s="8"/>
    </row>
    <row r="2746" spans="1:28" s="4" customFormat="1" ht="44.1" customHeight="1">
      <c r="A2746" s="5">
        <v>0</v>
      </c>
      <c r="B2746" s="6" t="s">
        <v>16647</v>
      </c>
      <c r="C2746" s="7">
        <v>504.9</v>
      </c>
      <c r="D2746" s="8" t="s">
        <v>16648</v>
      </c>
      <c r="E2746" s="8" t="s">
        <v>16649</v>
      </c>
      <c r="F2746" s="8" t="s">
        <v>16650</v>
      </c>
      <c r="G2746" s="6" t="s">
        <v>38</v>
      </c>
      <c r="H2746" s="6" t="s">
        <v>77</v>
      </c>
      <c r="I2746" s="8"/>
      <c r="J2746" s="9">
        <v>1</v>
      </c>
      <c r="K2746" s="9">
        <v>112</v>
      </c>
      <c r="L2746" s="9">
        <v>2023</v>
      </c>
      <c r="M2746" s="8" t="s">
        <v>16651</v>
      </c>
      <c r="N2746" s="8" t="s">
        <v>413</v>
      </c>
      <c r="O2746" s="8" t="s">
        <v>1141</v>
      </c>
      <c r="P2746" s="6" t="s">
        <v>43</v>
      </c>
      <c r="Q2746" s="8" t="s">
        <v>44</v>
      </c>
      <c r="R2746" s="10" t="s">
        <v>16652</v>
      </c>
      <c r="S2746" s="11"/>
      <c r="T2746" s="6"/>
      <c r="U2746" s="24" t="str">
        <f>HYPERLINK("https://media.infra-m.ru/2044/2044339/cover/2044339.jpg", "Обложка")</f>
        <v>Обложка</v>
      </c>
      <c r="V2746" s="24" t="str">
        <f>HYPERLINK("https://znanium.ru/catalog/product/915106", "Ознакомиться")</f>
        <v>Ознакомиться</v>
      </c>
      <c r="W2746" s="8" t="s">
        <v>4925</v>
      </c>
      <c r="X2746" s="6"/>
      <c r="Y2746" s="6"/>
      <c r="Z2746" s="6"/>
      <c r="AA2746" s="6" t="s">
        <v>47</v>
      </c>
      <c r="AB2746" s="8"/>
    </row>
    <row r="2747" spans="1:28" s="4" customFormat="1" ht="51.95" customHeight="1">
      <c r="A2747" s="5">
        <v>0</v>
      </c>
      <c r="B2747" s="6" t="s">
        <v>16653</v>
      </c>
      <c r="C2747" s="7">
        <v>993</v>
      </c>
      <c r="D2747" s="8" t="s">
        <v>16654</v>
      </c>
      <c r="E2747" s="8" t="s">
        <v>16655</v>
      </c>
      <c r="F2747" s="8" t="s">
        <v>16656</v>
      </c>
      <c r="G2747" s="6" t="s">
        <v>38</v>
      </c>
      <c r="H2747" s="6" t="s">
        <v>438</v>
      </c>
      <c r="I2747" s="8"/>
      <c r="J2747" s="9">
        <v>1</v>
      </c>
      <c r="K2747" s="9">
        <v>256</v>
      </c>
      <c r="L2747" s="9">
        <v>2025</v>
      </c>
      <c r="M2747" s="8" t="s">
        <v>16657</v>
      </c>
      <c r="N2747" s="8" t="s">
        <v>413</v>
      </c>
      <c r="O2747" s="8" t="s">
        <v>1528</v>
      </c>
      <c r="P2747" s="6" t="s">
        <v>43</v>
      </c>
      <c r="Q2747" s="8" t="s">
        <v>58</v>
      </c>
      <c r="R2747" s="10" t="s">
        <v>16658</v>
      </c>
      <c r="S2747" s="11"/>
      <c r="T2747" s="6"/>
      <c r="U2747" s="24" t="str">
        <f>HYPERLINK("https://media.infra-m.ru/1946/1946193/cover/1946193.jpg", "Обложка")</f>
        <v>Обложка</v>
      </c>
      <c r="V2747" s="24" t="str">
        <f>HYPERLINK("https://znanium.ru/catalog/product/1946193", "Ознакомиться")</f>
        <v>Ознакомиться</v>
      </c>
      <c r="W2747" s="8" t="s">
        <v>46</v>
      </c>
      <c r="X2747" s="6"/>
      <c r="Y2747" s="6"/>
      <c r="Z2747" s="6"/>
      <c r="AA2747" s="6" t="s">
        <v>84</v>
      </c>
      <c r="AB2747" s="8"/>
    </row>
    <row r="2748" spans="1:28" s="4" customFormat="1" ht="51.95" customHeight="1">
      <c r="A2748" s="5">
        <v>0</v>
      </c>
      <c r="B2748" s="6" t="s">
        <v>16659</v>
      </c>
      <c r="C2748" s="13">
        <v>1600</v>
      </c>
      <c r="D2748" s="8" t="s">
        <v>16660</v>
      </c>
      <c r="E2748" s="8" t="s">
        <v>16661</v>
      </c>
      <c r="F2748" s="8" t="s">
        <v>16662</v>
      </c>
      <c r="G2748" s="6" t="s">
        <v>52</v>
      </c>
      <c r="H2748" s="6" t="s">
        <v>53</v>
      </c>
      <c r="I2748" s="8" t="s">
        <v>90</v>
      </c>
      <c r="J2748" s="9">
        <v>1</v>
      </c>
      <c r="K2748" s="9">
        <v>348</v>
      </c>
      <c r="L2748" s="9">
        <v>2023</v>
      </c>
      <c r="M2748" s="8" t="s">
        <v>16663</v>
      </c>
      <c r="N2748" s="8" t="s">
        <v>413</v>
      </c>
      <c r="O2748" s="8" t="s">
        <v>1528</v>
      </c>
      <c r="P2748" s="6" t="s">
        <v>167</v>
      </c>
      <c r="Q2748" s="8" t="s">
        <v>44</v>
      </c>
      <c r="R2748" s="10" t="s">
        <v>16664</v>
      </c>
      <c r="S2748" s="11" t="s">
        <v>16665</v>
      </c>
      <c r="T2748" s="6" t="s">
        <v>299</v>
      </c>
      <c r="U2748" s="24" t="str">
        <f>HYPERLINK("https://media.infra-m.ru/1860/1860987/cover/1860987.jpg", "Обложка")</f>
        <v>Обложка</v>
      </c>
      <c r="V2748" s="24" t="str">
        <f>HYPERLINK("https://znanium.ru/catalog/product/1860987", "Ознакомиться")</f>
        <v>Ознакомиться</v>
      </c>
      <c r="W2748" s="8" t="s">
        <v>450</v>
      </c>
      <c r="X2748" s="6"/>
      <c r="Y2748" s="6"/>
      <c r="Z2748" s="6"/>
      <c r="AA2748" s="6" t="s">
        <v>813</v>
      </c>
      <c r="AB2748" s="8"/>
    </row>
    <row r="2749" spans="1:28" s="4" customFormat="1" ht="51.95" customHeight="1">
      <c r="A2749" s="5">
        <v>0</v>
      </c>
      <c r="B2749" s="6" t="s">
        <v>16666</v>
      </c>
      <c r="C2749" s="13">
        <v>1274.9000000000001</v>
      </c>
      <c r="D2749" s="8" t="s">
        <v>16667</v>
      </c>
      <c r="E2749" s="8" t="s">
        <v>16668</v>
      </c>
      <c r="F2749" s="8" t="s">
        <v>16669</v>
      </c>
      <c r="G2749" s="6" t="s">
        <v>89</v>
      </c>
      <c r="H2749" s="6" t="s">
        <v>53</v>
      </c>
      <c r="I2749" s="8" t="s">
        <v>90</v>
      </c>
      <c r="J2749" s="9">
        <v>1</v>
      </c>
      <c r="K2749" s="9">
        <v>336</v>
      </c>
      <c r="L2749" s="9">
        <v>2022</v>
      </c>
      <c r="M2749" s="8" t="s">
        <v>16670</v>
      </c>
      <c r="N2749" s="8" t="s">
        <v>413</v>
      </c>
      <c r="O2749" s="8" t="s">
        <v>1528</v>
      </c>
      <c r="P2749" s="6" t="s">
        <v>167</v>
      </c>
      <c r="Q2749" s="8" t="s">
        <v>44</v>
      </c>
      <c r="R2749" s="10" t="s">
        <v>16664</v>
      </c>
      <c r="S2749" s="11" t="s">
        <v>16671</v>
      </c>
      <c r="T2749" s="6"/>
      <c r="U2749" s="24" t="str">
        <f>HYPERLINK("https://media.infra-m.ru/1854/1854027/cover/1854027.jpg", "Обложка")</f>
        <v>Обложка</v>
      </c>
      <c r="V2749" s="24" t="str">
        <f>HYPERLINK("https://znanium.ru/catalog/product/1860987", "Ознакомиться")</f>
        <v>Ознакомиться</v>
      </c>
      <c r="W2749" s="8" t="s">
        <v>450</v>
      </c>
      <c r="X2749" s="6"/>
      <c r="Y2749" s="6"/>
      <c r="Z2749" s="6"/>
      <c r="AA2749" s="6" t="s">
        <v>442</v>
      </c>
      <c r="AB2749" s="8"/>
    </row>
    <row r="2750" spans="1:28" s="4" customFormat="1" ht="51.95" customHeight="1">
      <c r="A2750" s="5">
        <v>0</v>
      </c>
      <c r="B2750" s="6" t="s">
        <v>16672</v>
      </c>
      <c r="C2750" s="13">
        <v>1684</v>
      </c>
      <c r="D2750" s="8" t="s">
        <v>16673</v>
      </c>
      <c r="E2750" s="8" t="s">
        <v>16668</v>
      </c>
      <c r="F2750" s="8" t="s">
        <v>16674</v>
      </c>
      <c r="G2750" s="6" t="s">
        <v>52</v>
      </c>
      <c r="H2750" s="6" t="s">
        <v>1738</v>
      </c>
      <c r="I2750" s="8" t="s">
        <v>1739</v>
      </c>
      <c r="J2750" s="9">
        <v>1</v>
      </c>
      <c r="K2750" s="9">
        <v>336</v>
      </c>
      <c r="L2750" s="9">
        <v>2025</v>
      </c>
      <c r="M2750" s="8" t="s">
        <v>16675</v>
      </c>
      <c r="N2750" s="8" t="s">
        <v>413</v>
      </c>
      <c r="O2750" s="8" t="s">
        <v>1528</v>
      </c>
      <c r="P2750" s="6" t="s">
        <v>43</v>
      </c>
      <c r="Q2750" s="8" t="s">
        <v>102</v>
      </c>
      <c r="R2750" s="10" t="s">
        <v>16676</v>
      </c>
      <c r="S2750" s="11" t="s">
        <v>14197</v>
      </c>
      <c r="T2750" s="6"/>
      <c r="U2750" s="24" t="str">
        <f>HYPERLINK("https://media.infra-m.ru/2141/2141717/cover/2141717.jpg", "Обложка")</f>
        <v>Обложка</v>
      </c>
      <c r="V2750" s="24" t="str">
        <f>HYPERLINK("https://znanium.ru/catalog/product/1362442", "Ознакомиться")</f>
        <v>Ознакомиться</v>
      </c>
      <c r="W2750" s="8" t="s">
        <v>71</v>
      </c>
      <c r="X2750" s="6"/>
      <c r="Y2750" s="6"/>
      <c r="Z2750" s="6"/>
      <c r="AA2750" s="6" t="s">
        <v>2217</v>
      </c>
      <c r="AB2750" s="8"/>
    </row>
    <row r="2751" spans="1:28" s="4" customFormat="1" ht="51.95" customHeight="1">
      <c r="A2751" s="5">
        <v>0</v>
      </c>
      <c r="B2751" s="6" t="s">
        <v>16677</v>
      </c>
      <c r="C2751" s="7">
        <v>850</v>
      </c>
      <c r="D2751" s="8" t="s">
        <v>16678</v>
      </c>
      <c r="E2751" s="8" t="s">
        <v>16679</v>
      </c>
      <c r="F2751" s="8" t="s">
        <v>16680</v>
      </c>
      <c r="G2751" s="6" t="s">
        <v>89</v>
      </c>
      <c r="H2751" s="6" t="s">
        <v>53</v>
      </c>
      <c r="I2751" s="8" t="s">
        <v>5280</v>
      </c>
      <c r="J2751" s="9">
        <v>1</v>
      </c>
      <c r="K2751" s="9">
        <v>172</v>
      </c>
      <c r="L2751" s="9">
        <v>2024</v>
      </c>
      <c r="M2751" s="8" t="s">
        <v>16681</v>
      </c>
      <c r="N2751" s="8" t="s">
        <v>79</v>
      </c>
      <c r="O2751" s="8" t="s">
        <v>174</v>
      </c>
      <c r="P2751" s="6" t="s">
        <v>43</v>
      </c>
      <c r="Q2751" s="8" t="s">
        <v>214</v>
      </c>
      <c r="R2751" s="10" t="s">
        <v>16682</v>
      </c>
      <c r="S2751" s="11" t="s">
        <v>16683</v>
      </c>
      <c r="T2751" s="6"/>
      <c r="U2751" s="24" t="str">
        <f>HYPERLINK("https://media.infra-m.ru/2143/2143214/cover/2143214.jpg", "Обложка")</f>
        <v>Обложка</v>
      </c>
      <c r="V2751" s="24" t="str">
        <f>HYPERLINK("https://znanium.ru/catalog/product/2143214", "Ознакомиться")</f>
        <v>Ознакомиться</v>
      </c>
      <c r="W2751" s="8" t="s">
        <v>5284</v>
      </c>
      <c r="X2751" s="6"/>
      <c r="Y2751" s="6"/>
      <c r="Z2751" s="6"/>
      <c r="AA2751" s="6" t="s">
        <v>1374</v>
      </c>
      <c r="AB2751" s="8"/>
    </row>
    <row r="2752" spans="1:28" s="4" customFormat="1" ht="51.95" customHeight="1">
      <c r="A2752" s="5">
        <v>0</v>
      </c>
      <c r="B2752" s="6" t="s">
        <v>16684</v>
      </c>
      <c r="C2752" s="7">
        <v>840</v>
      </c>
      <c r="D2752" s="8" t="s">
        <v>16685</v>
      </c>
      <c r="E2752" s="8" t="s">
        <v>16686</v>
      </c>
      <c r="F2752" s="8" t="s">
        <v>16687</v>
      </c>
      <c r="G2752" s="6" t="s">
        <v>89</v>
      </c>
      <c r="H2752" s="6" t="s">
        <v>53</v>
      </c>
      <c r="I2752" s="8" t="s">
        <v>116</v>
      </c>
      <c r="J2752" s="9">
        <v>1</v>
      </c>
      <c r="K2752" s="9">
        <v>160</v>
      </c>
      <c r="L2752" s="9">
        <v>2025</v>
      </c>
      <c r="M2752" s="8" t="s">
        <v>16688</v>
      </c>
      <c r="N2752" s="8" t="s">
        <v>79</v>
      </c>
      <c r="O2752" s="8" t="s">
        <v>174</v>
      </c>
      <c r="P2752" s="6" t="s">
        <v>43</v>
      </c>
      <c r="Q2752" s="8" t="s">
        <v>214</v>
      </c>
      <c r="R2752" s="10" t="s">
        <v>1134</v>
      </c>
      <c r="S2752" s="11" t="s">
        <v>16689</v>
      </c>
      <c r="T2752" s="6"/>
      <c r="U2752" s="24" t="str">
        <f>HYPERLINK("https://media.infra-m.ru/2161/2161658/cover/2161658.jpg", "Обложка")</f>
        <v>Обложка</v>
      </c>
      <c r="V2752" s="24" t="str">
        <f>HYPERLINK("https://znanium.ru/catalog/product/2161658", "Ознакомиться")</f>
        <v>Ознакомиться</v>
      </c>
      <c r="W2752" s="8" t="s">
        <v>5284</v>
      </c>
      <c r="X2752" s="6"/>
      <c r="Y2752" s="6"/>
      <c r="Z2752" s="6"/>
      <c r="AA2752" s="6" t="s">
        <v>258</v>
      </c>
      <c r="AB2752" s="8"/>
    </row>
    <row r="2753" spans="1:28" s="4" customFormat="1" ht="51.95" customHeight="1">
      <c r="A2753" s="5">
        <v>0</v>
      </c>
      <c r="B2753" s="6" t="s">
        <v>16690</v>
      </c>
      <c r="C2753" s="7">
        <v>620</v>
      </c>
      <c r="D2753" s="8" t="s">
        <v>16691</v>
      </c>
      <c r="E2753" s="8" t="s">
        <v>16692</v>
      </c>
      <c r="F2753" s="8" t="s">
        <v>16693</v>
      </c>
      <c r="G2753" s="6" t="s">
        <v>38</v>
      </c>
      <c r="H2753" s="6" t="s">
        <v>53</v>
      </c>
      <c r="I2753" s="8" t="s">
        <v>212</v>
      </c>
      <c r="J2753" s="9">
        <v>1</v>
      </c>
      <c r="K2753" s="9">
        <v>137</v>
      </c>
      <c r="L2753" s="9">
        <v>2023</v>
      </c>
      <c r="M2753" s="8" t="s">
        <v>16694</v>
      </c>
      <c r="N2753" s="8" t="s">
        <v>79</v>
      </c>
      <c r="O2753" s="8" t="s">
        <v>174</v>
      </c>
      <c r="P2753" s="6" t="s">
        <v>43</v>
      </c>
      <c r="Q2753" s="8" t="s">
        <v>214</v>
      </c>
      <c r="R2753" s="10" t="s">
        <v>1134</v>
      </c>
      <c r="S2753" s="11" t="s">
        <v>16695</v>
      </c>
      <c r="T2753" s="6"/>
      <c r="U2753" s="24" t="str">
        <f>HYPERLINK("https://media.infra-m.ru/1919/1919459/cover/1919459.jpg", "Обложка")</f>
        <v>Обложка</v>
      </c>
      <c r="V2753" s="24" t="str">
        <f>HYPERLINK("https://znanium.ru/catalog/product/1919459", "Ознакомиться")</f>
        <v>Ознакомиться</v>
      </c>
      <c r="W2753" s="8" t="s">
        <v>16696</v>
      </c>
      <c r="X2753" s="6"/>
      <c r="Y2753" s="6"/>
      <c r="Z2753" s="6"/>
      <c r="AA2753" s="6" t="s">
        <v>84</v>
      </c>
      <c r="AB2753" s="8"/>
    </row>
    <row r="2754" spans="1:28" s="4" customFormat="1" ht="51.95" customHeight="1">
      <c r="A2754" s="5">
        <v>0</v>
      </c>
      <c r="B2754" s="6" t="s">
        <v>16697</v>
      </c>
      <c r="C2754" s="7">
        <v>530</v>
      </c>
      <c r="D2754" s="8" t="s">
        <v>16698</v>
      </c>
      <c r="E2754" s="8" t="s">
        <v>16699</v>
      </c>
      <c r="F2754" s="8" t="s">
        <v>16700</v>
      </c>
      <c r="G2754" s="6" t="s">
        <v>38</v>
      </c>
      <c r="H2754" s="6" t="s">
        <v>53</v>
      </c>
      <c r="I2754" s="8" t="s">
        <v>1325</v>
      </c>
      <c r="J2754" s="9">
        <v>1</v>
      </c>
      <c r="K2754" s="9">
        <v>74</v>
      </c>
      <c r="L2754" s="9">
        <v>2024</v>
      </c>
      <c r="M2754" s="8" t="s">
        <v>16701</v>
      </c>
      <c r="N2754" s="8" t="s">
        <v>79</v>
      </c>
      <c r="O2754" s="8" t="s">
        <v>570</v>
      </c>
      <c r="P2754" s="6" t="s">
        <v>43</v>
      </c>
      <c r="Q2754" s="8" t="s">
        <v>58</v>
      </c>
      <c r="R2754" s="10" t="s">
        <v>16702</v>
      </c>
      <c r="S2754" s="11" t="s">
        <v>16703</v>
      </c>
      <c r="T2754" s="6"/>
      <c r="U2754" s="24" t="str">
        <f>HYPERLINK("https://media.infra-m.ru/2175/2175276/cover/2175276.jpg", "Обложка")</f>
        <v>Обложка</v>
      </c>
      <c r="V2754" s="24" t="str">
        <f>HYPERLINK("https://znanium.ru/catalog/product/2175276", "Ознакомиться")</f>
        <v>Ознакомиться</v>
      </c>
      <c r="W2754" s="8" t="s">
        <v>1329</v>
      </c>
      <c r="X2754" s="6"/>
      <c r="Y2754" s="6"/>
      <c r="Z2754" s="6"/>
      <c r="AA2754" s="6" t="s">
        <v>219</v>
      </c>
      <c r="AB2754" s="8"/>
    </row>
    <row r="2755" spans="1:28" s="4" customFormat="1" ht="51.95" customHeight="1">
      <c r="A2755" s="5">
        <v>0</v>
      </c>
      <c r="B2755" s="6" t="s">
        <v>16704</v>
      </c>
      <c r="C2755" s="7">
        <v>714</v>
      </c>
      <c r="D2755" s="8" t="s">
        <v>16705</v>
      </c>
      <c r="E2755" s="8" t="s">
        <v>16706</v>
      </c>
      <c r="F2755" s="8" t="s">
        <v>16707</v>
      </c>
      <c r="G2755" s="6" t="s">
        <v>52</v>
      </c>
      <c r="H2755" s="6" t="s">
        <v>53</v>
      </c>
      <c r="I2755" s="8" t="s">
        <v>100</v>
      </c>
      <c r="J2755" s="9">
        <v>1</v>
      </c>
      <c r="K2755" s="9">
        <v>148</v>
      </c>
      <c r="L2755" s="9">
        <v>2024</v>
      </c>
      <c r="M2755" s="8" t="s">
        <v>16708</v>
      </c>
      <c r="N2755" s="8" t="s">
        <v>79</v>
      </c>
      <c r="O2755" s="8" t="s">
        <v>570</v>
      </c>
      <c r="P2755" s="6" t="s">
        <v>43</v>
      </c>
      <c r="Q2755" s="8" t="s">
        <v>102</v>
      </c>
      <c r="R2755" s="10" t="s">
        <v>16709</v>
      </c>
      <c r="S2755" s="11" t="s">
        <v>16710</v>
      </c>
      <c r="T2755" s="6"/>
      <c r="U2755" s="24" t="str">
        <f>HYPERLINK("https://media.infra-m.ru/2135/2135611/cover/2135611.jpg", "Обложка")</f>
        <v>Обложка</v>
      </c>
      <c r="V2755" s="24" t="str">
        <f>HYPERLINK("https://znanium.ru/catalog/product/1144464", "Ознакомиться")</f>
        <v>Ознакомиться</v>
      </c>
      <c r="W2755" s="8" t="s">
        <v>16711</v>
      </c>
      <c r="X2755" s="6"/>
      <c r="Y2755" s="6"/>
      <c r="Z2755" s="6"/>
      <c r="AA2755" s="6" t="s">
        <v>326</v>
      </c>
      <c r="AB2755" s="8"/>
    </row>
    <row r="2756" spans="1:28" s="4" customFormat="1" ht="42" customHeight="1">
      <c r="A2756" s="5">
        <v>0</v>
      </c>
      <c r="B2756" s="6" t="s">
        <v>16712</v>
      </c>
      <c r="C2756" s="7">
        <v>470</v>
      </c>
      <c r="D2756" s="8" t="s">
        <v>16713</v>
      </c>
      <c r="E2756" s="8" t="s">
        <v>16714</v>
      </c>
      <c r="F2756" s="8" t="s">
        <v>16715</v>
      </c>
      <c r="G2756" s="6" t="s">
        <v>38</v>
      </c>
      <c r="H2756" s="6" t="s">
        <v>53</v>
      </c>
      <c r="I2756" s="8" t="s">
        <v>1622</v>
      </c>
      <c r="J2756" s="9">
        <v>1</v>
      </c>
      <c r="K2756" s="9">
        <v>77</v>
      </c>
      <c r="L2756" s="9">
        <v>2022</v>
      </c>
      <c r="M2756" s="8" t="s">
        <v>16716</v>
      </c>
      <c r="N2756" s="8" t="s">
        <v>79</v>
      </c>
      <c r="O2756" s="8" t="s">
        <v>174</v>
      </c>
      <c r="P2756" s="6" t="s">
        <v>3424</v>
      </c>
      <c r="Q2756" s="8" t="s">
        <v>44</v>
      </c>
      <c r="R2756" s="10" t="s">
        <v>16717</v>
      </c>
      <c r="S2756" s="11"/>
      <c r="T2756" s="6"/>
      <c r="U2756" s="24" t="str">
        <f>HYPERLINK("https://media.infra-m.ru/1946/1946191/cover/1946191.jpg", "Обложка")</f>
        <v>Обложка</v>
      </c>
      <c r="V2756" s="24" t="str">
        <f>HYPERLINK("https://znanium.ru/catalog/product/1922279", "Ознакомиться")</f>
        <v>Ознакомиться</v>
      </c>
      <c r="W2756" s="8" t="s">
        <v>16718</v>
      </c>
      <c r="X2756" s="6"/>
      <c r="Y2756" s="6"/>
      <c r="Z2756" s="6"/>
      <c r="AA2756" s="6" t="s">
        <v>47</v>
      </c>
      <c r="AB2756" s="8"/>
    </row>
    <row r="2757" spans="1:28" s="4" customFormat="1" ht="51.95" customHeight="1">
      <c r="A2757" s="5">
        <v>0</v>
      </c>
      <c r="B2757" s="6" t="s">
        <v>16719</v>
      </c>
      <c r="C2757" s="7">
        <v>634</v>
      </c>
      <c r="D2757" s="8" t="s">
        <v>16720</v>
      </c>
      <c r="E2757" s="8" t="s">
        <v>16721</v>
      </c>
      <c r="F2757" s="8" t="s">
        <v>16722</v>
      </c>
      <c r="G2757" s="6" t="s">
        <v>38</v>
      </c>
      <c r="H2757" s="6" t="s">
        <v>53</v>
      </c>
      <c r="I2757" s="8" t="s">
        <v>116</v>
      </c>
      <c r="J2757" s="9">
        <v>1</v>
      </c>
      <c r="K2757" s="9">
        <v>129</v>
      </c>
      <c r="L2757" s="9">
        <v>2024</v>
      </c>
      <c r="M2757" s="8" t="s">
        <v>16723</v>
      </c>
      <c r="N2757" s="8" t="s">
        <v>79</v>
      </c>
      <c r="O2757" s="8" t="s">
        <v>396</v>
      </c>
      <c r="P2757" s="6" t="s">
        <v>43</v>
      </c>
      <c r="Q2757" s="8" t="s">
        <v>44</v>
      </c>
      <c r="R2757" s="10" t="s">
        <v>16724</v>
      </c>
      <c r="S2757" s="11" t="s">
        <v>16725</v>
      </c>
      <c r="T2757" s="6"/>
      <c r="U2757" s="24" t="str">
        <f>HYPERLINK("https://media.infra-m.ru/2155/2155744/cover/2155744.jpg", "Обложка")</f>
        <v>Обложка</v>
      </c>
      <c r="V2757" s="24" t="str">
        <f>HYPERLINK("https://znanium.ru/catalog/product/2122490", "Ознакомиться")</f>
        <v>Ознакомиться</v>
      </c>
      <c r="W2757" s="8" t="s">
        <v>159</v>
      </c>
      <c r="X2757" s="6"/>
      <c r="Y2757" s="6"/>
      <c r="Z2757" s="6"/>
      <c r="AA2757" s="6" t="s">
        <v>418</v>
      </c>
      <c r="AB2757" s="8"/>
    </row>
    <row r="2758" spans="1:28" s="4" customFormat="1" ht="51.95" customHeight="1">
      <c r="A2758" s="5">
        <v>0</v>
      </c>
      <c r="B2758" s="6" t="s">
        <v>16726</v>
      </c>
      <c r="C2758" s="13">
        <v>2744</v>
      </c>
      <c r="D2758" s="8" t="s">
        <v>16727</v>
      </c>
      <c r="E2758" s="8" t="s">
        <v>16728</v>
      </c>
      <c r="F2758" s="8" t="s">
        <v>16729</v>
      </c>
      <c r="G2758" s="6" t="s">
        <v>52</v>
      </c>
      <c r="H2758" s="6" t="s">
        <v>66</v>
      </c>
      <c r="I2758" s="8"/>
      <c r="J2758" s="9">
        <v>1</v>
      </c>
      <c r="K2758" s="9">
        <v>882</v>
      </c>
      <c r="L2758" s="9">
        <v>2025</v>
      </c>
      <c r="M2758" s="8" t="s">
        <v>16730</v>
      </c>
      <c r="N2758" s="8" t="s">
        <v>41</v>
      </c>
      <c r="O2758" s="8" t="s">
        <v>1007</v>
      </c>
      <c r="P2758" s="6" t="s">
        <v>16731</v>
      </c>
      <c r="Q2758" s="8" t="s">
        <v>58</v>
      </c>
      <c r="R2758" s="10" t="s">
        <v>1265</v>
      </c>
      <c r="S2758" s="11"/>
      <c r="T2758" s="6"/>
      <c r="U2758" s="24" t="str">
        <f>HYPERLINK("https://media.infra-m.ru/2163/2163378/cover/2163378.jpg", "Обложка")</f>
        <v>Обложка</v>
      </c>
      <c r="V2758" s="24" t="str">
        <f>HYPERLINK("https://znanium.ru/catalog/product/1059305", "Ознакомиться")</f>
        <v>Ознакомиться</v>
      </c>
      <c r="W2758" s="8" t="s">
        <v>354</v>
      </c>
      <c r="X2758" s="6"/>
      <c r="Y2758" s="6"/>
      <c r="Z2758" s="6"/>
      <c r="AA2758" s="6" t="s">
        <v>3714</v>
      </c>
      <c r="AB2758" s="8"/>
    </row>
    <row r="2759" spans="1:28" s="4" customFormat="1" ht="51.95" customHeight="1">
      <c r="A2759" s="5">
        <v>0</v>
      </c>
      <c r="B2759" s="6" t="s">
        <v>16732</v>
      </c>
      <c r="C2759" s="13">
        <v>2130</v>
      </c>
      <c r="D2759" s="8" t="s">
        <v>16733</v>
      </c>
      <c r="E2759" s="8" t="s">
        <v>16734</v>
      </c>
      <c r="F2759" s="8" t="s">
        <v>16735</v>
      </c>
      <c r="G2759" s="6" t="s">
        <v>52</v>
      </c>
      <c r="H2759" s="6" t="s">
        <v>77</v>
      </c>
      <c r="I2759" s="8" t="s">
        <v>116</v>
      </c>
      <c r="J2759" s="9">
        <v>1</v>
      </c>
      <c r="K2759" s="9">
        <v>472</v>
      </c>
      <c r="L2759" s="9">
        <v>2023</v>
      </c>
      <c r="M2759" s="8" t="s">
        <v>16736</v>
      </c>
      <c r="N2759" s="8" t="s">
        <v>41</v>
      </c>
      <c r="O2759" s="8" t="s">
        <v>4035</v>
      </c>
      <c r="P2759" s="6" t="s">
        <v>43</v>
      </c>
      <c r="Q2759" s="8" t="s">
        <v>58</v>
      </c>
      <c r="R2759" s="10" t="s">
        <v>9745</v>
      </c>
      <c r="S2759" s="11" t="s">
        <v>16737</v>
      </c>
      <c r="T2759" s="6"/>
      <c r="U2759" s="24" t="str">
        <f>HYPERLINK("https://media.infra-m.ru/2020/2020539/cover/2020539.jpg", "Обложка")</f>
        <v>Обложка</v>
      </c>
      <c r="V2759" s="24" t="str">
        <f>HYPERLINK("https://znanium.ru/catalog/product/2020539", "Ознакомиться")</f>
        <v>Ознакомиться</v>
      </c>
      <c r="W2759" s="8" t="s">
        <v>16738</v>
      </c>
      <c r="X2759" s="6"/>
      <c r="Y2759" s="6"/>
      <c r="Z2759" s="6"/>
      <c r="AA2759" s="6" t="s">
        <v>122</v>
      </c>
      <c r="AB2759" s="8"/>
    </row>
    <row r="2760" spans="1:28" s="4" customFormat="1" ht="51.95" customHeight="1">
      <c r="A2760" s="5">
        <v>0</v>
      </c>
      <c r="B2760" s="6" t="s">
        <v>16739</v>
      </c>
      <c r="C2760" s="13">
        <v>2200</v>
      </c>
      <c r="D2760" s="8" t="s">
        <v>16740</v>
      </c>
      <c r="E2760" s="8" t="s">
        <v>16741</v>
      </c>
      <c r="F2760" s="8" t="s">
        <v>16742</v>
      </c>
      <c r="G2760" s="6" t="s">
        <v>89</v>
      </c>
      <c r="H2760" s="6" t="s">
        <v>53</v>
      </c>
      <c r="I2760" s="8" t="s">
        <v>90</v>
      </c>
      <c r="J2760" s="9">
        <v>1</v>
      </c>
      <c r="K2760" s="9">
        <v>489</v>
      </c>
      <c r="L2760" s="9">
        <v>2023</v>
      </c>
      <c r="M2760" s="8" t="s">
        <v>16743</v>
      </c>
      <c r="N2760" s="8" t="s">
        <v>41</v>
      </c>
      <c r="O2760" s="8" t="s">
        <v>1204</v>
      </c>
      <c r="P2760" s="6" t="s">
        <v>43</v>
      </c>
      <c r="Q2760" s="8" t="s">
        <v>44</v>
      </c>
      <c r="R2760" s="10" t="s">
        <v>8769</v>
      </c>
      <c r="S2760" s="11" t="s">
        <v>16744</v>
      </c>
      <c r="T2760" s="6" t="s">
        <v>299</v>
      </c>
      <c r="U2760" s="24" t="str">
        <f>HYPERLINK("https://media.infra-m.ru/1912/1912395/cover/1912395.jpg", "Обложка")</f>
        <v>Обложка</v>
      </c>
      <c r="V2760" s="24" t="str">
        <f>HYPERLINK("https://znanium.ru/catalog/product/1912395", "Ознакомиться")</f>
        <v>Ознакомиться</v>
      </c>
      <c r="W2760" s="8" t="s">
        <v>16745</v>
      </c>
      <c r="X2760" s="6"/>
      <c r="Y2760" s="6"/>
      <c r="Z2760" s="6"/>
      <c r="AA2760" s="6" t="s">
        <v>258</v>
      </c>
      <c r="AB2760" s="8"/>
    </row>
    <row r="2761" spans="1:28" s="4" customFormat="1" ht="51.95" customHeight="1">
      <c r="A2761" s="5">
        <v>0</v>
      </c>
      <c r="B2761" s="6" t="s">
        <v>16746</v>
      </c>
      <c r="C2761" s="13">
        <v>1794</v>
      </c>
      <c r="D2761" s="8" t="s">
        <v>16747</v>
      </c>
      <c r="E2761" s="8" t="s">
        <v>16748</v>
      </c>
      <c r="F2761" s="8" t="s">
        <v>16749</v>
      </c>
      <c r="G2761" s="6" t="s">
        <v>89</v>
      </c>
      <c r="H2761" s="6" t="s">
        <v>53</v>
      </c>
      <c r="I2761" s="8" t="s">
        <v>90</v>
      </c>
      <c r="J2761" s="9">
        <v>1</v>
      </c>
      <c r="K2761" s="9">
        <v>358</v>
      </c>
      <c r="L2761" s="9">
        <v>2024</v>
      </c>
      <c r="M2761" s="8" t="s">
        <v>16750</v>
      </c>
      <c r="N2761" s="8" t="s">
        <v>41</v>
      </c>
      <c r="O2761" s="8" t="s">
        <v>1204</v>
      </c>
      <c r="P2761" s="6" t="s">
        <v>43</v>
      </c>
      <c r="Q2761" s="8" t="s">
        <v>44</v>
      </c>
      <c r="R2761" s="10" t="s">
        <v>16751</v>
      </c>
      <c r="S2761" s="11" t="s">
        <v>16752</v>
      </c>
      <c r="T2761" s="6"/>
      <c r="U2761" s="24" t="str">
        <f>HYPERLINK("https://media.infra-m.ru/2159/2159179/cover/2159179.jpg", "Обложка")</f>
        <v>Обложка</v>
      </c>
      <c r="V2761" s="24" t="str">
        <f>HYPERLINK("https://znanium.ru/catalog/product/1205998", "Ознакомиться")</f>
        <v>Ознакомиться</v>
      </c>
      <c r="W2761" s="8" t="s">
        <v>16745</v>
      </c>
      <c r="X2761" s="6"/>
      <c r="Y2761" s="6"/>
      <c r="Z2761" s="6"/>
      <c r="AA2761" s="6" t="s">
        <v>258</v>
      </c>
      <c r="AB2761" s="8"/>
    </row>
    <row r="2762" spans="1:28" s="4" customFormat="1" ht="44.1" customHeight="1">
      <c r="A2762" s="5">
        <v>0</v>
      </c>
      <c r="B2762" s="6" t="s">
        <v>16753</v>
      </c>
      <c r="C2762" s="13">
        <v>2320</v>
      </c>
      <c r="D2762" s="8" t="s">
        <v>16754</v>
      </c>
      <c r="E2762" s="8" t="s">
        <v>16755</v>
      </c>
      <c r="F2762" s="8" t="s">
        <v>16756</v>
      </c>
      <c r="G2762" s="6" t="s">
        <v>52</v>
      </c>
      <c r="H2762" s="6" t="s">
        <v>53</v>
      </c>
      <c r="I2762" s="8" t="s">
        <v>116</v>
      </c>
      <c r="J2762" s="9">
        <v>1</v>
      </c>
      <c r="K2762" s="9">
        <v>502</v>
      </c>
      <c r="L2762" s="9">
        <v>2024</v>
      </c>
      <c r="M2762" s="8" t="s">
        <v>16757</v>
      </c>
      <c r="N2762" s="8" t="s">
        <v>41</v>
      </c>
      <c r="O2762" s="8" t="s">
        <v>1204</v>
      </c>
      <c r="P2762" s="6" t="s">
        <v>43</v>
      </c>
      <c r="Q2762" s="8" t="s">
        <v>58</v>
      </c>
      <c r="R2762" s="10" t="s">
        <v>16758</v>
      </c>
      <c r="S2762" s="11"/>
      <c r="T2762" s="6" t="s">
        <v>299</v>
      </c>
      <c r="U2762" s="24" t="str">
        <f>HYPERLINK("https://media.infra-m.ru/0997/0997106/cover/997106.jpg", "Обложка")</f>
        <v>Обложка</v>
      </c>
      <c r="V2762" s="24" t="str">
        <f>HYPERLINK("https://znanium.ru/catalog/product/997106", "Ознакомиться")</f>
        <v>Ознакомиться</v>
      </c>
      <c r="W2762" s="8" t="s">
        <v>4024</v>
      </c>
      <c r="X2762" s="6"/>
      <c r="Y2762" s="6"/>
      <c r="Z2762" s="6"/>
      <c r="AA2762" s="6" t="s">
        <v>133</v>
      </c>
      <c r="AB2762" s="8"/>
    </row>
    <row r="2763" spans="1:28" s="4" customFormat="1" ht="51.95" customHeight="1">
      <c r="A2763" s="5">
        <v>0</v>
      </c>
      <c r="B2763" s="6" t="s">
        <v>16759</v>
      </c>
      <c r="C2763" s="13">
        <v>1630</v>
      </c>
      <c r="D2763" s="8" t="s">
        <v>16760</v>
      </c>
      <c r="E2763" s="8" t="s">
        <v>16761</v>
      </c>
      <c r="F2763" s="8" t="s">
        <v>16762</v>
      </c>
      <c r="G2763" s="6" t="s">
        <v>52</v>
      </c>
      <c r="H2763" s="6" t="s">
        <v>53</v>
      </c>
      <c r="I2763" s="8" t="s">
        <v>116</v>
      </c>
      <c r="J2763" s="9">
        <v>1</v>
      </c>
      <c r="K2763" s="9">
        <v>316</v>
      </c>
      <c r="L2763" s="9">
        <v>2025</v>
      </c>
      <c r="M2763" s="8" t="s">
        <v>16763</v>
      </c>
      <c r="N2763" s="8" t="s">
        <v>41</v>
      </c>
      <c r="O2763" s="8" t="s">
        <v>42</v>
      </c>
      <c r="P2763" s="6" t="s">
        <v>43</v>
      </c>
      <c r="Q2763" s="8" t="s">
        <v>58</v>
      </c>
      <c r="R2763" s="10" t="s">
        <v>16764</v>
      </c>
      <c r="S2763" s="11"/>
      <c r="T2763" s="6"/>
      <c r="U2763" s="24" t="str">
        <f>HYPERLINK("https://media.infra-m.ru/2141/2141113/cover/2141113.jpg", "Обложка")</f>
        <v>Обложка</v>
      </c>
      <c r="V2763" s="24" t="str">
        <f>HYPERLINK("https://znanium.ru/catalog/product/2141113", "Ознакомиться")</f>
        <v>Ознакомиться</v>
      </c>
      <c r="W2763" s="8" t="s">
        <v>16765</v>
      </c>
      <c r="X2763" s="6" t="s">
        <v>2790</v>
      </c>
      <c r="Y2763" s="6"/>
      <c r="Z2763" s="6"/>
      <c r="AA2763" s="6" t="s">
        <v>61</v>
      </c>
      <c r="AB2763" s="8"/>
    </row>
    <row r="2764" spans="1:28" s="4" customFormat="1" ht="51.95" customHeight="1">
      <c r="A2764" s="5">
        <v>0</v>
      </c>
      <c r="B2764" s="6" t="s">
        <v>16766</v>
      </c>
      <c r="C2764" s="13">
        <v>1274.9000000000001</v>
      </c>
      <c r="D2764" s="8" t="s">
        <v>16767</v>
      </c>
      <c r="E2764" s="8" t="s">
        <v>16768</v>
      </c>
      <c r="F2764" s="8" t="s">
        <v>16769</v>
      </c>
      <c r="G2764" s="6" t="s">
        <v>38</v>
      </c>
      <c r="H2764" s="6" t="s">
        <v>39</v>
      </c>
      <c r="I2764" s="8" t="s">
        <v>276</v>
      </c>
      <c r="J2764" s="9">
        <v>1</v>
      </c>
      <c r="K2764" s="9">
        <v>336</v>
      </c>
      <c r="L2764" s="9">
        <v>2022</v>
      </c>
      <c r="M2764" s="8" t="s">
        <v>16770</v>
      </c>
      <c r="N2764" s="8" t="s">
        <v>41</v>
      </c>
      <c r="O2764" s="8" t="s">
        <v>1204</v>
      </c>
      <c r="P2764" s="6" t="s">
        <v>43</v>
      </c>
      <c r="Q2764" s="8" t="s">
        <v>279</v>
      </c>
      <c r="R2764" s="10" t="s">
        <v>16771</v>
      </c>
      <c r="S2764" s="11" t="s">
        <v>16772</v>
      </c>
      <c r="T2764" s="6"/>
      <c r="U2764" s="24" t="str">
        <f>HYPERLINK("https://media.infra-m.ru/1854/1854794/cover/1854794.jpg", "Обложка")</f>
        <v>Обложка</v>
      </c>
      <c r="V2764" s="24" t="str">
        <f>HYPERLINK("https://znanium.ru/catalog/product/1081958", "Ознакомиться")</f>
        <v>Ознакомиться</v>
      </c>
      <c r="W2764" s="8" t="s">
        <v>243</v>
      </c>
      <c r="X2764" s="6"/>
      <c r="Y2764" s="6"/>
      <c r="Z2764" s="6"/>
      <c r="AA2764" s="6" t="s">
        <v>418</v>
      </c>
      <c r="AB2764" s="8"/>
    </row>
    <row r="2765" spans="1:28" s="4" customFormat="1" ht="51.95" customHeight="1">
      <c r="A2765" s="5">
        <v>0</v>
      </c>
      <c r="B2765" s="6" t="s">
        <v>16773</v>
      </c>
      <c r="C2765" s="13">
        <v>1200</v>
      </c>
      <c r="D2765" s="8" t="s">
        <v>16774</v>
      </c>
      <c r="E2765" s="8" t="s">
        <v>16775</v>
      </c>
      <c r="F2765" s="8" t="s">
        <v>16776</v>
      </c>
      <c r="G2765" s="6" t="s">
        <v>38</v>
      </c>
      <c r="H2765" s="6" t="s">
        <v>39</v>
      </c>
      <c r="I2765" s="8" t="s">
        <v>116</v>
      </c>
      <c r="J2765" s="9">
        <v>1</v>
      </c>
      <c r="K2765" s="9">
        <v>239</v>
      </c>
      <c r="L2765" s="9">
        <v>2025</v>
      </c>
      <c r="M2765" s="8" t="s">
        <v>16777</v>
      </c>
      <c r="N2765" s="8" t="s">
        <v>79</v>
      </c>
      <c r="O2765" s="8" t="s">
        <v>396</v>
      </c>
      <c r="P2765" s="6" t="s">
        <v>43</v>
      </c>
      <c r="Q2765" s="8" t="s">
        <v>44</v>
      </c>
      <c r="R2765" s="10" t="s">
        <v>16778</v>
      </c>
      <c r="S2765" s="11" t="s">
        <v>16779</v>
      </c>
      <c r="T2765" s="6"/>
      <c r="U2765" s="24" t="str">
        <f>HYPERLINK("https://media.infra-m.ru/2163/2163199/cover/2163199.jpg", "Обложка")</f>
        <v>Обложка</v>
      </c>
      <c r="V2765" s="24" t="str">
        <f>HYPERLINK("https://znanium.ru/catalog/product/2163199", "Ознакомиться")</f>
        <v>Ознакомиться</v>
      </c>
      <c r="W2765" s="8" t="s">
        <v>2321</v>
      </c>
      <c r="X2765" s="6"/>
      <c r="Y2765" s="6"/>
      <c r="Z2765" s="6"/>
      <c r="AA2765" s="6" t="s">
        <v>47</v>
      </c>
      <c r="AB2765" s="8"/>
    </row>
    <row r="2766" spans="1:28" s="4" customFormat="1" ht="51.95" customHeight="1">
      <c r="A2766" s="5">
        <v>0</v>
      </c>
      <c r="B2766" s="6" t="s">
        <v>16780</v>
      </c>
      <c r="C2766" s="7">
        <v>824</v>
      </c>
      <c r="D2766" s="8" t="s">
        <v>16781</v>
      </c>
      <c r="E2766" s="8" t="s">
        <v>16782</v>
      </c>
      <c r="F2766" s="8" t="s">
        <v>16783</v>
      </c>
      <c r="G2766" s="6" t="s">
        <v>38</v>
      </c>
      <c r="H2766" s="6" t="s">
        <v>39</v>
      </c>
      <c r="I2766" s="8" t="s">
        <v>116</v>
      </c>
      <c r="J2766" s="9">
        <v>1</v>
      </c>
      <c r="K2766" s="9">
        <v>159</v>
      </c>
      <c r="L2766" s="9">
        <v>2025</v>
      </c>
      <c r="M2766" s="8" t="s">
        <v>16784</v>
      </c>
      <c r="N2766" s="8" t="s">
        <v>413</v>
      </c>
      <c r="O2766" s="8" t="s">
        <v>414</v>
      </c>
      <c r="P2766" s="6" t="s">
        <v>43</v>
      </c>
      <c r="Q2766" s="8" t="s">
        <v>58</v>
      </c>
      <c r="R2766" s="10" t="s">
        <v>13474</v>
      </c>
      <c r="S2766" s="11" t="s">
        <v>16785</v>
      </c>
      <c r="T2766" s="6"/>
      <c r="U2766" s="24" t="str">
        <f>HYPERLINK("https://media.infra-m.ru/2194/2194368/cover/2194368.jpg", "Обложка")</f>
        <v>Обложка</v>
      </c>
      <c r="V2766" s="12"/>
      <c r="W2766" s="8" t="s">
        <v>368</v>
      </c>
      <c r="X2766" s="6"/>
      <c r="Y2766" s="6"/>
      <c r="Z2766" s="6"/>
      <c r="AA2766" s="6" t="s">
        <v>84</v>
      </c>
      <c r="AB2766" s="8"/>
    </row>
    <row r="2767" spans="1:28" s="4" customFormat="1" ht="51.95" customHeight="1">
      <c r="A2767" s="5">
        <v>0</v>
      </c>
      <c r="B2767" s="6" t="s">
        <v>16786</v>
      </c>
      <c r="C2767" s="13">
        <v>1490</v>
      </c>
      <c r="D2767" s="8" t="s">
        <v>16787</v>
      </c>
      <c r="E2767" s="8" t="s">
        <v>16788</v>
      </c>
      <c r="F2767" s="8" t="s">
        <v>16789</v>
      </c>
      <c r="G2767" s="6" t="s">
        <v>52</v>
      </c>
      <c r="H2767" s="6" t="s">
        <v>53</v>
      </c>
      <c r="I2767" s="8" t="s">
        <v>712</v>
      </c>
      <c r="J2767" s="9">
        <v>1</v>
      </c>
      <c r="K2767" s="9">
        <v>321</v>
      </c>
      <c r="L2767" s="9">
        <v>2023</v>
      </c>
      <c r="M2767" s="8" t="s">
        <v>16790</v>
      </c>
      <c r="N2767" s="8" t="s">
        <v>413</v>
      </c>
      <c r="O2767" s="8" t="s">
        <v>414</v>
      </c>
      <c r="P2767" s="6" t="s">
        <v>43</v>
      </c>
      <c r="Q2767" s="8" t="s">
        <v>58</v>
      </c>
      <c r="R2767" s="10" t="s">
        <v>13474</v>
      </c>
      <c r="S2767" s="11" t="s">
        <v>16791</v>
      </c>
      <c r="T2767" s="6"/>
      <c r="U2767" s="24" t="str">
        <f>HYPERLINK("https://media.infra-m.ru/2065/2065488/cover/2065488.jpg", "Обложка")</f>
        <v>Обложка</v>
      </c>
      <c r="V2767" s="24" t="str">
        <f>HYPERLINK("https://znanium.ru/catalog/product/2065488", "Ознакомиться")</f>
        <v>Ознакомиться</v>
      </c>
      <c r="W2767" s="8" t="s">
        <v>716</v>
      </c>
      <c r="X2767" s="6"/>
      <c r="Y2767" s="6"/>
      <c r="Z2767" s="6"/>
      <c r="AA2767" s="6" t="s">
        <v>207</v>
      </c>
      <c r="AB2767" s="8"/>
    </row>
    <row r="2768" spans="1:28" s="4" customFormat="1" ht="51.95" customHeight="1">
      <c r="A2768" s="5">
        <v>0</v>
      </c>
      <c r="B2768" s="6" t="s">
        <v>16792</v>
      </c>
      <c r="C2768" s="13">
        <v>1880</v>
      </c>
      <c r="D2768" s="8" t="s">
        <v>16793</v>
      </c>
      <c r="E2768" s="8" t="s">
        <v>16794</v>
      </c>
      <c r="F2768" s="8" t="s">
        <v>16795</v>
      </c>
      <c r="G2768" s="6" t="s">
        <v>52</v>
      </c>
      <c r="H2768" s="6" t="s">
        <v>53</v>
      </c>
      <c r="I2768" s="8" t="s">
        <v>712</v>
      </c>
      <c r="J2768" s="9">
        <v>1</v>
      </c>
      <c r="K2768" s="9">
        <v>414</v>
      </c>
      <c r="L2768" s="9">
        <v>2023</v>
      </c>
      <c r="M2768" s="8" t="s">
        <v>16796</v>
      </c>
      <c r="N2768" s="8" t="s">
        <v>413</v>
      </c>
      <c r="O2768" s="8" t="s">
        <v>1584</v>
      </c>
      <c r="P2768" s="6" t="s">
        <v>43</v>
      </c>
      <c r="Q2768" s="8" t="s">
        <v>58</v>
      </c>
      <c r="R2768" s="10" t="s">
        <v>16797</v>
      </c>
      <c r="S2768" s="11" t="s">
        <v>16798</v>
      </c>
      <c r="T2768" s="6"/>
      <c r="U2768" s="24" t="str">
        <f>HYPERLINK("https://media.infra-m.ru/2001/2001722/cover/2001722.jpg", "Обложка")</f>
        <v>Обложка</v>
      </c>
      <c r="V2768" s="24" t="str">
        <f>HYPERLINK("https://znanium.ru/catalog/product/2001722", "Ознакомиться")</f>
        <v>Ознакомиться</v>
      </c>
      <c r="W2768" s="8" t="s">
        <v>716</v>
      </c>
      <c r="X2768" s="6"/>
      <c r="Y2768" s="6"/>
      <c r="Z2768" s="6"/>
      <c r="AA2768" s="6" t="s">
        <v>207</v>
      </c>
      <c r="AB2768" s="8"/>
    </row>
    <row r="2769" spans="1:28" s="4" customFormat="1" ht="42" customHeight="1">
      <c r="A2769" s="5">
        <v>0</v>
      </c>
      <c r="B2769" s="6" t="s">
        <v>16799</v>
      </c>
      <c r="C2769" s="7">
        <v>834</v>
      </c>
      <c r="D2769" s="8" t="s">
        <v>16800</v>
      </c>
      <c r="E2769" s="8" t="s">
        <v>16801</v>
      </c>
      <c r="F2769" s="8" t="s">
        <v>16802</v>
      </c>
      <c r="G2769" s="6" t="s">
        <v>52</v>
      </c>
      <c r="H2769" s="6" t="s">
        <v>952</v>
      </c>
      <c r="I2769" s="8"/>
      <c r="J2769" s="9">
        <v>1</v>
      </c>
      <c r="K2769" s="9">
        <v>160</v>
      </c>
      <c r="L2769" s="9">
        <v>2025</v>
      </c>
      <c r="M2769" s="8" t="s">
        <v>16803</v>
      </c>
      <c r="N2769" s="8" t="s">
        <v>41</v>
      </c>
      <c r="O2769" s="8" t="s">
        <v>1007</v>
      </c>
      <c r="P2769" s="6" t="s">
        <v>43</v>
      </c>
      <c r="Q2769" s="8" t="s">
        <v>44</v>
      </c>
      <c r="R2769" s="10" t="s">
        <v>2461</v>
      </c>
      <c r="S2769" s="11"/>
      <c r="T2769" s="6"/>
      <c r="U2769" s="24" t="str">
        <f>HYPERLINK("https://media.infra-m.ru/2192/2192776/cover/2192776.jpg", "Обложка")</f>
        <v>Обложка</v>
      </c>
      <c r="V2769" s="12"/>
      <c r="W2769" s="8" t="s">
        <v>3629</v>
      </c>
      <c r="X2769" s="6"/>
      <c r="Y2769" s="6"/>
      <c r="Z2769" s="6"/>
      <c r="AA2769" s="6" t="s">
        <v>219</v>
      </c>
      <c r="AB2769" s="8"/>
    </row>
    <row r="2770" spans="1:28" s="4" customFormat="1" ht="51.95" customHeight="1">
      <c r="A2770" s="5">
        <v>0</v>
      </c>
      <c r="B2770" s="6" t="s">
        <v>16804</v>
      </c>
      <c r="C2770" s="7">
        <v>890</v>
      </c>
      <c r="D2770" s="8" t="s">
        <v>16805</v>
      </c>
      <c r="E2770" s="8" t="s">
        <v>16806</v>
      </c>
      <c r="F2770" s="8" t="s">
        <v>16807</v>
      </c>
      <c r="G2770" s="6" t="s">
        <v>52</v>
      </c>
      <c r="H2770" s="6" t="s">
        <v>53</v>
      </c>
      <c r="I2770" s="8" t="s">
        <v>90</v>
      </c>
      <c r="J2770" s="9">
        <v>1</v>
      </c>
      <c r="K2770" s="9">
        <v>270</v>
      </c>
      <c r="L2770" s="9">
        <v>2018</v>
      </c>
      <c r="M2770" s="8" t="s">
        <v>16808</v>
      </c>
      <c r="N2770" s="8" t="s">
        <v>79</v>
      </c>
      <c r="O2770" s="8" t="s">
        <v>148</v>
      </c>
      <c r="P2770" s="6" t="s">
        <v>43</v>
      </c>
      <c r="Q2770" s="8" t="s">
        <v>44</v>
      </c>
      <c r="R2770" s="10" t="s">
        <v>16809</v>
      </c>
      <c r="S2770" s="11" t="s">
        <v>16810</v>
      </c>
      <c r="T2770" s="6"/>
      <c r="U2770" s="24" t="str">
        <f>HYPERLINK("https://media.infra-m.ru/0908/0908746/cover/908746.jpg", "Обложка")</f>
        <v>Обложка</v>
      </c>
      <c r="V2770" s="24" t="str">
        <f>HYPERLINK("https://znanium.ru/catalog/product/908746", "Ознакомиться")</f>
        <v>Ознакомиться</v>
      </c>
      <c r="W2770" s="8" t="s">
        <v>450</v>
      </c>
      <c r="X2770" s="6"/>
      <c r="Y2770" s="6"/>
      <c r="Z2770" s="6"/>
      <c r="AA2770" s="6" t="s">
        <v>151</v>
      </c>
      <c r="AB2770" s="8"/>
    </row>
    <row r="2771" spans="1:28" s="4" customFormat="1" ht="51.95" customHeight="1">
      <c r="A2771" s="5">
        <v>0</v>
      </c>
      <c r="B2771" s="6" t="s">
        <v>16811</v>
      </c>
      <c r="C2771" s="7">
        <v>700</v>
      </c>
      <c r="D2771" s="8" t="s">
        <v>16812</v>
      </c>
      <c r="E2771" s="8" t="s">
        <v>16813</v>
      </c>
      <c r="F2771" s="8" t="s">
        <v>16814</v>
      </c>
      <c r="G2771" s="6" t="s">
        <v>38</v>
      </c>
      <c r="H2771" s="6" t="s">
        <v>53</v>
      </c>
      <c r="I2771" s="8" t="s">
        <v>276</v>
      </c>
      <c r="J2771" s="9">
        <v>1</v>
      </c>
      <c r="K2771" s="9">
        <v>153</v>
      </c>
      <c r="L2771" s="9">
        <v>2024</v>
      </c>
      <c r="M2771" s="8" t="s">
        <v>16815</v>
      </c>
      <c r="N2771" s="8" t="s">
        <v>41</v>
      </c>
      <c r="O2771" s="8" t="s">
        <v>118</v>
      </c>
      <c r="P2771" s="6" t="s">
        <v>43</v>
      </c>
      <c r="Q2771" s="8" t="s">
        <v>279</v>
      </c>
      <c r="R2771" s="10" t="s">
        <v>1251</v>
      </c>
      <c r="S2771" s="11" t="s">
        <v>16816</v>
      </c>
      <c r="T2771" s="6"/>
      <c r="U2771" s="24" t="str">
        <f>HYPERLINK("https://media.infra-m.ru/2080/2080780/cover/2080780.jpg", "Обложка")</f>
        <v>Обложка</v>
      </c>
      <c r="V2771" s="24" t="str">
        <f>HYPERLINK("https://znanium.ru/catalog/product/2080780", "Ознакомиться")</f>
        <v>Ознакомиться</v>
      </c>
      <c r="W2771" s="8" t="s">
        <v>12543</v>
      </c>
      <c r="X2771" s="6"/>
      <c r="Y2771" s="6"/>
      <c r="Z2771" s="6"/>
      <c r="AA2771" s="6" t="s">
        <v>418</v>
      </c>
      <c r="AB2771" s="8"/>
    </row>
    <row r="2772" spans="1:28" s="4" customFormat="1" ht="51.95" customHeight="1">
      <c r="A2772" s="5">
        <v>0</v>
      </c>
      <c r="B2772" s="6" t="s">
        <v>16817</v>
      </c>
      <c r="C2772" s="13">
        <v>1610</v>
      </c>
      <c r="D2772" s="8" t="s">
        <v>16818</v>
      </c>
      <c r="E2772" s="8" t="s">
        <v>16819</v>
      </c>
      <c r="F2772" s="8" t="s">
        <v>16820</v>
      </c>
      <c r="G2772" s="6" t="s">
        <v>89</v>
      </c>
      <c r="H2772" s="6" t="s">
        <v>53</v>
      </c>
      <c r="I2772" s="8" t="s">
        <v>116</v>
      </c>
      <c r="J2772" s="9">
        <v>1</v>
      </c>
      <c r="K2772" s="9">
        <v>348</v>
      </c>
      <c r="L2772" s="9">
        <v>2024</v>
      </c>
      <c r="M2772" s="8" t="s">
        <v>16821</v>
      </c>
      <c r="N2772" s="8" t="s">
        <v>41</v>
      </c>
      <c r="O2772" s="8" t="s">
        <v>1007</v>
      </c>
      <c r="P2772" s="6" t="s">
        <v>167</v>
      </c>
      <c r="Q2772" s="8" t="s">
        <v>44</v>
      </c>
      <c r="R2772" s="10" t="s">
        <v>7844</v>
      </c>
      <c r="S2772" s="11" t="s">
        <v>16822</v>
      </c>
      <c r="T2772" s="6" t="s">
        <v>299</v>
      </c>
      <c r="U2772" s="24" t="str">
        <f>HYPERLINK("https://media.infra-m.ru/2130/2130087/cover/2130087.jpg", "Обложка")</f>
        <v>Обложка</v>
      </c>
      <c r="V2772" s="24" t="str">
        <f>HYPERLINK("https://znanium.ru/catalog/product/2130087", "Ознакомиться")</f>
        <v>Ознакомиться</v>
      </c>
      <c r="W2772" s="8" t="s">
        <v>189</v>
      </c>
      <c r="X2772" s="6"/>
      <c r="Y2772" s="6"/>
      <c r="Z2772" s="6"/>
      <c r="AA2772" s="6" t="s">
        <v>418</v>
      </c>
      <c r="AB2772" s="8"/>
    </row>
    <row r="2773" spans="1:28" s="4" customFormat="1" ht="51.95" customHeight="1">
      <c r="A2773" s="5">
        <v>0</v>
      </c>
      <c r="B2773" s="6" t="s">
        <v>16823</v>
      </c>
      <c r="C2773" s="7">
        <v>750</v>
      </c>
      <c r="D2773" s="8" t="s">
        <v>16824</v>
      </c>
      <c r="E2773" s="8" t="s">
        <v>16825</v>
      </c>
      <c r="F2773" s="8" t="s">
        <v>16826</v>
      </c>
      <c r="G2773" s="6" t="s">
        <v>89</v>
      </c>
      <c r="H2773" s="6" t="s">
        <v>53</v>
      </c>
      <c r="I2773" s="8" t="s">
        <v>276</v>
      </c>
      <c r="J2773" s="9">
        <v>1</v>
      </c>
      <c r="K2773" s="9">
        <v>201</v>
      </c>
      <c r="L2773" s="9">
        <v>2020</v>
      </c>
      <c r="M2773" s="8" t="s">
        <v>16827</v>
      </c>
      <c r="N2773" s="8" t="s">
        <v>41</v>
      </c>
      <c r="O2773" s="8" t="s">
        <v>118</v>
      </c>
      <c r="P2773" s="6" t="s">
        <v>43</v>
      </c>
      <c r="Q2773" s="8" t="s">
        <v>279</v>
      </c>
      <c r="R2773" s="10" t="s">
        <v>16828</v>
      </c>
      <c r="S2773" s="11" t="s">
        <v>16829</v>
      </c>
      <c r="T2773" s="6"/>
      <c r="U2773" s="24" t="str">
        <f>HYPERLINK("https://media.infra-m.ru/1074/1074344/cover/1074344.jpg", "Обложка")</f>
        <v>Обложка</v>
      </c>
      <c r="V2773" s="24" t="str">
        <f>HYPERLINK("https://znanium.ru/catalog/product/1074344", "Ознакомиться")</f>
        <v>Ознакомиться</v>
      </c>
      <c r="W2773" s="8" t="s">
        <v>354</v>
      </c>
      <c r="X2773" s="6"/>
      <c r="Y2773" s="6"/>
      <c r="Z2773" s="6"/>
      <c r="AA2773" s="6" t="s">
        <v>258</v>
      </c>
      <c r="AB2773" s="8"/>
    </row>
    <row r="2774" spans="1:28" s="4" customFormat="1" ht="42" customHeight="1">
      <c r="A2774" s="5">
        <v>0</v>
      </c>
      <c r="B2774" s="6" t="s">
        <v>16830</v>
      </c>
      <c r="C2774" s="13">
        <v>2300</v>
      </c>
      <c r="D2774" s="8" t="s">
        <v>16831</v>
      </c>
      <c r="E2774" s="8" t="s">
        <v>16832</v>
      </c>
      <c r="F2774" s="8" t="s">
        <v>16833</v>
      </c>
      <c r="G2774" s="6" t="s">
        <v>52</v>
      </c>
      <c r="H2774" s="6" t="s">
        <v>16731</v>
      </c>
      <c r="I2774" s="8"/>
      <c r="J2774" s="9">
        <v>1</v>
      </c>
      <c r="K2774" s="9">
        <v>480</v>
      </c>
      <c r="L2774" s="9">
        <v>2019</v>
      </c>
      <c r="M2774" s="8" t="s">
        <v>16834</v>
      </c>
      <c r="N2774" s="8" t="s">
        <v>68</v>
      </c>
      <c r="O2774" s="8" t="s">
        <v>16835</v>
      </c>
      <c r="P2774" s="6" t="s">
        <v>16731</v>
      </c>
      <c r="Q2774" s="8" t="s">
        <v>44</v>
      </c>
      <c r="R2774" s="10" t="s">
        <v>16836</v>
      </c>
      <c r="S2774" s="11"/>
      <c r="T2774" s="6"/>
      <c r="U2774" s="24" t="str">
        <f>HYPERLINK("https://media.infra-m.ru/1001/1001521/cover/1001521.jpg", "Обложка")</f>
        <v>Обложка</v>
      </c>
      <c r="V2774" s="12"/>
      <c r="W2774" s="8" t="s">
        <v>4293</v>
      </c>
      <c r="X2774" s="6"/>
      <c r="Y2774" s="6"/>
      <c r="Z2774" s="6"/>
      <c r="AA2774" s="6" t="s">
        <v>122</v>
      </c>
      <c r="AB2774" s="8"/>
    </row>
    <row r="2775" spans="1:28" s="4" customFormat="1" ht="42" customHeight="1">
      <c r="A2775" s="5">
        <v>0</v>
      </c>
      <c r="B2775" s="6" t="s">
        <v>16837</v>
      </c>
      <c r="C2775" s="13">
        <v>2300</v>
      </c>
      <c r="D2775" s="8" t="s">
        <v>16838</v>
      </c>
      <c r="E2775" s="8" t="s">
        <v>16839</v>
      </c>
      <c r="F2775" s="8" t="s">
        <v>16833</v>
      </c>
      <c r="G2775" s="6" t="s">
        <v>52</v>
      </c>
      <c r="H2775" s="6" t="s">
        <v>16731</v>
      </c>
      <c r="I2775" s="8"/>
      <c r="J2775" s="9">
        <v>1</v>
      </c>
      <c r="K2775" s="9">
        <v>480</v>
      </c>
      <c r="L2775" s="9">
        <v>2019</v>
      </c>
      <c r="M2775" s="8" t="s">
        <v>16840</v>
      </c>
      <c r="N2775" s="8" t="s">
        <v>68</v>
      </c>
      <c r="O2775" s="8" t="s">
        <v>16835</v>
      </c>
      <c r="P2775" s="6" t="s">
        <v>16731</v>
      </c>
      <c r="Q2775" s="8" t="s">
        <v>44</v>
      </c>
      <c r="R2775" s="10" t="s">
        <v>16836</v>
      </c>
      <c r="S2775" s="11"/>
      <c r="T2775" s="6"/>
      <c r="U2775" s="24" t="str">
        <f>HYPERLINK("https://media.infra-m.ru/1002/1002230/cover/1002230.jpg", "Обложка")</f>
        <v>Обложка</v>
      </c>
      <c r="V2775" s="12"/>
      <c r="W2775" s="8" t="s">
        <v>4293</v>
      </c>
      <c r="X2775" s="6"/>
      <c r="Y2775" s="6"/>
      <c r="Z2775" s="6"/>
      <c r="AA2775" s="6" t="s">
        <v>122</v>
      </c>
      <c r="AB2775" s="8"/>
    </row>
    <row r="2776" spans="1:28" s="4" customFormat="1" ht="42" customHeight="1">
      <c r="A2776" s="5">
        <v>0</v>
      </c>
      <c r="B2776" s="6" t="s">
        <v>16841</v>
      </c>
      <c r="C2776" s="13">
        <v>3497</v>
      </c>
      <c r="D2776" s="8" t="s">
        <v>16842</v>
      </c>
      <c r="E2776" s="8" t="s">
        <v>16843</v>
      </c>
      <c r="F2776" s="8" t="s">
        <v>16833</v>
      </c>
      <c r="G2776" s="6" t="s">
        <v>52</v>
      </c>
      <c r="H2776" s="6" t="s">
        <v>16731</v>
      </c>
      <c r="I2776" s="8"/>
      <c r="J2776" s="9">
        <v>1</v>
      </c>
      <c r="K2776" s="9">
        <v>480</v>
      </c>
      <c r="L2776" s="9">
        <v>2019</v>
      </c>
      <c r="M2776" s="8" t="s">
        <v>16844</v>
      </c>
      <c r="N2776" s="8" t="s">
        <v>68</v>
      </c>
      <c r="O2776" s="8" t="s">
        <v>16835</v>
      </c>
      <c r="P2776" s="6" t="s">
        <v>16731</v>
      </c>
      <c r="Q2776" s="8" t="s">
        <v>44</v>
      </c>
      <c r="R2776" s="10" t="s">
        <v>16836</v>
      </c>
      <c r="S2776" s="11"/>
      <c r="T2776" s="6"/>
      <c r="U2776" s="24" t="str">
        <f>HYPERLINK("https://media.infra-m.ru/1020/1020838/cover/1020838.jpg", "Обложка")</f>
        <v>Обложка</v>
      </c>
      <c r="V2776" s="12"/>
      <c r="W2776" s="8" t="s">
        <v>4293</v>
      </c>
      <c r="X2776" s="6"/>
      <c r="Y2776" s="6"/>
      <c r="Z2776" s="6"/>
      <c r="AA2776" s="6" t="s">
        <v>84</v>
      </c>
      <c r="AB2776" s="8"/>
    </row>
    <row r="2777" spans="1:28" s="4" customFormat="1" ht="42" customHeight="1">
      <c r="A2777" s="5">
        <v>0</v>
      </c>
      <c r="B2777" s="6" t="s">
        <v>16845</v>
      </c>
      <c r="C2777" s="13">
        <v>2300</v>
      </c>
      <c r="D2777" s="8" t="s">
        <v>16846</v>
      </c>
      <c r="E2777" s="8" t="s">
        <v>16847</v>
      </c>
      <c r="F2777" s="8" t="s">
        <v>16833</v>
      </c>
      <c r="G2777" s="6" t="s">
        <v>52</v>
      </c>
      <c r="H2777" s="6" t="s">
        <v>16731</v>
      </c>
      <c r="I2777" s="8"/>
      <c r="J2777" s="9">
        <v>1</v>
      </c>
      <c r="K2777" s="9">
        <v>480</v>
      </c>
      <c r="L2777" s="9">
        <v>2019</v>
      </c>
      <c r="M2777" s="8" t="s">
        <v>16848</v>
      </c>
      <c r="N2777" s="8" t="s">
        <v>68</v>
      </c>
      <c r="O2777" s="8" t="s">
        <v>16835</v>
      </c>
      <c r="P2777" s="6" t="s">
        <v>16731</v>
      </c>
      <c r="Q2777" s="8" t="s">
        <v>44</v>
      </c>
      <c r="R2777" s="10" t="s">
        <v>16836</v>
      </c>
      <c r="S2777" s="11"/>
      <c r="T2777" s="6"/>
      <c r="U2777" s="24" t="str">
        <f>HYPERLINK("https://media.infra-m.ru/1020/1020837/cover/1020837.jpg", "Обложка")</f>
        <v>Обложка</v>
      </c>
      <c r="V2777" s="12"/>
      <c r="W2777" s="8" t="s">
        <v>4293</v>
      </c>
      <c r="X2777" s="6"/>
      <c r="Y2777" s="6"/>
      <c r="Z2777" s="6"/>
      <c r="AA2777" s="6" t="s">
        <v>111</v>
      </c>
      <c r="AB2777" s="8"/>
    </row>
    <row r="2778" spans="1:28" s="4" customFormat="1" ht="42" customHeight="1">
      <c r="A2778" s="5">
        <v>0</v>
      </c>
      <c r="B2778" s="6" t="s">
        <v>16849</v>
      </c>
      <c r="C2778" s="13">
        <v>2300</v>
      </c>
      <c r="D2778" s="8" t="s">
        <v>16850</v>
      </c>
      <c r="E2778" s="8" t="s">
        <v>16851</v>
      </c>
      <c r="F2778" s="8" t="s">
        <v>16833</v>
      </c>
      <c r="G2778" s="6" t="s">
        <v>52</v>
      </c>
      <c r="H2778" s="6" t="s">
        <v>16731</v>
      </c>
      <c r="I2778" s="8"/>
      <c r="J2778" s="9">
        <v>1</v>
      </c>
      <c r="K2778" s="9">
        <v>480</v>
      </c>
      <c r="L2778" s="9">
        <v>2021</v>
      </c>
      <c r="M2778" s="8" t="s">
        <v>16852</v>
      </c>
      <c r="N2778" s="8" t="s">
        <v>68</v>
      </c>
      <c r="O2778" s="8" t="s">
        <v>16835</v>
      </c>
      <c r="P2778" s="6" t="s">
        <v>16731</v>
      </c>
      <c r="Q2778" s="8" t="s">
        <v>44</v>
      </c>
      <c r="R2778" s="10" t="s">
        <v>16836</v>
      </c>
      <c r="S2778" s="11"/>
      <c r="T2778" s="6"/>
      <c r="U2778" s="24" t="str">
        <f>HYPERLINK("https://media.infra-m.ru/1223/1223152/cover/1223152.jpg", "Обложка")</f>
        <v>Обложка</v>
      </c>
      <c r="V2778" s="12"/>
      <c r="W2778" s="8" t="s">
        <v>4293</v>
      </c>
      <c r="X2778" s="6"/>
      <c r="Y2778" s="6"/>
      <c r="Z2778" s="6"/>
      <c r="AA2778" s="6" t="s">
        <v>111</v>
      </c>
      <c r="AB2778" s="8"/>
    </row>
    <row r="2779" spans="1:28" s="4" customFormat="1" ht="33" customHeight="1">
      <c r="A2779" s="5">
        <v>0</v>
      </c>
      <c r="B2779" s="6" t="s">
        <v>16853</v>
      </c>
      <c r="C2779" s="13">
        <v>2300</v>
      </c>
      <c r="D2779" s="8" t="s">
        <v>16854</v>
      </c>
      <c r="E2779" s="8" t="s">
        <v>16855</v>
      </c>
      <c r="F2779" s="8" t="s">
        <v>16833</v>
      </c>
      <c r="G2779" s="6" t="s">
        <v>52</v>
      </c>
      <c r="H2779" s="6" t="s">
        <v>16731</v>
      </c>
      <c r="I2779" s="8"/>
      <c r="J2779" s="9">
        <v>5</v>
      </c>
      <c r="K2779" s="9">
        <v>496</v>
      </c>
      <c r="L2779" s="9">
        <v>2019</v>
      </c>
      <c r="M2779" s="8" t="s">
        <v>16856</v>
      </c>
      <c r="N2779" s="8" t="s">
        <v>68</v>
      </c>
      <c r="O2779" s="8" t="s">
        <v>16835</v>
      </c>
      <c r="P2779" s="6" t="s">
        <v>16731</v>
      </c>
      <c r="Q2779" s="8" t="s">
        <v>44</v>
      </c>
      <c r="R2779" s="10" t="s">
        <v>16836</v>
      </c>
      <c r="S2779" s="11"/>
      <c r="T2779" s="6"/>
      <c r="U2779" s="12"/>
      <c r="V2779" s="12"/>
      <c r="W2779" s="8" t="s">
        <v>4293</v>
      </c>
      <c r="X2779" s="6"/>
      <c r="Y2779" s="6"/>
      <c r="Z2779" s="6"/>
      <c r="AA2779" s="6" t="s">
        <v>111</v>
      </c>
      <c r="AB2779" s="8"/>
    </row>
    <row r="2780" spans="1:28" s="4" customFormat="1" ht="42" customHeight="1">
      <c r="A2780" s="5">
        <v>0</v>
      </c>
      <c r="B2780" s="6" t="s">
        <v>16857</v>
      </c>
      <c r="C2780" s="13">
        <v>2300</v>
      </c>
      <c r="D2780" s="8" t="s">
        <v>16858</v>
      </c>
      <c r="E2780" s="8" t="s">
        <v>16859</v>
      </c>
      <c r="F2780" s="8" t="s">
        <v>16833</v>
      </c>
      <c r="G2780" s="6" t="s">
        <v>52</v>
      </c>
      <c r="H2780" s="6" t="s">
        <v>16731</v>
      </c>
      <c r="I2780" s="8"/>
      <c r="J2780" s="9">
        <v>1</v>
      </c>
      <c r="K2780" s="9">
        <v>496</v>
      </c>
      <c r="L2780" s="9">
        <v>2019</v>
      </c>
      <c r="M2780" s="8" t="s">
        <v>16860</v>
      </c>
      <c r="N2780" s="8" t="s">
        <v>68</v>
      </c>
      <c r="O2780" s="8" t="s">
        <v>16835</v>
      </c>
      <c r="P2780" s="6" t="s">
        <v>16731</v>
      </c>
      <c r="Q2780" s="8" t="s">
        <v>44</v>
      </c>
      <c r="R2780" s="10" t="s">
        <v>16836</v>
      </c>
      <c r="S2780" s="11"/>
      <c r="T2780" s="6"/>
      <c r="U2780" s="24" t="str">
        <f>HYPERLINK("https://media.infra-m.ru/1020/1020834/cover/1020834.jpg", "Обложка")</f>
        <v>Обложка</v>
      </c>
      <c r="V2780" s="12"/>
      <c r="W2780" s="8" t="s">
        <v>4293</v>
      </c>
      <c r="X2780" s="6"/>
      <c r="Y2780" s="6"/>
      <c r="Z2780" s="6"/>
      <c r="AA2780" s="6" t="s">
        <v>111</v>
      </c>
      <c r="AB2780" s="8"/>
    </row>
    <row r="2781" spans="1:28" s="4" customFormat="1" ht="42" customHeight="1">
      <c r="A2781" s="5">
        <v>0</v>
      </c>
      <c r="B2781" s="6" t="s">
        <v>16861</v>
      </c>
      <c r="C2781" s="13">
        <v>2300</v>
      </c>
      <c r="D2781" s="8" t="s">
        <v>16862</v>
      </c>
      <c r="E2781" s="8" t="s">
        <v>16863</v>
      </c>
      <c r="F2781" s="8" t="s">
        <v>16833</v>
      </c>
      <c r="G2781" s="6" t="s">
        <v>52</v>
      </c>
      <c r="H2781" s="6" t="s">
        <v>16731</v>
      </c>
      <c r="I2781" s="8"/>
      <c r="J2781" s="9">
        <v>1</v>
      </c>
      <c r="K2781" s="9">
        <v>495</v>
      </c>
      <c r="L2781" s="9">
        <v>2019</v>
      </c>
      <c r="M2781" s="8" t="s">
        <v>16864</v>
      </c>
      <c r="N2781" s="8" t="s">
        <v>68</v>
      </c>
      <c r="O2781" s="8" t="s">
        <v>16835</v>
      </c>
      <c r="P2781" s="6" t="s">
        <v>16731</v>
      </c>
      <c r="Q2781" s="8" t="s">
        <v>44</v>
      </c>
      <c r="R2781" s="10" t="s">
        <v>16836</v>
      </c>
      <c r="S2781" s="11"/>
      <c r="T2781" s="6"/>
      <c r="U2781" s="24" t="str">
        <f>HYPERLINK("https://media.infra-m.ru/1008/1008031/cover/1008031.jpg", "Обложка")</f>
        <v>Обложка</v>
      </c>
      <c r="V2781" s="12"/>
      <c r="W2781" s="8" t="s">
        <v>4293</v>
      </c>
      <c r="X2781" s="6"/>
      <c r="Y2781" s="6"/>
      <c r="Z2781" s="6"/>
      <c r="AA2781" s="6" t="s">
        <v>418</v>
      </c>
      <c r="AB2781" s="8"/>
    </row>
    <row r="2782" spans="1:28" s="4" customFormat="1" ht="42" customHeight="1">
      <c r="A2782" s="5">
        <v>0</v>
      </c>
      <c r="B2782" s="6" t="s">
        <v>16865</v>
      </c>
      <c r="C2782" s="13">
        <v>2300</v>
      </c>
      <c r="D2782" s="8" t="s">
        <v>16866</v>
      </c>
      <c r="E2782" s="8" t="s">
        <v>16867</v>
      </c>
      <c r="F2782" s="8" t="s">
        <v>16833</v>
      </c>
      <c r="G2782" s="6" t="s">
        <v>52</v>
      </c>
      <c r="H2782" s="6" t="s">
        <v>16731</v>
      </c>
      <c r="I2782" s="8"/>
      <c r="J2782" s="9">
        <v>1</v>
      </c>
      <c r="K2782" s="9">
        <v>496</v>
      </c>
      <c r="L2782" s="9">
        <v>2019</v>
      </c>
      <c r="M2782" s="8"/>
      <c r="N2782" s="8" t="s">
        <v>68</v>
      </c>
      <c r="O2782" s="8" t="s">
        <v>16835</v>
      </c>
      <c r="P2782" s="6" t="s">
        <v>16731</v>
      </c>
      <c r="Q2782" s="8" t="s">
        <v>44</v>
      </c>
      <c r="R2782" s="10" t="s">
        <v>16836</v>
      </c>
      <c r="S2782" s="11"/>
      <c r="T2782" s="6"/>
      <c r="U2782" s="24" t="str">
        <f>HYPERLINK("https://media.infra-m.ru/1008/1008033/cover/1008033.jpg", "Обложка")</f>
        <v>Обложка</v>
      </c>
      <c r="V2782" s="12"/>
      <c r="W2782" s="8" t="s">
        <v>4293</v>
      </c>
      <c r="X2782" s="6"/>
      <c r="Y2782" s="6"/>
      <c r="Z2782" s="6"/>
      <c r="AA2782" s="6" t="s">
        <v>418</v>
      </c>
      <c r="AB2782" s="8"/>
    </row>
    <row r="2783" spans="1:28" s="4" customFormat="1" ht="51.95" customHeight="1">
      <c r="A2783" s="5">
        <v>0</v>
      </c>
      <c r="B2783" s="6" t="s">
        <v>16868</v>
      </c>
      <c r="C2783" s="13">
        <v>2780</v>
      </c>
      <c r="D2783" s="8" t="s">
        <v>16869</v>
      </c>
      <c r="E2783" s="8" t="s">
        <v>16870</v>
      </c>
      <c r="F2783" s="8" t="s">
        <v>16871</v>
      </c>
      <c r="G2783" s="6" t="s">
        <v>38</v>
      </c>
      <c r="H2783" s="6" t="s">
        <v>438</v>
      </c>
      <c r="I2783" s="8"/>
      <c r="J2783" s="9">
        <v>1</v>
      </c>
      <c r="K2783" s="9">
        <v>556</v>
      </c>
      <c r="L2783" s="9">
        <v>2025</v>
      </c>
      <c r="M2783" s="8" t="s">
        <v>16872</v>
      </c>
      <c r="N2783" s="8" t="s">
        <v>413</v>
      </c>
      <c r="O2783" s="8" t="s">
        <v>1528</v>
      </c>
      <c r="P2783" s="6" t="s">
        <v>167</v>
      </c>
      <c r="Q2783" s="8" t="s">
        <v>58</v>
      </c>
      <c r="R2783" s="10" t="s">
        <v>16873</v>
      </c>
      <c r="S2783" s="11"/>
      <c r="T2783" s="6"/>
      <c r="U2783" s="24" t="str">
        <f>HYPERLINK("https://media.infra-m.ru/2168/2168867/cover/2168867.jpg", "Обложка")</f>
        <v>Обложка</v>
      </c>
      <c r="V2783" s="24" t="str">
        <f>HYPERLINK("https://znanium.ru/catalog/product/2168867", "Ознакомиться")</f>
        <v>Ознакомиться</v>
      </c>
      <c r="W2783" s="8" t="s">
        <v>46</v>
      </c>
      <c r="X2783" s="6"/>
      <c r="Y2783" s="6"/>
      <c r="Z2783" s="6"/>
      <c r="AA2783" s="6" t="s">
        <v>84</v>
      </c>
      <c r="AB2783" s="8"/>
    </row>
    <row r="2784" spans="1:28" s="4" customFormat="1" ht="42" customHeight="1">
      <c r="A2784" s="5">
        <v>0</v>
      </c>
      <c r="B2784" s="6" t="s">
        <v>16874</v>
      </c>
      <c r="C2784" s="13">
        <v>2244</v>
      </c>
      <c r="D2784" s="8" t="s">
        <v>16875</v>
      </c>
      <c r="E2784" s="8" t="s">
        <v>16876</v>
      </c>
      <c r="F2784" s="8" t="s">
        <v>2950</v>
      </c>
      <c r="G2784" s="6" t="s">
        <v>52</v>
      </c>
      <c r="H2784" s="6" t="s">
        <v>39</v>
      </c>
      <c r="I2784" s="8" t="s">
        <v>116</v>
      </c>
      <c r="J2784" s="9">
        <v>1</v>
      </c>
      <c r="K2784" s="9">
        <v>432</v>
      </c>
      <c r="L2784" s="9">
        <v>2025</v>
      </c>
      <c r="M2784" s="8" t="s">
        <v>16877</v>
      </c>
      <c r="N2784" s="8" t="s">
        <v>41</v>
      </c>
      <c r="O2784" s="8" t="s">
        <v>42</v>
      </c>
      <c r="P2784" s="6" t="s">
        <v>43</v>
      </c>
      <c r="Q2784" s="8" t="s">
        <v>44</v>
      </c>
      <c r="R2784" s="10" t="s">
        <v>2952</v>
      </c>
      <c r="S2784" s="11"/>
      <c r="T2784" s="6"/>
      <c r="U2784" s="24" t="str">
        <f>HYPERLINK("https://media.infra-m.ru/2196/2196482/cover/2196482.jpg", "Обложка")</f>
        <v>Обложка</v>
      </c>
      <c r="V2784" s="12"/>
      <c r="W2784" s="8" t="s">
        <v>2954</v>
      </c>
      <c r="X2784" s="6"/>
      <c r="Y2784" s="6"/>
      <c r="Z2784" s="6"/>
      <c r="AA2784" s="6" t="s">
        <v>122</v>
      </c>
      <c r="AB2784" s="8"/>
    </row>
    <row r="2785" spans="1:28" s="4" customFormat="1" ht="51.95" customHeight="1">
      <c r="A2785" s="5">
        <v>0</v>
      </c>
      <c r="B2785" s="6" t="s">
        <v>16878</v>
      </c>
      <c r="C2785" s="13">
        <v>1040</v>
      </c>
      <c r="D2785" s="8" t="s">
        <v>16879</v>
      </c>
      <c r="E2785" s="8" t="s">
        <v>16880</v>
      </c>
      <c r="F2785" s="8" t="s">
        <v>2756</v>
      </c>
      <c r="G2785" s="6" t="s">
        <v>89</v>
      </c>
      <c r="H2785" s="6" t="s">
        <v>184</v>
      </c>
      <c r="I2785" s="8" t="s">
        <v>185</v>
      </c>
      <c r="J2785" s="9">
        <v>1</v>
      </c>
      <c r="K2785" s="9">
        <v>224</v>
      </c>
      <c r="L2785" s="9">
        <v>2023</v>
      </c>
      <c r="M2785" s="8" t="s">
        <v>16881</v>
      </c>
      <c r="N2785" s="8" t="s">
        <v>41</v>
      </c>
      <c r="O2785" s="8" t="s">
        <v>129</v>
      </c>
      <c r="P2785" s="6" t="s">
        <v>167</v>
      </c>
      <c r="Q2785" s="8" t="s">
        <v>102</v>
      </c>
      <c r="R2785" s="10" t="s">
        <v>16882</v>
      </c>
      <c r="S2785" s="11" t="s">
        <v>16883</v>
      </c>
      <c r="T2785" s="6"/>
      <c r="U2785" s="24" t="str">
        <f>HYPERLINK("https://media.infra-m.ru/2124/2124998/cover/2124998.jpg", "Обложка")</f>
        <v>Обложка</v>
      </c>
      <c r="V2785" s="24" t="str">
        <f>HYPERLINK("https://znanium.ru/catalog/product/2118072", "Ознакомиться")</f>
        <v>Ознакомиться</v>
      </c>
      <c r="W2785" s="8" t="s">
        <v>427</v>
      </c>
      <c r="X2785" s="6"/>
      <c r="Y2785" s="6"/>
      <c r="Z2785" s="6"/>
      <c r="AA2785" s="6" t="s">
        <v>1374</v>
      </c>
      <c r="AB2785" s="8"/>
    </row>
    <row r="2786" spans="1:28" s="4" customFormat="1" ht="51.95" customHeight="1">
      <c r="A2786" s="5">
        <v>0</v>
      </c>
      <c r="B2786" s="6" t="s">
        <v>16884</v>
      </c>
      <c r="C2786" s="7">
        <v>944.9</v>
      </c>
      <c r="D2786" s="8" t="s">
        <v>16885</v>
      </c>
      <c r="E2786" s="8" t="s">
        <v>16886</v>
      </c>
      <c r="F2786" s="8" t="s">
        <v>2756</v>
      </c>
      <c r="G2786" s="6" t="s">
        <v>52</v>
      </c>
      <c r="H2786" s="6" t="s">
        <v>184</v>
      </c>
      <c r="I2786" s="8" t="s">
        <v>185</v>
      </c>
      <c r="J2786" s="9">
        <v>1</v>
      </c>
      <c r="K2786" s="9">
        <v>325</v>
      </c>
      <c r="L2786" s="9">
        <v>2018</v>
      </c>
      <c r="M2786" s="8" t="s">
        <v>16887</v>
      </c>
      <c r="N2786" s="8" t="s">
        <v>41</v>
      </c>
      <c r="O2786" s="8" t="s">
        <v>129</v>
      </c>
      <c r="P2786" s="6" t="s">
        <v>167</v>
      </c>
      <c r="Q2786" s="8" t="s">
        <v>102</v>
      </c>
      <c r="R2786" s="10" t="s">
        <v>16882</v>
      </c>
      <c r="S2786" s="11" t="s">
        <v>16883</v>
      </c>
      <c r="T2786" s="6"/>
      <c r="U2786" s="24" t="str">
        <f>HYPERLINK("https://media.infra-m.ru/0958/0958539/cover/958539.jpg", "Обложка")</f>
        <v>Обложка</v>
      </c>
      <c r="V2786" s="24" t="str">
        <f>HYPERLINK("https://znanium.ru/catalog/product/2118072", "Ознакомиться")</f>
        <v>Ознакомиться</v>
      </c>
      <c r="W2786" s="8" t="s">
        <v>427</v>
      </c>
      <c r="X2786" s="6"/>
      <c r="Y2786" s="6"/>
      <c r="Z2786" s="6"/>
      <c r="AA2786" s="6" t="s">
        <v>84</v>
      </c>
      <c r="AB2786" s="8"/>
    </row>
    <row r="2787" spans="1:28" s="4" customFormat="1" ht="51.95" customHeight="1">
      <c r="A2787" s="5">
        <v>0</v>
      </c>
      <c r="B2787" s="6" t="s">
        <v>16888</v>
      </c>
      <c r="C2787" s="13">
        <v>1564.9</v>
      </c>
      <c r="D2787" s="8" t="s">
        <v>16889</v>
      </c>
      <c r="E2787" s="8" t="s">
        <v>16890</v>
      </c>
      <c r="F2787" s="8" t="s">
        <v>16891</v>
      </c>
      <c r="G2787" s="6" t="s">
        <v>89</v>
      </c>
      <c r="H2787" s="6" t="s">
        <v>53</v>
      </c>
      <c r="I2787" s="8" t="s">
        <v>90</v>
      </c>
      <c r="J2787" s="9">
        <v>1</v>
      </c>
      <c r="K2787" s="9">
        <v>339</v>
      </c>
      <c r="L2787" s="9">
        <v>2023</v>
      </c>
      <c r="M2787" s="8" t="s">
        <v>16892</v>
      </c>
      <c r="N2787" s="8" t="s">
        <v>41</v>
      </c>
      <c r="O2787" s="8" t="s">
        <v>676</v>
      </c>
      <c r="P2787" s="6" t="s">
        <v>167</v>
      </c>
      <c r="Q2787" s="8" t="s">
        <v>44</v>
      </c>
      <c r="R2787" s="10" t="s">
        <v>2736</v>
      </c>
      <c r="S2787" s="11" t="s">
        <v>16893</v>
      </c>
      <c r="T2787" s="6"/>
      <c r="U2787" s="24" t="str">
        <f>HYPERLINK("https://media.infra-m.ru/2115/2115290/cover/2115290.jpg", "Обложка")</f>
        <v>Обложка</v>
      </c>
      <c r="V2787" s="24" t="str">
        <f>HYPERLINK("https://znanium.ru/catalog/product/2115289", "Ознакомиться")</f>
        <v>Ознакомиться</v>
      </c>
      <c r="W2787" s="8" t="s">
        <v>4331</v>
      </c>
      <c r="X2787" s="6"/>
      <c r="Y2787" s="6"/>
      <c r="Z2787" s="6"/>
      <c r="AA2787" s="6" t="s">
        <v>235</v>
      </c>
      <c r="AB2787" s="8"/>
    </row>
    <row r="2788" spans="1:28" s="4" customFormat="1" ht="51.95" customHeight="1">
      <c r="A2788" s="5">
        <v>0</v>
      </c>
      <c r="B2788" s="6" t="s">
        <v>16894</v>
      </c>
      <c r="C2788" s="7">
        <v>754</v>
      </c>
      <c r="D2788" s="8" t="s">
        <v>16895</v>
      </c>
      <c r="E2788" s="8" t="s">
        <v>16896</v>
      </c>
      <c r="F2788" s="8" t="s">
        <v>16897</v>
      </c>
      <c r="G2788" s="6" t="s">
        <v>52</v>
      </c>
      <c r="H2788" s="6" t="s">
        <v>66</v>
      </c>
      <c r="I2788" s="8" t="s">
        <v>116</v>
      </c>
      <c r="J2788" s="9">
        <v>1</v>
      </c>
      <c r="K2788" s="9">
        <v>144</v>
      </c>
      <c r="L2788" s="9">
        <v>2025</v>
      </c>
      <c r="M2788" s="8" t="s">
        <v>16898</v>
      </c>
      <c r="N2788" s="8" t="s">
        <v>41</v>
      </c>
      <c r="O2788" s="8" t="s">
        <v>1007</v>
      </c>
      <c r="P2788" s="6" t="s">
        <v>167</v>
      </c>
      <c r="Q2788" s="8" t="s">
        <v>44</v>
      </c>
      <c r="R2788" s="10" t="s">
        <v>16899</v>
      </c>
      <c r="S2788" s="11" t="s">
        <v>8387</v>
      </c>
      <c r="T2788" s="6"/>
      <c r="U2788" s="24" t="str">
        <f>HYPERLINK("https://media.infra-m.ru/2193/2193743/cover/2193743.jpg", "Обложка")</f>
        <v>Обложка</v>
      </c>
      <c r="V2788" s="24" t="str">
        <f>HYPERLINK("https://znanium.ru/catalog/product/1002614", "Ознакомиться")</f>
        <v>Ознакомиться</v>
      </c>
      <c r="W2788" s="8"/>
      <c r="X2788" s="6"/>
      <c r="Y2788" s="6"/>
      <c r="Z2788" s="6"/>
      <c r="AA2788" s="6" t="s">
        <v>72</v>
      </c>
      <c r="AB2788" s="8"/>
    </row>
    <row r="2789" spans="1:28" s="4" customFormat="1" ht="42" customHeight="1">
      <c r="A2789" s="5">
        <v>0</v>
      </c>
      <c r="B2789" s="6" t="s">
        <v>16900</v>
      </c>
      <c r="C2789" s="13">
        <v>1000</v>
      </c>
      <c r="D2789" s="8" t="s">
        <v>16901</v>
      </c>
      <c r="E2789" s="8" t="s">
        <v>16902</v>
      </c>
      <c r="F2789" s="8" t="s">
        <v>6372</v>
      </c>
      <c r="G2789" s="6" t="s">
        <v>52</v>
      </c>
      <c r="H2789" s="6" t="s">
        <v>53</v>
      </c>
      <c r="I2789" s="8" t="s">
        <v>127</v>
      </c>
      <c r="J2789" s="9">
        <v>1</v>
      </c>
      <c r="K2789" s="9">
        <v>198</v>
      </c>
      <c r="L2789" s="9">
        <v>2025</v>
      </c>
      <c r="M2789" s="8" t="s">
        <v>16903</v>
      </c>
      <c r="N2789" s="8" t="s">
        <v>41</v>
      </c>
      <c r="O2789" s="8" t="s">
        <v>676</v>
      </c>
      <c r="P2789" s="6" t="s">
        <v>43</v>
      </c>
      <c r="Q2789" s="8" t="s">
        <v>58</v>
      </c>
      <c r="R2789" s="10" t="s">
        <v>16904</v>
      </c>
      <c r="S2789" s="11"/>
      <c r="T2789" s="6"/>
      <c r="U2789" s="24" t="str">
        <f>HYPERLINK("https://media.infra-m.ru/2143/2143078/cover/2143078.jpg", "Обложка")</f>
        <v>Обложка</v>
      </c>
      <c r="V2789" s="24" t="str">
        <f>HYPERLINK("https://znanium.ru/catalog/product/2143078", "Ознакомиться")</f>
        <v>Ознакомиться</v>
      </c>
      <c r="W2789" s="8" t="s">
        <v>131</v>
      </c>
      <c r="X2789" s="6" t="s">
        <v>1049</v>
      </c>
      <c r="Y2789" s="6"/>
      <c r="Z2789" s="6"/>
      <c r="AA2789" s="6" t="s">
        <v>61</v>
      </c>
      <c r="AB2789" s="8"/>
    </row>
    <row r="2790" spans="1:28" s="4" customFormat="1" ht="51.95" customHeight="1">
      <c r="A2790" s="5">
        <v>0</v>
      </c>
      <c r="B2790" s="6" t="s">
        <v>16905</v>
      </c>
      <c r="C2790" s="7">
        <v>420</v>
      </c>
      <c r="D2790" s="8" t="s">
        <v>16906</v>
      </c>
      <c r="E2790" s="8" t="s">
        <v>16907</v>
      </c>
      <c r="F2790" s="8" t="s">
        <v>16908</v>
      </c>
      <c r="G2790" s="6" t="s">
        <v>38</v>
      </c>
      <c r="H2790" s="6" t="s">
        <v>53</v>
      </c>
      <c r="I2790" s="8" t="s">
        <v>2511</v>
      </c>
      <c r="J2790" s="9">
        <v>1</v>
      </c>
      <c r="K2790" s="9">
        <v>85</v>
      </c>
      <c r="L2790" s="9">
        <v>2023</v>
      </c>
      <c r="M2790" s="8" t="s">
        <v>16909</v>
      </c>
      <c r="N2790" s="8" t="s">
        <v>41</v>
      </c>
      <c r="O2790" s="8" t="s">
        <v>676</v>
      </c>
      <c r="P2790" s="6" t="s">
        <v>1046</v>
      </c>
      <c r="Q2790" s="8" t="s">
        <v>58</v>
      </c>
      <c r="R2790" s="10" t="s">
        <v>5010</v>
      </c>
      <c r="S2790" s="11"/>
      <c r="T2790" s="6"/>
      <c r="U2790" s="24" t="str">
        <f>HYPERLINK("https://media.infra-m.ru/2040/2040900/cover/2040900.jpg", "Обложка")</f>
        <v>Обложка</v>
      </c>
      <c r="V2790" s="24" t="str">
        <f>HYPERLINK("https://znanium.ru/catalog/product/2040900", "Ознакомиться")</f>
        <v>Ознакомиться</v>
      </c>
      <c r="W2790" s="8" t="s">
        <v>2995</v>
      </c>
      <c r="X2790" s="6"/>
      <c r="Y2790" s="6"/>
      <c r="Z2790" s="6"/>
      <c r="AA2790" s="6" t="s">
        <v>442</v>
      </c>
      <c r="AB2790" s="8"/>
    </row>
    <row r="2791" spans="1:28" s="4" customFormat="1" ht="51.95" customHeight="1">
      <c r="A2791" s="5">
        <v>0</v>
      </c>
      <c r="B2791" s="6" t="s">
        <v>16910</v>
      </c>
      <c r="C2791" s="13">
        <v>1850</v>
      </c>
      <c r="D2791" s="8" t="s">
        <v>16911</v>
      </c>
      <c r="E2791" s="8" t="s">
        <v>16912</v>
      </c>
      <c r="F2791" s="8" t="s">
        <v>9211</v>
      </c>
      <c r="G2791" s="6" t="s">
        <v>89</v>
      </c>
      <c r="H2791" s="6" t="s">
        <v>53</v>
      </c>
      <c r="I2791" s="8" t="s">
        <v>212</v>
      </c>
      <c r="J2791" s="9">
        <v>1</v>
      </c>
      <c r="K2791" s="9">
        <v>395</v>
      </c>
      <c r="L2791" s="9">
        <v>2024</v>
      </c>
      <c r="M2791" s="8" t="s">
        <v>16913</v>
      </c>
      <c r="N2791" s="8" t="s">
        <v>41</v>
      </c>
      <c r="O2791" s="8" t="s">
        <v>676</v>
      </c>
      <c r="P2791" s="6" t="s">
        <v>167</v>
      </c>
      <c r="Q2791" s="8" t="s">
        <v>214</v>
      </c>
      <c r="R2791" s="10" t="s">
        <v>983</v>
      </c>
      <c r="S2791" s="11" t="s">
        <v>16914</v>
      </c>
      <c r="T2791" s="6" t="s">
        <v>299</v>
      </c>
      <c r="U2791" s="24" t="str">
        <f>HYPERLINK("https://media.infra-m.ru/2106/2106652/cover/2106652.jpg", "Обложка")</f>
        <v>Обложка</v>
      </c>
      <c r="V2791" s="24" t="str">
        <f>HYPERLINK("https://znanium.ru/catalog/product/2106652", "Ознакомиться")</f>
        <v>Ознакомиться</v>
      </c>
      <c r="W2791" s="8" t="s">
        <v>354</v>
      </c>
      <c r="X2791" s="6"/>
      <c r="Y2791" s="6"/>
      <c r="Z2791" s="6"/>
      <c r="AA2791" s="6" t="s">
        <v>151</v>
      </c>
      <c r="AB2791" s="8"/>
    </row>
    <row r="2792" spans="1:28" s="4" customFormat="1" ht="51.95" customHeight="1">
      <c r="A2792" s="5">
        <v>0</v>
      </c>
      <c r="B2792" s="6" t="s">
        <v>16915</v>
      </c>
      <c r="C2792" s="13">
        <v>1540</v>
      </c>
      <c r="D2792" s="8" t="s">
        <v>16916</v>
      </c>
      <c r="E2792" s="8" t="s">
        <v>16917</v>
      </c>
      <c r="F2792" s="8" t="s">
        <v>16918</v>
      </c>
      <c r="G2792" s="6" t="s">
        <v>89</v>
      </c>
      <c r="H2792" s="6" t="s">
        <v>53</v>
      </c>
      <c r="I2792" s="8" t="s">
        <v>90</v>
      </c>
      <c r="J2792" s="9">
        <v>1</v>
      </c>
      <c r="K2792" s="9">
        <v>302</v>
      </c>
      <c r="L2792" s="9">
        <v>2023</v>
      </c>
      <c r="M2792" s="8" t="s">
        <v>16919</v>
      </c>
      <c r="N2792" s="8" t="s">
        <v>79</v>
      </c>
      <c r="O2792" s="8" t="s">
        <v>396</v>
      </c>
      <c r="P2792" s="6" t="s">
        <v>43</v>
      </c>
      <c r="Q2792" s="8" t="s">
        <v>44</v>
      </c>
      <c r="R2792" s="10" t="s">
        <v>16920</v>
      </c>
      <c r="S2792" s="11" t="s">
        <v>16921</v>
      </c>
      <c r="T2792" s="6"/>
      <c r="U2792" s="24" t="str">
        <f>HYPERLINK("https://media.infra-m.ru/2128/2128018/cover/2128018.jpg", "Обложка")</f>
        <v>Обложка</v>
      </c>
      <c r="V2792" s="24" t="str">
        <f>HYPERLINK("https://znanium.ru/catalog/product/2128018", "Ознакомиться")</f>
        <v>Ознакомиться</v>
      </c>
      <c r="W2792" s="8" t="s">
        <v>16922</v>
      </c>
      <c r="X2792" s="6"/>
      <c r="Y2792" s="6"/>
      <c r="Z2792" s="6"/>
      <c r="AA2792" s="6" t="s">
        <v>207</v>
      </c>
      <c r="AB2792" s="8"/>
    </row>
    <row r="2793" spans="1:28" s="4" customFormat="1" ht="51.95" customHeight="1">
      <c r="A2793" s="5">
        <v>0</v>
      </c>
      <c r="B2793" s="6" t="s">
        <v>16923</v>
      </c>
      <c r="C2793" s="7">
        <v>960</v>
      </c>
      <c r="D2793" s="8" t="s">
        <v>16924</v>
      </c>
      <c r="E2793" s="8" t="s">
        <v>16925</v>
      </c>
      <c r="F2793" s="8" t="s">
        <v>16926</v>
      </c>
      <c r="G2793" s="6" t="s">
        <v>89</v>
      </c>
      <c r="H2793" s="6" t="s">
        <v>674</v>
      </c>
      <c r="I2793" s="8"/>
      <c r="J2793" s="9">
        <v>1</v>
      </c>
      <c r="K2793" s="9">
        <v>208</v>
      </c>
      <c r="L2793" s="9">
        <v>2019</v>
      </c>
      <c r="M2793" s="8" t="s">
        <v>16927</v>
      </c>
      <c r="N2793" s="8" t="s">
        <v>41</v>
      </c>
      <c r="O2793" s="8" t="s">
        <v>676</v>
      </c>
      <c r="P2793" s="6" t="s">
        <v>43</v>
      </c>
      <c r="Q2793" s="8" t="s">
        <v>44</v>
      </c>
      <c r="R2793" s="10" t="s">
        <v>677</v>
      </c>
      <c r="S2793" s="11"/>
      <c r="T2793" s="6"/>
      <c r="U2793" s="24" t="str">
        <f>HYPERLINK("https://media.infra-m.ru/0989/0989182/cover/989182.jpg", "Обложка")</f>
        <v>Обложка</v>
      </c>
      <c r="V2793" s="24" t="str">
        <f>HYPERLINK("https://znanium.ru/catalog/product/989182", "Ознакомиться")</f>
        <v>Ознакомиться</v>
      </c>
      <c r="W2793" s="8" t="s">
        <v>792</v>
      </c>
      <c r="X2793" s="6"/>
      <c r="Y2793" s="6"/>
      <c r="Z2793" s="6"/>
      <c r="AA2793" s="6" t="s">
        <v>442</v>
      </c>
      <c r="AB2793" s="8"/>
    </row>
    <row r="2794" spans="1:28" s="4" customFormat="1" ht="51.95" customHeight="1">
      <c r="A2794" s="5">
        <v>0</v>
      </c>
      <c r="B2794" s="6" t="s">
        <v>16928</v>
      </c>
      <c r="C2794" s="7">
        <v>614</v>
      </c>
      <c r="D2794" s="8" t="s">
        <v>16929</v>
      </c>
      <c r="E2794" s="8" t="s">
        <v>16930</v>
      </c>
      <c r="F2794" s="8" t="s">
        <v>16931</v>
      </c>
      <c r="G2794" s="6" t="s">
        <v>38</v>
      </c>
      <c r="H2794" s="6" t="s">
        <v>53</v>
      </c>
      <c r="I2794" s="8" t="s">
        <v>90</v>
      </c>
      <c r="J2794" s="9">
        <v>1</v>
      </c>
      <c r="K2794" s="9">
        <v>135</v>
      </c>
      <c r="L2794" s="9">
        <v>2023</v>
      </c>
      <c r="M2794" s="8" t="s">
        <v>16932</v>
      </c>
      <c r="N2794" s="8" t="s">
        <v>79</v>
      </c>
      <c r="O2794" s="8" t="s">
        <v>570</v>
      </c>
      <c r="P2794" s="6" t="s">
        <v>43</v>
      </c>
      <c r="Q2794" s="8" t="s">
        <v>44</v>
      </c>
      <c r="R2794" s="10" t="s">
        <v>16933</v>
      </c>
      <c r="S2794" s="11" t="s">
        <v>16934</v>
      </c>
      <c r="T2794" s="6"/>
      <c r="U2794" s="24" t="str">
        <f>HYPERLINK("https://media.infra-m.ru/1998/1998770/cover/1998770.jpg", "Обложка")</f>
        <v>Обложка</v>
      </c>
      <c r="V2794" s="12"/>
      <c r="W2794" s="8" t="s">
        <v>1514</v>
      </c>
      <c r="X2794" s="6"/>
      <c r="Y2794" s="6"/>
      <c r="Z2794" s="6"/>
      <c r="AA2794" s="6" t="s">
        <v>111</v>
      </c>
      <c r="AB2794" s="8"/>
    </row>
    <row r="2795" spans="1:28" s="4" customFormat="1" ht="51.95" customHeight="1">
      <c r="A2795" s="5">
        <v>0</v>
      </c>
      <c r="B2795" s="6" t="s">
        <v>16935</v>
      </c>
      <c r="C2795" s="7">
        <v>884</v>
      </c>
      <c r="D2795" s="8" t="s">
        <v>16936</v>
      </c>
      <c r="E2795" s="8" t="s">
        <v>16937</v>
      </c>
      <c r="F2795" s="8" t="s">
        <v>16938</v>
      </c>
      <c r="G2795" s="6" t="s">
        <v>52</v>
      </c>
      <c r="H2795" s="6" t="s">
        <v>53</v>
      </c>
      <c r="I2795" s="8" t="s">
        <v>276</v>
      </c>
      <c r="J2795" s="9">
        <v>1</v>
      </c>
      <c r="K2795" s="9">
        <v>192</v>
      </c>
      <c r="L2795" s="9">
        <v>2024</v>
      </c>
      <c r="M2795" s="8" t="s">
        <v>16939</v>
      </c>
      <c r="N2795" s="8" t="s">
        <v>79</v>
      </c>
      <c r="O2795" s="8" t="s">
        <v>80</v>
      </c>
      <c r="P2795" s="6" t="s">
        <v>43</v>
      </c>
      <c r="Q2795" s="8" t="s">
        <v>279</v>
      </c>
      <c r="R2795" s="10" t="s">
        <v>16940</v>
      </c>
      <c r="S2795" s="11" t="s">
        <v>16941</v>
      </c>
      <c r="T2795" s="6"/>
      <c r="U2795" s="24" t="str">
        <f>HYPERLINK("https://media.infra-m.ru/2125/2125066/cover/2125066.jpg", "Обложка")</f>
        <v>Обложка</v>
      </c>
      <c r="V2795" s="24" t="str">
        <f>HYPERLINK("https://znanium.ru/catalog/product/1013698", "Ознакомиться")</f>
        <v>Ознакомиться</v>
      </c>
      <c r="W2795" s="8" t="s">
        <v>4024</v>
      </c>
      <c r="X2795" s="6"/>
      <c r="Y2795" s="6"/>
      <c r="Z2795" s="6"/>
      <c r="AA2795" s="6" t="s">
        <v>219</v>
      </c>
      <c r="AB2795" s="8"/>
    </row>
    <row r="2796" spans="1:28" s="4" customFormat="1" ht="51.95" customHeight="1">
      <c r="A2796" s="5">
        <v>0</v>
      </c>
      <c r="B2796" s="6" t="s">
        <v>16942</v>
      </c>
      <c r="C2796" s="13">
        <v>1150</v>
      </c>
      <c r="D2796" s="8" t="s">
        <v>16943</v>
      </c>
      <c r="E2796" s="8" t="s">
        <v>16944</v>
      </c>
      <c r="F2796" s="8" t="s">
        <v>16945</v>
      </c>
      <c r="G2796" s="6" t="s">
        <v>89</v>
      </c>
      <c r="H2796" s="6" t="s">
        <v>53</v>
      </c>
      <c r="I2796" s="8" t="s">
        <v>116</v>
      </c>
      <c r="J2796" s="9">
        <v>1</v>
      </c>
      <c r="K2796" s="9">
        <v>224</v>
      </c>
      <c r="L2796" s="9">
        <v>2025</v>
      </c>
      <c r="M2796" s="8" t="s">
        <v>16946</v>
      </c>
      <c r="N2796" s="8" t="s">
        <v>413</v>
      </c>
      <c r="O2796" s="8" t="s">
        <v>414</v>
      </c>
      <c r="P2796" s="6" t="s">
        <v>43</v>
      </c>
      <c r="Q2796" s="8" t="s">
        <v>214</v>
      </c>
      <c r="R2796" s="10" t="s">
        <v>5237</v>
      </c>
      <c r="S2796" s="11" t="s">
        <v>16947</v>
      </c>
      <c r="T2796" s="6"/>
      <c r="U2796" s="24" t="str">
        <f>HYPERLINK("https://media.infra-m.ru/2186/2186873/cover/2186873.jpg", "Обложка")</f>
        <v>Обложка</v>
      </c>
      <c r="V2796" s="24" t="str">
        <f>HYPERLINK("https://znanium.ru/catalog/product/2186873", "Ознакомиться")</f>
        <v>Ознакомиться</v>
      </c>
      <c r="W2796" s="8" t="s">
        <v>450</v>
      </c>
      <c r="X2796" s="6"/>
      <c r="Y2796" s="6"/>
      <c r="Z2796" s="6"/>
      <c r="AA2796" s="6" t="s">
        <v>418</v>
      </c>
      <c r="AB2796" s="8"/>
    </row>
    <row r="2797" spans="1:28" s="4" customFormat="1" ht="51.95" customHeight="1">
      <c r="A2797" s="5">
        <v>0</v>
      </c>
      <c r="B2797" s="6" t="s">
        <v>16948</v>
      </c>
      <c r="C2797" s="13">
        <v>1994.9</v>
      </c>
      <c r="D2797" s="8" t="s">
        <v>16949</v>
      </c>
      <c r="E2797" s="8" t="s">
        <v>16950</v>
      </c>
      <c r="F2797" s="8" t="s">
        <v>16951</v>
      </c>
      <c r="G2797" s="6" t="s">
        <v>52</v>
      </c>
      <c r="H2797" s="6" t="s">
        <v>66</v>
      </c>
      <c r="I2797" s="8" t="s">
        <v>116</v>
      </c>
      <c r="J2797" s="9">
        <v>1</v>
      </c>
      <c r="K2797" s="9">
        <v>624</v>
      </c>
      <c r="L2797" s="9">
        <v>2019</v>
      </c>
      <c r="M2797" s="8" t="s">
        <v>16952</v>
      </c>
      <c r="N2797" s="8" t="s">
        <v>79</v>
      </c>
      <c r="O2797" s="8" t="s">
        <v>148</v>
      </c>
      <c r="P2797" s="6" t="s">
        <v>43</v>
      </c>
      <c r="Q2797" s="8" t="s">
        <v>44</v>
      </c>
      <c r="R2797" s="10" t="s">
        <v>16953</v>
      </c>
      <c r="S2797" s="11" t="s">
        <v>16954</v>
      </c>
      <c r="T2797" s="6"/>
      <c r="U2797" s="24" t="str">
        <f>HYPERLINK("https://media.infra-m.ru/1016/1016410/cover/1016410.jpg", "Обложка")</f>
        <v>Обложка</v>
      </c>
      <c r="V2797" s="24" t="str">
        <f>HYPERLINK("https://znanium.ru/catalog/product/1016410", "Ознакомиться")</f>
        <v>Ознакомиться</v>
      </c>
      <c r="W2797" s="8" t="s">
        <v>15666</v>
      </c>
      <c r="X2797" s="6"/>
      <c r="Y2797" s="6"/>
      <c r="Z2797" s="6"/>
      <c r="AA2797" s="6" t="s">
        <v>122</v>
      </c>
      <c r="AB2797" s="8"/>
    </row>
    <row r="2798" spans="1:28" s="4" customFormat="1" ht="51.95" customHeight="1">
      <c r="A2798" s="5">
        <v>0</v>
      </c>
      <c r="B2798" s="6" t="s">
        <v>16955</v>
      </c>
      <c r="C2798" s="13">
        <v>1814</v>
      </c>
      <c r="D2798" s="8" t="s">
        <v>16956</v>
      </c>
      <c r="E2798" s="8" t="s">
        <v>16957</v>
      </c>
      <c r="F2798" s="8" t="s">
        <v>16958</v>
      </c>
      <c r="G2798" s="6" t="s">
        <v>89</v>
      </c>
      <c r="H2798" s="6" t="s">
        <v>53</v>
      </c>
      <c r="I2798" s="8" t="s">
        <v>90</v>
      </c>
      <c r="J2798" s="9">
        <v>1</v>
      </c>
      <c r="K2798" s="9">
        <v>363</v>
      </c>
      <c r="L2798" s="9">
        <v>2025</v>
      </c>
      <c r="M2798" s="8" t="s">
        <v>16959</v>
      </c>
      <c r="N2798" s="8" t="s">
        <v>79</v>
      </c>
      <c r="O2798" s="8" t="s">
        <v>684</v>
      </c>
      <c r="P2798" s="6" t="s">
        <v>167</v>
      </c>
      <c r="Q2798" s="8" t="s">
        <v>44</v>
      </c>
      <c r="R2798" s="10" t="s">
        <v>1121</v>
      </c>
      <c r="S2798" s="11" t="s">
        <v>16960</v>
      </c>
      <c r="T2798" s="6" t="s">
        <v>299</v>
      </c>
      <c r="U2798" s="24" t="str">
        <f>HYPERLINK("https://media.infra-m.ru/2180/2180237/cover/2180237.jpg", "Обложка")</f>
        <v>Обложка</v>
      </c>
      <c r="V2798" s="24" t="str">
        <f>HYPERLINK("https://znanium.ru/catalog/product/1062370", "Ознакомиться")</f>
        <v>Ознакомиться</v>
      </c>
      <c r="W2798" s="8" t="s">
        <v>16961</v>
      </c>
      <c r="X2798" s="6"/>
      <c r="Y2798" s="6"/>
      <c r="Z2798" s="6"/>
      <c r="AA2798" s="6" t="s">
        <v>111</v>
      </c>
      <c r="AB2798" s="8"/>
    </row>
    <row r="2799" spans="1:28" s="4" customFormat="1" ht="51.95" customHeight="1">
      <c r="A2799" s="5">
        <v>0</v>
      </c>
      <c r="B2799" s="6" t="s">
        <v>16962</v>
      </c>
      <c r="C2799" s="13">
        <v>1934</v>
      </c>
      <c r="D2799" s="8" t="s">
        <v>16963</v>
      </c>
      <c r="E2799" s="8" t="s">
        <v>16964</v>
      </c>
      <c r="F2799" s="8" t="s">
        <v>16965</v>
      </c>
      <c r="G2799" s="6" t="s">
        <v>89</v>
      </c>
      <c r="H2799" s="6" t="s">
        <v>53</v>
      </c>
      <c r="I2799" s="8" t="s">
        <v>100</v>
      </c>
      <c r="J2799" s="9">
        <v>1</v>
      </c>
      <c r="K2799" s="9">
        <v>373</v>
      </c>
      <c r="L2799" s="9">
        <v>2025</v>
      </c>
      <c r="M2799" s="8" t="s">
        <v>16966</v>
      </c>
      <c r="N2799" s="8" t="s">
        <v>79</v>
      </c>
      <c r="O2799" s="8" t="s">
        <v>396</v>
      </c>
      <c r="P2799" s="6" t="s">
        <v>43</v>
      </c>
      <c r="Q2799" s="8" t="s">
        <v>102</v>
      </c>
      <c r="R2799" s="10" t="s">
        <v>16967</v>
      </c>
      <c r="S2799" s="11" t="s">
        <v>16968</v>
      </c>
      <c r="T2799" s="6"/>
      <c r="U2799" s="24" t="str">
        <f>HYPERLINK("https://media.infra-m.ru/2196/2196758/cover/2196758.jpg", "Обложка")</f>
        <v>Обложка</v>
      </c>
      <c r="V2799" s="24" t="str">
        <f>HYPERLINK("https://znanium.ru/catalog/product/2178877", "Ознакомиться")</f>
        <v>Ознакомиться</v>
      </c>
      <c r="W2799" s="8" t="s">
        <v>3226</v>
      </c>
      <c r="X2799" s="6"/>
      <c r="Y2799" s="6"/>
      <c r="Z2799" s="6"/>
      <c r="AA2799" s="6" t="s">
        <v>1374</v>
      </c>
      <c r="AB2799" s="8"/>
    </row>
    <row r="2800" spans="1:28" s="4" customFormat="1" ht="51.95" customHeight="1">
      <c r="A2800" s="5">
        <v>0</v>
      </c>
      <c r="B2800" s="6" t="s">
        <v>16969</v>
      </c>
      <c r="C2800" s="13">
        <v>1040</v>
      </c>
      <c r="D2800" s="8" t="s">
        <v>16970</v>
      </c>
      <c r="E2800" s="8" t="s">
        <v>16971</v>
      </c>
      <c r="F2800" s="8" t="s">
        <v>16972</v>
      </c>
      <c r="G2800" s="6" t="s">
        <v>89</v>
      </c>
      <c r="H2800" s="6" t="s">
        <v>53</v>
      </c>
      <c r="I2800" s="8" t="s">
        <v>100</v>
      </c>
      <c r="J2800" s="9">
        <v>1</v>
      </c>
      <c r="K2800" s="9">
        <v>412</v>
      </c>
      <c r="L2800" s="9">
        <v>2018</v>
      </c>
      <c r="M2800" s="8" t="s">
        <v>16973</v>
      </c>
      <c r="N2800" s="8" t="s">
        <v>79</v>
      </c>
      <c r="O2800" s="8" t="s">
        <v>396</v>
      </c>
      <c r="P2800" s="6" t="s">
        <v>43</v>
      </c>
      <c r="Q2800" s="8" t="s">
        <v>102</v>
      </c>
      <c r="R2800" s="10" t="s">
        <v>16967</v>
      </c>
      <c r="S2800" s="11" t="s">
        <v>16974</v>
      </c>
      <c r="T2800" s="6"/>
      <c r="U2800" s="24" t="str">
        <f>HYPERLINK("https://media.infra-m.ru/0942/0942771/cover/942771.jpg", "Обложка")</f>
        <v>Обложка</v>
      </c>
      <c r="V2800" s="24" t="str">
        <f>HYPERLINK("https://znanium.ru/catalog/product/2178877", "Ознакомиться")</f>
        <v>Ознакомиться</v>
      </c>
      <c r="W2800" s="8" t="s">
        <v>3226</v>
      </c>
      <c r="X2800" s="6"/>
      <c r="Y2800" s="6"/>
      <c r="Z2800" s="6"/>
      <c r="AA2800" s="6" t="s">
        <v>1135</v>
      </c>
      <c r="AB2800" s="8"/>
    </row>
    <row r="2801" spans="1:28" s="4" customFormat="1" ht="51.95" customHeight="1">
      <c r="A2801" s="5">
        <v>0</v>
      </c>
      <c r="B2801" s="6" t="s">
        <v>16975</v>
      </c>
      <c r="C2801" s="13">
        <v>1734</v>
      </c>
      <c r="D2801" s="8" t="s">
        <v>16976</v>
      </c>
      <c r="E2801" s="8" t="s">
        <v>16977</v>
      </c>
      <c r="F2801" s="8" t="s">
        <v>14188</v>
      </c>
      <c r="G2801" s="6" t="s">
        <v>52</v>
      </c>
      <c r="H2801" s="6" t="s">
        <v>649</v>
      </c>
      <c r="I2801" s="8" t="s">
        <v>185</v>
      </c>
      <c r="J2801" s="9">
        <v>1</v>
      </c>
      <c r="K2801" s="9">
        <v>368</v>
      </c>
      <c r="L2801" s="9">
        <v>2024</v>
      </c>
      <c r="M2801" s="8" t="s">
        <v>16978</v>
      </c>
      <c r="N2801" s="8" t="s">
        <v>79</v>
      </c>
      <c r="O2801" s="8" t="s">
        <v>396</v>
      </c>
      <c r="P2801" s="6" t="s">
        <v>167</v>
      </c>
      <c r="Q2801" s="8" t="s">
        <v>102</v>
      </c>
      <c r="R2801" s="10" t="s">
        <v>16979</v>
      </c>
      <c r="S2801" s="11" t="s">
        <v>16980</v>
      </c>
      <c r="T2801" s="6"/>
      <c r="U2801" s="24" t="str">
        <f>HYPERLINK("https://media.infra-m.ru/2103/2103205/cover/2103205.jpg", "Обложка")</f>
        <v>Обложка</v>
      </c>
      <c r="V2801" s="24" t="str">
        <f>HYPERLINK("https://znanium.ru/catalog/product/1214042", "Ознакомиться")</f>
        <v>Ознакомиться</v>
      </c>
      <c r="W2801" s="8" t="s">
        <v>450</v>
      </c>
      <c r="X2801" s="6"/>
      <c r="Y2801" s="6"/>
      <c r="Z2801" s="6"/>
      <c r="AA2801" s="6" t="s">
        <v>47</v>
      </c>
      <c r="AB2801" s="8"/>
    </row>
    <row r="2802" spans="1:28" s="4" customFormat="1" ht="51.95" customHeight="1">
      <c r="A2802" s="5">
        <v>0</v>
      </c>
      <c r="B2802" s="6" t="s">
        <v>16981</v>
      </c>
      <c r="C2802" s="13">
        <v>1130</v>
      </c>
      <c r="D2802" s="8" t="s">
        <v>16982</v>
      </c>
      <c r="E2802" s="8" t="s">
        <v>16983</v>
      </c>
      <c r="F2802" s="8" t="s">
        <v>16984</v>
      </c>
      <c r="G2802" s="6" t="s">
        <v>89</v>
      </c>
      <c r="H2802" s="6" t="s">
        <v>53</v>
      </c>
      <c r="I2802" s="8" t="s">
        <v>116</v>
      </c>
      <c r="J2802" s="9">
        <v>1</v>
      </c>
      <c r="K2802" s="9">
        <v>231</v>
      </c>
      <c r="L2802" s="9">
        <v>2024</v>
      </c>
      <c r="M2802" s="8" t="s">
        <v>16985</v>
      </c>
      <c r="N2802" s="8" t="s">
        <v>79</v>
      </c>
      <c r="O2802" s="8" t="s">
        <v>396</v>
      </c>
      <c r="P2802" s="6" t="s">
        <v>43</v>
      </c>
      <c r="Q2802" s="8" t="s">
        <v>44</v>
      </c>
      <c r="R2802" s="10" t="s">
        <v>16986</v>
      </c>
      <c r="S2802" s="11" t="s">
        <v>16987</v>
      </c>
      <c r="T2802" s="6"/>
      <c r="U2802" s="24" t="str">
        <f>HYPERLINK("https://media.infra-m.ru/2132/2132080/cover/2132080.jpg", "Обложка")</f>
        <v>Обложка</v>
      </c>
      <c r="V2802" s="24" t="str">
        <f>HYPERLINK("https://znanium.ru/catalog/product/2132080", "Ознакомиться")</f>
        <v>Ознакомиться</v>
      </c>
      <c r="W2802" s="8" t="s">
        <v>16961</v>
      </c>
      <c r="X2802" s="6"/>
      <c r="Y2802" s="6"/>
      <c r="Z2802" s="6"/>
      <c r="AA2802" s="6" t="s">
        <v>219</v>
      </c>
      <c r="AB2802" s="8"/>
    </row>
    <row r="2803" spans="1:28" s="4" customFormat="1" ht="42" customHeight="1">
      <c r="A2803" s="5">
        <v>0</v>
      </c>
      <c r="B2803" s="6" t="s">
        <v>16988</v>
      </c>
      <c r="C2803" s="13">
        <v>1090</v>
      </c>
      <c r="D2803" s="8" t="s">
        <v>16989</v>
      </c>
      <c r="E2803" s="8" t="s">
        <v>16983</v>
      </c>
      <c r="F2803" s="8" t="s">
        <v>16984</v>
      </c>
      <c r="G2803" s="6" t="s">
        <v>52</v>
      </c>
      <c r="H2803" s="6" t="s">
        <v>53</v>
      </c>
      <c r="I2803" s="8" t="s">
        <v>100</v>
      </c>
      <c r="J2803" s="9">
        <v>1</v>
      </c>
      <c r="K2803" s="9">
        <v>231</v>
      </c>
      <c r="L2803" s="9">
        <v>2024</v>
      </c>
      <c r="M2803" s="8" t="s">
        <v>16990</v>
      </c>
      <c r="N2803" s="8" t="s">
        <v>79</v>
      </c>
      <c r="O2803" s="8" t="s">
        <v>396</v>
      </c>
      <c r="P2803" s="6" t="s">
        <v>43</v>
      </c>
      <c r="Q2803" s="8" t="s">
        <v>102</v>
      </c>
      <c r="R2803" s="10" t="s">
        <v>16991</v>
      </c>
      <c r="S2803" s="11"/>
      <c r="T2803" s="6"/>
      <c r="U2803" s="24" t="str">
        <f>HYPERLINK("https://media.infra-m.ru/2147/2147814/cover/2147814.jpg", "Обложка")</f>
        <v>Обложка</v>
      </c>
      <c r="V2803" s="24" t="str">
        <f>HYPERLINK("https://znanium.ru/catalog/product/2147814", "Ознакомиться")</f>
        <v>Ознакомиться</v>
      </c>
      <c r="W2803" s="8" t="s">
        <v>16961</v>
      </c>
      <c r="X2803" s="6" t="s">
        <v>179</v>
      </c>
      <c r="Y2803" s="6"/>
      <c r="Z2803" s="6" t="s">
        <v>104</v>
      </c>
      <c r="AA2803" s="6" t="s">
        <v>133</v>
      </c>
      <c r="AB2803" s="8"/>
    </row>
    <row r="2804" spans="1:28" s="4" customFormat="1" ht="51.95" customHeight="1">
      <c r="A2804" s="5">
        <v>0</v>
      </c>
      <c r="B2804" s="6" t="s">
        <v>16992</v>
      </c>
      <c r="C2804" s="13">
        <v>2114</v>
      </c>
      <c r="D2804" s="8" t="s">
        <v>16993</v>
      </c>
      <c r="E2804" s="8" t="s">
        <v>16994</v>
      </c>
      <c r="F2804" s="8" t="s">
        <v>16995</v>
      </c>
      <c r="G2804" s="6" t="s">
        <v>52</v>
      </c>
      <c r="H2804" s="6" t="s">
        <v>53</v>
      </c>
      <c r="I2804" s="8" t="s">
        <v>90</v>
      </c>
      <c r="J2804" s="9">
        <v>1</v>
      </c>
      <c r="K2804" s="9">
        <v>459</v>
      </c>
      <c r="L2804" s="9">
        <v>2024</v>
      </c>
      <c r="M2804" s="8" t="s">
        <v>16996</v>
      </c>
      <c r="N2804" s="8" t="s">
        <v>79</v>
      </c>
      <c r="O2804" s="8" t="s">
        <v>396</v>
      </c>
      <c r="P2804" s="6" t="s">
        <v>167</v>
      </c>
      <c r="Q2804" s="8" t="s">
        <v>44</v>
      </c>
      <c r="R2804" s="10" t="s">
        <v>13166</v>
      </c>
      <c r="S2804" s="11" t="s">
        <v>16997</v>
      </c>
      <c r="T2804" s="6"/>
      <c r="U2804" s="24" t="str">
        <f>HYPERLINK("https://media.infra-m.ru/2124/2124917/cover/2124917.jpg", "Обложка")</f>
        <v>Обложка</v>
      </c>
      <c r="V2804" s="24" t="str">
        <f>HYPERLINK("https://znanium.ru/catalog/product/1228779", "Ознакомиться")</f>
        <v>Ознакомиться</v>
      </c>
      <c r="W2804" s="8" t="s">
        <v>16998</v>
      </c>
      <c r="X2804" s="6"/>
      <c r="Y2804" s="6"/>
      <c r="Z2804" s="6"/>
      <c r="AA2804" s="6" t="s">
        <v>84</v>
      </c>
      <c r="AB2804" s="8"/>
    </row>
    <row r="2805" spans="1:28" s="4" customFormat="1" ht="51.95" customHeight="1">
      <c r="A2805" s="5">
        <v>0</v>
      </c>
      <c r="B2805" s="6" t="s">
        <v>16999</v>
      </c>
      <c r="C2805" s="13">
        <v>2244</v>
      </c>
      <c r="D2805" s="8" t="s">
        <v>17000</v>
      </c>
      <c r="E2805" s="8" t="s">
        <v>17001</v>
      </c>
      <c r="F2805" s="8" t="s">
        <v>17002</v>
      </c>
      <c r="G2805" s="6" t="s">
        <v>89</v>
      </c>
      <c r="H2805" s="6" t="s">
        <v>53</v>
      </c>
      <c r="I2805" s="8" t="s">
        <v>100</v>
      </c>
      <c r="J2805" s="9">
        <v>1</v>
      </c>
      <c r="K2805" s="9">
        <v>448</v>
      </c>
      <c r="L2805" s="9">
        <v>2025</v>
      </c>
      <c r="M2805" s="8" t="s">
        <v>17003</v>
      </c>
      <c r="N2805" s="8" t="s">
        <v>79</v>
      </c>
      <c r="O2805" s="8" t="s">
        <v>396</v>
      </c>
      <c r="P2805" s="6" t="s">
        <v>43</v>
      </c>
      <c r="Q2805" s="8" t="s">
        <v>102</v>
      </c>
      <c r="R2805" s="10" t="s">
        <v>17004</v>
      </c>
      <c r="S2805" s="11" t="s">
        <v>17005</v>
      </c>
      <c r="T2805" s="6"/>
      <c r="U2805" s="24" t="str">
        <f>HYPERLINK("https://media.infra-m.ru/2178/2178735/cover/2178735.jpg", "Обложка")</f>
        <v>Обложка</v>
      </c>
      <c r="V2805" s="24" t="str">
        <f>HYPERLINK("https://znanium.ru/catalog/product/1959259", "Ознакомиться")</f>
        <v>Ознакомиться</v>
      </c>
      <c r="W2805" s="8" t="s">
        <v>6779</v>
      </c>
      <c r="X2805" s="6"/>
      <c r="Y2805" s="6"/>
      <c r="Z2805" s="6"/>
      <c r="AA2805" s="6" t="s">
        <v>258</v>
      </c>
      <c r="AB2805" s="8"/>
    </row>
    <row r="2806" spans="1:28" s="4" customFormat="1" ht="51.95" customHeight="1">
      <c r="A2806" s="5">
        <v>0</v>
      </c>
      <c r="B2806" s="6" t="s">
        <v>17006</v>
      </c>
      <c r="C2806" s="13">
        <v>1314</v>
      </c>
      <c r="D2806" s="8" t="s">
        <v>17007</v>
      </c>
      <c r="E2806" s="8" t="s">
        <v>17008</v>
      </c>
      <c r="F2806" s="8" t="s">
        <v>3130</v>
      </c>
      <c r="G2806" s="6" t="s">
        <v>89</v>
      </c>
      <c r="H2806" s="6" t="s">
        <v>53</v>
      </c>
      <c r="I2806" s="8" t="s">
        <v>276</v>
      </c>
      <c r="J2806" s="9">
        <v>1</v>
      </c>
      <c r="K2806" s="9">
        <v>262</v>
      </c>
      <c r="L2806" s="9">
        <v>2025</v>
      </c>
      <c r="M2806" s="8" t="s">
        <v>17009</v>
      </c>
      <c r="N2806" s="8" t="s">
        <v>413</v>
      </c>
      <c r="O2806" s="8" t="s">
        <v>414</v>
      </c>
      <c r="P2806" s="6" t="s">
        <v>43</v>
      </c>
      <c r="Q2806" s="8" t="s">
        <v>279</v>
      </c>
      <c r="R2806" s="10" t="s">
        <v>4591</v>
      </c>
      <c r="S2806" s="11" t="s">
        <v>17010</v>
      </c>
      <c r="T2806" s="6"/>
      <c r="U2806" s="24" t="str">
        <f>HYPERLINK("https://media.infra-m.ru/2178/2178855/cover/2178855.jpg", "Обложка")</f>
        <v>Обложка</v>
      </c>
      <c r="V2806" s="24" t="str">
        <f>HYPERLINK("https://znanium.ru/catalog/product/2141028", "Ознакомиться")</f>
        <v>Ознакомиться</v>
      </c>
      <c r="W2806" s="8" t="s">
        <v>399</v>
      </c>
      <c r="X2806" s="6"/>
      <c r="Y2806" s="6"/>
      <c r="Z2806" s="6"/>
      <c r="AA2806" s="6" t="s">
        <v>258</v>
      </c>
      <c r="AB2806" s="8"/>
    </row>
    <row r="2807" spans="1:28" s="4" customFormat="1" ht="51.95" customHeight="1">
      <c r="A2807" s="5">
        <v>0</v>
      </c>
      <c r="B2807" s="6" t="s">
        <v>17011</v>
      </c>
      <c r="C2807" s="7">
        <v>770</v>
      </c>
      <c r="D2807" s="8" t="s">
        <v>17012</v>
      </c>
      <c r="E2807" s="8" t="s">
        <v>17013</v>
      </c>
      <c r="F2807" s="8" t="s">
        <v>8178</v>
      </c>
      <c r="G2807" s="6" t="s">
        <v>52</v>
      </c>
      <c r="H2807" s="6" t="s">
        <v>53</v>
      </c>
      <c r="I2807" s="8" t="s">
        <v>100</v>
      </c>
      <c r="J2807" s="9">
        <v>1</v>
      </c>
      <c r="K2807" s="9">
        <v>184</v>
      </c>
      <c r="L2807" s="9">
        <v>2022</v>
      </c>
      <c r="M2807" s="8" t="s">
        <v>17014</v>
      </c>
      <c r="N2807" s="8" t="s">
        <v>79</v>
      </c>
      <c r="O2807" s="8" t="s">
        <v>80</v>
      </c>
      <c r="P2807" s="6" t="s">
        <v>43</v>
      </c>
      <c r="Q2807" s="8" t="s">
        <v>102</v>
      </c>
      <c r="R2807" s="10" t="s">
        <v>17015</v>
      </c>
      <c r="S2807" s="11" t="s">
        <v>17016</v>
      </c>
      <c r="T2807" s="6"/>
      <c r="U2807" s="24" t="str">
        <f>HYPERLINK("https://media.infra-m.ru/1846/1846131/cover/1846131.jpg", "Обложка")</f>
        <v>Обложка</v>
      </c>
      <c r="V2807" s="24" t="str">
        <f>HYPERLINK("https://znanium.ru/catalog/product/1846131", "Ознакомиться")</f>
        <v>Ознакомиться</v>
      </c>
      <c r="W2807" s="8" t="s">
        <v>8182</v>
      </c>
      <c r="X2807" s="6"/>
      <c r="Y2807" s="6"/>
      <c r="Z2807" s="6"/>
      <c r="AA2807" s="6" t="s">
        <v>235</v>
      </c>
      <c r="AB2807" s="8"/>
    </row>
    <row r="2808" spans="1:28" s="4" customFormat="1" ht="51.95" customHeight="1">
      <c r="A2808" s="5">
        <v>0</v>
      </c>
      <c r="B2808" s="6" t="s">
        <v>17017</v>
      </c>
      <c r="C2808" s="13">
        <v>1760</v>
      </c>
      <c r="D2808" s="8" t="s">
        <v>17018</v>
      </c>
      <c r="E2808" s="8" t="s">
        <v>17019</v>
      </c>
      <c r="F2808" s="8" t="s">
        <v>17020</v>
      </c>
      <c r="G2808" s="6" t="s">
        <v>89</v>
      </c>
      <c r="H2808" s="6" t="s">
        <v>53</v>
      </c>
      <c r="I2808" s="8" t="s">
        <v>7693</v>
      </c>
      <c r="J2808" s="9">
        <v>1</v>
      </c>
      <c r="K2808" s="9">
        <v>377</v>
      </c>
      <c r="L2808" s="9">
        <v>2023</v>
      </c>
      <c r="M2808" s="8" t="s">
        <v>17021</v>
      </c>
      <c r="N2808" s="8" t="s">
        <v>79</v>
      </c>
      <c r="O2808" s="8" t="s">
        <v>80</v>
      </c>
      <c r="P2808" s="6" t="s">
        <v>167</v>
      </c>
      <c r="Q2808" s="8" t="s">
        <v>1674</v>
      </c>
      <c r="R2808" s="10" t="s">
        <v>17022</v>
      </c>
      <c r="S2808" s="11" t="s">
        <v>17023</v>
      </c>
      <c r="T2808" s="6"/>
      <c r="U2808" s="24" t="str">
        <f>HYPERLINK("https://media.infra-m.ru/2000/2000875/cover/2000875.jpg", "Обложка")</f>
        <v>Обложка</v>
      </c>
      <c r="V2808" s="24" t="str">
        <f>HYPERLINK("https://znanium.ru/catalog/product/2000875", "Ознакомиться")</f>
        <v>Ознакомиться</v>
      </c>
      <c r="W2808" s="8" t="s">
        <v>11304</v>
      </c>
      <c r="X2808" s="6"/>
      <c r="Y2808" s="6"/>
      <c r="Z2808" s="6"/>
      <c r="AA2808" s="6" t="s">
        <v>95</v>
      </c>
      <c r="AB2808" s="8"/>
    </row>
    <row r="2809" spans="1:28" s="4" customFormat="1" ht="51.95" customHeight="1">
      <c r="A2809" s="5">
        <v>0</v>
      </c>
      <c r="B2809" s="6" t="s">
        <v>17024</v>
      </c>
      <c r="C2809" s="13">
        <v>1050</v>
      </c>
      <c r="D2809" s="8" t="s">
        <v>17025</v>
      </c>
      <c r="E2809" s="8" t="s">
        <v>17026</v>
      </c>
      <c r="F2809" s="8" t="s">
        <v>17027</v>
      </c>
      <c r="G2809" s="6" t="s">
        <v>89</v>
      </c>
      <c r="H2809" s="6" t="s">
        <v>53</v>
      </c>
      <c r="I2809" s="8" t="s">
        <v>90</v>
      </c>
      <c r="J2809" s="9">
        <v>1</v>
      </c>
      <c r="K2809" s="9">
        <v>326</v>
      </c>
      <c r="L2809" s="9">
        <v>2019</v>
      </c>
      <c r="M2809" s="8" t="s">
        <v>17028</v>
      </c>
      <c r="N2809" s="8" t="s">
        <v>79</v>
      </c>
      <c r="O2809" s="8" t="s">
        <v>80</v>
      </c>
      <c r="P2809" s="6" t="s">
        <v>167</v>
      </c>
      <c r="Q2809" s="8" t="s">
        <v>44</v>
      </c>
      <c r="R2809" s="10" t="s">
        <v>17022</v>
      </c>
      <c r="S2809" s="11" t="s">
        <v>17029</v>
      </c>
      <c r="T2809" s="6"/>
      <c r="U2809" s="24" t="str">
        <f>HYPERLINK("https://media.infra-m.ru/1025/1025509/cover/1025509.jpg", "Обложка")</f>
        <v>Обложка</v>
      </c>
      <c r="V2809" s="24" t="str">
        <f>HYPERLINK("https://znanium.ru/catalog/product/2000875", "Ознакомиться")</f>
        <v>Ознакомиться</v>
      </c>
      <c r="W2809" s="8" t="s">
        <v>11304</v>
      </c>
      <c r="X2809" s="6"/>
      <c r="Y2809" s="6"/>
      <c r="Z2809" s="6"/>
      <c r="AA2809" s="6" t="s">
        <v>151</v>
      </c>
      <c r="AB2809" s="8"/>
    </row>
    <row r="2810" spans="1:28" s="4" customFormat="1" ht="51.95" customHeight="1">
      <c r="A2810" s="5">
        <v>0</v>
      </c>
      <c r="B2810" s="6" t="s">
        <v>17030</v>
      </c>
      <c r="C2810" s="7">
        <v>934</v>
      </c>
      <c r="D2810" s="8" t="s">
        <v>17031</v>
      </c>
      <c r="E2810" s="8" t="s">
        <v>17032</v>
      </c>
      <c r="F2810" s="8" t="s">
        <v>8815</v>
      </c>
      <c r="G2810" s="6" t="s">
        <v>89</v>
      </c>
      <c r="H2810" s="6" t="s">
        <v>53</v>
      </c>
      <c r="I2810" s="8" t="s">
        <v>90</v>
      </c>
      <c r="J2810" s="9">
        <v>1</v>
      </c>
      <c r="K2810" s="9">
        <v>180</v>
      </c>
      <c r="L2810" s="9">
        <v>2025</v>
      </c>
      <c r="M2810" s="8" t="s">
        <v>17033</v>
      </c>
      <c r="N2810" s="8" t="s">
        <v>41</v>
      </c>
      <c r="O2810" s="8" t="s">
        <v>676</v>
      </c>
      <c r="P2810" s="6" t="s">
        <v>167</v>
      </c>
      <c r="Q2810" s="8" t="s">
        <v>44</v>
      </c>
      <c r="R2810" s="10" t="s">
        <v>17034</v>
      </c>
      <c r="S2810" s="11" t="s">
        <v>17035</v>
      </c>
      <c r="T2810" s="6"/>
      <c r="U2810" s="24" t="str">
        <f>HYPERLINK("https://media.infra-m.ru/2187/2187644/cover/2187644.jpg", "Обложка")</f>
        <v>Обложка</v>
      </c>
      <c r="V2810" s="24" t="str">
        <f>HYPERLINK("https://znanium.ru/catalog/product/1217333", "Ознакомиться")</f>
        <v>Ознакомиться</v>
      </c>
      <c r="W2810" s="8" t="s">
        <v>2514</v>
      </c>
      <c r="X2810" s="6"/>
      <c r="Y2810" s="6"/>
      <c r="Z2810" s="6"/>
      <c r="AA2810" s="6" t="s">
        <v>442</v>
      </c>
      <c r="AB2810" s="8"/>
    </row>
    <row r="2811" spans="1:28" s="4" customFormat="1" ht="51.95" customHeight="1">
      <c r="A2811" s="5">
        <v>0</v>
      </c>
      <c r="B2811" s="6" t="s">
        <v>17036</v>
      </c>
      <c r="C2811" s="13">
        <v>2384</v>
      </c>
      <c r="D2811" s="8" t="s">
        <v>17037</v>
      </c>
      <c r="E2811" s="8" t="s">
        <v>17038</v>
      </c>
      <c r="F2811" s="8" t="s">
        <v>17039</v>
      </c>
      <c r="G2811" s="6" t="s">
        <v>52</v>
      </c>
      <c r="H2811" s="6" t="s">
        <v>53</v>
      </c>
      <c r="I2811" s="8" t="s">
        <v>6796</v>
      </c>
      <c r="J2811" s="9">
        <v>1</v>
      </c>
      <c r="K2811" s="9">
        <v>531</v>
      </c>
      <c r="L2811" s="9">
        <v>2023</v>
      </c>
      <c r="M2811" s="8" t="s">
        <v>17040</v>
      </c>
      <c r="N2811" s="8" t="s">
        <v>79</v>
      </c>
      <c r="O2811" s="8" t="s">
        <v>537</v>
      </c>
      <c r="P2811" s="6" t="s">
        <v>167</v>
      </c>
      <c r="Q2811" s="8" t="s">
        <v>279</v>
      </c>
      <c r="R2811" s="10" t="s">
        <v>4668</v>
      </c>
      <c r="S2811" s="11" t="s">
        <v>17041</v>
      </c>
      <c r="T2811" s="6"/>
      <c r="U2811" s="24" t="str">
        <f>HYPERLINK("https://media.infra-m.ru/2006/2006892/cover/2006892.jpg", "Обложка")</f>
        <v>Обложка</v>
      </c>
      <c r="V2811" s="12"/>
      <c r="W2811" s="8" t="s">
        <v>784</v>
      </c>
      <c r="X2811" s="6"/>
      <c r="Y2811" s="6"/>
      <c r="Z2811" s="6"/>
      <c r="AA2811" s="6" t="s">
        <v>151</v>
      </c>
      <c r="AB2811" s="8"/>
    </row>
    <row r="2812" spans="1:28" s="4" customFormat="1" ht="44.1" customHeight="1">
      <c r="A2812" s="5">
        <v>0</v>
      </c>
      <c r="B2812" s="6" t="s">
        <v>17042</v>
      </c>
      <c r="C2812" s="13">
        <v>2480</v>
      </c>
      <c r="D2812" s="8" t="s">
        <v>17043</v>
      </c>
      <c r="E2812" s="8" t="s">
        <v>17044</v>
      </c>
      <c r="F2812" s="8" t="s">
        <v>17045</v>
      </c>
      <c r="G2812" s="6" t="s">
        <v>52</v>
      </c>
      <c r="H2812" s="6" t="s">
        <v>674</v>
      </c>
      <c r="I2812" s="8"/>
      <c r="J2812" s="9">
        <v>1</v>
      </c>
      <c r="K2812" s="9">
        <v>496</v>
      </c>
      <c r="L2812" s="9">
        <v>2025</v>
      </c>
      <c r="M2812" s="8" t="s">
        <v>17046</v>
      </c>
      <c r="N2812" s="8" t="s">
        <v>41</v>
      </c>
      <c r="O2812" s="8" t="s">
        <v>676</v>
      </c>
      <c r="P2812" s="6" t="s">
        <v>167</v>
      </c>
      <c r="Q2812" s="8" t="s">
        <v>44</v>
      </c>
      <c r="R2812" s="10" t="s">
        <v>17047</v>
      </c>
      <c r="S2812" s="11"/>
      <c r="T2812" s="6"/>
      <c r="U2812" s="24" t="str">
        <f>HYPERLINK("https://media.infra-m.ru/2179/2179142/cover/2179142.jpg", "Обложка")</f>
        <v>Обложка</v>
      </c>
      <c r="V2812" s="24" t="str">
        <f>HYPERLINK("https://znanium.ru/catalog/product/2179142", "Ознакомиться")</f>
        <v>Ознакомиться</v>
      </c>
      <c r="W2812" s="8" t="s">
        <v>792</v>
      </c>
      <c r="X2812" s="6"/>
      <c r="Y2812" s="6"/>
      <c r="Z2812" s="6"/>
      <c r="AA2812" s="6" t="s">
        <v>219</v>
      </c>
      <c r="AB2812" s="8"/>
    </row>
    <row r="2813" spans="1:28" s="4" customFormat="1" ht="51.95" customHeight="1">
      <c r="A2813" s="5">
        <v>0</v>
      </c>
      <c r="B2813" s="6" t="s">
        <v>17048</v>
      </c>
      <c r="C2813" s="13">
        <v>2184</v>
      </c>
      <c r="D2813" s="8" t="s">
        <v>17049</v>
      </c>
      <c r="E2813" s="8" t="s">
        <v>17050</v>
      </c>
      <c r="F2813" s="8" t="s">
        <v>17051</v>
      </c>
      <c r="G2813" s="6" t="s">
        <v>52</v>
      </c>
      <c r="H2813" s="6" t="s">
        <v>53</v>
      </c>
      <c r="I2813" s="8" t="s">
        <v>90</v>
      </c>
      <c r="J2813" s="9">
        <v>1</v>
      </c>
      <c r="K2813" s="9">
        <v>436</v>
      </c>
      <c r="L2813" s="9">
        <v>2025</v>
      </c>
      <c r="M2813" s="8" t="s">
        <v>17052</v>
      </c>
      <c r="N2813" s="8" t="s">
        <v>413</v>
      </c>
      <c r="O2813" s="8" t="s">
        <v>414</v>
      </c>
      <c r="P2813" s="6" t="s">
        <v>43</v>
      </c>
      <c r="Q2813" s="8" t="s">
        <v>44</v>
      </c>
      <c r="R2813" s="10" t="s">
        <v>16295</v>
      </c>
      <c r="S2813" s="11" t="s">
        <v>17053</v>
      </c>
      <c r="T2813" s="6"/>
      <c r="U2813" s="24" t="str">
        <f>HYPERLINK("https://media.infra-m.ru/2168/2168865/cover/2168865.jpg", "Обложка")</f>
        <v>Обложка</v>
      </c>
      <c r="V2813" s="24" t="str">
        <f>HYPERLINK("https://znanium.ru/catalog/product/2118674", "Ознакомиться")</f>
        <v>Ознакомиться</v>
      </c>
      <c r="W2813" s="8" t="s">
        <v>450</v>
      </c>
      <c r="X2813" s="6"/>
      <c r="Y2813" s="6"/>
      <c r="Z2813" s="6"/>
      <c r="AA2813" s="6" t="s">
        <v>258</v>
      </c>
      <c r="AB2813" s="8"/>
    </row>
    <row r="2814" spans="1:28" s="4" customFormat="1" ht="51.95" customHeight="1">
      <c r="A2814" s="5">
        <v>0</v>
      </c>
      <c r="B2814" s="6" t="s">
        <v>17054</v>
      </c>
      <c r="C2814" s="13">
        <v>1684</v>
      </c>
      <c r="D2814" s="8" t="s">
        <v>17055</v>
      </c>
      <c r="E2814" s="8" t="s">
        <v>17056</v>
      </c>
      <c r="F2814" s="8" t="s">
        <v>17057</v>
      </c>
      <c r="G2814" s="6" t="s">
        <v>89</v>
      </c>
      <c r="H2814" s="6" t="s">
        <v>53</v>
      </c>
      <c r="I2814" s="8" t="s">
        <v>100</v>
      </c>
      <c r="J2814" s="9">
        <v>1</v>
      </c>
      <c r="K2814" s="9">
        <v>336</v>
      </c>
      <c r="L2814" s="9">
        <v>2025</v>
      </c>
      <c r="M2814" s="8" t="s">
        <v>17058</v>
      </c>
      <c r="N2814" s="8" t="s">
        <v>79</v>
      </c>
      <c r="O2814" s="8" t="s">
        <v>424</v>
      </c>
      <c r="P2814" s="6" t="s">
        <v>167</v>
      </c>
      <c r="Q2814" s="8" t="s">
        <v>102</v>
      </c>
      <c r="R2814" s="10" t="s">
        <v>17059</v>
      </c>
      <c r="S2814" s="11" t="s">
        <v>17060</v>
      </c>
      <c r="T2814" s="6"/>
      <c r="U2814" s="24" t="str">
        <f>HYPERLINK("https://media.infra-m.ru/2184/2184912/cover/2184912.jpg", "Обложка")</f>
        <v>Обложка</v>
      </c>
      <c r="V2814" s="24" t="str">
        <f>HYPERLINK("https://znanium.ru/catalog/product/1896607", "Ознакомиться")</f>
        <v>Ознакомиться</v>
      </c>
      <c r="W2814" s="8" t="s">
        <v>478</v>
      </c>
      <c r="X2814" s="6"/>
      <c r="Y2814" s="6" t="s">
        <v>30</v>
      </c>
      <c r="Z2814" s="6"/>
      <c r="AA2814" s="6" t="s">
        <v>3065</v>
      </c>
      <c r="AB2814" s="8"/>
    </row>
    <row r="2815" spans="1:28" s="4" customFormat="1" ht="51.95" customHeight="1">
      <c r="A2815" s="5">
        <v>0</v>
      </c>
      <c r="B2815" s="6" t="s">
        <v>17061</v>
      </c>
      <c r="C2815" s="7">
        <v>999</v>
      </c>
      <c r="D2815" s="8" t="s">
        <v>17062</v>
      </c>
      <c r="E2815" s="8" t="s">
        <v>17063</v>
      </c>
      <c r="F2815" s="8" t="s">
        <v>17064</v>
      </c>
      <c r="G2815" s="6" t="s">
        <v>89</v>
      </c>
      <c r="H2815" s="6" t="s">
        <v>39</v>
      </c>
      <c r="I2815" s="8" t="s">
        <v>100</v>
      </c>
      <c r="J2815" s="9">
        <v>1</v>
      </c>
      <c r="K2815" s="9">
        <v>159</v>
      </c>
      <c r="L2815" s="9">
        <v>2025</v>
      </c>
      <c r="M2815" s="8" t="s">
        <v>17065</v>
      </c>
      <c r="N2815" s="8" t="s">
        <v>79</v>
      </c>
      <c r="O2815" s="8" t="s">
        <v>424</v>
      </c>
      <c r="P2815" s="6" t="s">
        <v>43</v>
      </c>
      <c r="Q2815" s="8" t="s">
        <v>102</v>
      </c>
      <c r="R2815" s="10" t="s">
        <v>17066</v>
      </c>
      <c r="S2815" s="11" t="s">
        <v>17067</v>
      </c>
      <c r="T2815" s="6"/>
      <c r="U2815" s="24" t="str">
        <f>HYPERLINK("https://media.infra-m.ru/2163/2163283/cover/2163283.jpg", "Обложка")</f>
        <v>Обложка</v>
      </c>
      <c r="V2815" s="24" t="str">
        <f>HYPERLINK("https://znanium.ru/catalog/product/2163283", "Ознакомиться")</f>
        <v>Ознакомиться</v>
      </c>
      <c r="W2815" s="8" t="s">
        <v>1563</v>
      </c>
      <c r="X2815" s="6"/>
      <c r="Y2815" s="6"/>
      <c r="Z2815" s="6" t="s">
        <v>502</v>
      </c>
      <c r="AA2815" s="6" t="s">
        <v>793</v>
      </c>
      <c r="AB2815" s="8"/>
    </row>
    <row r="2816" spans="1:28" s="4" customFormat="1" ht="51.95" customHeight="1">
      <c r="A2816" s="5">
        <v>0</v>
      </c>
      <c r="B2816" s="6" t="s">
        <v>17068</v>
      </c>
      <c r="C2816" s="7">
        <v>989</v>
      </c>
      <c r="D2816" s="8" t="s">
        <v>17069</v>
      </c>
      <c r="E2816" s="8" t="s">
        <v>17063</v>
      </c>
      <c r="F2816" s="8" t="s">
        <v>17064</v>
      </c>
      <c r="G2816" s="6" t="s">
        <v>89</v>
      </c>
      <c r="H2816" s="6" t="s">
        <v>39</v>
      </c>
      <c r="I2816" s="8" t="s">
        <v>116</v>
      </c>
      <c r="J2816" s="9">
        <v>1</v>
      </c>
      <c r="K2816" s="9">
        <v>159</v>
      </c>
      <c r="L2816" s="9">
        <v>2025</v>
      </c>
      <c r="M2816" s="8" t="s">
        <v>17070</v>
      </c>
      <c r="N2816" s="8" t="s">
        <v>79</v>
      </c>
      <c r="O2816" s="8" t="s">
        <v>424</v>
      </c>
      <c r="P2816" s="6" t="s">
        <v>43</v>
      </c>
      <c r="Q2816" s="8" t="s">
        <v>58</v>
      </c>
      <c r="R2816" s="10" t="s">
        <v>17071</v>
      </c>
      <c r="S2816" s="11" t="s">
        <v>17072</v>
      </c>
      <c r="T2816" s="6"/>
      <c r="U2816" s="24" t="str">
        <f>HYPERLINK("https://media.infra-m.ru/2163/2163831/cover/2163831.jpg", "Обложка")</f>
        <v>Обложка</v>
      </c>
      <c r="V2816" s="24" t="str">
        <f>HYPERLINK("https://znanium.ru/catalog/product/2163831", "Ознакомиться")</f>
        <v>Ознакомиться</v>
      </c>
      <c r="W2816" s="8" t="s">
        <v>1563</v>
      </c>
      <c r="X2816" s="6"/>
      <c r="Y2816" s="6"/>
      <c r="Z2816" s="6"/>
      <c r="AA2816" s="6" t="s">
        <v>111</v>
      </c>
      <c r="AB2816" s="8"/>
    </row>
    <row r="2817" spans="1:28" s="4" customFormat="1" ht="51.95" customHeight="1">
      <c r="A2817" s="5">
        <v>0</v>
      </c>
      <c r="B2817" s="6" t="s">
        <v>17073</v>
      </c>
      <c r="C2817" s="13">
        <v>1160</v>
      </c>
      <c r="D2817" s="8" t="s">
        <v>17074</v>
      </c>
      <c r="E2817" s="8" t="s">
        <v>17075</v>
      </c>
      <c r="F2817" s="8" t="s">
        <v>17076</v>
      </c>
      <c r="G2817" s="6" t="s">
        <v>89</v>
      </c>
      <c r="H2817" s="6" t="s">
        <v>53</v>
      </c>
      <c r="I2817" s="8" t="s">
        <v>100</v>
      </c>
      <c r="J2817" s="9">
        <v>1</v>
      </c>
      <c r="K2817" s="9">
        <v>232</v>
      </c>
      <c r="L2817" s="9">
        <v>2025</v>
      </c>
      <c r="M2817" s="8" t="s">
        <v>17077</v>
      </c>
      <c r="N2817" s="8" t="s">
        <v>79</v>
      </c>
      <c r="O2817" s="8" t="s">
        <v>570</v>
      </c>
      <c r="P2817" s="6" t="s">
        <v>43</v>
      </c>
      <c r="Q2817" s="8" t="s">
        <v>102</v>
      </c>
      <c r="R2817" s="10" t="s">
        <v>17078</v>
      </c>
      <c r="S2817" s="11" t="s">
        <v>17079</v>
      </c>
      <c r="T2817" s="6" t="s">
        <v>299</v>
      </c>
      <c r="U2817" s="24" t="str">
        <f>HYPERLINK("https://media.infra-m.ru/2180/2180553/cover/2180553.jpg", "Обложка")</f>
        <v>Обложка</v>
      </c>
      <c r="V2817" s="24" t="str">
        <f>HYPERLINK("https://znanium.ru/catalog/product/2180553", "Ознакомиться")</f>
        <v>Ознакомиться</v>
      </c>
      <c r="W2817" s="8" t="s">
        <v>150</v>
      </c>
      <c r="X2817" s="6"/>
      <c r="Y2817" s="6"/>
      <c r="Z2817" s="6" t="s">
        <v>2565</v>
      </c>
      <c r="AA2817" s="6" t="s">
        <v>793</v>
      </c>
      <c r="AB2817" s="8"/>
    </row>
    <row r="2818" spans="1:28" s="4" customFormat="1" ht="51.95" customHeight="1">
      <c r="A2818" s="5">
        <v>0</v>
      </c>
      <c r="B2818" s="6" t="s">
        <v>17080</v>
      </c>
      <c r="C2818" s="13">
        <v>1450</v>
      </c>
      <c r="D2818" s="8" t="s">
        <v>17081</v>
      </c>
      <c r="E2818" s="8" t="s">
        <v>17082</v>
      </c>
      <c r="F2818" s="8" t="s">
        <v>17076</v>
      </c>
      <c r="G2818" s="6" t="s">
        <v>89</v>
      </c>
      <c r="H2818" s="6" t="s">
        <v>53</v>
      </c>
      <c r="I2818" s="8" t="s">
        <v>17083</v>
      </c>
      <c r="J2818" s="9">
        <v>1</v>
      </c>
      <c r="K2818" s="9">
        <v>300</v>
      </c>
      <c r="L2818" s="9">
        <v>2024</v>
      </c>
      <c r="M2818" s="8" t="s">
        <v>17084</v>
      </c>
      <c r="N2818" s="8" t="s">
        <v>79</v>
      </c>
      <c r="O2818" s="8" t="s">
        <v>570</v>
      </c>
      <c r="P2818" s="6" t="s">
        <v>43</v>
      </c>
      <c r="Q2818" s="8" t="s">
        <v>214</v>
      </c>
      <c r="R2818" s="10" t="s">
        <v>4010</v>
      </c>
      <c r="S2818" s="11" t="s">
        <v>17085</v>
      </c>
      <c r="T2818" s="6"/>
      <c r="U2818" s="24" t="str">
        <f>HYPERLINK("https://media.infra-m.ru/2113/2113864/cover/2113864.jpg", "Обложка")</f>
        <v>Обложка</v>
      </c>
      <c r="V2818" s="24" t="str">
        <f>HYPERLINK("https://znanium.ru/catalog/product/2113864", "Ознакомиться")</f>
        <v>Ознакомиться</v>
      </c>
      <c r="W2818" s="8" t="s">
        <v>150</v>
      </c>
      <c r="X2818" s="6"/>
      <c r="Y2818" s="6"/>
      <c r="Z2818" s="6"/>
      <c r="AA2818" s="6" t="s">
        <v>235</v>
      </c>
      <c r="AB2818" s="8"/>
    </row>
    <row r="2819" spans="1:28" s="4" customFormat="1" ht="51.95" customHeight="1">
      <c r="A2819" s="5">
        <v>0</v>
      </c>
      <c r="B2819" s="6" t="s">
        <v>17086</v>
      </c>
      <c r="C2819" s="13">
        <v>1744</v>
      </c>
      <c r="D2819" s="8" t="s">
        <v>17087</v>
      </c>
      <c r="E2819" s="8" t="s">
        <v>17088</v>
      </c>
      <c r="F2819" s="8" t="s">
        <v>17076</v>
      </c>
      <c r="G2819" s="6" t="s">
        <v>52</v>
      </c>
      <c r="H2819" s="6" t="s">
        <v>53</v>
      </c>
      <c r="I2819" s="8" t="s">
        <v>17083</v>
      </c>
      <c r="J2819" s="9">
        <v>1</v>
      </c>
      <c r="K2819" s="9">
        <v>350</v>
      </c>
      <c r="L2819" s="9">
        <v>2024</v>
      </c>
      <c r="M2819" s="8" t="s">
        <v>17089</v>
      </c>
      <c r="N2819" s="8" t="s">
        <v>79</v>
      </c>
      <c r="O2819" s="8" t="s">
        <v>570</v>
      </c>
      <c r="P2819" s="6" t="s">
        <v>43</v>
      </c>
      <c r="Q2819" s="8" t="s">
        <v>214</v>
      </c>
      <c r="R2819" s="10" t="s">
        <v>4010</v>
      </c>
      <c r="S2819" s="11" t="s">
        <v>17090</v>
      </c>
      <c r="T2819" s="6"/>
      <c r="U2819" s="24" t="str">
        <f>HYPERLINK("https://media.infra-m.ru/2167/2167665/cover/2167665.jpg", "Обложка")</f>
        <v>Обложка</v>
      </c>
      <c r="V2819" s="24" t="str">
        <f>HYPERLINK("https://znanium.ru/catalog/product/2150745", "Ознакомиться")</f>
        <v>Ознакомиться</v>
      </c>
      <c r="W2819" s="8" t="s">
        <v>150</v>
      </c>
      <c r="X2819" s="6"/>
      <c r="Y2819" s="6"/>
      <c r="Z2819" s="6"/>
      <c r="AA2819" s="6" t="s">
        <v>235</v>
      </c>
      <c r="AB2819" s="8"/>
    </row>
    <row r="2820" spans="1:28" s="4" customFormat="1" ht="51.95" customHeight="1">
      <c r="A2820" s="5">
        <v>0</v>
      </c>
      <c r="B2820" s="6" t="s">
        <v>17091</v>
      </c>
      <c r="C2820" s="13">
        <v>1494</v>
      </c>
      <c r="D2820" s="8" t="s">
        <v>17092</v>
      </c>
      <c r="E2820" s="8" t="s">
        <v>17093</v>
      </c>
      <c r="F2820" s="8" t="s">
        <v>17076</v>
      </c>
      <c r="G2820" s="6" t="s">
        <v>52</v>
      </c>
      <c r="H2820" s="6" t="s">
        <v>53</v>
      </c>
      <c r="I2820" s="8" t="s">
        <v>212</v>
      </c>
      <c r="J2820" s="9">
        <v>1</v>
      </c>
      <c r="K2820" s="9">
        <v>299</v>
      </c>
      <c r="L2820" s="9">
        <v>2024</v>
      </c>
      <c r="M2820" s="8" t="s">
        <v>17094</v>
      </c>
      <c r="N2820" s="8" t="s">
        <v>79</v>
      </c>
      <c r="O2820" s="8" t="s">
        <v>570</v>
      </c>
      <c r="P2820" s="6" t="s">
        <v>43</v>
      </c>
      <c r="Q2820" s="8" t="s">
        <v>214</v>
      </c>
      <c r="R2820" s="10" t="s">
        <v>4010</v>
      </c>
      <c r="S2820" s="11" t="s">
        <v>17085</v>
      </c>
      <c r="T2820" s="6"/>
      <c r="U2820" s="24" t="str">
        <f>HYPERLINK("https://media.infra-m.ru/2167/2167656/cover/2167656.jpg", "Обложка")</f>
        <v>Обложка</v>
      </c>
      <c r="V2820" s="24" t="str">
        <f>HYPERLINK("https://znanium.ru/catalog/product/2150746", "Ознакомиться")</f>
        <v>Ознакомиться</v>
      </c>
      <c r="W2820" s="8" t="s">
        <v>150</v>
      </c>
      <c r="X2820" s="6"/>
      <c r="Y2820" s="6"/>
      <c r="Z2820" s="6"/>
      <c r="AA2820" s="6" t="s">
        <v>235</v>
      </c>
      <c r="AB2820" s="8"/>
    </row>
    <row r="2821" spans="1:28" s="4" customFormat="1" ht="51.95" customHeight="1">
      <c r="A2821" s="5">
        <v>0</v>
      </c>
      <c r="B2821" s="6" t="s">
        <v>17095</v>
      </c>
      <c r="C2821" s="13">
        <v>1114</v>
      </c>
      <c r="D2821" s="8" t="s">
        <v>17096</v>
      </c>
      <c r="E2821" s="8" t="s">
        <v>17097</v>
      </c>
      <c r="F2821" s="8" t="s">
        <v>17076</v>
      </c>
      <c r="G2821" s="6" t="s">
        <v>52</v>
      </c>
      <c r="H2821" s="6" t="s">
        <v>53</v>
      </c>
      <c r="I2821" s="8" t="s">
        <v>212</v>
      </c>
      <c r="J2821" s="9">
        <v>1</v>
      </c>
      <c r="K2821" s="9">
        <v>222</v>
      </c>
      <c r="L2821" s="9">
        <v>2024</v>
      </c>
      <c r="M2821" s="8" t="s">
        <v>17098</v>
      </c>
      <c r="N2821" s="8" t="s">
        <v>79</v>
      </c>
      <c r="O2821" s="8" t="s">
        <v>570</v>
      </c>
      <c r="P2821" s="6" t="s">
        <v>43</v>
      </c>
      <c r="Q2821" s="8" t="s">
        <v>214</v>
      </c>
      <c r="R2821" s="10" t="s">
        <v>4010</v>
      </c>
      <c r="S2821" s="11" t="s">
        <v>17085</v>
      </c>
      <c r="T2821" s="6"/>
      <c r="U2821" s="24" t="str">
        <f>HYPERLINK("https://media.infra-m.ru/2167/2167643/cover/2167643.jpg", "Обложка")</f>
        <v>Обложка</v>
      </c>
      <c r="V2821" s="24" t="str">
        <f>HYPERLINK("https://znanium.ru/catalog/product/2150744", "Ознакомиться")</f>
        <v>Ознакомиться</v>
      </c>
      <c r="W2821" s="8" t="s">
        <v>150</v>
      </c>
      <c r="X2821" s="6"/>
      <c r="Y2821" s="6"/>
      <c r="Z2821" s="6"/>
      <c r="AA2821" s="6" t="s">
        <v>235</v>
      </c>
      <c r="AB2821" s="8"/>
    </row>
    <row r="2822" spans="1:28" s="4" customFormat="1" ht="51.95" customHeight="1">
      <c r="A2822" s="5">
        <v>0</v>
      </c>
      <c r="B2822" s="6" t="s">
        <v>17099</v>
      </c>
      <c r="C2822" s="13">
        <v>2394</v>
      </c>
      <c r="D2822" s="8" t="s">
        <v>17100</v>
      </c>
      <c r="E2822" s="8" t="s">
        <v>17101</v>
      </c>
      <c r="F2822" s="8" t="s">
        <v>17076</v>
      </c>
      <c r="G2822" s="6" t="s">
        <v>89</v>
      </c>
      <c r="H2822" s="6" t="s">
        <v>53</v>
      </c>
      <c r="I2822" s="8" t="s">
        <v>212</v>
      </c>
      <c r="J2822" s="9">
        <v>1</v>
      </c>
      <c r="K2822" s="9">
        <v>497</v>
      </c>
      <c r="L2822" s="9">
        <v>2024</v>
      </c>
      <c r="M2822" s="8" t="s">
        <v>17102</v>
      </c>
      <c r="N2822" s="8" t="s">
        <v>79</v>
      </c>
      <c r="O2822" s="8" t="s">
        <v>570</v>
      </c>
      <c r="P2822" s="6" t="s">
        <v>43</v>
      </c>
      <c r="Q2822" s="8" t="s">
        <v>214</v>
      </c>
      <c r="R2822" s="10" t="s">
        <v>4010</v>
      </c>
      <c r="S2822" s="11" t="s">
        <v>17103</v>
      </c>
      <c r="T2822" s="6"/>
      <c r="U2822" s="24" t="str">
        <f>HYPERLINK("https://media.infra-m.ru/2167/2167671/cover/2167671.jpg", "Обложка")</f>
        <v>Обложка</v>
      </c>
      <c r="V2822" s="24" t="str">
        <f>HYPERLINK("https://znanium.ru/catalog/product/2150747", "Ознакомиться")</f>
        <v>Ознакомиться</v>
      </c>
      <c r="W2822" s="8" t="s">
        <v>150</v>
      </c>
      <c r="X2822" s="6"/>
      <c r="Y2822" s="6"/>
      <c r="Z2822" s="6"/>
      <c r="AA2822" s="6" t="s">
        <v>235</v>
      </c>
      <c r="AB2822" s="8"/>
    </row>
    <row r="2823" spans="1:28" s="4" customFormat="1" ht="51.95" customHeight="1">
      <c r="A2823" s="5">
        <v>0</v>
      </c>
      <c r="B2823" s="6" t="s">
        <v>17104</v>
      </c>
      <c r="C2823" s="13">
        <v>2000</v>
      </c>
      <c r="D2823" s="8" t="s">
        <v>17105</v>
      </c>
      <c r="E2823" s="8" t="s">
        <v>17106</v>
      </c>
      <c r="F2823" s="8" t="s">
        <v>17076</v>
      </c>
      <c r="G2823" s="6" t="s">
        <v>89</v>
      </c>
      <c r="H2823" s="6" t="s">
        <v>53</v>
      </c>
      <c r="I2823" s="8" t="s">
        <v>116</v>
      </c>
      <c r="J2823" s="9">
        <v>1</v>
      </c>
      <c r="K2823" s="9">
        <v>399</v>
      </c>
      <c r="L2823" s="9">
        <v>2024</v>
      </c>
      <c r="M2823" s="8" t="s">
        <v>17107</v>
      </c>
      <c r="N2823" s="8" t="s">
        <v>79</v>
      </c>
      <c r="O2823" s="8" t="s">
        <v>570</v>
      </c>
      <c r="P2823" s="6" t="s">
        <v>43</v>
      </c>
      <c r="Q2823" s="8" t="s">
        <v>214</v>
      </c>
      <c r="R2823" s="10" t="s">
        <v>4010</v>
      </c>
      <c r="S2823" s="11" t="s">
        <v>17108</v>
      </c>
      <c r="T2823" s="6"/>
      <c r="U2823" s="24" t="str">
        <f>HYPERLINK("https://media.infra-m.ru/2167/2167672/cover/2167672.jpg", "Обложка")</f>
        <v>Обложка</v>
      </c>
      <c r="V2823" s="24" t="str">
        <f>HYPERLINK("https://znanium.ru/catalog/product/2167672", "Ознакомиться")</f>
        <v>Ознакомиться</v>
      </c>
      <c r="W2823" s="8" t="s">
        <v>150</v>
      </c>
      <c r="X2823" s="6"/>
      <c r="Y2823" s="6"/>
      <c r="Z2823" s="6"/>
      <c r="AA2823" s="6" t="s">
        <v>219</v>
      </c>
      <c r="AB2823" s="8"/>
    </row>
    <row r="2824" spans="1:28" s="4" customFormat="1" ht="51.95" customHeight="1">
      <c r="A2824" s="5">
        <v>0</v>
      </c>
      <c r="B2824" s="6" t="s">
        <v>17109</v>
      </c>
      <c r="C2824" s="13">
        <v>1994</v>
      </c>
      <c r="D2824" s="8" t="s">
        <v>17110</v>
      </c>
      <c r="E2824" s="8" t="s">
        <v>17106</v>
      </c>
      <c r="F2824" s="8" t="s">
        <v>17076</v>
      </c>
      <c r="G2824" s="6" t="s">
        <v>52</v>
      </c>
      <c r="H2824" s="6" t="s">
        <v>53</v>
      </c>
      <c r="I2824" s="8" t="s">
        <v>100</v>
      </c>
      <c r="J2824" s="9">
        <v>1</v>
      </c>
      <c r="K2824" s="9">
        <v>399</v>
      </c>
      <c r="L2824" s="9">
        <v>2025</v>
      </c>
      <c r="M2824" s="8" t="s">
        <v>17111</v>
      </c>
      <c r="N2824" s="8" t="s">
        <v>79</v>
      </c>
      <c r="O2824" s="8" t="s">
        <v>570</v>
      </c>
      <c r="P2824" s="6" t="s">
        <v>43</v>
      </c>
      <c r="Q2824" s="8" t="s">
        <v>102</v>
      </c>
      <c r="R2824" s="10" t="s">
        <v>17112</v>
      </c>
      <c r="S2824" s="11" t="s">
        <v>17113</v>
      </c>
      <c r="T2824" s="6"/>
      <c r="U2824" s="24" t="str">
        <f>HYPERLINK("https://media.infra-m.ru/2180/2180540/cover/2180540.jpg", "Обложка")</f>
        <v>Обложка</v>
      </c>
      <c r="V2824" s="24" t="str">
        <f>HYPERLINK("https://znanium.ru/catalog/product/2139060", "Ознакомиться")</f>
        <v>Ознакомиться</v>
      </c>
      <c r="W2824" s="8" t="s">
        <v>150</v>
      </c>
      <c r="X2824" s="6"/>
      <c r="Y2824" s="6"/>
      <c r="Z2824" s="6" t="s">
        <v>2565</v>
      </c>
      <c r="AA2824" s="6" t="s">
        <v>219</v>
      </c>
      <c r="AB2824" s="8"/>
    </row>
    <row r="2825" spans="1:28" s="4" customFormat="1" ht="51.95" customHeight="1">
      <c r="A2825" s="5">
        <v>0</v>
      </c>
      <c r="B2825" s="6" t="s">
        <v>17114</v>
      </c>
      <c r="C2825" s="13">
        <v>1044.9000000000001</v>
      </c>
      <c r="D2825" s="8" t="s">
        <v>17115</v>
      </c>
      <c r="E2825" s="8" t="s">
        <v>17075</v>
      </c>
      <c r="F2825" s="8" t="s">
        <v>17076</v>
      </c>
      <c r="G2825" s="6" t="s">
        <v>52</v>
      </c>
      <c r="H2825" s="6" t="s">
        <v>53</v>
      </c>
      <c r="I2825" s="8" t="s">
        <v>17083</v>
      </c>
      <c r="J2825" s="9">
        <v>1</v>
      </c>
      <c r="K2825" s="9">
        <v>232</v>
      </c>
      <c r="L2825" s="9">
        <v>2023</v>
      </c>
      <c r="M2825" s="8" t="s">
        <v>17116</v>
      </c>
      <c r="N2825" s="8" t="s">
        <v>79</v>
      </c>
      <c r="O2825" s="8" t="s">
        <v>570</v>
      </c>
      <c r="P2825" s="6" t="s">
        <v>43</v>
      </c>
      <c r="Q2825" s="8" t="s">
        <v>214</v>
      </c>
      <c r="R2825" s="10" t="s">
        <v>4010</v>
      </c>
      <c r="S2825" s="11" t="s">
        <v>17117</v>
      </c>
      <c r="T2825" s="6"/>
      <c r="U2825" s="24" t="str">
        <f>HYPERLINK("https://media.infra-m.ru/1964/1964984/cover/1964984.jpg", "Обложка")</f>
        <v>Обложка</v>
      </c>
      <c r="V2825" s="24" t="str">
        <f>HYPERLINK("https://znanium.ru/catalog/product/1083086", "Ознакомиться")</f>
        <v>Ознакомиться</v>
      </c>
      <c r="W2825" s="8" t="s">
        <v>150</v>
      </c>
      <c r="X2825" s="6"/>
      <c r="Y2825" s="6"/>
      <c r="Z2825" s="6"/>
      <c r="AA2825" s="6" t="s">
        <v>258</v>
      </c>
      <c r="AB2825" s="8"/>
    </row>
    <row r="2826" spans="1:28" s="4" customFormat="1" ht="51.95" customHeight="1">
      <c r="A2826" s="5">
        <v>0</v>
      </c>
      <c r="B2826" s="6" t="s">
        <v>17118</v>
      </c>
      <c r="C2826" s="13">
        <v>1270</v>
      </c>
      <c r="D2826" s="8" t="s">
        <v>17119</v>
      </c>
      <c r="E2826" s="8" t="s">
        <v>17120</v>
      </c>
      <c r="F2826" s="8" t="s">
        <v>17076</v>
      </c>
      <c r="G2826" s="6" t="s">
        <v>52</v>
      </c>
      <c r="H2826" s="6" t="s">
        <v>53</v>
      </c>
      <c r="I2826" s="8" t="s">
        <v>15233</v>
      </c>
      <c r="J2826" s="9">
        <v>1</v>
      </c>
      <c r="K2826" s="9">
        <v>372</v>
      </c>
      <c r="L2826" s="9">
        <v>2020</v>
      </c>
      <c r="M2826" s="8" t="s">
        <v>17121</v>
      </c>
      <c r="N2826" s="8" t="s">
        <v>79</v>
      </c>
      <c r="O2826" s="8" t="s">
        <v>570</v>
      </c>
      <c r="P2826" s="6" t="s">
        <v>43</v>
      </c>
      <c r="Q2826" s="8" t="s">
        <v>102</v>
      </c>
      <c r="R2826" s="10" t="s">
        <v>17112</v>
      </c>
      <c r="S2826" s="11" t="s">
        <v>17122</v>
      </c>
      <c r="T2826" s="6" t="s">
        <v>299</v>
      </c>
      <c r="U2826" s="24" t="str">
        <f>HYPERLINK("https://media.infra-m.ru/1084/1084370/cover/1084370.jpg", "Обложка")</f>
        <v>Обложка</v>
      </c>
      <c r="V2826" s="24" t="str">
        <f>HYPERLINK("https://znanium.ru/catalog/product/1084370", "Ознакомиться")</f>
        <v>Ознакомиться</v>
      </c>
      <c r="W2826" s="8" t="s">
        <v>150</v>
      </c>
      <c r="X2826" s="6"/>
      <c r="Y2826" s="6"/>
      <c r="Z2826" s="6" t="s">
        <v>2565</v>
      </c>
      <c r="AA2826" s="6" t="s">
        <v>793</v>
      </c>
      <c r="AB2826" s="8"/>
    </row>
    <row r="2827" spans="1:28" s="4" customFormat="1" ht="51.95" customHeight="1">
      <c r="A2827" s="5">
        <v>0</v>
      </c>
      <c r="B2827" s="6" t="s">
        <v>17123</v>
      </c>
      <c r="C2827" s="13">
        <v>1864</v>
      </c>
      <c r="D2827" s="8" t="s">
        <v>17124</v>
      </c>
      <c r="E2827" s="8" t="s">
        <v>17120</v>
      </c>
      <c r="F2827" s="8" t="s">
        <v>17076</v>
      </c>
      <c r="G2827" s="6" t="s">
        <v>89</v>
      </c>
      <c r="H2827" s="6" t="s">
        <v>53</v>
      </c>
      <c r="I2827" s="8" t="s">
        <v>17083</v>
      </c>
      <c r="J2827" s="9">
        <v>1</v>
      </c>
      <c r="K2827" s="9">
        <v>372</v>
      </c>
      <c r="L2827" s="9">
        <v>2024</v>
      </c>
      <c r="M2827" s="8" t="s">
        <v>17125</v>
      </c>
      <c r="N2827" s="8" t="s">
        <v>79</v>
      </c>
      <c r="O2827" s="8" t="s">
        <v>570</v>
      </c>
      <c r="P2827" s="6" t="s">
        <v>43</v>
      </c>
      <c r="Q2827" s="8" t="s">
        <v>214</v>
      </c>
      <c r="R2827" s="10" t="s">
        <v>4010</v>
      </c>
      <c r="S2827" s="11" t="s">
        <v>17126</v>
      </c>
      <c r="T2827" s="6"/>
      <c r="U2827" s="24" t="str">
        <f>HYPERLINK("https://media.infra-m.ru/2167/2167673/cover/2167673.jpg", "Обложка")</f>
        <v>Обложка</v>
      </c>
      <c r="V2827" s="24" t="str">
        <f>HYPERLINK("https://znanium.ru/catalog/product/2150748", "Ознакомиться")</f>
        <v>Ознакомиться</v>
      </c>
      <c r="W2827" s="8" t="s">
        <v>150</v>
      </c>
      <c r="X2827" s="6"/>
      <c r="Y2827" s="6"/>
      <c r="Z2827" s="6"/>
      <c r="AA2827" s="6" t="s">
        <v>793</v>
      </c>
      <c r="AB2827" s="8"/>
    </row>
    <row r="2828" spans="1:28" s="4" customFormat="1" ht="42" customHeight="1">
      <c r="A2828" s="5">
        <v>0</v>
      </c>
      <c r="B2828" s="6" t="s">
        <v>17127</v>
      </c>
      <c r="C2828" s="7">
        <v>770</v>
      </c>
      <c r="D2828" s="8" t="s">
        <v>17128</v>
      </c>
      <c r="E2828" s="8" t="s">
        <v>17129</v>
      </c>
      <c r="F2828" s="8" t="s">
        <v>17130</v>
      </c>
      <c r="G2828" s="6" t="s">
        <v>89</v>
      </c>
      <c r="H2828" s="6" t="s">
        <v>53</v>
      </c>
      <c r="I2828" s="8" t="s">
        <v>4767</v>
      </c>
      <c r="J2828" s="9">
        <v>1</v>
      </c>
      <c r="K2828" s="9">
        <v>167</v>
      </c>
      <c r="L2828" s="9">
        <v>2023</v>
      </c>
      <c r="M2828" s="8" t="s">
        <v>17131</v>
      </c>
      <c r="N2828" s="8" t="s">
        <v>997</v>
      </c>
      <c r="O2828" s="8" t="s">
        <v>998</v>
      </c>
      <c r="P2828" s="6" t="s">
        <v>937</v>
      </c>
      <c r="Q2828" s="8" t="s">
        <v>44</v>
      </c>
      <c r="R2828" s="10" t="s">
        <v>17132</v>
      </c>
      <c r="S2828" s="11"/>
      <c r="T2828" s="6"/>
      <c r="U2828" s="24" t="str">
        <f>HYPERLINK("https://media.infra-m.ru/1934/1934009/cover/1934009.jpg", "Обложка")</f>
        <v>Обложка</v>
      </c>
      <c r="V2828" s="24" t="str">
        <f>HYPERLINK("https://znanium.ru/catalog/product/1934009", "Ознакомиться")</f>
        <v>Ознакомиться</v>
      </c>
      <c r="W2828" s="8" t="s">
        <v>2514</v>
      </c>
      <c r="X2828" s="6"/>
      <c r="Y2828" s="6"/>
      <c r="Z2828" s="6"/>
      <c r="AA2828" s="6" t="s">
        <v>258</v>
      </c>
      <c r="AB2828" s="8"/>
    </row>
    <row r="2829" spans="1:28" s="4" customFormat="1" ht="51.95" customHeight="1">
      <c r="A2829" s="5">
        <v>0</v>
      </c>
      <c r="B2829" s="6" t="s">
        <v>17133</v>
      </c>
      <c r="C2829" s="13">
        <v>1600</v>
      </c>
      <c r="D2829" s="8" t="s">
        <v>17134</v>
      </c>
      <c r="E2829" s="8" t="s">
        <v>17135</v>
      </c>
      <c r="F2829" s="8" t="s">
        <v>12845</v>
      </c>
      <c r="G2829" s="6" t="s">
        <v>89</v>
      </c>
      <c r="H2829" s="6" t="s">
        <v>53</v>
      </c>
      <c r="I2829" s="8" t="s">
        <v>100</v>
      </c>
      <c r="J2829" s="9">
        <v>1</v>
      </c>
      <c r="K2829" s="9">
        <v>320</v>
      </c>
      <c r="L2829" s="9">
        <v>2025</v>
      </c>
      <c r="M2829" s="8" t="s">
        <v>17136</v>
      </c>
      <c r="N2829" s="8" t="s">
        <v>997</v>
      </c>
      <c r="O2829" s="8" t="s">
        <v>998</v>
      </c>
      <c r="P2829" s="6" t="s">
        <v>175</v>
      </c>
      <c r="Q2829" s="8" t="s">
        <v>102</v>
      </c>
      <c r="R2829" s="10" t="s">
        <v>17137</v>
      </c>
      <c r="S2829" s="11" t="s">
        <v>17138</v>
      </c>
      <c r="T2829" s="6"/>
      <c r="U2829" s="24" t="str">
        <f>HYPERLINK("https://media.infra-m.ru/2169/2169211/cover/2169211.jpg", "Обложка")</f>
        <v>Обложка</v>
      </c>
      <c r="V2829" s="24" t="str">
        <f>HYPERLINK("https://znanium.ru/catalog/product/2169211", "Ознакомиться")</f>
        <v>Ознакомиться</v>
      </c>
      <c r="W2829" s="8" t="s">
        <v>12849</v>
      </c>
      <c r="X2829" s="6"/>
      <c r="Y2829" s="6"/>
      <c r="Z2829" s="6" t="s">
        <v>369</v>
      </c>
      <c r="AA2829" s="6" t="s">
        <v>1374</v>
      </c>
      <c r="AB2829" s="8"/>
    </row>
    <row r="2830" spans="1:28" s="4" customFormat="1" ht="51.95" customHeight="1">
      <c r="A2830" s="5">
        <v>0</v>
      </c>
      <c r="B2830" s="6" t="s">
        <v>17139</v>
      </c>
      <c r="C2830" s="13">
        <v>1410</v>
      </c>
      <c r="D2830" s="8" t="s">
        <v>17140</v>
      </c>
      <c r="E2830" s="8" t="s">
        <v>17141</v>
      </c>
      <c r="F2830" s="8" t="s">
        <v>12845</v>
      </c>
      <c r="G2830" s="6" t="s">
        <v>89</v>
      </c>
      <c r="H2830" s="6" t="s">
        <v>53</v>
      </c>
      <c r="I2830" s="8" t="s">
        <v>100</v>
      </c>
      <c r="J2830" s="9">
        <v>1</v>
      </c>
      <c r="K2830" s="9">
        <v>281</v>
      </c>
      <c r="L2830" s="9">
        <v>2025</v>
      </c>
      <c r="M2830" s="8" t="s">
        <v>17142</v>
      </c>
      <c r="N2830" s="8" t="s">
        <v>997</v>
      </c>
      <c r="O2830" s="8" t="s">
        <v>998</v>
      </c>
      <c r="P2830" s="6" t="s">
        <v>43</v>
      </c>
      <c r="Q2830" s="8" t="s">
        <v>102</v>
      </c>
      <c r="R2830" s="10" t="s">
        <v>17143</v>
      </c>
      <c r="S2830" s="11" t="s">
        <v>17144</v>
      </c>
      <c r="T2830" s="6"/>
      <c r="U2830" s="24" t="str">
        <f>HYPERLINK("https://media.infra-m.ru/2169/2169212/cover/2169212.jpg", "Обложка")</f>
        <v>Обложка</v>
      </c>
      <c r="V2830" s="24" t="str">
        <f>HYPERLINK("https://znanium.ru/catalog/product/2169212", "Ознакомиться")</f>
        <v>Ознакомиться</v>
      </c>
      <c r="W2830" s="8" t="s">
        <v>12849</v>
      </c>
      <c r="X2830" s="6"/>
      <c r="Y2830" s="6"/>
      <c r="Z2830" s="6" t="s">
        <v>369</v>
      </c>
      <c r="AA2830" s="6" t="s">
        <v>196</v>
      </c>
      <c r="AB2830" s="8"/>
    </row>
    <row r="2831" spans="1:28" s="4" customFormat="1" ht="51.95" customHeight="1">
      <c r="A2831" s="5">
        <v>0</v>
      </c>
      <c r="B2831" s="6" t="s">
        <v>17145</v>
      </c>
      <c r="C2831" s="13">
        <v>1430</v>
      </c>
      <c r="D2831" s="8" t="s">
        <v>17146</v>
      </c>
      <c r="E2831" s="8" t="s">
        <v>17147</v>
      </c>
      <c r="F2831" s="8" t="s">
        <v>12845</v>
      </c>
      <c r="G2831" s="6" t="s">
        <v>89</v>
      </c>
      <c r="H2831" s="6" t="s">
        <v>53</v>
      </c>
      <c r="I2831" s="8" t="s">
        <v>116</v>
      </c>
      <c r="J2831" s="9">
        <v>1</v>
      </c>
      <c r="K2831" s="9">
        <v>285</v>
      </c>
      <c r="L2831" s="9">
        <v>2025</v>
      </c>
      <c r="M2831" s="8" t="s">
        <v>17148</v>
      </c>
      <c r="N2831" s="8" t="s">
        <v>997</v>
      </c>
      <c r="O2831" s="8" t="s">
        <v>998</v>
      </c>
      <c r="P2831" s="6" t="s">
        <v>43</v>
      </c>
      <c r="Q2831" s="8" t="s">
        <v>44</v>
      </c>
      <c r="R2831" s="10" t="s">
        <v>14303</v>
      </c>
      <c r="S2831" s="11" t="s">
        <v>17149</v>
      </c>
      <c r="T2831" s="6"/>
      <c r="U2831" s="24" t="str">
        <f>HYPERLINK("https://media.infra-m.ru/2181/2181235/cover/2181235.jpg", "Обложка")</f>
        <v>Обложка</v>
      </c>
      <c r="V2831" s="24" t="str">
        <f>HYPERLINK("https://znanium.ru/catalog/product/2181235", "Ознакомиться")</f>
        <v>Ознакомиться</v>
      </c>
      <c r="W2831" s="8" t="s">
        <v>12849</v>
      </c>
      <c r="X2831" s="6"/>
      <c r="Y2831" s="6"/>
      <c r="Z2831" s="6"/>
      <c r="AA2831" s="6" t="s">
        <v>219</v>
      </c>
      <c r="AB2831" s="8"/>
    </row>
    <row r="2832" spans="1:28" s="4" customFormat="1" ht="42" customHeight="1">
      <c r="A2832" s="5">
        <v>0</v>
      </c>
      <c r="B2832" s="6" t="s">
        <v>17150</v>
      </c>
      <c r="C2832" s="13">
        <v>1430</v>
      </c>
      <c r="D2832" s="8" t="s">
        <v>17151</v>
      </c>
      <c r="E2832" s="8" t="s">
        <v>17147</v>
      </c>
      <c r="F2832" s="8" t="s">
        <v>12845</v>
      </c>
      <c r="G2832" s="6" t="s">
        <v>52</v>
      </c>
      <c r="H2832" s="6" t="s">
        <v>53</v>
      </c>
      <c r="I2832" s="8" t="s">
        <v>100</v>
      </c>
      <c r="J2832" s="9">
        <v>1</v>
      </c>
      <c r="K2832" s="9">
        <v>285</v>
      </c>
      <c r="L2832" s="9">
        <v>2025</v>
      </c>
      <c r="M2832" s="8" t="s">
        <v>17152</v>
      </c>
      <c r="N2832" s="8" t="s">
        <v>997</v>
      </c>
      <c r="O2832" s="8" t="s">
        <v>998</v>
      </c>
      <c r="P2832" s="6" t="s">
        <v>43</v>
      </c>
      <c r="Q2832" s="8" t="s">
        <v>102</v>
      </c>
      <c r="R2832" s="10" t="s">
        <v>17153</v>
      </c>
      <c r="S2832" s="11"/>
      <c r="T2832" s="6"/>
      <c r="U2832" s="24" t="str">
        <f>HYPERLINK("https://media.infra-m.ru/2181/2181229/cover/2181229.jpg", "Обложка")</f>
        <v>Обложка</v>
      </c>
      <c r="V2832" s="24" t="str">
        <f>HYPERLINK("https://znanium.ru/catalog/product/2181229", "Ознакомиться")</f>
        <v>Ознакомиться</v>
      </c>
      <c r="W2832" s="8" t="s">
        <v>12849</v>
      </c>
      <c r="X2832" s="6" t="s">
        <v>226</v>
      </c>
      <c r="Y2832" s="6"/>
      <c r="Z2832" s="6" t="s">
        <v>104</v>
      </c>
      <c r="AA2832" s="6" t="s">
        <v>61</v>
      </c>
      <c r="AB2832" s="8"/>
    </row>
    <row r="2833" spans="1:28" s="4" customFormat="1" ht="44.1" customHeight="1">
      <c r="A2833" s="5">
        <v>0</v>
      </c>
      <c r="B2833" s="6" t="s">
        <v>17154</v>
      </c>
      <c r="C2833" s="7">
        <v>794</v>
      </c>
      <c r="D2833" s="8" t="s">
        <v>17155</v>
      </c>
      <c r="E2833" s="8" t="s">
        <v>17156</v>
      </c>
      <c r="F2833" s="8" t="s">
        <v>17157</v>
      </c>
      <c r="G2833" s="6" t="s">
        <v>52</v>
      </c>
      <c r="H2833" s="6" t="s">
        <v>53</v>
      </c>
      <c r="I2833" s="8" t="s">
        <v>4767</v>
      </c>
      <c r="J2833" s="9">
        <v>1</v>
      </c>
      <c r="K2833" s="9">
        <v>152</v>
      </c>
      <c r="L2833" s="9">
        <v>2025</v>
      </c>
      <c r="M2833" s="8" t="s">
        <v>17158</v>
      </c>
      <c r="N2833" s="8" t="s">
        <v>997</v>
      </c>
      <c r="O2833" s="8" t="s">
        <v>998</v>
      </c>
      <c r="P2833" s="6" t="s">
        <v>6608</v>
      </c>
      <c r="Q2833" s="8" t="s">
        <v>58</v>
      </c>
      <c r="R2833" s="10" t="s">
        <v>17159</v>
      </c>
      <c r="S2833" s="11"/>
      <c r="T2833" s="6"/>
      <c r="U2833" s="24" t="str">
        <f>HYPERLINK("https://media.infra-m.ru/2161/2161365/cover/2161365.jpg", "Обложка")</f>
        <v>Обложка</v>
      </c>
      <c r="V2833" s="24" t="str">
        <f>HYPERLINK("https://znanium.ru/catalog/product/2038323", "Ознакомиться")</f>
        <v>Ознакомиться</v>
      </c>
      <c r="W2833" s="8" t="s">
        <v>354</v>
      </c>
      <c r="X2833" s="6"/>
      <c r="Y2833" s="6"/>
      <c r="Z2833" s="6"/>
      <c r="AA2833" s="6" t="s">
        <v>258</v>
      </c>
      <c r="AB2833" s="8"/>
    </row>
    <row r="2834" spans="1:28" s="4" customFormat="1" ht="44.1" customHeight="1">
      <c r="A2834" s="5">
        <v>0</v>
      </c>
      <c r="B2834" s="6" t="s">
        <v>17160</v>
      </c>
      <c r="C2834" s="7">
        <v>880</v>
      </c>
      <c r="D2834" s="8" t="s">
        <v>17161</v>
      </c>
      <c r="E2834" s="8" t="s">
        <v>17162</v>
      </c>
      <c r="F2834" s="8" t="s">
        <v>17163</v>
      </c>
      <c r="G2834" s="6" t="s">
        <v>89</v>
      </c>
      <c r="H2834" s="6" t="s">
        <v>53</v>
      </c>
      <c r="I2834" s="8" t="s">
        <v>116</v>
      </c>
      <c r="J2834" s="9">
        <v>1</v>
      </c>
      <c r="K2834" s="9">
        <v>191</v>
      </c>
      <c r="L2834" s="9">
        <v>2024</v>
      </c>
      <c r="M2834" s="8" t="s">
        <v>17164</v>
      </c>
      <c r="N2834" s="8" t="s">
        <v>997</v>
      </c>
      <c r="O2834" s="8" t="s">
        <v>998</v>
      </c>
      <c r="P2834" s="6" t="s">
        <v>43</v>
      </c>
      <c r="Q2834" s="8" t="s">
        <v>44</v>
      </c>
      <c r="R2834" s="10" t="s">
        <v>17165</v>
      </c>
      <c r="S2834" s="11"/>
      <c r="T2834" s="6"/>
      <c r="U2834" s="24" t="str">
        <f>HYPERLINK("https://media.infra-m.ru/2098/2098498/cover/2098498.jpg", "Обложка")</f>
        <v>Обложка</v>
      </c>
      <c r="V2834" s="24" t="str">
        <f>HYPERLINK("https://znanium.ru/catalog/product/2098498", "Ознакомиться")</f>
        <v>Ознакомиться</v>
      </c>
      <c r="W2834" s="8" t="s">
        <v>913</v>
      </c>
      <c r="X2834" s="6"/>
      <c r="Y2834" s="6"/>
      <c r="Z2834" s="6"/>
      <c r="AA2834" s="6" t="s">
        <v>151</v>
      </c>
      <c r="AB2834" s="8"/>
    </row>
    <row r="2835" spans="1:28" s="4" customFormat="1" ht="51.95" customHeight="1">
      <c r="A2835" s="5">
        <v>0</v>
      </c>
      <c r="B2835" s="6" t="s">
        <v>17166</v>
      </c>
      <c r="C2835" s="7">
        <v>860</v>
      </c>
      <c r="D2835" s="8" t="s">
        <v>17167</v>
      </c>
      <c r="E2835" s="8" t="s">
        <v>17162</v>
      </c>
      <c r="F2835" s="8" t="s">
        <v>17163</v>
      </c>
      <c r="G2835" s="6" t="s">
        <v>89</v>
      </c>
      <c r="H2835" s="6" t="s">
        <v>53</v>
      </c>
      <c r="I2835" s="8" t="s">
        <v>100</v>
      </c>
      <c r="J2835" s="9">
        <v>1</v>
      </c>
      <c r="K2835" s="9">
        <v>191</v>
      </c>
      <c r="L2835" s="9">
        <v>2023</v>
      </c>
      <c r="M2835" s="8" t="s">
        <v>17168</v>
      </c>
      <c r="N2835" s="8" t="s">
        <v>997</v>
      </c>
      <c r="O2835" s="8" t="s">
        <v>998</v>
      </c>
      <c r="P2835" s="6" t="s">
        <v>43</v>
      </c>
      <c r="Q2835" s="8" t="s">
        <v>102</v>
      </c>
      <c r="R2835" s="10" t="s">
        <v>17169</v>
      </c>
      <c r="S2835" s="11" t="s">
        <v>17170</v>
      </c>
      <c r="T2835" s="6"/>
      <c r="U2835" s="24" t="str">
        <f>HYPERLINK("https://media.infra-m.ru/1920/1920366/cover/1920366.jpg", "Обложка")</f>
        <v>Обложка</v>
      </c>
      <c r="V2835" s="24" t="str">
        <f>HYPERLINK("https://znanium.ru/catalog/product/1920366", "Ознакомиться")</f>
        <v>Ознакомиться</v>
      </c>
      <c r="W2835" s="8" t="s">
        <v>913</v>
      </c>
      <c r="X2835" s="6"/>
      <c r="Y2835" s="6"/>
      <c r="Z2835" s="6" t="s">
        <v>104</v>
      </c>
      <c r="AA2835" s="6" t="s">
        <v>207</v>
      </c>
      <c r="AB2835" s="8"/>
    </row>
    <row r="2836" spans="1:28" s="4" customFormat="1" ht="44.1" customHeight="1">
      <c r="A2836" s="5">
        <v>0</v>
      </c>
      <c r="B2836" s="6" t="s">
        <v>17171</v>
      </c>
      <c r="C2836" s="7">
        <v>840</v>
      </c>
      <c r="D2836" s="8" t="s">
        <v>17172</v>
      </c>
      <c r="E2836" s="8" t="s">
        <v>17173</v>
      </c>
      <c r="F2836" s="8" t="s">
        <v>17174</v>
      </c>
      <c r="G2836" s="6" t="s">
        <v>89</v>
      </c>
      <c r="H2836" s="6" t="s">
        <v>53</v>
      </c>
      <c r="I2836" s="8" t="s">
        <v>116</v>
      </c>
      <c r="J2836" s="9">
        <v>1</v>
      </c>
      <c r="K2836" s="9">
        <v>182</v>
      </c>
      <c r="L2836" s="9">
        <v>2023</v>
      </c>
      <c r="M2836" s="8" t="s">
        <v>17175</v>
      </c>
      <c r="N2836" s="8" t="s">
        <v>413</v>
      </c>
      <c r="O2836" s="8" t="s">
        <v>414</v>
      </c>
      <c r="P2836" s="6" t="s">
        <v>43</v>
      </c>
      <c r="Q2836" s="8" t="s">
        <v>44</v>
      </c>
      <c r="R2836" s="10" t="s">
        <v>17176</v>
      </c>
      <c r="S2836" s="11"/>
      <c r="T2836" s="6"/>
      <c r="U2836" s="24" t="str">
        <f>HYPERLINK("https://media.infra-m.ru/2127/2127949/cover/2127949.jpg", "Обложка")</f>
        <v>Обложка</v>
      </c>
      <c r="V2836" s="24" t="str">
        <f>HYPERLINK("https://znanium.ru/catalog/product/2127949", "Ознакомиться")</f>
        <v>Ознакомиться</v>
      </c>
      <c r="W2836" s="8" t="s">
        <v>4293</v>
      </c>
      <c r="X2836" s="6"/>
      <c r="Y2836" s="6"/>
      <c r="Z2836" s="6"/>
      <c r="AA2836" s="6" t="s">
        <v>207</v>
      </c>
      <c r="AB2836" s="8"/>
    </row>
    <row r="2837" spans="1:28" s="4" customFormat="1" ht="51.95" customHeight="1">
      <c r="A2837" s="5">
        <v>0</v>
      </c>
      <c r="B2837" s="6" t="s">
        <v>17177</v>
      </c>
      <c r="C2837" s="13">
        <v>1094</v>
      </c>
      <c r="D2837" s="8" t="s">
        <v>17178</v>
      </c>
      <c r="E2837" s="8" t="s">
        <v>17179</v>
      </c>
      <c r="F2837" s="8" t="s">
        <v>17180</v>
      </c>
      <c r="G2837" s="6" t="s">
        <v>89</v>
      </c>
      <c r="H2837" s="6" t="s">
        <v>53</v>
      </c>
      <c r="I2837" s="8" t="s">
        <v>116</v>
      </c>
      <c r="J2837" s="9">
        <v>1</v>
      </c>
      <c r="K2837" s="9">
        <v>236</v>
      </c>
      <c r="L2837" s="9">
        <v>2023</v>
      </c>
      <c r="M2837" s="8" t="s">
        <v>17181</v>
      </c>
      <c r="N2837" s="8" t="s">
        <v>413</v>
      </c>
      <c r="O2837" s="8" t="s">
        <v>414</v>
      </c>
      <c r="P2837" s="6" t="s">
        <v>43</v>
      </c>
      <c r="Q2837" s="8" t="s">
        <v>44</v>
      </c>
      <c r="R2837" s="10" t="s">
        <v>17182</v>
      </c>
      <c r="S2837" s="11" t="s">
        <v>17183</v>
      </c>
      <c r="T2837" s="6"/>
      <c r="U2837" s="24" t="str">
        <f>HYPERLINK("https://media.infra-m.ru/2110/2110481/cover/2110481.jpg", "Обложка")</f>
        <v>Обложка</v>
      </c>
      <c r="V2837" s="24" t="str">
        <f>HYPERLINK("https://znanium.ru/catalog/product/2096826", "Ознакомиться")</f>
        <v>Ознакомиться</v>
      </c>
      <c r="W2837" s="8" t="s">
        <v>5019</v>
      </c>
      <c r="X2837" s="6"/>
      <c r="Y2837" s="6"/>
      <c r="Z2837" s="6"/>
      <c r="AA2837" s="6" t="s">
        <v>442</v>
      </c>
      <c r="AB2837" s="8"/>
    </row>
    <row r="2838" spans="1:28" s="4" customFormat="1" ht="42" customHeight="1">
      <c r="A2838" s="5">
        <v>0</v>
      </c>
      <c r="B2838" s="6" t="s">
        <v>17184</v>
      </c>
      <c r="C2838" s="7">
        <v>300</v>
      </c>
      <c r="D2838" s="8" t="s">
        <v>17185</v>
      </c>
      <c r="E2838" s="8" t="s">
        <v>17186</v>
      </c>
      <c r="F2838" s="8" t="s">
        <v>5146</v>
      </c>
      <c r="G2838" s="6" t="s">
        <v>38</v>
      </c>
      <c r="H2838" s="6" t="s">
        <v>53</v>
      </c>
      <c r="I2838" s="8"/>
      <c r="J2838" s="9">
        <v>1</v>
      </c>
      <c r="K2838" s="9">
        <v>154</v>
      </c>
      <c r="L2838" s="9">
        <v>2020</v>
      </c>
      <c r="M2838" s="8" t="s">
        <v>17187</v>
      </c>
      <c r="N2838" s="8" t="s">
        <v>413</v>
      </c>
      <c r="O2838" s="8" t="s">
        <v>414</v>
      </c>
      <c r="P2838" s="6" t="s">
        <v>17188</v>
      </c>
      <c r="Q2838" s="8" t="s">
        <v>44</v>
      </c>
      <c r="R2838" s="10" t="s">
        <v>12090</v>
      </c>
      <c r="S2838" s="11"/>
      <c r="T2838" s="6"/>
      <c r="U2838" s="24" t="str">
        <f>HYPERLINK("https://media.infra-m.ru/1036/1036427/cover/1036427.jpg", "Обложка")</f>
        <v>Обложка</v>
      </c>
      <c r="V2838" s="24" t="str">
        <f>HYPERLINK("https://znanium.ru/catalog/product/1852247", "Ознакомиться")</f>
        <v>Ознакомиться</v>
      </c>
      <c r="W2838" s="8" t="s">
        <v>4293</v>
      </c>
      <c r="X2838" s="6"/>
      <c r="Y2838" s="6"/>
      <c r="Z2838" s="6"/>
      <c r="AA2838" s="6" t="s">
        <v>418</v>
      </c>
      <c r="AB2838" s="8"/>
    </row>
    <row r="2839" spans="1:28" s="4" customFormat="1" ht="51.95" customHeight="1">
      <c r="A2839" s="5">
        <v>0</v>
      </c>
      <c r="B2839" s="6" t="s">
        <v>17189</v>
      </c>
      <c r="C2839" s="13">
        <v>2180</v>
      </c>
      <c r="D2839" s="8" t="s">
        <v>17190</v>
      </c>
      <c r="E2839" s="8" t="s">
        <v>17191</v>
      </c>
      <c r="F2839" s="8" t="s">
        <v>5146</v>
      </c>
      <c r="G2839" s="6" t="s">
        <v>52</v>
      </c>
      <c r="H2839" s="6" t="s">
        <v>53</v>
      </c>
      <c r="I2839" s="8" t="s">
        <v>116</v>
      </c>
      <c r="J2839" s="9">
        <v>1</v>
      </c>
      <c r="K2839" s="9">
        <v>474</v>
      </c>
      <c r="L2839" s="9">
        <v>2024</v>
      </c>
      <c r="M2839" s="8" t="s">
        <v>17192</v>
      </c>
      <c r="N2839" s="8" t="s">
        <v>413</v>
      </c>
      <c r="O2839" s="8" t="s">
        <v>414</v>
      </c>
      <c r="P2839" s="6" t="s">
        <v>167</v>
      </c>
      <c r="Q2839" s="8" t="s">
        <v>58</v>
      </c>
      <c r="R2839" s="10" t="s">
        <v>17193</v>
      </c>
      <c r="S2839" s="11" t="s">
        <v>17194</v>
      </c>
      <c r="T2839" s="6"/>
      <c r="U2839" s="24" t="str">
        <f>HYPERLINK("https://media.infra-m.ru/2079/2079261/cover/2079261.jpg", "Обложка")</f>
        <v>Обложка</v>
      </c>
      <c r="V2839" s="24" t="str">
        <f>HYPERLINK("https://znanium.ru/catalog/product/2079261", "Ознакомиться")</f>
        <v>Ознакомиться</v>
      </c>
      <c r="W2839" s="8" t="s">
        <v>4293</v>
      </c>
      <c r="X2839" s="6"/>
      <c r="Y2839" s="6"/>
      <c r="Z2839" s="6"/>
      <c r="AA2839" s="6" t="s">
        <v>326</v>
      </c>
      <c r="AB2839" s="8" t="s">
        <v>271</v>
      </c>
    </row>
    <row r="2840" spans="1:28" s="4" customFormat="1" ht="51.95" customHeight="1">
      <c r="A2840" s="5">
        <v>0</v>
      </c>
      <c r="B2840" s="6" t="s">
        <v>17195</v>
      </c>
      <c r="C2840" s="13">
        <v>1784</v>
      </c>
      <c r="D2840" s="8" t="s">
        <v>17196</v>
      </c>
      <c r="E2840" s="8" t="s">
        <v>17197</v>
      </c>
      <c r="F2840" s="8" t="s">
        <v>17198</v>
      </c>
      <c r="G2840" s="6" t="s">
        <v>89</v>
      </c>
      <c r="H2840" s="6" t="s">
        <v>53</v>
      </c>
      <c r="I2840" s="8" t="s">
        <v>90</v>
      </c>
      <c r="J2840" s="9">
        <v>1</v>
      </c>
      <c r="K2840" s="9">
        <v>344</v>
      </c>
      <c r="L2840" s="9">
        <v>2025</v>
      </c>
      <c r="M2840" s="8" t="s">
        <v>17199</v>
      </c>
      <c r="N2840" s="8" t="s">
        <v>79</v>
      </c>
      <c r="O2840" s="8" t="s">
        <v>684</v>
      </c>
      <c r="P2840" s="6" t="s">
        <v>167</v>
      </c>
      <c r="Q2840" s="8" t="s">
        <v>44</v>
      </c>
      <c r="R2840" s="10" t="s">
        <v>3247</v>
      </c>
      <c r="S2840" s="11" t="s">
        <v>17200</v>
      </c>
      <c r="T2840" s="6"/>
      <c r="U2840" s="24" t="str">
        <f>HYPERLINK("https://media.infra-m.ru/2196/2196908/cover/2196908.jpg", "Обложка")</f>
        <v>Обложка</v>
      </c>
      <c r="V2840" s="24" t="str">
        <f>HYPERLINK("https://znanium.ru/catalog/product/2126469", "Ознакомиться")</f>
        <v>Ознакомиться</v>
      </c>
      <c r="W2840" s="8" t="s">
        <v>4383</v>
      </c>
      <c r="X2840" s="6"/>
      <c r="Y2840" s="6"/>
      <c r="Z2840" s="6"/>
      <c r="AA2840" s="6" t="s">
        <v>418</v>
      </c>
      <c r="AB2840" s="8"/>
    </row>
    <row r="2841" spans="1:28" s="4" customFormat="1" ht="51.95" customHeight="1">
      <c r="A2841" s="5">
        <v>0</v>
      </c>
      <c r="B2841" s="6" t="s">
        <v>17201</v>
      </c>
      <c r="C2841" s="13">
        <v>1520</v>
      </c>
      <c r="D2841" s="8" t="s">
        <v>17202</v>
      </c>
      <c r="E2841" s="8" t="s">
        <v>17203</v>
      </c>
      <c r="F2841" s="8" t="s">
        <v>17204</v>
      </c>
      <c r="G2841" s="6" t="s">
        <v>89</v>
      </c>
      <c r="H2841" s="6" t="s">
        <v>53</v>
      </c>
      <c r="I2841" s="8" t="s">
        <v>100</v>
      </c>
      <c r="J2841" s="9">
        <v>1</v>
      </c>
      <c r="K2841" s="9">
        <v>304</v>
      </c>
      <c r="L2841" s="9">
        <v>2025</v>
      </c>
      <c r="M2841" s="8" t="s">
        <v>17205</v>
      </c>
      <c r="N2841" s="8" t="s">
        <v>413</v>
      </c>
      <c r="O2841" s="8" t="s">
        <v>1528</v>
      </c>
      <c r="P2841" s="6" t="s">
        <v>43</v>
      </c>
      <c r="Q2841" s="8" t="s">
        <v>102</v>
      </c>
      <c r="R2841" s="10" t="s">
        <v>17206</v>
      </c>
      <c r="S2841" s="11"/>
      <c r="T2841" s="6"/>
      <c r="U2841" s="24" t="str">
        <f>HYPERLINK("https://media.infra-m.ru/2169/2169833/cover/2169833.jpg", "Обложка")</f>
        <v>Обложка</v>
      </c>
      <c r="V2841" s="24" t="str">
        <f>HYPERLINK("https://znanium.ru/catalog/product/2169833", "Ознакомиться")</f>
        <v>Ознакомиться</v>
      </c>
      <c r="W2841" s="8" t="s">
        <v>334</v>
      </c>
      <c r="X2841" s="6" t="s">
        <v>785</v>
      </c>
      <c r="Y2841" s="6"/>
      <c r="Z2841" s="6" t="s">
        <v>104</v>
      </c>
      <c r="AA2841" s="6" t="s">
        <v>549</v>
      </c>
      <c r="AB2841" s="8"/>
    </row>
    <row r="2842" spans="1:28" s="4" customFormat="1" ht="51.95" customHeight="1">
      <c r="A2842" s="5">
        <v>0</v>
      </c>
      <c r="B2842" s="6" t="s">
        <v>17207</v>
      </c>
      <c r="C2842" s="13">
        <v>1400</v>
      </c>
      <c r="D2842" s="8" t="s">
        <v>17208</v>
      </c>
      <c r="E2842" s="8" t="s">
        <v>17203</v>
      </c>
      <c r="F2842" s="8" t="s">
        <v>17204</v>
      </c>
      <c r="G2842" s="6" t="s">
        <v>89</v>
      </c>
      <c r="H2842" s="6" t="s">
        <v>53</v>
      </c>
      <c r="I2842" s="8" t="s">
        <v>116</v>
      </c>
      <c r="J2842" s="9">
        <v>1</v>
      </c>
      <c r="K2842" s="9">
        <v>304</v>
      </c>
      <c r="L2842" s="9">
        <v>2024</v>
      </c>
      <c r="M2842" s="8" t="s">
        <v>17209</v>
      </c>
      <c r="N2842" s="8" t="s">
        <v>413</v>
      </c>
      <c r="O2842" s="8" t="s">
        <v>1528</v>
      </c>
      <c r="P2842" s="6" t="s">
        <v>43</v>
      </c>
      <c r="Q2842" s="8" t="s">
        <v>44</v>
      </c>
      <c r="R2842" s="10" t="s">
        <v>17210</v>
      </c>
      <c r="S2842" s="11" t="s">
        <v>17211</v>
      </c>
      <c r="T2842" s="6"/>
      <c r="U2842" s="24" t="str">
        <f>HYPERLINK("https://media.infra-m.ru/2055/2055770/cover/2055770.jpg", "Обложка")</f>
        <v>Обложка</v>
      </c>
      <c r="V2842" s="24" t="str">
        <f>HYPERLINK("https://znanium.ru/catalog/product/2055770", "Ознакомиться")</f>
        <v>Ознакомиться</v>
      </c>
      <c r="W2842" s="8" t="s">
        <v>334</v>
      </c>
      <c r="X2842" s="6"/>
      <c r="Y2842" s="6"/>
      <c r="Z2842" s="6"/>
      <c r="AA2842" s="6" t="s">
        <v>1259</v>
      </c>
      <c r="AB2842" s="8"/>
    </row>
    <row r="2843" spans="1:28" s="4" customFormat="1" ht="51.95" customHeight="1">
      <c r="A2843" s="5">
        <v>0</v>
      </c>
      <c r="B2843" s="6" t="s">
        <v>17212</v>
      </c>
      <c r="C2843" s="13">
        <v>1364</v>
      </c>
      <c r="D2843" s="8" t="s">
        <v>17213</v>
      </c>
      <c r="E2843" s="8" t="s">
        <v>17214</v>
      </c>
      <c r="F2843" s="8" t="s">
        <v>17215</v>
      </c>
      <c r="G2843" s="6" t="s">
        <v>52</v>
      </c>
      <c r="H2843" s="6" t="s">
        <v>53</v>
      </c>
      <c r="I2843" s="8" t="s">
        <v>90</v>
      </c>
      <c r="J2843" s="9">
        <v>1</v>
      </c>
      <c r="K2843" s="9">
        <v>272</v>
      </c>
      <c r="L2843" s="9">
        <v>2025</v>
      </c>
      <c r="M2843" s="8" t="s">
        <v>17216</v>
      </c>
      <c r="N2843" s="8" t="s">
        <v>41</v>
      </c>
      <c r="O2843" s="8" t="s">
        <v>6182</v>
      </c>
      <c r="P2843" s="6" t="s">
        <v>167</v>
      </c>
      <c r="Q2843" s="8" t="s">
        <v>44</v>
      </c>
      <c r="R2843" s="10" t="s">
        <v>6765</v>
      </c>
      <c r="S2843" s="11" t="s">
        <v>17217</v>
      </c>
      <c r="T2843" s="6" t="s">
        <v>299</v>
      </c>
      <c r="U2843" s="24" t="str">
        <f>HYPERLINK("https://media.infra-m.ru/2173/2173543/cover/2173543.jpg", "Обложка")</f>
        <v>Обложка</v>
      </c>
      <c r="V2843" s="24" t="str">
        <f>HYPERLINK("https://znanium.ru/catalog/product/1844284", "Ознакомиться")</f>
        <v>Ознакомиться</v>
      </c>
      <c r="W2843" s="8" t="s">
        <v>7876</v>
      </c>
      <c r="X2843" s="6"/>
      <c r="Y2843" s="6"/>
      <c r="Z2843" s="6"/>
      <c r="AA2843" s="6" t="s">
        <v>84</v>
      </c>
      <c r="AB2843" s="8"/>
    </row>
    <row r="2844" spans="1:28" s="4" customFormat="1" ht="51.95" customHeight="1">
      <c r="A2844" s="5">
        <v>0</v>
      </c>
      <c r="B2844" s="6" t="s">
        <v>17218</v>
      </c>
      <c r="C2844" s="13">
        <v>1960</v>
      </c>
      <c r="D2844" s="8" t="s">
        <v>17219</v>
      </c>
      <c r="E2844" s="8" t="s">
        <v>17220</v>
      </c>
      <c r="F2844" s="8" t="s">
        <v>17221</v>
      </c>
      <c r="G2844" s="6" t="s">
        <v>52</v>
      </c>
      <c r="H2844" s="6" t="s">
        <v>53</v>
      </c>
      <c r="I2844" s="8" t="s">
        <v>100</v>
      </c>
      <c r="J2844" s="9">
        <v>1</v>
      </c>
      <c r="K2844" s="9">
        <v>425</v>
      </c>
      <c r="L2844" s="9">
        <v>2024</v>
      </c>
      <c r="M2844" s="8" t="s">
        <v>17222</v>
      </c>
      <c r="N2844" s="8" t="s">
        <v>997</v>
      </c>
      <c r="O2844" s="8" t="s">
        <v>998</v>
      </c>
      <c r="P2844" s="6" t="s">
        <v>167</v>
      </c>
      <c r="Q2844" s="8" t="s">
        <v>102</v>
      </c>
      <c r="R2844" s="10" t="s">
        <v>4171</v>
      </c>
      <c r="S2844" s="11" t="s">
        <v>17223</v>
      </c>
      <c r="T2844" s="6" t="s">
        <v>299</v>
      </c>
      <c r="U2844" s="24" t="str">
        <f>HYPERLINK("https://media.infra-m.ru/2102/2102690/cover/2102690.jpg", "Обложка")</f>
        <v>Обложка</v>
      </c>
      <c r="V2844" s="24" t="str">
        <f>HYPERLINK("https://znanium.ru/catalog/product/2102690", "Ознакомиться")</f>
        <v>Ознакомиться</v>
      </c>
      <c r="W2844" s="8"/>
      <c r="X2844" s="6"/>
      <c r="Y2844" s="6"/>
      <c r="Z2844" s="6"/>
      <c r="AA2844" s="6" t="s">
        <v>326</v>
      </c>
      <c r="AB2844" s="8" t="s">
        <v>906</v>
      </c>
    </row>
    <row r="2845" spans="1:28" s="4" customFormat="1" ht="51.95" customHeight="1">
      <c r="A2845" s="5">
        <v>0</v>
      </c>
      <c r="B2845" s="6" t="s">
        <v>17224</v>
      </c>
      <c r="C2845" s="13">
        <v>2294</v>
      </c>
      <c r="D2845" s="8" t="s">
        <v>17225</v>
      </c>
      <c r="E2845" s="8" t="s">
        <v>17226</v>
      </c>
      <c r="F2845" s="8" t="s">
        <v>17227</v>
      </c>
      <c r="G2845" s="6" t="s">
        <v>52</v>
      </c>
      <c r="H2845" s="6" t="s">
        <v>674</v>
      </c>
      <c r="I2845" s="8"/>
      <c r="J2845" s="9">
        <v>1</v>
      </c>
      <c r="K2845" s="9">
        <v>640</v>
      </c>
      <c r="L2845" s="9">
        <v>2025</v>
      </c>
      <c r="M2845" s="8" t="s">
        <v>17228</v>
      </c>
      <c r="N2845" s="8" t="s">
        <v>56</v>
      </c>
      <c r="O2845" s="8" t="s">
        <v>741</v>
      </c>
      <c r="P2845" s="6" t="s">
        <v>167</v>
      </c>
      <c r="Q2845" s="8" t="s">
        <v>58</v>
      </c>
      <c r="R2845" s="10" t="s">
        <v>17229</v>
      </c>
      <c r="S2845" s="11" t="s">
        <v>4821</v>
      </c>
      <c r="T2845" s="6"/>
      <c r="U2845" s="12"/>
      <c r="V2845" s="24" t="str">
        <f>HYPERLINK("https://znanium.ru/catalog/product/911024", "Ознакомиться")</f>
        <v>Ознакомиться</v>
      </c>
      <c r="W2845" s="8" t="s">
        <v>792</v>
      </c>
      <c r="X2845" s="6"/>
      <c r="Y2845" s="6"/>
      <c r="Z2845" s="6"/>
      <c r="AA2845" s="6" t="s">
        <v>2193</v>
      </c>
      <c r="AB2845" s="8"/>
    </row>
    <row r="2846" spans="1:28" s="4" customFormat="1" ht="51.95" customHeight="1">
      <c r="A2846" s="5">
        <v>0</v>
      </c>
      <c r="B2846" s="6" t="s">
        <v>17230</v>
      </c>
      <c r="C2846" s="13">
        <v>1744</v>
      </c>
      <c r="D2846" s="8" t="s">
        <v>17231</v>
      </c>
      <c r="E2846" s="8" t="s">
        <v>17232</v>
      </c>
      <c r="F2846" s="8" t="s">
        <v>316</v>
      </c>
      <c r="G2846" s="6" t="s">
        <v>89</v>
      </c>
      <c r="H2846" s="6" t="s">
        <v>77</v>
      </c>
      <c r="I2846" s="8"/>
      <c r="J2846" s="9">
        <v>1</v>
      </c>
      <c r="K2846" s="9">
        <v>349</v>
      </c>
      <c r="L2846" s="9">
        <v>2025</v>
      </c>
      <c r="M2846" s="8" t="s">
        <v>17233</v>
      </c>
      <c r="N2846" s="8" t="s">
        <v>56</v>
      </c>
      <c r="O2846" s="8" t="s">
        <v>741</v>
      </c>
      <c r="P2846" s="6" t="s">
        <v>43</v>
      </c>
      <c r="Q2846" s="8" t="s">
        <v>44</v>
      </c>
      <c r="R2846" s="10" t="s">
        <v>17234</v>
      </c>
      <c r="S2846" s="11"/>
      <c r="T2846" s="6"/>
      <c r="U2846" s="24" t="str">
        <f>HYPERLINK("https://media.infra-m.ru/2184/2184888/cover/2184888.jpg", "Обложка")</f>
        <v>Обложка</v>
      </c>
      <c r="V2846" s="24" t="str">
        <f>HYPERLINK("https://znanium.ru/catalog/product/2202588", "Ознакомиться")</f>
        <v>Ознакомиться</v>
      </c>
      <c r="W2846" s="8" t="s">
        <v>320</v>
      </c>
      <c r="X2846" s="6"/>
      <c r="Y2846" s="6"/>
      <c r="Z2846" s="6"/>
      <c r="AA2846" s="6" t="s">
        <v>47</v>
      </c>
      <c r="AB2846" s="8"/>
    </row>
    <row r="2847" spans="1:28" s="4" customFormat="1" ht="51.95" customHeight="1">
      <c r="A2847" s="5">
        <v>0</v>
      </c>
      <c r="B2847" s="6" t="s">
        <v>17235</v>
      </c>
      <c r="C2847" s="7">
        <v>630</v>
      </c>
      <c r="D2847" s="8" t="s">
        <v>17236</v>
      </c>
      <c r="E2847" s="8" t="s">
        <v>17237</v>
      </c>
      <c r="F2847" s="8" t="s">
        <v>17238</v>
      </c>
      <c r="G2847" s="6" t="s">
        <v>89</v>
      </c>
      <c r="H2847" s="6" t="s">
        <v>77</v>
      </c>
      <c r="I2847" s="8"/>
      <c r="J2847" s="9">
        <v>1</v>
      </c>
      <c r="K2847" s="9">
        <v>196</v>
      </c>
      <c r="L2847" s="9">
        <v>2019</v>
      </c>
      <c r="M2847" s="8" t="s">
        <v>17239</v>
      </c>
      <c r="N2847" s="8" t="s">
        <v>56</v>
      </c>
      <c r="O2847" s="8" t="s">
        <v>741</v>
      </c>
      <c r="P2847" s="6" t="s">
        <v>43</v>
      </c>
      <c r="Q2847" s="8" t="s">
        <v>44</v>
      </c>
      <c r="R2847" s="10" t="s">
        <v>17240</v>
      </c>
      <c r="S2847" s="11"/>
      <c r="T2847" s="6"/>
      <c r="U2847" s="24" t="str">
        <f>HYPERLINK("https://media.infra-m.ru/0993/0993453/cover/993453.jpg", "Обложка")</f>
        <v>Обложка</v>
      </c>
      <c r="V2847" s="24" t="str">
        <f>HYPERLINK("https://znanium.ru/catalog/product/2184571", "Ознакомиться")</f>
        <v>Ознакомиться</v>
      </c>
      <c r="W2847" s="8" t="s">
        <v>1345</v>
      </c>
      <c r="X2847" s="6"/>
      <c r="Y2847" s="6"/>
      <c r="Z2847" s="6"/>
      <c r="AA2847" s="6" t="s">
        <v>5848</v>
      </c>
      <c r="AB2847" s="8"/>
    </row>
    <row r="2848" spans="1:28" s="4" customFormat="1" ht="51.95" customHeight="1">
      <c r="A2848" s="5">
        <v>0</v>
      </c>
      <c r="B2848" s="6" t="s">
        <v>17241</v>
      </c>
      <c r="C2848" s="7">
        <v>990</v>
      </c>
      <c r="D2848" s="8" t="s">
        <v>17242</v>
      </c>
      <c r="E2848" s="8" t="s">
        <v>17243</v>
      </c>
      <c r="F2848" s="8" t="s">
        <v>17238</v>
      </c>
      <c r="G2848" s="6" t="s">
        <v>89</v>
      </c>
      <c r="H2848" s="6" t="s">
        <v>53</v>
      </c>
      <c r="I2848" s="8" t="s">
        <v>116</v>
      </c>
      <c r="J2848" s="9">
        <v>1</v>
      </c>
      <c r="K2848" s="9">
        <v>196</v>
      </c>
      <c r="L2848" s="9">
        <v>2025</v>
      </c>
      <c r="M2848" s="8" t="s">
        <v>17244</v>
      </c>
      <c r="N2848" s="8" t="s">
        <v>56</v>
      </c>
      <c r="O2848" s="8" t="s">
        <v>741</v>
      </c>
      <c r="P2848" s="6" t="s">
        <v>43</v>
      </c>
      <c r="Q2848" s="8" t="s">
        <v>44</v>
      </c>
      <c r="R2848" s="10" t="s">
        <v>17240</v>
      </c>
      <c r="S2848" s="11" t="s">
        <v>17245</v>
      </c>
      <c r="T2848" s="6"/>
      <c r="U2848" s="24" t="str">
        <f>HYPERLINK("https://media.infra-m.ru/2184/2184571/cover/2184571.jpg", "Обложка")</f>
        <v>Обложка</v>
      </c>
      <c r="V2848" s="24" t="str">
        <f>HYPERLINK("https://znanium.ru/catalog/product/2184571", "Ознакомиться")</f>
        <v>Ознакомиться</v>
      </c>
      <c r="W2848" s="8" t="s">
        <v>1345</v>
      </c>
      <c r="X2848" s="6"/>
      <c r="Y2848" s="6"/>
      <c r="Z2848" s="6"/>
      <c r="AA2848" s="6" t="s">
        <v>17246</v>
      </c>
      <c r="AB2848" s="8"/>
    </row>
    <row r="2849" spans="1:28" s="4" customFormat="1" ht="51.95" customHeight="1">
      <c r="A2849" s="5">
        <v>0</v>
      </c>
      <c r="B2849" s="6" t="s">
        <v>17247</v>
      </c>
      <c r="C2849" s="13">
        <v>1010</v>
      </c>
      <c r="D2849" s="8" t="s">
        <v>17248</v>
      </c>
      <c r="E2849" s="8" t="s">
        <v>17243</v>
      </c>
      <c r="F2849" s="8" t="s">
        <v>17238</v>
      </c>
      <c r="G2849" s="6" t="s">
        <v>89</v>
      </c>
      <c r="H2849" s="6" t="s">
        <v>53</v>
      </c>
      <c r="I2849" s="8" t="s">
        <v>100</v>
      </c>
      <c r="J2849" s="9">
        <v>1</v>
      </c>
      <c r="K2849" s="9">
        <v>196</v>
      </c>
      <c r="L2849" s="9">
        <v>2025</v>
      </c>
      <c r="M2849" s="8" t="s">
        <v>17249</v>
      </c>
      <c r="N2849" s="8" t="s">
        <v>56</v>
      </c>
      <c r="O2849" s="8" t="s">
        <v>741</v>
      </c>
      <c r="P2849" s="6" t="s">
        <v>43</v>
      </c>
      <c r="Q2849" s="8" t="s">
        <v>102</v>
      </c>
      <c r="R2849" s="10" t="s">
        <v>17250</v>
      </c>
      <c r="S2849" s="11" t="s">
        <v>17251</v>
      </c>
      <c r="T2849" s="6"/>
      <c r="U2849" s="24" t="str">
        <f>HYPERLINK("https://media.infra-m.ru/2164/2164023/cover/2164023.jpg", "Обложка")</f>
        <v>Обложка</v>
      </c>
      <c r="V2849" s="24" t="str">
        <f>HYPERLINK("https://znanium.ru/catalog/product/2164023", "Ознакомиться")</f>
        <v>Ознакомиться</v>
      </c>
      <c r="W2849" s="8" t="s">
        <v>1345</v>
      </c>
      <c r="X2849" s="6"/>
      <c r="Y2849" s="6"/>
      <c r="Z2849" s="6" t="s">
        <v>104</v>
      </c>
      <c r="AA2849" s="6" t="s">
        <v>17246</v>
      </c>
      <c r="AB2849" s="8"/>
    </row>
    <row r="2850" spans="1:28" s="4" customFormat="1" ht="51.95" customHeight="1">
      <c r="A2850" s="5">
        <v>0</v>
      </c>
      <c r="B2850" s="6" t="s">
        <v>17252</v>
      </c>
      <c r="C2850" s="13">
        <v>2870</v>
      </c>
      <c r="D2850" s="8" t="s">
        <v>17253</v>
      </c>
      <c r="E2850" s="8" t="s">
        <v>17254</v>
      </c>
      <c r="F2850" s="8" t="s">
        <v>10899</v>
      </c>
      <c r="G2850" s="6" t="s">
        <v>52</v>
      </c>
      <c r="H2850" s="6" t="s">
        <v>53</v>
      </c>
      <c r="I2850" s="8" t="s">
        <v>116</v>
      </c>
      <c r="J2850" s="9">
        <v>1</v>
      </c>
      <c r="K2850" s="9">
        <v>625</v>
      </c>
      <c r="L2850" s="9">
        <v>2023</v>
      </c>
      <c r="M2850" s="8" t="s">
        <v>17255</v>
      </c>
      <c r="N2850" s="8" t="s">
        <v>56</v>
      </c>
      <c r="O2850" s="8" t="s">
        <v>741</v>
      </c>
      <c r="P2850" s="6" t="s">
        <v>43</v>
      </c>
      <c r="Q2850" s="8" t="s">
        <v>58</v>
      </c>
      <c r="R2850" s="10" t="s">
        <v>17256</v>
      </c>
      <c r="S2850" s="11" t="s">
        <v>17257</v>
      </c>
      <c r="T2850" s="6"/>
      <c r="U2850" s="24" t="str">
        <f>HYPERLINK("https://media.infra-m.ru/2001/2001665/cover/2001665.jpg", "Обложка")</f>
        <v>Обложка</v>
      </c>
      <c r="V2850" s="24" t="str">
        <f>HYPERLINK("https://znanium.ru/catalog/product/2001665", "Ознакомиться")</f>
        <v>Ознакомиться</v>
      </c>
      <c r="W2850" s="8" t="s">
        <v>46</v>
      </c>
      <c r="X2850" s="6"/>
      <c r="Y2850" s="6"/>
      <c r="Z2850" s="6"/>
      <c r="AA2850" s="6" t="s">
        <v>513</v>
      </c>
      <c r="AB2850" s="8"/>
    </row>
    <row r="2851" spans="1:28" s="4" customFormat="1" ht="51.95" customHeight="1">
      <c r="A2851" s="5">
        <v>0</v>
      </c>
      <c r="B2851" s="6" t="s">
        <v>17258</v>
      </c>
      <c r="C2851" s="13">
        <v>2480</v>
      </c>
      <c r="D2851" s="8" t="s">
        <v>17259</v>
      </c>
      <c r="E2851" s="8" t="s">
        <v>17260</v>
      </c>
      <c r="F2851" s="8" t="s">
        <v>17261</v>
      </c>
      <c r="G2851" s="6" t="s">
        <v>52</v>
      </c>
      <c r="H2851" s="6" t="s">
        <v>53</v>
      </c>
      <c r="I2851" s="8" t="s">
        <v>116</v>
      </c>
      <c r="J2851" s="9">
        <v>1</v>
      </c>
      <c r="K2851" s="9">
        <v>496</v>
      </c>
      <c r="L2851" s="9">
        <v>2025</v>
      </c>
      <c r="M2851" s="8" t="s">
        <v>17262</v>
      </c>
      <c r="N2851" s="8" t="s">
        <v>56</v>
      </c>
      <c r="O2851" s="8" t="s">
        <v>741</v>
      </c>
      <c r="P2851" s="6" t="s">
        <v>43</v>
      </c>
      <c r="Q2851" s="8" t="s">
        <v>44</v>
      </c>
      <c r="R2851" s="10" t="s">
        <v>17263</v>
      </c>
      <c r="S2851" s="11" t="s">
        <v>17264</v>
      </c>
      <c r="T2851" s="6"/>
      <c r="U2851" s="24" t="str">
        <f>HYPERLINK("https://media.infra-m.ru/2160/2160232/cover/2160232.jpg", "Обложка")</f>
        <v>Обложка</v>
      </c>
      <c r="V2851" s="24" t="str">
        <f>HYPERLINK("https://znanium.ru/catalog/product/2160232", "Ознакомиться")</f>
        <v>Ознакомиться</v>
      </c>
      <c r="W2851" s="8" t="s">
        <v>6117</v>
      </c>
      <c r="X2851" s="6"/>
      <c r="Y2851" s="6"/>
      <c r="Z2851" s="6"/>
      <c r="AA2851" s="6" t="s">
        <v>196</v>
      </c>
      <c r="AB2851" s="8"/>
    </row>
    <row r="2852" spans="1:28" s="4" customFormat="1" ht="51.95" customHeight="1">
      <c r="A2852" s="5">
        <v>0</v>
      </c>
      <c r="B2852" s="6" t="s">
        <v>17265</v>
      </c>
      <c r="C2852" s="13">
        <v>1120</v>
      </c>
      <c r="D2852" s="8" t="s">
        <v>17266</v>
      </c>
      <c r="E2852" s="8" t="s">
        <v>17267</v>
      </c>
      <c r="F2852" s="8" t="s">
        <v>17268</v>
      </c>
      <c r="G2852" s="6" t="s">
        <v>89</v>
      </c>
      <c r="H2852" s="6" t="s">
        <v>53</v>
      </c>
      <c r="I2852" s="8" t="s">
        <v>116</v>
      </c>
      <c r="J2852" s="9">
        <v>1</v>
      </c>
      <c r="K2852" s="9">
        <v>236</v>
      </c>
      <c r="L2852" s="9">
        <v>2024</v>
      </c>
      <c r="M2852" s="8" t="s">
        <v>17269</v>
      </c>
      <c r="N2852" s="8" t="s">
        <v>41</v>
      </c>
      <c r="O2852" s="8" t="s">
        <v>1204</v>
      </c>
      <c r="P2852" s="6" t="s">
        <v>43</v>
      </c>
      <c r="Q2852" s="8" t="s">
        <v>44</v>
      </c>
      <c r="R2852" s="10" t="s">
        <v>17270</v>
      </c>
      <c r="S2852" s="11" t="s">
        <v>17271</v>
      </c>
      <c r="T2852" s="6"/>
      <c r="U2852" s="24" t="str">
        <f>HYPERLINK("https://media.infra-m.ru/2132/2132998/cover/2132998.jpg", "Обложка")</f>
        <v>Обложка</v>
      </c>
      <c r="V2852" s="24" t="str">
        <f>HYPERLINK("https://znanium.ru/catalog/product/2132998", "Ознакомиться")</f>
        <v>Ознакомиться</v>
      </c>
      <c r="W2852" s="8" t="s">
        <v>1076</v>
      </c>
      <c r="X2852" s="6"/>
      <c r="Y2852" s="6"/>
      <c r="Z2852" s="6"/>
      <c r="AA2852" s="6" t="s">
        <v>11034</v>
      </c>
      <c r="AB2852" s="8"/>
    </row>
    <row r="2853" spans="1:28" s="4" customFormat="1" ht="51.95" customHeight="1">
      <c r="A2853" s="5">
        <v>0</v>
      </c>
      <c r="B2853" s="6" t="s">
        <v>17272</v>
      </c>
      <c r="C2853" s="13">
        <v>2900</v>
      </c>
      <c r="D2853" s="8" t="s">
        <v>17273</v>
      </c>
      <c r="E2853" s="8" t="s">
        <v>17274</v>
      </c>
      <c r="F2853" s="8" t="s">
        <v>17275</v>
      </c>
      <c r="G2853" s="6" t="s">
        <v>89</v>
      </c>
      <c r="H2853" s="6" t="s">
        <v>53</v>
      </c>
      <c r="I2853" s="8" t="s">
        <v>116</v>
      </c>
      <c r="J2853" s="9">
        <v>1</v>
      </c>
      <c r="K2853" s="9">
        <v>654</v>
      </c>
      <c r="L2853" s="9">
        <v>2023</v>
      </c>
      <c r="M2853" s="8" t="s">
        <v>17276</v>
      </c>
      <c r="N2853" s="8" t="s">
        <v>41</v>
      </c>
      <c r="O2853" s="8" t="s">
        <v>1204</v>
      </c>
      <c r="P2853" s="6" t="s">
        <v>43</v>
      </c>
      <c r="Q2853" s="8" t="s">
        <v>44</v>
      </c>
      <c r="R2853" s="10" t="s">
        <v>17277</v>
      </c>
      <c r="S2853" s="11" t="s">
        <v>17278</v>
      </c>
      <c r="T2853" s="6"/>
      <c r="U2853" s="24" t="str">
        <f>HYPERLINK("https://media.infra-m.ru/1987/1987577/cover/1987577.jpg", "Обложка")</f>
        <v>Обложка</v>
      </c>
      <c r="V2853" s="24" t="str">
        <f>HYPERLINK("https://znanium.ru/catalog/product/1987577", "Ознакомиться")</f>
        <v>Ознакомиться</v>
      </c>
      <c r="W2853" s="8" t="s">
        <v>347</v>
      </c>
      <c r="X2853" s="6"/>
      <c r="Y2853" s="6"/>
      <c r="Z2853" s="6"/>
      <c r="AA2853" s="6" t="s">
        <v>7927</v>
      </c>
      <c r="AB2853" s="8"/>
    </row>
    <row r="2854" spans="1:28" s="4" customFormat="1" ht="42" customHeight="1">
      <c r="A2854" s="5">
        <v>0</v>
      </c>
      <c r="B2854" s="6" t="s">
        <v>17279</v>
      </c>
      <c r="C2854" s="7">
        <v>639</v>
      </c>
      <c r="D2854" s="8" t="s">
        <v>17280</v>
      </c>
      <c r="E2854" s="8" t="s">
        <v>17281</v>
      </c>
      <c r="F2854" s="8" t="s">
        <v>17282</v>
      </c>
      <c r="G2854" s="6" t="s">
        <v>38</v>
      </c>
      <c r="H2854" s="6" t="s">
        <v>53</v>
      </c>
      <c r="I2854" s="8" t="s">
        <v>1868</v>
      </c>
      <c r="J2854" s="9">
        <v>1</v>
      </c>
      <c r="K2854" s="9">
        <v>116</v>
      </c>
      <c r="L2854" s="9">
        <v>2025</v>
      </c>
      <c r="M2854" s="8" t="s">
        <v>17283</v>
      </c>
      <c r="N2854" s="8" t="s">
        <v>41</v>
      </c>
      <c r="O2854" s="8" t="s">
        <v>129</v>
      </c>
      <c r="P2854" s="6" t="s">
        <v>43</v>
      </c>
      <c r="Q2854" s="8" t="s">
        <v>58</v>
      </c>
      <c r="R2854" s="10" t="s">
        <v>17284</v>
      </c>
      <c r="S2854" s="11"/>
      <c r="T2854" s="6"/>
      <c r="U2854" s="24" t="str">
        <f>HYPERLINK("https://media.infra-m.ru/2192/2192385/cover/2192385.jpg", "Обложка")</f>
        <v>Обложка</v>
      </c>
      <c r="V2854" s="12"/>
      <c r="W2854" s="8" t="s">
        <v>784</v>
      </c>
      <c r="X2854" s="6"/>
      <c r="Y2854" s="6"/>
      <c r="Z2854" s="6"/>
      <c r="AA2854" s="6" t="s">
        <v>442</v>
      </c>
      <c r="AB2854" s="8"/>
    </row>
    <row r="2855" spans="1:28" s="4" customFormat="1" ht="51.95" customHeight="1">
      <c r="A2855" s="5">
        <v>0</v>
      </c>
      <c r="B2855" s="6" t="s">
        <v>17285</v>
      </c>
      <c r="C2855" s="13">
        <v>1734</v>
      </c>
      <c r="D2855" s="8" t="s">
        <v>17286</v>
      </c>
      <c r="E2855" s="8" t="s">
        <v>17287</v>
      </c>
      <c r="F2855" s="8" t="s">
        <v>17288</v>
      </c>
      <c r="G2855" s="6" t="s">
        <v>89</v>
      </c>
      <c r="H2855" s="6" t="s">
        <v>53</v>
      </c>
      <c r="I2855" s="8" t="s">
        <v>1868</v>
      </c>
      <c r="J2855" s="9">
        <v>1</v>
      </c>
      <c r="K2855" s="9">
        <v>346</v>
      </c>
      <c r="L2855" s="9">
        <v>2025</v>
      </c>
      <c r="M2855" s="8" t="s">
        <v>17289</v>
      </c>
      <c r="N2855" s="8" t="s">
        <v>41</v>
      </c>
      <c r="O2855" s="8" t="s">
        <v>129</v>
      </c>
      <c r="P2855" s="6" t="s">
        <v>167</v>
      </c>
      <c r="Q2855" s="8" t="s">
        <v>58</v>
      </c>
      <c r="R2855" s="10" t="s">
        <v>17290</v>
      </c>
      <c r="S2855" s="11" t="s">
        <v>17291</v>
      </c>
      <c r="T2855" s="6"/>
      <c r="U2855" s="24" t="str">
        <f>HYPERLINK("https://media.infra-m.ru/2177/2177807/cover/2177807.jpg", "Обложка")</f>
        <v>Обложка</v>
      </c>
      <c r="V2855" s="12"/>
      <c r="W2855" s="8" t="s">
        <v>784</v>
      </c>
      <c r="X2855" s="6"/>
      <c r="Y2855" s="6"/>
      <c r="Z2855" s="6"/>
      <c r="AA2855" s="6" t="s">
        <v>1259</v>
      </c>
      <c r="AB2855" s="8"/>
    </row>
    <row r="2856" spans="1:28" s="4" customFormat="1" ht="51.95" customHeight="1">
      <c r="A2856" s="5">
        <v>0</v>
      </c>
      <c r="B2856" s="6" t="s">
        <v>17292</v>
      </c>
      <c r="C2856" s="7">
        <v>950</v>
      </c>
      <c r="D2856" s="8" t="s">
        <v>17293</v>
      </c>
      <c r="E2856" s="8" t="s">
        <v>17294</v>
      </c>
      <c r="F2856" s="8" t="s">
        <v>17295</v>
      </c>
      <c r="G2856" s="6" t="s">
        <v>89</v>
      </c>
      <c r="H2856" s="6" t="s">
        <v>53</v>
      </c>
      <c r="I2856" s="8" t="s">
        <v>90</v>
      </c>
      <c r="J2856" s="9">
        <v>1</v>
      </c>
      <c r="K2856" s="9">
        <v>210</v>
      </c>
      <c r="L2856" s="9">
        <v>2023</v>
      </c>
      <c r="M2856" s="8" t="s">
        <v>17296</v>
      </c>
      <c r="N2856" s="8" t="s">
        <v>997</v>
      </c>
      <c r="O2856" s="8" t="s">
        <v>998</v>
      </c>
      <c r="P2856" s="6" t="s">
        <v>43</v>
      </c>
      <c r="Q2856" s="8" t="s">
        <v>44</v>
      </c>
      <c r="R2856" s="10" t="s">
        <v>17297</v>
      </c>
      <c r="S2856" s="11" t="s">
        <v>17298</v>
      </c>
      <c r="T2856" s="6"/>
      <c r="U2856" s="24" t="str">
        <f>HYPERLINK("https://media.infra-m.ru/1891/1891833/cover/1891833.jpg", "Обложка")</f>
        <v>Обложка</v>
      </c>
      <c r="V2856" s="24" t="str">
        <f>HYPERLINK("https://znanium.ru/catalog/product/1891833", "Ознакомиться")</f>
        <v>Ознакомиться</v>
      </c>
      <c r="W2856" s="8" t="s">
        <v>12347</v>
      </c>
      <c r="X2856" s="6"/>
      <c r="Y2856" s="6"/>
      <c r="Z2856" s="6"/>
      <c r="AA2856" s="6" t="s">
        <v>151</v>
      </c>
      <c r="AB2856" s="8"/>
    </row>
    <row r="2857" spans="1:28" s="4" customFormat="1" ht="42" customHeight="1">
      <c r="A2857" s="5">
        <v>0</v>
      </c>
      <c r="B2857" s="6" t="s">
        <v>17299</v>
      </c>
      <c r="C2857" s="13">
        <v>1050</v>
      </c>
      <c r="D2857" s="8" t="s">
        <v>17300</v>
      </c>
      <c r="E2857" s="8" t="s">
        <v>17294</v>
      </c>
      <c r="F2857" s="8" t="s">
        <v>17295</v>
      </c>
      <c r="G2857" s="6" t="s">
        <v>89</v>
      </c>
      <c r="H2857" s="6" t="s">
        <v>53</v>
      </c>
      <c r="I2857" s="8" t="s">
        <v>100</v>
      </c>
      <c r="J2857" s="9">
        <v>1</v>
      </c>
      <c r="K2857" s="9">
        <v>210</v>
      </c>
      <c r="L2857" s="9">
        <v>2025</v>
      </c>
      <c r="M2857" s="8" t="s">
        <v>17301</v>
      </c>
      <c r="N2857" s="8" t="s">
        <v>997</v>
      </c>
      <c r="O2857" s="8" t="s">
        <v>998</v>
      </c>
      <c r="P2857" s="6" t="s">
        <v>43</v>
      </c>
      <c r="Q2857" s="8" t="s">
        <v>102</v>
      </c>
      <c r="R2857" s="10" t="s">
        <v>17137</v>
      </c>
      <c r="S2857" s="11"/>
      <c r="T2857" s="6"/>
      <c r="U2857" s="24" t="str">
        <f>HYPERLINK("https://media.infra-m.ru/2169/2169281/cover/2169281.jpg", "Обложка")</f>
        <v>Обложка</v>
      </c>
      <c r="V2857" s="24" t="str">
        <f>HYPERLINK("https://znanium.ru/catalog/product/2169281", "Ознакомиться")</f>
        <v>Ознакомиться</v>
      </c>
      <c r="W2857" s="8" t="s">
        <v>12347</v>
      </c>
      <c r="X2857" s="6" t="s">
        <v>785</v>
      </c>
      <c r="Y2857" s="6"/>
      <c r="Z2857" s="6" t="s">
        <v>104</v>
      </c>
      <c r="AA2857" s="6" t="s">
        <v>61</v>
      </c>
      <c r="AB2857" s="8"/>
    </row>
    <row r="2858" spans="1:28" s="4" customFormat="1" ht="51.95" customHeight="1">
      <c r="A2858" s="5">
        <v>0</v>
      </c>
      <c r="B2858" s="6" t="s">
        <v>17302</v>
      </c>
      <c r="C2858" s="13">
        <v>2630</v>
      </c>
      <c r="D2858" s="8" t="s">
        <v>17303</v>
      </c>
      <c r="E2858" s="8" t="s">
        <v>17304</v>
      </c>
      <c r="F2858" s="8" t="s">
        <v>9183</v>
      </c>
      <c r="G2858" s="6" t="s">
        <v>52</v>
      </c>
      <c r="H2858" s="6" t="s">
        <v>674</v>
      </c>
      <c r="I2858" s="8"/>
      <c r="J2858" s="9">
        <v>1</v>
      </c>
      <c r="K2858" s="9">
        <v>560</v>
      </c>
      <c r="L2858" s="9">
        <v>2024</v>
      </c>
      <c r="M2858" s="8" t="s">
        <v>17305</v>
      </c>
      <c r="N2858" s="8" t="s">
        <v>41</v>
      </c>
      <c r="O2858" s="8" t="s">
        <v>676</v>
      </c>
      <c r="P2858" s="6" t="s">
        <v>167</v>
      </c>
      <c r="Q2858" s="8" t="s">
        <v>44</v>
      </c>
      <c r="R2858" s="10" t="s">
        <v>7216</v>
      </c>
      <c r="S2858" s="11" t="s">
        <v>4821</v>
      </c>
      <c r="T2858" s="6"/>
      <c r="U2858" s="24" t="str">
        <f>HYPERLINK("https://media.infra-m.ru/2143/2143305/cover/2143305.jpg", "Обложка")</f>
        <v>Обложка</v>
      </c>
      <c r="V2858" s="24" t="str">
        <f>HYPERLINK("https://znanium.ru/catalog/product/2143305", "Ознакомиться")</f>
        <v>Ознакомиться</v>
      </c>
      <c r="W2858" s="8" t="s">
        <v>678</v>
      </c>
      <c r="X2858" s="6"/>
      <c r="Y2858" s="6"/>
      <c r="Z2858" s="6"/>
      <c r="AA2858" s="6" t="s">
        <v>12601</v>
      </c>
      <c r="AB2858" s="8"/>
    </row>
    <row r="2859" spans="1:28" s="4" customFormat="1" ht="42" customHeight="1">
      <c r="A2859" s="5">
        <v>0</v>
      </c>
      <c r="B2859" s="6" t="s">
        <v>17306</v>
      </c>
      <c r="C2859" s="13">
        <v>4197</v>
      </c>
      <c r="D2859" s="8" t="s">
        <v>17307</v>
      </c>
      <c r="E2859" s="8" t="s">
        <v>17308</v>
      </c>
      <c r="F2859" s="8" t="s">
        <v>17309</v>
      </c>
      <c r="G2859" s="6" t="s">
        <v>52</v>
      </c>
      <c r="H2859" s="6" t="s">
        <v>952</v>
      </c>
      <c r="I2859" s="8"/>
      <c r="J2859" s="9">
        <v>1</v>
      </c>
      <c r="K2859" s="9">
        <v>784</v>
      </c>
      <c r="L2859" s="9">
        <v>2023</v>
      </c>
      <c r="M2859" s="8" t="s">
        <v>17310</v>
      </c>
      <c r="N2859" s="8" t="s">
        <v>41</v>
      </c>
      <c r="O2859" s="8" t="s">
        <v>1007</v>
      </c>
      <c r="P2859" s="6" t="s">
        <v>167</v>
      </c>
      <c r="Q2859" s="8" t="s">
        <v>44</v>
      </c>
      <c r="R2859" s="10" t="s">
        <v>1008</v>
      </c>
      <c r="S2859" s="11"/>
      <c r="T2859" s="6"/>
      <c r="U2859" s="24" t="str">
        <f>HYPERLINK("https://media.infra-m.ru/1862/1862617/cover/1862617.jpg", "Обложка")</f>
        <v>Обложка</v>
      </c>
      <c r="V2859" s="12"/>
      <c r="W2859" s="8" t="s">
        <v>4293</v>
      </c>
      <c r="X2859" s="6"/>
      <c r="Y2859" s="6"/>
      <c r="Z2859" s="6"/>
      <c r="AA2859" s="6" t="s">
        <v>442</v>
      </c>
      <c r="AB2859" s="8"/>
    </row>
    <row r="2860" spans="1:28" s="4" customFormat="1" ht="51.95" customHeight="1">
      <c r="A2860" s="5">
        <v>0</v>
      </c>
      <c r="B2860" s="6" t="s">
        <v>17311</v>
      </c>
      <c r="C2860" s="13">
        <v>1044</v>
      </c>
      <c r="D2860" s="8" t="s">
        <v>17312</v>
      </c>
      <c r="E2860" s="8" t="s">
        <v>17313</v>
      </c>
      <c r="F2860" s="8" t="s">
        <v>17314</v>
      </c>
      <c r="G2860" s="6" t="s">
        <v>52</v>
      </c>
      <c r="H2860" s="6" t="s">
        <v>649</v>
      </c>
      <c r="I2860" s="8" t="s">
        <v>185</v>
      </c>
      <c r="J2860" s="9">
        <v>1</v>
      </c>
      <c r="K2860" s="9">
        <v>208</v>
      </c>
      <c r="L2860" s="9">
        <v>2025</v>
      </c>
      <c r="M2860" s="8" t="s">
        <v>17315</v>
      </c>
      <c r="N2860" s="8" t="s">
        <v>41</v>
      </c>
      <c r="O2860" s="8" t="s">
        <v>6182</v>
      </c>
      <c r="P2860" s="6" t="s">
        <v>43</v>
      </c>
      <c r="Q2860" s="8" t="s">
        <v>102</v>
      </c>
      <c r="R2860" s="10" t="s">
        <v>13398</v>
      </c>
      <c r="S2860" s="11" t="s">
        <v>3086</v>
      </c>
      <c r="T2860" s="6"/>
      <c r="U2860" s="24" t="str">
        <f>HYPERLINK("https://media.infra-m.ru/2160/2160898/cover/2160898.jpg", "Обложка")</f>
        <v>Обложка</v>
      </c>
      <c r="V2860" s="24" t="str">
        <f>HYPERLINK("https://znanium.ru/catalog/product/1209775", "Ознакомиться")</f>
        <v>Ознакомиться</v>
      </c>
      <c r="W2860" s="8" t="s">
        <v>6204</v>
      </c>
      <c r="X2860" s="6"/>
      <c r="Y2860" s="6"/>
      <c r="Z2860" s="6"/>
      <c r="AA2860" s="6" t="s">
        <v>555</v>
      </c>
      <c r="AB2860" s="8"/>
    </row>
    <row r="2861" spans="1:28" s="4" customFormat="1" ht="51.95" customHeight="1">
      <c r="A2861" s="5">
        <v>0</v>
      </c>
      <c r="B2861" s="6" t="s">
        <v>17316</v>
      </c>
      <c r="C2861" s="13">
        <v>2794</v>
      </c>
      <c r="D2861" s="8" t="s">
        <v>17317</v>
      </c>
      <c r="E2861" s="8" t="s">
        <v>17318</v>
      </c>
      <c r="F2861" s="8" t="s">
        <v>17319</v>
      </c>
      <c r="G2861" s="6" t="s">
        <v>52</v>
      </c>
      <c r="H2861" s="6" t="s">
        <v>952</v>
      </c>
      <c r="I2861" s="8"/>
      <c r="J2861" s="9">
        <v>1</v>
      </c>
      <c r="K2861" s="9">
        <v>608</v>
      </c>
      <c r="L2861" s="9">
        <v>2024</v>
      </c>
      <c r="M2861" s="8" t="s">
        <v>17320</v>
      </c>
      <c r="N2861" s="8" t="s">
        <v>41</v>
      </c>
      <c r="O2861" s="8" t="s">
        <v>6182</v>
      </c>
      <c r="P2861" s="6" t="s">
        <v>167</v>
      </c>
      <c r="Q2861" s="8" t="s">
        <v>44</v>
      </c>
      <c r="R2861" s="10" t="s">
        <v>17321</v>
      </c>
      <c r="S2861" s="11" t="s">
        <v>17322</v>
      </c>
      <c r="T2861" s="6"/>
      <c r="U2861" s="24" t="str">
        <f>HYPERLINK("https://media.infra-m.ru/2056/2056632/cover/2056632.jpg", "Обложка")</f>
        <v>Обложка</v>
      </c>
      <c r="V2861" s="24" t="str">
        <f>HYPERLINK("https://znanium.ru/catalog/product/1832361", "Ознакомиться")</f>
        <v>Ознакомиться</v>
      </c>
      <c r="W2861" s="8" t="s">
        <v>3426</v>
      </c>
      <c r="X2861" s="6"/>
      <c r="Y2861" s="6"/>
      <c r="Z2861" s="6"/>
      <c r="AA2861" s="6" t="s">
        <v>4236</v>
      </c>
      <c r="AB2861" s="8"/>
    </row>
    <row r="2862" spans="1:28" s="4" customFormat="1" ht="51.95" customHeight="1">
      <c r="A2862" s="5">
        <v>0</v>
      </c>
      <c r="B2862" s="6" t="s">
        <v>17323</v>
      </c>
      <c r="C2862" s="13">
        <v>1427</v>
      </c>
      <c r="D2862" s="8" t="s">
        <v>17324</v>
      </c>
      <c r="E2862" s="8" t="s">
        <v>17313</v>
      </c>
      <c r="F2862" s="8" t="s">
        <v>17314</v>
      </c>
      <c r="G2862" s="6" t="s">
        <v>52</v>
      </c>
      <c r="H2862" s="6" t="s">
        <v>77</v>
      </c>
      <c r="I2862" s="8"/>
      <c r="J2862" s="9">
        <v>1</v>
      </c>
      <c r="K2862" s="9">
        <v>219</v>
      </c>
      <c r="L2862" s="9">
        <v>2025</v>
      </c>
      <c r="M2862" s="8" t="s">
        <v>17325</v>
      </c>
      <c r="N2862" s="8" t="s">
        <v>41</v>
      </c>
      <c r="O2862" s="8" t="s">
        <v>6182</v>
      </c>
      <c r="P2862" s="6" t="s">
        <v>43</v>
      </c>
      <c r="Q2862" s="8" t="s">
        <v>44</v>
      </c>
      <c r="R2862" s="10" t="s">
        <v>3481</v>
      </c>
      <c r="S2862" s="11" t="s">
        <v>17326</v>
      </c>
      <c r="T2862" s="6"/>
      <c r="U2862" s="24" t="str">
        <f>HYPERLINK("https://media.infra-m.ru/2188/2188702/cover/2188702.jpg", "Обложка")</f>
        <v>Обложка</v>
      </c>
      <c r="V2862" s="24" t="str">
        <f>HYPERLINK("https://znanium.ru/catalog/product/1836619", "Ознакомиться")</f>
        <v>Ознакомиться</v>
      </c>
      <c r="W2862" s="8" t="s">
        <v>6204</v>
      </c>
      <c r="X2862" s="6"/>
      <c r="Y2862" s="6"/>
      <c r="Z2862" s="6"/>
      <c r="AA2862" s="6" t="s">
        <v>2217</v>
      </c>
      <c r="AB2862" s="8"/>
    </row>
    <row r="2863" spans="1:28" s="4" customFormat="1" ht="51.95" customHeight="1">
      <c r="A2863" s="5">
        <v>0</v>
      </c>
      <c r="B2863" s="6" t="s">
        <v>17327</v>
      </c>
      <c r="C2863" s="13">
        <v>1680</v>
      </c>
      <c r="D2863" s="8" t="s">
        <v>17328</v>
      </c>
      <c r="E2863" s="8" t="s">
        <v>17329</v>
      </c>
      <c r="F2863" s="8" t="s">
        <v>17330</v>
      </c>
      <c r="G2863" s="6" t="s">
        <v>38</v>
      </c>
      <c r="H2863" s="6" t="s">
        <v>53</v>
      </c>
      <c r="I2863" s="8" t="s">
        <v>100</v>
      </c>
      <c r="J2863" s="9">
        <v>1</v>
      </c>
      <c r="K2863" s="9">
        <v>336</v>
      </c>
      <c r="L2863" s="9">
        <v>2025</v>
      </c>
      <c r="M2863" s="8" t="s">
        <v>17331</v>
      </c>
      <c r="N2863" s="8" t="s">
        <v>79</v>
      </c>
      <c r="O2863" s="8" t="s">
        <v>424</v>
      </c>
      <c r="P2863" s="6" t="s">
        <v>167</v>
      </c>
      <c r="Q2863" s="8" t="s">
        <v>102</v>
      </c>
      <c r="R2863" s="10" t="s">
        <v>17332</v>
      </c>
      <c r="S2863" s="11" t="s">
        <v>17333</v>
      </c>
      <c r="T2863" s="6"/>
      <c r="U2863" s="24" t="str">
        <f>HYPERLINK("https://media.infra-m.ru/2184/2184875/cover/2184875.jpg", "Обложка")</f>
        <v>Обложка</v>
      </c>
      <c r="V2863" s="24" t="str">
        <f>HYPERLINK("https://znanium.ru/catalog/product/2184875", "Ознакомиться")</f>
        <v>Ознакомиться</v>
      </c>
      <c r="W2863" s="8" t="s">
        <v>10326</v>
      </c>
      <c r="X2863" s="6"/>
      <c r="Y2863" s="6"/>
      <c r="Z2863" s="6"/>
      <c r="AA2863" s="6" t="s">
        <v>614</v>
      </c>
      <c r="AB2863" s="8"/>
    </row>
    <row r="2864" spans="1:28" s="4" customFormat="1" ht="51.95" customHeight="1">
      <c r="A2864" s="5">
        <v>0</v>
      </c>
      <c r="B2864" s="6" t="s">
        <v>17334</v>
      </c>
      <c r="C2864" s="13">
        <v>1470</v>
      </c>
      <c r="D2864" s="8" t="s">
        <v>17335</v>
      </c>
      <c r="E2864" s="8" t="s">
        <v>17336</v>
      </c>
      <c r="F2864" s="8" t="s">
        <v>17337</v>
      </c>
      <c r="G2864" s="6" t="s">
        <v>89</v>
      </c>
      <c r="H2864" s="6" t="s">
        <v>53</v>
      </c>
      <c r="I2864" s="8" t="s">
        <v>90</v>
      </c>
      <c r="J2864" s="9">
        <v>1</v>
      </c>
      <c r="K2864" s="9">
        <v>319</v>
      </c>
      <c r="L2864" s="9">
        <v>2023</v>
      </c>
      <c r="M2864" s="8" t="s">
        <v>17338</v>
      </c>
      <c r="N2864" s="8" t="s">
        <v>413</v>
      </c>
      <c r="O2864" s="8" t="s">
        <v>1141</v>
      </c>
      <c r="P2864" s="6" t="s">
        <v>43</v>
      </c>
      <c r="Q2864" s="8" t="s">
        <v>44</v>
      </c>
      <c r="R2864" s="10" t="s">
        <v>17339</v>
      </c>
      <c r="S2864" s="11" t="s">
        <v>17340</v>
      </c>
      <c r="T2864" s="6"/>
      <c r="U2864" s="24" t="str">
        <f>HYPERLINK("https://media.infra-m.ru/2126/2126629/cover/2126629.jpg", "Обложка")</f>
        <v>Обложка</v>
      </c>
      <c r="V2864" s="24" t="str">
        <f>HYPERLINK("https://znanium.ru/catalog/product/2126629", "Ознакомиться")</f>
        <v>Ознакомиться</v>
      </c>
      <c r="W2864" s="8" t="s">
        <v>2351</v>
      </c>
      <c r="X2864" s="6"/>
      <c r="Y2864" s="6"/>
      <c r="Z2864" s="6"/>
      <c r="AA2864" s="6" t="s">
        <v>151</v>
      </c>
      <c r="AB2864" s="8"/>
    </row>
    <row r="2865" spans="1:28" s="4" customFormat="1" ht="51.95" customHeight="1">
      <c r="A2865" s="5">
        <v>0</v>
      </c>
      <c r="B2865" s="6" t="s">
        <v>17341</v>
      </c>
      <c r="C2865" s="7">
        <v>694</v>
      </c>
      <c r="D2865" s="8" t="s">
        <v>17342</v>
      </c>
      <c r="E2865" s="8" t="s">
        <v>17343</v>
      </c>
      <c r="F2865" s="8" t="s">
        <v>17344</v>
      </c>
      <c r="G2865" s="6" t="s">
        <v>89</v>
      </c>
      <c r="H2865" s="6" t="s">
        <v>53</v>
      </c>
      <c r="I2865" s="8" t="s">
        <v>116</v>
      </c>
      <c r="J2865" s="9">
        <v>1</v>
      </c>
      <c r="K2865" s="9">
        <v>131</v>
      </c>
      <c r="L2865" s="9">
        <v>2025</v>
      </c>
      <c r="M2865" s="8" t="s">
        <v>17345</v>
      </c>
      <c r="N2865" s="8" t="s">
        <v>79</v>
      </c>
      <c r="O2865" s="8" t="s">
        <v>174</v>
      </c>
      <c r="P2865" s="6" t="s">
        <v>175</v>
      </c>
      <c r="Q2865" s="8" t="s">
        <v>214</v>
      </c>
      <c r="R2865" s="10" t="s">
        <v>17346</v>
      </c>
      <c r="S2865" s="11" t="s">
        <v>17347</v>
      </c>
      <c r="T2865" s="6"/>
      <c r="U2865" s="24" t="str">
        <f>HYPERLINK("https://media.infra-m.ru/2201/2201823/cover/2201823.jpg", "Обложка")</f>
        <v>Обложка</v>
      </c>
      <c r="V2865" s="24" t="str">
        <f>HYPERLINK("https://znanium.ru/catalog/product/2164372", "Ознакомиться")</f>
        <v>Ознакомиться</v>
      </c>
      <c r="W2865" s="8" t="s">
        <v>5284</v>
      </c>
      <c r="X2865" s="6"/>
      <c r="Y2865" s="6"/>
      <c r="Z2865" s="6"/>
      <c r="AA2865" s="6" t="s">
        <v>1374</v>
      </c>
      <c r="AB2865" s="8"/>
    </row>
    <row r="2866" spans="1:28" s="4" customFormat="1" ht="44.1" customHeight="1">
      <c r="A2866" s="5">
        <v>0</v>
      </c>
      <c r="B2866" s="6" t="s">
        <v>17348</v>
      </c>
      <c r="C2866" s="7">
        <v>444</v>
      </c>
      <c r="D2866" s="8" t="s">
        <v>17349</v>
      </c>
      <c r="E2866" s="8" t="s">
        <v>17350</v>
      </c>
      <c r="F2866" s="8" t="s">
        <v>17351</v>
      </c>
      <c r="G2866" s="6" t="s">
        <v>38</v>
      </c>
      <c r="H2866" s="6" t="s">
        <v>53</v>
      </c>
      <c r="I2866" s="8" t="s">
        <v>1325</v>
      </c>
      <c r="J2866" s="9">
        <v>1</v>
      </c>
      <c r="K2866" s="9">
        <v>80</v>
      </c>
      <c r="L2866" s="9">
        <v>2025</v>
      </c>
      <c r="M2866" s="8" t="s">
        <v>17352</v>
      </c>
      <c r="N2866" s="8" t="s">
        <v>79</v>
      </c>
      <c r="O2866" s="8" t="s">
        <v>537</v>
      </c>
      <c r="P2866" s="6" t="s">
        <v>43</v>
      </c>
      <c r="Q2866" s="8" t="s">
        <v>44</v>
      </c>
      <c r="R2866" s="10" t="s">
        <v>17353</v>
      </c>
      <c r="S2866" s="11"/>
      <c r="T2866" s="6"/>
      <c r="U2866" s="24" t="str">
        <f>HYPERLINK("https://media.infra-m.ru/2163/2163181/cover/2163181.jpg", "Обложка")</f>
        <v>Обложка</v>
      </c>
      <c r="V2866" s="24" t="str">
        <f>HYPERLINK("https://znanium.ru/catalog/product/1150291", "Ознакомиться")</f>
        <v>Ознакомиться</v>
      </c>
      <c r="W2866" s="8" t="s">
        <v>1329</v>
      </c>
      <c r="X2866" s="6"/>
      <c r="Y2866" s="6"/>
      <c r="Z2866" s="6"/>
      <c r="AA2866" s="6" t="s">
        <v>258</v>
      </c>
      <c r="AB2866" s="8"/>
    </row>
    <row r="2867" spans="1:28" s="4" customFormat="1" ht="51.95" customHeight="1">
      <c r="A2867" s="5">
        <v>0</v>
      </c>
      <c r="B2867" s="6" t="s">
        <v>17354</v>
      </c>
      <c r="C2867" s="13">
        <v>1060</v>
      </c>
      <c r="D2867" s="8" t="s">
        <v>17355</v>
      </c>
      <c r="E2867" s="8" t="s">
        <v>17356</v>
      </c>
      <c r="F2867" s="8" t="s">
        <v>17357</v>
      </c>
      <c r="G2867" s="6" t="s">
        <v>89</v>
      </c>
      <c r="H2867" s="6" t="s">
        <v>53</v>
      </c>
      <c r="I2867" s="8" t="s">
        <v>116</v>
      </c>
      <c r="J2867" s="9">
        <v>1</v>
      </c>
      <c r="K2867" s="9">
        <v>210</v>
      </c>
      <c r="L2867" s="9">
        <v>2025</v>
      </c>
      <c r="M2867" s="8" t="s">
        <v>17358</v>
      </c>
      <c r="N2867" s="8" t="s">
        <v>79</v>
      </c>
      <c r="O2867" s="8" t="s">
        <v>396</v>
      </c>
      <c r="P2867" s="6" t="s">
        <v>43</v>
      </c>
      <c r="Q2867" s="8" t="s">
        <v>44</v>
      </c>
      <c r="R2867" s="10" t="s">
        <v>17359</v>
      </c>
      <c r="S2867" s="11" t="s">
        <v>17360</v>
      </c>
      <c r="T2867" s="6"/>
      <c r="U2867" s="24" t="str">
        <f>HYPERLINK("https://media.infra-m.ru/2168/2168866/cover/2168866.jpg", "Обложка")</f>
        <v>Обложка</v>
      </c>
      <c r="V2867" s="24" t="str">
        <f>HYPERLINK("https://znanium.ru/catalog/product/2168866", "Ознакомиться")</f>
        <v>Ознакомиться</v>
      </c>
      <c r="W2867" s="8" t="s">
        <v>1571</v>
      </c>
      <c r="X2867" s="6"/>
      <c r="Y2867" s="6"/>
      <c r="Z2867" s="6"/>
      <c r="AA2867" s="6" t="s">
        <v>1259</v>
      </c>
      <c r="AB2867" s="8"/>
    </row>
    <row r="2868" spans="1:28" s="4" customFormat="1" ht="51.95" customHeight="1">
      <c r="A2868" s="5">
        <v>0</v>
      </c>
      <c r="B2868" s="6" t="s">
        <v>17361</v>
      </c>
      <c r="C2868" s="7">
        <v>984.9</v>
      </c>
      <c r="D2868" s="8" t="s">
        <v>17362</v>
      </c>
      <c r="E2868" s="8" t="s">
        <v>17363</v>
      </c>
      <c r="F2868" s="8" t="s">
        <v>17364</v>
      </c>
      <c r="G2868" s="6" t="s">
        <v>52</v>
      </c>
      <c r="H2868" s="6" t="s">
        <v>53</v>
      </c>
      <c r="I2868" s="8" t="s">
        <v>90</v>
      </c>
      <c r="J2868" s="9">
        <v>1</v>
      </c>
      <c r="K2868" s="9">
        <v>447</v>
      </c>
      <c r="L2868" s="9">
        <v>2017</v>
      </c>
      <c r="M2868" s="8" t="s">
        <v>17365</v>
      </c>
      <c r="N2868" s="8" t="s">
        <v>413</v>
      </c>
      <c r="O2868" s="8" t="s">
        <v>1528</v>
      </c>
      <c r="P2868" s="6" t="s">
        <v>43</v>
      </c>
      <c r="Q2868" s="8" t="s">
        <v>44</v>
      </c>
      <c r="R2868" s="10" t="s">
        <v>17359</v>
      </c>
      <c r="S2868" s="11" t="s">
        <v>17366</v>
      </c>
      <c r="T2868" s="6"/>
      <c r="U2868" s="24" t="str">
        <f>HYPERLINK("https://media.infra-m.ru/0560/0560491/cover/560491.jpg", "Обложка")</f>
        <v>Обложка</v>
      </c>
      <c r="V2868" s="24" t="str">
        <f>HYPERLINK("https://znanium.ru/catalog/product/2168866", "Ознакомиться")</f>
        <v>Ознакомиться</v>
      </c>
      <c r="W2868" s="8" t="s">
        <v>17367</v>
      </c>
      <c r="X2868" s="6"/>
      <c r="Y2868" s="6"/>
      <c r="Z2868" s="6"/>
      <c r="AA2868" s="6" t="s">
        <v>111</v>
      </c>
      <c r="AB2868" s="8"/>
    </row>
    <row r="2869" spans="1:28" s="4" customFormat="1" ht="51.95" customHeight="1">
      <c r="A2869" s="5">
        <v>0</v>
      </c>
      <c r="B2869" s="6" t="s">
        <v>17368</v>
      </c>
      <c r="C2869" s="7">
        <v>830</v>
      </c>
      <c r="D2869" s="8" t="s">
        <v>17369</v>
      </c>
      <c r="E2869" s="8" t="s">
        <v>17370</v>
      </c>
      <c r="F2869" s="8" t="s">
        <v>17371</v>
      </c>
      <c r="G2869" s="6" t="s">
        <v>52</v>
      </c>
      <c r="H2869" s="6" t="s">
        <v>53</v>
      </c>
      <c r="I2869" s="8" t="s">
        <v>712</v>
      </c>
      <c r="J2869" s="9">
        <v>1</v>
      </c>
      <c r="K2869" s="9">
        <v>178</v>
      </c>
      <c r="L2869" s="9">
        <v>2024</v>
      </c>
      <c r="M2869" s="8" t="s">
        <v>17372</v>
      </c>
      <c r="N2869" s="8" t="s">
        <v>413</v>
      </c>
      <c r="O2869" s="8" t="s">
        <v>1528</v>
      </c>
      <c r="P2869" s="6" t="s">
        <v>43</v>
      </c>
      <c r="Q2869" s="8" t="s">
        <v>58</v>
      </c>
      <c r="R2869" s="10" t="s">
        <v>17373</v>
      </c>
      <c r="S2869" s="11" t="s">
        <v>17374</v>
      </c>
      <c r="T2869" s="6"/>
      <c r="U2869" s="24" t="str">
        <f>HYPERLINK("https://media.infra-m.ru/2083/2083699/cover/2083699.jpg", "Обложка")</f>
        <v>Обложка</v>
      </c>
      <c r="V2869" s="24" t="str">
        <f>HYPERLINK("https://znanium.ru/catalog/product/2083699", "Ознакомиться")</f>
        <v>Ознакомиться</v>
      </c>
      <c r="W2869" s="8" t="s">
        <v>716</v>
      </c>
      <c r="X2869" s="6"/>
      <c r="Y2869" s="6"/>
      <c r="Z2869" s="6"/>
      <c r="AA2869" s="6" t="s">
        <v>133</v>
      </c>
      <c r="AB2869" s="8"/>
    </row>
    <row r="2870" spans="1:28" s="4" customFormat="1" ht="44.1" customHeight="1">
      <c r="A2870" s="5">
        <v>0</v>
      </c>
      <c r="B2870" s="6" t="s">
        <v>17375</v>
      </c>
      <c r="C2870" s="13">
        <v>1060</v>
      </c>
      <c r="D2870" s="8" t="s">
        <v>17376</v>
      </c>
      <c r="E2870" s="8" t="s">
        <v>17377</v>
      </c>
      <c r="F2870" s="8" t="s">
        <v>17378</v>
      </c>
      <c r="G2870" s="6" t="s">
        <v>89</v>
      </c>
      <c r="H2870" s="6" t="s">
        <v>53</v>
      </c>
      <c r="I2870" s="8" t="s">
        <v>5280</v>
      </c>
      <c r="J2870" s="9">
        <v>1</v>
      </c>
      <c r="K2870" s="9">
        <v>196</v>
      </c>
      <c r="L2870" s="9">
        <v>2024</v>
      </c>
      <c r="M2870" s="8" t="s">
        <v>17379</v>
      </c>
      <c r="N2870" s="8" t="s">
        <v>79</v>
      </c>
      <c r="O2870" s="8" t="s">
        <v>174</v>
      </c>
      <c r="P2870" s="6" t="s">
        <v>43</v>
      </c>
      <c r="Q2870" s="8" t="s">
        <v>214</v>
      </c>
      <c r="R2870" s="10" t="s">
        <v>9952</v>
      </c>
      <c r="S2870" s="11"/>
      <c r="T2870" s="6"/>
      <c r="U2870" s="24" t="str">
        <f>HYPERLINK("https://media.infra-m.ru/2128/2128581/cover/2128581.jpg", "Обложка")</f>
        <v>Обложка</v>
      </c>
      <c r="V2870" s="24" t="str">
        <f>HYPERLINK("https://znanium.ru/catalog/product/2128581", "Ознакомиться")</f>
        <v>Ознакомиться</v>
      </c>
      <c r="W2870" s="8" t="s">
        <v>5284</v>
      </c>
      <c r="X2870" s="6"/>
      <c r="Y2870" s="6"/>
      <c r="Z2870" s="6"/>
      <c r="AA2870" s="6" t="s">
        <v>207</v>
      </c>
      <c r="AB2870" s="8" t="s">
        <v>17380</v>
      </c>
    </row>
    <row r="2871" spans="1:28" s="4" customFormat="1" ht="42" customHeight="1">
      <c r="A2871" s="5">
        <v>0</v>
      </c>
      <c r="B2871" s="6" t="s">
        <v>17381</v>
      </c>
      <c r="C2871" s="7">
        <v>464.9</v>
      </c>
      <c r="D2871" s="8" t="s">
        <v>17382</v>
      </c>
      <c r="E2871" s="8" t="s">
        <v>17383</v>
      </c>
      <c r="F2871" s="8" t="s">
        <v>17384</v>
      </c>
      <c r="G2871" s="6" t="s">
        <v>38</v>
      </c>
      <c r="H2871" s="6" t="s">
        <v>184</v>
      </c>
      <c r="I2871" s="8" t="s">
        <v>3267</v>
      </c>
      <c r="J2871" s="9">
        <v>1</v>
      </c>
      <c r="K2871" s="9">
        <v>155</v>
      </c>
      <c r="L2871" s="9">
        <v>2023</v>
      </c>
      <c r="M2871" s="8" t="s">
        <v>17385</v>
      </c>
      <c r="N2871" s="8" t="s">
        <v>79</v>
      </c>
      <c r="O2871" s="8" t="s">
        <v>174</v>
      </c>
      <c r="P2871" s="6" t="s">
        <v>43</v>
      </c>
      <c r="Q2871" s="8" t="s">
        <v>214</v>
      </c>
      <c r="R2871" s="10" t="s">
        <v>1134</v>
      </c>
      <c r="S2871" s="11"/>
      <c r="T2871" s="6"/>
      <c r="U2871" s="24" t="str">
        <f>HYPERLINK("https://media.infra-m.ru/1894/1894205/cover/1894205.jpg", "Обложка")</f>
        <v>Обложка</v>
      </c>
      <c r="V2871" s="12"/>
      <c r="W2871" s="8"/>
      <c r="X2871" s="6"/>
      <c r="Y2871" s="6"/>
      <c r="Z2871" s="6"/>
      <c r="AA2871" s="6" t="s">
        <v>1135</v>
      </c>
      <c r="AB2871" s="8"/>
    </row>
    <row r="2872" spans="1:28" s="4" customFormat="1" ht="51.95" customHeight="1">
      <c r="A2872" s="5">
        <v>0</v>
      </c>
      <c r="B2872" s="6" t="s">
        <v>17386</v>
      </c>
      <c r="C2872" s="13">
        <v>1960</v>
      </c>
      <c r="D2872" s="8" t="s">
        <v>17387</v>
      </c>
      <c r="E2872" s="8" t="s">
        <v>17388</v>
      </c>
      <c r="F2872" s="8" t="s">
        <v>17389</v>
      </c>
      <c r="G2872" s="6" t="s">
        <v>52</v>
      </c>
      <c r="H2872" s="6" t="s">
        <v>53</v>
      </c>
      <c r="I2872" s="8" t="s">
        <v>90</v>
      </c>
      <c r="J2872" s="9">
        <v>1</v>
      </c>
      <c r="K2872" s="9">
        <v>424</v>
      </c>
      <c r="L2872" s="9">
        <v>2023</v>
      </c>
      <c r="M2872" s="8" t="s">
        <v>17390</v>
      </c>
      <c r="N2872" s="8" t="s">
        <v>413</v>
      </c>
      <c r="O2872" s="8" t="s">
        <v>414</v>
      </c>
      <c r="P2872" s="6" t="s">
        <v>167</v>
      </c>
      <c r="Q2872" s="8" t="s">
        <v>44</v>
      </c>
      <c r="R2872" s="10" t="s">
        <v>17391</v>
      </c>
      <c r="S2872" s="11" t="s">
        <v>17392</v>
      </c>
      <c r="T2872" s="6" t="s">
        <v>299</v>
      </c>
      <c r="U2872" s="24" t="str">
        <f>HYPERLINK("https://media.infra-m.ru/2125/2125654/cover/2125654.jpg", "Обложка")</f>
        <v>Обложка</v>
      </c>
      <c r="V2872" s="24" t="str">
        <f>HYPERLINK("https://znanium.ru/catalog/product/2125654", "Ознакомиться")</f>
        <v>Ознакомиться</v>
      </c>
      <c r="W2872" s="8"/>
      <c r="X2872" s="6"/>
      <c r="Y2872" s="6"/>
      <c r="Z2872" s="6"/>
      <c r="AA2872" s="6" t="s">
        <v>418</v>
      </c>
      <c r="AB2872" s="8"/>
    </row>
    <row r="2873" spans="1:28" s="4" customFormat="1" ht="42" customHeight="1">
      <c r="A2873" s="5">
        <v>0</v>
      </c>
      <c r="B2873" s="6" t="s">
        <v>17393</v>
      </c>
      <c r="C2873" s="13">
        <v>1494</v>
      </c>
      <c r="D2873" s="8" t="s">
        <v>17394</v>
      </c>
      <c r="E2873" s="8" t="s">
        <v>17395</v>
      </c>
      <c r="F2873" s="8" t="s">
        <v>17396</v>
      </c>
      <c r="G2873" s="6" t="s">
        <v>89</v>
      </c>
      <c r="H2873" s="6" t="s">
        <v>53</v>
      </c>
      <c r="I2873" s="8" t="s">
        <v>116</v>
      </c>
      <c r="J2873" s="9">
        <v>1</v>
      </c>
      <c r="K2873" s="9">
        <v>299</v>
      </c>
      <c r="L2873" s="9">
        <v>2025</v>
      </c>
      <c r="M2873" s="8" t="s">
        <v>17397</v>
      </c>
      <c r="N2873" s="8" t="s">
        <v>413</v>
      </c>
      <c r="O2873" s="8" t="s">
        <v>414</v>
      </c>
      <c r="P2873" s="6" t="s">
        <v>822</v>
      </c>
      <c r="Q2873" s="8" t="s">
        <v>44</v>
      </c>
      <c r="R2873" s="10" t="s">
        <v>17398</v>
      </c>
      <c r="S2873" s="11"/>
      <c r="T2873" s="6"/>
      <c r="U2873" s="24" t="str">
        <f>HYPERLINK("https://media.infra-m.ru/2178/2178852/cover/2178852.jpg", "Обложка")</f>
        <v>Обложка</v>
      </c>
      <c r="V2873" s="24" t="str">
        <f>HYPERLINK("https://znanium.ru/catalog/product/1709433", "Ознакомиться")</f>
        <v>Ознакомиться</v>
      </c>
      <c r="W2873" s="8" t="s">
        <v>9167</v>
      </c>
      <c r="X2873" s="6"/>
      <c r="Y2873" s="6"/>
      <c r="Z2873" s="6"/>
      <c r="AA2873" s="6" t="s">
        <v>7663</v>
      </c>
      <c r="AB2873" s="8"/>
    </row>
    <row r="2874" spans="1:28" s="4" customFormat="1" ht="51.95" customHeight="1">
      <c r="A2874" s="5">
        <v>0</v>
      </c>
      <c r="B2874" s="6" t="s">
        <v>17399</v>
      </c>
      <c r="C2874" s="13">
        <v>1684</v>
      </c>
      <c r="D2874" s="8" t="s">
        <v>17400</v>
      </c>
      <c r="E2874" s="8" t="s">
        <v>17401</v>
      </c>
      <c r="F2874" s="8" t="s">
        <v>609</v>
      </c>
      <c r="G2874" s="6" t="s">
        <v>89</v>
      </c>
      <c r="H2874" s="6" t="s">
        <v>39</v>
      </c>
      <c r="I2874" s="8" t="s">
        <v>100</v>
      </c>
      <c r="J2874" s="9">
        <v>1</v>
      </c>
      <c r="K2874" s="9">
        <v>336</v>
      </c>
      <c r="L2874" s="9">
        <v>2025</v>
      </c>
      <c r="M2874" s="8" t="s">
        <v>17402</v>
      </c>
      <c r="N2874" s="8" t="s">
        <v>413</v>
      </c>
      <c r="O2874" s="8" t="s">
        <v>414</v>
      </c>
      <c r="P2874" s="6" t="s">
        <v>167</v>
      </c>
      <c r="Q2874" s="8" t="s">
        <v>102</v>
      </c>
      <c r="R2874" s="10" t="s">
        <v>17403</v>
      </c>
      <c r="S2874" s="11" t="s">
        <v>12862</v>
      </c>
      <c r="T2874" s="6"/>
      <c r="U2874" s="24" t="str">
        <f>HYPERLINK("https://media.infra-m.ru/2185/2185906/cover/2185906.jpg", "Обложка")</f>
        <v>Обложка</v>
      </c>
      <c r="V2874" s="24" t="str">
        <f>HYPERLINK("https://znanium.ru/catalog/product/2039969", "Ознакомиться")</f>
        <v>Ознакомиться</v>
      </c>
      <c r="W2874" s="8" t="s">
        <v>613</v>
      </c>
      <c r="X2874" s="6"/>
      <c r="Y2874" s="6"/>
      <c r="Z2874" s="6"/>
      <c r="AA2874" s="6" t="s">
        <v>494</v>
      </c>
      <c r="AB2874" s="8"/>
    </row>
    <row r="2875" spans="1:28" s="4" customFormat="1" ht="51.95" customHeight="1">
      <c r="A2875" s="5">
        <v>0</v>
      </c>
      <c r="B2875" s="6" t="s">
        <v>17404</v>
      </c>
      <c r="C2875" s="13">
        <v>1964.9</v>
      </c>
      <c r="D2875" s="8" t="s">
        <v>17405</v>
      </c>
      <c r="E2875" s="8" t="s">
        <v>17406</v>
      </c>
      <c r="F2875" s="8" t="s">
        <v>17407</v>
      </c>
      <c r="G2875" s="6" t="s">
        <v>52</v>
      </c>
      <c r="H2875" s="6" t="s">
        <v>53</v>
      </c>
      <c r="I2875" s="8" t="s">
        <v>90</v>
      </c>
      <c r="J2875" s="9">
        <v>1</v>
      </c>
      <c r="K2875" s="9">
        <v>518</v>
      </c>
      <c r="L2875" s="9">
        <v>2022</v>
      </c>
      <c r="M2875" s="8" t="s">
        <v>17408</v>
      </c>
      <c r="N2875" s="8" t="s">
        <v>41</v>
      </c>
      <c r="O2875" s="8" t="s">
        <v>1007</v>
      </c>
      <c r="P2875" s="6" t="s">
        <v>167</v>
      </c>
      <c r="Q2875" s="8" t="s">
        <v>44</v>
      </c>
      <c r="R2875" s="10" t="s">
        <v>168</v>
      </c>
      <c r="S2875" s="11" t="s">
        <v>17409</v>
      </c>
      <c r="T2875" s="6"/>
      <c r="U2875" s="24" t="str">
        <f>HYPERLINK("https://media.infra-m.ru/1850/1850677/cover/1850677.jpg", "Обложка")</f>
        <v>Обложка</v>
      </c>
      <c r="V2875" s="24" t="str">
        <f>HYPERLINK("https://znanium.ru/catalog/product/1009020", "Ознакомиться")</f>
        <v>Ознакомиться</v>
      </c>
      <c r="W2875" s="8" t="s">
        <v>1826</v>
      </c>
      <c r="X2875" s="6"/>
      <c r="Y2875" s="6"/>
      <c r="Z2875" s="6"/>
      <c r="AA2875" s="6" t="s">
        <v>84</v>
      </c>
      <c r="AB2875" s="8"/>
    </row>
    <row r="2876" spans="1:28" s="4" customFormat="1" ht="51.95" customHeight="1">
      <c r="A2876" s="5">
        <v>0</v>
      </c>
      <c r="B2876" s="6" t="s">
        <v>17410</v>
      </c>
      <c r="C2876" s="13">
        <v>2430</v>
      </c>
      <c r="D2876" s="8" t="s">
        <v>17411</v>
      </c>
      <c r="E2876" s="8" t="s">
        <v>17412</v>
      </c>
      <c r="F2876" s="8" t="s">
        <v>17413</v>
      </c>
      <c r="G2876" s="6" t="s">
        <v>52</v>
      </c>
      <c r="H2876" s="6" t="s">
        <v>53</v>
      </c>
      <c r="I2876" s="8" t="s">
        <v>116</v>
      </c>
      <c r="J2876" s="9">
        <v>1</v>
      </c>
      <c r="K2876" s="9">
        <v>528</v>
      </c>
      <c r="L2876" s="9">
        <v>2024</v>
      </c>
      <c r="M2876" s="8" t="s">
        <v>17414</v>
      </c>
      <c r="N2876" s="8" t="s">
        <v>41</v>
      </c>
      <c r="O2876" s="8" t="s">
        <v>1007</v>
      </c>
      <c r="P2876" s="6" t="s">
        <v>167</v>
      </c>
      <c r="Q2876" s="8" t="s">
        <v>58</v>
      </c>
      <c r="R2876" s="10" t="s">
        <v>1265</v>
      </c>
      <c r="S2876" s="11" t="s">
        <v>17415</v>
      </c>
      <c r="T2876" s="6" t="s">
        <v>299</v>
      </c>
      <c r="U2876" s="24" t="str">
        <f>HYPERLINK("https://media.infra-m.ru/2073/2073343/cover/2073343.jpg", "Обложка")</f>
        <v>Обложка</v>
      </c>
      <c r="V2876" s="24" t="str">
        <f>HYPERLINK("https://znanium.ru/catalog/product/2073343", "Ознакомиться")</f>
        <v>Ознакомиться</v>
      </c>
      <c r="W2876" s="8" t="s">
        <v>5097</v>
      </c>
      <c r="X2876" s="6"/>
      <c r="Y2876" s="6"/>
      <c r="Z2876" s="6"/>
      <c r="AA2876" s="6" t="s">
        <v>17416</v>
      </c>
      <c r="AB2876" s="8"/>
    </row>
    <row r="2877" spans="1:28" s="4" customFormat="1" ht="51.95" customHeight="1">
      <c r="A2877" s="5">
        <v>0</v>
      </c>
      <c r="B2877" s="6" t="s">
        <v>17417</v>
      </c>
      <c r="C2877" s="13">
        <v>2484</v>
      </c>
      <c r="D2877" s="8" t="s">
        <v>17418</v>
      </c>
      <c r="E2877" s="8" t="s">
        <v>17419</v>
      </c>
      <c r="F2877" s="8" t="s">
        <v>17420</v>
      </c>
      <c r="G2877" s="6" t="s">
        <v>89</v>
      </c>
      <c r="H2877" s="6" t="s">
        <v>53</v>
      </c>
      <c r="I2877" s="8" t="s">
        <v>90</v>
      </c>
      <c r="J2877" s="9">
        <v>1</v>
      </c>
      <c r="K2877" s="9">
        <v>479</v>
      </c>
      <c r="L2877" s="9">
        <v>2025</v>
      </c>
      <c r="M2877" s="8" t="s">
        <v>17421</v>
      </c>
      <c r="N2877" s="8" t="s">
        <v>79</v>
      </c>
      <c r="O2877" s="8" t="s">
        <v>396</v>
      </c>
      <c r="P2877" s="6" t="s">
        <v>167</v>
      </c>
      <c r="Q2877" s="8" t="s">
        <v>44</v>
      </c>
      <c r="R2877" s="10" t="s">
        <v>15677</v>
      </c>
      <c r="S2877" s="11" t="s">
        <v>17422</v>
      </c>
      <c r="T2877" s="6"/>
      <c r="U2877" s="24" t="str">
        <f>HYPERLINK("https://media.infra-m.ru/2171/2171405/cover/2171405.jpg", "Обложка")</f>
        <v>Обложка</v>
      </c>
      <c r="V2877" s="24" t="str">
        <f>HYPERLINK("https://znanium.ru/catalog/product/1853549", "Ознакомиться")</f>
        <v>Ознакомиться</v>
      </c>
      <c r="W2877" s="8" t="s">
        <v>10326</v>
      </c>
      <c r="X2877" s="6"/>
      <c r="Y2877" s="6"/>
      <c r="Z2877" s="6"/>
      <c r="AA2877" s="6" t="s">
        <v>160</v>
      </c>
      <c r="AB2877" s="8"/>
    </row>
    <row r="2878" spans="1:28" s="4" customFormat="1" ht="51.95" customHeight="1">
      <c r="A2878" s="5">
        <v>0</v>
      </c>
      <c r="B2878" s="6" t="s">
        <v>17423</v>
      </c>
      <c r="C2878" s="7">
        <v>980</v>
      </c>
      <c r="D2878" s="8" t="s">
        <v>17424</v>
      </c>
      <c r="E2878" s="8" t="s">
        <v>17425</v>
      </c>
      <c r="F2878" s="8" t="s">
        <v>17426</v>
      </c>
      <c r="G2878" s="6" t="s">
        <v>89</v>
      </c>
      <c r="H2878" s="6" t="s">
        <v>53</v>
      </c>
      <c r="I2878" s="8" t="s">
        <v>116</v>
      </c>
      <c r="J2878" s="9">
        <v>1</v>
      </c>
      <c r="K2878" s="9">
        <v>208</v>
      </c>
      <c r="L2878" s="9">
        <v>2024</v>
      </c>
      <c r="M2878" s="8" t="s">
        <v>17427</v>
      </c>
      <c r="N2878" s="8" t="s">
        <v>79</v>
      </c>
      <c r="O2878" s="8" t="s">
        <v>396</v>
      </c>
      <c r="P2878" s="6" t="s">
        <v>43</v>
      </c>
      <c r="Q2878" s="8" t="s">
        <v>58</v>
      </c>
      <c r="R2878" s="10" t="s">
        <v>16724</v>
      </c>
      <c r="S2878" s="11" t="s">
        <v>17428</v>
      </c>
      <c r="T2878" s="6"/>
      <c r="U2878" s="24" t="str">
        <f>HYPERLINK("https://media.infra-m.ru/2141/2141041/cover/2141041.jpg", "Обложка")</f>
        <v>Обложка</v>
      </c>
      <c r="V2878" s="24" t="str">
        <f>HYPERLINK("https://znanium.ru/catalog/product/2141041", "Ознакомиться")</f>
        <v>Ознакомиться</v>
      </c>
      <c r="W2878" s="8" t="s">
        <v>2470</v>
      </c>
      <c r="X2878" s="6"/>
      <c r="Y2878" s="6"/>
      <c r="Z2878" s="6"/>
      <c r="AA2878" s="6" t="s">
        <v>793</v>
      </c>
      <c r="AB2878" s="8" t="s">
        <v>1383</v>
      </c>
    </row>
    <row r="2879" spans="1:28" s="4" customFormat="1" ht="51.95" customHeight="1">
      <c r="A2879" s="5">
        <v>0</v>
      </c>
      <c r="B2879" s="6" t="s">
        <v>17429</v>
      </c>
      <c r="C2879" s="7">
        <v>319.89999999999998</v>
      </c>
      <c r="D2879" s="8" t="s">
        <v>17430</v>
      </c>
      <c r="E2879" s="8" t="s">
        <v>17431</v>
      </c>
      <c r="F2879" s="8" t="s">
        <v>6633</v>
      </c>
      <c r="G2879" s="6" t="s">
        <v>52</v>
      </c>
      <c r="H2879" s="6" t="s">
        <v>53</v>
      </c>
      <c r="I2879" s="8"/>
      <c r="J2879" s="9">
        <v>10</v>
      </c>
      <c r="K2879" s="9">
        <v>696</v>
      </c>
      <c r="L2879" s="9">
        <v>2017</v>
      </c>
      <c r="M2879" s="8" t="s">
        <v>17432</v>
      </c>
      <c r="N2879" s="8" t="s">
        <v>41</v>
      </c>
      <c r="O2879" s="8" t="s">
        <v>129</v>
      </c>
      <c r="P2879" s="6" t="s">
        <v>9253</v>
      </c>
      <c r="Q2879" s="8" t="s">
        <v>58</v>
      </c>
      <c r="R2879" s="10" t="s">
        <v>17433</v>
      </c>
      <c r="S2879" s="11"/>
      <c r="T2879" s="6"/>
      <c r="U2879" s="24" t="str">
        <f>HYPERLINK("https://media.infra-m.ru/0882/0882928/cover/882928.jpg", "Обложка")</f>
        <v>Обложка</v>
      </c>
      <c r="V2879" s="24" t="str">
        <f>HYPERLINK("https://znanium.ru/catalog/product/2186439", "Ознакомиться")</f>
        <v>Ознакомиться</v>
      </c>
      <c r="W2879" s="8"/>
      <c r="X2879" s="6"/>
      <c r="Y2879" s="6"/>
      <c r="Z2879" s="6"/>
      <c r="AA2879" s="6" t="s">
        <v>442</v>
      </c>
      <c r="AB2879" s="8"/>
    </row>
    <row r="2880" spans="1:28" s="4" customFormat="1" ht="42" customHeight="1">
      <c r="A2880" s="5">
        <v>0</v>
      </c>
      <c r="B2880" s="6" t="s">
        <v>17434</v>
      </c>
      <c r="C2880" s="13">
        <v>2880</v>
      </c>
      <c r="D2880" s="8" t="s">
        <v>17435</v>
      </c>
      <c r="E2880" s="8" t="s">
        <v>17436</v>
      </c>
      <c r="F2880" s="8" t="s">
        <v>4020</v>
      </c>
      <c r="G2880" s="6" t="s">
        <v>52</v>
      </c>
      <c r="H2880" s="6" t="s">
        <v>53</v>
      </c>
      <c r="I2880" s="8" t="s">
        <v>116</v>
      </c>
      <c r="J2880" s="9">
        <v>1</v>
      </c>
      <c r="K2880" s="9">
        <v>425</v>
      </c>
      <c r="L2880" s="9">
        <v>2025</v>
      </c>
      <c r="M2880" s="8" t="s">
        <v>17437</v>
      </c>
      <c r="N2880" s="8" t="s">
        <v>413</v>
      </c>
      <c r="O2880" s="8" t="s">
        <v>1141</v>
      </c>
      <c r="P2880" s="6" t="s">
        <v>167</v>
      </c>
      <c r="Q2880" s="8" t="s">
        <v>44</v>
      </c>
      <c r="R2880" s="10" t="s">
        <v>17438</v>
      </c>
      <c r="S2880" s="11"/>
      <c r="T2880" s="6"/>
      <c r="U2880" s="24" t="str">
        <f>HYPERLINK("https://media.infra-m.ru/2170/2170831/cover/2170831.jpg", "Обложка")</f>
        <v>Обложка</v>
      </c>
      <c r="V2880" s="24" t="str">
        <f>HYPERLINK("https://znanium.ru/catalog/product/2170831", "Ознакомиться")</f>
        <v>Ознакомиться</v>
      </c>
      <c r="W2880" s="8" t="s">
        <v>4024</v>
      </c>
      <c r="X2880" s="6" t="s">
        <v>60</v>
      </c>
      <c r="Y2880" s="6"/>
      <c r="Z2880" s="6"/>
      <c r="AA2880" s="6" t="s">
        <v>61</v>
      </c>
      <c r="AB2880" s="8" t="s">
        <v>12397</v>
      </c>
    </row>
    <row r="2881" spans="1:28" s="4" customFormat="1" ht="51.95" customHeight="1">
      <c r="A2881" s="5">
        <v>0</v>
      </c>
      <c r="B2881" s="6" t="s">
        <v>17439</v>
      </c>
      <c r="C2881" s="7">
        <v>554</v>
      </c>
      <c r="D2881" s="8" t="s">
        <v>17440</v>
      </c>
      <c r="E2881" s="8" t="s">
        <v>17441</v>
      </c>
      <c r="F2881" s="8" t="s">
        <v>16249</v>
      </c>
      <c r="G2881" s="6" t="s">
        <v>38</v>
      </c>
      <c r="H2881" s="6" t="s">
        <v>39</v>
      </c>
      <c r="I2881" s="8" t="s">
        <v>116</v>
      </c>
      <c r="J2881" s="9">
        <v>1</v>
      </c>
      <c r="K2881" s="9">
        <v>64</v>
      </c>
      <c r="L2881" s="9">
        <v>2025</v>
      </c>
      <c r="M2881" s="8" t="s">
        <v>17442</v>
      </c>
      <c r="N2881" s="8" t="s">
        <v>997</v>
      </c>
      <c r="O2881" s="8" t="s">
        <v>998</v>
      </c>
      <c r="P2881" s="6" t="s">
        <v>175</v>
      </c>
      <c r="Q2881" s="8" t="s">
        <v>58</v>
      </c>
      <c r="R2881" s="10" t="s">
        <v>6390</v>
      </c>
      <c r="S2881" s="11" t="s">
        <v>17443</v>
      </c>
      <c r="T2881" s="6"/>
      <c r="U2881" s="24" t="str">
        <f>HYPERLINK("https://media.infra-m.ru/2171/2171403/cover/2171403.jpg", "Обложка")</f>
        <v>Обложка</v>
      </c>
      <c r="V2881" s="24" t="str">
        <f>HYPERLINK("https://znanium.ru/catalog/product/2143218", "Ознакомиться")</f>
        <v>Ознакомиться</v>
      </c>
      <c r="W2881" s="8" t="s">
        <v>6648</v>
      </c>
      <c r="X2881" s="6"/>
      <c r="Y2881" s="6"/>
      <c r="Z2881" s="6"/>
      <c r="AA2881" s="6" t="s">
        <v>111</v>
      </c>
      <c r="AB2881" s="8"/>
    </row>
    <row r="2882" spans="1:28" s="4" customFormat="1" ht="51.95" customHeight="1">
      <c r="A2882" s="5">
        <v>0</v>
      </c>
      <c r="B2882" s="6" t="s">
        <v>17444</v>
      </c>
      <c r="C2882" s="7">
        <v>550</v>
      </c>
      <c r="D2882" s="8" t="s">
        <v>17445</v>
      </c>
      <c r="E2882" s="8" t="s">
        <v>17441</v>
      </c>
      <c r="F2882" s="8" t="s">
        <v>16249</v>
      </c>
      <c r="G2882" s="6" t="s">
        <v>38</v>
      </c>
      <c r="H2882" s="6" t="s">
        <v>39</v>
      </c>
      <c r="I2882" s="8" t="s">
        <v>100</v>
      </c>
      <c r="J2882" s="9">
        <v>1</v>
      </c>
      <c r="K2882" s="9">
        <v>64</v>
      </c>
      <c r="L2882" s="9">
        <v>2025</v>
      </c>
      <c r="M2882" s="8" t="s">
        <v>17446</v>
      </c>
      <c r="N2882" s="8" t="s">
        <v>997</v>
      </c>
      <c r="O2882" s="8" t="s">
        <v>998</v>
      </c>
      <c r="P2882" s="6" t="s">
        <v>175</v>
      </c>
      <c r="Q2882" s="8" t="s">
        <v>102</v>
      </c>
      <c r="R2882" s="10" t="s">
        <v>17447</v>
      </c>
      <c r="S2882" s="11"/>
      <c r="T2882" s="6"/>
      <c r="U2882" s="24" t="str">
        <f>HYPERLINK("https://media.infra-m.ru/2157/2157871/cover/2157871.jpg", "Обложка")</f>
        <v>Обложка</v>
      </c>
      <c r="V2882" s="24" t="str">
        <f>HYPERLINK("https://znanium.ru/catalog/product/2157871", "Ознакомиться")</f>
        <v>Ознакомиться</v>
      </c>
      <c r="W2882" s="8" t="s">
        <v>6648</v>
      </c>
      <c r="X2882" s="6"/>
      <c r="Y2882" s="6"/>
      <c r="Z2882" s="6" t="s">
        <v>502</v>
      </c>
      <c r="AA2882" s="6" t="s">
        <v>793</v>
      </c>
      <c r="AB2882" s="8"/>
    </row>
    <row r="2883" spans="1:28" s="4" customFormat="1" ht="51.95" customHeight="1">
      <c r="A2883" s="5">
        <v>0</v>
      </c>
      <c r="B2883" s="6" t="s">
        <v>17448</v>
      </c>
      <c r="C2883" s="13">
        <v>1404</v>
      </c>
      <c r="D2883" s="8" t="s">
        <v>17449</v>
      </c>
      <c r="E2883" s="8" t="s">
        <v>17450</v>
      </c>
      <c r="F2883" s="8" t="s">
        <v>17451</v>
      </c>
      <c r="G2883" s="6" t="s">
        <v>52</v>
      </c>
      <c r="H2883" s="6" t="s">
        <v>53</v>
      </c>
      <c r="I2883" s="8" t="s">
        <v>90</v>
      </c>
      <c r="J2883" s="9">
        <v>1</v>
      </c>
      <c r="K2883" s="9">
        <v>304</v>
      </c>
      <c r="L2883" s="9">
        <v>2024</v>
      </c>
      <c r="M2883" s="8" t="s">
        <v>17452</v>
      </c>
      <c r="N2883" s="8" t="s">
        <v>41</v>
      </c>
      <c r="O2883" s="8" t="s">
        <v>118</v>
      </c>
      <c r="P2883" s="6" t="s">
        <v>167</v>
      </c>
      <c r="Q2883" s="8" t="s">
        <v>44</v>
      </c>
      <c r="R2883" s="10" t="s">
        <v>3586</v>
      </c>
      <c r="S2883" s="11" t="s">
        <v>17453</v>
      </c>
      <c r="T2883" s="6"/>
      <c r="U2883" s="24" t="str">
        <f>HYPERLINK("https://media.infra-m.ru/2053/2053231/cover/2053231.jpg", "Обложка")</f>
        <v>Обложка</v>
      </c>
      <c r="V2883" s="24" t="str">
        <f>HYPERLINK("https://znanium.ru/catalog/product/2053231", "Ознакомиться")</f>
        <v>Ознакомиться</v>
      </c>
      <c r="W2883" s="8" t="s">
        <v>354</v>
      </c>
      <c r="X2883" s="6"/>
      <c r="Y2883" s="6"/>
      <c r="Z2883" s="6"/>
      <c r="AA2883" s="6" t="s">
        <v>16347</v>
      </c>
      <c r="AB2883" s="8"/>
    </row>
    <row r="2884" spans="1:28" s="4" customFormat="1" ht="51.95" customHeight="1">
      <c r="A2884" s="5">
        <v>0</v>
      </c>
      <c r="B2884" s="6" t="s">
        <v>17454</v>
      </c>
      <c r="C2884" s="13">
        <v>1370</v>
      </c>
      <c r="D2884" s="8" t="s">
        <v>17455</v>
      </c>
      <c r="E2884" s="8" t="s">
        <v>17456</v>
      </c>
      <c r="F2884" s="8" t="s">
        <v>17457</v>
      </c>
      <c r="G2884" s="6" t="s">
        <v>89</v>
      </c>
      <c r="H2884" s="6" t="s">
        <v>53</v>
      </c>
      <c r="I2884" s="8" t="s">
        <v>560</v>
      </c>
      <c r="J2884" s="9">
        <v>1</v>
      </c>
      <c r="K2884" s="9">
        <v>267</v>
      </c>
      <c r="L2884" s="9">
        <v>2025</v>
      </c>
      <c r="M2884" s="8" t="s">
        <v>17458</v>
      </c>
      <c r="N2884" s="8" t="s">
        <v>41</v>
      </c>
      <c r="O2884" s="8" t="s">
        <v>129</v>
      </c>
      <c r="P2884" s="6" t="s">
        <v>43</v>
      </c>
      <c r="Q2884" s="8" t="s">
        <v>58</v>
      </c>
      <c r="R2884" s="10" t="s">
        <v>17459</v>
      </c>
      <c r="S2884" s="11" t="s">
        <v>563</v>
      </c>
      <c r="T2884" s="6"/>
      <c r="U2884" s="24" t="str">
        <f>HYPERLINK("https://media.infra-m.ru/2173/2173349/cover/2173349.jpg", "Обложка")</f>
        <v>Обложка</v>
      </c>
      <c r="V2884" s="24" t="str">
        <f>HYPERLINK("https://znanium.ru/catalog/product/2173349", "Ознакомиться")</f>
        <v>Ознакомиться</v>
      </c>
      <c r="W2884" s="8" t="s">
        <v>564</v>
      </c>
      <c r="X2884" s="6"/>
      <c r="Y2884" s="6"/>
      <c r="Z2884" s="6"/>
      <c r="AA2884" s="6" t="s">
        <v>258</v>
      </c>
      <c r="AB2884" s="8"/>
    </row>
    <row r="2885" spans="1:28" s="4" customFormat="1" ht="51.95" customHeight="1">
      <c r="A2885" s="5">
        <v>0</v>
      </c>
      <c r="B2885" s="6" t="s">
        <v>17460</v>
      </c>
      <c r="C2885" s="7">
        <v>600</v>
      </c>
      <c r="D2885" s="8" t="s">
        <v>17461</v>
      </c>
      <c r="E2885" s="8" t="s">
        <v>17462</v>
      </c>
      <c r="F2885" s="8" t="s">
        <v>17463</v>
      </c>
      <c r="G2885" s="6" t="s">
        <v>52</v>
      </c>
      <c r="H2885" s="6" t="s">
        <v>39</v>
      </c>
      <c r="I2885" s="8" t="s">
        <v>100</v>
      </c>
      <c r="J2885" s="9">
        <v>1</v>
      </c>
      <c r="K2885" s="9">
        <v>176</v>
      </c>
      <c r="L2885" s="9">
        <v>2020</v>
      </c>
      <c r="M2885" s="8" t="s">
        <v>17464</v>
      </c>
      <c r="N2885" s="8" t="s">
        <v>997</v>
      </c>
      <c r="O2885" s="8" t="s">
        <v>998</v>
      </c>
      <c r="P2885" s="6" t="s">
        <v>175</v>
      </c>
      <c r="Q2885" s="8" t="s">
        <v>102</v>
      </c>
      <c r="R2885" s="10" t="s">
        <v>17465</v>
      </c>
      <c r="S2885" s="11" t="s">
        <v>17466</v>
      </c>
      <c r="T2885" s="6"/>
      <c r="U2885" s="24" t="str">
        <f>HYPERLINK("https://media.infra-m.ru/1084/1084337/cover/1084337.jpg", "Обложка")</f>
        <v>Обложка</v>
      </c>
      <c r="V2885" s="24" t="str">
        <f>HYPERLINK("https://znanium.ru/catalog/product/1084337", "Ознакомиться")</f>
        <v>Ознакомиться</v>
      </c>
      <c r="W2885" s="8" t="s">
        <v>6648</v>
      </c>
      <c r="X2885" s="6"/>
      <c r="Y2885" s="6"/>
      <c r="Z2885" s="6" t="s">
        <v>3872</v>
      </c>
      <c r="AA2885" s="6" t="s">
        <v>793</v>
      </c>
      <c r="AB2885" s="8"/>
    </row>
    <row r="2886" spans="1:28" s="4" customFormat="1" ht="51.95" customHeight="1">
      <c r="A2886" s="5">
        <v>0</v>
      </c>
      <c r="B2886" s="6" t="s">
        <v>17467</v>
      </c>
      <c r="C2886" s="7">
        <v>830</v>
      </c>
      <c r="D2886" s="8" t="s">
        <v>17468</v>
      </c>
      <c r="E2886" s="8" t="s">
        <v>17462</v>
      </c>
      <c r="F2886" s="8" t="s">
        <v>17463</v>
      </c>
      <c r="G2886" s="6" t="s">
        <v>38</v>
      </c>
      <c r="H2886" s="6" t="s">
        <v>53</v>
      </c>
      <c r="I2886" s="8" t="s">
        <v>276</v>
      </c>
      <c r="J2886" s="9">
        <v>1</v>
      </c>
      <c r="K2886" s="9">
        <v>176</v>
      </c>
      <c r="L2886" s="9">
        <v>2024</v>
      </c>
      <c r="M2886" s="8" t="s">
        <v>17469</v>
      </c>
      <c r="N2886" s="8" t="s">
        <v>997</v>
      </c>
      <c r="O2886" s="8" t="s">
        <v>998</v>
      </c>
      <c r="P2886" s="6" t="s">
        <v>175</v>
      </c>
      <c r="Q2886" s="8" t="s">
        <v>279</v>
      </c>
      <c r="R2886" s="10" t="s">
        <v>17470</v>
      </c>
      <c r="S2886" s="11" t="s">
        <v>17471</v>
      </c>
      <c r="T2886" s="6"/>
      <c r="U2886" s="24" t="str">
        <f>HYPERLINK("https://media.infra-m.ru/2080/2080559/cover/2080559.jpg", "Обложка")</f>
        <v>Обложка</v>
      </c>
      <c r="V2886" s="24" t="str">
        <f>HYPERLINK("https://znanium.ru/catalog/product/2080559", "Ознакомиться")</f>
        <v>Ознакомиться</v>
      </c>
      <c r="W2886" s="8" t="s">
        <v>6648</v>
      </c>
      <c r="X2886" s="6"/>
      <c r="Y2886" s="6"/>
      <c r="Z2886" s="6"/>
      <c r="AA2886" s="6" t="s">
        <v>418</v>
      </c>
      <c r="AB2886" s="8"/>
    </row>
    <row r="2887" spans="1:28" s="4" customFormat="1" ht="51.95" customHeight="1">
      <c r="A2887" s="5">
        <v>0</v>
      </c>
      <c r="B2887" s="6" t="s">
        <v>17472</v>
      </c>
      <c r="C2887" s="13">
        <v>2244</v>
      </c>
      <c r="D2887" s="8" t="s">
        <v>17473</v>
      </c>
      <c r="E2887" s="8" t="s">
        <v>17474</v>
      </c>
      <c r="F2887" s="8" t="s">
        <v>17475</v>
      </c>
      <c r="G2887" s="6" t="s">
        <v>89</v>
      </c>
      <c r="H2887" s="6" t="s">
        <v>53</v>
      </c>
      <c r="I2887" s="8" t="s">
        <v>100</v>
      </c>
      <c r="J2887" s="9">
        <v>1</v>
      </c>
      <c r="K2887" s="9">
        <v>560</v>
      </c>
      <c r="L2887" s="9">
        <v>2024</v>
      </c>
      <c r="M2887" s="8" t="s">
        <v>17476</v>
      </c>
      <c r="N2887" s="8" t="s">
        <v>79</v>
      </c>
      <c r="O2887" s="8" t="s">
        <v>174</v>
      </c>
      <c r="P2887" s="6" t="s">
        <v>167</v>
      </c>
      <c r="Q2887" s="8" t="s">
        <v>102</v>
      </c>
      <c r="R2887" s="10" t="s">
        <v>17477</v>
      </c>
      <c r="S2887" s="11" t="s">
        <v>17478</v>
      </c>
      <c r="T2887" s="6"/>
      <c r="U2887" s="24" t="str">
        <f>HYPERLINK("https://media.infra-m.ru/2095/2095546/cover/2095546.jpg", "Обложка")</f>
        <v>Обложка</v>
      </c>
      <c r="V2887" s="12"/>
      <c r="W2887" s="8" t="s">
        <v>3201</v>
      </c>
      <c r="X2887" s="6"/>
      <c r="Y2887" s="6"/>
      <c r="Z2887" s="6" t="s">
        <v>2565</v>
      </c>
      <c r="AA2887" s="6" t="s">
        <v>219</v>
      </c>
      <c r="AB2887" s="8"/>
    </row>
    <row r="2888" spans="1:28" s="4" customFormat="1" ht="51.95" customHeight="1">
      <c r="A2888" s="5">
        <v>0</v>
      </c>
      <c r="B2888" s="6" t="s">
        <v>17479</v>
      </c>
      <c r="C2888" s="13">
        <v>2794</v>
      </c>
      <c r="D2888" s="8" t="s">
        <v>17480</v>
      </c>
      <c r="E2888" s="8" t="s">
        <v>17474</v>
      </c>
      <c r="F2888" s="8" t="s">
        <v>17475</v>
      </c>
      <c r="G2888" s="6" t="s">
        <v>89</v>
      </c>
      <c r="H2888" s="6" t="s">
        <v>53</v>
      </c>
      <c r="I2888" s="8" t="s">
        <v>212</v>
      </c>
      <c r="J2888" s="9">
        <v>1</v>
      </c>
      <c r="K2888" s="9">
        <v>560</v>
      </c>
      <c r="L2888" s="9">
        <v>2025</v>
      </c>
      <c r="M2888" s="8" t="s">
        <v>17481</v>
      </c>
      <c r="N2888" s="8" t="s">
        <v>79</v>
      </c>
      <c r="O2888" s="8" t="s">
        <v>174</v>
      </c>
      <c r="P2888" s="6" t="s">
        <v>167</v>
      </c>
      <c r="Q2888" s="8" t="s">
        <v>214</v>
      </c>
      <c r="R2888" s="10" t="s">
        <v>17482</v>
      </c>
      <c r="S2888" s="11" t="s">
        <v>17483</v>
      </c>
      <c r="T2888" s="6"/>
      <c r="U2888" s="24" t="str">
        <f>HYPERLINK("https://media.infra-m.ru/2188/2188651/cover/2188651.jpg", "Обложка")</f>
        <v>Обложка</v>
      </c>
      <c r="V2888" s="24" t="str">
        <f>HYPERLINK("https://znanium.ru/catalog/product/2085115", "Ознакомиться")</f>
        <v>Ознакомиться</v>
      </c>
      <c r="W2888" s="8" t="s">
        <v>3201</v>
      </c>
      <c r="X2888" s="6"/>
      <c r="Y2888" s="6"/>
      <c r="Z2888" s="6"/>
      <c r="AA2888" s="6" t="s">
        <v>258</v>
      </c>
      <c r="AB2888" s="8"/>
    </row>
    <row r="2889" spans="1:28" s="4" customFormat="1" ht="51.95" customHeight="1">
      <c r="A2889" s="5">
        <v>0</v>
      </c>
      <c r="B2889" s="6" t="s">
        <v>17484</v>
      </c>
      <c r="C2889" s="13">
        <v>1650</v>
      </c>
      <c r="D2889" s="8" t="s">
        <v>17485</v>
      </c>
      <c r="E2889" s="8" t="s">
        <v>17486</v>
      </c>
      <c r="F2889" s="8" t="s">
        <v>17487</v>
      </c>
      <c r="G2889" s="6" t="s">
        <v>38</v>
      </c>
      <c r="H2889" s="6" t="s">
        <v>438</v>
      </c>
      <c r="I2889" s="8"/>
      <c r="J2889" s="9">
        <v>1</v>
      </c>
      <c r="K2889" s="9">
        <v>270</v>
      </c>
      <c r="L2889" s="9">
        <v>2024</v>
      </c>
      <c r="M2889" s="8" t="s">
        <v>17488</v>
      </c>
      <c r="N2889" s="8" t="s">
        <v>41</v>
      </c>
      <c r="O2889" s="8" t="s">
        <v>1007</v>
      </c>
      <c r="P2889" s="6" t="s">
        <v>43</v>
      </c>
      <c r="Q2889" s="8" t="s">
        <v>58</v>
      </c>
      <c r="R2889" s="10" t="s">
        <v>17489</v>
      </c>
      <c r="S2889" s="11"/>
      <c r="T2889" s="6"/>
      <c r="U2889" s="24" t="str">
        <f>HYPERLINK("https://media.infra-m.ru/2126/2126827/cover/2126827.jpg", "Обложка")</f>
        <v>Обложка</v>
      </c>
      <c r="V2889" s="24" t="str">
        <f>HYPERLINK("https://znanium.ru/catalog/product/2126827", "Ознакомиться")</f>
        <v>Ознакомиться</v>
      </c>
      <c r="W2889" s="8" t="s">
        <v>83</v>
      </c>
      <c r="X2889" s="6"/>
      <c r="Y2889" s="6"/>
      <c r="Z2889" s="6"/>
      <c r="AA2889" s="6" t="s">
        <v>2423</v>
      </c>
      <c r="AB2889" s="8"/>
    </row>
    <row r="2890" spans="1:28" s="4" customFormat="1" ht="51.95" customHeight="1">
      <c r="A2890" s="5">
        <v>0</v>
      </c>
      <c r="B2890" s="6" t="s">
        <v>17490</v>
      </c>
      <c r="C2890" s="7">
        <v>625</v>
      </c>
      <c r="D2890" s="8" t="s">
        <v>17491</v>
      </c>
      <c r="E2890" s="8" t="s">
        <v>17492</v>
      </c>
      <c r="F2890" s="8" t="s">
        <v>17487</v>
      </c>
      <c r="G2890" s="6" t="s">
        <v>38</v>
      </c>
      <c r="H2890" s="6" t="s">
        <v>438</v>
      </c>
      <c r="I2890" s="8"/>
      <c r="J2890" s="9">
        <v>10</v>
      </c>
      <c r="K2890" s="9">
        <v>270</v>
      </c>
      <c r="L2890" s="9">
        <v>2018</v>
      </c>
      <c r="M2890" s="8" t="s">
        <v>17493</v>
      </c>
      <c r="N2890" s="8" t="s">
        <v>41</v>
      </c>
      <c r="O2890" s="8" t="s">
        <v>1007</v>
      </c>
      <c r="P2890" s="6" t="s">
        <v>43</v>
      </c>
      <c r="Q2890" s="8" t="s">
        <v>58</v>
      </c>
      <c r="R2890" s="10" t="s">
        <v>17489</v>
      </c>
      <c r="S2890" s="11"/>
      <c r="T2890" s="6"/>
      <c r="U2890" s="12"/>
      <c r="V2890" s="24" t="str">
        <f>HYPERLINK("https://znanium.ru/catalog/product/2126827", "Ознакомиться")</f>
        <v>Ознакомиться</v>
      </c>
      <c r="W2890" s="8" t="s">
        <v>83</v>
      </c>
      <c r="X2890" s="6"/>
      <c r="Y2890" s="6"/>
      <c r="Z2890" s="6"/>
      <c r="AA2890" s="6" t="s">
        <v>701</v>
      </c>
      <c r="AB2890" s="8"/>
    </row>
    <row r="2891" spans="1:28" s="4" customFormat="1" ht="51.95" customHeight="1">
      <c r="A2891" s="5">
        <v>0</v>
      </c>
      <c r="B2891" s="6" t="s">
        <v>17494</v>
      </c>
      <c r="C2891" s="13">
        <v>1520</v>
      </c>
      <c r="D2891" s="8" t="s">
        <v>17495</v>
      </c>
      <c r="E2891" s="8" t="s">
        <v>17496</v>
      </c>
      <c r="F2891" s="8" t="s">
        <v>17497</v>
      </c>
      <c r="G2891" s="6" t="s">
        <v>89</v>
      </c>
      <c r="H2891" s="6" t="s">
        <v>53</v>
      </c>
      <c r="I2891" s="8" t="s">
        <v>100</v>
      </c>
      <c r="J2891" s="9">
        <v>1</v>
      </c>
      <c r="K2891" s="9">
        <v>303</v>
      </c>
      <c r="L2891" s="9">
        <v>2025</v>
      </c>
      <c r="M2891" s="8" t="s">
        <v>17498</v>
      </c>
      <c r="N2891" s="8" t="s">
        <v>41</v>
      </c>
      <c r="O2891" s="8" t="s">
        <v>6721</v>
      </c>
      <c r="P2891" s="6" t="s">
        <v>167</v>
      </c>
      <c r="Q2891" s="8" t="s">
        <v>102</v>
      </c>
      <c r="R2891" s="10" t="s">
        <v>17499</v>
      </c>
      <c r="S2891" s="11" t="s">
        <v>5082</v>
      </c>
      <c r="T2891" s="6"/>
      <c r="U2891" s="24" t="str">
        <f>HYPERLINK("https://media.infra-m.ru/2157/2157818/cover/2157818.jpg", "Обложка")</f>
        <v>Обложка</v>
      </c>
      <c r="V2891" s="24" t="str">
        <f>HYPERLINK("https://znanium.ru/catalog/product/2157818", "Ознакомиться")</f>
        <v>Ознакомиться</v>
      </c>
      <c r="W2891" s="8" t="s">
        <v>16259</v>
      </c>
      <c r="X2891" s="6"/>
      <c r="Y2891" s="6"/>
      <c r="Z2891" s="6"/>
      <c r="AA2891" s="6" t="s">
        <v>442</v>
      </c>
      <c r="AB2891" s="8"/>
    </row>
    <row r="2892" spans="1:28" s="4" customFormat="1" ht="51.95" customHeight="1">
      <c r="A2892" s="5">
        <v>0</v>
      </c>
      <c r="B2892" s="6" t="s">
        <v>17500</v>
      </c>
      <c r="C2892" s="7">
        <v>944</v>
      </c>
      <c r="D2892" s="8" t="s">
        <v>17501</v>
      </c>
      <c r="E2892" s="8" t="s">
        <v>17496</v>
      </c>
      <c r="F2892" s="8" t="s">
        <v>17502</v>
      </c>
      <c r="G2892" s="6" t="s">
        <v>52</v>
      </c>
      <c r="H2892" s="6" t="s">
        <v>39</v>
      </c>
      <c r="I2892" s="8" t="s">
        <v>100</v>
      </c>
      <c r="J2892" s="9">
        <v>1</v>
      </c>
      <c r="K2892" s="9">
        <v>320</v>
      </c>
      <c r="L2892" s="9">
        <v>2018</v>
      </c>
      <c r="M2892" s="8" t="s">
        <v>17503</v>
      </c>
      <c r="N2892" s="8" t="s">
        <v>41</v>
      </c>
      <c r="O2892" s="8" t="s">
        <v>6721</v>
      </c>
      <c r="P2892" s="6" t="s">
        <v>167</v>
      </c>
      <c r="Q2892" s="8" t="s">
        <v>102</v>
      </c>
      <c r="R2892" s="10" t="s">
        <v>17504</v>
      </c>
      <c r="S2892" s="11" t="s">
        <v>620</v>
      </c>
      <c r="T2892" s="6"/>
      <c r="U2892" s="24" t="str">
        <f>HYPERLINK("https://media.infra-m.ru/2081/2081960/cover/2081960.jpg", "Обложка")</f>
        <v>Обложка</v>
      </c>
      <c r="V2892" s="24" t="str">
        <f>HYPERLINK("https://znanium.ru/catalog/product/1855980", "Ознакомиться")</f>
        <v>Ознакомиться</v>
      </c>
      <c r="W2892" s="8" t="s">
        <v>71</v>
      </c>
      <c r="X2892" s="6"/>
      <c r="Y2892" s="6"/>
      <c r="Z2892" s="6"/>
      <c r="AA2892" s="6" t="s">
        <v>2217</v>
      </c>
      <c r="AB2892" s="8"/>
    </row>
    <row r="2893" spans="1:28" s="4" customFormat="1" ht="51.95" customHeight="1">
      <c r="A2893" s="5">
        <v>0</v>
      </c>
      <c r="B2893" s="6" t="s">
        <v>17505</v>
      </c>
      <c r="C2893" s="13">
        <v>2080</v>
      </c>
      <c r="D2893" s="8" t="s">
        <v>17506</v>
      </c>
      <c r="E2893" s="8" t="s">
        <v>17507</v>
      </c>
      <c r="F2893" s="8" t="s">
        <v>17508</v>
      </c>
      <c r="G2893" s="6" t="s">
        <v>89</v>
      </c>
      <c r="H2893" s="6" t="s">
        <v>53</v>
      </c>
      <c r="I2893" s="8" t="s">
        <v>100</v>
      </c>
      <c r="J2893" s="9">
        <v>1</v>
      </c>
      <c r="K2893" s="9">
        <v>400</v>
      </c>
      <c r="L2893" s="9">
        <v>2025</v>
      </c>
      <c r="M2893" s="8" t="s">
        <v>17509</v>
      </c>
      <c r="N2893" s="8" t="s">
        <v>79</v>
      </c>
      <c r="O2893" s="8" t="s">
        <v>396</v>
      </c>
      <c r="P2893" s="6" t="s">
        <v>43</v>
      </c>
      <c r="Q2893" s="8" t="s">
        <v>102</v>
      </c>
      <c r="R2893" s="10" t="s">
        <v>17510</v>
      </c>
      <c r="S2893" s="11" t="s">
        <v>17511</v>
      </c>
      <c r="T2893" s="6"/>
      <c r="U2893" s="24" t="str">
        <f>HYPERLINK("https://media.infra-m.ru/2169/2169730/cover/2169730.jpg", "Обложка")</f>
        <v>Обложка</v>
      </c>
      <c r="V2893" s="24" t="str">
        <f>HYPERLINK("https://znanium.ru/catalog/product/2169730", "Ознакомиться")</f>
        <v>Ознакомиться</v>
      </c>
      <c r="W2893" s="8" t="s">
        <v>71</v>
      </c>
      <c r="X2893" s="6"/>
      <c r="Y2893" s="6"/>
      <c r="Z2893" s="6"/>
      <c r="AA2893" s="6" t="s">
        <v>1461</v>
      </c>
      <c r="AB2893" s="8"/>
    </row>
    <row r="2894" spans="1:28" s="4" customFormat="1" ht="51.95" customHeight="1">
      <c r="A2894" s="5">
        <v>0</v>
      </c>
      <c r="B2894" s="6" t="s">
        <v>17512</v>
      </c>
      <c r="C2894" s="13">
        <v>1994.9</v>
      </c>
      <c r="D2894" s="8" t="s">
        <v>17513</v>
      </c>
      <c r="E2894" s="8" t="s">
        <v>17514</v>
      </c>
      <c r="F2894" s="8" t="s">
        <v>17515</v>
      </c>
      <c r="G2894" s="6" t="s">
        <v>52</v>
      </c>
      <c r="H2894" s="6" t="s">
        <v>39</v>
      </c>
      <c r="I2894" s="8" t="s">
        <v>90</v>
      </c>
      <c r="J2894" s="9">
        <v>1</v>
      </c>
      <c r="K2894" s="9">
        <v>400</v>
      </c>
      <c r="L2894" s="9">
        <v>2023</v>
      </c>
      <c r="M2894" s="8" t="s">
        <v>17516</v>
      </c>
      <c r="N2894" s="8" t="s">
        <v>79</v>
      </c>
      <c r="O2894" s="8" t="s">
        <v>80</v>
      </c>
      <c r="P2894" s="6" t="s">
        <v>43</v>
      </c>
      <c r="Q2894" s="8" t="s">
        <v>44</v>
      </c>
      <c r="R2894" s="10" t="s">
        <v>17517</v>
      </c>
      <c r="S2894" s="11"/>
      <c r="T2894" s="6"/>
      <c r="U2894" s="24" t="str">
        <f>HYPERLINK("https://media.infra-m.ru/1911/1911807/cover/1911807.jpg", "Обложка")</f>
        <v>Обложка</v>
      </c>
      <c r="V2894" s="24" t="str">
        <f>HYPERLINK("https://znanium.ru/catalog/product/1010028", "Ознакомиться")</f>
        <v>Ознакомиться</v>
      </c>
      <c r="W2894" s="8" t="s">
        <v>2536</v>
      </c>
      <c r="X2894" s="6"/>
      <c r="Y2894" s="6"/>
      <c r="Z2894" s="6"/>
      <c r="AA2894" s="6" t="s">
        <v>111</v>
      </c>
      <c r="AB2894" s="8"/>
    </row>
    <row r="2895" spans="1:28" s="4" customFormat="1" ht="51.95" customHeight="1">
      <c r="A2895" s="5">
        <v>0</v>
      </c>
      <c r="B2895" s="6" t="s">
        <v>17518</v>
      </c>
      <c r="C2895" s="13">
        <v>1337</v>
      </c>
      <c r="D2895" s="8" t="s">
        <v>17519</v>
      </c>
      <c r="E2895" s="8" t="s">
        <v>17520</v>
      </c>
      <c r="F2895" s="8" t="s">
        <v>17521</v>
      </c>
      <c r="G2895" s="6" t="s">
        <v>38</v>
      </c>
      <c r="H2895" s="6" t="s">
        <v>39</v>
      </c>
      <c r="I2895" s="8" t="s">
        <v>90</v>
      </c>
      <c r="J2895" s="9">
        <v>1</v>
      </c>
      <c r="K2895" s="9">
        <v>200</v>
      </c>
      <c r="L2895" s="9">
        <v>2025</v>
      </c>
      <c r="M2895" s="8" t="s">
        <v>17522</v>
      </c>
      <c r="N2895" s="8" t="s">
        <v>79</v>
      </c>
      <c r="O2895" s="8" t="s">
        <v>80</v>
      </c>
      <c r="P2895" s="6" t="s">
        <v>43</v>
      </c>
      <c r="Q2895" s="8" t="s">
        <v>44</v>
      </c>
      <c r="R2895" s="10" t="s">
        <v>17523</v>
      </c>
      <c r="S2895" s="11" t="s">
        <v>17524</v>
      </c>
      <c r="T2895" s="6"/>
      <c r="U2895" s="24" t="str">
        <f>HYPERLINK("https://media.infra-m.ru/2199/2199802/cover/2199802.jpg", "Обложка")</f>
        <v>Обложка</v>
      </c>
      <c r="V2895" s="24" t="str">
        <f>HYPERLINK("https://znanium.ru/catalog/product/1926392", "Ознакомиться")</f>
        <v>Ознакомиться</v>
      </c>
      <c r="W2895" s="8" t="s">
        <v>1144</v>
      </c>
      <c r="X2895" s="6"/>
      <c r="Y2895" s="6"/>
      <c r="Z2895" s="6"/>
      <c r="AA2895" s="6" t="s">
        <v>418</v>
      </c>
      <c r="AB2895" s="8"/>
    </row>
    <row r="2896" spans="1:28" s="4" customFormat="1" ht="51.95" customHeight="1">
      <c r="A2896" s="5">
        <v>0</v>
      </c>
      <c r="B2896" s="6" t="s">
        <v>17525</v>
      </c>
      <c r="C2896" s="13">
        <v>1307</v>
      </c>
      <c r="D2896" s="8" t="s">
        <v>17526</v>
      </c>
      <c r="E2896" s="8" t="s">
        <v>17520</v>
      </c>
      <c r="F2896" s="8" t="s">
        <v>17521</v>
      </c>
      <c r="G2896" s="6" t="s">
        <v>38</v>
      </c>
      <c r="H2896" s="6" t="s">
        <v>39</v>
      </c>
      <c r="I2896" s="8" t="s">
        <v>100</v>
      </c>
      <c r="J2896" s="9">
        <v>1</v>
      </c>
      <c r="K2896" s="9">
        <v>200</v>
      </c>
      <c r="L2896" s="9">
        <v>2025</v>
      </c>
      <c r="M2896" s="8" t="s">
        <v>17527</v>
      </c>
      <c r="N2896" s="8" t="s">
        <v>79</v>
      </c>
      <c r="O2896" s="8" t="s">
        <v>80</v>
      </c>
      <c r="P2896" s="6" t="s">
        <v>43</v>
      </c>
      <c r="Q2896" s="8" t="s">
        <v>102</v>
      </c>
      <c r="R2896" s="10" t="s">
        <v>17528</v>
      </c>
      <c r="S2896" s="11" t="s">
        <v>17529</v>
      </c>
      <c r="T2896" s="6"/>
      <c r="U2896" s="24" t="str">
        <f>HYPERLINK("https://media.infra-m.ru/2180/2180162/cover/2180162.jpg", "Обложка")</f>
        <v>Обложка</v>
      </c>
      <c r="V2896" s="24" t="str">
        <f>HYPERLINK("https://znanium.ru/catalog/product/1895650", "Ознакомиться")</f>
        <v>Ознакомиться</v>
      </c>
      <c r="W2896" s="8" t="s">
        <v>1144</v>
      </c>
      <c r="X2896" s="6"/>
      <c r="Y2896" s="6"/>
      <c r="Z2896" s="6" t="s">
        <v>104</v>
      </c>
      <c r="AA2896" s="6" t="s">
        <v>793</v>
      </c>
      <c r="AB2896" s="8"/>
    </row>
    <row r="2897" spans="1:28" s="4" customFormat="1" ht="51.95" customHeight="1">
      <c r="A2897" s="5">
        <v>0</v>
      </c>
      <c r="B2897" s="6" t="s">
        <v>17530</v>
      </c>
      <c r="C2897" s="13">
        <v>2382</v>
      </c>
      <c r="D2897" s="8" t="s">
        <v>17531</v>
      </c>
      <c r="E2897" s="8" t="s">
        <v>17514</v>
      </c>
      <c r="F2897" s="8" t="s">
        <v>17532</v>
      </c>
      <c r="G2897" s="6" t="s">
        <v>89</v>
      </c>
      <c r="H2897" s="6" t="s">
        <v>39</v>
      </c>
      <c r="I2897" s="8" t="s">
        <v>100</v>
      </c>
      <c r="J2897" s="9">
        <v>1</v>
      </c>
      <c r="K2897" s="9">
        <v>398</v>
      </c>
      <c r="L2897" s="9">
        <v>2024</v>
      </c>
      <c r="M2897" s="8" t="s">
        <v>17533</v>
      </c>
      <c r="N2897" s="8" t="s">
        <v>79</v>
      </c>
      <c r="O2897" s="8" t="s">
        <v>80</v>
      </c>
      <c r="P2897" s="6" t="s">
        <v>43</v>
      </c>
      <c r="Q2897" s="8" t="s">
        <v>102</v>
      </c>
      <c r="R2897" s="10" t="s">
        <v>17534</v>
      </c>
      <c r="S2897" s="11" t="s">
        <v>2535</v>
      </c>
      <c r="T2897" s="6"/>
      <c r="U2897" s="24" t="str">
        <f>HYPERLINK("https://media.infra-m.ru/2078/2078382/cover/2078382.jpg", "Обложка")</f>
        <v>Обложка</v>
      </c>
      <c r="V2897" s="24" t="str">
        <f>HYPERLINK("https://znanium.ru/catalog/product/2078382", "Ознакомиться")</f>
        <v>Ознакомиться</v>
      </c>
      <c r="W2897" s="8" t="s">
        <v>2536</v>
      </c>
      <c r="X2897" s="6"/>
      <c r="Y2897" s="6"/>
      <c r="Z2897" s="6" t="s">
        <v>104</v>
      </c>
      <c r="AA2897" s="6" t="s">
        <v>151</v>
      </c>
      <c r="AB2897" s="8"/>
    </row>
    <row r="2898" spans="1:28" s="4" customFormat="1" ht="51.95" customHeight="1">
      <c r="A2898" s="5">
        <v>0</v>
      </c>
      <c r="B2898" s="6" t="s">
        <v>17535</v>
      </c>
      <c r="C2898" s="13">
        <v>1320</v>
      </c>
      <c r="D2898" s="8" t="s">
        <v>17536</v>
      </c>
      <c r="E2898" s="8" t="s">
        <v>17537</v>
      </c>
      <c r="F2898" s="8" t="s">
        <v>17538</v>
      </c>
      <c r="G2898" s="6" t="s">
        <v>89</v>
      </c>
      <c r="H2898" s="6" t="s">
        <v>53</v>
      </c>
      <c r="I2898" s="8" t="s">
        <v>90</v>
      </c>
      <c r="J2898" s="9">
        <v>1</v>
      </c>
      <c r="K2898" s="9">
        <v>293</v>
      </c>
      <c r="L2898" s="9">
        <v>2020</v>
      </c>
      <c r="M2898" s="8" t="s">
        <v>17539</v>
      </c>
      <c r="N2898" s="8" t="s">
        <v>413</v>
      </c>
      <c r="O2898" s="8" t="s">
        <v>1141</v>
      </c>
      <c r="P2898" s="6" t="s">
        <v>43</v>
      </c>
      <c r="Q2898" s="8" t="s">
        <v>44</v>
      </c>
      <c r="R2898" s="10" t="s">
        <v>17540</v>
      </c>
      <c r="S2898" s="11" t="s">
        <v>17541</v>
      </c>
      <c r="T2898" s="6"/>
      <c r="U2898" s="24" t="str">
        <f>HYPERLINK("https://media.infra-m.ru/1947/1947364/cover/1947364.jpg", "Обложка")</f>
        <v>Обложка</v>
      </c>
      <c r="V2898" s="24" t="str">
        <f>HYPERLINK("https://znanium.ru/catalog/product/1058922", "Ознакомиться")</f>
        <v>Ознакомиться</v>
      </c>
      <c r="W2898" s="8" t="s">
        <v>450</v>
      </c>
      <c r="X2898" s="6"/>
      <c r="Y2898" s="6"/>
      <c r="Z2898" s="6"/>
      <c r="AA2898" s="6" t="s">
        <v>793</v>
      </c>
      <c r="AB2898" s="8"/>
    </row>
    <row r="2899" spans="1:28" s="4" customFormat="1" ht="51.95" customHeight="1">
      <c r="A2899" s="5">
        <v>0</v>
      </c>
      <c r="B2899" s="6" t="s">
        <v>17542</v>
      </c>
      <c r="C2899" s="13">
        <v>2244</v>
      </c>
      <c r="D2899" s="8" t="s">
        <v>17543</v>
      </c>
      <c r="E2899" s="8" t="s">
        <v>17544</v>
      </c>
      <c r="F2899" s="8" t="s">
        <v>17545</v>
      </c>
      <c r="G2899" s="6" t="s">
        <v>89</v>
      </c>
      <c r="H2899" s="6" t="s">
        <v>53</v>
      </c>
      <c r="I2899" s="8" t="s">
        <v>90</v>
      </c>
      <c r="J2899" s="9">
        <v>1</v>
      </c>
      <c r="K2899" s="9">
        <v>432</v>
      </c>
      <c r="L2899" s="9">
        <v>2025</v>
      </c>
      <c r="M2899" s="8" t="s">
        <v>17546</v>
      </c>
      <c r="N2899" s="8" t="s">
        <v>413</v>
      </c>
      <c r="O2899" s="8" t="s">
        <v>1141</v>
      </c>
      <c r="P2899" s="6" t="s">
        <v>43</v>
      </c>
      <c r="Q2899" s="8" t="s">
        <v>44</v>
      </c>
      <c r="R2899" s="10" t="s">
        <v>17547</v>
      </c>
      <c r="S2899" s="11" t="s">
        <v>17548</v>
      </c>
      <c r="T2899" s="6"/>
      <c r="U2899" s="24" t="str">
        <f>HYPERLINK("https://media.infra-m.ru/2196/2196098/cover/2196098.jpg", "Обложка")</f>
        <v>Обложка</v>
      </c>
      <c r="V2899" s="24" t="str">
        <f>HYPERLINK("https://znanium.ru/catalog/product/1010761", "Ознакомиться")</f>
        <v>Ознакомиться</v>
      </c>
      <c r="W2899" s="8" t="s">
        <v>1514</v>
      </c>
      <c r="X2899" s="6"/>
      <c r="Y2899" s="6"/>
      <c r="Z2899" s="6"/>
      <c r="AA2899" s="6" t="s">
        <v>418</v>
      </c>
      <c r="AB2899" s="8"/>
    </row>
    <row r="2900" spans="1:28" s="4" customFormat="1" ht="42" customHeight="1">
      <c r="A2900" s="5">
        <v>0</v>
      </c>
      <c r="B2900" s="6" t="s">
        <v>17549</v>
      </c>
      <c r="C2900" s="13">
        <v>1560</v>
      </c>
      <c r="D2900" s="8" t="s">
        <v>17550</v>
      </c>
      <c r="E2900" s="8" t="s">
        <v>17551</v>
      </c>
      <c r="F2900" s="8" t="s">
        <v>4430</v>
      </c>
      <c r="G2900" s="6" t="s">
        <v>89</v>
      </c>
      <c r="H2900" s="6" t="s">
        <v>53</v>
      </c>
      <c r="I2900" s="8" t="s">
        <v>116</v>
      </c>
      <c r="J2900" s="9">
        <v>1</v>
      </c>
      <c r="K2900" s="9">
        <v>300</v>
      </c>
      <c r="L2900" s="9">
        <v>2025</v>
      </c>
      <c r="M2900" s="8" t="s">
        <v>17552</v>
      </c>
      <c r="N2900" s="8" t="s">
        <v>41</v>
      </c>
      <c r="O2900" s="8" t="s">
        <v>676</v>
      </c>
      <c r="P2900" s="6" t="s">
        <v>43</v>
      </c>
      <c r="Q2900" s="8" t="s">
        <v>279</v>
      </c>
      <c r="R2900" s="10" t="s">
        <v>990</v>
      </c>
      <c r="S2900" s="11"/>
      <c r="T2900" s="6"/>
      <c r="U2900" s="24" t="str">
        <f>HYPERLINK("https://media.infra-m.ru/2200/2200760/cover/2200760.jpg", "Обложка")</f>
        <v>Обложка</v>
      </c>
      <c r="V2900" s="24" t="str">
        <f>HYPERLINK("https://znanium.ru/catalog/product/2200760", "Ознакомиться")</f>
        <v>Ознакомиться</v>
      </c>
      <c r="W2900" s="8" t="s">
        <v>4433</v>
      </c>
      <c r="X2900" s="6"/>
      <c r="Y2900" s="6"/>
      <c r="Z2900" s="6"/>
      <c r="AA2900" s="6" t="s">
        <v>133</v>
      </c>
      <c r="AB2900" s="8"/>
    </row>
    <row r="2901" spans="1:28" s="4" customFormat="1" ht="51.95" customHeight="1">
      <c r="A2901" s="5">
        <v>0</v>
      </c>
      <c r="B2901" s="6" t="s">
        <v>17553</v>
      </c>
      <c r="C2901" s="7">
        <v>694</v>
      </c>
      <c r="D2901" s="8" t="s">
        <v>17554</v>
      </c>
      <c r="E2901" s="8" t="s">
        <v>17555</v>
      </c>
      <c r="F2901" s="8" t="s">
        <v>17556</v>
      </c>
      <c r="G2901" s="6" t="s">
        <v>52</v>
      </c>
      <c r="H2901" s="6" t="s">
        <v>53</v>
      </c>
      <c r="I2901" s="8" t="s">
        <v>90</v>
      </c>
      <c r="J2901" s="9">
        <v>1</v>
      </c>
      <c r="K2901" s="9">
        <v>138</v>
      </c>
      <c r="L2901" s="9">
        <v>2025</v>
      </c>
      <c r="M2901" s="8" t="s">
        <v>17557</v>
      </c>
      <c r="N2901" s="8" t="s">
        <v>79</v>
      </c>
      <c r="O2901" s="8" t="s">
        <v>684</v>
      </c>
      <c r="P2901" s="6" t="s">
        <v>167</v>
      </c>
      <c r="Q2901" s="8" t="s">
        <v>44</v>
      </c>
      <c r="R2901" s="10" t="s">
        <v>17558</v>
      </c>
      <c r="S2901" s="11" t="s">
        <v>17559</v>
      </c>
      <c r="T2901" s="6"/>
      <c r="U2901" s="24" t="str">
        <f>HYPERLINK("https://media.infra-m.ru/2184/2184530/cover/2184530.jpg", "Обложка")</f>
        <v>Обложка</v>
      </c>
      <c r="V2901" s="24" t="str">
        <f>HYPERLINK("https://znanium.ru/catalog/product/2102677", "Ознакомиться")</f>
        <v>Ознакомиться</v>
      </c>
      <c r="W2901" s="8" t="s">
        <v>17560</v>
      </c>
      <c r="X2901" s="6"/>
      <c r="Y2901" s="6"/>
      <c r="Z2901" s="6"/>
      <c r="AA2901" s="6" t="s">
        <v>47</v>
      </c>
      <c r="AB2901" s="8"/>
    </row>
    <row r="2902" spans="1:28" s="4" customFormat="1" ht="51.95" customHeight="1">
      <c r="A2902" s="5">
        <v>0</v>
      </c>
      <c r="B2902" s="6" t="s">
        <v>17561</v>
      </c>
      <c r="C2902" s="13">
        <v>1184</v>
      </c>
      <c r="D2902" s="8" t="s">
        <v>17562</v>
      </c>
      <c r="E2902" s="8" t="s">
        <v>17563</v>
      </c>
      <c r="F2902" s="8" t="s">
        <v>7222</v>
      </c>
      <c r="G2902" s="6" t="s">
        <v>89</v>
      </c>
      <c r="H2902" s="6" t="s">
        <v>438</v>
      </c>
      <c r="I2902" s="8" t="s">
        <v>116</v>
      </c>
      <c r="J2902" s="9">
        <v>1</v>
      </c>
      <c r="K2902" s="9">
        <v>228</v>
      </c>
      <c r="L2902" s="9">
        <v>2025</v>
      </c>
      <c r="M2902" s="8" t="s">
        <v>17564</v>
      </c>
      <c r="N2902" s="8" t="s">
        <v>79</v>
      </c>
      <c r="O2902" s="8" t="s">
        <v>684</v>
      </c>
      <c r="P2902" s="6" t="s">
        <v>167</v>
      </c>
      <c r="Q2902" s="8" t="s">
        <v>44</v>
      </c>
      <c r="R2902" s="10" t="s">
        <v>17565</v>
      </c>
      <c r="S2902" s="11" t="s">
        <v>17566</v>
      </c>
      <c r="T2902" s="6"/>
      <c r="U2902" s="24" t="str">
        <f>HYPERLINK("https://media.infra-m.ru/2199/2199631/cover/2199631.jpg", "Обложка")</f>
        <v>Обложка</v>
      </c>
      <c r="V2902" s="24" t="str">
        <f>HYPERLINK("https://znanium.ru/catalog/product/2157865", "Ознакомиться")</f>
        <v>Ознакомиться</v>
      </c>
      <c r="W2902" s="8" t="s">
        <v>7224</v>
      </c>
      <c r="X2902" s="6"/>
      <c r="Y2902" s="6"/>
      <c r="Z2902" s="6"/>
      <c r="AA2902" s="6" t="s">
        <v>418</v>
      </c>
      <c r="AB2902" s="8"/>
    </row>
    <row r="2903" spans="1:28" s="4" customFormat="1" ht="42" customHeight="1">
      <c r="A2903" s="5">
        <v>0</v>
      </c>
      <c r="B2903" s="6" t="s">
        <v>17567</v>
      </c>
      <c r="C2903" s="13">
        <v>1030</v>
      </c>
      <c r="D2903" s="8" t="s">
        <v>17568</v>
      </c>
      <c r="E2903" s="8" t="s">
        <v>17569</v>
      </c>
      <c r="F2903" s="8" t="s">
        <v>7222</v>
      </c>
      <c r="G2903" s="6" t="s">
        <v>38</v>
      </c>
      <c r="H2903" s="6" t="s">
        <v>438</v>
      </c>
      <c r="I2903" s="8"/>
      <c r="J2903" s="9">
        <v>1</v>
      </c>
      <c r="K2903" s="9">
        <v>200</v>
      </c>
      <c r="L2903" s="9">
        <v>2025</v>
      </c>
      <c r="M2903" s="8" t="s">
        <v>17570</v>
      </c>
      <c r="N2903" s="8" t="s">
        <v>79</v>
      </c>
      <c r="O2903" s="8" t="s">
        <v>684</v>
      </c>
      <c r="P2903" s="6" t="s">
        <v>167</v>
      </c>
      <c r="Q2903" s="8" t="s">
        <v>44</v>
      </c>
      <c r="R2903" s="10" t="s">
        <v>4553</v>
      </c>
      <c r="S2903" s="11"/>
      <c r="T2903" s="6"/>
      <c r="U2903" s="24" t="str">
        <f>HYPERLINK("https://media.infra-m.ru/2191/2191620/cover/2191620.jpg", "Обложка")</f>
        <v>Обложка</v>
      </c>
      <c r="V2903" s="24" t="str">
        <f>HYPERLINK("https://znanium.ru/catalog/product/2191620", "Ознакомиться")</f>
        <v>Ознакомиться</v>
      </c>
      <c r="W2903" s="8" t="s">
        <v>7224</v>
      </c>
      <c r="X2903" s="6"/>
      <c r="Y2903" s="6"/>
      <c r="Z2903" s="6"/>
      <c r="AA2903" s="6" t="s">
        <v>111</v>
      </c>
      <c r="AB2903" s="8"/>
    </row>
    <row r="2904" spans="1:28" s="4" customFormat="1" ht="51.95" customHeight="1">
      <c r="A2904" s="5">
        <v>0</v>
      </c>
      <c r="B2904" s="6" t="s">
        <v>17571</v>
      </c>
      <c r="C2904" s="13">
        <v>1420</v>
      </c>
      <c r="D2904" s="8" t="s">
        <v>17572</v>
      </c>
      <c r="E2904" s="8" t="s">
        <v>17573</v>
      </c>
      <c r="F2904" s="8" t="s">
        <v>17574</v>
      </c>
      <c r="G2904" s="6" t="s">
        <v>89</v>
      </c>
      <c r="H2904" s="6" t="s">
        <v>53</v>
      </c>
      <c r="I2904" s="8" t="s">
        <v>17575</v>
      </c>
      <c r="J2904" s="9">
        <v>1</v>
      </c>
      <c r="K2904" s="9">
        <v>307</v>
      </c>
      <c r="L2904" s="9">
        <v>2024</v>
      </c>
      <c r="M2904" s="8" t="s">
        <v>17576</v>
      </c>
      <c r="N2904" s="8" t="s">
        <v>41</v>
      </c>
      <c r="O2904" s="8" t="s">
        <v>129</v>
      </c>
      <c r="P2904" s="6" t="s">
        <v>43</v>
      </c>
      <c r="Q2904" s="8" t="s">
        <v>58</v>
      </c>
      <c r="R2904" s="10" t="s">
        <v>17577</v>
      </c>
      <c r="S2904" s="11" t="s">
        <v>17578</v>
      </c>
      <c r="T2904" s="6"/>
      <c r="U2904" s="24" t="str">
        <f>HYPERLINK("https://media.infra-m.ru/2118/2118061/cover/2118061.jpg", "Обложка")</f>
        <v>Обложка</v>
      </c>
      <c r="V2904" s="24" t="str">
        <f>HYPERLINK("https://znanium.ru/catalog/product/2118061", "Ознакомиться")</f>
        <v>Ознакомиться</v>
      </c>
      <c r="W2904" s="8" t="s">
        <v>716</v>
      </c>
      <c r="X2904" s="6"/>
      <c r="Y2904" s="6"/>
      <c r="Z2904" s="6"/>
      <c r="AA2904" s="6" t="s">
        <v>207</v>
      </c>
      <c r="AB2904" s="8"/>
    </row>
    <row r="2905" spans="1:28" s="4" customFormat="1" ht="51.95" customHeight="1">
      <c r="A2905" s="5">
        <v>0</v>
      </c>
      <c r="B2905" s="6" t="s">
        <v>17579</v>
      </c>
      <c r="C2905" s="13">
        <v>1220</v>
      </c>
      <c r="D2905" s="8" t="s">
        <v>17580</v>
      </c>
      <c r="E2905" s="8" t="s">
        <v>17581</v>
      </c>
      <c r="F2905" s="8" t="s">
        <v>6372</v>
      </c>
      <c r="G2905" s="6" t="s">
        <v>52</v>
      </c>
      <c r="H2905" s="6" t="s">
        <v>53</v>
      </c>
      <c r="I2905" s="8" t="s">
        <v>127</v>
      </c>
      <c r="J2905" s="9">
        <v>1</v>
      </c>
      <c r="K2905" s="9">
        <v>229</v>
      </c>
      <c r="L2905" s="9">
        <v>2024</v>
      </c>
      <c r="M2905" s="8" t="s">
        <v>17582</v>
      </c>
      <c r="N2905" s="8" t="s">
        <v>41</v>
      </c>
      <c r="O2905" s="8" t="s">
        <v>129</v>
      </c>
      <c r="P2905" s="6" t="s">
        <v>43</v>
      </c>
      <c r="Q2905" s="8" t="s">
        <v>58</v>
      </c>
      <c r="R2905" s="10" t="s">
        <v>17577</v>
      </c>
      <c r="S2905" s="11"/>
      <c r="T2905" s="6"/>
      <c r="U2905" s="24" t="str">
        <f>HYPERLINK("https://media.infra-m.ru/2143/2143075/cover/2143075.jpg", "Обложка")</f>
        <v>Обложка</v>
      </c>
      <c r="V2905" s="24" t="str">
        <f>HYPERLINK("https://znanium.ru/catalog/product/2143075", "Ознакомиться")</f>
        <v>Ознакомиться</v>
      </c>
      <c r="W2905" s="8" t="s">
        <v>131</v>
      </c>
      <c r="X2905" s="6" t="s">
        <v>1049</v>
      </c>
      <c r="Y2905" s="6"/>
      <c r="Z2905" s="6"/>
      <c r="AA2905" s="6" t="s">
        <v>133</v>
      </c>
      <c r="AB2905" s="8"/>
    </row>
    <row r="2906" spans="1:28" s="4" customFormat="1" ht="51.95" customHeight="1">
      <c r="A2906" s="5">
        <v>0</v>
      </c>
      <c r="B2906" s="6" t="s">
        <v>17583</v>
      </c>
      <c r="C2906" s="13">
        <v>1630</v>
      </c>
      <c r="D2906" s="8" t="s">
        <v>17584</v>
      </c>
      <c r="E2906" s="8" t="s">
        <v>17585</v>
      </c>
      <c r="F2906" s="8" t="s">
        <v>17586</v>
      </c>
      <c r="G2906" s="6" t="s">
        <v>89</v>
      </c>
      <c r="H2906" s="6" t="s">
        <v>53</v>
      </c>
      <c r="I2906" s="8" t="s">
        <v>116</v>
      </c>
      <c r="J2906" s="9">
        <v>1</v>
      </c>
      <c r="K2906" s="9">
        <v>326</v>
      </c>
      <c r="L2906" s="9">
        <v>2025</v>
      </c>
      <c r="M2906" s="8" t="s">
        <v>17587</v>
      </c>
      <c r="N2906" s="8" t="s">
        <v>41</v>
      </c>
      <c r="O2906" s="8" t="s">
        <v>129</v>
      </c>
      <c r="P2906" s="6" t="s">
        <v>167</v>
      </c>
      <c r="Q2906" s="8" t="s">
        <v>58</v>
      </c>
      <c r="R2906" s="10" t="s">
        <v>17577</v>
      </c>
      <c r="S2906" s="11"/>
      <c r="T2906" s="6"/>
      <c r="U2906" s="24" t="str">
        <f>HYPERLINK("https://media.infra-m.ru/2161/2161452/cover/2161452.jpg", "Обложка")</f>
        <v>Обложка</v>
      </c>
      <c r="V2906" s="24" t="str">
        <f>HYPERLINK("https://znanium.ru/catalog/product/2161452", "Ознакомиться")</f>
        <v>Ознакомиться</v>
      </c>
      <c r="W2906" s="8" t="s">
        <v>3605</v>
      </c>
      <c r="X2906" s="6"/>
      <c r="Y2906" s="6"/>
      <c r="Z2906" s="6" t="s">
        <v>2627</v>
      </c>
      <c r="AA2906" s="6" t="s">
        <v>207</v>
      </c>
      <c r="AB2906" s="8"/>
    </row>
    <row r="2907" spans="1:28" s="4" customFormat="1" ht="51.95" customHeight="1">
      <c r="A2907" s="5">
        <v>0</v>
      </c>
      <c r="B2907" s="6" t="s">
        <v>17588</v>
      </c>
      <c r="C2907" s="13">
        <v>1550</v>
      </c>
      <c r="D2907" s="8" t="s">
        <v>17589</v>
      </c>
      <c r="E2907" s="8" t="s">
        <v>17585</v>
      </c>
      <c r="F2907" s="8" t="s">
        <v>17586</v>
      </c>
      <c r="G2907" s="6" t="s">
        <v>89</v>
      </c>
      <c r="H2907" s="6" t="s">
        <v>53</v>
      </c>
      <c r="I2907" s="8" t="s">
        <v>100</v>
      </c>
      <c r="J2907" s="9">
        <v>1</v>
      </c>
      <c r="K2907" s="9">
        <v>326</v>
      </c>
      <c r="L2907" s="9">
        <v>2024</v>
      </c>
      <c r="M2907" s="8" t="s">
        <v>17590</v>
      </c>
      <c r="N2907" s="8" t="s">
        <v>41</v>
      </c>
      <c r="O2907" s="8" t="s">
        <v>129</v>
      </c>
      <c r="P2907" s="6" t="s">
        <v>167</v>
      </c>
      <c r="Q2907" s="8" t="s">
        <v>102</v>
      </c>
      <c r="R2907" s="10" t="s">
        <v>11353</v>
      </c>
      <c r="S2907" s="11" t="s">
        <v>17591</v>
      </c>
      <c r="T2907" s="6"/>
      <c r="U2907" s="24" t="str">
        <f>HYPERLINK("https://media.infra-m.ru/2085/2085116/cover/2085116.jpg", "Обложка")</f>
        <v>Обложка</v>
      </c>
      <c r="V2907" s="24" t="str">
        <f>HYPERLINK("https://znanium.ru/catalog/product/2085116", "Ознакомиться")</f>
        <v>Ознакомиться</v>
      </c>
      <c r="W2907" s="8" t="s">
        <v>3605</v>
      </c>
      <c r="X2907" s="6"/>
      <c r="Y2907" s="6"/>
      <c r="Z2907" s="6"/>
      <c r="AA2907" s="6" t="s">
        <v>207</v>
      </c>
      <c r="AB2907" s="8" t="s">
        <v>11412</v>
      </c>
    </row>
    <row r="2908" spans="1:28" s="4" customFormat="1" ht="42" customHeight="1">
      <c r="A2908" s="5">
        <v>0</v>
      </c>
      <c r="B2908" s="6" t="s">
        <v>17592</v>
      </c>
      <c r="C2908" s="13">
        <v>1230</v>
      </c>
      <c r="D2908" s="8" t="s">
        <v>17593</v>
      </c>
      <c r="E2908" s="8" t="s">
        <v>17585</v>
      </c>
      <c r="F2908" s="8" t="s">
        <v>17594</v>
      </c>
      <c r="G2908" s="6" t="s">
        <v>52</v>
      </c>
      <c r="H2908" s="6" t="s">
        <v>53</v>
      </c>
      <c r="I2908" s="8" t="s">
        <v>100</v>
      </c>
      <c r="J2908" s="9">
        <v>1</v>
      </c>
      <c r="K2908" s="9">
        <v>238</v>
      </c>
      <c r="L2908" s="9">
        <v>2025</v>
      </c>
      <c r="M2908" s="8" t="s">
        <v>17595</v>
      </c>
      <c r="N2908" s="8" t="s">
        <v>41</v>
      </c>
      <c r="O2908" s="8" t="s">
        <v>129</v>
      </c>
      <c r="P2908" s="6" t="s">
        <v>167</v>
      </c>
      <c r="Q2908" s="8" t="s">
        <v>102</v>
      </c>
      <c r="R2908" s="10" t="s">
        <v>11353</v>
      </c>
      <c r="S2908" s="11"/>
      <c r="T2908" s="6"/>
      <c r="U2908" s="24" t="str">
        <f>HYPERLINK("https://media.infra-m.ru/2091/2091838/cover/2091838.jpg", "Обложка")</f>
        <v>Обложка</v>
      </c>
      <c r="V2908" s="24" t="str">
        <f>HYPERLINK("https://znanium.ru/catalog/product/2091838", "Ознакомиться")</f>
        <v>Ознакомиться</v>
      </c>
      <c r="W2908" s="8" t="s">
        <v>17596</v>
      </c>
      <c r="X2908" s="6" t="s">
        <v>548</v>
      </c>
      <c r="Y2908" s="6"/>
      <c r="Z2908" s="6"/>
      <c r="AA2908" s="6" t="s">
        <v>61</v>
      </c>
      <c r="AB2908" s="8" t="s">
        <v>1879</v>
      </c>
    </row>
    <row r="2909" spans="1:28" s="4" customFormat="1" ht="51.95" customHeight="1">
      <c r="A2909" s="5">
        <v>0</v>
      </c>
      <c r="B2909" s="6" t="s">
        <v>17597</v>
      </c>
      <c r="C2909" s="13">
        <v>1270</v>
      </c>
      <c r="D2909" s="8" t="s">
        <v>17598</v>
      </c>
      <c r="E2909" s="8" t="s">
        <v>17599</v>
      </c>
      <c r="F2909" s="8" t="s">
        <v>17574</v>
      </c>
      <c r="G2909" s="6" t="s">
        <v>89</v>
      </c>
      <c r="H2909" s="6" t="s">
        <v>53</v>
      </c>
      <c r="I2909" s="8" t="s">
        <v>17575</v>
      </c>
      <c r="J2909" s="9">
        <v>1</v>
      </c>
      <c r="K2909" s="9">
        <v>276</v>
      </c>
      <c r="L2909" s="9">
        <v>2024</v>
      </c>
      <c r="M2909" s="8" t="s">
        <v>17600</v>
      </c>
      <c r="N2909" s="8" t="s">
        <v>41</v>
      </c>
      <c r="O2909" s="8" t="s">
        <v>129</v>
      </c>
      <c r="P2909" s="6" t="s">
        <v>43</v>
      </c>
      <c r="Q2909" s="8" t="s">
        <v>58</v>
      </c>
      <c r="R2909" s="10" t="s">
        <v>17577</v>
      </c>
      <c r="S2909" s="11" t="s">
        <v>17578</v>
      </c>
      <c r="T2909" s="6"/>
      <c r="U2909" s="24" t="str">
        <f>HYPERLINK("https://media.infra-m.ru/2118/2118062/cover/2118062.jpg", "Обложка")</f>
        <v>Обложка</v>
      </c>
      <c r="V2909" s="24" t="str">
        <f>HYPERLINK("https://znanium.ru/catalog/product/2118062", "Ознакомиться")</f>
        <v>Ознакомиться</v>
      </c>
      <c r="W2909" s="8" t="s">
        <v>716</v>
      </c>
      <c r="X2909" s="6"/>
      <c r="Y2909" s="6"/>
      <c r="Z2909" s="6"/>
      <c r="AA2909" s="6" t="s">
        <v>207</v>
      </c>
      <c r="AB2909" s="8"/>
    </row>
    <row r="2910" spans="1:28" s="4" customFormat="1" ht="51.95" customHeight="1">
      <c r="A2910" s="5">
        <v>0</v>
      </c>
      <c r="B2910" s="6" t="s">
        <v>17601</v>
      </c>
      <c r="C2910" s="13">
        <v>2020</v>
      </c>
      <c r="D2910" s="8" t="s">
        <v>17602</v>
      </c>
      <c r="E2910" s="8" t="s">
        <v>17603</v>
      </c>
      <c r="F2910" s="8" t="s">
        <v>17604</v>
      </c>
      <c r="G2910" s="6" t="s">
        <v>89</v>
      </c>
      <c r="H2910" s="6" t="s">
        <v>53</v>
      </c>
      <c r="I2910" s="8" t="s">
        <v>90</v>
      </c>
      <c r="J2910" s="9">
        <v>1</v>
      </c>
      <c r="K2910" s="9">
        <v>448</v>
      </c>
      <c r="L2910" s="9">
        <v>2023</v>
      </c>
      <c r="M2910" s="8" t="s">
        <v>17605</v>
      </c>
      <c r="N2910" s="8" t="s">
        <v>997</v>
      </c>
      <c r="O2910" s="8" t="s">
        <v>998</v>
      </c>
      <c r="P2910" s="6" t="s">
        <v>167</v>
      </c>
      <c r="Q2910" s="8" t="s">
        <v>44</v>
      </c>
      <c r="R2910" s="10" t="s">
        <v>17606</v>
      </c>
      <c r="S2910" s="11" t="s">
        <v>1599</v>
      </c>
      <c r="T2910" s="6" t="s">
        <v>299</v>
      </c>
      <c r="U2910" s="24" t="str">
        <f>HYPERLINK("https://media.infra-m.ru/1920/1920329/cover/1920329.jpg", "Обложка")</f>
        <v>Обложка</v>
      </c>
      <c r="V2910" s="24" t="str">
        <f>HYPERLINK("https://znanium.ru/catalog/product/1920329", "Ознакомиться")</f>
        <v>Ознакомиться</v>
      </c>
      <c r="W2910" s="8" t="s">
        <v>46</v>
      </c>
      <c r="X2910" s="6"/>
      <c r="Y2910" s="6"/>
      <c r="Z2910" s="6"/>
      <c r="AA2910" s="6" t="s">
        <v>418</v>
      </c>
      <c r="AB2910" s="8"/>
    </row>
    <row r="2911" spans="1:28" s="4" customFormat="1" ht="51.95" customHeight="1">
      <c r="A2911" s="5">
        <v>0</v>
      </c>
      <c r="B2911" s="6" t="s">
        <v>17607</v>
      </c>
      <c r="C2911" s="13">
        <v>2240</v>
      </c>
      <c r="D2911" s="8" t="s">
        <v>17608</v>
      </c>
      <c r="E2911" s="8" t="s">
        <v>17603</v>
      </c>
      <c r="F2911" s="8" t="s">
        <v>17604</v>
      </c>
      <c r="G2911" s="6" t="s">
        <v>52</v>
      </c>
      <c r="H2911" s="6" t="s">
        <v>53</v>
      </c>
      <c r="I2911" s="8" t="s">
        <v>100</v>
      </c>
      <c r="J2911" s="9">
        <v>1</v>
      </c>
      <c r="K2911" s="9">
        <v>448</v>
      </c>
      <c r="L2911" s="9">
        <v>2025</v>
      </c>
      <c r="M2911" s="8" t="s">
        <v>17609</v>
      </c>
      <c r="N2911" s="8" t="s">
        <v>997</v>
      </c>
      <c r="O2911" s="8" t="s">
        <v>998</v>
      </c>
      <c r="P2911" s="6" t="s">
        <v>167</v>
      </c>
      <c r="Q2911" s="8" t="s">
        <v>102</v>
      </c>
      <c r="R2911" s="10" t="s">
        <v>17610</v>
      </c>
      <c r="S2911" s="11" t="s">
        <v>17611</v>
      </c>
      <c r="T2911" s="6" t="s">
        <v>299</v>
      </c>
      <c r="U2911" s="24" t="str">
        <f>HYPERLINK("https://media.infra-m.ru/2192/2192001/cover/2192001.jpg", "Обложка")</f>
        <v>Обложка</v>
      </c>
      <c r="V2911" s="24" t="str">
        <f>HYPERLINK("https://znanium.ru/catalog/product/2192001", "Ознакомиться")</f>
        <v>Ознакомиться</v>
      </c>
      <c r="W2911" s="8" t="s">
        <v>46</v>
      </c>
      <c r="X2911" s="6"/>
      <c r="Y2911" s="6"/>
      <c r="Z2911" s="6" t="s">
        <v>104</v>
      </c>
      <c r="AA2911" s="6" t="s">
        <v>151</v>
      </c>
      <c r="AB2911" s="8" t="s">
        <v>2336</v>
      </c>
    </row>
    <row r="2912" spans="1:28" s="4" customFormat="1" ht="44.1" customHeight="1">
      <c r="A2912" s="5">
        <v>0</v>
      </c>
      <c r="B2912" s="6" t="s">
        <v>17612</v>
      </c>
      <c r="C2912" s="13">
        <v>1680</v>
      </c>
      <c r="D2912" s="8" t="s">
        <v>17613</v>
      </c>
      <c r="E2912" s="8" t="s">
        <v>17614</v>
      </c>
      <c r="F2912" s="8" t="s">
        <v>17615</v>
      </c>
      <c r="G2912" s="6" t="s">
        <v>89</v>
      </c>
      <c r="H2912" s="6" t="s">
        <v>53</v>
      </c>
      <c r="I2912" s="8" t="s">
        <v>100</v>
      </c>
      <c r="J2912" s="9">
        <v>1</v>
      </c>
      <c r="K2912" s="9">
        <v>336</v>
      </c>
      <c r="L2912" s="9">
        <v>2024</v>
      </c>
      <c r="M2912" s="8" t="s">
        <v>17616</v>
      </c>
      <c r="N2912" s="8" t="s">
        <v>79</v>
      </c>
      <c r="O2912" s="8" t="s">
        <v>174</v>
      </c>
      <c r="P2912" s="6" t="s">
        <v>43</v>
      </c>
      <c r="Q2912" s="8" t="s">
        <v>102</v>
      </c>
      <c r="R2912" s="10" t="s">
        <v>17617</v>
      </c>
      <c r="S2912" s="11"/>
      <c r="T2912" s="6"/>
      <c r="U2912" s="24" t="str">
        <f>HYPERLINK("https://media.infra-m.ru/2136/2136739/cover/2136739.jpg", "Обложка")</f>
        <v>Обложка</v>
      </c>
      <c r="V2912" s="24" t="str">
        <f>HYPERLINK("https://znanium.ru/catalog/product/2136739", "Ознакомиться")</f>
        <v>Ознакомиться</v>
      </c>
      <c r="W2912" s="8" t="s">
        <v>17618</v>
      </c>
      <c r="X2912" s="6"/>
      <c r="Y2912" s="6"/>
      <c r="Z2912" s="6"/>
      <c r="AA2912" s="6" t="s">
        <v>133</v>
      </c>
      <c r="AB2912" s="8" t="s">
        <v>1733</v>
      </c>
    </row>
    <row r="2913" spans="1:28" s="4" customFormat="1" ht="51.95" customHeight="1">
      <c r="A2913" s="5">
        <v>0</v>
      </c>
      <c r="B2913" s="6" t="s">
        <v>17619</v>
      </c>
      <c r="C2913" s="13">
        <v>2000</v>
      </c>
      <c r="D2913" s="8" t="s">
        <v>17620</v>
      </c>
      <c r="E2913" s="8" t="s">
        <v>17621</v>
      </c>
      <c r="F2913" s="8" t="s">
        <v>17622</v>
      </c>
      <c r="G2913" s="6" t="s">
        <v>89</v>
      </c>
      <c r="H2913" s="6" t="s">
        <v>53</v>
      </c>
      <c r="I2913" s="8" t="s">
        <v>100</v>
      </c>
      <c r="J2913" s="9">
        <v>1</v>
      </c>
      <c r="K2913" s="9">
        <v>400</v>
      </c>
      <c r="L2913" s="9">
        <v>2024</v>
      </c>
      <c r="M2913" s="8" t="s">
        <v>17623</v>
      </c>
      <c r="N2913" s="8" t="s">
        <v>79</v>
      </c>
      <c r="O2913" s="8" t="s">
        <v>174</v>
      </c>
      <c r="P2913" s="6" t="s">
        <v>43</v>
      </c>
      <c r="Q2913" s="8" t="s">
        <v>102</v>
      </c>
      <c r="R2913" s="10" t="s">
        <v>17624</v>
      </c>
      <c r="S2913" s="11"/>
      <c r="T2913" s="6"/>
      <c r="U2913" s="24" t="str">
        <f>HYPERLINK("https://media.infra-m.ru/2048/2048901/cover/2048901.jpg", "Обложка")</f>
        <v>Обложка</v>
      </c>
      <c r="V2913" s="24" t="str">
        <f>HYPERLINK("https://znanium.ru/catalog/product/2048901", "Ознакомиться")</f>
        <v>Ознакомиться</v>
      </c>
      <c r="W2913" s="8" t="s">
        <v>17625</v>
      </c>
      <c r="X2913" s="6"/>
      <c r="Y2913" s="6"/>
      <c r="Z2913" s="6"/>
      <c r="AA2913" s="6" t="s">
        <v>111</v>
      </c>
      <c r="AB2913" s="8"/>
    </row>
    <row r="2914" spans="1:28" s="4" customFormat="1" ht="51.95" customHeight="1">
      <c r="A2914" s="5">
        <v>0</v>
      </c>
      <c r="B2914" s="6" t="s">
        <v>17626</v>
      </c>
      <c r="C2914" s="7">
        <v>710</v>
      </c>
      <c r="D2914" s="8" t="s">
        <v>17627</v>
      </c>
      <c r="E2914" s="8" t="s">
        <v>17628</v>
      </c>
      <c r="F2914" s="8" t="s">
        <v>17629</v>
      </c>
      <c r="G2914" s="6" t="s">
        <v>38</v>
      </c>
      <c r="H2914" s="6" t="s">
        <v>438</v>
      </c>
      <c r="I2914" s="8" t="s">
        <v>116</v>
      </c>
      <c r="J2914" s="9">
        <v>1</v>
      </c>
      <c r="K2914" s="9">
        <v>110</v>
      </c>
      <c r="L2914" s="9">
        <v>2024</v>
      </c>
      <c r="M2914" s="8" t="s">
        <v>17630</v>
      </c>
      <c r="N2914" s="8" t="s">
        <v>79</v>
      </c>
      <c r="O2914" s="8" t="s">
        <v>684</v>
      </c>
      <c r="P2914" s="6" t="s">
        <v>167</v>
      </c>
      <c r="Q2914" s="8" t="s">
        <v>58</v>
      </c>
      <c r="R2914" s="10" t="s">
        <v>17631</v>
      </c>
      <c r="S2914" s="11" t="s">
        <v>17632</v>
      </c>
      <c r="T2914" s="6"/>
      <c r="U2914" s="24" t="str">
        <f>HYPERLINK("https://media.infra-m.ru/2075/2075175/cover/2075175.jpg", "Обложка")</f>
        <v>Обложка</v>
      </c>
      <c r="V2914" s="24" t="str">
        <f>HYPERLINK("https://znanium.ru/catalog/product/2075175", "Ознакомиться")</f>
        <v>Ознакомиться</v>
      </c>
      <c r="W2914" s="8" t="s">
        <v>7224</v>
      </c>
      <c r="X2914" s="6"/>
      <c r="Y2914" s="6"/>
      <c r="Z2914" s="6"/>
      <c r="AA2914" s="6" t="s">
        <v>111</v>
      </c>
      <c r="AB2914" s="8"/>
    </row>
    <row r="2915" spans="1:28" s="4" customFormat="1" ht="44.1" customHeight="1">
      <c r="A2915" s="5">
        <v>0</v>
      </c>
      <c r="B2915" s="6" t="s">
        <v>17633</v>
      </c>
      <c r="C2915" s="7">
        <v>774</v>
      </c>
      <c r="D2915" s="8" t="s">
        <v>17634</v>
      </c>
      <c r="E2915" s="8" t="s">
        <v>17635</v>
      </c>
      <c r="F2915" s="8" t="s">
        <v>17636</v>
      </c>
      <c r="G2915" s="6" t="s">
        <v>52</v>
      </c>
      <c r="H2915" s="6" t="s">
        <v>184</v>
      </c>
      <c r="I2915" s="8" t="s">
        <v>90</v>
      </c>
      <c r="J2915" s="9">
        <v>1</v>
      </c>
      <c r="K2915" s="9">
        <v>172</v>
      </c>
      <c r="L2915" s="9">
        <v>2023</v>
      </c>
      <c r="M2915" s="8" t="s">
        <v>17637</v>
      </c>
      <c r="N2915" s="8" t="s">
        <v>79</v>
      </c>
      <c r="O2915" s="8" t="s">
        <v>424</v>
      </c>
      <c r="P2915" s="6" t="s">
        <v>43</v>
      </c>
      <c r="Q2915" s="8" t="s">
        <v>44</v>
      </c>
      <c r="R2915" s="10" t="s">
        <v>14985</v>
      </c>
      <c r="S2915" s="11"/>
      <c r="T2915" s="6"/>
      <c r="U2915" s="24" t="str">
        <f>HYPERLINK("https://media.infra-m.ru/1998/1998738/cover/1998738.jpg", "Обложка")</f>
        <v>Обложка</v>
      </c>
      <c r="V2915" s="24" t="str">
        <f>HYPERLINK("https://znanium.ru/catalog/product/1039195", "Ознакомиться")</f>
        <v>Ознакомиться</v>
      </c>
      <c r="W2915" s="8" t="s">
        <v>470</v>
      </c>
      <c r="X2915" s="6"/>
      <c r="Y2915" s="6"/>
      <c r="Z2915" s="6"/>
      <c r="AA2915" s="6" t="s">
        <v>479</v>
      </c>
      <c r="AB2915" s="8"/>
    </row>
    <row r="2916" spans="1:28" s="4" customFormat="1" ht="51.95" customHeight="1">
      <c r="A2916" s="5">
        <v>0</v>
      </c>
      <c r="B2916" s="6" t="s">
        <v>17638</v>
      </c>
      <c r="C2916" s="13">
        <v>1080</v>
      </c>
      <c r="D2916" s="8" t="s">
        <v>17639</v>
      </c>
      <c r="E2916" s="8" t="s">
        <v>17640</v>
      </c>
      <c r="F2916" s="8" t="s">
        <v>17174</v>
      </c>
      <c r="G2916" s="6" t="s">
        <v>89</v>
      </c>
      <c r="H2916" s="6" t="s">
        <v>53</v>
      </c>
      <c r="I2916" s="8" t="s">
        <v>116</v>
      </c>
      <c r="J2916" s="9">
        <v>1</v>
      </c>
      <c r="K2916" s="9">
        <v>233</v>
      </c>
      <c r="L2916" s="9">
        <v>2024</v>
      </c>
      <c r="M2916" s="8" t="s">
        <v>17641</v>
      </c>
      <c r="N2916" s="8" t="s">
        <v>41</v>
      </c>
      <c r="O2916" s="8" t="s">
        <v>129</v>
      </c>
      <c r="P2916" s="6" t="s">
        <v>167</v>
      </c>
      <c r="Q2916" s="8" t="s">
        <v>58</v>
      </c>
      <c r="R2916" s="10" t="s">
        <v>17642</v>
      </c>
      <c r="S2916" s="11" t="s">
        <v>17643</v>
      </c>
      <c r="T2916" s="6"/>
      <c r="U2916" s="24" t="str">
        <f>HYPERLINK("https://media.infra-m.ru/2043/2043315/cover/2043315.jpg", "Обложка")</f>
        <v>Обложка</v>
      </c>
      <c r="V2916" s="24" t="str">
        <f>HYPERLINK("https://znanium.ru/catalog/product/2043315", "Ознакомиться")</f>
        <v>Ознакомиться</v>
      </c>
      <c r="W2916" s="8" t="s">
        <v>4293</v>
      </c>
      <c r="X2916" s="6"/>
      <c r="Y2916" s="6"/>
      <c r="Z2916" s="6"/>
      <c r="AA2916" s="6" t="s">
        <v>442</v>
      </c>
      <c r="AB2916" s="8"/>
    </row>
    <row r="2917" spans="1:28" s="4" customFormat="1" ht="51.95" customHeight="1">
      <c r="A2917" s="5">
        <v>0</v>
      </c>
      <c r="B2917" s="6" t="s">
        <v>17644</v>
      </c>
      <c r="C2917" s="13">
        <v>1170</v>
      </c>
      <c r="D2917" s="8" t="s">
        <v>17645</v>
      </c>
      <c r="E2917" s="8" t="s">
        <v>17646</v>
      </c>
      <c r="F2917" s="8" t="s">
        <v>17647</v>
      </c>
      <c r="G2917" s="6" t="s">
        <v>89</v>
      </c>
      <c r="H2917" s="6" t="s">
        <v>184</v>
      </c>
      <c r="I2917" s="8" t="s">
        <v>276</v>
      </c>
      <c r="J2917" s="9">
        <v>1</v>
      </c>
      <c r="K2917" s="9">
        <v>257</v>
      </c>
      <c r="L2917" s="9">
        <v>2023</v>
      </c>
      <c r="M2917" s="8" t="s">
        <v>17648</v>
      </c>
      <c r="N2917" s="8" t="s">
        <v>41</v>
      </c>
      <c r="O2917" s="8" t="s">
        <v>1007</v>
      </c>
      <c r="P2917" s="6" t="s">
        <v>43</v>
      </c>
      <c r="Q2917" s="8" t="s">
        <v>279</v>
      </c>
      <c r="R2917" s="10" t="s">
        <v>17649</v>
      </c>
      <c r="S2917" s="11"/>
      <c r="T2917" s="6" t="s">
        <v>299</v>
      </c>
      <c r="U2917" s="24" t="str">
        <f>HYPERLINK("https://media.infra-m.ru/1895/1895686/cover/1895686.jpg", "Обложка")</f>
        <v>Обложка</v>
      </c>
      <c r="V2917" s="24" t="str">
        <f>HYPERLINK("https://znanium.ru/catalog/product/2183583", "Ознакомиться")</f>
        <v>Ознакомиться</v>
      </c>
      <c r="W2917" s="8" t="s">
        <v>3201</v>
      </c>
      <c r="X2917" s="6"/>
      <c r="Y2917" s="6"/>
      <c r="Z2917" s="6"/>
      <c r="AA2917" s="6" t="s">
        <v>442</v>
      </c>
      <c r="AB2917" s="8"/>
    </row>
    <row r="2918" spans="1:28" s="4" customFormat="1" ht="51.95" customHeight="1">
      <c r="A2918" s="5">
        <v>0</v>
      </c>
      <c r="B2918" s="6" t="s">
        <v>17650</v>
      </c>
      <c r="C2918" s="7">
        <v>910</v>
      </c>
      <c r="D2918" s="8" t="s">
        <v>17651</v>
      </c>
      <c r="E2918" s="8" t="s">
        <v>17652</v>
      </c>
      <c r="F2918" s="8" t="s">
        <v>17653</v>
      </c>
      <c r="G2918" s="6" t="s">
        <v>52</v>
      </c>
      <c r="H2918" s="6" t="s">
        <v>674</v>
      </c>
      <c r="I2918" s="8"/>
      <c r="J2918" s="9">
        <v>1</v>
      </c>
      <c r="K2918" s="9">
        <v>180</v>
      </c>
      <c r="L2918" s="9">
        <v>2024</v>
      </c>
      <c r="M2918" s="8" t="s">
        <v>17654</v>
      </c>
      <c r="N2918" s="8" t="s">
        <v>41</v>
      </c>
      <c r="O2918" s="8" t="s">
        <v>676</v>
      </c>
      <c r="P2918" s="6" t="s">
        <v>43</v>
      </c>
      <c r="Q2918" s="8" t="s">
        <v>58</v>
      </c>
      <c r="R2918" s="10" t="s">
        <v>806</v>
      </c>
      <c r="S2918" s="11"/>
      <c r="T2918" s="6"/>
      <c r="U2918" s="24" t="str">
        <f>HYPERLINK("https://media.infra-m.ru/2123/2123873/cover/2123873.jpg", "Обложка")</f>
        <v>Обложка</v>
      </c>
      <c r="V2918" s="24" t="str">
        <f>HYPERLINK("https://znanium.ru/catalog/product/2123873", "Ознакомиться")</f>
        <v>Ознакомиться</v>
      </c>
      <c r="W2918" s="8" t="s">
        <v>17655</v>
      </c>
      <c r="X2918" s="6"/>
      <c r="Y2918" s="6"/>
      <c r="Z2918" s="6"/>
      <c r="AA2918" s="6" t="s">
        <v>133</v>
      </c>
      <c r="AB2918" s="8"/>
    </row>
    <row r="2919" spans="1:28" s="4" customFormat="1" ht="51.95" customHeight="1">
      <c r="A2919" s="5">
        <v>0</v>
      </c>
      <c r="B2919" s="6" t="s">
        <v>17656</v>
      </c>
      <c r="C2919" s="13">
        <v>1850</v>
      </c>
      <c r="D2919" s="8" t="s">
        <v>17657</v>
      </c>
      <c r="E2919" s="8" t="s">
        <v>17658</v>
      </c>
      <c r="F2919" s="8" t="s">
        <v>11416</v>
      </c>
      <c r="G2919" s="6" t="s">
        <v>89</v>
      </c>
      <c r="H2919" s="6" t="s">
        <v>53</v>
      </c>
      <c r="I2919" s="8"/>
      <c r="J2919" s="9">
        <v>1</v>
      </c>
      <c r="K2919" s="9">
        <v>630</v>
      </c>
      <c r="L2919" s="9">
        <v>2023</v>
      </c>
      <c r="M2919" s="8" t="s">
        <v>17659</v>
      </c>
      <c r="N2919" s="8" t="s">
        <v>41</v>
      </c>
      <c r="O2919" s="8" t="s">
        <v>676</v>
      </c>
      <c r="P2919" s="6" t="s">
        <v>17660</v>
      </c>
      <c r="Q2919" s="8" t="s">
        <v>58</v>
      </c>
      <c r="R2919" s="10" t="s">
        <v>17661</v>
      </c>
      <c r="S2919" s="11"/>
      <c r="T2919" s="6"/>
      <c r="U2919" s="24" t="str">
        <f>HYPERLINK("https://media.infra-m.ru/1986/1986690/cover/1986690.jpg", "Обложка")</f>
        <v>Обложка</v>
      </c>
      <c r="V2919" s="12"/>
      <c r="W2919" s="8" t="s">
        <v>6690</v>
      </c>
      <c r="X2919" s="6"/>
      <c r="Y2919" s="6"/>
      <c r="Z2919" s="6"/>
      <c r="AA2919" s="6" t="s">
        <v>219</v>
      </c>
      <c r="AB2919" s="8"/>
    </row>
    <row r="2920" spans="1:28" s="4" customFormat="1" ht="51.95" customHeight="1">
      <c r="A2920" s="5">
        <v>0</v>
      </c>
      <c r="B2920" s="6" t="s">
        <v>17662</v>
      </c>
      <c r="C2920" s="13">
        <v>1514</v>
      </c>
      <c r="D2920" s="8" t="s">
        <v>17663</v>
      </c>
      <c r="E2920" s="8" t="s">
        <v>17664</v>
      </c>
      <c r="F2920" s="8" t="s">
        <v>17665</v>
      </c>
      <c r="G2920" s="6" t="s">
        <v>89</v>
      </c>
      <c r="H2920" s="6" t="s">
        <v>184</v>
      </c>
      <c r="I2920" s="8" t="s">
        <v>116</v>
      </c>
      <c r="J2920" s="9">
        <v>1</v>
      </c>
      <c r="K2920" s="9">
        <v>332</v>
      </c>
      <c r="L2920" s="9">
        <v>2023</v>
      </c>
      <c r="M2920" s="8" t="s">
        <v>17666</v>
      </c>
      <c r="N2920" s="8" t="s">
        <v>41</v>
      </c>
      <c r="O2920" s="8" t="s">
        <v>676</v>
      </c>
      <c r="P2920" s="6" t="s">
        <v>167</v>
      </c>
      <c r="Q2920" s="8" t="s">
        <v>44</v>
      </c>
      <c r="R2920" s="10" t="s">
        <v>806</v>
      </c>
      <c r="S2920" s="11" t="s">
        <v>17667</v>
      </c>
      <c r="T2920" s="6"/>
      <c r="U2920" s="24" t="str">
        <f>HYPERLINK("https://media.infra-m.ru/2009/2009711/cover/2009711.jpg", "Обложка")</f>
        <v>Обложка</v>
      </c>
      <c r="V2920" s="24" t="str">
        <f>HYPERLINK("https://znanium.ru/catalog/product/2151161", "Ознакомиться")</f>
        <v>Ознакомиться</v>
      </c>
      <c r="W2920" s="8" t="s">
        <v>8709</v>
      </c>
      <c r="X2920" s="6"/>
      <c r="Y2920" s="6"/>
      <c r="Z2920" s="6"/>
      <c r="AA2920" s="6" t="s">
        <v>707</v>
      </c>
      <c r="AB2920" s="8"/>
    </row>
    <row r="2921" spans="1:28" s="4" customFormat="1" ht="51.95" customHeight="1">
      <c r="A2921" s="5">
        <v>0</v>
      </c>
      <c r="B2921" s="6" t="s">
        <v>17668</v>
      </c>
      <c r="C2921" s="13">
        <v>1804</v>
      </c>
      <c r="D2921" s="8" t="s">
        <v>17669</v>
      </c>
      <c r="E2921" s="8" t="s">
        <v>17670</v>
      </c>
      <c r="F2921" s="8" t="s">
        <v>17665</v>
      </c>
      <c r="G2921" s="6" t="s">
        <v>52</v>
      </c>
      <c r="H2921" s="6" t="s">
        <v>184</v>
      </c>
      <c r="I2921" s="8" t="s">
        <v>185</v>
      </c>
      <c r="J2921" s="9">
        <v>1</v>
      </c>
      <c r="K2921" s="9">
        <v>346</v>
      </c>
      <c r="L2921" s="9">
        <v>2025</v>
      </c>
      <c r="M2921" s="8" t="s">
        <v>17671</v>
      </c>
      <c r="N2921" s="8" t="s">
        <v>41</v>
      </c>
      <c r="O2921" s="8" t="s">
        <v>676</v>
      </c>
      <c r="P2921" s="6" t="s">
        <v>167</v>
      </c>
      <c r="Q2921" s="8" t="s">
        <v>102</v>
      </c>
      <c r="R2921" s="10" t="s">
        <v>256</v>
      </c>
      <c r="S2921" s="11" t="s">
        <v>17667</v>
      </c>
      <c r="T2921" s="6"/>
      <c r="U2921" s="24" t="str">
        <f>HYPERLINK("https://media.infra-m.ru/2202/2202108/cover/2202108.jpg", "Обложка")</f>
        <v>Обложка</v>
      </c>
      <c r="V2921" s="24" t="str">
        <f>HYPERLINK("https://znanium.ru/catalog/product/2139105", "Ознакомиться")</f>
        <v>Ознакомиться</v>
      </c>
      <c r="W2921" s="8" t="s">
        <v>8709</v>
      </c>
      <c r="X2921" s="6"/>
      <c r="Y2921" s="6"/>
      <c r="Z2921" s="6" t="s">
        <v>502</v>
      </c>
      <c r="AA2921" s="6" t="s">
        <v>105</v>
      </c>
      <c r="AB2921" s="8"/>
    </row>
    <row r="2922" spans="1:28" s="4" customFormat="1" ht="51.95" customHeight="1">
      <c r="A2922" s="5">
        <v>0</v>
      </c>
      <c r="B2922" s="6" t="s">
        <v>17672</v>
      </c>
      <c r="C2922" s="13">
        <v>1590</v>
      </c>
      <c r="D2922" s="8" t="s">
        <v>17673</v>
      </c>
      <c r="E2922" s="8" t="s">
        <v>17674</v>
      </c>
      <c r="F2922" s="8" t="s">
        <v>17665</v>
      </c>
      <c r="G2922" s="6" t="s">
        <v>89</v>
      </c>
      <c r="H2922" s="6" t="s">
        <v>184</v>
      </c>
      <c r="I2922" s="8" t="s">
        <v>116</v>
      </c>
      <c r="J2922" s="9">
        <v>1</v>
      </c>
      <c r="K2922" s="9">
        <v>331</v>
      </c>
      <c r="L2922" s="9">
        <v>2024</v>
      </c>
      <c r="M2922" s="8" t="s">
        <v>17675</v>
      </c>
      <c r="N2922" s="8" t="s">
        <v>41</v>
      </c>
      <c r="O2922" s="8" t="s">
        <v>676</v>
      </c>
      <c r="P2922" s="6" t="s">
        <v>167</v>
      </c>
      <c r="Q2922" s="8" t="s">
        <v>58</v>
      </c>
      <c r="R2922" s="10" t="s">
        <v>806</v>
      </c>
      <c r="S2922" s="11" t="s">
        <v>17667</v>
      </c>
      <c r="T2922" s="6" t="s">
        <v>299</v>
      </c>
      <c r="U2922" s="24" t="str">
        <f>HYPERLINK("https://media.infra-m.ru/2131/2131417/cover/2131417.jpg", "Обложка")</f>
        <v>Обложка</v>
      </c>
      <c r="V2922" s="24" t="str">
        <f>HYPERLINK("https://znanium.ru/catalog/product/2151161", "Ознакомиться")</f>
        <v>Ознакомиться</v>
      </c>
      <c r="W2922" s="8" t="s">
        <v>8709</v>
      </c>
      <c r="X2922" s="6"/>
      <c r="Y2922" s="6"/>
      <c r="Z2922" s="6"/>
      <c r="AA2922" s="6" t="s">
        <v>6038</v>
      </c>
      <c r="AB2922" s="8"/>
    </row>
    <row r="2923" spans="1:28" s="4" customFormat="1" ht="51.95" customHeight="1">
      <c r="A2923" s="5">
        <v>0</v>
      </c>
      <c r="B2923" s="6" t="s">
        <v>17676</v>
      </c>
      <c r="C2923" s="13">
        <v>1780</v>
      </c>
      <c r="D2923" s="8" t="s">
        <v>17677</v>
      </c>
      <c r="E2923" s="8" t="s">
        <v>17678</v>
      </c>
      <c r="F2923" s="8" t="s">
        <v>17665</v>
      </c>
      <c r="G2923" s="6" t="s">
        <v>52</v>
      </c>
      <c r="H2923" s="6" t="s">
        <v>184</v>
      </c>
      <c r="I2923" s="8" t="s">
        <v>116</v>
      </c>
      <c r="J2923" s="9">
        <v>1</v>
      </c>
      <c r="K2923" s="9">
        <v>355</v>
      </c>
      <c r="L2923" s="9">
        <v>2024</v>
      </c>
      <c r="M2923" s="8" t="s">
        <v>17679</v>
      </c>
      <c r="N2923" s="8" t="s">
        <v>41</v>
      </c>
      <c r="O2923" s="8" t="s">
        <v>676</v>
      </c>
      <c r="P2923" s="6" t="s">
        <v>167</v>
      </c>
      <c r="Q2923" s="8" t="s">
        <v>58</v>
      </c>
      <c r="R2923" s="10" t="s">
        <v>806</v>
      </c>
      <c r="S2923" s="11" t="s">
        <v>17667</v>
      </c>
      <c r="T2923" s="6"/>
      <c r="U2923" s="24" t="str">
        <f>HYPERLINK("https://media.infra-m.ru/2163/2163692/cover/2163692.jpg", "Обложка")</f>
        <v>Обложка</v>
      </c>
      <c r="V2923" s="24" t="str">
        <f>HYPERLINK("https://znanium.ru/catalog/product/2151161", "Ознакомиться")</f>
        <v>Ознакомиться</v>
      </c>
      <c r="W2923" s="8" t="s">
        <v>8709</v>
      </c>
      <c r="X2923" s="6"/>
      <c r="Y2923" s="6"/>
      <c r="Z2923" s="6"/>
      <c r="AA2923" s="6" t="s">
        <v>7125</v>
      </c>
      <c r="AB2923" s="8"/>
    </row>
    <row r="2924" spans="1:28" s="4" customFormat="1" ht="51.95" customHeight="1">
      <c r="A2924" s="5">
        <v>0</v>
      </c>
      <c r="B2924" s="6" t="s">
        <v>17680</v>
      </c>
      <c r="C2924" s="7">
        <v>560</v>
      </c>
      <c r="D2924" s="8" t="s">
        <v>17681</v>
      </c>
      <c r="E2924" s="8" t="s">
        <v>17670</v>
      </c>
      <c r="F2924" s="8" t="s">
        <v>17682</v>
      </c>
      <c r="G2924" s="6" t="s">
        <v>38</v>
      </c>
      <c r="H2924" s="6" t="s">
        <v>184</v>
      </c>
      <c r="I2924" s="8" t="s">
        <v>13321</v>
      </c>
      <c r="J2924" s="9">
        <v>1</v>
      </c>
      <c r="K2924" s="9">
        <v>281</v>
      </c>
      <c r="L2924" s="9">
        <v>2019</v>
      </c>
      <c r="M2924" s="8" t="s">
        <v>17683</v>
      </c>
      <c r="N2924" s="8" t="s">
        <v>41</v>
      </c>
      <c r="O2924" s="8" t="s">
        <v>676</v>
      </c>
      <c r="P2924" s="6" t="s">
        <v>43</v>
      </c>
      <c r="Q2924" s="8" t="s">
        <v>44</v>
      </c>
      <c r="R2924" s="10" t="s">
        <v>806</v>
      </c>
      <c r="S2924" s="11"/>
      <c r="T2924" s="6"/>
      <c r="U2924" s="24" t="str">
        <f>HYPERLINK("https://media.infra-m.ru/0999/0999590/cover/999590.jpg", "Обложка")</f>
        <v>Обложка</v>
      </c>
      <c r="V2924" s="24" t="str">
        <f>HYPERLINK("https://znanium.ru/catalog/product/2073484", "Ознакомиться")</f>
        <v>Ознакомиться</v>
      </c>
      <c r="W2924" s="8" t="s">
        <v>8709</v>
      </c>
      <c r="X2924" s="6"/>
      <c r="Y2924" s="6"/>
      <c r="Z2924" s="6"/>
      <c r="AA2924" s="6" t="s">
        <v>326</v>
      </c>
      <c r="AB2924" s="8"/>
    </row>
    <row r="2925" spans="1:28" s="4" customFormat="1" ht="51.95" customHeight="1">
      <c r="A2925" s="5">
        <v>0</v>
      </c>
      <c r="B2925" s="6" t="s">
        <v>17684</v>
      </c>
      <c r="C2925" s="7">
        <v>850</v>
      </c>
      <c r="D2925" s="8" t="s">
        <v>17685</v>
      </c>
      <c r="E2925" s="8" t="s">
        <v>17674</v>
      </c>
      <c r="F2925" s="8" t="s">
        <v>17665</v>
      </c>
      <c r="G2925" s="6" t="s">
        <v>38</v>
      </c>
      <c r="H2925" s="6" t="s">
        <v>184</v>
      </c>
      <c r="I2925" s="8" t="s">
        <v>116</v>
      </c>
      <c r="J2925" s="9">
        <v>1</v>
      </c>
      <c r="K2925" s="9">
        <v>282</v>
      </c>
      <c r="L2925" s="9">
        <v>2024</v>
      </c>
      <c r="M2925" s="8" t="s">
        <v>17686</v>
      </c>
      <c r="N2925" s="8" t="s">
        <v>41</v>
      </c>
      <c r="O2925" s="8" t="s">
        <v>676</v>
      </c>
      <c r="P2925" s="6" t="s">
        <v>43</v>
      </c>
      <c r="Q2925" s="8" t="s">
        <v>44</v>
      </c>
      <c r="R2925" s="10" t="s">
        <v>806</v>
      </c>
      <c r="S2925" s="11"/>
      <c r="T2925" s="6"/>
      <c r="U2925" s="24" t="str">
        <f>HYPERLINK("https://media.infra-m.ru/2073/2073484/cover/2073484.jpg", "Обложка")</f>
        <v>Обложка</v>
      </c>
      <c r="V2925" s="24" t="str">
        <f>HYPERLINK("https://znanium.ru/catalog/product/2073484", "Ознакомиться")</f>
        <v>Ознакомиться</v>
      </c>
      <c r="W2925" s="8" t="s">
        <v>8709</v>
      </c>
      <c r="X2925" s="6"/>
      <c r="Y2925" s="6"/>
      <c r="Z2925" s="6"/>
      <c r="AA2925" s="6" t="s">
        <v>6038</v>
      </c>
      <c r="AB2925" s="8"/>
    </row>
    <row r="2926" spans="1:28" s="4" customFormat="1" ht="51.95" customHeight="1">
      <c r="A2926" s="5">
        <v>0</v>
      </c>
      <c r="B2926" s="6" t="s">
        <v>17687</v>
      </c>
      <c r="C2926" s="7">
        <v>569.9</v>
      </c>
      <c r="D2926" s="8" t="s">
        <v>17688</v>
      </c>
      <c r="E2926" s="8" t="s">
        <v>17664</v>
      </c>
      <c r="F2926" s="8" t="s">
        <v>17665</v>
      </c>
      <c r="G2926" s="6" t="s">
        <v>38</v>
      </c>
      <c r="H2926" s="6" t="s">
        <v>184</v>
      </c>
      <c r="I2926" s="8" t="s">
        <v>13321</v>
      </c>
      <c r="J2926" s="9">
        <v>1</v>
      </c>
      <c r="K2926" s="9">
        <v>281</v>
      </c>
      <c r="L2926" s="9">
        <v>2019</v>
      </c>
      <c r="M2926" s="8" t="s">
        <v>17689</v>
      </c>
      <c r="N2926" s="8" t="s">
        <v>41</v>
      </c>
      <c r="O2926" s="8" t="s">
        <v>676</v>
      </c>
      <c r="P2926" s="6" t="s">
        <v>43</v>
      </c>
      <c r="Q2926" s="8" t="s">
        <v>44</v>
      </c>
      <c r="R2926" s="10" t="s">
        <v>806</v>
      </c>
      <c r="S2926" s="11"/>
      <c r="T2926" s="6"/>
      <c r="U2926" s="24" t="str">
        <f>HYPERLINK("https://media.infra-m.ru/1020/1020210/cover/1020210.jpg", "Обложка")</f>
        <v>Обложка</v>
      </c>
      <c r="V2926" s="24" t="str">
        <f>HYPERLINK("https://znanium.ru/catalog/product/2073484", "Ознакомиться")</f>
        <v>Ознакомиться</v>
      </c>
      <c r="W2926" s="8" t="s">
        <v>8709</v>
      </c>
      <c r="X2926" s="6"/>
      <c r="Y2926" s="6"/>
      <c r="Z2926" s="6"/>
      <c r="AA2926" s="6" t="s">
        <v>707</v>
      </c>
      <c r="AB2926" s="8"/>
    </row>
    <row r="2927" spans="1:28" s="4" customFormat="1" ht="51.95" customHeight="1">
      <c r="A2927" s="5">
        <v>0</v>
      </c>
      <c r="B2927" s="6" t="s">
        <v>17690</v>
      </c>
      <c r="C2927" s="13">
        <v>1110</v>
      </c>
      <c r="D2927" s="8" t="s">
        <v>17691</v>
      </c>
      <c r="E2927" s="8" t="s">
        <v>17692</v>
      </c>
      <c r="F2927" s="8" t="s">
        <v>17653</v>
      </c>
      <c r="G2927" s="6" t="s">
        <v>52</v>
      </c>
      <c r="H2927" s="6" t="s">
        <v>674</v>
      </c>
      <c r="I2927" s="8"/>
      <c r="J2927" s="9">
        <v>1</v>
      </c>
      <c r="K2927" s="9">
        <v>216</v>
      </c>
      <c r="L2927" s="9">
        <v>2025</v>
      </c>
      <c r="M2927" s="8" t="s">
        <v>17693</v>
      </c>
      <c r="N2927" s="8" t="s">
        <v>41</v>
      </c>
      <c r="O2927" s="8" t="s">
        <v>676</v>
      </c>
      <c r="P2927" s="6" t="s">
        <v>187</v>
      </c>
      <c r="Q2927" s="8" t="s">
        <v>44</v>
      </c>
      <c r="R2927" s="10" t="s">
        <v>17694</v>
      </c>
      <c r="S2927" s="11"/>
      <c r="T2927" s="6"/>
      <c r="U2927" s="24" t="str">
        <f>HYPERLINK("https://media.infra-m.ru/2174/2174381/cover/2174381.jpg", "Обложка")</f>
        <v>Обложка</v>
      </c>
      <c r="V2927" s="24" t="str">
        <f>HYPERLINK("https://znanium.ru/catalog/product/2174381", "Ознакомиться")</f>
        <v>Ознакомиться</v>
      </c>
      <c r="W2927" s="8" t="s">
        <v>17655</v>
      </c>
      <c r="X2927" s="6" t="s">
        <v>132</v>
      </c>
      <c r="Y2927" s="6"/>
      <c r="Z2927" s="6"/>
      <c r="AA2927" s="6" t="s">
        <v>61</v>
      </c>
      <c r="AB2927" s="8"/>
    </row>
    <row r="2928" spans="1:28" s="4" customFormat="1" ht="51.95" customHeight="1">
      <c r="A2928" s="5">
        <v>0</v>
      </c>
      <c r="B2928" s="6" t="s">
        <v>17695</v>
      </c>
      <c r="C2928" s="13">
        <v>1240</v>
      </c>
      <c r="D2928" s="8" t="s">
        <v>17696</v>
      </c>
      <c r="E2928" s="8" t="s">
        <v>17692</v>
      </c>
      <c r="F2928" s="8" t="s">
        <v>17665</v>
      </c>
      <c r="G2928" s="6" t="s">
        <v>52</v>
      </c>
      <c r="H2928" s="6" t="s">
        <v>184</v>
      </c>
      <c r="I2928" s="8" t="s">
        <v>185</v>
      </c>
      <c r="J2928" s="9">
        <v>1</v>
      </c>
      <c r="K2928" s="9">
        <v>326</v>
      </c>
      <c r="L2928" s="9">
        <v>2022</v>
      </c>
      <c r="M2928" s="8" t="s">
        <v>17697</v>
      </c>
      <c r="N2928" s="8" t="s">
        <v>41</v>
      </c>
      <c r="O2928" s="8" t="s">
        <v>676</v>
      </c>
      <c r="P2928" s="6" t="s">
        <v>167</v>
      </c>
      <c r="Q2928" s="8" t="s">
        <v>102</v>
      </c>
      <c r="R2928" s="10" t="s">
        <v>256</v>
      </c>
      <c r="S2928" s="11" t="s">
        <v>17667</v>
      </c>
      <c r="T2928" s="6" t="s">
        <v>299</v>
      </c>
      <c r="U2928" s="24" t="str">
        <f>HYPERLINK("https://media.infra-m.ru/1844/1844547/cover/1844547.jpg", "Обложка")</f>
        <v>Обложка</v>
      </c>
      <c r="V2928" s="24" t="str">
        <f>HYPERLINK("https://znanium.ru/catalog/product/2139105", "Ознакомиться")</f>
        <v>Ознакомиться</v>
      </c>
      <c r="W2928" s="8" t="s">
        <v>8709</v>
      </c>
      <c r="X2928" s="6"/>
      <c r="Y2928" s="6"/>
      <c r="Z2928" s="6" t="s">
        <v>502</v>
      </c>
      <c r="AA2928" s="6" t="s">
        <v>235</v>
      </c>
      <c r="AB2928" s="8"/>
    </row>
    <row r="2929" spans="1:28" s="4" customFormat="1" ht="51.95" customHeight="1">
      <c r="A2929" s="5">
        <v>0</v>
      </c>
      <c r="B2929" s="6" t="s">
        <v>17698</v>
      </c>
      <c r="C2929" s="7">
        <v>950</v>
      </c>
      <c r="D2929" s="8" t="s">
        <v>17699</v>
      </c>
      <c r="E2929" s="8" t="s">
        <v>17670</v>
      </c>
      <c r="F2929" s="8" t="s">
        <v>17665</v>
      </c>
      <c r="G2929" s="6" t="s">
        <v>89</v>
      </c>
      <c r="H2929" s="6" t="s">
        <v>184</v>
      </c>
      <c r="I2929" s="8" t="s">
        <v>90</v>
      </c>
      <c r="J2929" s="9">
        <v>1</v>
      </c>
      <c r="K2929" s="9">
        <v>324</v>
      </c>
      <c r="L2929" s="9">
        <v>2018</v>
      </c>
      <c r="M2929" s="8" t="s">
        <v>17700</v>
      </c>
      <c r="N2929" s="8" t="s">
        <v>41</v>
      </c>
      <c r="O2929" s="8" t="s">
        <v>676</v>
      </c>
      <c r="P2929" s="6" t="s">
        <v>167</v>
      </c>
      <c r="Q2929" s="8" t="s">
        <v>44</v>
      </c>
      <c r="R2929" s="10" t="s">
        <v>806</v>
      </c>
      <c r="S2929" s="11" t="s">
        <v>17667</v>
      </c>
      <c r="T2929" s="6" t="s">
        <v>299</v>
      </c>
      <c r="U2929" s="24" t="str">
        <f>HYPERLINK("https://media.infra-m.ru/0961/0961749/cover/961749.jpg", "Обложка")</f>
        <v>Обложка</v>
      </c>
      <c r="V2929" s="24" t="str">
        <f>HYPERLINK("https://znanium.ru/catalog/product/2151161", "Ознакомиться")</f>
        <v>Ознакомиться</v>
      </c>
      <c r="W2929" s="8" t="s">
        <v>8709</v>
      </c>
      <c r="X2929" s="6"/>
      <c r="Y2929" s="6"/>
      <c r="Z2929" s="6"/>
      <c r="AA2929" s="6" t="s">
        <v>326</v>
      </c>
      <c r="AB2929" s="8"/>
    </row>
    <row r="2930" spans="1:28" s="4" customFormat="1" ht="51.95" customHeight="1">
      <c r="A2930" s="5">
        <v>0</v>
      </c>
      <c r="B2930" s="6" t="s">
        <v>17701</v>
      </c>
      <c r="C2930" s="13">
        <v>1444</v>
      </c>
      <c r="D2930" s="8" t="s">
        <v>17702</v>
      </c>
      <c r="E2930" s="8" t="s">
        <v>17703</v>
      </c>
      <c r="F2930" s="8" t="s">
        <v>17704</v>
      </c>
      <c r="G2930" s="6" t="s">
        <v>52</v>
      </c>
      <c r="H2930" s="6" t="s">
        <v>649</v>
      </c>
      <c r="I2930" s="8" t="s">
        <v>185</v>
      </c>
      <c r="J2930" s="9">
        <v>1</v>
      </c>
      <c r="K2930" s="9">
        <v>288</v>
      </c>
      <c r="L2930" s="9">
        <v>2025</v>
      </c>
      <c r="M2930" s="8" t="s">
        <v>17705</v>
      </c>
      <c r="N2930" s="8" t="s">
        <v>41</v>
      </c>
      <c r="O2930" s="8" t="s">
        <v>1007</v>
      </c>
      <c r="P2930" s="6" t="s">
        <v>43</v>
      </c>
      <c r="Q2930" s="8" t="s">
        <v>102</v>
      </c>
      <c r="R2930" s="10" t="s">
        <v>1656</v>
      </c>
      <c r="S2930" s="11" t="s">
        <v>17706</v>
      </c>
      <c r="T2930" s="6"/>
      <c r="U2930" s="24" t="str">
        <f>HYPERLINK("https://media.infra-m.ru/2188/2188218/cover/2188218.jpg", "Обложка")</f>
        <v>Обложка</v>
      </c>
      <c r="V2930" s="24" t="str">
        <f>HYPERLINK("https://znanium.ru/catalog/product/1836608", "Ознакомиться")</f>
        <v>Ознакомиться</v>
      </c>
      <c r="W2930" s="8" t="s">
        <v>83</v>
      </c>
      <c r="X2930" s="6"/>
      <c r="Y2930" s="6"/>
      <c r="Z2930" s="6"/>
      <c r="AA2930" s="6" t="s">
        <v>494</v>
      </c>
      <c r="AB2930" s="8"/>
    </row>
    <row r="2931" spans="1:28" s="4" customFormat="1" ht="51.95" customHeight="1">
      <c r="A2931" s="5">
        <v>0</v>
      </c>
      <c r="B2931" s="6" t="s">
        <v>17707</v>
      </c>
      <c r="C2931" s="13">
        <v>2794</v>
      </c>
      <c r="D2931" s="8" t="s">
        <v>17708</v>
      </c>
      <c r="E2931" s="8" t="s">
        <v>17709</v>
      </c>
      <c r="F2931" s="8" t="s">
        <v>8281</v>
      </c>
      <c r="G2931" s="6" t="s">
        <v>89</v>
      </c>
      <c r="H2931" s="6" t="s">
        <v>39</v>
      </c>
      <c r="I2931" s="8" t="s">
        <v>100</v>
      </c>
      <c r="J2931" s="9">
        <v>1</v>
      </c>
      <c r="K2931" s="9">
        <v>560</v>
      </c>
      <c r="L2931" s="9">
        <v>2025</v>
      </c>
      <c r="M2931" s="8" t="s">
        <v>17710</v>
      </c>
      <c r="N2931" s="8" t="s">
        <v>79</v>
      </c>
      <c r="O2931" s="8" t="s">
        <v>80</v>
      </c>
      <c r="P2931" s="6" t="s">
        <v>43</v>
      </c>
      <c r="Q2931" s="8" t="s">
        <v>102</v>
      </c>
      <c r="R2931" s="10" t="s">
        <v>17711</v>
      </c>
      <c r="S2931" s="11" t="s">
        <v>1166</v>
      </c>
      <c r="T2931" s="6"/>
      <c r="U2931" s="24" t="str">
        <f>HYPERLINK("https://media.infra-m.ru/2188/2188265/cover/2188265.jpg", "Обложка")</f>
        <v>Обложка</v>
      </c>
      <c r="V2931" s="24" t="str">
        <f>HYPERLINK("https://znanium.ru/catalog/product/1189335", "Ознакомиться")</f>
        <v>Ознакомиться</v>
      </c>
      <c r="W2931" s="8" t="s">
        <v>243</v>
      </c>
      <c r="X2931" s="6"/>
      <c r="Y2931" s="6"/>
      <c r="Z2931" s="6"/>
      <c r="AA2931" s="6" t="s">
        <v>2202</v>
      </c>
      <c r="AB2931" s="8"/>
    </row>
    <row r="2932" spans="1:28" s="4" customFormat="1" ht="51.95" customHeight="1">
      <c r="A2932" s="5">
        <v>0</v>
      </c>
      <c r="B2932" s="6" t="s">
        <v>17712</v>
      </c>
      <c r="C2932" s="13">
        <v>1530</v>
      </c>
      <c r="D2932" s="8" t="s">
        <v>17713</v>
      </c>
      <c r="E2932" s="8" t="s">
        <v>17714</v>
      </c>
      <c r="F2932" s="8" t="s">
        <v>17715</v>
      </c>
      <c r="G2932" s="6" t="s">
        <v>89</v>
      </c>
      <c r="H2932" s="6" t="s">
        <v>438</v>
      </c>
      <c r="I2932" s="8"/>
      <c r="J2932" s="9">
        <v>1</v>
      </c>
      <c r="K2932" s="9">
        <v>304</v>
      </c>
      <c r="L2932" s="9">
        <v>2025</v>
      </c>
      <c r="M2932" s="8" t="s">
        <v>17716</v>
      </c>
      <c r="N2932" s="8" t="s">
        <v>79</v>
      </c>
      <c r="O2932" s="8" t="s">
        <v>80</v>
      </c>
      <c r="P2932" s="6" t="s">
        <v>167</v>
      </c>
      <c r="Q2932" s="8" t="s">
        <v>102</v>
      </c>
      <c r="R2932" s="10" t="s">
        <v>17717</v>
      </c>
      <c r="S2932" s="11"/>
      <c r="T2932" s="6"/>
      <c r="U2932" s="24" t="str">
        <f>HYPERLINK("https://media.infra-m.ru/2184/2184032/cover/2184032.jpg", "Обложка")</f>
        <v>Обложка</v>
      </c>
      <c r="V2932" s="24" t="str">
        <f>HYPERLINK("https://znanium.ru/catalog/product/2184032", "Ознакомиться")</f>
        <v>Ознакомиться</v>
      </c>
      <c r="W2932" s="8" t="s">
        <v>17718</v>
      </c>
      <c r="X2932" s="6"/>
      <c r="Y2932" s="6" t="s">
        <v>30</v>
      </c>
      <c r="Z2932" s="6"/>
      <c r="AA2932" s="6" t="s">
        <v>151</v>
      </c>
      <c r="AB2932" s="8"/>
    </row>
    <row r="2933" spans="1:28" s="4" customFormat="1" ht="51.95" customHeight="1">
      <c r="A2933" s="5">
        <v>0</v>
      </c>
      <c r="B2933" s="6" t="s">
        <v>17719</v>
      </c>
      <c r="C2933" s="7">
        <v>800</v>
      </c>
      <c r="D2933" s="8" t="s">
        <v>17720</v>
      </c>
      <c r="E2933" s="8" t="s">
        <v>17721</v>
      </c>
      <c r="F2933" s="8" t="s">
        <v>17722</v>
      </c>
      <c r="G2933" s="6" t="s">
        <v>89</v>
      </c>
      <c r="H2933" s="6" t="s">
        <v>53</v>
      </c>
      <c r="I2933" s="8" t="s">
        <v>100</v>
      </c>
      <c r="J2933" s="9">
        <v>1</v>
      </c>
      <c r="K2933" s="9">
        <v>160</v>
      </c>
      <c r="L2933" s="9">
        <v>2025</v>
      </c>
      <c r="M2933" s="8" t="s">
        <v>17723</v>
      </c>
      <c r="N2933" s="8" t="s">
        <v>79</v>
      </c>
      <c r="O2933" s="8" t="s">
        <v>80</v>
      </c>
      <c r="P2933" s="6" t="s">
        <v>43</v>
      </c>
      <c r="Q2933" s="8" t="s">
        <v>102</v>
      </c>
      <c r="R2933" s="10" t="s">
        <v>17724</v>
      </c>
      <c r="S2933" s="11" t="s">
        <v>4188</v>
      </c>
      <c r="T2933" s="6" t="s">
        <v>299</v>
      </c>
      <c r="U2933" s="24" t="str">
        <f>HYPERLINK("https://media.infra-m.ru/2178/2178800/cover/2178800.jpg", "Обложка")</f>
        <v>Обложка</v>
      </c>
      <c r="V2933" s="24" t="str">
        <f>HYPERLINK("https://znanium.ru/catalog/product/2178800", "Ознакомиться")</f>
        <v>Ознакомиться</v>
      </c>
      <c r="W2933" s="8" t="s">
        <v>2201</v>
      </c>
      <c r="X2933" s="6"/>
      <c r="Y2933" s="6"/>
      <c r="Z2933" s="6" t="s">
        <v>104</v>
      </c>
      <c r="AA2933" s="6" t="s">
        <v>151</v>
      </c>
      <c r="AB2933" s="8"/>
    </row>
    <row r="2934" spans="1:28" s="4" customFormat="1" ht="51.95" customHeight="1">
      <c r="A2934" s="5">
        <v>0</v>
      </c>
      <c r="B2934" s="6" t="s">
        <v>17725</v>
      </c>
      <c r="C2934" s="7">
        <v>804</v>
      </c>
      <c r="D2934" s="8" t="s">
        <v>17726</v>
      </c>
      <c r="E2934" s="8" t="s">
        <v>17721</v>
      </c>
      <c r="F2934" s="8" t="s">
        <v>17722</v>
      </c>
      <c r="G2934" s="6" t="s">
        <v>38</v>
      </c>
      <c r="H2934" s="6" t="s">
        <v>53</v>
      </c>
      <c r="I2934" s="8" t="s">
        <v>90</v>
      </c>
      <c r="J2934" s="9">
        <v>1</v>
      </c>
      <c r="K2934" s="9">
        <v>160</v>
      </c>
      <c r="L2934" s="9">
        <v>2025</v>
      </c>
      <c r="M2934" s="8" t="s">
        <v>17727</v>
      </c>
      <c r="N2934" s="8" t="s">
        <v>79</v>
      </c>
      <c r="O2934" s="8" t="s">
        <v>80</v>
      </c>
      <c r="P2934" s="6" t="s">
        <v>43</v>
      </c>
      <c r="Q2934" s="8" t="s">
        <v>44</v>
      </c>
      <c r="R2934" s="10" t="s">
        <v>17728</v>
      </c>
      <c r="S2934" s="11" t="s">
        <v>17729</v>
      </c>
      <c r="T2934" s="6" t="s">
        <v>299</v>
      </c>
      <c r="U2934" s="24" t="str">
        <f>HYPERLINK("https://media.infra-m.ru/2186/2186224/cover/2186224.jpg", "Обложка")</f>
        <v>Обложка</v>
      </c>
      <c r="V2934" s="24" t="str">
        <f>HYPERLINK("https://znanium.ru/catalog/product/2000878", "Ознакомиться")</f>
        <v>Ознакомиться</v>
      </c>
      <c r="W2934" s="8" t="s">
        <v>2201</v>
      </c>
      <c r="X2934" s="6"/>
      <c r="Y2934" s="6"/>
      <c r="Z2934" s="6"/>
      <c r="AA2934" s="6" t="s">
        <v>418</v>
      </c>
      <c r="AB2934" s="8"/>
    </row>
    <row r="2935" spans="1:28" s="4" customFormat="1" ht="51.95" customHeight="1">
      <c r="A2935" s="5">
        <v>0</v>
      </c>
      <c r="B2935" s="6" t="s">
        <v>17730</v>
      </c>
      <c r="C2935" s="7">
        <v>944</v>
      </c>
      <c r="D2935" s="8" t="s">
        <v>17731</v>
      </c>
      <c r="E2935" s="8" t="s">
        <v>17732</v>
      </c>
      <c r="F2935" s="8" t="s">
        <v>17733</v>
      </c>
      <c r="G2935" s="6" t="s">
        <v>52</v>
      </c>
      <c r="H2935" s="6" t="s">
        <v>53</v>
      </c>
      <c r="I2935" s="8" t="s">
        <v>90</v>
      </c>
      <c r="J2935" s="9">
        <v>20</v>
      </c>
      <c r="K2935" s="9">
        <v>187</v>
      </c>
      <c r="L2935" s="9">
        <v>2024</v>
      </c>
      <c r="M2935" s="8" t="s">
        <v>17734</v>
      </c>
      <c r="N2935" s="8" t="s">
        <v>41</v>
      </c>
      <c r="O2935" s="8" t="s">
        <v>118</v>
      </c>
      <c r="P2935" s="6" t="s">
        <v>43</v>
      </c>
      <c r="Q2935" s="8" t="s">
        <v>44</v>
      </c>
      <c r="R2935" s="10" t="s">
        <v>1251</v>
      </c>
      <c r="S2935" s="11" t="s">
        <v>17735</v>
      </c>
      <c r="T2935" s="6"/>
      <c r="U2935" s="24" t="str">
        <f>HYPERLINK("https://media.infra-m.ru/2163/2163208/cover/2163208.jpg", "Обложка")</f>
        <v>Обложка</v>
      </c>
      <c r="V2935" s="24" t="str">
        <f>HYPERLINK("https://znanium.ru/catalog/product/2157704", "Ознакомиться")</f>
        <v>Ознакомиться</v>
      </c>
      <c r="W2935" s="8" t="s">
        <v>347</v>
      </c>
      <c r="X2935" s="6"/>
      <c r="Y2935" s="6"/>
      <c r="Z2935" s="6"/>
      <c r="AA2935" s="6" t="s">
        <v>2217</v>
      </c>
      <c r="AB2935" s="8"/>
    </row>
    <row r="2936" spans="1:28" s="4" customFormat="1" ht="42" customHeight="1">
      <c r="A2936" s="5">
        <v>0</v>
      </c>
      <c r="B2936" s="6" t="s">
        <v>17736</v>
      </c>
      <c r="C2936" s="13">
        <v>1900</v>
      </c>
      <c r="D2936" s="8" t="s">
        <v>17737</v>
      </c>
      <c r="E2936" s="8" t="s">
        <v>17738</v>
      </c>
      <c r="F2936" s="8" t="s">
        <v>17739</v>
      </c>
      <c r="G2936" s="6" t="s">
        <v>52</v>
      </c>
      <c r="H2936" s="6" t="s">
        <v>53</v>
      </c>
      <c r="I2936" s="8" t="s">
        <v>165</v>
      </c>
      <c r="J2936" s="9">
        <v>1</v>
      </c>
      <c r="K2936" s="9">
        <v>413</v>
      </c>
      <c r="L2936" s="9">
        <v>2024</v>
      </c>
      <c r="M2936" s="8" t="s">
        <v>17740</v>
      </c>
      <c r="N2936" s="8" t="s">
        <v>41</v>
      </c>
      <c r="O2936" s="8" t="s">
        <v>118</v>
      </c>
      <c r="P2936" s="6" t="s">
        <v>167</v>
      </c>
      <c r="Q2936" s="8" t="s">
        <v>58</v>
      </c>
      <c r="R2936" s="10" t="s">
        <v>17741</v>
      </c>
      <c r="S2936" s="11"/>
      <c r="T2936" s="6"/>
      <c r="U2936" s="24" t="str">
        <f>HYPERLINK("https://media.infra-m.ru/2127/2127803/cover/2127803.jpg", "Обложка")</f>
        <v>Обложка</v>
      </c>
      <c r="V2936" s="24" t="str">
        <f>HYPERLINK("https://znanium.ru/catalog/product/2127803", "Ознакомиться")</f>
        <v>Ознакомиться</v>
      </c>
      <c r="W2936" s="8" t="s">
        <v>83</v>
      </c>
      <c r="X2936" s="6"/>
      <c r="Y2936" s="6"/>
      <c r="Z2936" s="6"/>
      <c r="AA2936" s="6" t="s">
        <v>133</v>
      </c>
      <c r="AB2936" s="8"/>
    </row>
    <row r="2937" spans="1:28" s="4" customFormat="1" ht="51.95" customHeight="1">
      <c r="A2937" s="5">
        <v>0</v>
      </c>
      <c r="B2937" s="6" t="s">
        <v>17742</v>
      </c>
      <c r="C2937" s="7">
        <v>554</v>
      </c>
      <c r="D2937" s="8" t="s">
        <v>17743</v>
      </c>
      <c r="E2937" s="8" t="s">
        <v>17744</v>
      </c>
      <c r="F2937" s="8" t="s">
        <v>2942</v>
      </c>
      <c r="G2937" s="6" t="s">
        <v>52</v>
      </c>
      <c r="H2937" s="6" t="s">
        <v>184</v>
      </c>
      <c r="I2937" s="8" t="s">
        <v>90</v>
      </c>
      <c r="J2937" s="9">
        <v>1</v>
      </c>
      <c r="K2937" s="9">
        <v>109</v>
      </c>
      <c r="L2937" s="9">
        <v>2025</v>
      </c>
      <c r="M2937" s="8" t="s">
        <v>17745</v>
      </c>
      <c r="N2937" s="8" t="s">
        <v>79</v>
      </c>
      <c r="O2937" s="8" t="s">
        <v>424</v>
      </c>
      <c r="P2937" s="6" t="s">
        <v>43</v>
      </c>
      <c r="Q2937" s="8" t="s">
        <v>44</v>
      </c>
      <c r="R2937" s="10" t="s">
        <v>17746</v>
      </c>
      <c r="S2937" s="11" t="s">
        <v>2945</v>
      </c>
      <c r="T2937" s="6"/>
      <c r="U2937" s="24" t="str">
        <f>HYPERLINK("https://media.infra-m.ru/2163/2163878/cover/2163878.jpg", "Обложка")</f>
        <v>Обложка</v>
      </c>
      <c r="V2937" s="24" t="str">
        <f>HYPERLINK("https://znanium.ru/catalog/product/1081380", "Ознакомиться")</f>
        <v>Ознакомиться</v>
      </c>
      <c r="W2937" s="8" t="s">
        <v>2946</v>
      </c>
      <c r="X2937" s="6"/>
      <c r="Y2937" s="6"/>
      <c r="Z2937" s="6"/>
      <c r="AA2937" s="6" t="s">
        <v>84</v>
      </c>
      <c r="AB2937" s="8"/>
    </row>
    <row r="2938" spans="1:28" s="4" customFormat="1" ht="51.95" customHeight="1">
      <c r="A2938" s="5">
        <v>0</v>
      </c>
      <c r="B2938" s="6" t="s">
        <v>17747</v>
      </c>
      <c r="C2938" s="7">
        <v>950</v>
      </c>
      <c r="D2938" s="8" t="s">
        <v>17748</v>
      </c>
      <c r="E2938" s="8" t="s">
        <v>17749</v>
      </c>
      <c r="F2938" s="8" t="s">
        <v>17750</v>
      </c>
      <c r="G2938" s="6" t="s">
        <v>89</v>
      </c>
      <c r="H2938" s="6" t="s">
        <v>53</v>
      </c>
      <c r="I2938" s="8" t="s">
        <v>116</v>
      </c>
      <c r="J2938" s="9">
        <v>1</v>
      </c>
      <c r="K2938" s="9">
        <v>178</v>
      </c>
      <c r="L2938" s="9">
        <v>2025</v>
      </c>
      <c r="M2938" s="8" t="s">
        <v>17751</v>
      </c>
      <c r="N2938" s="8" t="s">
        <v>41</v>
      </c>
      <c r="O2938" s="8" t="s">
        <v>1007</v>
      </c>
      <c r="P2938" s="6" t="s">
        <v>43</v>
      </c>
      <c r="Q2938" s="8" t="s">
        <v>214</v>
      </c>
      <c r="R2938" s="10" t="s">
        <v>6758</v>
      </c>
      <c r="S2938" s="11" t="s">
        <v>17752</v>
      </c>
      <c r="T2938" s="6"/>
      <c r="U2938" s="24" t="str">
        <f>HYPERLINK("https://media.infra-m.ru/2184/2184896/cover/2184896.jpg", "Обложка")</f>
        <v>Обложка</v>
      </c>
      <c r="V2938" s="24" t="str">
        <f>HYPERLINK("https://znanium.ru/catalog/product/2184896", "Ознакомиться")</f>
        <v>Ознакомиться</v>
      </c>
      <c r="W2938" s="8" t="s">
        <v>1064</v>
      </c>
      <c r="X2938" s="6"/>
      <c r="Y2938" s="6"/>
      <c r="Z2938" s="6"/>
      <c r="AA2938" s="6" t="s">
        <v>207</v>
      </c>
      <c r="AB2938" s="8"/>
    </row>
    <row r="2939" spans="1:28" s="4" customFormat="1" ht="51.95" customHeight="1">
      <c r="A2939" s="5">
        <v>0</v>
      </c>
      <c r="B2939" s="6" t="s">
        <v>17753</v>
      </c>
      <c r="C2939" s="13">
        <v>1784</v>
      </c>
      <c r="D2939" s="8" t="s">
        <v>17754</v>
      </c>
      <c r="E2939" s="8" t="s">
        <v>17755</v>
      </c>
      <c r="F2939" s="8" t="s">
        <v>14596</v>
      </c>
      <c r="G2939" s="6" t="s">
        <v>89</v>
      </c>
      <c r="H2939" s="6" t="s">
        <v>53</v>
      </c>
      <c r="I2939" s="8" t="s">
        <v>90</v>
      </c>
      <c r="J2939" s="9">
        <v>1</v>
      </c>
      <c r="K2939" s="9">
        <v>388</v>
      </c>
      <c r="L2939" s="9">
        <v>2024</v>
      </c>
      <c r="M2939" s="8" t="s">
        <v>17756</v>
      </c>
      <c r="N2939" s="8" t="s">
        <v>41</v>
      </c>
      <c r="O2939" s="8" t="s">
        <v>118</v>
      </c>
      <c r="P2939" s="6" t="s">
        <v>43</v>
      </c>
      <c r="Q2939" s="8" t="s">
        <v>44</v>
      </c>
      <c r="R2939" s="10" t="s">
        <v>14605</v>
      </c>
      <c r="S2939" s="11" t="s">
        <v>17757</v>
      </c>
      <c r="T2939" s="6"/>
      <c r="U2939" s="24" t="str">
        <f>HYPERLINK("https://media.infra-m.ru/2073/2073496/cover/2073496.jpg", "Обложка")</f>
        <v>Обложка</v>
      </c>
      <c r="V2939" s="24" t="str">
        <f>HYPERLINK("https://znanium.ru/catalog/product/2073496", "Ознакомиться")</f>
        <v>Ознакомиться</v>
      </c>
      <c r="W2939" s="8" t="s">
        <v>83</v>
      </c>
      <c r="X2939" s="6"/>
      <c r="Y2939" s="6"/>
      <c r="Z2939" s="6"/>
      <c r="AA2939" s="6" t="s">
        <v>2086</v>
      </c>
      <c r="AB2939" s="8"/>
    </row>
    <row r="2940" spans="1:28" s="4" customFormat="1" ht="42" customHeight="1">
      <c r="A2940" s="5">
        <v>0</v>
      </c>
      <c r="B2940" s="6" t="s">
        <v>17758</v>
      </c>
      <c r="C2940" s="13">
        <v>1044</v>
      </c>
      <c r="D2940" s="8" t="s">
        <v>17759</v>
      </c>
      <c r="E2940" s="8" t="s">
        <v>17760</v>
      </c>
      <c r="F2940" s="8" t="s">
        <v>17761</v>
      </c>
      <c r="G2940" s="6" t="s">
        <v>38</v>
      </c>
      <c r="H2940" s="6" t="s">
        <v>53</v>
      </c>
      <c r="I2940" s="8"/>
      <c r="J2940" s="9">
        <v>1</v>
      </c>
      <c r="K2940" s="9">
        <v>200</v>
      </c>
      <c r="L2940" s="9">
        <v>2025</v>
      </c>
      <c r="M2940" s="8" t="s">
        <v>17762</v>
      </c>
      <c r="N2940" s="8" t="s">
        <v>413</v>
      </c>
      <c r="O2940" s="8" t="s">
        <v>414</v>
      </c>
      <c r="P2940" s="6" t="s">
        <v>43</v>
      </c>
      <c r="Q2940" s="8" t="s">
        <v>44</v>
      </c>
      <c r="R2940" s="10" t="s">
        <v>17763</v>
      </c>
      <c r="S2940" s="11"/>
      <c r="T2940" s="6"/>
      <c r="U2940" s="24" t="str">
        <f>HYPERLINK("https://media.infra-m.ru/2194/2194390/cover/2194390.jpg", "Обложка")</f>
        <v>Обложка</v>
      </c>
      <c r="V2940" s="24" t="str">
        <f>HYPERLINK("https://znanium.ru/catalog/product/1009306", "Ознакомиться")</f>
        <v>Ознакомиться</v>
      </c>
      <c r="W2940" s="8" t="s">
        <v>784</v>
      </c>
      <c r="X2940" s="6"/>
      <c r="Y2940" s="6"/>
      <c r="Z2940" s="6"/>
      <c r="AA2940" s="6" t="s">
        <v>111</v>
      </c>
      <c r="AB2940" s="8"/>
    </row>
    <row r="2941" spans="1:28" s="4" customFormat="1" ht="51.95" customHeight="1">
      <c r="A2941" s="5">
        <v>0</v>
      </c>
      <c r="B2941" s="6" t="s">
        <v>17764</v>
      </c>
      <c r="C2941" s="13">
        <v>1084</v>
      </c>
      <c r="D2941" s="8" t="s">
        <v>17765</v>
      </c>
      <c r="E2941" s="8" t="s">
        <v>17766</v>
      </c>
      <c r="F2941" s="8" t="s">
        <v>17767</v>
      </c>
      <c r="G2941" s="6" t="s">
        <v>38</v>
      </c>
      <c r="H2941" s="6" t="s">
        <v>438</v>
      </c>
      <c r="I2941" s="8" t="s">
        <v>187</v>
      </c>
      <c r="J2941" s="9">
        <v>1</v>
      </c>
      <c r="K2941" s="9">
        <v>208</v>
      </c>
      <c r="L2941" s="9">
        <v>2025</v>
      </c>
      <c r="M2941" s="8" t="s">
        <v>17768</v>
      </c>
      <c r="N2941" s="8" t="s">
        <v>56</v>
      </c>
      <c r="O2941" s="8" t="s">
        <v>741</v>
      </c>
      <c r="P2941" s="6" t="s">
        <v>187</v>
      </c>
      <c r="Q2941" s="8" t="s">
        <v>44</v>
      </c>
      <c r="R2941" s="10" t="s">
        <v>17769</v>
      </c>
      <c r="S2941" s="11"/>
      <c r="T2941" s="6"/>
      <c r="U2941" s="24" t="str">
        <f>HYPERLINK("https://media.infra-m.ru/2163/2163064/cover/2163064.jpg", "Обложка")</f>
        <v>Обложка</v>
      </c>
      <c r="V2941" s="24" t="str">
        <f>HYPERLINK("https://znanium.ru/catalog/product/1026957", "Ознакомиться")</f>
        <v>Ознакомиться</v>
      </c>
      <c r="W2941" s="8" t="s">
        <v>2988</v>
      </c>
      <c r="X2941" s="6"/>
      <c r="Y2941" s="6"/>
      <c r="Z2941" s="6"/>
      <c r="AA2941" s="6" t="s">
        <v>84</v>
      </c>
      <c r="AB2941" s="8"/>
    </row>
    <row r="2942" spans="1:28" s="4" customFormat="1" ht="51.95" customHeight="1">
      <c r="A2942" s="5">
        <v>0</v>
      </c>
      <c r="B2942" s="6" t="s">
        <v>17770</v>
      </c>
      <c r="C2942" s="13">
        <v>1994</v>
      </c>
      <c r="D2942" s="8" t="s">
        <v>17771</v>
      </c>
      <c r="E2942" s="8" t="s">
        <v>17772</v>
      </c>
      <c r="F2942" s="8" t="s">
        <v>17773</v>
      </c>
      <c r="G2942" s="6" t="s">
        <v>52</v>
      </c>
      <c r="H2942" s="6" t="s">
        <v>952</v>
      </c>
      <c r="I2942" s="8"/>
      <c r="J2942" s="9">
        <v>1</v>
      </c>
      <c r="K2942" s="9">
        <v>384</v>
      </c>
      <c r="L2942" s="9">
        <v>2025</v>
      </c>
      <c r="M2942" s="8" t="s">
        <v>17774</v>
      </c>
      <c r="N2942" s="8" t="s">
        <v>41</v>
      </c>
      <c r="O2942" s="8" t="s">
        <v>278</v>
      </c>
      <c r="P2942" s="6" t="s">
        <v>43</v>
      </c>
      <c r="Q2942" s="8" t="s">
        <v>58</v>
      </c>
      <c r="R2942" s="10" t="s">
        <v>17775</v>
      </c>
      <c r="S2942" s="11"/>
      <c r="T2942" s="6"/>
      <c r="U2942" s="24" t="str">
        <f>HYPERLINK("https://media.infra-m.ru/2192/2192758/cover/2192758.jpg", "Обложка")</f>
        <v>Обложка</v>
      </c>
      <c r="V2942" s="24" t="str">
        <f>HYPERLINK("https://znanium.ru/catalog/product/1067398", "Ознакомиться")</f>
        <v>Ознакомиться</v>
      </c>
      <c r="W2942" s="8" t="s">
        <v>2463</v>
      </c>
      <c r="X2942" s="6"/>
      <c r="Y2942" s="6"/>
      <c r="Z2942" s="6"/>
      <c r="AA2942" s="6" t="s">
        <v>122</v>
      </c>
      <c r="AB2942" s="8"/>
    </row>
    <row r="2943" spans="1:28" s="4" customFormat="1" ht="51.95" customHeight="1">
      <c r="A2943" s="5">
        <v>0</v>
      </c>
      <c r="B2943" s="6" t="s">
        <v>17776</v>
      </c>
      <c r="C2943" s="7">
        <v>474</v>
      </c>
      <c r="D2943" s="8" t="s">
        <v>17777</v>
      </c>
      <c r="E2943" s="8" t="s">
        <v>17778</v>
      </c>
      <c r="F2943" s="8" t="s">
        <v>17779</v>
      </c>
      <c r="G2943" s="6" t="s">
        <v>38</v>
      </c>
      <c r="H2943" s="6" t="s">
        <v>649</v>
      </c>
      <c r="I2943" s="8"/>
      <c r="J2943" s="9">
        <v>1</v>
      </c>
      <c r="K2943" s="9">
        <v>96</v>
      </c>
      <c r="L2943" s="9">
        <v>2024</v>
      </c>
      <c r="M2943" s="8" t="s">
        <v>17780</v>
      </c>
      <c r="N2943" s="8" t="s">
        <v>41</v>
      </c>
      <c r="O2943" s="8" t="s">
        <v>278</v>
      </c>
      <c r="P2943" s="6" t="s">
        <v>43</v>
      </c>
      <c r="Q2943" s="8" t="s">
        <v>44</v>
      </c>
      <c r="R2943" s="10" t="s">
        <v>17781</v>
      </c>
      <c r="S2943" s="11" t="s">
        <v>17782</v>
      </c>
      <c r="T2943" s="6"/>
      <c r="U2943" s="24" t="str">
        <f>HYPERLINK("https://media.infra-m.ru/2056/2056717/cover/2056717.jpg", "Обложка")</f>
        <v>Обложка</v>
      </c>
      <c r="V2943" s="24" t="str">
        <f>HYPERLINK("https://znanium.ru/catalog/product/1844300", "Ознакомиться")</f>
        <v>Ознакомиться</v>
      </c>
      <c r="W2943" s="8" t="s">
        <v>189</v>
      </c>
      <c r="X2943" s="6"/>
      <c r="Y2943" s="6"/>
      <c r="Z2943" s="6"/>
      <c r="AA2943" s="6" t="s">
        <v>47</v>
      </c>
      <c r="AB2943" s="8"/>
    </row>
    <row r="2944" spans="1:28" s="4" customFormat="1" ht="51.95" customHeight="1">
      <c r="A2944" s="5">
        <v>0</v>
      </c>
      <c r="B2944" s="6" t="s">
        <v>17783</v>
      </c>
      <c r="C2944" s="13">
        <v>1824</v>
      </c>
      <c r="D2944" s="8" t="s">
        <v>17784</v>
      </c>
      <c r="E2944" s="8" t="s">
        <v>17785</v>
      </c>
      <c r="F2944" s="8" t="s">
        <v>17786</v>
      </c>
      <c r="G2944" s="6" t="s">
        <v>52</v>
      </c>
      <c r="H2944" s="6" t="s">
        <v>66</v>
      </c>
      <c r="I2944" s="8" t="s">
        <v>116</v>
      </c>
      <c r="J2944" s="9">
        <v>1</v>
      </c>
      <c r="K2944" s="9">
        <v>395</v>
      </c>
      <c r="L2944" s="9">
        <v>2024</v>
      </c>
      <c r="M2944" s="8" t="s">
        <v>17787</v>
      </c>
      <c r="N2944" s="8" t="s">
        <v>41</v>
      </c>
      <c r="O2944" s="8" t="s">
        <v>118</v>
      </c>
      <c r="P2944" s="6" t="s">
        <v>175</v>
      </c>
      <c r="Q2944" s="8" t="s">
        <v>44</v>
      </c>
      <c r="R2944" s="10" t="s">
        <v>14154</v>
      </c>
      <c r="S2944" s="11"/>
      <c r="T2944" s="6"/>
      <c r="U2944" s="24" t="str">
        <f>HYPERLINK("https://media.infra-m.ru/2054/2054995/cover/2054995.jpg", "Обложка")</f>
        <v>Обложка</v>
      </c>
      <c r="V2944" s="24" t="str">
        <f>HYPERLINK("https://znanium.ru/catalog/product/1221789", "Ознакомиться")</f>
        <v>Ознакомиться</v>
      </c>
      <c r="W2944" s="8" t="s">
        <v>189</v>
      </c>
      <c r="X2944" s="6"/>
      <c r="Y2944" s="6"/>
      <c r="Z2944" s="6"/>
      <c r="AA2944" s="6" t="s">
        <v>1135</v>
      </c>
      <c r="AB2944" s="8"/>
    </row>
    <row r="2945" spans="1:28" s="4" customFormat="1" ht="51.95" customHeight="1">
      <c r="A2945" s="5">
        <v>0</v>
      </c>
      <c r="B2945" s="6" t="s">
        <v>17788</v>
      </c>
      <c r="C2945" s="7">
        <v>824</v>
      </c>
      <c r="D2945" s="8" t="s">
        <v>17789</v>
      </c>
      <c r="E2945" s="8" t="s">
        <v>17790</v>
      </c>
      <c r="F2945" s="8" t="s">
        <v>17791</v>
      </c>
      <c r="G2945" s="6" t="s">
        <v>52</v>
      </c>
      <c r="H2945" s="6" t="s">
        <v>66</v>
      </c>
      <c r="I2945" s="8" t="s">
        <v>116</v>
      </c>
      <c r="J2945" s="9">
        <v>1</v>
      </c>
      <c r="K2945" s="9">
        <v>175</v>
      </c>
      <c r="L2945" s="9">
        <v>2024</v>
      </c>
      <c r="M2945" s="8" t="s">
        <v>17792</v>
      </c>
      <c r="N2945" s="8" t="s">
        <v>56</v>
      </c>
      <c r="O2945" s="8" t="s">
        <v>741</v>
      </c>
      <c r="P2945" s="6" t="s">
        <v>43</v>
      </c>
      <c r="Q2945" s="8" t="s">
        <v>44</v>
      </c>
      <c r="R2945" s="10" t="s">
        <v>17793</v>
      </c>
      <c r="S2945" s="11" t="s">
        <v>17794</v>
      </c>
      <c r="T2945" s="6"/>
      <c r="U2945" s="24" t="str">
        <f>HYPERLINK("https://media.infra-m.ru/2142/2142589/cover/2142589.jpg", "Обложка")</f>
        <v>Обложка</v>
      </c>
      <c r="V2945" s="24" t="str">
        <f>HYPERLINK("https://znanium.ru/catalog/product/1836607", "Ознакомиться")</f>
        <v>Ознакомиться</v>
      </c>
      <c r="W2945" s="8" t="s">
        <v>347</v>
      </c>
      <c r="X2945" s="6"/>
      <c r="Y2945" s="6"/>
      <c r="Z2945" s="6"/>
      <c r="AA2945" s="6" t="s">
        <v>2217</v>
      </c>
      <c r="AB2945" s="8"/>
    </row>
    <row r="2946" spans="1:28" s="4" customFormat="1" ht="42" customHeight="1">
      <c r="A2946" s="5">
        <v>0</v>
      </c>
      <c r="B2946" s="6" t="s">
        <v>17795</v>
      </c>
      <c r="C2946" s="13">
        <v>1240</v>
      </c>
      <c r="D2946" s="8" t="s">
        <v>17796</v>
      </c>
      <c r="E2946" s="8" t="s">
        <v>17797</v>
      </c>
      <c r="F2946" s="8" t="s">
        <v>14128</v>
      </c>
      <c r="G2946" s="6" t="s">
        <v>89</v>
      </c>
      <c r="H2946" s="6" t="s">
        <v>77</v>
      </c>
      <c r="I2946" s="8" t="s">
        <v>116</v>
      </c>
      <c r="J2946" s="9">
        <v>1</v>
      </c>
      <c r="K2946" s="9">
        <v>278</v>
      </c>
      <c r="L2946" s="9">
        <v>2021</v>
      </c>
      <c r="M2946" s="8" t="s">
        <v>17798</v>
      </c>
      <c r="N2946" s="8" t="s">
        <v>41</v>
      </c>
      <c r="O2946" s="8" t="s">
        <v>118</v>
      </c>
      <c r="P2946" s="6" t="s">
        <v>43</v>
      </c>
      <c r="Q2946" s="8" t="s">
        <v>44</v>
      </c>
      <c r="R2946" s="10" t="s">
        <v>1958</v>
      </c>
      <c r="S2946" s="11"/>
      <c r="T2946" s="6"/>
      <c r="U2946" s="24" t="str">
        <f>HYPERLINK("https://media.infra-m.ru/1150/1150325/cover/1150325.jpg", "Обложка")</f>
        <v>Обложка</v>
      </c>
      <c r="V2946" s="24" t="str">
        <f>HYPERLINK("https://znanium.ru/catalog/product/1150325", "Ознакомиться")</f>
        <v>Ознакомиться</v>
      </c>
      <c r="W2946" s="8" t="s">
        <v>4383</v>
      </c>
      <c r="X2946" s="6"/>
      <c r="Y2946" s="6"/>
      <c r="Z2946" s="6"/>
      <c r="AA2946" s="6" t="s">
        <v>418</v>
      </c>
      <c r="AB2946" s="8"/>
    </row>
    <row r="2947" spans="1:28" s="4" customFormat="1" ht="51.95" customHeight="1">
      <c r="A2947" s="5">
        <v>0</v>
      </c>
      <c r="B2947" s="6" t="s">
        <v>17799</v>
      </c>
      <c r="C2947" s="13">
        <v>2144</v>
      </c>
      <c r="D2947" s="8" t="s">
        <v>17800</v>
      </c>
      <c r="E2947" s="8" t="s">
        <v>17801</v>
      </c>
      <c r="F2947" s="8" t="s">
        <v>17802</v>
      </c>
      <c r="G2947" s="6" t="s">
        <v>89</v>
      </c>
      <c r="H2947" s="6" t="s">
        <v>53</v>
      </c>
      <c r="I2947" s="8" t="s">
        <v>90</v>
      </c>
      <c r="J2947" s="9">
        <v>1</v>
      </c>
      <c r="K2947" s="9">
        <v>429</v>
      </c>
      <c r="L2947" s="9">
        <v>2024</v>
      </c>
      <c r="M2947" s="8" t="s">
        <v>17803</v>
      </c>
      <c r="N2947" s="8" t="s">
        <v>56</v>
      </c>
      <c r="O2947" s="8" t="s">
        <v>741</v>
      </c>
      <c r="P2947" s="6" t="s">
        <v>167</v>
      </c>
      <c r="Q2947" s="8" t="s">
        <v>44</v>
      </c>
      <c r="R2947" s="10" t="s">
        <v>12989</v>
      </c>
      <c r="S2947" s="11" t="s">
        <v>17804</v>
      </c>
      <c r="T2947" s="6" t="s">
        <v>299</v>
      </c>
      <c r="U2947" s="24" t="str">
        <f>HYPERLINK("https://media.infra-m.ru/2170/2170931/cover/2170931.jpg", "Обложка")</f>
        <v>Обложка</v>
      </c>
      <c r="V2947" s="24" t="str">
        <f>HYPERLINK("https://znanium.ru/catalog/product/1913659", "Ознакомиться")</f>
        <v>Ознакомиться</v>
      </c>
      <c r="W2947" s="8" t="s">
        <v>4208</v>
      </c>
      <c r="X2947" s="6"/>
      <c r="Y2947" s="6"/>
      <c r="Z2947" s="6"/>
      <c r="AA2947" s="6" t="s">
        <v>47</v>
      </c>
      <c r="AB2947" s="8"/>
    </row>
    <row r="2948" spans="1:28" s="4" customFormat="1" ht="51.95" customHeight="1">
      <c r="A2948" s="5">
        <v>0</v>
      </c>
      <c r="B2948" s="6" t="s">
        <v>17805</v>
      </c>
      <c r="C2948" s="13">
        <v>1210</v>
      </c>
      <c r="D2948" s="8" t="s">
        <v>17806</v>
      </c>
      <c r="E2948" s="8" t="s">
        <v>17807</v>
      </c>
      <c r="F2948" s="8" t="s">
        <v>17808</v>
      </c>
      <c r="G2948" s="6" t="s">
        <v>89</v>
      </c>
      <c r="H2948" s="6" t="s">
        <v>53</v>
      </c>
      <c r="I2948" s="8" t="s">
        <v>212</v>
      </c>
      <c r="J2948" s="9">
        <v>1</v>
      </c>
      <c r="K2948" s="9">
        <v>256</v>
      </c>
      <c r="L2948" s="9">
        <v>2024</v>
      </c>
      <c r="M2948" s="8" t="s">
        <v>17809</v>
      </c>
      <c r="N2948" s="8" t="s">
        <v>79</v>
      </c>
      <c r="O2948" s="8" t="s">
        <v>80</v>
      </c>
      <c r="P2948" s="6" t="s">
        <v>43</v>
      </c>
      <c r="Q2948" s="8" t="s">
        <v>214</v>
      </c>
      <c r="R2948" s="10" t="s">
        <v>2557</v>
      </c>
      <c r="S2948" s="11" t="s">
        <v>17810</v>
      </c>
      <c r="T2948" s="6"/>
      <c r="U2948" s="24" t="str">
        <f>HYPERLINK("https://media.infra-m.ru/2139/2139841/cover/2139841.jpg", "Обложка")</f>
        <v>Обложка</v>
      </c>
      <c r="V2948" s="24" t="str">
        <f>HYPERLINK("https://znanium.ru/catalog/product/2139841", "Ознакомиться")</f>
        <v>Ознакомиться</v>
      </c>
      <c r="W2948" s="8" t="s">
        <v>17811</v>
      </c>
      <c r="X2948" s="6"/>
      <c r="Y2948" s="6"/>
      <c r="Z2948" s="6" t="s">
        <v>218</v>
      </c>
      <c r="AA2948" s="6" t="s">
        <v>219</v>
      </c>
      <c r="AB2948" s="8"/>
    </row>
    <row r="2949" spans="1:28" s="4" customFormat="1" ht="51.95" customHeight="1">
      <c r="A2949" s="5">
        <v>0</v>
      </c>
      <c r="B2949" s="6" t="s">
        <v>17812</v>
      </c>
      <c r="C2949" s="13">
        <v>1174</v>
      </c>
      <c r="D2949" s="8" t="s">
        <v>17813</v>
      </c>
      <c r="E2949" s="8" t="s">
        <v>17814</v>
      </c>
      <c r="F2949" s="8" t="s">
        <v>17808</v>
      </c>
      <c r="G2949" s="6" t="s">
        <v>52</v>
      </c>
      <c r="H2949" s="6" t="s">
        <v>39</v>
      </c>
      <c r="I2949" s="8" t="s">
        <v>90</v>
      </c>
      <c r="J2949" s="9">
        <v>1</v>
      </c>
      <c r="K2949" s="9">
        <v>256</v>
      </c>
      <c r="L2949" s="9">
        <v>2024</v>
      </c>
      <c r="M2949" s="8" t="s">
        <v>17815</v>
      </c>
      <c r="N2949" s="8" t="s">
        <v>79</v>
      </c>
      <c r="O2949" s="8" t="s">
        <v>80</v>
      </c>
      <c r="P2949" s="6" t="s">
        <v>43</v>
      </c>
      <c r="Q2949" s="8" t="s">
        <v>44</v>
      </c>
      <c r="R2949" s="10" t="s">
        <v>17816</v>
      </c>
      <c r="S2949" s="11" t="s">
        <v>17817</v>
      </c>
      <c r="T2949" s="6"/>
      <c r="U2949" s="24" t="str">
        <f>HYPERLINK("https://media.infra-m.ru/2087/2087256/cover/2087256.jpg", "Обложка")</f>
        <v>Обложка</v>
      </c>
      <c r="V2949" s="12"/>
      <c r="W2949" s="8" t="s">
        <v>17811</v>
      </c>
      <c r="X2949" s="6"/>
      <c r="Y2949" s="6"/>
      <c r="Z2949" s="6"/>
      <c r="AA2949" s="6" t="s">
        <v>479</v>
      </c>
      <c r="AB2949" s="8"/>
    </row>
    <row r="2950" spans="1:28" s="4" customFormat="1" ht="51.95" customHeight="1">
      <c r="A2950" s="5">
        <v>0</v>
      </c>
      <c r="B2950" s="6" t="s">
        <v>17818</v>
      </c>
      <c r="C2950" s="13">
        <v>1444.9</v>
      </c>
      <c r="D2950" s="8" t="s">
        <v>17819</v>
      </c>
      <c r="E2950" s="8" t="s">
        <v>17820</v>
      </c>
      <c r="F2950" s="8" t="s">
        <v>17821</v>
      </c>
      <c r="G2950" s="6" t="s">
        <v>52</v>
      </c>
      <c r="H2950" s="6" t="s">
        <v>53</v>
      </c>
      <c r="I2950" s="8" t="s">
        <v>90</v>
      </c>
      <c r="J2950" s="9">
        <v>1</v>
      </c>
      <c r="K2950" s="9">
        <v>320</v>
      </c>
      <c r="L2950" s="9">
        <v>2023</v>
      </c>
      <c r="M2950" s="8" t="s">
        <v>17822</v>
      </c>
      <c r="N2950" s="8" t="s">
        <v>41</v>
      </c>
      <c r="O2950" s="8" t="s">
        <v>118</v>
      </c>
      <c r="P2950" s="6" t="s">
        <v>43</v>
      </c>
      <c r="Q2950" s="8" t="s">
        <v>44</v>
      </c>
      <c r="R2950" s="10" t="s">
        <v>17823</v>
      </c>
      <c r="S2950" s="11" t="s">
        <v>17824</v>
      </c>
      <c r="T2950" s="6"/>
      <c r="U2950" s="24" t="str">
        <f>HYPERLINK("https://media.infra-m.ru/1905/1905183/cover/1905183.jpg", "Обложка")</f>
        <v>Обложка</v>
      </c>
      <c r="V2950" s="24" t="str">
        <f>HYPERLINK("https://znanium.ru/catalog/product/2015304", "Ознакомиться")</f>
        <v>Ознакомиться</v>
      </c>
      <c r="W2950" s="8" t="s">
        <v>2080</v>
      </c>
      <c r="X2950" s="6"/>
      <c r="Y2950" s="6"/>
      <c r="Z2950" s="6"/>
      <c r="AA2950" s="6" t="s">
        <v>407</v>
      </c>
      <c r="AB2950" s="8"/>
    </row>
    <row r="2951" spans="1:28" s="4" customFormat="1" ht="51.95" customHeight="1">
      <c r="A2951" s="5">
        <v>0</v>
      </c>
      <c r="B2951" s="6" t="s">
        <v>17825</v>
      </c>
      <c r="C2951" s="13">
        <v>1214.9000000000001</v>
      </c>
      <c r="D2951" s="8" t="s">
        <v>17826</v>
      </c>
      <c r="E2951" s="8" t="s">
        <v>17827</v>
      </c>
      <c r="F2951" s="8" t="s">
        <v>17821</v>
      </c>
      <c r="G2951" s="6" t="s">
        <v>52</v>
      </c>
      <c r="H2951" s="6" t="s">
        <v>53</v>
      </c>
      <c r="I2951" s="8" t="s">
        <v>90</v>
      </c>
      <c r="J2951" s="9">
        <v>1</v>
      </c>
      <c r="K2951" s="9">
        <v>320</v>
      </c>
      <c r="L2951" s="9">
        <v>2022</v>
      </c>
      <c r="M2951" s="8" t="s">
        <v>17822</v>
      </c>
      <c r="N2951" s="8" t="s">
        <v>41</v>
      </c>
      <c r="O2951" s="8" t="s">
        <v>118</v>
      </c>
      <c r="P2951" s="6" t="s">
        <v>43</v>
      </c>
      <c r="Q2951" s="8" t="s">
        <v>44</v>
      </c>
      <c r="R2951" s="10" t="s">
        <v>17823</v>
      </c>
      <c r="S2951" s="11" t="s">
        <v>17824</v>
      </c>
      <c r="T2951" s="6"/>
      <c r="U2951" s="24" t="str">
        <f>HYPERLINK("https://media.infra-m.ru/1005/1005822/cover/1005822.jpg", "Обложка")</f>
        <v>Обложка</v>
      </c>
      <c r="V2951" s="24" t="str">
        <f>HYPERLINK("https://znanium.ru/catalog/product/2015304", "Ознакомиться")</f>
        <v>Ознакомиться</v>
      </c>
      <c r="W2951" s="8" t="s">
        <v>2080</v>
      </c>
      <c r="X2951" s="6"/>
      <c r="Y2951" s="6"/>
      <c r="Z2951" s="6"/>
      <c r="AA2951" s="6" t="s">
        <v>701</v>
      </c>
      <c r="AB2951" s="8"/>
    </row>
    <row r="2952" spans="1:28" s="4" customFormat="1" ht="51.95" customHeight="1">
      <c r="A2952" s="5">
        <v>0</v>
      </c>
      <c r="B2952" s="6" t="s">
        <v>17828</v>
      </c>
      <c r="C2952" s="7">
        <v>744.9</v>
      </c>
      <c r="D2952" s="8" t="s">
        <v>17829</v>
      </c>
      <c r="E2952" s="8" t="s">
        <v>17830</v>
      </c>
      <c r="F2952" s="8" t="s">
        <v>9845</v>
      </c>
      <c r="G2952" s="6" t="s">
        <v>52</v>
      </c>
      <c r="H2952" s="6" t="s">
        <v>66</v>
      </c>
      <c r="I2952" s="8" t="s">
        <v>116</v>
      </c>
      <c r="J2952" s="9">
        <v>1</v>
      </c>
      <c r="K2952" s="9">
        <v>256</v>
      </c>
      <c r="L2952" s="9">
        <v>2017</v>
      </c>
      <c r="M2952" s="8" t="s">
        <v>17822</v>
      </c>
      <c r="N2952" s="8" t="s">
        <v>41</v>
      </c>
      <c r="O2952" s="8" t="s">
        <v>118</v>
      </c>
      <c r="P2952" s="6" t="s">
        <v>43</v>
      </c>
      <c r="Q2952" s="8" t="s">
        <v>44</v>
      </c>
      <c r="R2952" s="10" t="s">
        <v>17823</v>
      </c>
      <c r="S2952" s="11" t="s">
        <v>17831</v>
      </c>
      <c r="T2952" s="6"/>
      <c r="U2952" s="24" t="str">
        <f>HYPERLINK("https://media.infra-m.ru/0891/0891865/cover/891865.jpg", "Обложка")</f>
        <v>Обложка</v>
      </c>
      <c r="V2952" s="24" t="str">
        <f>HYPERLINK("https://znanium.ru/catalog/product/2015304", "Ознакомиться")</f>
        <v>Ознакомиться</v>
      </c>
      <c r="W2952" s="8" t="s">
        <v>2080</v>
      </c>
      <c r="X2952" s="6"/>
      <c r="Y2952" s="6"/>
      <c r="Z2952" s="6"/>
      <c r="AA2952" s="6" t="s">
        <v>555</v>
      </c>
      <c r="AB2952" s="8"/>
    </row>
    <row r="2953" spans="1:28" s="4" customFormat="1" ht="51.95" customHeight="1">
      <c r="A2953" s="5">
        <v>0</v>
      </c>
      <c r="B2953" s="6" t="s">
        <v>17832</v>
      </c>
      <c r="C2953" s="13">
        <v>1144</v>
      </c>
      <c r="D2953" s="8" t="s">
        <v>17833</v>
      </c>
      <c r="E2953" s="8" t="s">
        <v>17834</v>
      </c>
      <c r="F2953" s="8" t="s">
        <v>17835</v>
      </c>
      <c r="G2953" s="6" t="s">
        <v>38</v>
      </c>
      <c r="H2953" s="6" t="s">
        <v>53</v>
      </c>
      <c r="I2953" s="8" t="s">
        <v>90</v>
      </c>
      <c r="J2953" s="9">
        <v>1</v>
      </c>
      <c r="K2953" s="9">
        <v>237</v>
      </c>
      <c r="L2953" s="9">
        <v>2024</v>
      </c>
      <c r="M2953" s="8" t="s">
        <v>17836</v>
      </c>
      <c r="N2953" s="8" t="s">
        <v>41</v>
      </c>
      <c r="O2953" s="8" t="s">
        <v>118</v>
      </c>
      <c r="P2953" s="6" t="s">
        <v>43</v>
      </c>
      <c r="Q2953" s="8" t="s">
        <v>44</v>
      </c>
      <c r="R2953" s="10" t="s">
        <v>17837</v>
      </c>
      <c r="S2953" s="11" t="s">
        <v>17838</v>
      </c>
      <c r="T2953" s="6"/>
      <c r="U2953" s="24" t="str">
        <f>HYPERLINK("https://media.infra-m.ru/2138/2138625/cover/2138625.jpg", "Обложка")</f>
        <v>Обложка</v>
      </c>
      <c r="V2953" s="24" t="str">
        <f>HYPERLINK("https://znanium.ru/catalog/product/2057643", "Ознакомиться")</f>
        <v>Ознакомиться</v>
      </c>
      <c r="W2953" s="8" t="s">
        <v>744</v>
      </c>
      <c r="X2953" s="6"/>
      <c r="Y2953" s="6"/>
      <c r="Z2953" s="6"/>
      <c r="AA2953" s="6" t="s">
        <v>2217</v>
      </c>
      <c r="AB2953" s="8"/>
    </row>
    <row r="2954" spans="1:28" s="4" customFormat="1" ht="51.95" customHeight="1">
      <c r="A2954" s="5">
        <v>0</v>
      </c>
      <c r="B2954" s="6" t="s">
        <v>17839</v>
      </c>
      <c r="C2954" s="13">
        <v>1414</v>
      </c>
      <c r="D2954" s="8" t="s">
        <v>17840</v>
      </c>
      <c r="E2954" s="8" t="s">
        <v>17841</v>
      </c>
      <c r="F2954" s="8" t="s">
        <v>17842</v>
      </c>
      <c r="G2954" s="6" t="s">
        <v>52</v>
      </c>
      <c r="H2954" s="6" t="s">
        <v>66</v>
      </c>
      <c r="I2954" s="8" t="s">
        <v>116</v>
      </c>
      <c r="J2954" s="9">
        <v>1</v>
      </c>
      <c r="K2954" s="9">
        <v>272</v>
      </c>
      <c r="L2954" s="9">
        <v>2024</v>
      </c>
      <c r="M2954" s="8" t="s">
        <v>17843</v>
      </c>
      <c r="N2954" s="8" t="s">
        <v>41</v>
      </c>
      <c r="O2954" s="8" t="s">
        <v>118</v>
      </c>
      <c r="P2954" s="6" t="s">
        <v>43</v>
      </c>
      <c r="Q2954" s="8" t="s">
        <v>44</v>
      </c>
      <c r="R2954" s="10" t="s">
        <v>14154</v>
      </c>
      <c r="S2954" s="11"/>
      <c r="T2954" s="6"/>
      <c r="U2954" s="24" t="str">
        <f>HYPERLINK("https://media.infra-m.ru/2048/2048910/cover/2048910.jpg", "Обложка")</f>
        <v>Обложка</v>
      </c>
      <c r="V2954" s="24" t="str">
        <f>HYPERLINK("https://znanium.ru/catalog/product/1072293", "Ознакомиться")</f>
        <v>Ознакомиться</v>
      </c>
      <c r="W2954" s="8" t="s">
        <v>5689</v>
      </c>
      <c r="X2954" s="6"/>
      <c r="Y2954" s="6"/>
      <c r="Z2954" s="6"/>
      <c r="AA2954" s="6" t="s">
        <v>72</v>
      </c>
      <c r="AB2954" s="8"/>
    </row>
    <row r="2955" spans="1:28" s="4" customFormat="1" ht="51.95" customHeight="1">
      <c r="A2955" s="5">
        <v>0</v>
      </c>
      <c r="B2955" s="6" t="s">
        <v>17844</v>
      </c>
      <c r="C2955" s="13">
        <v>1550</v>
      </c>
      <c r="D2955" s="8" t="s">
        <v>17845</v>
      </c>
      <c r="E2955" s="8" t="s">
        <v>17846</v>
      </c>
      <c r="F2955" s="8" t="s">
        <v>17847</v>
      </c>
      <c r="G2955" s="6" t="s">
        <v>52</v>
      </c>
      <c r="H2955" s="6" t="s">
        <v>53</v>
      </c>
      <c r="I2955" s="8" t="s">
        <v>116</v>
      </c>
      <c r="J2955" s="9">
        <v>1</v>
      </c>
      <c r="K2955" s="9">
        <v>333</v>
      </c>
      <c r="L2955" s="9">
        <v>2024</v>
      </c>
      <c r="M2955" s="8" t="s">
        <v>17848</v>
      </c>
      <c r="N2955" s="8" t="s">
        <v>41</v>
      </c>
      <c r="O2955" s="8" t="s">
        <v>118</v>
      </c>
      <c r="P2955" s="6" t="s">
        <v>43</v>
      </c>
      <c r="Q2955" s="8" t="s">
        <v>58</v>
      </c>
      <c r="R2955" s="10" t="s">
        <v>17823</v>
      </c>
      <c r="S2955" s="11" t="s">
        <v>17824</v>
      </c>
      <c r="T2955" s="6"/>
      <c r="U2955" s="24" t="str">
        <f>HYPERLINK("https://media.infra-m.ru/2015/2015304/cover/2015304.jpg", "Обложка")</f>
        <v>Обложка</v>
      </c>
      <c r="V2955" s="24" t="str">
        <f>HYPERLINK("https://znanium.ru/catalog/product/2015304", "Ознакомиться")</f>
        <v>Ознакомиться</v>
      </c>
      <c r="W2955" s="8" t="s">
        <v>2080</v>
      </c>
      <c r="X2955" s="6"/>
      <c r="Y2955" s="6"/>
      <c r="Z2955" s="6"/>
      <c r="AA2955" s="6" t="s">
        <v>6038</v>
      </c>
      <c r="AB2955" s="8"/>
    </row>
    <row r="2956" spans="1:28" s="4" customFormat="1" ht="51.95" customHeight="1">
      <c r="A2956" s="5">
        <v>0</v>
      </c>
      <c r="B2956" s="6" t="s">
        <v>17849</v>
      </c>
      <c r="C2956" s="13">
        <v>1154.9000000000001</v>
      </c>
      <c r="D2956" s="8" t="s">
        <v>17850</v>
      </c>
      <c r="E2956" s="8" t="s">
        <v>17851</v>
      </c>
      <c r="F2956" s="8" t="s">
        <v>17852</v>
      </c>
      <c r="G2956" s="6" t="s">
        <v>38</v>
      </c>
      <c r="H2956" s="6" t="s">
        <v>952</v>
      </c>
      <c r="I2956" s="8" t="s">
        <v>1171</v>
      </c>
      <c r="J2956" s="9">
        <v>1</v>
      </c>
      <c r="K2956" s="9">
        <v>256</v>
      </c>
      <c r="L2956" s="9">
        <v>2023</v>
      </c>
      <c r="M2956" s="8" t="s">
        <v>17853</v>
      </c>
      <c r="N2956" s="8" t="s">
        <v>41</v>
      </c>
      <c r="O2956" s="8" t="s">
        <v>118</v>
      </c>
      <c r="P2956" s="6" t="s">
        <v>43</v>
      </c>
      <c r="Q2956" s="8" t="s">
        <v>44</v>
      </c>
      <c r="R2956" s="10" t="s">
        <v>17854</v>
      </c>
      <c r="S2956" s="11"/>
      <c r="T2956" s="6"/>
      <c r="U2956" s="24" t="str">
        <f>HYPERLINK("https://media.infra-m.ru/1913/1913018/cover/1913018.jpg", "Обложка")</f>
        <v>Обложка</v>
      </c>
      <c r="V2956" s="24" t="str">
        <f>HYPERLINK("https://znanium.ru/catalog/product/1010061", "Ознакомиться")</f>
        <v>Ознакомиться</v>
      </c>
      <c r="W2956" s="8" t="s">
        <v>2463</v>
      </c>
      <c r="X2956" s="6"/>
      <c r="Y2956" s="6"/>
      <c r="Z2956" s="6"/>
      <c r="AA2956" s="6" t="s">
        <v>111</v>
      </c>
      <c r="AB2956" s="8"/>
    </row>
    <row r="2957" spans="1:28" s="4" customFormat="1" ht="51.95" customHeight="1">
      <c r="A2957" s="5">
        <v>0</v>
      </c>
      <c r="B2957" s="6" t="s">
        <v>17855</v>
      </c>
      <c r="C2957" s="13">
        <v>2724</v>
      </c>
      <c r="D2957" s="8" t="s">
        <v>17856</v>
      </c>
      <c r="E2957" s="8" t="s">
        <v>17857</v>
      </c>
      <c r="F2957" s="8" t="s">
        <v>17858</v>
      </c>
      <c r="G2957" s="6" t="s">
        <v>52</v>
      </c>
      <c r="H2957" s="6" t="s">
        <v>53</v>
      </c>
      <c r="I2957" s="8" t="s">
        <v>116</v>
      </c>
      <c r="J2957" s="9">
        <v>1</v>
      </c>
      <c r="K2957" s="9">
        <v>592</v>
      </c>
      <c r="L2957" s="9">
        <v>2023</v>
      </c>
      <c r="M2957" s="8" t="s">
        <v>17859</v>
      </c>
      <c r="N2957" s="8" t="s">
        <v>41</v>
      </c>
      <c r="O2957" s="8" t="s">
        <v>118</v>
      </c>
      <c r="P2957" s="6" t="s">
        <v>167</v>
      </c>
      <c r="Q2957" s="8" t="s">
        <v>58</v>
      </c>
      <c r="R2957" s="10" t="s">
        <v>17860</v>
      </c>
      <c r="S2957" s="11" t="s">
        <v>17861</v>
      </c>
      <c r="T2957" s="6"/>
      <c r="U2957" s="24" t="str">
        <f>HYPERLINK("https://media.infra-m.ru/2081/2081728/cover/2081728.jpg", "Обложка")</f>
        <v>Обложка</v>
      </c>
      <c r="V2957" s="24" t="str">
        <f>HYPERLINK("https://znanium.ru/catalog/product/2063426", "Ознакомиться")</f>
        <v>Ознакомиться</v>
      </c>
      <c r="W2957" s="8" t="s">
        <v>347</v>
      </c>
      <c r="X2957" s="6"/>
      <c r="Y2957" s="6"/>
      <c r="Z2957" s="6"/>
      <c r="AA2957" s="6" t="s">
        <v>235</v>
      </c>
      <c r="AB2957" s="8"/>
    </row>
    <row r="2958" spans="1:28" s="4" customFormat="1" ht="51.95" customHeight="1">
      <c r="A2958" s="5">
        <v>0</v>
      </c>
      <c r="B2958" s="6" t="s">
        <v>17862</v>
      </c>
      <c r="C2958" s="13">
        <v>1994</v>
      </c>
      <c r="D2958" s="8" t="s">
        <v>17863</v>
      </c>
      <c r="E2958" s="8" t="s">
        <v>17864</v>
      </c>
      <c r="F2958" s="8" t="s">
        <v>17865</v>
      </c>
      <c r="G2958" s="6" t="s">
        <v>52</v>
      </c>
      <c r="H2958" s="6" t="s">
        <v>66</v>
      </c>
      <c r="I2958" s="8" t="s">
        <v>116</v>
      </c>
      <c r="J2958" s="9">
        <v>1</v>
      </c>
      <c r="K2958" s="9">
        <v>383</v>
      </c>
      <c r="L2958" s="9">
        <v>2025</v>
      </c>
      <c r="M2958" s="8" t="s">
        <v>17866</v>
      </c>
      <c r="N2958" s="8" t="s">
        <v>41</v>
      </c>
      <c r="O2958" s="8" t="s">
        <v>118</v>
      </c>
      <c r="P2958" s="6" t="s">
        <v>167</v>
      </c>
      <c r="Q2958" s="8" t="s">
        <v>44</v>
      </c>
      <c r="R2958" s="10" t="s">
        <v>17867</v>
      </c>
      <c r="S2958" s="11" t="s">
        <v>17868</v>
      </c>
      <c r="T2958" s="6"/>
      <c r="U2958" s="24" t="str">
        <f>HYPERLINK("https://media.infra-m.ru/2196/2196871/cover/2196871.jpg", "Обложка")</f>
        <v>Обложка</v>
      </c>
      <c r="V2958" s="24" t="str">
        <f>HYPERLINK("https://znanium.ru/catalog/product/1710998", "Ознакомиться")</f>
        <v>Ознакомиться</v>
      </c>
      <c r="W2958" s="8" t="s">
        <v>189</v>
      </c>
      <c r="X2958" s="6"/>
      <c r="Y2958" s="6"/>
      <c r="Z2958" s="6"/>
      <c r="AA2958" s="6" t="s">
        <v>4236</v>
      </c>
      <c r="AB2958" s="8"/>
    </row>
    <row r="2959" spans="1:28" s="4" customFormat="1" ht="51.95" customHeight="1">
      <c r="A2959" s="5">
        <v>0</v>
      </c>
      <c r="B2959" s="6" t="s">
        <v>17869</v>
      </c>
      <c r="C2959" s="13">
        <v>1174</v>
      </c>
      <c r="D2959" s="8" t="s">
        <v>17870</v>
      </c>
      <c r="E2959" s="8" t="s">
        <v>17857</v>
      </c>
      <c r="F2959" s="8" t="s">
        <v>15756</v>
      </c>
      <c r="G2959" s="6" t="s">
        <v>52</v>
      </c>
      <c r="H2959" s="6" t="s">
        <v>1738</v>
      </c>
      <c r="I2959" s="8" t="s">
        <v>1171</v>
      </c>
      <c r="J2959" s="9">
        <v>1</v>
      </c>
      <c r="K2959" s="9">
        <v>256</v>
      </c>
      <c r="L2959" s="9">
        <v>2024</v>
      </c>
      <c r="M2959" s="8" t="s">
        <v>17871</v>
      </c>
      <c r="N2959" s="8" t="s">
        <v>41</v>
      </c>
      <c r="O2959" s="8" t="s">
        <v>118</v>
      </c>
      <c r="P2959" s="6" t="s">
        <v>167</v>
      </c>
      <c r="Q2959" s="8" t="s">
        <v>44</v>
      </c>
      <c r="R2959" s="10" t="s">
        <v>17872</v>
      </c>
      <c r="S2959" s="11" t="s">
        <v>17873</v>
      </c>
      <c r="T2959" s="6"/>
      <c r="U2959" s="24" t="str">
        <f>HYPERLINK("https://media.infra-m.ru/2087/2087271/cover/2087271.jpg", "Обложка")</f>
        <v>Обложка</v>
      </c>
      <c r="V2959" s="12"/>
      <c r="W2959" s="8" t="s">
        <v>5142</v>
      </c>
      <c r="X2959" s="6"/>
      <c r="Y2959" s="6"/>
      <c r="Z2959" s="6"/>
      <c r="AA2959" s="6" t="s">
        <v>84</v>
      </c>
      <c r="AB2959" s="8"/>
    </row>
    <row r="2960" spans="1:28" s="4" customFormat="1" ht="51.95" customHeight="1">
      <c r="A2960" s="5">
        <v>0</v>
      </c>
      <c r="B2960" s="6" t="s">
        <v>17874</v>
      </c>
      <c r="C2960" s="13">
        <v>1564.9</v>
      </c>
      <c r="D2960" s="8" t="s">
        <v>17875</v>
      </c>
      <c r="E2960" s="8" t="s">
        <v>17846</v>
      </c>
      <c r="F2960" s="8" t="s">
        <v>2296</v>
      </c>
      <c r="G2960" s="6" t="s">
        <v>52</v>
      </c>
      <c r="H2960" s="6" t="s">
        <v>53</v>
      </c>
      <c r="I2960" s="8" t="s">
        <v>116</v>
      </c>
      <c r="J2960" s="9">
        <v>1</v>
      </c>
      <c r="K2960" s="9">
        <v>460</v>
      </c>
      <c r="L2960" s="9">
        <v>2020</v>
      </c>
      <c r="M2960" s="8" t="s">
        <v>17876</v>
      </c>
      <c r="N2960" s="8" t="s">
        <v>41</v>
      </c>
      <c r="O2960" s="8" t="s">
        <v>118</v>
      </c>
      <c r="P2960" s="6" t="s">
        <v>167</v>
      </c>
      <c r="Q2960" s="8" t="s">
        <v>44</v>
      </c>
      <c r="R2960" s="10" t="s">
        <v>17877</v>
      </c>
      <c r="S2960" s="11" t="s">
        <v>17878</v>
      </c>
      <c r="T2960" s="6"/>
      <c r="U2960" s="24" t="str">
        <f>HYPERLINK("https://media.infra-m.ru/1062/1062392/cover/1062392.jpg", "Обложка")</f>
        <v>Обложка</v>
      </c>
      <c r="V2960" s="24" t="str">
        <f>HYPERLINK("https://znanium.ru/catalog/product/2079293", "Ознакомиться")</f>
        <v>Ознакомиться</v>
      </c>
      <c r="W2960" s="8" t="s">
        <v>2080</v>
      </c>
      <c r="X2960" s="6"/>
      <c r="Y2960" s="6"/>
      <c r="Z2960" s="6"/>
      <c r="AA2960" s="6" t="s">
        <v>244</v>
      </c>
      <c r="AB2960" s="8"/>
    </row>
    <row r="2961" spans="1:28" s="4" customFormat="1" ht="51.95" customHeight="1">
      <c r="A2961" s="5">
        <v>0</v>
      </c>
      <c r="B2961" s="6" t="s">
        <v>17879</v>
      </c>
      <c r="C2961" s="13">
        <v>1094.9000000000001</v>
      </c>
      <c r="D2961" s="8" t="s">
        <v>17880</v>
      </c>
      <c r="E2961" s="8" t="s">
        <v>17881</v>
      </c>
      <c r="F2961" s="8" t="s">
        <v>2296</v>
      </c>
      <c r="G2961" s="6" t="s">
        <v>52</v>
      </c>
      <c r="H2961" s="6" t="s">
        <v>53</v>
      </c>
      <c r="I2961" s="8" t="s">
        <v>116</v>
      </c>
      <c r="J2961" s="9">
        <v>1</v>
      </c>
      <c r="K2961" s="9">
        <v>463</v>
      </c>
      <c r="L2961" s="9">
        <v>2018</v>
      </c>
      <c r="M2961" s="8" t="s">
        <v>17876</v>
      </c>
      <c r="N2961" s="8" t="s">
        <v>41</v>
      </c>
      <c r="O2961" s="8" t="s">
        <v>118</v>
      </c>
      <c r="P2961" s="6" t="s">
        <v>167</v>
      </c>
      <c r="Q2961" s="8" t="s">
        <v>44</v>
      </c>
      <c r="R2961" s="10" t="s">
        <v>17877</v>
      </c>
      <c r="S2961" s="11" t="s">
        <v>17878</v>
      </c>
      <c r="T2961" s="6"/>
      <c r="U2961" s="24" t="str">
        <f>HYPERLINK("https://media.infra-m.ru/0927/0927444/cover/927444.jpg", "Обложка")</f>
        <v>Обложка</v>
      </c>
      <c r="V2961" s="24" t="str">
        <f>HYPERLINK("https://znanium.ru/catalog/product/2079293", "Ознакомиться")</f>
        <v>Ознакомиться</v>
      </c>
      <c r="W2961" s="8" t="s">
        <v>2080</v>
      </c>
      <c r="X2961" s="6"/>
      <c r="Y2961" s="6"/>
      <c r="Z2961" s="6"/>
      <c r="AA2961" s="6" t="s">
        <v>7605</v>
      </c>
      <c r="AB2961" s="8"/>
    </row>
    <row r="2962" spans="1:28" s="4" customFormat="1" ht="51.95" customHeight="1">
      <c r="A2962" s="5">
        <v>0</v>
      </c>
      <c r="B2962" s="6" t="s">
        <v>17882</v>
      </c>
      <c r="C2962" s="13">
        <v>2030</v>
      </c>
      <c r="D2962" s="8" t="s">
        <v>17883</v>
      </c>
      <c r="E2962" s="8" t="s">
        <v>17884</v>
      </c>
      <c r="F2962" s="8" t="s">
        <v>2296</v>
      </c>
      <c r="G2962" s="6" t="s">
        <v>52</v>
      </c>
      <c r="H2962" s="6" t="s">
        <v>53</v>
      </c>
      <c r="I2962" s="8" t="s">
        <v>116</v>
      </c>
      <c r="J2962" s="9">
        <v>1</v>
      </c>
      <c r="K2962" s="9">
        <v>433</v>
      </c>
      <c r="L2962" s="9">
        <v>2024</v>
      </c>
      <c r="M2962" s="8" t="s">
        <v>17885</v>
      </c>
      <c r="N2962" s="8" t="s">
        <v>41</v>
      </c>
      <c r="O2962" s="8" t="s">
        <v>118</v>
      </c>
      <c r="P2962" s="6" t="s">
        <v>167</v>
      </c>
      <c r="Q2962" s="8" t="s">
        <v>58</v>
      </c>
      <c r="R2962" s="10" t="s">
        <v>17877</v>
      </c>
      <c r="S2962" s="11" t="s">
        <v>17878</v>
      </c>
      <c r="T2962" s="6"/>
      <c r="U2962" s="24" t="str">
        <f>HYPERLINK("https://media.infra-m.ru/2079/2079293/cover/2079293.jpg", "Обложка")</f>
        <v>Обложка</v>
      </c>
      <c r="V2962" s="24" t="str">
        <f>HYPERLINK("https://znanium.ru/catalog/product/2079293", "Ознакомиться")</f>
        <v>Ознакомиться</v>
      </c>
      <c r="W2962" s="8" t="s">
        <v>2080</v>
      </c>
      <c r="X2962" s="6"/>
      <c r="Y2962" s="6"/>
      <c r="Z2962" s="6"/>
      <c r="AA2962" s="6" t="s">
        <v>17886</v>
      </c>
      <c r="AB2962" s="8"/>
    </row>
    <row r="2963" spans="1:28" s="4" customFormat="1" ht="51.95" customHeight="1">
      <c r="A2963" s="5">
        <v>0</v>
      </c>
      <c r="B2963" s="6" t="s">
        <v>17887</v>
      </c>
      <c r="C2963" s="7">
        <v>890</v>
      </c>
      <c r="D2963" s="8" t="s">
        <v>17888</v>
      </c>
      <c r="E2963" s="8" t="s">
        <v>17889</v>
      </c>
      <c r="F2963" s="8" t="s">
        <v>17890</v>
      </c>
      <c r="G2963" s="6" t="s">
        <v>89</v>
      </c>
      <c r="H2963" s="6" t="s">
        <v>53</v>
      </c>
      <c r="I2963" s="8" t="s">
        <v>276</v>
      </c>
      <c r="J2963" s="9">
        <v>1</v>
      </c>
      <c r="K2963" s="9">
        <v>196</v>
      </c>
      <c r="L2963" s="9">
        <v>2023</v>
      </c>
      <c r="M2963" s="8" t="s">
        <v>17891</v>
      </c>
      <c r="N2963" s="8" t="s">
        <v>41</v>
      </c>
      <c r="O2963" s="8" t="s">
        <v>118</v>
      </c>
      <c r="P2963" s="6" t="s">
        <v>43</v>
      </c>
      <c r="Q2963" s="8" t="s">
        <v>279</v>
      </c>
      <c r="R2963" s="10" t="s">
        <v>17892</v>
      </c>
      <c r="S2963" s="11" t="s">
        <v>17893</v>
      </c>
      <c r="T2963" s="6"/>
      <c r="U2963" s="24" t="str">
        <f>HYPERLINK("https://media.infra-m.ru/1905/1905135/cover/1905135.jpg", "Обложка")</f>
        <v>Обложка</v>
      </c>
      <c r="V2963" s="24" t="str">
        <f>HYPERLINK("https://znanium.ru/catalog/product/1905135", "Ознакомиться")</f>
        <v>Ознакомиться</v>
      </c>
      <c r="W2963" s="8" t="s">
        <v>189</v>
      </c>
      <c r="X2963" s="6"/>
      <c r="Y2963" s="6"/>
      <c r="Z2963" s="6"/>
      <c r="AA2963" s="6" t="s">
        <v>418</v>
      </c>
      <c r="AB2963" s="8"/>
    </row>
    <row r="2964" spans="1:28" s="4" customFormat="1" ht="42" customHeight="1">
      <c r="A2964" s="5">
        <v>0</v>
      </c>
      <c r="B2964" s="6" t="s">
        <v>17894</v>
      </c>
      <c r="C2964" s="7">
        <v>910</v>
      </c>
      <c r="D2964" s="8" t="s">
        <v>17895</v>
      </c>
      <c r="E2964" s="8" t="s">
        <v>17896</v>
      </c>
      <c r="F2964" s="8" t="s">
        <v>17076</v>
      </c>
      <c r="G2964" s="6" t="s">
        <v>52</v>
      </c>
      <c r="H2964" s="6" t="s">
        <v>53</v>
      </c>
      <c r="I2964" s="8" t="s">
        <v>116</v>
      </c>
      <c r="J2964" s="9">
        <v>1</v>
      </c>
      <c r="K2964" s="9">
        <v>162</v>
      </c>
      <c r="L2964" s="9">
        <v>2025</v>
      </c>
      <c r="M2964" s="8" t="s">
        <v>17897</v>
      </c>
      <c r="N2964" s="8" t="s">
        <v>79</v>
      </c>
      <c r="O2964" s="8" t="s">
        <v>570</v>
      </c>
      <c r="P2964" s="6" t="s">
        <v>43</v>
      </c>
      <c r="Q2964" s="8" t="s">
        <v>214</v>
      </c>
      <c r="R2964" s="10" t="s">
        <v>17898</v>
      </c>
      <c r="S2964" s="11"/>
      <c r="T2964" s="6"/>
      <c r="U2964" s="24" t="str">
        <f>HYPERLINK("https://media.infra-m.ru/2137/2137960/cover/2137960.jpg", "Обложка")</f>
        <v>Обложка</v>
      </c>
      <c r="V2964" s="24" t="str">
        <f>HYPERLINK("https://znanium.ru/catalog/product/2137960", "Ознакомиться")</f>
        <v>Ознакомиться</v>
      </c>
      <c r="W2964" s="8" t="s">
        <v>150</v>
      </c>
      <c r="X2964" s="6" t="s">
        <v>548</v>
      </c>
      <c r="Y2964" s="6"/>
      <c r="Z2964" s="6"/>
      <c r="AA2964" s="6" t="s">
        <v>61</v>
      </c>
      <c r="AB2964" s="8"/>
    </row>
    <row r="2965" spans="1:28" s="4" customFormat="1" ht="42" customHeight="1">
      <c r="A2965" s="5">
        <v>0</v>
      </c>
      <c r="B2965" s="6" t="s">
        <v>17899</v>
      </c>
      <c r="C2965" s="7">
        <v>500</v>
      </c>
      <c r="D2965" s="8" t="s">
        <v>17900</v>
      </c>
      <c r="E2965" s="8" t="s">
        <v>17901</v>
      </c>
      <c r="F2965" s="8" t="s">
        <v>17902</v>
      </c>
      <c r="G2965" s="6" t="s">
        <v>38</v>
      </c>
      <c r="H2965" s="6" t="s">
        <v>53</v>
      </c>
      <c r="I2965" s="8" t="s">
        <v>7693</v>
      </c>
      <c r="J2965" s="9">
        <v>1</v>
      </c>
      <c r="K2965" s="9">
        <v>92</v>
      </c>
      <c r="L2965" s="9">
        <v>2023</v>
      </c>
      <c r="M2965" s="8" t="s">
        <v>17903</v>
      </c>
      <c r="N2965" s="8" t="s">
        <v>997</v>
      </c>
      <c r="O2965" s="8" t="s">
        <v>998</v>
      </c>
      <c r="P2965" s="6" t="s">
        <v>175</v>
      </c>
      <c r="Q2965" s="8" t="s">
        <v>1047</v>
      </c>
      <c r="R2965" s="10" t="s">
        <v>17904</v>
      </c>
      <c r="S2965" s="11"/>
      <c r="T2965" s="6"/>
      <c r="U2965" s="24" t="str">
        <f>HYPERLINK("https://media.infra-m.ru/2118/2118097/cover/2118097.jpg", "Обложка")</f>
        <v>Обложка</v>
      </c>
      <c r="V2965" s="24" t="str">
        <f>HYPERLINK("https://znanium.ru/catalog/product/2085930", "Ознакомиться")</f>
        <v>Ознакомиться</v>
      </c>
      <c r="W2965" s="8" t="s">
        <v>17905</v>
      </c>
      <c r="X2965" s="6"/>
      <c r="Y2965" s="6"/>
      <c r="Z2965" s="6"/>
      <c r="AA2965" s="6" t="s">
        <v>235</v>
      </c>
      <c r="AB2965" s="8"/>
    </row>
    <row r="2966" spans="1:28" s="4" customFormat="1" ht="51.95" customHeight="1">
      <c r="A2966" s="5">
        <v>0</v>
      </c>
      <c r="B2966" s="6" t="s">
        <v>17906</v>
      </c>
      <c r="C2966" s="7">
        <v>714.9</v>
      </c>
      <c r="D2966" s="8" t="s">
        <v>17907</v>
      </c>
      <c r="E2966" s="8" t="s">
        <v>17908</v>
      </c>
      <c r="F2966" s="8" t="s">
        <v>17909</v>
      </c>
      <c r="G2966" s="6" t="s">
        <v>52</v>
      </c>
      <c r="H2966" s="6" t="s">
        <v>53</v>
      </c>
      <c r="I2966" s="8" t="s">
        <v>90</v>
      </c>
      <c r="J2966" s="9">
        <v>1</v>
      </c>
      <c r="K2966" s="9">
        <v>187</v>
      </c>
      <c r="L2966" s="9">
        <v>2022</v>
      </c>
      <c r="M2966" s="8" t="s">
        <v>17910</v>
      </c>
      <c r="N2966" s="8" t="s">
        <v>79</v>
      </c>
      <c r="O2966" s="8" t="s">
        <v>396</v>
      </c>
      <c r="P2966" s="6" t="s">
        <v>43</v>
      </c>
      <c r="Q2966" s="8" t="s">
        <v>44</v>
      </c>
      <c r="R2966" s="10" t="s">
        <v>17911</v>
      </c>
      <c r="S2966" s="11" t="s">
        <v>17912</v>
      </c>
      <c r="T2966" s="6"/>
      <c r="U2966" s="24" t="str">
        <f>HYPERLINK("https://media.infra-m.ru/1844/1844329/cover/1844329.jpg", "Обложка")</f>
        <v>Обложка</v>
      </c>
      <c r="V2966" s="24" t="str">
        <f>HYPERLINK("https://znanium.ru/catalog/product/1081036", "Ознакомиться")</f>
        <v>Ознакомиться</v>
      </c>
      <c r="W2966" s="8" t="s">
        <v>16537</v>
      </c>
      <c r="X2966" s="6"/>
      <c r="Y2966" s="6"/>
      <c r="Z2966" s="6"/>
      <c r="AA2966" s="6" t="s">
        <v>84</v>
      </c>
      <c r="AB2966" s="8"/>
    </row>
    <row r="2967" spans="1:28" s="4" customFormat="1" ht="51.95" customHeight="1">
      <c r="A2967" s="5">
        <v>0</v>
      </c>
      <c r="B2967" s="6" t="s">
        <v>17913</v>
      </c>
      <c r="C2967" s="13">
        <v>2060</v>
      </c>
      <c r="D2967" s="8" t="s">
        <v>17914</v>
      </c>
      <c r="E2967" s="8" t="s">
        <v>17915</v>
      </c>
      <c r="F2967" s="8" t="s">
        <v>17916</v>
      </c>
      <c r="G2967" s="6" t="s">
        <v>52</v>
      </c>
      <c r="H2967" s="6" t="s">
        <v>53</v>
      </c>
      <c r="I2967" s="8" t="s">
        <v>4726</v>
      </c>
      <c r="J2967" s="9">
        <v>1</v>
      </c>
      <c r="K2967" s="9">
        <v>438</v>
      </c>
      <c r="L2967" s="9">
        <v>2024</v>
      </c>
      <c r="M2967" s="8" t="s">
        <v>17917</v>
      </c>
      <c r="N2967" s="8" t="s">
        <v>41</v>
      </c>
      <c r="O2967" s="8" t="s">
        <v>129</v>
      </c>
      <c r="P2967" s="6" t="s">
        <v>43</v>
      </c>
      <c r="Q2967" s="8" t="s">
        <v>58</v>
      </c>
      <c r="R2967" s="10" t="s">
        <v>8088</v>
      </c>
      <c r="S2967" s="11" t="s">
        <v>17918</v>
      </c>
      <c r="T2967" s="6"/>
      <c r="U2967" s="24" t="str">
        <f>HYPERLINK("https://media.infra-m.ru/2116/2116714/cover/2116714.jpg", "Обложка")</f>
        <v>Обложка</v>
      </c>
      <c r="V2967" s="24" t="str">
        <f>HYPERLINK("https://znanium.ru/catalog/product/2116714", "Ознакомиться")</f>
        <v>Ознакомиться</v>
      </c>
      <c r="W2967" s="8"/>
      <c r="X2967" s="6"/>
      <c r="Y2967" s="6"/>
      <c r="Z2967" s="6"/>
      <c r="AA2967" s="6" t="s">
        <v>219</v>
      </c>
      <c r="AB2967" s="8"/>
    </row>
    <row r="2968" spans="1:28" s="4" customFormat="1" ht="51.95" customHeight="1">
      <c r="A2968" s="5">
        <v>0</v>
      </c>
      <c r="B2968" s="6" t="s">
        <v>17919</v>
      </c>
      <c r="C2968" s="13">
        <v>1550</v>
      </c>
      <c r="D2968" s="8" t="s">
        <v>17920</v>
      </c>
      <c r="E2968" s="8" t="s">
        <v>17921</v>
      </c>
      <c r="F2968" s="8" t="s">
        <v>17922</v>
      </c>
      <c r="G2968" s="6" t="s">
        <v>89</v>
      </c>
      <c r="H2968" s="6" t="s">
        <v>53</v>
      </c>
      <c r="I2968" s="8" t="s">
        <v>212</v>
      </c>
      <c r="J2968" s="9">
        <v>1</v>
      </c>
      <c r="K2968" s="9">
        <v>315</v>
      </c>
      <c r="L2968" s="9">
        <v>2024</v>
      </c>
      <c r="M2968" s="8" t="s">
        <v>17923</v>
      </c>
      <c r="N2968" s="8" t="s">
        <v>41</v>
      </c>
      <c r="O2968" s="8" t="s">
        <v>129</v>
      </c>
      <c r="P2968" s="6" t="s">
        <v>43</v>
      </c>
      <c r="Q2968" s="8" t="s">
        <v>214</v>
      </c>
      <c r="R2968" s="10" t="s">
        <v>17924</v>
      </c>
      <c r="S2968" s="11" t="s">
        <v>17925</v>
      </c>
      <c r="T2968" s="6"/>
      <c r="U2968" s="24" t="str">
        <f>HYPERLINK("https://media.infra-m.ru/2155/2155643/cover/2155643.jpg", "Обложка")</f>
        <v>Обложка</v>
      </c>
      <c r="V2968" s="24" t="str">
        <f>HYPERLINK("https://znanium.ru/catalog/product/2155643", "Ознакомиться")</f>
        <v>Ознакомиться</v>
      </c>
      <c r="W2968" s="8" t="s">
        <v>4730</v>
      </c>
      <c r="X2968" s="6"/>
      <c r="Y2968" s="6"/>
      <c r="Z2968" s="6"/>
      <c r="AA2968" s="6" t="s">
        <v>207</v>
      </c>
      <c r="AB2968" s="8"/>
    </row>
    <row r="2969" spans="1:28" s="4" customFormat="1" ht="51.95" customHeight="1">
      <c r="A2969" s="5">
        <v>0</v>
      </c>
      <c r="B2969" s="6" t="s">
        <v>17926</v>
      </c>
      <c r="C2969" s="7">
        <v>984</v>
      </c>
      <c r="D2969" s="8" t="s">
        <v>17927</v>
      </c>
      <c r="E2969" s="8" t="s">
        <v>17928</v>
      </c>
      <c r="F2969" s="8" t="s">
        <v>2706</v>
      </c>
      <c r="G2969" s="6" t="s">
        <v>89</v>
      </c>
      <c r="H2969" s="6" t="s">
        <v>53</v>
      </c>
      <c r="I2969" s="8" t="s">
        <v>100</v>
      </c>
      <c r="J2969" s="9">
        <v>1</v>
      </c>
      <c r="K2969" s="9">
        <v>212</v>
      </c>
      <c r="L2969" s="9">
        <v>2024</v>
      </c>
      <c r="M2969" s="8" t="s">
        <v>17929</v>
      </c>
      <c r="N2969" s="8" t="s">
        <v>41</v>
      </c>
      <c r="O2969" s="8" t="s">
        <v>1007</v>
      </c>
      <c r="P2969" s="6" t="s">
        <v>167</v>
      </c>
      <c r="Q2969" s="8" t="s">
        <v>102</v>
      </c>
      <c r="R2969" s="10" t="s">
        <v>17930</v>
      </c>
      <c r="S2969" s="11" t="s">
        <v>17931</v>
      </c>
      <c r="T2969" s="6"/>
      <c r="U2969" s="24" t="str">
        <f>HYPERLINK("https://media.infra-m.ru/2118/2118075/cover/2118075.jpg", "Обложка")</f>
        <v>Обложка</v>
      </c>
      <c r="V2969" s="24" t="str">
        <f>HYPERLINK("https://znanium.ru/catalog/product/2104829", "Ознакомиться")</f>
        <v>Ознакомиться</v>
      </c>
      <c r="W2969" s="8" t="s">
        <v>1233</v>
      </c>
      <c r="X2969" s="6"/>
      <c r="Y2969" s="6"/>
      <c r="Z2969" s="6"/>
      <c r="AA2969" s="6" t="s">
        <v>793</v>
      </c>
      <c r="AB2969" s="8"/>
    </row>
    <row r="2970" spans="1:28" s="4" customFormat="1" ht="42" customHeight="1">
      <c r="A2970" s="5">
        <v>0</v>
      </c>
      <c r="B2970" s="6" t="s">
        <v>17932</v>
      </c>
      <c r="C2970" s="7">
        <v>980</v>
      </c>
      <c r="D2970" s="8" t="s">
        <v>17933</v>
      </c>
      <c r="E2970" s="8" t="s">
        <v>17928</v>
      </c>
      <c r="F2970" s="8" t="s">
        <v>17934</v>
      </c>
      <c r="G2970" s="6" t="s">
        <v>52</v>
      </c>
      <c r="H2970" s="6" t="s">
        <v>53</v>
      </c>
      <c r="I2970" s="8" t="s">
        <v>2048</v>
      </c>
      <c r="J2970" s="9">
        <v>1</v>
      </c>
      <c r="K2970" s="9">
        <v>183</v>
      </c>
      <c r="L2970" s="9">
        <v>2025</v>
      </c>
      <c r="M2970" s="8" t="s">
        <v>17935</v>
      </c>
      <c r="N2970" s="8" t="s">
        <v>41</v>
      </c>
      <c r="O2970" s="8" t="s">
        <v>1007</v>
      </c>
      <c r="P2970" s="6" t="s">
        <v>43</v>
      </c>
      <c r="Q2970" s="8" t="s">
        <v>58</v>
      </c>
      <c r="R2970" s="10" t="s">
        <v>2461</v>
      </c>
      <c r="S2970" s="11"/>
      <c r="T2970" s="6"/>
      <c r="U2970" s="24" t="str">
        <f>HYPERLINK("https://media.infra-m.ru/2130/2130667/cover/2130667.jpg", "Обложка")</f>
        <v>Обложка</v>
      </c>
      <c r="V2970" s="24" t="str">
        <f>HYPERLINK("https://znanium.ru/catalog/product/2130667", "Ознакомиться")</f>
        <v>Ознакомиться</v>
      </c>
      <c r="W2970" s="8" t="s">
        <v>189</v>
      </c>
      <c r="X2970" s="6" t="s">
        <v>132</v>
      </c>
      <c r="Y2970" s="6"/>
      <c r="Z2970" s="6"/>
      <c r="AA2970" s="6" t="s">
        <v>61</v>
      </c>
      <c r="AB2970" s="8"/>
    </row>
    <row r="2971" spans="1:28" s="4" customFormat="1" ht="51.95" customHeight="1">
      <c r="A2971" s="5">
        <v>0</v>
      </c>
      <c r="B2971" s="6" t="s">
        <v>17936</v>
      </c>
      <c r="C2971" s="13">
        <v>1140</v>
      </c>
      <c r="D2971" s="8" t="s">
        <v>17937</v>
      </c>
      <c r="E2971" s="8" t="s">
        <v>17938</v>
      </c>
      <c r="F2971" s="8" t="s">
        <v>6244</v>
      </c>
      <c r="G2971" s="6" t="s">
        <v>52</v>
      </c>
      <c r="H2971" s="6" t="s">
        <v>53</v>
      </c>
      <c r="I2971" s="8" t="s">
        <v>712</v>
      </c>
      <c r="J2971" s="9">
        <v>1</v>
      </c>
      <c r="K2971" s="9">
        <v>216</v>
      </c>
      <c r="L2971" s="9">
        <v>2025</v>
      </c>
      <c r="M2971" s="8" t="s">
        <v>17939</v>
      </c>
      <c r="N2971" s="8" t="s">
        <v>79</v>
      </c>
      <c r="O2971" s="8" t="s">
        <v>684</v>
      </c>
      <c r="P2971" s="6" t="s">
        <v>43</v>
      </c>
      <c r="Q2971" s="8" t="s">
        <v>58</v>
      </c>
      <c r="R2971" s="10" t="s">
        <v>4401</v>
      </c>
      <c r="S2971" s="11" t="s">
        <v>17940</v>
      </c>
      <c r="T2971" s="6"/>
      <c r="U2971" s="24" t="str">
        <f>HYPERLINK("https://media.infra-m.ru/2169/2169745/cover/2169745.jpg", "Обложка")</f>
        <v>Обложка</v>
      </c>
      <c r="V2971" s="24" t="str">
        <f>HYPERLINK("https://znanium.ru/catalog/product/2169745", "Ознакомиться")</f>
        <v>Ознакомиться</v>
      </c>
      <c r="W2971" s="8" t="s">
        <v>716</v>
      </c>
      <c r="X2971" s="6" t="s">
        <v>132</v>
      </c>
      <c r="Y2971" s="6"/>
      <c r="Z2971" s="6"/>
      <c r="AA2971" s="6" t="s">
        <v>61</v>
      </c>
      <c r="AB2971" s="8"/>
    </row>
    <row r="2972" spans="1:28" s="4" customFormat="1" ht="51.95" customHeight="1">
      <c r="A2972" s="5">
        <v>0</v>
      </c>
      <c r="B2972" s="6" t="s">
        <v>17941</v>
      </c>
      <c r="C2972" s="7">
        <v>680</v>
      </c>
      <c r="D2972" s="8" t="s">
        <v>17942</v>
      </c>
      <c r="E2972" s="8" t="s">
        <v>17943</v>
      </c>
      <c r="F2972" s="8" t="s">
        <v>17944</v>
      </c>
      <c r="G2972" s="6" t="s">
        <v>38</v>
      </c>
      <c r="H2972" s="6" t="s">
        <v>53</v>
      </c>
      <c r="I2972" s="8" t="s">
        <v>100</v>
      </c>
      <c r="J2972" s="9">
        <v>1</v>
      </c>
      <c r="K2972" s="9">
        <v>136</v>
      </c>
      <c r="L2972" s="9">
        <v>2025</v>
      </c>
      <c r="M2972" s="8" t="s">
        <v>17945</v>
      </c>
      <c r="N2972" s="8" t="s">
        <v>41</v>
      </c>
      <c r="O2972" s="8" t="s">
        <v>118</v>
      </c>
      <c r="P2972" s="6" t="s">
        <v>43</v>
      </c>
      <c r="Q2972" s="8" t="s">
        <v>102</v>
      </c>
      <c r="R2972" s="10" t="s">
        <v>1801</v>
      </c>
      <c r="S2972" s="11" t="s">
        <v>1802</v>
      </c>
      <c r="T2972" s="6"/>
      <c r="U2972" s="24" t="str">
        <f>HYPERLINK("https://media.infra-m.ru/2171/2171481/cover/2171481.jpg", "Обложка")</f>
        <v>Обложка</v>
      </c>
      <c r="V2972" s="24" t="str">
        <f>HYPERLINK("https://znanium.ru/catalog/product/2171481", "Ознакомиться")</f>
        <v>Ознакомиться</v>
      </c>
      <c r="W2972" s="8" t="s">
        <v>7243</v>
      </c>
      <c r="X2972" s="6"/>
      <c r="Y2972" s="6"/>
      <c r="Z2972" s="6" t="s">
        <v>104</v>
      </c>
      <c r="AA2972" s="6" t="s">
        <v>258</v>
      </c>
      <c r="AB2972" s="8"/>
    </row>
    <row r="2973" spans="1:28" s="4" customFormat="1" ht="51.95" customHeight="1">
      <c r="A2973" s="5">
        <v>0</v>
      </c>
      <c r="B2973" s="6" t="s">
        <v>17946</v>
      </c>
      <c r="C2973" s="7">
        <v>654</v>
      </c>
      <c r="D2973" s="8" t="s">
        <v>17947</v>
      </c>
      <c r="E2973" s="8" t="s">
        <v>17943</v>
      </c>
      <c r="F2973" s="8" t="s">
        <v>17944</v>
      </c>
      <c r="G2973" s="6" t="s">
        <v>38</v>
      </c>
      <c r="H2973" s="6" t="s">
        <v>53</v>
      </c>
      <c r="I2973" s="8" t="s">
        <v>90</v>
      </c>
      <c r="J2973" s="9">
        <v>1</v>
      </c>
      <c r="K2973" s="9">
        <v>136</v>
      </c>
      <c r="L2973" s="9">
        <v>2024</v>
      </c>
      <c r="M2973" s="8" t="s">
        <v>17948</v>
      </c>
      <c r="N2973" s="8" t="s">
        <v>41</v>
      </c>
      <c r="O2973" s="8" t="s">
        <v>118</v>
      </c>
      <c r="P2973" s="6" t="s">
        <v>43</v>
      </c>
      <c r="Q2973" s="8" t="s">
        <v>44</v>
      </c>
      <c r="R2973" s="10" t="s">
        <v>17949</v>
      </c>
      <c r="S2973" s="11" t="s">
        <v>17950</v>
      </c>
      <c r="T2973" s="6"/>
      <c r="U2973" s="24" t="str">
        <f>HYPERLINK("https://media.infra-m.ru/2134/2134482/cover/2134482.jpg", "Обложка")</f>
        <v>Обложка</v>
      </c>
      <c r="V2973" s="24" t="str">
        <f>HYPERLINK("https://znanium.ru/catalog/product/1179524", "Ознакомиться")</f>
        <v>Ознакомиться</v>
      </c>
      <c r="W2973" s="8" t="s">
        <v>7243</v>
      </c>
      <c r="X2973" s="6"/>
      <c r="Y2973" s="6"/>
      <c r="Z2973" s="6"/>
      <c r="AA2973" s="6" t="s">
        <v>442</v>
      </c>
      <c r="AB2973" s="8"/>
    </row>
    <row r="2974" spans="1:28" s="4" customFormat="1" ht="51.95" customHeight="1">
      <c r="A2974" s="5">
        <v>0</v>
      </c>
      <c r="B2974" s="6" t="s">
        <v>17951</v>
      </c>
      <c r="C2974" s="13">
        <v>2094</v>
      </c>
      <c r="D2974" s="8" t="s">
        <v>17952</v>
      </c>
      <c r="E2974" s="8" t="s">
        <v>17953</v>
      </c>
      <c r="F2974" s="8" t="s">
        <v>17954</v>
      </c>
      <c r="G2974" s="6" t="s">
        <v>52</v>
      </c>
      <c r="H2974" s="6" t="s">
        <v>39</v>
      </c>
      <c r="I2974" s="8" t="s">
        <v>100</v>
      </c>
      <c r="J2974" s="9">
        <v>1</v>
      </c>
      <c r="K2974" s="9">
        <v>432</v>
      </c>
      <c r="L2974" s="9">
        <v>2025</v>
      </c>
      <c r="M2974" s="8" t="s">
        <v>17955</v>
      </c>
      <c r="N2974" s="8" t="s">
        <v>41</v>
      </c>
      <c r="O2974" s="8" t="s">
        <v>1007</v>
      </c>
      <c r="P2974" s="6" t="s">
        <v>43</v>
      </c>
      <c r="Q2974" s="8" t="s">
        <v>102</v>
      </c>
      <c r="R2974" s="10" t="s">
        <v>1801</v>
      </c>
      <c r="S2974" s="11" t="s">
        <v>17956</v>
      </c>
      <c r="T2974" s="6"/>
      <c r="U2974" s="24" t="str">
        <f>HYPERLINK("https://media.infra-m.ru/2172/2172691/cover/2172691.jpg", "Обложка")</f>
        <v>Обложка</v>
      </c>
      <c r="V2974" s="24" t="str">
        <f>HYPERLINK("https://znanium.ru/catalog/product/2095041", "Ознакомиться")</f>
        <v>Ознакомиться</v>
      </c>
      <c r="W2974" s="8" t="s">
        <v>6124</v>
      </c>
      <c r="X2974" s="6"/>
      <c r="Y2974" s="6"/>
      <c r="Z2974" s="6" t="s">
        <v>104</v>
      </c>
      <c r="AA2974" s="6" t="s">
        <v>258</v>
      </c>
      <c r="AB2974" s="8"/>
    </row>
    <row r="2975" spans="1:28" s="4" customFormat="1" ht="51.95" customHeight="1">
      <c r="A2975" s="5">
        <v>0</v>
      </c>
      <c r="B2975" s="6" t="s">
        <v>17957</v>
      </c>
      <c r="C2975" s="13">
        <v>1950</v>
      </c>
      <c r="D2975" s="8" t="s">
        <v>17958</v>
      </c>
      <c r="E2975" s="8" t="s">
        <v>17953</v>
      </c>
      <c r="F2975" s="8" t="s">
        <v>17954</v>
      </c>
      <c r="G2975" s="6" t="s">
        <v>52</v>
      </c>
      <c r="H2975" s="6" t="s">
        <v>39</v>
      </c>
      <c r="I2975" s="8" t="s">
        <v>116</v>
      </c>
      <c r="J2975" s="9">
        <v>1</v>
      </c>
      <c r="K2975" s="9">
        <v>432</v>
      </c>
      <c r="L2975" s="9">
        <v>2023</v>
      </c>
      <c r="M2975" s="8" t="s">
        <v>17959</v>
      </c>
      <c r="N2975" s="8" t="s">
        <v>41</v>
      </c>
      <c r="O2975" s="8" t="s">
        <v>1007</v>
      </c>
      <c r="P2975" s="6" t="s">
        <v>43</v>
      </c>
      <c r="Q2975" s="8" t="s">
        <v>44</v>
      </c>
      <c r="R2975" s="10" t="s">
        <v>7543</v>
      </c>
      <c r="S2975" s="11" t="s">
        <v>17960</v>
      </c>
      <c r="T2975" s="6"/>
      <c r="U2975" s="24" t="str">
        <f>HYPERLINK("https://media.infra-m.ru/1856/1856703/cover/1856703.jpg", "Обложка")</f>
        <v>Обложка</v>
      </c>
      <c r="V2975" s="24" t="str">
        <f>HYPERLINK("https://znanium.ru/catalog/product/1856703", "Ознакомиться")</f>
        <v>Ознакомиться</v>
      </c>
      <c r="W2975" s="8" t="s">
        <v>6124</v>
      </c>
      <c r="X2975" s="6"/>
      <c r="Y2975" s="6"/>
      <c r="Z2975" s="6"/>
      <c r="AA2975" s="6" t="s">
        <v>418</v>
      </c>
      <c r="AB2975" s="8"/>
    </row>
    <row r="2976" spans="1:28" s="4" customFormat="1" ht="51.95" customHeight="1">
      <c r="A2976" s="5">
        <v>0</v>
      </c>
      <c r="B2976" s="6" t="s">
        <v>17961</v>
      </c>
      <c r="C2976" s="13">
        <v>1860</v>
      </c>
      <c r="D2976" s="8" t="s">
        <v>17962</v>
      </c>
      <c r="E2976" s="8" t="s">
        <v>17963</v>
      </c>
      <c r="F2976" s="8" t="s">
        <v>17964</v>
      </c>
      <c r="G2976" s="6" t="s">
        <v>89</v>
      </c>
      <c r="H2976" s="6" t="s">
        <v>952</v>
      </c>
      <c r="I2976" s="8"/>
      <c r="J2976" s="9">
        <v>1</v>
      </c>
      <c r="K2976" s="9">
        <v>400</v>
      </c>
      <c r="L2976" s="9">
        <v>2024</v>
      </c>
      <c r="M2976" s="8" t="s">
        <v>17965</v>
      </c>
      <c r="N2976" s="8" t="s">
        <v>41</v>
      </c>
      <c r="O2976" s="8" t="s">
        <v>278</v>
      </c>
      <c r="P2976" s="6" t="s">
        <v>43</v>
      </c>
      <c r="Q2976" s="8" t="s">
        <v>44</v>
      </c>
      <c r="R2976" s="10" t="s">
        <v>17966</v>
      </c>
      <c r="S2976" s="11" t="s">
        <v>17967</v>
      </c>
      <c r="T2976" s="6"/>
      <c r="U2976" s="24" t="str">
        <f>HYPERLINK("https://media.infra-m.ru/2099/2099068/cover/2099068.jpg", "Обложка")</f>
        <v>Обложка</v>
      </c>
      <c r="V2976" s="24" t="str">
        <f>HYPERLINK("https://znanium.ru/catalog/product/2099068", "Ознакомиться")</f>
        <v>Ознакомиться</v>
      </c>
      <c r="W2976" s="8" t="s">
        <v>2463</v>
      </c>
      <c r="X2976" s="6"/>
      <c r="Y2976" s="6"/>
      <c r="Z2976" s="6"/>
      <c r="AA2976" s="6" t="s">
        <v>72</v>
      </c>
      <c r="AB2976" s="8"/>
    </row>
    <row r="2977" spans="1:28" s="4" customFormat="1" ht="51.95" customHeight="1">
      <c r="A2977" s="5">
        <v>0</v>
      </c>
      <c r="B2977" s="6" t="s">
        <v>17968</v>
      </c>
      <c r="C2977" s="7">
        <v>860</v>
      </c>
      <c r="D2977" s="8" t="s">
        <v>17969</v>
      </c>
      <c r="E2977" s="8" t="s">
        <v>17970</v>
      </c>
      <c r="F2977" s="8" t="s">
        <v>17971</v>
      </c>
      <c r="G2977" s="6" t="s">
        <v>38</v>
      </c>
      <c r="H2977" s="6" t="s">
        <v>53</v>
      </c>
      <c r="I2977" s="8" t="s">
        <v>782</v>
      </c>
      <c r="J2977" s="9">
        <v>1</v>
      </c>
      <c r="K2977" s="9">
        <v>187</v>
      </c>
      <c r="L2977" s="9">
        <v>2024</v>
      </c>
      <c r="M2977" s="8" t="s">
        <v>17972</v>
      </c>
      <c r="N2977" s="8" t="s">
        <v>79</v>
      </c>
      <c r="O2977" s="8" t="s">
        <v>570</v>
      </c>
      <c r="P2977" s="6" t="s">
        <v>43</v>
      </c>
      <c r="Q2977" s="8" t="s">
        <v>44</v>
      </c>
      <c r="R2977" s="10" t="s">
        <v>8088</v>
      </c>
      <c r="S2977" s="11" t="s">
        <v>17973</v>
      </c>
      <c r="T2977" s="6"/>
      <c r="U2977" s="24" t="str">
        <f>HYPERLINK("https://media.infra-m.ru/2094/2094501/cover/2094501.jpg", "Обложка")</f>
        <v>Обложка</v>
      </c>
      <c r="V2977" s="12"/>
      <c r="W2977" s="8" t="s">
        <v>784</v>
      </c>
      <c r="X2977" s="6"/>
      <c r="Y2977" s="6"/>
      <c r="Z2977" s="6"/>
      <c r="AA2977" s="6" t="s">
        <v>196</v>
      </c>
      <c r="AB2977" s="8"/>
    </row>
    <row r="2978" spans="1:28" s="4" customFormat="1" ht="51.95" customHeight="1">
      <c r="A2978" s="5">
        <v>0</v>
      </c>
      <c r="B2978" s="6" t="s">
        <v>17974</v>
      </c>
      <c r="C2978" s="13">
        <v>2224.9</v>
      </c>
      <c r="D2978" s="8" t="s">
        <v>17975</v>
      </c>
      <c r="E2978" s="8" t="s">
        <v>17976</v>
      </c>
      <c r="F2978" s="8" t="s">
        <v>17977</v>
      </c>
      <c r="G2978" s="6" t="s">
        <v>89</v>
      </c>
      <c r="H2978" s="6" t="s">
        <v>649</v>
      </c>
      <c r="I2978" s="8" t="s">
        <v>58</v>
      </c>
      <c r="J2978" s="9">
        <v>1</v>
      </c>
      <c r="K2978" s="9">
        <v>496</v>
      </c>
      <c r="L2978" s="9">
        <v>2023</v>
      </c>
      <c r="M2978" s="8" t="s">
        <v>17978</v>
      </c>
      <c r="N2978" s="8" t="s">
        <v>41</v>
      </c>
      <c r="O2978" s="8" t="s">
        <v>1007</v>
      </c>
      <c r="P2978" s="6" t="s">
        <v>167</v>
      </c>
      <c r="Q2978" s="8" t="s">
        <v>102</v>
      </c>
      <c r="R2978" s="10" t="s">
        <v>1656</v>
      </c>
      <c r="S2978" s="11" t="s">
        <v>17979</v>
      </c>
      <c r="T2978" s="6"/>
      <c r="U2978" s="24" t="str">
        <f>HYPERLINK("https://media.infra-m.ru/1981/1981669/cover/1981669.jpg", "Обложка")</f>
        <v>Обложка</v>
      </c>
      <c r="V2978" s="24" t="str">
        <f>HYPERLINK("https://znanium.ru/catalog/product/960015", "Ознакомиться")</f>
        <v>Ознакомиться</v>
      </c>
      <c r="W2978" s="8" t="s">
        <v>83</v>
      </c>
      <c r="X2978" s="6"/>
      <c r="Y2978" s="6"/>
      <c r="Z2978" s="6"/>
      <c r="AA2978" s="6" t="s">
        <v>418</v>
      </c>
      <c r="AB2978" s="8"/>
    </row>
    <row r="2979" spans="1:28" s="4" customFormat="1" ht="42" customHeight="1">
      <c r="A2979" s="5">
        <v>0</v>
      </c>
      <c r="B2979" s="6" t="s">
        <v>17980</v>
      </c>
      <c r="C2979" s="13">
        <v>1200</v>
      </c>
      <c r="D2979" s="8" t="s">
        <v>17981</v>
      </c>
      <c r="E2979" s="8" t="s">
        <v>17976</v>
      </c>
      <c r="F2979" s="8" t="s">
        <v>17982</v>
      </c>
      <c r="G2979" s="6" t="s">
        <v>52</v>
      </c>
      <c r="H2979" s="6" t="s">
        <v>53</v>
      </c>
      <c r="I2979" s="8" t="s">
        <v>782</v>
      </c>
      <c r="J2979" s="9">
        <v>1</v>
      </c>
      <c r="K2979" s="9">
        <v>237</v>
      </c>
      <c r="L2979" s="9">
        <v>2025</v>
      </c>
      <c r="M2979" s="8" t="s">
        <v>17983</v>
      </c>
      <c r="N2979" s="8" t="s">
        <v>41</v>
      </c>
      <c r="O2979" s="8" t="s">
        <v>1007</v>
      </c>
      <c r="P2979" s="6" t="s">
        <v>187</v>
      </c>
      <c r="Q2979" s="8" t="s">
        <v>44</v>
      </c>
      <c r="R2979" s="10" t="s">
        <v>1231</v>
      </c>
      <c r="S2979" s="11"/>
      <c r="T2979" s="6"/>
      <c r="U2979" s="24" t="str">
        <f>HYPERLINK("https://media.infra-m.ru/2167/2167519/cover/2167519.jpg", "Обложка")</f>
        <v>Обложка</v>
      </c>
      <c r="V2979" s="12"/>
      <c r="W2979" s="8" t="s">
        <v>784</v>
      </c>
      <c r="X2979" s="6" t="s">
        <v>785</v>
      </c>
      <c r="Y2979" s="6"/>
      <c r="Z2979" s="6"/>
      <c r="AA2979" s="6" t="s">
        <v>61</v>
      </c>
      <c r="AB2979" s="8"/>
    </row>
    <row r="2980" spans="1:28" s="4" customFormat="1" ht="51.95" customHeight="1">
      <c r="A2980" s="5">
        <v>0</v>
      </c>
      <c r="B2980" s="6" t="s">
        <v>17984</v>
      </c>
      <c r="C2980" s="13">
        <v>2294</v>
      </c>
      <c r="D2980" s="8" t="s">
        <v>17985</v>
      </c>
      <c r="E2980" s="8" t="s">
        <v>17976</v>
      </c>
      <c r="F2980" s="8" t="s">
        <v>17986</v>
      </c>
      <c r="G2980" s="6" t="s">
        <v>52</v>
      </c>
      <c r="H2980" s="6" t="s">
        <v>53</v>
      </c>
      <c r="I2980" s="8" t="s">
        <v>116</v>
      </c>
      <c r="J2980" s="9">
        <v>1</v>
      </c>
      <c r="K2980" s="9">
        <v>632</v>
      </c>
      <c r="L2980" s="9">
        <v>2024</v>
      </c>
      <c r="M2980" s="8" t="s">
        <v>17987</v>
      </c>
      <c r="N2980" s="8" t="s">
        <v>41</v>
      </c>
      <c r="O2980" s="8" t="s">
        <v>1007</v>
      </c>
      <c r="P2980" s="6" t="s">
        <v>167</v>
      </c>
      <c r="Q2980" s="8" t="s">
        <v>44</v>
      </c>
      <c r="R2980" s="10" t="s">
        <v>1231</v>
      </c>
      <c r="S2980" s="11" t="s">
        <v>17988</v>
      </c>
      <c r="T2980" s="6"/>
      <c r="U2980" s="24" t="str">
        <f>HYPERLINK("https://media.infra-m.ru/2083/2083227/cover/2083227.jpg", "Обложка")</f>
        <v>Обложка</v>
      </c>
      <c r="V2980" s="24" t="str">
        <f>HYPERLINK("https://znanium.ru/catalog/product/2083227", "Ознакомиться")</f>
        <v>Ознакомиться</v>
      </c>
      <c r="W2980" s="8" t="s">
        <v>189</v>
      </c>
      <c r="X2980" s="6"/>
      <c r="Y2980" s="6"/>
      <c r="Z2980" s="6"/>
      <c r="AA2980" s="6" t="s">
        <v>122</v>
      </c>
      <c r="AB2980" s="8"/>
    </row>
    <row r="2981" spans="1:28" s="4" customFormat="1" ht="51.95" customHeight="1">
      <c r="A2981" s="5">
        <v>0</v>
      </c>
      <c r="B2981" s="6" t="s">
        <v>17989</v>
      </c>
      <c r="C2981" s="13">
        <v>1804.9</v>
      </c>
      <c r="D2981" s="8" t="s">
        <v>17990</v>
      </c>
      <c r="E2981" s="8" t="s">
        <v>17991</v>
      </c>
      <c r="F2981" s="8" t="s">
        <v>17992</v>
      </c>
      <c r="G2981" s="6" t="s">
        <v>52</v>
      </c>
      <c r="H2981" s="6" t="s">
        <v>53</v>
      </c>
      <c r="I2981" s="8" t="s">
        <v>90</v>
      </c>
      <c r="J2981" s="9">
        <v>1</v>
      </c>
      <c r="K2981" s="9">
        <v>400</v>
      </c>
      <c r="L2981" s="9">
        <v>2023</v>
      </c>
      <c r="M2981" s="8" t="s">
        <v>17993</v>
      </c>
      <c r="N2981" s="8" t="s">
        <v>41</v>
      </c>
      <c r="O2981" s="8" t="s">
        <v>1007</v>
      </c>
      <c r="P2981" s="6" t="s">
        <v>167</v>
      </c>
      <c r="Q2981" s="8" t="s">
        <v>44</v>
      </c>
      <c r="R2981" s="10" t="s">
        <v>6227</v>
      </c>
      <c r="S2981" s="11" t="s">
        <v>17994</v>
      </c>
      <c r="T2981" s="6" t="s">
        <v>299</v>
      </c>
      <c r="U2981" s="24" t="str">
        <f>HYPERLINK("https://media.infra-m.ru/1986/1986695/cover/1986695.jpg", "Обложка")</f>
        <v>Обложка</v>
      </c>
      <c r="V2981" s="24" t="str">
        <f>HYPERLINK("https://znanium.ru/catalog/product/1986695", "Ознакомиться")</f>
        <v>Ознакомиться</v>
      </c>
      <c r="W2981" s="8" t="s">
        <v>189</v>
      </c>
      <c r="X2981" s="6"/>
      <c r="Y2981" s="6"/>
      <c r="Z2981" s="6"/>
      <c r="AA2981" s="6" t="s">
        <v>47</v>
      </c>
      <c r="AB2981" s="8"/>
    </row>
    <row r="2982" spans="1:28" s="4" customFormat="1" ht="42" customHeight="1">
      <c r="A2982" s="5">
        <v>0</v>
      </c>
      <c r="B2982" s="6" t="s">
        <v>17995</v>
      </c>
      <c r="C2982" s="13">
        <v>1544</v>
      </c>
      <c r="D2982" s="8" t="s">
        <v>17996</v>
      </c>
      <c r="E2982" s="8" t="s">
        <v>17997</v>
      </c>
      <c r="F2982" s="8" t="s">
        <v>17998</v>
      </c>
      <c r="G2982" s="6" t="s">
        <v>52</v>
      </c>
      <c r="H2982" s="6" t="s">
        <v>39</v>
      </c>
      <c r="I2982" s="8" t="s">
        <v>185</v>
      </c>
      <c r="J2982" s="9">
        <v>1</v>
      </c>
      <c r="K2982" s="9">
        <v>336</v>
      </c>
      <c r="L2982" s="9">
        <v>2024</v>
      </c>
      <c r="M2982" s="8" t="s">
        <v>17999</v>
      </c>
      <c r="N2982" s="8" t="s">
        <v>997</v>
      </c>
      <c r="O2982" s="8" t="s">
        <v>998</v>
      </c>
      <c r="P2982" s="6" t="s">
        <v>43</v>
      </c>
      <c r="Q2982" s="8" t="s">
        <v>102</v>
      </c>
      <c r="R2982" s="10" t="s">
        <v>4335</v>
      </c>
      <c r="S2982" s="11"/>
      <c r="T2982" s="6"/>
      <c r="U2982" s="24" t="str">
        <f>HYPERLINK("https://media.infra-m.ru/2121/2121222/cover/2121222.jpg", "Обложка")</f>
        <v>Обложка</v>
      </c>
      <c r="V2982" s="24" t="str">
        <f>HYPERLINK("https://znanium.ru/catalog/product/1154376", "Ознакомиться")</f>
        <v>Ознакомиться</v>
      </c>
      <c r="W2982" s="8" t="s">
        <v>71</v>
      </c>
      <c r="X2982" s="6"/>
      <c r="Y2982" s="6"/>
      <c r="Z2982" s="6"/>
      <c r="AA2982" s="6" t="s">
        <v>377</v>
      </c>
      <c r="AB2982" s="8"/>
    </row>
    <row r="2983" spans="1:28" s="4" customFormat="1" ht="42" customHeight="1">
      <c r="A2983" s="5">
        <v>0</v>
      </c>
      <c r="B2983" s="6" t="s">
        <v>18000</v>
      </c>
      <c r="C2983" s="13">
        <v>2034</v>
      </c>
      <c r="D2983" s="8" t="s">
        <v>18001</v>
      </c>
      <c r="E2983" s="8" t="s">
        <v>18002</v>
      </c>
      <c r="F2983" s="8" t="s">
        <v>10196</v>
      </c>
      <c r="G2983" s="6" t="s">
        <v>52</v>
      </c>
      <c r="H2983" s="6" t="s">
        <v>952</v>
      </c>
      <c r="I2983" s="8"/>
      <c r="J2983" s="9">
        <v>1</v>
      </c>
      <c r="K2983" s="9">
        <v>392</v>
      </c>
      <c r="L2983" s="9">
        <v>2025</v>
      </c>
      <c r="M2983" s="8" t="s">
        <v>18003</v>
      </c>
      <c r="N2983" s="8" t="s">
        <v>41</v>
      </c>
      <c r="O2983" s="8" t="s">
        <v>1007</v>
      </c>
      <c r="P2983" s="6" t="s">
        <v>43</v>
      </c>
      <c r="Q2983" s="8" t="s">
        <v>44</v>
      </c>
      <c r="R2983" s="10" t="s">
        <v>18004</v>
      </c>
      <c r="S2983" s="11"/>
      <c r="T2983" s="6"/>
      <c r="U2983" s="24" t="str">
        <f>HYPERLINK("https://media.infra-m.ru/2192/2192775/cover/2192775.jpg", "Обложка")</f>
        <v>Обложка</v>
      </c>
      <c r="V2983" s="24" t="str">
        <f>HYPERLINK("https://znanium.ru/catalog/product/1229324", "Ознакомиться")</f>
        <v>Ознакомиться</v>
      </c>
      <c r="W2983" s="8" t="s">
        <v>2817</v>
      </c>
      <c r="X2983" s="6"/>
      <c r="Y2983" s="6"/>
      <c r="Z2983" s="6"/>
      <c r="AA2983" s="6" t="s">
        <v>219</v>
      </c>
      <c r="AB2983" s="8"/>
    </row>
    <row r="2984" spans="1:28" s="4" customFormat="1" ht="51.95" customHeight="1">
      <c r="A2984" s="5">
        <v>0</v>
      </c>
      <c r="B2984" s="6" t="s">
        <v>18005</v>
      </c>
      <c r="C2984" s="7">
        <v>834.9</v>
      </c>
      <c r="D2984" s="8" t="s">
        <v>18006</v>
      </c>
      <c r="E2984" s="8" t="s">
        <v>18007</v>
      </c>
      <c r="F2984" s="8" t="s">
        <v>18008</v>
      </c>
      <c r="G2984" s="6" t="s">
        <v>52</v>
      </c>
      <c r="H2984" s="6" t="s">
        <v>77</v>
      </c>
      <c r="I2984" s="8"/>
      <c r="J2984" s="9">
        <v>1</v>
      </c>
      <c r="K2984" s="9">
        <v>294</v>
      </c>
      <c r="L2984" s="9">
        <v>2017</v>
      </c>
      <c r="M2984" s="8" t="s">
        <v>18009</v>
      </c>
      <c r="N2984" s="8" t="s">
        <v>41</v>
      </c>
      <c r="O2984" s="8" t="s">
        <v>1007</v>
      </c>
      <c r="P2984" s="6" t="s">
        <v>43</v>
      </c>
      <c r="Q2984" s="8" t="s">
        <v>44</v>
      </c>
      <c r="R2984" s="10" t="s">
        <v>1008</v>
      </c>
      <c r="S2984" s="11" t="s">
        <v>18010</v>
      </c>
      <c r="T2984" s="6"/>
      <c r="U2984" s="12"/>
      <c r="V2984" s="24" t="str">
        <f>HYPERLINK("https://znanium.ru/catalog/product/2053979", "Ознакомиться")</f>
        <v>Ознакомиться</v>
      </c>
      <c r="W2984" s="8" t="s">
        <v>83</v>
      </c>
      <c r="X2984" s="6"/>
      <c r="Y2984" s="6"/>
      <c r="Z2984" s="6"/>
      <c r="AA2984" s="6" t="s">
        <v>4952</v>
      </c>
      <c r="AB2984" s="8"/>
    </row>
    <row r="2985" spans="1:28" s="4" customFormat="1" ht="51.95" customHeight="1">
      <c r="A2985" s="5">
        <v>0</v>
      </c>
      <c r="B2985" s="6" t="s">
        <v>18011</v>
      </c>
      <c r="C2985" s="13">
        <v>1950</v>
      </c>
      <c r="D2985" s="8" t="s">
        <v>18012</v>
      </c>
      <c r="E2985" s="8" t="s">
        <v>18013</v>
      </c>
      <c r="F2985" s="8" t="s">
        <v>18014</v>
      </c>
      <c r="G2985" s="6" t="s">
        <v>52</v>
      </c>
      <c r="H2985" s="6" t="s">
        <v>77</v>
      </c>
      <c r="I2985" s="8" t="s">
        <v>9028</v>
      </c>
      <c r="J2985" s="9">
        <v>1</v>
      </c>
      <c r="K2985" s="9">
        <v>421</v>
      </c>
      <c r="L2985" s="9">
        <v>2024</v>
      </c>
      <c r="M2985" s="8" t="s">
        <v>18015</v>
      </c>
      <c r="N2985" s="8" t="s">
        <v>41</v>
      </c>
      <c r="O2985" s="8" t="s">
        <v>1007</v>
      </c>
      <c r="P2985" s="6" t="s">
        <v>43</v>
      </c>
      <c r="Q2985" s="8" t="s">
        <v>58</v>
      </c>
      <c r="R2985" s="10" t="s">
        <v>1008</v>
      </c>
      <c r="S2985" s="11" t="s">
        <v>18016</v>
      </c>
      <c r="T2985" s="6"/>
      <c r="U2985" s="24" t="str">
        <f>HYPERLINK("https://media.infra-m.ru/2053/2053979/cover/2053979.jpg", "Обложка")</f>
        <v>Обложка</v>
      </c>
      <c r="V2985" s="24" t="str">
        <f>HYPERLINK("https://znanium.ru/catalog/product/2053979", "Ознакомиться")</f>
        <v>Ознакомиться</v>
      </c>
      <c r="W2985" s="8" t="s">
        <v>83</v>
      </c>
      <c r="X2985" s="6"/>
      <c r="Y2985" s="6"/>
      <c r="Z2985" s="6"/>
      <c r="AA2985" s="6" t="s">
        <v>1402</v>
      </c>
      <c r="AB2985" s="8"/>
    </row>
    <row r="2986" spans="1:28" s="4" customFormat="1" ht="51.95" customHeight="1">
      <c r="A2986" s="5">
        <v>0</v>
      </c>
      <c r="B2986" s="6" t="s">
        <v>18017</v>
      </c>
      <c r="C2986" s="13">
        <v>1904</v>
      </c>
      <c r="D2986" s="8" t="s">
        <v>18018</v>
      </c>
      <c r="E2986" s="8" t="s">
        <v>18019</v>
      </c>
      <c r="F2986" s="8" t="s">
        <v>18020</v>
      </c>
      <c r="G2986" s="6" t="s">
        <v>89</v>
      </c>
      <c r="H2986" s="6" t="s">
        <v>53</v>
      </c>
      <c r="I2986" s="8" t="s">
        <v>90</v>
      </c>
      <c r="J2986" s="9">
        <v>1</v>
      </c>
      <c r="K2986" s="9">
        <v>380</v>
      </c>
      <c r="L2986" s="9">
        <v>2025</v>
      </c>
      <c r="M2986" s="8" t="s">
        <v>18021</v>
      </c>
      <c r="N2986" s="8" t="s">
        <v>41</v>
      </c>
      <c r="O2986" s="8" t="s">
        <v>1007</v>
      </c>
      <c r="P2986" s="6" t="s">
        <v>167</v>
      </c>
      <c r="Q2986" s="8" t="s">
        <v>44</v>
      </c>
      <c r="R2986" s="10" t="s">
        <v>168</v>
      </c>
      <c r="S2986" s="11" t="s">
        <v>18022</v>
      </c>
      <c r="T2986" s="6"/>
      <c r="U2986" s="24" t="str">
        <f>HYPERLINK("https://media.infra-m.ru/2187/2187824/cover/2187824.jpg", "Обложка")</f>
        <v>Обложка</v>
      </c>
      <c r="V2986" s="24" t="str">
        <f>HYPERLINK("https://znanium.ru/catalog/product/2033560", "Ознакомиться")</f>
        <v>Ознакомиться</v>
      </c>
      <c r="W2986" s="8" t="s">
        <v>1563</v>
      </c>
      <c r="X2986" s="6"/>
      <c r="Y2986" s="6"/>
      <c r="Z2986" s="6"/>
      <c r="AA2986" s="6" t="s">
        <v>11034</v>
      </c>
      <c r="AB2986" s="8"/>
    </row>
    <row r="2987" spans="1:28" s="4" customFormat="1" ht="51.95" customHeight="1">
      <c r="A2987" s="5">
        <v>0</v>
      </c>
      <c r="B2987" s="6" t="s">
        <v>18023</v>
      </c>
      <c r="C2987" s="13">
        <v>1240</v>
      </c>
      <c r="D2987" s="8" t="s">
        <v>18024</v>
      </c>
      <c r="E2987" s="8" t="s">
        <v>18025</v>
      </c>
      <c r="F2987" s="8" t="s">
        <v>18026</v>
      </c>
      <c r="G2987" s="6" t="s">
        <v>89</v>
      </c>
      <c r="H2987" s="6" t="s">
        <v>53</v>
      </c>
      <c r="I2987" s="8" t="s">
        <v>116</v>
      </c>
      <c r="J2987" s="9">
        <v>1</v>
      </c>
      <c r="K2987" s="9">
        <v>248</v>
      </c>
      <c r="L2987" s="9">
        <v>2025</v>
      </c>
      <c r="M2987" s="8" t="s">
        <v>18027</v>
      </c>
      <c r="N2987" s="8" t="s">
        <v>41</v>
      </c>
      <c r="O2987" s="8" t="s">
        <v>1007</v>
      </c>
      <c r="P2987" s="6" t="s">
        <v>43</v>
      </c>
      <c r="Q2987" s="8" t="s">
        <v>44</v>
      </c>
      <c r="R2987" s="10" t="s">
        <v>18028</v>
      </c>
      <c r="S2987" s="11" t="s">
        <v>18029</v>
      </c>
      <c r="T2987" s="6"/>
      <c r="U2987" s="24" t="str">
        <f>HYPERLINK("https://media.infra-m.ru/2159/2159177/cover/2159177.jpg", "Обложка")</f>
        <v>Обложка</v>
      </c>
      <c r="V2987" s="24" t="str">
        <f>HYPERLINK("https://znanium.ru/catalog/product/2159177", "Ознакомиться")</f>
        <v>Ознакомиться</v>
      </c>
      <c r="W2987" s="8" t="s">
        <v>189</v>
      </c>
      <c r="X2987" s="6"/>
      <c r="Y2987" s="6"/>
      <c r="Z2987" s="6"/>
      <c r="AA2987" s="6" t="s">
        <v>2217</v>
      </c>
      <c r="AB2987" s="8"/>
    </row>
    <row r="2988" spans="1:28" s="4" customFormat="1" ht="42" customHeight="1">
      <c r="A2988" s="5">
        <v>0</v>
      </c>
      <c r="B2988" s="6" t="s">
        <v>18030</v>
      </c>
      <c r="C2988" s="7">
        <v>734</v>
      </c>
      <c r="D2988" s="8" t="s">
        <v>18031</v>
      </c>
      <c r="E2988" s="8" t="s">
        <v>18032</v>
      </c>
      <c r="F2988" s="8" t="s">
        <v>18033</v>
      </c>
      <c r="G2988" s="6" t="s">
        <v>38</v>
      </c>
      <c r="H2988" s="6" t="s">
        <v>39</v>
      </c>
      <c r="I2988" s="8" t="s">
        <v>90</v>
      </c>
      <c r="J2988" s="9">
        <v>1</v>
      </c>
      <c r="K2988" s="9">
        <v>160</v>
      </c>
      <c r="L2988" s="9">
        <v>2024</v>
      </c>
      <c r="M2988" s="8" t="s">
        <v>18034</v>
      </c>
      <c r="N2988" s="8" t="s">
        <v>41</v>
      </c>
      <c r="O2988" s="8" t="s">
        <v>118</v>
      </c>
      <c r="P2988" s="6" t="s">
        <v>43</v>
      </c>
      <c r="Q2988" s="8" t="s">
        <v>44</v>
      </c>
      <c r="R2988" s="10" t="s">
        <v>18035</v>
      </c>
      <c r="S2988" s="11"/>
      <c r="T2988" s="6"/>
      <c r="U2988" s="24" t="str">
        <f>HYPERLINK("https://media.infra-m.ru/2110/2110945/cover/2110945.jpg", "Обложка")</f>
        <v>Обложка</v>
      </c>
      <c r="V2988" s="24" t="str">
        <f>HYPERLINK("https://znanium.ru/catalog/product/1042458", "Ознакомиться")</f>
        <v>Ознакомиться</v>
      </c>
      <c r="W2988" s="8" t="s">
        <v>7077</v>
      </c>
      <c r="X2988" s="6"/>
      <c r="Y2988" s="6"/>
      <c r="Z2988" s="6"/>
      <c r="AA2988" s="6" t="s">
        <v>122</v>
      </c>
      <c r="AB2988" s="8"/>
    </row>
    <row r="2989" spans="1:28" s="4" customFormat="1" ht="42" customHeight="1">
      <c r="A2989" s="5">
        <v>0</v>
      </c>
      <c r="B2989" s="6" t="s">
        <v>18036</v>
      </c>
      <c r="C2989" s="7">
        <v>800</v>
      </c>
      <c r="D2989" s="8" t="s">
        <v>18037</v>
      </c>
      <c r="E2989" s="8" t="s">
        <v>18032</v>
      </c>
      <c r="F2989" s="8" t="s">
        <v>18038</v>
      </c>
      <c r="G2989" s="6" t="s">
        <v>38</v>
      </c>
      <c r="H2989" s="6" t="s">
        <v>39</v>
      </c>
      <c r="I2989" s="8" t="s">
        <v>100</v>
      </c>
      <c r="J2989" s="9">
        <v>1</v>
      </c>
      <c r="K2989" s="9">
        <v>160</v>
      </c>
      <c r="L2989" s="9">
        <v>2025</v>
      </c>
      <c r="M2989" s="8" t="s">
        <v>18039</v>
      </c>
      <c r="N2989" s="8" t="s">
        <v>41</v>
      </c>
      <c r="O2989" s="8" t="s">
        <v>118</v>
      </c>
      <c r="P2989" s="6" t="s">
        <v>43</v>
      </c>
      <c r="Q2989" s="8" t="s">
        <v>102</v>
      </c>
      <c r="R2989" s="10" t="s">
        <v>18040</v>
      </c>
      <c r="S2989" s="11"/>
      <c r="T2989" s="6"/>
      <c r="U2989" s="24" t="str">
        <f>HYPERLINK("https://media.infra-m.ru/1042/1042392/cover/1042392.jpg", "Обложка")</f>
        <v>Обложка</v>
      </c>
      <c r="V2989" s="24" t="str">
        <f>HYPERLINK("https://znanium.ru/catalog/product/1042392", "Ознакомиться")</f>
        <v>Ознакомиться</v>
      </c>
      <c r="W2989" s="8" t="s">
        <v>7077</v>
      </c>
      <c r="X2989" s="6" t="s">
        <v>772</v>
      </c>
      <c r="Y2989" s="6"/>
      <c r="Z2989" s="6" t="s">
        <v>104</v>
      </c>
      <c r="AA2989" s="6" t="s">
        <v>61</v>
      </c>
      <c r="AB2989" s="8"/>
    </row>
    <row r="2990" spans="1:28" s="4" customFormat="1" ht="51.95" customHeight="1">
      <c r="A2990" s="5">
        <v>0</v>
      </c>
      <c r="B2990" s="6" t="s">
        <v>18041</v>
      </c>
      <c r="C2990" s="7">
        <v>620</v>
      </c>
      <c r="D2990" s="8" t="s">
        <v>18042</v>
      </c>
      <c r="E2990" s="8" t="s">
        <v>18043</v>
      </c>
      <c r="F2990" s="8" t="s">
        <v>9693</v>
      </c>
      <c r="G2990" s="6" t="s">
        <v>38</v>
      </c>
      <c r="H2990" s="6" t="s">
        <v>39</v>
      </c>
      <c r="I2990" s="8" t="s">
        <v>90</v>
      </c>
      <c r="J2990" s="9">
        <v>1</v>
      </c>
      <c r="K2990" s="9">
        <v>192</v>
      </c>
      <c r="L2990" s="9">
        <v>2019</v>
      </c>
      <c r="M2990" s="8" t="s">
        <v>18044</v>
      </c>
      <c r="N2990" s="8" t="s">
        <v>41</v>
      </c>
      <c r="O2990" s="8" t="s">
        <v>676</v>
      </c>
      <c r="P2990" s="6" t="s">
        <v>167</v>
      </c>
      <c r="Q2990" s="8" t="s">
        <v>44</v>
      </c>
      <c r="R2990" s="10" t="s">
        <v>18045</v>
      </c>
      <c r="S2990" s="11" t="s">
        <v>18046</v>
      </c>
      <c r="T2990" s="6"/>
      <c r="U2990" s="24" t="str">
        <f>HYPERLINK("https://media.infra-m.ru/1008/1008137/cover/1008137.jpg", "Обложка")</f>
        <v>Обложка</v>
      </c>
      <c r="V2990" s="24" t="str">
        <f>HYPERLINK("https://znanium.ru/catalog/product/1008137", "Ознакомиться")</f>
        <v>Ознакомиться</v>
      </c>
      <c r="W2990" s="8" t="s">
        <v>1689</v>
      </c>
      <c r="X2990" s="6"/>
      <c r="Y2990" s="6"/>
      <c r="Z2990" s="6"/>
      <c r="AA2990" s="6" t="s">
        <v>160</v>
      </c>
      <c r="AB2990" s="8"/>
    </row>
    <row r="2991" spans="1:28" s="4" customFormat="1" ht="51.95" customHeight="1">
      <c r="A2991" s="5">
        <v>0</v>
      </c>
      <c r="B2991" s="6" t="s">
        <v>18047</v>
      </c>
      <c r="C2991" s="13">
        <v>1584</v>
      </c>
      <c r="D2991" s="8" t="s">
        <v>18048</v>
      </c>
      <c r="E2991" s="8" t="s">
        <v>18049</v>
      </c>
      <c r="F2991" s="8" t="s">
        <v>18050</v>
      </c>
      <c r="G2991" s="6" t="s">
        <v>52</v>
      </c>
      <c r="H2991" s="6" t="s">
        <v>184</v>
      </c>
      <c r="I2991" s="8" t="s">
        <v>90</v>
      </c>
      <c r="J2991" s="9">
        <v>1</v>
      </c>
      <c r="K2991" s="9">
        <v>304</v>
      </c>
      <c r="L2991" s="9">
        <v>2025</v>
      </c>
      <c r="M2991" s="8" t="s">
        <v>18051</v>
      </c>
      <c r="N2991" s="8" t="s">
        <v>79</v>
      </c>
      <c r="O2991" s="8" t="s">
        <v>537</v>
      </c>
      <c r="P2991" s="6" t="s">
        <v>43</v>
      </c>
      <c r="Q2991" s="8" t="s">
        <v>44</v>
      </c>
      <c r="R2991" s="10" t="s">
        <v>18052</v>
      </c>
      <c r="S2991" s="11"/>
      <c r="T2991" s="6"/>
      <c r="U2991" s="24" t="str">
        <f>HYPERLINK("https://media.infra-m.ru/2183/2183980/cover/2183980.jpg", "Обложка")</f>
        <v>Обложка</v>
      </c>
      <c r="V2991" s="24" t="str">
        <f>HYPERLINK("https://znanium.ru/catalog/product/1045710", "Ознакомиться")</f>
        <v>Ознакомиться</v>
      </c>
      <c r="W2991" s="8" t="s">
        <v>6489</v>
      </c>
      <c r="X2991" s="6"/>
      <c r="Y2991" s="6"/>
      <c r="Z2991" s="6"/>
      <c r="AA2991" s="6" t="s">
        <v>47</v>
      </c>
      <c r="AB2991" s="8"/>
    </row>
    <row r="2992" spans="1:28" s="4" customFormat="1" ht="51.95" customHeight="1">
      <c r="A2992" s="5">
        <v>0</v>
      </c>
      <c r="B2992" s="6" t="s">
        <v>18053</v>
      </c>
      <c r="C2992" s="13">
        <v>1670</v>
      </c>
      <c r="D2992" s="8" t="s">
        <v>18054</v>
      </c>
      <c r="E2992" s="8" t="s">
        <v>18055</v>
      </c>
      <c r="F2992" s="8" t="s">
        <v>18056</v>
      </c>
      <c r="G2992" s="6" t="s">
        <v>89</v>
      </c>
      <c r="H2992" s="6" t="s">
        <v>674</v>
      </c>
      <c r="I2992" s="8"/>
      <c r="J2992" s="9">
        <v>1</v>
      </c>
      <c r="K2992" s="9">
        <v>320</v>
      </c>
      <c r="L2992" s="9">
        <v>2025</v>
      </c>
      <c r="M2992" s="8" t="s">
        <v>18057</v>
      </c>
      <c r="N2992" s="8" t="s">
        <v>41</v>
      </c>
      <c r="O2992" s="8" t="s">
        <v>278</v>
      </c>
      <c r="P2992" s="6" t="s">
        <v>167</v>
      </c>
      <c r="Q2992" s="8" t="s">
        <v>102</v>
      </c>
      <c r="R2992" s="10" t="s">
        <v>7299</v>
      </c>
      <c r="S2992" s="11"/>
      <c r="T2992" s="6"/>
      <c r="U2992" s="24" t="str">
        <f>HYPERLINK("https://media.infra-m.ru/2195/2195012/cover/2195012.jpg", "Обложка")</f>
        <v>Обложка</v>
      </c>
      <c r="V2992" s="24" t="str">
        <f>HYPERLINK("https://znanium.ru/catalog/product/2195012", "Ознакомиться")</f>
        <v>Ознакомиться</v>
      </c>
      <c r="W2992" s="8" t="s">
        <v>354</v>
      </c>
      <c r="X2992" s="6"/>
      <c r="Y2992" s="6"/>
      <c r="Z2992" s="6"/>
      <c r="AA2992" s="6" t="s">
        <v>151</v>
      </c>
      <c r="AB2992" s="8"/>
    </row>
    <row r="2993" spans="1:28" s="4" customFormat="1" ht="51.95" customHeight="1">
      <c r="A2993" s="5">
        <v>0</v>
      </c>
      <c r="B2993" s="6" t="s">
        <v>18058</v>
      </c>
      <c r="C2993" s="7">
        <v>894</v>
      </c>
      <c r="D2993" s="8" t="s">
        <v>18059</v>
      </c>
      <c r="E2993" s="8" t="s">
        <v>18060</v>
      </c>
      <c r="F2993" s="8" t="s">
        <v>18061</v>
      </c>
      <c r="G2993" s="6" t="s">
        <v>52</v>
      </c>
      <c r="H2993" s="6" t="s">
        <v>53</v>
      </c>
      <c r="I2993" s="8" t="s">
        <v>90</v>
      </c>
      <c r="J2993" s="9">
        <v>1</v>
      </c>
      <c r="K2993" s="9">
        <v>194</v>
      </c>
      <c r="L2993" s="9">
        <v>2024</v>
      </c>
      <c r="M2993" s="8" t="s">
        <v>18062</v>
      </c>
      <c r="N2993" s="8" t="s">
        <v>41</v>
      </c>
      <c r="O2993" s="8" t="s">
        <v>278</v>
      </c>
      <c r="P2993" s="6" t="s">
        <v>43</v>
      </c>
      <c r="Q2993" s="8" t="s">
        <v>44</v>
      </c>
      <c r="R2993" s="10" t="s">
        <v>18063</v>
      </c>
      <c r="S2993" s="11" t="s">
        <v>18064</v>
      </c>
      <c r="T2993" s="6"/>
      <c r="U2993" s="24" t="str">
        <f>HYPERLINK("https://media.infra-m.ru/2091/2091436/cover/2091436.jpg", "Обложка")</f>
        <v>Обложка</v>
      </c>
      <c r="V2993" s="24" t="str">
        <f>HYPERLINK("https://znanium.ru/catalog/product/2084151", "Ознакомиться")</f>
        <v>Ознакомиться</v>
      </c>
      <c r="W2993" s="8" t="s">
        <v>3010</v>
      </c>
      <c r="X2993" s="6"/>
      <c r="Y2993" s="6"/>
      <c r="Z2993" s="6"/>
      <c r="AA2993" s="6" t="s">
        <v>1382</v>
      </c>
      <c r="AB2993" s="8"/>
    </row>
    <row r="2994" spans="1:28" s="4" customFormat="1" ht="51.95" customHeight="1">
      <c r="A2994" s="5">
        <v>0</v>
      </c>
      <c r="B2994" s="6" t="s">
        <v>18065</v>
      </c>
      <c r="C2994" s="7">
        <v>470</v>
      </c>
      <c r="D2994" s="8" t="s">
        <v>18066</v>
      </c>
      <c r="E2994" s="8" t="s">
        <v>18067</v>
      </c>
      <c r="F2994" s="8" t="s">
        <v>18061</v>
      </c>
      <c r="G2994" s="6" t="s">
        <v>38</v>
      </c>
      <c r="H2994" s="6" t="s">
        <v>53</v>
      </c>
      <c r="I2994" s="8" t="s">
        <v>90</v>
      </c>
      <c r="J2994" s="9">
        <v>1</v>
      </c>
      <c r="K2994" s="9">
        <v>136</v>
      </c>
      <c r="L2994" s="9">
        <v>2019</v>
      </c>
      <c r="M2994" s="8" t="s">
        <v>18068</v>
      </c>
      <c r="N2994" s="8" t="s">
        <v>41</v>
      </c>
      <c r="O2994" s="8" t="s">
        <v>278</v>
      </c>
      <c r="P2994" s="6" t="s">
        <v>43</v>
      </c>
      <c r="Q2994" s="8" t="s">
        <v>44</v>
      </c>
      <c r="R2994" s="10" t="s">
        <v>18063</v>
      </c>
      <c r="S2994" s="11" t="s">
        <v>18064</v>
      </c>
      <c r="T2994" s="6"/>
      <c r="U2994" s="24" t="str">
        <f>HYPERLINK("https://media.infra-m.ru/1012/1012937/cover/1012937.jpg", "Обложка")</f>
        <v>Обложка</v>
      </c>
      <c r="V2994" s="24" t="str">
        <f>HYPERLINK("https://znanium.ru/catalog/product/2084151", "Ознакомиться")</f>
        <v>Ознакомиться</v>
      </c>
      <c r="W2994" s="8" t="s">
        <v>3010</v>
      </c>
      <c r="X2994" s="6"/>
      <c r="Y2994" s="6"/>
      <c r="Z2994" s="6"/>
      <c r="AA2994" s="6" t="s">
        <v>407</v>
      </c>
      <c r="AB2994" s="8"/>
    </row>
    <row r="2995" spans="1:28" s="4" customFormat="1" ht="51.95" customHeight="1">
      <c r="A2995" s="5">
        <v>0</v>
      </c>
      <c r="B2995" s="6" t="s">
        <v>18069</v>
      </c>
      <c r="C2995" s="7">
        <v>990</v>
      </c>
      <c r="D2995" s="8" t="s">
        <v>18070</v>
      </c>
      <c r="E2995" s="8" t="s">
        <v>18071</v>
      </c>
      <c r="F2995" s="8" t="s">
        <v>18072</v>
      </c>
      <c r="G2995" s="6" t="s">
        <v>89</v>
      </c>
      <c r="H2995" s="6" t="s">
        <v>53</v>
      </c>
      <c r="I2995" s="8"/>
      <c r="J2995" s="9">
        <v>1</v>
      </c>
      <c r="K2995" s="9">
        <v>192</v>
      </c>
      <c r="L2995" s="9">
        <v>2025</v>
      </c>
      <c r="M2995" s="8" t="s">
        <v>18073</v>
      </c>
      <c r="N2995" s="8" t="s">
        <v>997</v>
      </c>
      <c r="O2995" s="8" t="s">
        <v>998</v>
      </c>
      <c r="P2995" s="6" t="s">
        <v>175</v>
      </c>
      <c r="Q2995" s="8" t="s">
        <v>102</v>
      </c>
      <c r="R2995" s="10" t="s">
        <v>18074</v>
      </c>
      <c r="S2995" s="11" t="s">
        <v>4750</v>
      </c>
      <c r="T2995" s="6"/>
      <c r="U2995" s="24" t="str">
        <f>HYPERLINK("https://media.infra-m.ru/2175/2175170/cover/2175170.jpg", "Обложка")</f>
        <v>Обложка</v>
      </c>
      <c r="V2995" s="24" t="str">
        <f>HYPERLINK("https://znanium.ru/catalog/product/2175170", "Ознакомиться")</f>
        <v>Ознакомиться</v>
      </c>
      <c r="W2995" s="8" t="s">
        <v>6648</v>
      </c>
      <c r="X2995" s="6"/>
      <c r="Y2995" s="6"/>
      <c r="Z2995" s="6" t="s">
        <v>104</v>
      </c>
      <c r="AA2995" s="6" t="s">
        <v>258</v>
      </c>
      <c r="AB2995" s="8"/>
    </row>
    <row r="2996" spans="1:28" s="4" customFormat="1" ht="51.95" customHeight="1">
      <c r="A2996" s="5">
        <v>0</v>
      </c>
      <c r="B2996" s="6" t="s">
        <v>18075</v>
      </c>
      <c r="C2996" s="7">
        <v>920</v>
      </c>
      <c r="D2996" s="8" t="s">
        <v>18076</v>
      </c>
      <c r="E2996" s="8" t="s">
        <v>18071</v>
      </c>
      <c r="F2996" s="8" t="s">
        <v>18077</v>
      </c>
      <c r="G2996" s="6" t="s">
        <v>38</v>
      </c>
      <c r="H2996" s="6" t="s">
        <v>39</v>
      </c>
      <c r="I2996" s="8" t="s">
        <v>116</v>
      </c>
      <c r="J2996" s="9">
        <v>1</v>
      </c>
      <c r="K2996" s="9">
        <v>192</v>
      </c>
      <c r="L2996" s="9">
        <v>2024</v>
      </c>
      <c r="M2996" s="8" t="s">
        <v>18078</v>
      </c>
      <c r="N2996" s="8" t="s">
        <v>997</v>
      </c>
      <c r="O2996" s="8" t="s">
        <v>998</v>
      </c>
      <c r="P2996" s="6" t="s">
        <v>175</v>
      </c>
      <c r="Q2996" s="8" t="s">
        <v>44</v>
      </c>
      <c r="R2996" s="10" t="s">
        <v>6390</v>
      </c>
      <c r="S2996" s="11" t="s">
        <v>18079</v>
      </c>
      <c r="T2996" s="6"/>
      <c r="U2996" s="24" t="str">
        <f>HYPERLINK("https://media.infra-m.ru/2117/2117177/cover/2117177.jpg", "Обложка")</f>
        <v>Обложка</v>
      </c>
      <c r="V2996" s="24" t="str">
        <f>HYPERLINK("https://znanium.ru/catalog/product/2117177", "Ознакомиться")</f>
        <v>Ознакомиться</v>
      </c>
      <c r="W2996" s="8" t="s">
        <v>6648</v>
      </c>
      <c r="X2996" s="6"/>
      <c r="Y2996" s="6"/>
      <c r="Z2996" s="6"/>
      <c r="AA2996" s="6" t="s">
        <v>111</v>
      </c>
      <c r="AB2996" s="8"/>
    </row>
    <row r="2997" spans="1:28" s="4" customFormat="1" ht="42" customHeight="1">
      <c r="A2997" s="5">
        <v>0</v>
      </c>
      <c r="B2997" s="6" t="s">
        <v>18080</v>
      </c>
      <c r="C2997" s="13">
        <v>1440</v>
      </c>
      <c r="D2997" s="8" t="s">
        <v>18081</v>
      </c>
      <c r="E2997" s="8" t="s">
        <v>18082</v>
      </c>
      <c r="F2997" s="8" t="s">
        <v>18083</v>
      </c>
      <c r="G2997" s="6" t="s">
        <v>89</v>
      </c>
      <c r="H2997" s="6" t="s">
        <v>438</v>
      </c>
      <c r="I2997" s="8"/>
      <c r="J2997" s="9">
        <v>1</v>
      </c>
      <c r="K2997" s="9">
        <v>320</v>
      </c>
      <c r="L2997" s="9">
        <v>2023</v>
      </c>
      <c r="M2997" s="8" t="s">
        <v>18084</v>
      </c>
      <c r="N2997" s="8" t="s">
        <v>79</v>
      </c>
      <c r="O2997" s="8" t="s">
        <v>80</v>
      </c>
      <c r="P2997" s="6" t="s">
        <v>167</v>
      </c>
      <c r="Q2997" s="8" t="s">
        <v>102</v>
      </c>
      <c r="R2997" s="10" t="s">
        <v>18085</v>
      </c>
      <c r="S2997" s="11"/>
      <c r="T2997" s="6"/>
      <c r="U2997" s="24" t="str">
        <f>HYPERLINK("https://media.infra-m.ru/1095/1095176/cover/1095176.jpg", "Обложка")</f>
        <v>Обложка</v>
      </c>
      <c r="V2997" s="24" t="str">
        <f>HYPERLINK("https://znanium.ru/catalog/product/1095176", "Ознакомиться")</f>
        <v>Ознакомиться</v>
      </c>
      <c r="W2997" s="8" t="s">
        <v>46</v>
      </c>
      <c r="X2997" s="6"/>
      <c r="Y2997" s="6"/>
      <c r="Z2997" s="6"/>
      <c r="AA2997" s="6" t="s">
        <v>151</v>
      </c>
      <c r="AB2997" s="8"/>
    </row>
    <row r="2998" spans="1:28" s="4" customFormat="1" ht="51.95" customHeight="1">
      <c r="A2998" s="5">
        <v>0</v>
      </c>
      <c r="B2998" s="6" t="s">
        <v>18086</v>
      </c>
      <c r="C2998" s="13">
        <v>1624</v>
      </c>
      <c r="D2998" s="8" t="s">
        <v>18087</v>
      </c>
      <c r="E2998" s="8" t="s">
        <v>18088</v>
      </c>
      <c r="F2998" s="8" t="s">
        <v>18089</v>
      </c>
      <c r="G2998" s="6" t="s">
        <v>52</v>
      </c>
      <c r="H2998" s="6" t="s">
        <v>952</v>
      </c>
      <c r="I2998" s="8"/>
      <c r="J2998" s="9">
        <v>1</v>
      </c>
      <c r="K2998" s="9">
        <v>320</v>
      </c>
      <c r="L2998" s="9">
        <v>2025</v>
      </c>
      <c r="M2998" s="8" t="s">
        <v>18090</v>
      </c>
      <c r="N2998" s="8" t="s">
        <v>41</v>
      </c>
      <c r="O2998" s="8" t="s">
        <v>278</v>
      </c>
      <c r="P2998" s="6" t="s">
        <v>43</v>
      </c>
      <c r="Q2998" s="8" t="s">
        <v>44</v>
      </c>
      <c r="R2998" s="10" t="s">
        <v>8386</v>
      </c>
      <c r="S2998" s="11" t="s">
        <v>18091</v>
      </c>
      <c r="T2998" s="6"/>
      <c r="U2998" s="24" t="str">
        <f>HYPERLINK("https://media.infra-m.ru/2179/2179066/cover/2179066.jpg", "Обложка")</f>
        <v>Обложка</v>
      </c>
      <c r="V2998" s="24" t="str">
        <f>HYPERLINK("https://znanium.ru/catalog/product/1841702", "Ознакомиться")</f>
        <v>Ознакомиться</v>
      </c>
      <c r="W2998" s="8" t="s">
        <v>2463</v>
      </c>
      <c r="X2998" s="6"/>
      <c r="Y2998" s="6"/>
      <c r="Z2998" s="6"/>
      <c r="AA2998" s="6" t="s">
        <v>72</v>
      </c>
      <c r="AB2998" s="8"/>
    </row>
    <row r="2999" spans="1:28" s="4" customFormat="1" ht="51.95" customHeight="1">
      <c r="A2999" s="5">
        <v>0</v>
      </c>
      <c r="B2999" s="6" t="s">
        <v>18092</v>
      </c>
      <c r="C2999" s="7">
        <v>670</v>
      </c>
      <c r="D2999" s="8" t="s">
        <v>18093</v>
      </c>
      <c r="E2999" s="8" t="s">
        <v>18094</v>
      </c>
      <c r="F2999" s="8" t="s">
        <v>18095</v>
      </c>
      <c r="G2999" s="6" t="s">
        <v>38</v>
      </c>
      <c r="H2999" s="6" t="s">
        <v>53</v>
      </c>
      <c r="I2999" s="8" t="s">
        <v>116</v>
      </c>
      <c r="J2999" s="9">
        <v>1</v>
      </c>
      <c r="K2999" s="9">
        <v>143</v>
      </c>
      <c r="L2999" s="9">
        <v>2023</v>
      </c>
      <c r="M2999" s="8" t="s">
        <v>18096</v>
      </c>
      <c r="N2999" s="8" t="s">
        <v>79</v>
      </c>
      <c r="O2999" s="8" t="s">
        <v>396</v>
      </c>
      <c r="P2999" s="6" t="s">
        <v>43</v>
      </c>
      <c r="Q2999" s="8" t="s">
        <v>44</v>
      </c>
      <c r="R2999" s="10" t="s">
        <v>15567</v>
      </c>
      <c r="S2999" s="11" t="s">
        <v>18097</v>
      </c>
      <c r="T2999" s="6"/>
      <c r="U2999" s="24" t="str">
        <f>HYPERLINK("https://media.infra-m.ru/2117/2117627/cover/2117627.jpg", "Обложка")</f>
        <v>Обложка</v>
      </c>
      <c r="V2999" s="24" t="str">
        <f>HYPERLINK("https://znanium.ru/catalog/product/2117627", "Ознакомиться")</f>
        <v>Ознакомиться</v>
      </c>
      <c r="W2999" s="8" t="s">
        <v>10544</v>
      </c>
      <c r="X2999" s="6"/>
      <c r="Y2999" s="6"/>
      <c r="Z2999" s="6"/>
      <c r="AA2999" s="6" t="s">
        <v>418</v>
      </c>
      <c r="AB2999" s="8"/>
    </row>
    <row r="3000" spans="1:28" s="4" customFormat="1" ht="51.95" customHeight="1">
      <c r="A3000" s="5">
        <v>0</v>
      </c>
      <c r="B3000" s="6" t="s">
        <v>18098</v>
      </c>
      <c r="C3000" s="7">
        <v>744</v>
      </c>
      <c r="D3000" s="8" t="s">
        <v>18099</v>
      </c>
      <c r="E3000" s="8" t="s">
        <v>18094</v>
      </c>
      <c r="F3000" s="8" t="s">
        <v>18095</v>
      </c>
      <c r="G3000" s="6" t="s">
        <v>38</v>
      </c>
      <c r="H3000" s="6" t="s">
        <v>53</v>
      </c>
      <c r="I3000" s="8" t="s">
        <v>100</v>
      </c>
      <c r="J3000" s="9">
        <v>1</v>
      </c>
      <c r="K3000" s="9">
        <v>143</v>
      </c>
      <c r="L3000" s="9">
        <v>2025</v>
      </c>
      <c r="M3000" s="8" t="s">
        <v>18100</v>
      </c>
      <c r="N3000" s="8" t="s">
        <v>79</v>
      </c>
      <c r="O3000" s="8" t="s">
        <v>396</v>
      </c>
      <c r="P3000" s="6" t="s">
        <v>43</v>
      </c>
      <c r="Q3000" s="8" t="s">
        <v>102</v>
      </c>
      <c r="R3000" s="10" t="s">
        <v>18101</v>
      </c>
      <c r="S3000" s="11" t="s">
        <v>2038</v>
      </c>
      <c r="T3000" s="6"/>
      <c r="U3000" s="24" t="str">
        <f>HYPERLINK("https://media.infra-m.ru/2199/2199629/cover/2199629.jpg", "Обложка")</f>
        <v>Обложка</v>
      </c>
      <c r="V3000" s="24" t="str">
        <f>HYPERLINK("https://znanium.ru/catalog/product/2140343", "Ознакомиться")</f>
        <v>Ознакомиться</v>
      </c>
      <c r="W3000" s="8" t="s">
        <v>10544</v>
      </c>
      <c r="X3000" s="6"/>
      <c r="Y3000" s="6"/>
      <c r="Z3000" s="6" t="s">
        <v>104</v>
      </c>
      <c r="AA3000" s="6" t="s">
        <v>258</v>
      </c>
      <c r="AB3000" s="8"/>
    </row>
    <row r="3001" spans="1:28" s="4" customFormat="1" ht="51.95" customHeight="1">
      <c r="A3001" s="5">
        <v>0</v>
      </c>
      <c r="B3001" s="6" t="s">
        <v>18102</v>
      </c>
      <c r="C3001" s="13">
        <v>2280</v>
      </c>
      <c r="D3001" s="8" t="s">
        <v>18103</v>
      </c>
      <c r="E3001" s="8" t="s">
        <v>18104</v>
      </c>
      <c r="F3001" s="8" t="s">
        <v>1341</v>
      </c>
      <c r="G3001" s="6" t="s">
        <v>52</v>
      </c>
      <c r="H3001" s="6" t="s">
        <v>53</v>
      </c>
      <c r="I3001" s="8" t="s">
        <v>100</v>
      </c>
      <c r="J3001" s="9">
        <v>1</v>
      </c>
      <c r="K3001" s="9">
        <v>453</v>
      </c>
      <c r="L3001" s="9">
        <v>2025</v>
      </c>
      <c r="M3001" s="8" t="s">
        <v>18105</v>
      </c>
      <c r="N3001" s="8" t="s">
        <v>41</v>
      </c>
      <c r="O3001" s="8" t="s">
        <v>118</v>
      </c>
      <c r="P3001" s="6" t="s">
        <v>43</v>
      </c>
      <c r="Q3001" s="8" t="s">
        <v>102</v>
      </c>
      <c r="R3001" s="10" t="s">
        <v>18106</v>
      </c>
      <c r="S3001" s="11"/>
      <c r="T3001" s="6"/>
      <c r="U3001" s="24" t="str">
        <f>HYPERLINK("https://media.infra-m.ru/1900/1900916/cover/1900916.jpg", "Обложка")</f>
        <v>Обложка</v>
      </c>
      <c r="V3001" s="24" t="str">
        <f>HYPERLINK("https://znanium.ru/catalog/product/1900916", "Ознакомиться")</f>
        <v>Ознакомиться</v>
      </c>
      <c r="W3001" s="8" t="s">
        <v>1345</v>
      </c>
      <c r="X3001" s="6" t="s">
        <v>1049</v>
      </c>
      <c r="Y3001" s="6"/>
      <c r="Z3001" s="6"/>
      <c r="AA3001" s="6" t="s">
        <v>61</v>
      </c>
      <c r="AB3001" s="8" t="s">
        <v>11412</v>
      </c>
    </row>
    <row r="3002" spans="1:28" s="4" customFormat="1" ht="51.95" customHeight="1">
      <c r="A3002" s="5">
        <v>0</v>
      </c>
      <c r="B3002" s="6" t="s">
        <v>18107</v>
      </c>
      <c r="C3002" s="13">
        <v>2064</v>
      </c>
      <c r="D3002" s="8" t="s">
        <v>18108</v>
      </c>
      <c r="E3002" s="8" t="s">
        <v>18109</v>
      </c>
      <c r="F3002" s="8" t="s">
        <v>18110</v>
      </c>
      <c r="G3002" s="6" t="s">
        <v>52</v>
      </c>
      <c r="H3002" s="6" t="s">
        <v>952</v>
      </c>
      <c r="I3002" s="8" t="s">
        <v>2699</v>
      </c>
      <c r="J3002" s="9">
        <v>1</v>
      </c>
      <c r="K3002" s="9">
        <v>448</v>
      </c>
      <c r="L3002" s="9">
        <v>2024</v>
      </c>
      <c r="M3002" s="8" t="s">
        <v>18111</v>
      </c>
      <c r="N3002" s="8" t="s">
        <v>41</v>
      </c>
      <c r="O3002" s="8" t="s">
        <v>1007</v>
      </c>
      <c r="P3002" s="6" t="s">
        <v>43</v>
      </c>
      <c r="Q3002" s="8" t="s">
        <v>279</v>
      </c>
      <c r="R3002" s="10" t="s">
        <v>18112</v>
      </c>
      <c r="S3002" s="11"/>
      <c r="T3002" s="6"/>
      <c r="U3002" s="24" t="str">
        <f>HYPERLINK("https://media.infra-m.ru/2088/2088247/cover/2088247.jpg", "Обложка")</f>
        <v>Обложка</v>
      </c>
      <c r="V3002" s="24" t="str">
        <f>HYPERLINK("https://znanium.ru/catalog/product/2088247", "Ознакомиться")</f>
        <v>Ознакомиться</v>
      </c>
      <c r="W3002" s="8" t="s">
        <v>189</v>
      </c>
      <c r="X3002" s="6"/>
      <c r="Y3002" s="6"/>
      <c r="Z3002" s="6"/>
      <c r="AA3002" s="6" t="s">
        <v>111</v>
      </c>
      <c r="AB3002" s="8"/>
    </row>
    <row r="3003" spans="1:28" s="4" customFormat="1" ht="42" customHeight="1">
      <c r="A3003" s="5">
        <v>0</v>
      </c>
      <c r="B3003" s="6" t="s">
        <v>18113</v>
      </c>
      <c r="C3003" s="7">
        <v>890</v>
      </c>
      <c r="D3003" s="8" t="s">
        <v>18114</v>
      </c>
      <c r="E3003" s="8" t="s">
        <v>18115</v>
      </c>
      <c r="F3003" s="8" t="s">
        <v>18116</v>
      </c>
      <c r="G3003" s="6" t="s">
        <v>52</v>
      </c>
      <c r="H3003" s="6" t="s">
        <v>53</v>
      </c>
      <c r="I3003" s="8" t="s">
        <v>116</v>
      </c>
      <c r="J3003" s="9">
        <v>1</v>
      </c>
      <c r="K3003" s="9">
        <v>176</v>
      </c>
      <c r="L3003" s="9">
        <v>2024</v>
      </c>
      <c r="M3003" s="8" t="s">
        <v>18117</v>
      </c>
      <c r="N3003" s="8" t="s">
        <v>997</v>
      </c>
      <c r="O3003" s="8" t="s">
        <v>998</v>
      </c>
      <c r="P3003" s="6" t="s">
        <v>43</v>
      </c>
      <c r="Q3003" s="8" t="s">
        <v>58</v>
      </c>
      <c r="R3003" s="10" t="s">
        <v>6390</v>
      </c>
      <c r="S3003" s="11"/>
      <c r="T3003" s="6"/>
      <c r="U3003" s="24" t="str">
        <f>HYPERLINK("https://media.infra-m.ru/1971/1971855/cover/1971855.jpg", "Обложка")</f>
        <v>Обложка</v>
      </c>
      <c r="V3003" s="24" t="str">
        <f>HYPERLINK("https://znanium.ru/catalog/product/1971855", "Ознакомиться")</f>
        <v>Ознакомиться</v>
      </c>
      <c r="W3003" s="8" t="s">
        <v>7276</v>
      </c>
      <c r="X3003" s="6"/>
      <c r="Y3003" s="6"/>
      <c r="Z3003" s="6"/>
      <c r="AA3003" s="6" t="s">
        <v>133</v>
      </c>
      <c r="AB3003" s="8"/>
    </row>
    <row r="3004" spans="1:28" s="4" customFormat="1" ht="44.1" customHeight="1">
      <c r="A3004" s="5">
        <v>0</v>
      </c>
      <c r="B3004" s="6" t="s">
        <v>18118</v>
      </c>
      <c r="C3004" s="13">
        <v>1364.9</v>
      </c>
      <c r="D3004" s="8" t="s">
        <v>18119</v>
      </c>
      <c r="E3004" s="8" t="s">
        <v>18120</v>
      </c>
      <c r="F3004" s="8" t="s">
        <v>18121</v>
      </c>
      <c r="G3004" s="6" t="s">
        <v>52</v>
      </c>
      <c r="H3004" s="6" t="s">
        <v>649</v>
      </c>
      <c r="I3004" s="8" t="s">
        <v>116</v>
      </c>
      <c r="J3004" s="9">
        <v>1</v>
      </c>
      <c r="K3004" s="9">
        <v>304</v>
      </c>
      <c r="L3004" s="9">
        <v>2023</v>
      </c>
      <c r="M3004" s="8" t="s">
        <v>18122</v>
      </c>
      <c r="N3004" s="8" t="s">
        <v>41</v>
      </c>
      <c r="O3004" s="8" t="s">
        <v>278</v>
      </c>
      <c r="P3004" s="6" t="s">
        <v>43</v>
      </c>
      <c r="Q3004" s="8" t="s">
        <v>44</v>
      </c>
      <c r="R3004" s="10" t="s">
        <v>14022</v>
      </c>
      <c r="S3004" s="11"/>
      <c r="T3004" s="6"/>
      <c r="U3004" s="24" t="str">
        <f>HYPERLINK("https://media.infra-m.ru/1911/1911822/cover/1911822.jpg", "Обложка")</f>
        <v>Обложка</v>
      </c>
      <c r="V3004" s="24" t="str">
        <f>HYPERLINK("https://znanium.ru/catalog/product/939285", "Ознакомиться")</f>
        <v>Ознакомиться</v>
      </c>
      <c r="W3004" s="8" t="s">
        <v>189</v>
      </c>
      <c r="X3004" s="6"/>
      <c r="Y3004" s="6"/>
      <c r="Z3004" s="6"/>
      <c r="AA3004" s="6" t="s">
        <v>111</v>
      </c>
      <c r="AB3004" s="8"/>
    </row>
    <row r="3005" spans="1:28" s="4" customFormat="1" ht="51.95" customHeight="1">
      <c r="A3005" s="5">
        <v>0</v>
      </c>
      <c r="B3005" s="6" t="s">
        <v>18123</v>
      </c>
      <c r="C3005" s="13">
        <v>2400</v>
      </c>
      <c r="D3005" s="8" t="s">
        <v>18124</v>
      </c>
      <c r="E3005" s="8" t="s">
        <v>18125</v>
      </c>
      <c r="F3005" s="8" t="s">
        <v>18126</v>
      </c>
      <c r="G3005" s="6" t="s">
        <v>89</v>
      </c>
      <c r="H3005" s="6" t="s">
        <v>53</v>
      </c>
      <c r="I3005" s="8" t="s">
        <v>4855</v>
      </c>
      <c r="J3005" s="9">
        <v>1</v>
      </c>
      <c r="K3005" s="9">
        <v>537</v>
      </c>
      <c r="L3005" s="9">
        <v>2018</v>
      </c>
      <c r="M3005" s="8" t="s">
        <v>18127</v>
      </c>
      <c r="N3005" s="8" t="s">
        <v>41</v>
      </c>
      <c r="O3005" s="8" t="s">
        <v>278</v>
      </c>
      <c r="P3005" s="6" t="s">
        <v>167</v>
      </c>
      <c r="Q3005" s="8" t="s">
        <v>44</v>
      </c>
      <c r="R3005" s="10" t="s">
        <v>18128</v>
      </c>
      <c r="S3005" s="11" t="s">
        <v>18129</v>
      </c>
      <c r="T3005" s="6" t="s">
        <v>299</v>
      </c>
      <c r="U3005" s="24" t="str">
        <f>HYPERLINK("https://media.infra-m.ru/1947/1947352/cover/1947352.jpg", "Обложка")</f>
        <v>Обложка</v>
      </c>
      <c r="V3005" s="24" t="str">
        <f>HYPERLINK("https://znanium.ru/catalog/product/939763", "Ознакомиться")</f>
        <v>Ознакомиться</v>
      </c>
      <c r="W3005" s="8" t="s">
        <v>784</v>
      </c>
      <c r="X3005" s="6"/>
      <c r="Y3005" s="6"/>
      <c r="Z3005" s="6"/>
      <c r="AA3005" s="6" t="s">
        <v>151</v>
      </c>
      <c r="AB3005" s="8"/>
    </row>
    <row r="3006" spans="1:28" s="4" customFormat="1" ht="51.95" customHeight="1">
      <c r="A3006" s="5">
        <v>0</v>
      </c>
      <c r="B3006" s="6" t="s">
        <v>18130</v>
      </c>
      <c r="C3006" s="13">
        <v>1124</v>
      </c>
      <c r="D3006" s="8" t="s">
        <v>18131</v>
      </c>
      <c r="E3006" s="8" t="s">
        <v>18132</v>
      </c>
      <c r="F3006" s="8" t="s">
        <v>18133</v>
      </c>
      <c r="G3006" s="6" t="s">
        <v>52</v>
      </c>
      <c r="H3006" s="6" t="s">
        <v>184</v>
      </c>
      <c r="I3006" s="8" t="s">
        <v>58</v>
      </c>
      <c r="J3006" s="9">
        <v>1</v>
      </c>
      <c r="K3006" s="9">
        <v>224</v>
      </c>
      <c r="L3006" s="9">
        <v>2025</v>
      </c>
      <c r="M3006" s="8" t="s">
        <v>18134</v>
      </c>
      <c r="N3006" s="8" t="s">
        <v>79</v>
      </c>
      <c r="O3006" s="8" t="s">
        <v>684</v>
      </c>
      <c r="P3006" s="6" t="s">
        <v>43</v>
      </c>
      <c r="Q3006" s="8" t="s">
        <v>102</v>
      </c>
      <c r="R3006" s="10" t="s">
        <v>18135</v>
      </c>
      <c r="S3006" s="11" t="s">
        <v>8173</v>
      </c>
      <c r="T3006" s="6"/>
      <c r="U3006" s="24" t="str">
        <f>HYPERLINK("https://media.infra-m.ru/2180/2180238/cover/2180238.jpg", "Обложка")</f>
        <v>Обложка</v>
      </c>
      <c r="V3006" s="24" t="str">
        <f>HYPERLINK("https://znanium.ru/catalog/product/2180238", "Ознакомиться")</f>
        <v>Ознакомиться</v>
      </c>
      <c r="W3006" s="8" t="s">
        <v>8174</v>
      </c>
      <c r="X3006" s="6"/>
      <c r="Y3006" s="6"/>
      <c r="Z3006" s="6"/>
      <c r="AA3006" s="6" t="s">
        <v>84</v>
      </c>
      <c r="AB3006" s="8"/>
    </row>
    <row r="3007" spans="1:28" s="4" customFormat="1" ht="51.95" customHeight="1">
      <c r="A3007" s="5">
        <v>0</v>
      </c>
      <c r="B3007" s="6" t="s">
        <v>18136</v>
      </c>
      <c r="C3007" s="13">
        <v>1030</v>
      </c>
      <c r="D3007" s="8" t="s">
        <v>18137</v>
      </c>
      <c r="E3007" s="8" t="s">
        <v>18138</v>
      </c>
      <c r="F3007" s="8" t="s">
        <v>2706</v>
      </c>
      <c r="G3007" s="6" t="s">
        <v>89</v>
      </c>
      <c r="H3007" s="6" t="s">
        <v>53</v>
      </c>
      <c r="I3007" s="8" t="s">
        <v>100</v>
      </c>
      <c r="J3007" s="9">
        <v>1</v>
      </c>
      <c r="K3007" s="9">
        <v>198</v>
      </c>
      <c r="L3007" s="9">
        <v>2025</v>
      </c>
      <c r="M3007" s="8" t="s">
        <v>18139</v>
      </c>
      <c r="N3007" s="8" t="s">
        <v>41</v>
      </c>
      <c r="O3007" s="8" t="s">
        <v>1007</v>
      </c>
      <c r="P3007" s="6" t="s">
        <v>167</v>
      </c>
      <c r="Q3007" s="8" t="s">
        <v>102</v>
      </c>
      <c r="R3007" s="10" t="s">
        <v>1656</v>
      </c>
      <c r="S3007" s="11" t="s">
        <v>18140</v>
      </c>
      <c r="T3007" s="6"/>
      <c r="U3007" s="24" t="str">
        <f>HYPERLINK("https://media.infra-m.ru/2184/2184578/cover/2184578.jpg", "Обложка")</f>
        <v>Обложка</v>
      </c>
      <c r="V3007" s="24" t="str">
        <f>HYPERLINK("https://znanium.ru/catalog/product/1018363", "Ознакомиться")</f>
        <v>Ознакомиться</v>
      </c>
      <c r="W3007" s="8" t="s">
        <v>1233</v>
      </c>
      <c r="X3007" s="6"/>
      <c r="Y3007" s="6"/>
      <c r="Z3007" s="6"/>
      <c r="AA3007" s="6" t="s">
        <v>219</v>
      </c>
      <c r="AB3007" s="8"/>
    </row>
    <row r="3008" spans="1:28" s="4" customFormat="1" ht="51.95" customHeight="1">
      <c r="A3008" s="5">
        <v>0</v>
      </c>
      <c r="B3008" s="6" t="s">
        <v>18141</v>
      </c>
      <c r="C3008" s="13">
        <v>1084</v>
      </c>
      <c r="D3008" s="8" t="s">
        <v>18142</v>
      </c>
      <c r="E3008" s="8" t="s">
        <v>18143</v>
      </c>
      <c r="F3008" s="8" t="s">
        <v>18144</v>
      </c>
      <c r="G3008" s="6" t="s">
        <v>52</v>
      </c>
      <c r="H3008" s="6" t="s">
        <v>649</v>
      </c>
      <c r="I3008" s="8" t="s">
        <v>116</v>
      </c>
      <c r="J3008" s="9">
        <v>1</v>
      </c>
      <c r="K3008" s="9">
        <v>208</v>
      </c>
      <c r="L3008" s="9">
        <v>2025</v>
      </c>
      <c r="M3008" s="8" t="s">
        <v>18145</v>
      </c>
      <c r="N3008" s="8" t="s">
        <v>41</v>
      </c>
      <c r="O3008" s="8" t="s">
        <v>1007</v>
      </c>
      <c r="P3008" s="6" t="s">
        <v>43</v>
      </c>
      <c r="Q3008" s="8" t="s">
        <v>44</v>
      </c>
      <c r="R3008" s="10" t="s">
        <v>1231</v>
      </c>
      <c r="S3008" s="11" t="s">
        <v>18146</v>
      </c>
      <c r="T3008" s="6"/>
      <c r="U3008" s="24" t="str">
        <f>HYPERLINK("https://media.infra-m.ru/2192/2192232/cover/2192232.jpg", "Обложка")</f>
        <v>Обложка</v>
      </c>
      <c r="V3008" s="12"/>
      <c r="W3008" s="8" t="s">
        <v>18147</v>
      </c>
      <c r="X3008" s="6"/>
      <c r="Y3008" s="6"/>
      <c r="Z3008" s="6"/>
      <c r="AA3008" s="6" t="s">
        <v>122</v>
      </c>
      <c r="AB3008" s="8"/>
    </row>
    <row r="3009" spans="1:28" s="4" customFormat="1" ht="51.95" customHeight="1">
      <c r="A3009" s="5">
        <v>0</v>
      </c>
      <c r="B3009" s="6" t="s">
        <v>18148</v>
      </c>
      <c r="C3009" s="13">
        <v>1044</v>
      </c>
      <c r="D3009" s="8" t="s">
        <v>18149</v>
      </c>
      <c r="E3009" s="8" t="s">
        <v>18143</v>
      </c>
      <c r="F3009" s="8" t="s">
        <v>18150</v>
      </c>
      <c r="G3009" s="6" t="s">
        <v>89</v>
      </c>
      <c r="H3009" s="6" t="s">
        <v>649</v>
      </c>
      <c r="I3009" s="8" t="s">
        <v>100</v>
      </c>
      <c r="J3009" s="9">
        <v>1</v>
      </c>
      <c r="K3009" s="9">
        <v>208</v>
      </c>
      <c r="L3009" s="9">
        <v>2025</v>
      </c>
      <c r="M3009" s="8" t="s">
        <v>18151</v>
      </c>
      <c r="N3009" s="8" t="s">
        <v>41</v>
      </c>
      <c r="O3009" s="8" t="s">
        <v>1007</v>
      </c>
      <c r="P3009" s="6" t="s">
        <v>43</v>
      </c>
      <c r="Q3009" s="8" t="s">
        <v>102</v>
      </c>
      <c r="R3009" s="10" t="s">
        <v>1656</v>
      </c>
      <c r="S3009" s="11" t="s">
        <v>18152</v>
      </c>
      <c r="T3009" s="6"/>
      <c r="U3009" s="24" t="str">
        <f>HYPERLINK("https://media.infra-m.ru/2163/2163789/cover/2163789.jpg", "Обложка")</f>
        <v>Обложка</v>
      </c>
      <c r="V3009" s="24" t="str">
        <f>HYPERLINK("https://znanium.ru/catalog/product/1031932", "Ознакомиться")</f>
        <v>Ознакомиться</v>
      </c>
      <c r="W3009" s="8" t="s">
        <v>18147</v>
      </c>
      <c r="X3009" s="6"/>
      <c r="Y3009" s="6"/>
      <c r="Z3009" s="6" t="s">
        <v>104</v>
      </c>
      <c r="AA3009" s="6" t="s">
        <v>258</v>
      </c>
      <c r="AB3009" s="8"/>
    </row>
    <row r="3010" spans="1:28" s="4" customFormat="1" ht="42" customHeight="1">
      <c r="A3010" s="5">
        <v>0</v>
      </c>
      <c r="B3010" s="6" t="s">
        <v>18153</v>
      </c>
      <c r="C3010" s="7">
        <v>390</v>
      </c>
      <c r="D3010" s="8" t="s">
        <v>18154</v>
      </c>
      <c r="E3010" s="8" t="s">
        <v>18155</v>
      </c>
      <c r="F3010" s="8" t="s">
        <v>18156</v>
      </c>
      <c r="G3010" s="6" t="s">
        <v>38</v>
      </c>
      <c r="H3010" s="6" t="s">
        <v>53</v>
      </c>
      <c r="I3010" s="8" t="s">
        <v>116</v>
      </c>
      <c r="J3010" s="9">
        <v>1</v>
      </c>
      <c r="K3010" s="9">
        <v>71</v>
      </c>
      <c r="L3010" s="9">
        <v>2025</v>
      </c>
      <c r="M3010" s="8" t="s">
        <v>18157</v>
      </c>
      <c r="N3010" s="8" t="s">
        <v>997</v>
      </c>
      <c r="O3010" s="8" t="s">
        <v>998</v>
      </c>
      <c r="P3010" s="6" t="s">
        <v>6608</v>
      </c>
      <c r="Q3010" s="8" t="s">
        <v>58</v>
      </c>
      <c r="R3010" s="10" t="s">
        <v>6390</v>
      </c>
      <c r="S3010" s="11"/>
      <c r="T3010" s="6"/>
      <c r="U3010" s="24" t="str">
        <f>HYPERLINK("https://media.infra-m.ru/2161/2161370/cover/2161370.jpg", "Обложка")</f>
        <v>Обложка</v>
      </c>
      <c r="V3010" s="24" t="str">
        <f>HYPERLINK("https://znanium.ru/catalog/product/2161370", "Ознакомиться")</f>
        <v>Ознакомиться</v>
      </c>
      <c r="W3010" s="8" t="s">
        <v>7276</v>
      </c>
      <c r="X3010" s="6"/>
      <c r="Y3010" s="6"/>
      <c r="Z3010" s="6"/>
      <c r="AA3010" s="6" t="s">
        <v>219</v>
      </c>
      <c r="AB3010" s="8"/>
    </row>
    <row r="3011" spans="1:28" s="4" customFormat="1" ht="42" customHeight="1">
      <c r="A3011" s="5">
        <v>0</v>
      </c>
      <c r="B3011" s="6" t="s">
        <v>18158</v>
      </c>
      <c r="C3011" s="13">
        <v>1550</v>
      </c>
      <c r="D3011" s="8" t="s">
        <v>18159</v>
      </c>
      <c r="E3011" s="8" t="s">
        <v>18160</v>
      </c>
      <c r="F3011" s="8" t="s">
        <v>18161</v>
      </c>
      <c r="G3011" s="6" t="s">
        <v>52</v>
      </c>
      <c r="H3011" s="6" t="s">
        <v>53</v>
      </c>
      <c r="I3011" s="8" t="s">
        <v>116</v>
      </c>
      <c r="J3011" s="9">
        <v>1</v>
      </c>
      <c r="K3011" s="9">
        <v>316</v>
      </c>
      <c r="L3011" s="9">
        <v>2024</v>
      </c>
      <c r="M3011" s="8" t="s">
        <v>18162</v>
      </c>
      <c r="N3011" s="8" t="s">
        <v>56</v>
      </c>
      <c r="O3011" s="8" t="s">
        <v>4042</v>
      </c>
      <c r="P3011" s="6" t="s">
        <v>43</v>
      </c>
      <c r="Q3011" s="8" t="s">
        <v>58</v>
      </c>
      <c r="R3011" s="10" t="s">
        <v>18163</v>
      </c>
      <c r="S3011" s="11"/>
      <c r="T3011" s="6"/>
      <c r="U3011" s="24" t="str">
        <f>HYPERLINK("https://media.infra-m.ru/1819/1819218/cover/1819218.jpg", "Обложка")</f>
        <v>Обложка</v>
      </c>
      <c r="V3011" s="24" t="str">
        <f>HYPERLINK("https://znanium.ru/catalog/product/1819218", "Ознакомиться")</f>
        <v>Ознакомиться</v>
      </c>
      <c r="W3011" s="8" t="s">
        <v>12535</v>
      </c>
      <c r="X3011" s="6"/>
      <c r="Y3011" s="6"/>
      <c r="Z3011" s="6"/>
      <c r="AA3011" s="6" t="s">
        <v>133</v>
      </c>
      <c r="AB3011" s="8"/>
    </row>
    <row r="3012" spans="1:28" s="4" customFormat="1" ht="51.95" customHeight="1">
      <c r="A3012" s="5">
        <v>0</v>
      </c>
      <c r="B3012" s="6" t="s">
        <v>18164</v>
      </c>
      <c r="C3012" s="13">
        <v>1724</v>
      </c>
      <c r="D3012" s="8" t="s">
        <v>18165</v>
      </c>
      <c r="E3012" s="8" t="s">
        <v>18166</v>
      </c>
      <c r="F3012" s="8" t="s">
        <v>18167</v>
      </c>
      <c r="G3012" s="6" t="s">
        <v>89</v>
      </c>
      <c r="H3012" s="6" t="s">
        <v>53</v>
      </c>
      <c r="I3012" s="8" t="s">
        <v>276</v>
      </c>
      <c r="J3012" s="9">
        <v>1</v>
      </c>
      <c r="K3012" s="9">
        <v>345</v>
      </c>
      <c r="L3012" s="9">
        <v>2025</v>
      </c>
      <c r="M3012" s="8" t="s">
        <v>18168</v>
      </c>
      <c r="N3012" s="8" t="s">
        <v>413</v>
      </c>
      <c r="O3012" s="8" t="s">
        <v>2771</v>
      </c>
      <c r="P3012" s="6" t="s">
        <v>43</v>
      </c>
      <c r="Q3012" s="8" t="s">
        <v>279</v>
      </c>
      <c r="R3012" s="10" t="s">
        <v>18169</v>
      </c>
      <c r="S3012" s="11" t="s">
        <v>18170</v>
      </c>
      <c r="T3012" s="6" t="s">
        <v>299</v>
      </c>
      <c r="U3012" s="24" t="str">
        <f>HYPERLINK("https://media.infra-m.ru/2188/2188731/cover/2188731.jpg", "Обложка")</f>
        <v>Обложка</v>
      </c>
      <c r="V3012" s="24" t="str">
        <f>HYPERLINK("https://znanium.ru/catalog/product/1913521", "Ознакомиться")</f>
        <v>Ознакомиться</v>
      </c>
      <c r="W3012" s="8" t="s">
        <v>189</v>
      </c>
      <c r="X3012" s="6"/>
      <c r="Y3012" s="6"/>
      <c r="Z3012" s="6"/>
      <c r="AA3012" s="6" t="s">
        <v>196</v>
      </c>
      <c r="AB3012" s="8"/>
    </row>
    <row r="3013" spans="1:28" s="4" customFormat="1" ht="51.95" customHeight="1">
      <c r="A3013" s="5">
        <v>0</v>
      </c>
      <c r="B3013" s="6" t="s">
        <v>18171</v>
      </c>
      <c r="C3013" s="13">
        <v>1290</v>
      </c>
      <c r="D3013" s="8" t="s">
        <v>18172</v>
      </c>
      <c r="E3013" s="8" t="s">
        <v>18173</v>
      </c>
      <c r="F3013" s="8" t="s">
        <v>18167</v>
      </c>
      <c r="G3013" s="6" t="s">
        <v>89</v>
      </c>
      <c r="H3013" s="6" t="s">
        <v>53</v>
      </c>
      <c r="I3013" s="8" t="s">
        <v>276</v>
      </c>
      <c r="J3013" s="9">
        <v>1</v>
      </c>
      <c r="K3013" s="9">
        <v>264</v>
      </c>
      <c r="L3013" s="9">
        <v>2021</v>
      </c>
      <c r="M3013" s="8" t="s">
        <v>18174</v>
      </c>
      <c r="N3013" s="8" t="s">
        <v>413</v>
      </c>
      <c r="O3013" s="8" t="s">
        <v>2771</v>
      </c>
      <c r="P3013" s="6" t="s">
        <v>43</v>
      </c>
      <c r="Q3013" s="8" t="s">
        <v>279</v>
      </c>
      <c r="R3013" s="10" t="s">
        <v>18169</v>
      </c>
      <c r="S3013" s="11" t="s">
        <v>18175</v>
      </c>
      <c r="T3013" s="6"/>
      <c r="U3013" s="24" t="str">
        <f>HYPERLINK("https://media.infra-m.ru/1157/1157859/cover/1157859.jpg", "Обложка")</f>
        <v>Обложка</v>
      </c>
      <c r="V3013" s="24" t="str">
        <f>HYPERLINK("https://znanium.ru/catalog/product/1913521", "Ознакомиться")</f>
        <v>Ознакомиться</v>
      </c>
      <c r="W3013" s="8" t="s">
        <v>189</v>
      </c>
      <c r="X3013" s="6"/>
      <c r="Y3013" s="6"/>
      <c r="Z3013" s="6"/>
      <c r="AA3013" s="6" t="s">
        <v>72</v>
      </c>
      <c r="AB3013" s="8"/>
    </row>
    <row r="3014" spans="1:28" s="4" customFormat="1" ht="51.95" customHeight="1">
      <c r="A3014" s="5">
        <v>0</v>
      </c>
      <c r="B3014" s="6" t="s">
        <v>18176</v>
      </c>
      <c r="C3014" s="13">
        <v>1490</v>
      </c>
      <c r="D3014" s="8" t="s">
        <v>18177</v>
      </c>
      <c r="E3014" s="8" t="s">
        <v>18178</v>
      </c>
      <c r="F3014" s="8" t="s">
        <v>18179</v>
      </c>
      <c r="G3014" s="6" t="s">
        <v>89</v>
      </c>
      <c r="H3014" s="6" t="s">
        <v>53</v>
      </c>
      <c r="I3014" s="8" t="s">
        <v>100</v>
      </c>
      <c r="J3014" s="9">
        <v>1</v>
      </c>
      <c r="K3014" s="9">
        <v>298</v>
      </c>
      <c r="L3014" s="9">
        <v>2025</v>
      </c>
      <c r="M3014" s="8" t="s">
        <v>18180</v>
      </c>
      <c r="N3014" s="8" t="s">
        <v>997</v>
      </c>
      <c r="O3014" s="8" t="s">
        <v>998</v>
      </c>
      <c r="P3014" s="6" t="s">
        <v>175</v>
      </c>
      <c r="Q3014" s="8" t="s">
        <v>102</v>
      </c>
      <c r="R3014" s="10" t="s">
        <v>17137</v>
      </c>
      <c r="S3014" s="11" t="s">
        <v>18181</v>
      </c>
      <c r="T3014" s="6"/>
      <c r="U3014" s="24" t="str">
        <f>HYPERLINK("https://media.infra-m.ru/2179/2179100/cover/2179100.jpg", "Обложка")</f>
        <v>Обложка</v>
      </c>
      <c r="V3014" s="24" t="str">
        <f>HYPERLINK("https://znanium.ru/catalog/product/2179100", "Ознакомиться")</f>
        <v>Ознакомиться</v>
      </c>
      <c r="W3014" s="8" t="s">
        <v>18182</v>
      </c>
      <c r="X3014" s="6"/>
      <c r="Y3014" s="6"/>
      <c r="Z3014" s="6"/>
      <c r="AA3014" s="6" t="s">
        <v>219</v>
      </c>
      <c r="AB3014" s="8"/>
    </row>
    <row r="3015" spans="1:28" s="4" customFormat="1" ht="51.95" customHeight="1">
      <c r="A3015" s="5">
        <v>0</v>
      </c>
      <c r="B3015" s="6" t="s">
        <v>18183</v>
      </c>
      <c r="C3015" s="13">
        <v>1610</v>
      </c>
      <c r="D3015" s="8" t="s">
        <v>18184</v>
      </c>
      <c r="E3015" s="8" t="s">
        <v>18185</v>
      </c>
      <c r="F3015" s="8" t="s">
        <v>18179</v>
      </c>
      <c r="G3015" s="6" t="s">
        <v>89</v>
      </c>
      <c r="H3015" s="6" t="s">
        <v>53</v>
      </c>
      <c r="I3015" s="8" t="s">
        <v>100</v>
      </c>
      <c r="J3015" s="9">
        <v>1</v>
      </c>
      <c r="K3015" s="9">
        <v>322</v>
      </c>
      <c r="L3015" s="9">
        <v>2025</v>
      </c>
      <c r="M3015" s="8" t="s">
        <v>18186</v>
      </c>
      <c r="N3015" s="8" t="s">
        <v>997</v>
      </c>
      <c r="O3015" s="8" t="s">
        <v>998</v>
      </c>
      <c r="P3015" s="6" t="s">
        <v>175</v>
      </c>
      <c r="Q3015" s="8" t="s">
        <v>102</v>
      </c>
      <c r="R3015" s="10" t="s">
        <v>17137</v>
      </c>
      <c r="S3015" s="11" t="s">
        <v>18181</v>
      </c>
      <c r="T3015" s="6"/>
      <c r="U3015" s="24" t="str">
        <f>HYPERLINK("https://media.infra-m.ru/2185/2185169/cover/2185169.jpg", "Обложка")</f>
        <v>Обложка</v>
      </c>
      <c r="V3015" s="24" t="str">
        <f>HYPERLINK("https://znanium.ru/catalog/product/2185169", "Ознакомиться")</f>
        <v>Ознакомиться</v>
      </c>
      <c r="W3015" s="8" t="s">
        <v>18182</v>
      </c>
      <c r="X3015" s="6"/>
      <c r="Y3015" s="6"/>
      <c r="Z3015" s="6"/>
      <c r="AA3015" s="6" t="s">
        <v>793</v>
      </c>
      <c r="AB3015" s="8"/>
    </row>
    <row r="3016" spans="1:28" s="4" customFormat="1" ht="51.95" customHeight="1">
      <c r="A3016" s="5">
        <v>0</v>
      </c>
      <c r="B3016" s="6" t="s">
        <v>18187</v>
      </c>
      <c r="C3016" s="13">
        <v>1620</v>
      </c>
      <c r="D3016" s="8" t="s">
        <v>18188</v>
      </c>
      <c r="E3016" s="8" t="s">
        <v>18189</v>
      </c>
      <c r="F3016" s="8" t="s">
        <v>18179</v>
      </c>
      <c r="G3016" s="6" t="s">
        <v>89</v>
      </c>
      <c r="H3016" s="6" t="s">
        <v>53</v>
      </c>
      <c r="I3016" s="8" t="s">
        <v>100</v>
      </c>
      <c r="J3016" s="9">
        <v>1</v>
      </c>
      <c r="K3016" s="9">
        <v>323</v>
      </c>
      <c r="L3016" s="9">
        <v>2025</v>
      </c>
      <c r="M3016" s="8" t="s">
        <v>18190</v>
      </c>
      <c r="N3016" s="8" t="s">
        <v>997</v>
      </c>
      <c r="O3016" s="8" t="s">
        <v>998</v>
      </c>
      <c r="P3016" s="6" t="s">
        <v>175</v>
      </c>
      <c r="Q3016" s="8" t="s">
        <v>102</v>
      </c>
      <c r="R3016" s="10" t="s">
        <v>17137</v>
      </c>
      <c r="S3016" s="11" t="s">
        <v>18191</v>
      </c>
      <c r="T3016" s="6"/>
      <c r="U3016" s="24" t="str">
        <f>HYPERLINK("https://media.infra-m.ru/2166/2166204/cover/2166204.jpg", "Обложка")</f>
        <v>Обложка</v>
      </c>
      <c r="V3016" s="24" t="str">
        <f>HYPERLINK("https://znanium.ru/catalog/product/2166204", "Ознакомиться")</f>
        <v>Ознакомиться</v>
      </c>
      <c r="W3016" s="8" t="s">
        <v>18182</v>
      </c>
      <c r="X3016" s="6"/>
      <c r="Y3016" s="6"/>
      <c r="Z3016" s="6"/>
      <c r="AA3016" s="6" t="s">
        <v>793</v>
      </c>
      <c r="AB3016" s="8" t="s">
        <v>2344</v>
      </c>
    </row>
    <row r="3017" spans="1:28" s="4" customFormat="1" ht="51.95" customHeight="1">
      <c r="A3017" s="5">
        <v>0</v>
      </c>
      <c r="B3017" s="6" t="s">
        <v>18192</v>
      </c>
      <c r="C3017" s="13">
        <v>1690</v>
      </c>
      <c r="D3017" s="8" t="s">
        <v>18193</v>
      </c>
      <c r="E3017" s="8" t="s">
        <v>18194</v>
      </c>
      <c r="F3017" s="8" t="s">
        <v>18179</v>
      </c>
      <c r="G3017" s="6" t="s">
        <v>89</v>
      </c>
      <c r="H3017" s="6" t="s">
        <v>53</v>
      </c>
      <c r="I3017" s="8" t="s">
        <v>100</v>
      </c>
      <c r="J3017" s="9">
        <v>1</v>
      </c>
      <c r="K3017" s="9">
        <v>337</v>
      </c>
      <c r="L3017" s="9">
        <v>2025</v>
      </c>
      <c r="M3017" s="8" t="s">
        <v>18195</v>
      </c>
      <c r="N3017" s="8" t="s">
        <v>997</v>
      </c>
      <c r="O3017" s="8" t="s">
        <v>998</v>
      </c>
      <c r="P3017" s="6" t="s">
        <v>175</v>
      </c>
      <c r="Q3017" s="8" t="s">
        <v>102</v>
      </c>
      <c r="R3017" s="10" t="s">
        <v>17137</v>
      </c>
      <c r="S3017" s="11" t="s">
        <v>18191</v>
      </c>
      <c r="T3017" s="6"/>
      <c r="U3017" s="24" t="str">
        <f>HYPERLINK("https://media.infra-m.ru/2166/2166205/cover/2166205.jpg", "Обложка")</f>
        <v>Обложка</v>
      </c>
      <c r="V3017" s="24" t="str">
        <f>HYPERLINK("https://znanium.ru/catalog/product/2166205", "Ознакомиться")</f>
        <v>Ознакомиться</v>
      </c>
      <c r="W3017" s="8" t="s">
        <v>18182</v>
      </c>
      <c r="X3017" s="6"/>
      <c r="Y3017" s="6"/>
      <c r="Z3017" s="6"/>
      <c r="AA3017" s="6" t="s">
        <v>793</v>
      </c>
      <c r="AB3017" s="8" t="s">
        <v>2344</v>
      </c>
    </row>
    <row r="3018" spans="1:28" s="4" customFormat="1" ht="51.95" customHeight="1">
      <c r="A3018" s="5">
        <v>0</v>
      </c>
      <c r="B3018" s="6" t="s">
        <v>18196</v>
      </c>
      <c r="C3018" s="13">
        <v>1440</v>
      </c>
      <c r="D3018" s="8" t="s">
        <v>18197</v>
      </c>
      <c r="E3018" s="8" t="s">
        <v>18198</v>
      </c>
      <c r="F3018" s="8" t="s">
        <v>18179</v>
      </c>
      <c r="G3018" s="6" t="s">
        <v>89</v>
      </c>
      <c r="H3018" s="6" t="s">
        <v>53</v>
      </c>
      <c r="I3018" s="8" t="s">
        <v>100</v>
      </c>
      <c r="J3018" s="9">
        <v>1</v>
      </c>
      <c r="K3018" s="9">
        <v>288</v>
      </c>
      <c r="L3018" s="9">
        <v>2025</v>
      </c>
      <c r="M3018" s="8" t="s">
        <v>18199</v>
      </c>
      <c r="N3018" s="8" t="s">
        <v>997</v>
      </c>
      <c r="O3018" s="8" t="s">
        <v>998</v>
      </c>
      <c r="P3018" s="6" t="s">
        <v>175</v>
      </c>
      <c r="Q3018" s="8" t="s">
        <v>102</v>
      </c>
      <c r="R3018" s="10" t="s">
        <v>17137</v>
      </c>
      <c r="S3018" s="11" t="s">
        <v>18200</v>
      </c>
      <c r="T3018" s="6"/>
      <c r="U3018" s="24" t="str">
        <f>HYPERLINK("https://media.infra-m.ru/2166/2166207/cover/2166207.jpg", "Обложка")</f>
        <v>Обложка</v>
      </c>
      <c r="V3018" s="24" t="str">
        <f>HYPERLINK("https://znanium.ru/catalog/product/2166207", "Ознакомиться")</f>
        <v>Ознакомиться</v>
      </c>
      <c r="W3018" s="8" t="s">
        <v>18182</v>
      </c>
      <c r="X3018" s="6"/>
      <c r="Y3018" s="6"/>
      <c r="Z3018" s="6"/>
      <c r="AA3018" s="6" t="s">
        <v>442</v>
      </c>
      <c r="AB3018" s="8"/>
    </row>
    <row r="3019" spans="1:28" s="4" customFormat="1" ht="51.95" customHeight="1">
      <c r="A3019" s="5">
        <v>0</v>
      </c>
      <c r="B3019" s="6" t="s">
        <v>18201</v>
      </c>
      <c r="C3019" s="13">
        <v>1910</v>
      </c>
      <c r="D3019" s="8" t="s">
        <v>18202</v>
      </c>
      <c r="E3019" s="8" t="s">
        <v>18203</v>
      </c>
      <c r="F3019" s="8" t="s">
        <v>18204</v>
      </c>
      <c r="G3019" s="6" t="s">
        <v>52</v>
      </c>
      <c r="H3019" s="6" t="s">
        <v>649</v>
      </c>
      <c r="I3019" s="8" t="s">
        <v>100</v>
      </c>
      <c r="J3019" s="9">
        <v>1</v>
      </c>
      <c r="K3019" s="9">
        <v>417</v>
      </c>
      <c r="L3019" s="9">
        <v>2023</v>
      </c>
      <c r="M3019" s="8" t="s">
        <v>18205</v>
      </c>
      <c r="N3019" s="8" t="s">
        <v>79</v>
      </c>
      <c r="O3019" s="8" t="s">
        <v>396</v>
      </c>
      <c r="P3019" s="6" t="s">
        <v>167</v>
      </c>
      <c r="Q3019" s="8" t="s">
        <v>102</v>
      </c>
      <c r="R3019" s="10" t="s">
        <v>18206</v>
      </c>
      <c r="S3019" s="11" t="s">
        <v>18207</v>
      </c>
      <c r="T3019" s="6"/>
      <c r="U3019" s="24" t="str">
        <f>HYPERLINK("https://media.infra-m.ru/2051/2051245/cover/2051245.jpg", "Обложка")</f>
        <v>Обложка</v>
      </c>
      <c r="V3019" s="24" t="str">
        <f>HYPERLINK("https://znanium.ru/catalog/product/2051245", "Ознакомиться")</f>
        <v>Ознакомиться</v>
      </c>
      <c r="W3019" s="8"/>
      <c r="X3019" s="6"/>
      <c r="Y3019" s="6"/>
      <c r="Z3019" s="6"/>
      <c r="AA3019" s="6" t="s">
        <v>442</v>
      </c>
      <c r="AB3019" s="8"/>
    </row>
    <row r="3020" spans="1:28" s="4" customFormat="1" ht="51.95" customHeight="1">
      <c r="A3020" s="5">
        <v>0</v>
      </c>
      <c r="B3020" s="6" t="s">
        <v>18208</v>
      </c>
      <c r="C3020" s="13">
        <v>1900</v>
      </c>
      <c r="D3020" s="8" t="s">
        <v>18209</v>
      </c>
      <c r="E3020" s="8" t="s">
        <v>18210</v>
      </c>
      <c r="F3020" s="8" t="s">
        <v>5835</v>
      </c>
      <c r="G3020" s="6" t="s">
        <v>89</v>
      </c>
      <c r="H3020" s="6" t="s">
        <v>53</v>
      </c>
      <c r="I3020" s="8" t="s">
        <v>100</v>
      </c>
      <c r="J3020" s="9">
        <v>1</v>
      </c>
      <c r="K3020" s="9">
        <v>421</v>
      </c>
      <c r="L3020" s="9">
        <v>2023</v>
      </c>
      <c r="M3020" s="8" t="s">
        <v>18211</v>
      </c>
      <c r="N3020" s="8" t="s">
        <v>41</v>
      </c>
      <c r="O3020" s="8" t="s">
        <v>118</v>
      </c>
      <c r="P3020" s="6" t="s">
        <v>43</v>
      </c>
      <c r="Q3020" s="8" t="s">
        <v>102</v>
      </c>
      <c r="R3020" s="10" t="s">
        <v>18212</v>
      </c>
      <c r="S3020" s="11" t="s">
        <v>18213</v>
      </c>
      <c r="T3020" s="6"/>
      <c r="U3020" s="24" t="str">
        <f>HYPERLINK("https://media.infra-m.ru/1960/1960109/cover/1960109.jpg", "Обложка")</f>
        <v>Обложка</v>
      </c>
      <c r="V3020" s="24" t="str">
        <f>HYPERLINK("https://znanium.ru/catalog/product/1960109", "Ознакомиться")</f>
        <v>Ознакомиться</v>
      </c>
      <c r="W3020" s="8" t="s">
        <v>2059</v>
      </c>
      <c r="X3020" s="6"/>
      <c r="Y3020" s="6"/>
      <c r="Z3020" s="6" t="s">
        <v>104</v>
      </c>
      <c r="AA3020" s="6" t="s">
        <v>258</v>
      </c>
      <c r="AB3020" s="8"/>
    </row>
    <row r="3021" spans="1:28" s="4" customFormat="1" ht="51.95" customHeight="1">
      <c r="A3021" s="5">
        <v>0</v>
      </c>
      <c r="B3021" s="6" t="s">
        <v>18214</v>
      </c>
      <c r="C3021" s="13">
        <v>1934</v>
      </c>
      <c r="D3021" s="8" t="s">
        <v>18215</v>
      </c>
      <c r="E3021" s="8" t="s">
        <v>18210</v>
      </c>
      <c r="F3021" s="8" t="s">
        <v>5835</v>
      </c>
      <c r="G3021" s="6" t="s">
        <v>52</v>
      </c>
      <c r="H3021" s="6" t="s">
        <v>53</v>
      </c>
      <c r="I3021" s="8" t="s">
        <v>90</v>
      </c>
      <c r="J3021" s="9">
        <v>1</v>
      </c>
      <c r="K3021" s="9">
        <v>421</v>
      </c>
      <c r="L3021" s="9">
        <v>2024</v>
      </c>
      <c r="M3021" s="8" t="s">
        <v>18216</v>
      </c>
      <c r="N3021" s="8" t="s">
        <v>41</v>
      </c>
      <c r="O3021" s="8" t="s">
        <v>118</v>
      </c>
      <c r="P3021" s="6" t="s">
        <v>43</v>
      </c>
      <c r="Q3021" s="8" t="s">
        <v>44</v>
      </c>
      <c r="R3021" s="10" t="s">
        <v>18217</v>
      </c>
      <c r="S3021" s="11" t="s">
        <v>18218</v>
      </c>
      <c r="T3021" s="6"/>
      <c r="U3021" s="24" t="str">
        <f>HYPERLINK("https://media.infra-m.ru/2083/2083305/cover/2083305.jpg", "Обложка")</f>
        <v>Обложка</v>
      </c>
      <c r="V3021" s="24" t="str">
        <f>HYPERLINK("https://znanium.ru/catalog/product/2083305", "Ознакомиться")</f>
        <v>Ознакомиться</v>
      </c>
      <c r="W3021" s="8" t="s">
        <v>2059</v>
      </c>
      <c r="X3021" s="6"/>
      <c r="Y3021" s="6"/>
      <c r="Z3021" s="6"/>
      <c r="AA3021" s="6" t="s">
        <v>47</v>
      </c>
      <c r="AB3021" s="8"/>
    </row>
    <row r="3022" spans="1:28" s="4" customFormat="1" ht="51.95" customHeight="1">
      <c r="A3022" s="5">
        <v>0</v>
      </c>
      <c r="B3022" s="6" t="s">
        <v>18219</v>
      </c>
      <c r="C3022" s="13">
        <v>1230</v>
      </c>
      <c r="D3022" s="8" t="s">
        <v>18220</v>
      </c>
      <c r="E3022" s="8" t="s">
        <v>18221</v>
      </c>
      <c r="F3022" s="8" t="s">
        <v>18222</v>
      </c>
      <c r="G3022" s="6" t="s">
        <v>52</v>
      </c>
      <c r="H3022" s="6" t="s">
        <v>53</v>
      </c>
      <c r="I3022" s="8" t="s">
        <v>1622</v>
      </c>
      <c r="J3022" s="9">
        <v>1</v>
      </c>
      <c r="K3022" s="9">
        <v>245</v>
      </c>
      <c r="L3022" s="9">
        <v>2024</v>
      </c>
      <c r="M3022" s="8" t="s">
        <v>18223</v>
      </c>
      <c r="N3022" s="8" t="s">
        <v>79</v>
      </c>
      <c r="O3022" s="8" t="s">
        <v>174</v>
      </c>
      <c r="P3022" s="6" t="s">
        <v>3155</v>
      </c>
      <c r="Q3022" s="8" t="s">
        <v>58</v>
      </c>
      <c r="R3022" s="10" t="s">
        <v>18224</v>
      </c>
      <c r="S3022" s="11"/>
      <c r="T3022" s="6"/>
      <c r="U3022" s="24" t="str">
        <f>HYPERLINK("https://media.infra-m.ru/2134/2134526/cover/2134526.jpg", "Обложка")</f>
        <v>Обложка</v>
      </c>
      <c r="V3022" s="24" t="str">
        <f>HYPERLINK("https://znanium.ru/catalog/product/2134526", "Ознакомиться")</f>
        <v>Ознакомиться</v>
      </c>
      <c r="W3022" s="8" t="s">
        <v>18225</v>
      </c>
      <c r="X3022" s="6" t="s">
        <v>772</v>
      </c>
      <c r="Y3022" s="6"/>
      <c r="Z3022" s="6"/>
      <c r="AA3022" s="6" t="s">
        <v>105</v>
      </c>
      <c r="AB3022" s="8"/>
    </row>
    <row r="3023" spans="1:28" s="4" customFormat="1" ht="51.95" customHeight="1">
      <c r="A3023" s="5">
        <v>0</v>
      </c>
      <c r="B3023" s="6" t="s">
        <v>18226</v>
      </c>
      <c r="C3023" s="13">
        <v>1060</v>
      </c>
      <c r="D3023" s="8" t="s">
        <v>18227</v>
      </c>
      <c r="E3023" s="8" t="s">
        <v>18228</v>
      </c>
      <c r="F3023" s="8" t="s">
        <v>18222</v>
      </c>
      <c r="G3023" s="6" t="s">
        <v>89</v>
      </c>
      <c r="H3023" s="6" t="s">
        <v>53</v>
      </c>
      <c r="I3023" s="8" t="s">
        <v>1622</v>
      </c>
      <c r="J3023" s="9">
        <v>1</v>
      </c>
      <c r="K3023" s="9">
        <v>234</v>
      </c>
      <c r="L3023" s="9">
        <v>2022</v>
      </c>
      <c r="M3023" s="8" t="s">
        <v>18229</v>
      </c>
      <c r="N3023" s="8" t="s">
        <v>79</v>
      </c>
      <c r="O3023" s="8" t="s">
        <v>174</v>
      </c>
      <c r="P3023" s="6" t="s">
        <v>3155</v>
      </c>
      <c r="Q3023" s="8" t="s">
        <v>58</v>
      </c>
      <c r="R3023" s="10" t="s">
        <v>18224</v>
      </c>
      <c r="S3023" s="11"/>
      <c r="T3023" s="6"/>
      <c r="U3023" s="24" t="str">
        <f>HYPERLINK("https://media.infra-m.ru/1891/1891838/cover/1891838.jpg", "Обложка")</f>
        <v>Обложка</v>
      </c>
      <c r="V3023" s="24" t="str">
        <f>HYPERLINK("https://znanium.ru/catalog/product/2134526", "Ознакомиться")</f>
        <v>Ознакомиться</v>
      </c>
      <c r="W3023" s="8" t="s">
        <v>18225</v>
      </c>
      <c r="X3023" s="6"/>
      <c r="Y3023" s="6"/>
      <c r="Z3023" s="6"/>
      <c r="AA3023" s="6" t="s">
        <v>793</v>
      </c>
      <c r="AB3023" s="8"/>
    </row>
    <row r="3024" spans="1:28" s="4" customFormat="1" ht="51.95" customHeight="1">
      <c r="A3024" s="5">
        <v>0</v>
      </c>
      <c r="B3024" s="6" t="s">
        <v>18230</v>
      </c>
      <c r="C3024" s="7">
        <v>954</v>
      </c>
      <c r="D3024" s="8" t="s">
        <v>18231</v>
      </c>
      <c r="E3024" s="8" t="s">
        <v>18232</v>
      </c>
      <c r="F3024" s="8" t="s">
        <v>18233</v>
      </c>
      <c r="G3024" s="6" t="s">
        <v>52</v>
      </c>
      <c r="H3024" s="6" t="s">
        <v>53</v>
      </c>
      <c r="I3024" s="8" t="s">
        <v>116</v>
      </c>
      <c r="J3024" s="9">
        <v>1</v>
      </c>
      <c r="K3024" s="9">
        <v>208</v>
      </c>
      <c r="L3024" s="9">
        <v>2024</v>
      </c>
      <c r="M3024" s="8" t="s">
        <v>18234</v>
      </c>
      <c r="N3024" s="8" t="s">
        <v>41</v>
      </c>
      <c r="O3024" s="8" t="s">
        <v>278</v>
      </c>
      <c r="P3024" s="6" t="s">
        <v>43</v>
      </c>
      <c r="Q3024" s="8" t="s">
        <v>44</v>
      </c>
      <c r="R3024" s="10" t="s">
        <v>18235</v>
      </c>
      <c r="S3024" s="11" t="s">
        <v>18236</v>
      </c>
      <c r="T3024" s="6"/>
      <c r="U3024" s="24" t="str">
        <f>HYPERLINK("https://media.infra-m.ru/2082/2082881/cover/2082881.jpg", "Обложка")</f>
        <v>Обложка</v>
      </c>
      <c r="V3024" s="24" t="str">
        <f>HYPERLINK("https://znanium.ru/catalog/product/2082881", "Ознакомиться")</f>
        <v>Ознакомиться</v>
      </c>
      <c r="W3024" s="8" t="s">
        <v>16537</v>
      </c>
      <c r="X3024" s="6"/>
      <c r="Y3024" s="6"/>
      <c r="Z3024" s="6"/>
      <c r="AA3024" s="6" t="s">
        <v>122</v>
      </c>
      <c r="AB3024" s="8"/>
    </row>
    <row r="3025" spans="1:28" s="4" customFormat="1" ht="51.95" customHeight="1">
      <c r="A3025" s="5">
        <v>0</v>
      </c>
      <c r="B3025" s="6" t="s">
        <v>18237</v>
      </c>
      <c r="C3025" s="13">
        <v>1214</v>
      </c>
      <c r="D3025" s="8" t="s">
        <v>18238</v>
      </c>
      <c r="E3025" s="8" t="s">
        <v>18239</v>
      </c>
      <c r="F3025" s="8" t="s">
        <v>18240</v>
      </c>
      <c r="G3025" s="6" t="s">
        <v>52</v>
      </c>
      <c r="H3025" s="6" t="s">
        <v>53</v>
      </c>
      <c r="I3025" s="8" t="s">
        <v>90</v>
      </c>
      <c r="J3025" s="9">
        <v>1</v>
      </c>
      <c r="K3025" s="9">
        <v>262</v>
      </c>
      <c r="L3025" s="9">
        <v>2023</v>
      </c>
      <c r="M3025" s="8" t="s">
        <v>18241</v>
      </c>
      <c r="N3025" s="8" t="s">
        <v>41</v>
      </c>
      <c r="O3025" s="8" t="s">
        <v>278</v>
      </c>
      <c r="P3025" s="6" t="s">
        <v>43</v>
      </c>
      <c r="Q3025" s="8" t="s">
        <v>44</v>
      </c>
      <c r="R3025" s="10" t="s">
        <v>18242</v>
      </c>
      <c r="S3025" s="11" t="s">
        <v>18243</v>
      </c>
      <c r="T3025" s="6"/>
      <c r="U3025" s="24" t="str">
        <f>HYPERLINK("https://media.infra-m.ru/2045/2045797/cover/2045797.jpg", "Обложка")</f>
        <v>Обложка</v>
      </c>
      <c r="V3025" s="24" t="str">
        <f>HYPERLINK("https://znanium.ru/catalog/product/2045797", "Ознакомиться")</f>
        <v>Ознакомиться</v>
      </c>
      <c r="W3025" s="8" t="s">
        <v>1076</v>
      </c>
      <c r="X3025" s="6"/>
      <c r="Y3025" s="6"/>
      <c r="Z3025" s="6"/>
      <c r="AA3025" s="6" t="s">
        <v>47</v>
      </c>
      <c r="AB3025" s="8"/>
    </row>
    <row r="3026" spans="1:28" s="4" customFormat="1" ht="51.95" customHeight="1">
      <c r="A3026" s="5">
        <v>0</v>
      </c>
      <c r="B3026" s="6" t="s">
        <v>18244</v>
      </c>
      <c r="C3026" s="13">
        <v>1564</v>
      </c>
      <c r="D3026" s="8" t="s">
        <v>18245</v>
      </c>
      <c r="E3026" s="8" t="s">
        <v>18246</v>
      </c>
      <c r="F3026" s="8" t="s">
        <v>18247</v>
      </c>
      <c r="G3026" s="6" t="s">
        <v>89</v>
      </c>
      <c r="H3026" s="6" t="s">
        <v>53</v>
      </c>
      <c r="I3026" s="8" t="s">
        <v>100</v>
      </c>
      <c r="J3026" s="9">
        <v>1</v>
      </c>
      <c r="K3026" s="9">
        <v>313</v>
      </c>
      <c r="L3026" s="9">
        <v>2025</v>
      </c>
      <c r="M3026" s="8" t="s">
        <v>18248</v>
      </c>
      <c r="N3026" s="8" t="s">
        <v>41</v>
      </c>
      <c r="O3026" s="8" t="s">
        <v>278</v>
      </c>
      <c r="P3026" s="6" t="s">
        <v>43</v>
      </c>
      <c r="Q3026" s="8" t="s">
        <v>102</v>
      </c>
      <c r="R3026" s="10" t="s">
        <v>1349</v>
      </c>
      <c r="S3026" s="11" t="s">
        <v>18249</v>
      </c>
      <c r="T3026" s="6"/>
      <c r="U3026" s="24" t="str">
        <f>HYPERLINK("https://media.infra-m.ru/2169/2169213/cover/2169213.jpg", "Обложка")</f>
        <v>Обложка</v>
      </c>
      <c r="V3026" s="24" t="str">
        <f>HYPERLINK("https://znanium.ru/catalog/product/2103209", "Ознакомиться")</f>
        <v>Ознакомиться</v>
      </c>
      <c r="W3026" s="8"/>
      <c r="X3026" s="6"/>
      <c r="Y3026" s="6"/>
      <c r="Z3026" s="6" t="s">
        <v>104</v>
      </c>
      <c r="AA3026" s="6" t="s">
        <v>1259</v>
      </c>
      <c r="AB3026" s="8"/>
    </row>
    <row r="3027" spans="1:28" s="4" customFormat="1" ht="51.95" customHeight="1">
      <c r="A3027" s="5">
        <v>0</v>
      </c>
      <c r="B3027" s="6" t="s">
        <v>18250</v>
      </c>
      <c r="C3027" s="13">
        <v>1444</v>
      </c>
      <c r="D3027" s="8" t="s">
        <v>18251</v>
      </c>
      <c r="E3027" s="8" t="s">
        <v>18246</v>
      </c>
      <c r="F3027" s="8" t="s">
        <v>18247</v>
      </c>
      <c r="G3027" s="6" t="s">
        <v>89</v>
      </c>
      <c r="H3027" s="6" t="s">
        <v>53</v>
      </c>
      <c r="I3027" s="8" t="s">
        <v>90</v>
      </c>
      <c r="J3027" s="9">
        <v>1</v>
      </c>
      <c r="K3027" s="9">
        <v>313</v>
      </c>
      <c r="L3027" s="9">
        <v>2024</v>
      </c>
      <c r="M3027" s="8" t="s">
        <v>18252</v>
      </c>
      <c r="N3027" s="8" t="s">
        <v>41</v>
      </c>
      <c r="O3027" s="8" t="s">
        <v>278</v>
      </c>
      <c r="P3027" s="6" t="s">
        <v>43</v>
      </c>
      <c r="Q3027" s="8" t="s">
        <v>44</v>
      </c>
      <c r="R3027" s="10" t="s">
        <v>18253</v>
      </c>
      <c r="S3027" s="11" t="s">
        <v>18254</v>
      </c>
      <c r="T3027" s="6"/>
      <c r="U3027" s="24" t="str">
        <f>HYPERLINK("https://media.infra-m.ru/2053/2053983/cover/2053983.jpg", "Обложка")</f>
        <v>Обложка</v>
      </c>
      <c r="V3027" s="24" t="str">
        <f>HYPERLINK("https://znanium.ru/catalog/product/1237093", "Ознакомиться")</f>
        <v>Ознакомиться</v>
      </c>
      <c r="W3027" s="8"/>
      <c r="X3027" s="6"/>
      <c r="Y3027" s="6"/>
      <c r="Z3027" s="6"/>
      <c r="AA3027" s="6" t="s">
        <v>2193</v>
      </c>
      <c r="AB3027" s="8"/>
    </row>
    <row r="3028" spans="1:28" s="4" customFormat="1" ht="51.95" customHeight="1">
      <c r="A3028" s="5">
        <v>0</v>
      </c>
      <c r="B3028" s="6" t="s">
        <v>18255</v>
      </c>
      <c r="C3028" s="13">
        <v>1924</v>
      </c>
      <c r="D3028" s="8" t="s">
        <v>18256</v>
      </c>
      <c r="E3028" s="8" t="s">
        <v>18257</v>
      </c>
      <c r="F3028" s="8" t="s">
        <v>18258</v>
      </c>
      <c r="G3028" s="6" t="s">
        <v>52</v>
      </c>
      <c r="H3028" s="6" t="s">
        <v>39</v>
      </c>
      <c r="I3028" s="8" t="s">
        <v>185</v>
      </c>
      <c r="J3028" s="9">
        <v>1</v>
      </c>
      <c r="K3028" s="9">
        <v>384</v>
      </c>
      <c r="L3028" s="9">
        <v>2024</v>
      </c>
      <c r="M3028" s="8" t="s">
        <v>18259</v>
      </c>
      <c r="N3028" s="8" t="s">
        <v>41</v>
      </c>
      <c r="O3028" s="8" t="s">
        <v>1007</v>
      </c>
      <c r="P3028" s="6" t="s">
        <v>187</v>
      </c>
      <c r="Q3028" s="8" t="s">
        <v>102</v>
      </c>
      <c r="R3028" s="10" t="s">
        <v>18260</v>
      </c>
      <c r="S3028" s="11" t="s">
        <v>6083</v>
      </c>
      <c r="T3028" s="6"/>
      <c r="U3028" s="24" t="str">
        <f>HYPERLINK("https://media.infra-m.ru/2165/2165114/cover/2165114.jpg", "Обложка")</f>
        <v>Обложка</v>
      </c>
      <c r="V3028" s="24" t="str">
        <f>HYPERLINK("https://znanium.ru/catalog/product/1001129", "Ознакомиться")</f>
        <v>Ознакомиться</v>
      </c>
      <c r="W3028" s="8" t="s">
        <v>7077</v>
      </c>
      <c r="X3028" s="6"/>
      <c r="Y3028" s="6"/>
      <c r="Z3028" s="6"/>
      <c r="AA3028" s="6" t="s">
        <v>622</v>
      </c>
      <c r="AB3028" s="8"/>
    </row>
    <row r="3029" spans="1:28" s="4" customFormat="1" ht="51.95" customHeight="1">
      <c r="A3029" s="5">
        <v>0</v>
      </c>
      <c r="B3029" s="6" t="s">
        <v>18261</v>
      </c>
      <c r="C3029" s="13">
        <v>1034</v>
      </c>
      <c r="D3029" s="8" t="s">
        <v>18262</v>
      </c>
      <c r="E3029" s="8" t="s">
        <v>18263</v>
      </c>
      <c r="F3029" s="8" t="s">
        <v>18264</v>
      </c>
      <c r="G3029" s="6" t="s">
        <v>89</v>
      </c>
      <c r="H3029" s="6" t="s">
        <v>53</v>
      </c>
      <c r="I3029" s="8" t="s">
        <v>100</v>
      </c>
      <c r="J3029" s="9">
        <v>1</v>
      </c>
      <c r="K3029" s="9">
        <v>207</v>
      </c>
      <c r="L3029" s="9">
        <v>2025</v>
      </c>
      <c r="M3029" s="8" t="s">
        <v>18265</v>
      </c>
      <c r="N3029" s="8" t="s">
        <v>41</v>
      </c>
      <c r="O3029" s="8" t="s">
        <v>278</v>
      </c>
      <c r="P3029" s="6" t="s">
        <v>43</v>
      </c>
      <c r="Q3029" s="8" t="s">
        <v>102</v>
      </c>
      <c r="R3029" s="10" t="s">
        <v>1801</v>
      </c>
      <c r="S3029" s="11" t="s">
        <v>18266</v>
      </c>
      <c r="T3029" s="6"/>
      <c r="U3029" s="24" t="str">
        <f>HYPERLINK("https://media.infra-m.ru/2172/2172774/cover/2172774.jpg", "Обложка")</f>
        <v>Обложка</v>
      </c>
      <c r="V3029" s="24" t="str">
        <f>HYPERLINK("https://znanium.ru/catalog/product/2110068", "Ознакомиться")</f>
        <v>Ознакомиться</v>
      </c>
      <c r="W3029" s="8" t="s">
        <v>354</v>
      </c>
      <c r="X3029" s="6"/>
      <c r="Y3029" s="6"/>
      <c r="Z3029" s="6"/>
      <c r="AA3029" s="6" t="s">
        <v>84</v>
      </c>
      <c r="AB3029" s="8" t="s">
        <v>906</v>
      </c>
    </row>
    <row r="3030" spans="1:28" s="4" customFormat="1" ht="51.95" customHeight="1">
      <c r="A3030" s="5">
        <v>0</v>
      </c>
      <c r="B3030" s="6" t="s">
        <v>18267</v>
      </c>
      <c r="C3030" s="7">
        <v>830</v>
      </c>
      <c r="D3030" s="8" t="s">
        <v>18268</v>
      </c>
      <c r="E3030" s="8" t="s">
        <v>18269</v>
      </c>
      <c r="F3030" s="8" t="s">
        <v>18270</v>
      </c>
      <c r="G3030" s="6" t="s">
        <v>89</v>
      </c>
      <c r="H3030" s="6" t="s">
        <v>649</v>
      </c>
      <c r="I3030" s="8" t="s">
        <v>100</v>
      </c>
      <c r="J3030" s="9">
        <v>1</v>
      </c>
      <c r="K3030" s="9">
        <v>176</v>
      </c>
      <c r="L3030" s="9">
        <v>2024</v>
      </c>
      <c r="M3030" s="8" t="s">
        <v>18271</v>
      </c>
      <c r="N3030" s="8" t="s">
        <v>41</v>
      </c>
      <c r="O3030" s="8" t="s">
        <v>118</v>
      </c>
      <c r="P3030" s="6" t="s">
        <v>43</v>
      </c>
      <c r="Q3030" s="8" t="s">
        <v>102</v>
      </c>
      <c r="R3030" s="10" t="s">
        <v>18272</v>
      </c>
      <c r="S3030" s="11" t="s">
        <v>3081</v>
      </c>
      <c r="T3030" s="6"/>
      <c r="U3030" s="24" t="str">
        <f>HYPERLINK("https://media.infra-m.ru/2143/2143508/cover/2143508.jpg", "Обложка")</f>
        <v>Обложка</v>
      </c>
      <c r="V3030" s="24" t="str">
        <f>HYPERLINK("https://znanium.ru/catalog/product/2143508", "Ознакомиться")</f>
        <v>Ознакомиться</v>
      </c>
      <c r="W3030" s="8"/>
      <c r="X3030" s="6"/>
      <c r="Y3030" s="6"/>
      <c r="Z3030" s="6"/>
      <c r="AA3030" s="6" t="s">
        <v>1135</v>
      </c>
      <c r="AB3030" s="8"/>
    </row>
    <row r="3031" spans="1:28" s="4" customFormat="1" ht="42" customHeight="1">
      <c r="A3031" s="5">
        <v>0</v>
      </c>
      <c r="B3031" s="6" t="s">
        <v>18273</v>
      </c>
      <c r="C3031" s="7">
        <v>564</v>
      </c>
      <c r="D3031" s="8" t="s">
        <v>18274</v>
      </c>
      <c r="E3031" s="8" t="s">
        <v>18275</v>
      </c>
      <c r="F3031" s="8" t="s">
        <v>18276</v>
      </c>
      <c r="G3031" s="6" t="s">
        <v>38</v>
      </c>
      <c r="H3031" s="6" t="s">
        <v>53</v>
      </c>
      <c r="I3031" s="8" t="s">
        <v>90</v>
      </c>
      <c r="J3031" s="9">
        <v>1</v>
      </c>
      <c r="K3031" s="9">
        <v>108</v>
      </c>
      <c r="L3031" s="9">
        <v>2025</v>
      </c>
      <c r="M3031" s="8" t="s">
        <v>18277</v>
      </c>
      <c r="N3031" s="8" t="s">
        <v>41</v>
      </c>
      <c r="O3031" s="8" t="s">
        <v>118</v>
      </c>
      <c r="P3031" s="6" t="s">
        <v>43</v>
      </c>
      <c r="Q3031" s="8" t="s">
        <v>44</v>
      </c>
      <c r="R3031" s="10" t="s">
        <v>5343</v>
      </c>
      <c r="S3031" s="11"/>
      <c r="T3031" s="6"/>
      <c r="U3031" s="24" t="str">
        <f>HYPERLINK("https://media.infra-m.ru/2193/2193244/cover/2193244.jpg", "Обложка")</f>
        <v>Обложка</v>
      </c>
      <c r="V3031" s="24" t="str">
        <f>HYPERLINK("https://znanium.ru/catalog/product/1840958", "Ознакомиться")</f>
        <v>Ознакомиться</v>
      </c>
      <c r="W3031" s="8" t="s">
        <v>3226</v>
      </c>
      <c r="X3031" s="6"/>
      <c r="Y3031" s="6"/>
      <c r="Z3031" s="6"/>
      <c r="AA3031" s="6" t="s">
        <v>111</v>
      </c>
      <c r="AB3031" s="8"/>
    </row>
    <row r="3032" spans="1:28" s="4" customFormat="1" ht="51.95" customHeight="1">
      <c r="A3032" s="5">
        <v>0</v>
      </c>
      <c r="B3032" s="6" t="s">
        <v>18278</v>
      </c>
      <c r="C3032" s="13">
        <v>2794</v>
      </c>
      <c r="D3032" s="8" t="s">
        <v>18279</v>
      </c>
      <c r="E3032" s="8" t="s">
        <v>18280</v>
      </c>
      <c r="F3032" s="8" t="s">
        <v>18281</v>
      </c>
      <c r="G3032" s="6" t="s">
        <v>52</v>
      </c>
      <c r="H3032" s="6" t="s">
        <v>952</v>
      </c>
      <c r="I3032" s="8"/>
      <c r="J3032" s="9">
        <v>1</v>
      </c>
      <c r="K3032" s="9">
        <v>560</v>
      </c>
      <c r="L3032" s="9">
        <v>2025</v>
      </c>
      <c r="M3032" s="8" t="s">
        <v>18282</v>
      </c>
      <c r="N3032" s="8" t="s">
        <v>79</v>
      </c>
      <c r="O3032" s="8" t="s">
        <v>396</v>
      </c>
      <c r="P3032" s="6" t="s">
        <v>43</v>
      </c>
      <c r="Q3032" s="8" t="s">
        <v>44</v>
      </c>
      <c r="R3032" s="10" t="s">
        <v>18283</v>
      </c>
      <c r="S3032" s="11" t="s">
        <v>18284</v>
      </c>
      <c r="T3032" s="6"/>
      <c r="U3032" s="24" t="str">
        <f>HYPERLINK("https://media.infra-m.ru/2192/2192741/cover/2192741.jpg", "Обложка")</f>
        <v>Обложка</v>
      </c>
      <c r="V3032" s="24" t="str">
        <f>HYPERLINK("https://znanium.ru/catalog/product/1141777", "Ознакомиться")</f>
        <v>Ознакомиться</v>
      </c>
      <c r="W3032" s="8" t="s">
        <v>2463</v>
      </c>
      <c r="X3032" s="6"/>
      <c r="Y3032" s="6"/>
      <c r="Z3032" s="6"/>
      <c r="AA3032" s="6" t="s">
        <v>654</v>
      </c>
      <c r="AB3032" s="8"/>
    </row>
    <row r="3033" spans="1:28" s="4" customFormat="1" ht="51.95" customHeight="1">
      <c r="A3033" s="5">
        <v>0</v>
      </c>
      <c r="B3033" s="6" t="s">
        <v>18285</v>
      </c>
      <c r="C3033" s="13">
        <v>1220</v>
      </c>
      <c r="D3033" s="8" t="s">
        <v>18286</v>
      </c>
      <c r="E3033" s="8" t="s">
        <v>18287</v>
      </c>
      <c r="F3033" s="8" t="s">
        <v>18288</v>
      </c>
      <c r="G3033" s="6" t="s">
        <v>89</v>
      </c>
      <c r="H3033" s="6" t="s">
        <v>53</v>
      </c>
      <c r="I3033" s="8" t="s">
        <v>90</v>
      </c>
      <c r="J3033" s="9">
        <v>1</v>
      </c>
      <c r="K3033" s="9">
        <v>270</v>
      </c>
      <c r="L3033" s="9">
        <v>2023</v>
      </c>
      <c r="M3033" s="8" t="s">
        <v>18289</v>
      </c>
      <c r="N3033" s="8" t="s">
        <v>41</v>
      </c>
      <c r="O3033" s="8" t="s">
        <v>118</v>
      </c>
      <c r="P3033" s="6" t="s">
        <v>167</v>
      </c>
      <c r="Q3033" s="8" t="s">
        <v>44</v>
      </c>
      <c r="R3033" s="10" t="s">
        <v>4062</v>
      </c>
      <c r="S3033" s="11" t="s">
        <v>18290</v>
      </c>
      <c r="T3033" s="6"/>
      <c r="U3033" s="24" t="str">
        <f>HYPERLINK("https://media.infra-m.ru/1913/1913855/cover/1913855.jpg", "Обложка")</f>
        <v>Обложка</v>
      </c>
      <c r="V3033" s="24" t="str">
        <f>HYPERLINK("https://znanium.ru/catalog/product/1984951", "Ознакомиться")</f>
        <v>Ознакомиться</v>
      </c>
      <c r="W3033" s="8" t="s">
        <v>637</v>
      </c>
      <c r="X3033" s="6"/>
      <c r="Y3033" s="6"/>
      <c r="Z3033" s="6"/>
      <c r="AA3033" s="6" t="s">
        <v>418</v>
      </c>
      <c r="AB3033" s="8"/>
    </row>
    <row r="3034" spans="1:28" s="4" customFormat="1" ht="42" customHeight="1">
      <c r="A3034" s="5">
        <v>0</v>
      </c>
      <c r="B3034" s="6" t="s">
        <v>18291</v>
      </c>
      <c r="C3034" s="13">
        <v>1390</v>
      </c>
      <c r="D3034" s="8" t="s">
        <v>18292</v>
      </c>
      <c r="E3034" s="8" t="s">
        <v>18293</v>
      </c>
      <c r="F3034" s="8" t="s">
        <v>18294</v>
      </c>
      <c r="G3034" s="6" t="s">
        <v>52</v>
      </c>
      <c r="H3034" s="6" t="s">
        <v>53</v>
      </c>
      <c r="I3034" s="8" t="s">
        <v>2048</v>
      </c>
      <c r="J3034" s="9">
        <v>1</v>
      </c>
      <c r="K3034" s="9">
        <v>296</v>
      </c>
      <c r="L3034" s="9">
        <v>2023</v>
      </c>
      <c r="M3034" s="8" t="s">
        <v>18295</v>
      </c>
      <c r="N3034" s="8" t="s">
        <v>41</v>
      </c>
      <c r="O3034" s="8" t="s">
        <v>1007</v>
      </c>
      <c r="P3034" s="6" t="s">
        <v>167</v>
      </c>
      <c r="Q3034" s="8" t="s">
        <v>44</v>
      </c>
      <c r="R3034" s="10" t="s">
        <v>4062</v>
      </c>
      <c r="S3034" s="11"/>
      <c r="T3034" s="6"/>
      <c r="U3034" s="24" t="str">
        <f>HYPERLINK("https://media.infra-m.ru/1984/1984951/cover/1984951.jpg", "Обложка")</f>
        <v>Обложка</v>
      </c>
      <c r="V3034" s="24" t="str">
        <f>HYPERLINK("https://znanium.ru/catalog/product/1984951", "Ознакомиться")</f>
        <v>Ознакомиться</v>
      </c>
      <c r="W3034" s="8" t="s">
        <v>637</v>
      </c>
      <c r="X3034" s="6"/>
      <c r="Y3034" s="6"/>
      <c r="Z3034" s="6"/>
      <c r="AA3034" s="6" t="s">
        <v>813</v>
      </c>
      <c r="AB3034" s="8"/>
    </row>
    <row r="3035" spans="1:28" s="4" customFormat="1" ht="42" customHeight="1">
      <c r="A3035" s="5">
        <v>0</v>
      </c>
      <c r="B3035" s="6" t="s">
        <v>18296</v>
      </c>
      <c r="C3035" s="7">
        <v>930</v>
      </c>
      <c r="D3035" s="8" t="s">
        <v>18297</v>
      </c>
      <c r="E3035" s="8" t="s">
        <v>18298</v>
      </c>
      <c r="F3035" s="8" t="s">
        <v>18299</v>
      </c>
      <c r="G3035" s="6" t="s">
        <v>52</v>
      </c>
      <c r="H3035" s="6" t="s">
        <v>53</v>
      </c>
      <c r="I3035" s="8" t="s">
        <v>782</v>
      </c>
      <c r="J3035" s="9">
        <v>1</v>
      </c>
      <c r="K3035" s="9">
        <v>196</v>
      </c>
      <c r="L3035" s="9">
        <v>2024</v>
      </c>
      <c r="M3035" s="8" t="s">
        <v>18300</v>
      </c>
      <c r="N3035" s="8" t="s">
        <v>41</v>
      </c>
      <c r="O3035" s="8" t="s">
        <v>676</v>
      </c>
      <c r="P3035" s="6" t="s">
        <v>43</v>
      </c>
      <c r="Q3035" s="8" t="s">
        <v>58</v>
      </c>
      <c r="R3035" s="10" t="s">
        <v>13474</v>
      </c>
      <c r="S3035" s="11"/>
      <c r="T3035" s="6"/>
      <c r="U3035" s="24" t="str">
        <f>HYPERLINK("https://media.infra-m.ru/2130/2130282/cover/2130282.jpg", "Обложка")</f>
        <v>Обложка</v>
      </c>
      <c r="V3035" s="12"/>
      <c r="W3035" s="8" t="s">
        <v>784</v>
      </c>
      <c r="X3035" s="6"/>
      <c r="Y3035" s="6"/>
      <c r="Z3035" s="6"/>
      <c r="AA3035" s="6" t="s">
        <v>133</v>
      </c>
      <c r="AB3035" s="8"/>
    </row>
    <row r="3036" spans="1:28" s="4" customFormat="1" ht="42" customHeight="1">
      <c r="A3036" s="5">
        <v>0</v>
      </c>
      <c r="B3036" s="6" t="s">
        <v>18301</v>
      </c>
      <c r="C3036" s="13">
        <v>2530</v>
      </c>
      <c r="D3036" s="8" t="s">
        <v>18302</v>
      </c>
      <c r="E3036" s="8" t="s">
        <v>18303</v>
      </c>
      <c r="F3036" s="8" t="s">
        <v>18304</v>
      </c>
      <c r="G3036" s="6" t="s">
        <v>52</v>
      </c>
      <c r="H3036" s="6" t="s">
        <v>53</v>
      </c>
      <c r="I3036" s="8" t="s">
        <v>116</v>
      </c>
      <c r="J3036" s="9">
        <v>1</v>
      </c>
      <c r="K3036" s="9">
        <v>506</v>
      </c>
      <c r="L3036" s="9">
        <v>2025</v>
      </c>
      <c r="M3036" s="8" t="s">
        <v>18305</v>
      </c>
      <c r="N3036" s="8" t="s">
        <v>41</v>
      </c>
      <c r="O3036" s="8" t="s">
        <v>118</v>
      </c>
      <c r="P3036" s="6" t="s">
        <v>167</v>
      </c>
      <c r="Q3036" s="8" t="s">
        <v>44</v>
      </c>
      <c r="R3036" s="10" t="s">
        <v>157</v>
      </c>
      <c r="S3036" s="11"/>
      <c r="T3036" s="6"/>
      <c r="U3036" s="24" t="str">
        <f>HYPERLINK("https://media.infra-m.ru/2187/2187769/cover/2187769.jpg", "Обложка")</f>
        <v>Обложка</v>
      </c>
      <c r="V3036" s="24" t="str">
        <f>HYPERLINK("https://znanium.ru/catalog/product/2187769", "Ознакомиться")</f>
        <v>Ознакомиться</v>
      </c>
      <c r="W3036" s="8" t="s">
        <v>7781</v>
      </c>
      <c r="X3036" s="6"/>
      <c r="Y3036" s="6"/>
      <c r="Z3036" s="6"/>
      <c r="AA3036" s="6" t="s">
        <v>7663</v>
      </c>
      <c r="AB3036" s="8"/>
    </row>
    <row r="3037" spans="1:28" s="4" customFormat="1" ht="51.95" customHeight="1">
      <c r="A3037" s="5">
        <v>0</v>
      </c>
      <c r="B3037" s="6" t="s">
        <v>18306</v>
      </c>
      <c r="C3037" s="13">
        <v>2330</v>
      </c>
      <c r="D3037" s="8" t="s">
        <v>18307</v>
      </c>
      <c r="E3037" s="8" t="s">
        <v>18303</v>
      </c>
      <c r="F3037" s="8" t="s">
        <v>18304</v>
      </c>
      <c r="G3037" s="6" t="s">
        <v>52</v>
      </c>
      <c r="H3037" s="6" t="s">
        <v>53</v>
      </c>
      <c r="I3037" s="8" t="s">
        <v>100</v>
      </c>
      <c r="J3037" s="9">
        <v>1</v>
      </c>
      <c r="K3037" s="9">
        <v>506</v>
      </c>
      <c r="L3037" s="9">
        <v>2024</v>
      </c>
      <c r="M3037" s="8" t="s">
        <v>18308</v>
      </c>
      <c r="N3037" s="8" t="s">
        <v>41</v>
      </c>
      <c r="O3037" s="8" t="s">
        <v>118</v>
      </c>
      <c r="P3037" s="6" t="s">
        <v>167</v>
      </c>
      <c r="Q3037" s="8" t="s">
        <v>102</v>
      </c>
      <c r="R3037" s="10" t="s">
        <v>18309</v>
      </c>
      <c r="S3037" s="11" t="s">
        <v>18310</v>
      </c>
      <c r="T3037" s="6"/>
      <c r="U3037" s="24" t="str">
        <f>HYPERLINK("https://media.infra-m.ru/2084/2084138/cover/2084138.jpg", "Обложка")</f>
        <v>Обложка</v>
      </c>
      <c r="V3037" s="24" t="str">
        <f>HYPERLINK("https://znanium.ru/catalog/product/2084138", "Ознакомиться")</f>
        <v>Ознакомиться</v>
      </c>
      <c r="W3037" s="8" t="s">
        <v>7781</v>
      </c>
      <c r="X3037" s="6"/>
      <c r="Y3037" s="6"/>
      <c r="Z3037" s="6" t="s">
        <v>104</v>
      </c>
      <c r="AA3037" s="6" t="s">
        <v>1382</v>
      </c>
      <c r="AB3037" s="8"/>
    </row>
    <row r="3038" spans="1:28" s="4" customFormat="1" ht="51.95" customHeight="1">
      <c r="A3038" s="5">
        <v>0</v>
      </c>
      <c r="B3038" s="6" t="s">
        <v>18311</v>
      </c>
      <c r="C3038" s="13">
        <v>1384</v>
      </c>
      <c r="D3038" s="8" t="s">
        <v>18312</v>
      </c>
      <c r="E3038" s="8" t="s">
        <v>18313</v>
      </c>
      <c r="F3038" s="8" t="s">
        <v>18288</v>
      </c>
      <c r="G3038" s="6" t="s">
        <v>52</v>
      </c>
      <c r="H3038" s="6" t="s">
        <v>53</v>
      </c>
      <c r="I3038" s="8" t="s">
        <v>90</v>
      </c>
      <c r="J3038" s="9">
        <v>1</v>
      </c>
      <c r="K3038" s="9">
        <v>307</v>
      </c>
      <c r="L3038" s="9">
        <v>2023</v>
      </c>
      <c r="M3038" s="8" t="s">
        <v>18314</v>
      </c>
      <c r="N3038" s="8" t="s">
        <v>41</v>
      </c>
      <c r="O3038" s="8" t="s">
        <v>1007</v>
      </c>
      <c r="P3038" s="6" t="s">
        <v>43</v>
      </c>
      <c r="Q3038" s="8" t="s">
        <v>44</v>
      </c>
      <c r="R3038" s="10" t="s">
        <v>4062</v>
      </c>
      <c r="S3038" s="11" t="s">
        <v>18315</v>
      </c>
      <c r="T3038" s="6"/>
      <c r="U3038" s="24" t="str">
        <f>HYPERLINK("https://media.infra-m.ru/2006/2006884/cover/2006884.jpg", "Обложка")</f>
        <v>Обложка</v>
      </c>
      <c r="V3038" s="24" t="str">
        <f>HYPERLINK("https://znanium.ru/catalog/product/2006884", "Ознакомиться")</f>
        <v>Ознакомиться</v>
      </c>
      <c r="W3038" s="8" t="s">
        <v>637</v>
      </c>
      <c r="X3038" s="6"/>
      <c r="Y3038" s="6"/>
      <c r="Z3038" s="6"/>
      <c r="AA3038" s="6" t="s">
        <v>151</v>
      </c>
      <c r="AB3038" s="8"/>
    </row>
    <row r="3039" spans="1:28" s="4" customFormat="1" ht="51.95" customHeight="1">
      <c r="A3039" s="5">
        <v>0</v>
      </c>
      <c r="B3039" s="6" t="s">
        <v>18316</v>
      </c>
      <c r="C3039" s="13">
        <v>1444.9</v>
      </c>
      <c r="D3039" s="8" t="s">
        <v>18317</v>
      </c>
      <c r="E3039" s="8" t="s">
        <v>18318</v>
      </c>
      <c r="F3039" s="8" t="s">
        <v>18319</v>
      </c>
      <c r="G3039" s="6" t="s">
        <v>89</v>
      </c>
      <c r="H3039" s="6" t="s">
        <v>53</v>
      </c>
      <c r="I3039" s="8" t="s">
        <v>90</v>
      </c>
      <c r="J3039" s="9">
        <v>1</v>
      </c>
      <c r="K3039" s="9">
        <v>321</v>
      </c>
      <c r="L3039" s="9">
        <v>2023</v>
      </c>
      <c r="M3039" s="8" t="s">
        <v>18320</v>
      </c>
      <c r="N3039" s="8" t="s">
        <v>41</v>
      </c>
      <c r="O3039" s="8" t="s">
        <v>1007</v>
      </c>
      <c r="P3039" s="6" t="s">
        <v>43</v>
      </c>
      <c r="Q3039" s="8" t="s">
        <v>44</v>
      </c>
      <c r="R3039" s="10" t="s">
        <v>4062</v>
      </c>
      <c r="S3039" s="11" t="s">
        <v>9840</v>
      </c>
      <c r="T3039" s="6"/>
      <c r="U3039" s="24" t="str">
        <f>HYPERLINK("https://media.infra-m.ru/1894/1894757/cover/1894757.jpg", "Обложка")</f>
        <v>Обложка</v>
      </c>
      <c r="V3039" s="24" t="str">
        <f>HYPERLINK("https://znanium.ru/catalog/product/1894757", "Ознакомиться")</f>
        <v>Ознакомиться</v>
      </c>
      <c r="W3039" s="8" t="s">
        <v>18321</v>
      </c>
      <c r="X3039" s="6"/>
      <c r="Y3039" s="6"/>
      <c r="Z3039" s="6"/>
      <c r="AA3039" s="6" t="s">
        <v>219</v>
      </c>
      <c r="AB3039" s="8"/>
    </row>
    <row r="3040" spans="1:28" s="4" customFormat="1" ht="51.95" customHeight="1">
      <c r="A3040" s="5">
        <v>0</v>
      </c>
      <c r="B3040" s="6" t="s">
        <v>18322</v>
      </c>
      <c r="C3040" s="13">
        <v>1484.9</v>
      </c>
      <c r="D3040" s="8" t="s">
        <v>18323</v>
      </c>
      <c r="E3040" s="8" t="s">
        <v>18324</v>
      </c>
      <c r="F3040" s="8" t="s">
        <v>18325</v>
      </c>
      <c r="G3040" s="6" t="s">
        <v>52</v>
      </c>
      <c r="H3040" s="6" t="s">
        <v>53</v>
      </c>
      <c r="I3040" s="8" t="s">
        <v>90</v>
      </c>
      <c r="J3040" s="9">
        <v>1</v>
      </c>
      <c r="K3040" s="9">
        <v>331</v>
      </c>
      <c r="L3040" s="9">
        <v>2023</v>
      </c>
      <c r="M3040" s="8" t="s">
        <v>18326</v>
      </c>
      <c r="N3040" s="8" t="s">
        <v>41</v>
      </c>
      <c r="O3040" s="8" t="s">
        <v>118</v>
      </c>
      <c r="P3040" s="6" t="s">
        <v>43</v>
      </c>
      <c r="Q3040" s="8" t="s">
        <v>44</v>
      </c>
      <c r="R3040" s="10" t="s">
        <v>18327</v>
      </c>
      <c r="S3040" s="11" t="s">
        <v>18328</v>
      </c>
      <c r="T3040" s="6"/>
      <c r="U3040" s="24" t="str">
        <f>HYPERLINK("https://media.infra-m.ru/1894/1894617/cover/1894617.jpg", "Обложка")</f>
        <v>Обложка</v>
      </c>
      <c r="V3040" s="24" t="str">
        <f>HYPERLINK("https://znanium.ru/catalog/product/1894617", "Ознакомиться")</f>
        <v>Ознакомиться</v>
      </c>
      <c r="W3040" s="8" t="s">
        <v>189</v>
      </c>
      <c r="X3040" s="6"/>
      <c r="Y3040" s="6"/>
      <c r="Z3040" s="6"/>
      <c r="AA3040" s="6" t="s">
        <v>555</v>
      </c>
      <c r="AB3040" s="8"/>
    </row>
    <row r="3041" spans="1:28" s="4" customFormat="1" ht="51.95" customHeight="1">
      <c r="A3041" s="5">
        <v>0</v>
      </c>
      <c r="B3041" s="6" t="s">
        <v>18329</v>
      </c>
      <c r="C3041" s="13">
        <v>1764</v>
      </c>
      <c r="D3041" s="8" t="s">
        <v>18330</v>
      </c>
      <c r="E3041" s="8" t="s">
        <v>18324</v>
      </c>
      <c r="F3041" s="8" t="s">
        <v>18331</v>
      </c>
      <c r="G3041" s="6" t="s">
        <v>89</v>
      </c>
      <c r="H3041" s="6" t="s">
        <v>53</v>
      </c>
      <c r="I3041" s="8" t="s">
        <v>90</v>
      </c>
      <c r="J3041" s="9">
        <v>1</v>
      </c>
      <c r="K3041" s="9">
        <v>352</v>
      </c>
      <c r="L3041" s="9">
        <v>2025</v>
      </c>
      <c r="M3041" s="8" t="s">
        <v>18332</v>
      </c>
      <c r="N3041" s="8" t="s">
        <v>41</v>
      </c>
      <c r="O3041" s="8" t="s">
        <v>118</v>
      </c>
      <c r="P3041" s="6" t="s">
        <v>167</v>
      </c>
      <c r="Q3041" s="8" t="s">
        <v>44</v>
      </c>
      <c r="R3041" s="10" t="s">
        <v>18333</v>
      </c>
      <c r="S3041" s="11" t="s">
        <v>18334</v>
      </c>
      <c r="T3041" s="6"/>
      <c r="U3041" s="24" t="str">
        <f>HYPERLINK("https://media.infra-m.ru/2082/2082778/cover/2082778.jpg", "Обложка")</f>
        <v>Обложка</v>
      </c>
      <c r="V3041" s="24" t="str">
        <f>HYPERLINK("https://znanium.ru/catalog/product/2056637", "Ознакомиться")</f>
        <v>Ознакомиться</v>
      </c>
      <c r="W3041" s="8" t="s">
        <v>1345</v>
      </c>
      <c r="X3041" s="6"/>
      <c r="Y3041" s="6"/>
      <c r="Z3041" s="6"/>
      <c r="AA3041" s="6" t="s">
        <v>654</v>
      </c>
      <c r="AB3041" s="8"/>
    </row>
    <row r="3042" spans="1:28" s="4" customFormat="1" ht="51.95" customHeight="1">
      <c r="A3042" s="5">
        <v>0</v>
      </c>
      <c r="B3042" s="6" t="s">
        <v>18335</v>
      </c>
      <c r="C3042" s="7">
        <v>834</v>
      </c>
      <c r="D3042" s="8" t="s">
        <v>18336</v>
      </c>
      <c r="E3042" s="8" t="s">
        <v>18337</v>
      </c>
      <c r="F3042" s="8" t="s">
        <v>18338</v>
      </c>
      <c r="G3042" s="6" t="s">
        <v>38</v>
      </c>
      <c r="H3042" s="6" t="s">
        <v>77</v>
      </c>
      <c r="I3042" s="8"/>
      <c r="J3042" s="9">
        <v>1</v>
      </c>
      <c r="K3042" s="9">
        <v>160</v>
      </c>
      <c r="L3042" s="9">
        <v>2025</v>
      </c>
      <c r="M3042" s="8" t="s">
        <v>18339</v>
      </c>
      <c r="N3042" s="8" t="s">
        <v>41</v>
      </c>
      <c r="O3042" s="8" t="s">
        <v>118</v>
      </c>
      <c r="P3042" s="6" t="s">
        <v>43</v>
      </c>
      <c r="Q3042" s="8" t="s">
        <v>44</v>
      </c>
      <c r="R3042" s="10" t="s">
        <v>18340</v>
      </c>
      <c r="S3042" s="11" t="s">
        <v>18341</v>
      </c>
      <c r="T3042" s="6"/>
      <c r="U3042" s="24" t="str">
        <f>HYPERLINK("https://media.infra-m.ru/2196/2196900/cover/2196900.jpg", "Обложка")</f>
        <v>Обложка</v>
      </c>
      <c r="V3042" s="24" t="str">
        <f>HYPERLINK("https://znanium.ru/catalog/product/2124357", "Ознакомиться")</f>
        <v>Ознакомиться</v>
      </c>
      <c r="W3042" s="8" t="s">
        <v>18342</v>
      </c>
      <c r="X3042" s="6"/>
      <c r="Y3042" s="6"/>
      <c r="Z3042" s="6"/>
      <c r="AA3042" s="6" t="s">
        <v>111</v>
      </c>
      <c r="AB3042" s="8"/>
    </row>
    <row r="3043" spans="1:28" s="4" customFormat="1" ht="51.95" customHeight="1">
      <c r="A3043" s="5">
        <v>0</v>
      </c>
      <c r="B3043" s="6" t="s">
        <v>18343</v>
      </c>
      <c r="C3043" s="13">
        <v>1124</v>
      </c>
      <c r="D3043" s="8" t="s">
        <v>18344</v>
      </c>
      <c r="E3043" s="8" t="s">
        <v>18345</v>
      </c>
      <c r="F3043" s="8" t="s">
        <v>18346</v>
      </c>
      <c r="G3043" s="6" t="s">
        <v>52</v>
      </c>
      <c r="H3043" s="6" t="s">
        <v>53</v>
      </c>
      <c r="I3043" s="8" t="s">
        <v>100</v>
      </c>
      <c r="J3043" s="9">
        <v>1</v>
      </c>
      <c r="K3043" s="9">
        <v>216</v>
      </c>
      <c r="L3043" s="9">
        <v>2025</v>
      </c>
      <c r="M3043" s="8" t="s">
        <v>18347</v>
      </c>
      <c r="N3043" s="8" t="s">
        <v>79</v>
      </c>
      <c r="O3043" s="8" t="s">
        <v>396</v>
      </c>
      <c r="P3043" s="6" t="s">
        <v>43</v>
      </c>
      <c r="Q3043" s="8" t="s">
        <v>102</v>
      </c>
      <c r="R3043" s="10" t="s">
        <v>18348</v>
      </c>
      <c r="S3043" s="11" t="s">
        <v>18349</v>
      </c>
      <c r="T3043" s="6"/>
      <c r="U3043" s="24" t="str">
        <f>HYPERLINK("https://media.infra-m.ru/2166/2166290/cover/2166290.jpg", "Обложка")</f>
        <v>Обложка</v>
      </c>
      <c r="V3043" s="24" t="str">
        <f>HYPERLINK("https://znanium.ru/catalog/product/2132081", "Ознакомиться")</f>
        <v>Ознакомиться</v>
      </c>
      <c r="W3043" s="8" t="s">
        <v>3226</v>
      </c>
      <c r="X3043" s="6"/>
      <c r="Y3043" s="6"/>
      <c r="Z3043" s="6"/>
      <c r="AA3043" s="6" t="s">
        <v>207</v>
      </c>
      <c r="AB3043" s="8"/>
    </row>
    <row r="3044" spans="1:28" s="4" customFormat="1" ht="51.95" customHeight="1">
      <c r="A3044" s="5">
        <v>0</v>
      </c>
      <c r="B3044" s="6" t="s">
        <v>18350</v>
      </c>
      <c r="C3044" s="13">
        <v>1884</v>
      </c>
      <c r="D3044" s="8" t="s">
        <v>18351</v>
      </c>
      <c r="E3044" s="8" t="s">
        <v>18352</v>
      </c>
      <c r="F3044" s="8" t="s">
        <v>18353</v>
      </c>
      <c r="G3044" s="6" t="s">
        <v>89</v>
      </c>
      <c r="H3044" s="6" t="s">
        <v>53</v>
      </c>
      <c r="I3044" s="8" t="s">
        <v>116</v>
      </c>
      <c r="J3044" s="9">
        <v>1</v>
      </c>
      <c r="K3044" s="9">
        <v>377</v>
      </c>
      <c r="L3044" s="9">
        <v>2025</v>
      </c>
      <c r="M3044" s="8" t="s">
        <v>18354</v>
      </c>
      <c r="N3044" s="8" t="s">
        <v>41</v>
      </c>
      <c r="O3044" s="8" t="s">
        <v>118</v>
      </c>
      <c r="P3044" s="6" t="s">
        <v>167</v>
      </c>
      <c r="Q3044" s="8" t="s">
        <v>58</v>
      </c>
      <c r="R3044" s="10" t="s">
        <v>157</v>
      </c>
      <c r="S3044" s="11" t="s">
        <v>18355</v>
      </c>
      <c r="T3044" s="6"/>
      <c r="U3044" s="24" t="str">
        <f>HYPERLINK("https://media.infra-m.ru/2188/2188713/cover/2188713.jpg", "Обложка")</f>
        <v>Обложка</v>
      </c>
      <c r="V3044" s="24" t="str">
        <f>HYPERLINK("https://znanium.ru/catalog/product/1941752", "Ознакомиться")</f>
        <v>Ознакомиться</v>
      </c>
      <c r="W3044" s="8" t="s">
        <v>5825</v>
      </c>
      <c r="X3044" s="6"/>
      <c r="Y3044" s="6"/>
      <c r="Z3044" s="6"/>
      <c r="AA3044" s="6" t="s">
        <v>2217</v>
      </c>
      <c r="AB3044" s="8"/>
    </row>
    <row r="3045" spans="1:28" s="4" customFormat="1" ht="51.95" customHeight="1">
      <c r="A3045" s="5">
        <v>0</v>
      </c>
      <c r="B3045" s="6" t="s">
        <v>18356</v>
      </c>
      <c r="C3045" s="13">
        <v>2724</v>
      </c>
      <c r="D3045" s="8" t="s">
        <v>18357</v>
      </c>
      <c r="E3045" s="8" t="s">
        <v>18358</v>
      </c>
      <c r="F3045" s="8" t="s">
        <v>18359</v>
      </c>
      <c r="G3045" s="6" t="s">
        <v>52</v>
      </c>
      <c r="H3045" s="6" t="s">
        <v>53</v>
      </c>
      <c r="I3045" s="8" t="s">
        <v>90</v>
      </c>
      <c r="J3045" s="9">
        <v>1</v>
      </c>
      <c r="K3045" s="9">
        <v>544</v>
      </c>
      <c r="L3045" s="9">
        <v>2025</v>
      </c>
      <c r="M3045" s="8" t="s">
        <v>18360</v>
      </c>
      <c r="N3045" s="8" t="s">
        <v>41</v>
      </c>
      <c r="O3045" s="8" t="s">
        <v>118</v>
      </c>
      <c r="P3045" s="6" t="s">
        <v>167</v>
      </c>
      <c r="Q3045" s="8" t="s">
        <v>44</v>
      </c>
      <c r="R3045" s="10" t="s">
        <v>3586</v>
      </c>
      <c r="S3045" s="11" t="s">
        <v>18361</v>
      </c>
      <c r="T3045" s="6"/>
      <c r="U3045" s="24" t="str">
        <f>HYPERLINK("https://media.infra-m.ru/2192/2192941/cover/2192941.jpg", "Обложка")</f>
        <v>Обложка</v>
      </c>
      <c r="V3045" s="24" t="str">
        <f>HYPERLINK("https://znanium.ru/catalog/product/1901311", "Ознакомиться")</f>
        <v>Ознакомиться</v>
      </c>
      <c r="W3045" s="8" t="s">
        <v>1514</v>
      </c>
      <c r="X3045" s="6"/>
      <c r="Y3045" s="6"/>
      <c r="Z3045" s="6"/>
      <c r="AA3045" s="6" t="s">
        <v>1337</v>
      </c>
      <c r="AB3045" s="8"/>
    </row>
    <row r="3046" spans="1:28" s="4" customFormat="1" ht="51.95" customHeight="1">
      <c r="A3046" s="5">
        <v>0</v>
      </c>
      <c r="B3046" s="6" t="s">
        <v>18362</v>
      </c>
      <c r="C3046" s="13">
        <v>1274.9000000000001</v>
      </c>
      <c r="D3046" s="8" t="s">
        <v>18363</v>
      </c>
      <c r="E3046" s="8" t="s">
        <v>18364</v>
      </c>
      <c r="F3046" s="8" t="s">
        <v>18050</v>
      </c>
      <c r="G3046" s="6" t="s">
        <v>52</v>
      </c>
      <c r="H3046" s="6" t="s">
        <v>184</v>
      </c>
      <c r="I3046" s="8" t="s">
        <v>90</v>
      </c>
      <c r="J3046" s="9">
        <v>1</v>
      </c>
      <c r="K3046" s="9">
        <v>283</v>
      </c>
      <c r="L3046" s="9">
        <v>2023</v>
      </c>
      <c r="M3046" s="8" t="s">
        <v>18365</v>
      </c>
      <c r="N3046" s="8" t="s">
        <v>41</v>
      </c>
      <c r="O3046" s="8" t="s">
        <v>118</v>
      </c>
      <c r="P3046" s="6" t="s">
        <v>43</v>
      </c>
      <c r="Q3046" s="8" t="s">
        <v>44</v>
      </c>
      <c r="R3046" s="10" t="s">
        <v>10235</v>
      </c>
      <c r="S3046" s="11" t="s">
        <v>18366</v>
      </c>
      <c r="T3046" s="6"/>
      <c r="U3046" s="24" t="str">
        <f>HYPERLINK("https://media.infra-m.ru/1904/1904570/cover/1904570.jpg", "Обложка")</f>
        <v>Обложка</v>
      </c>
      <c r="V3046" s="12"/>
      <c r="W3046" s="8" t="s">
        <v>6489</v>
      </c>
      <c r="X3046" s="6"/>
      <c r="Y3046" s="6"/>
      <c r="Z3046" s="6"/>
      <c r="AA3046" s="6" t="s">
        <v>84</v>
      </c>
      <c r="AB3046" s="8"/>
    </row>
    <row r="3047" spans="1:28" s="4" customFormat="1" ht="42" customHeight="1">
      <c r="A3047" s="5">
        <v>0</v>
      </c>
      <c r="B3047" s="6" t="s">
        <v>18367</v>
      </c>
      <c r="C3047" s="13">
        <v>1420</v>
      </c>
      <c r="D3047" s="8" t="s">
        <v>18368</v>
      </c>
      <c r="E3047" s="8" t="s">
        <v>18364</v>
      </c>
      <c r="F3047" s="8" t="s">
        <v>18050</v>
      </c>
      <c r="G3047" s="6" t="s">
        <v>89</v>
      </c>
      <c r="H3047" s="6" t="s">
        <v>184</v>
      </c>
      <c r="I3047" s="8" t="s">
        <v>185</v>
      </c>
      <c r="J3047" s="9">
        <v>1</v>
      </c>
      <c r="K3047" s="9">
        <v>283</v>
      </c>
      <c r="L3047" s="9">
        <v>2025</v>
      </c>
      <c r="M3047" s="8" t="s">
        <v>18369</v>
      </c>
      <c r="N3047" s="8" t="s">
        <v>41</v>
      </c>
      <c r="O3047" s="8" t="s">
        <v>118</v>
      </c>
      <c r="P3047" s="6" t="s">
        <v>43</v>
      </c>
      <c r="Q3047" s="8" t="s">
        <v>102</v>
      </c>
      <c r="R3047" s="10" t="s">
        <v>10373</v>
      </c>
      <c r="S3047" s="11"/>
      <c r="T3047" s="6"/>
      <c r="U3047" s="24" t="str">
        <f>HYPERLINK("https://media.infra-m.ru/2187/2187729/cover/2187729.jpg", "Обложка")</f>
        <v>Обложка</v>
      </c>
      <c r="V3047" s="24" t="str">
        <f>HYPERLINK("https://znanium.ru/catalog/product/2187729", "Ознакомиться")</f>
        <v>Ознакомиться</v>
      </c>
      <c r="W3047" s="8" t="s">
        <v>6489</v>
      </c>
      <c r="X3047" s="6"/>
      <c r="Y3047" s="6"/>
      <c r="Z3047" s="6" t="s">
        <v>104</v>
      </c>
      <c r="AA3047" s="6" t="s">
        <v>793</v>
      </c>
      <c r="AB3047" s="8"/>
    </row>
    <row r="3048" spans="1:28" s="4" customFormat="1" ht="51.95" customHeight="1">
      <c r="A3048" s="5">
        <v>0</v>
      </c>
      <c r="B3048" s="6" t="s">
        <v>18370</v>
      </c>
      <c r="C3048" s="13">
        <v>1520</v>
      </c>
      <c r="D3048" s="8" t="s">
        <v>18371</v>
      </c>
      <c r="E3048" s="8" t="s">
        <v>18372</v>
      </c>
      <c r="F3048" s="8" t="s">
        <v>18373</v>
      </c>
      <c r="G3048" s="6" t="s">
        <v>89</v>
      </c>
      <c r="H3048" s="6" t="s">
        <v>53</v>
      </c>
      <c r="I3048" s="8" t="s">
        <v>100</v>
      </c>
      <c r="J3048" s="9">
        <v>1</v>
      </c>
      <c r="K3048" s="9">
        <v>303</v>
      </c>
      <c r="L3048" s="9">
        <v>2025</v>
      </c>
      <c r="M3048" s="8" t="s">
        <v>18374</v>
      </c>
      <c r="N3048" s="8" t="s">
        <v>79</v>
      </c>
      <c r="O3048" s="8" t="s">
        <v>396</v>
      </c>
      <c r="P3048" s="6" t="s">
        <v>43</v>
      </c>
      <c r="Q3048" s="8" t="s">
        <v>102</v>
      </c>
      <c r="R3048" s="10" t="s">
        <v>18375</v>
      </c>
      <c r="S3048" s="11"/>
      <c r="T3048" s="6"/>
      <c r="U3048" s="24" t="str">
        <f>HYPERLINK("https://media.infra-m.ru/2165/2165322/cover/2165322.jpg", "Обложка")</f>
        <v>Обложка</v>
      </c>
      <c r="V3048" s="24" t="str">
        <f>HYPERLINK("https://znanium.ru/catalog/product/2165322", "Ознакомиться")</f>
        <v>Ознакомиться</v>
      </c>
      <c r="W3048" s="8" t="s">
        <v>18376</v>
      </c>
      <c r="X3048" s="6"/>
      <c r="Y3048" s="6"/>
      <c r="Z3048" s="6"/>
      <c r="AA3048" s="6" t="s">
        <v>133</v>
      </c>
      <c r="AB3048" s="8" t="s">
        <v>1879</v>
      </c>
    </row>
    <row r="3049" spans="1:28" s="4" customFormat="1" ht="42" customHeight="1">
      <c r="A3049" s="5">
        <v>0</v>
      </c>
      <c r="B3049" s="6" t="s">
        <v>18377</v>
      </c>
      <c r="C3049" s="7">
        <v>960</v>
      </c>
      <c r="D3049" s="8" t="s">
        <v>18378</v>
      </c>
      <c r="E3049" s="8" t="s">
        <v>18379</v>
      </c>
      <c r="F3049" s="8" t="s">
        <v>18380</v>
      </c>
      <c r="G3049" s="6" t="s">
        <v>52</v>
      </c>
      <c r="H3049" s="6" t="s">
        <v>53</v>
      </c>
      <c r="I3049" s="8" t="s">
        <v>100</v>
      </c>
      <c r="J3049" s="9">
        <v>1</v>
      </c>
      <c r="K3049" s="9">
        <v>178</v>
      </c>
      <c r="L3049" s="9">
        <v>2025</v>
      </c>
      <c r="M3049" s="8" t="s">
        <v>18381</v>
      </c>
      <c r="N3049" s="8" t="s">
        <v>79</v>
      </c>
      <c r="O3049" s="8" t="s">
        <v>396</v>
      </c>
      <c r="P3049" s="6" t="s">
        <v>43</v>
      </c>
      <c r="Q3049" s="8" t="s">
        <v>102</v>
      </c>
      <c r="R3049" s="10" t="s">
        <v>18382</v>
      </c>
      <c r="S3049" s="11"/>
      <c r="T3049" s="6"/>
      <c r="U3049" s="24" t="str">
        <f>HYPERLINK("https://media.infra-m.ru/1913/1913587/cover/1913587.jpg", "Обложка")</f>
        <v>Обложка</v>
      </c>
      <c r="V3049" s="24" t="str">
        <f>HYPERLINK("https://znanium.ru/catalog/product/1913587", "Ознакомиться")</f>
        <v>Ознакомиться</v>
      </c>
      <c r="W3049" s="8" t="s">
        <v>1587</v>
      </c>
      <c r="X3049" s="6" t="s">
        <v>389</v>
      </c>
      <c r="Y3049" s="6"/>
      <c r="Z3049" s="6"/>
      <c r="AA3049" s="6" t="s">
        <v>61</v>
      </c>
      <c r="AB3049" s="8" t="s">
        <v>11412</v>
      </c>
    </row>
    <row r="3050" spans="1:28" s="4" customFormat="1" ht="44.1" customHeight="1">
      <c r="A3050" s="5">
        <v>0</v>
      </c>
      <c r="B3050" s="6" t="s">
        <v>18383</v>
      </c>
      <c r="C3050" s="13">
        <v>1220</v>
      </c>
      <c r="D3050" s="8" t="s">
        <v>18384</v>
      </c>
      <c r="E3050" s="8" t="s">
        <v>18385</v>
      </c>
      <c r="F3050" s="8" t="s">
        <v>18386</v>
      </c>
      <c r="G3050" s="6" t="s">
        <v>89</v>
      </c>
      <c r="H3050" s="6" t="s">
        <v>53</v>
      </c>
      <c r="I3050" s="8" t="s">
        <v>100</v>
      </c>
      <c r="J3050" s="9">
        <v>1</v>
      </c>
      <c r="K3050" s="9">
        <v>235</v>
      </c>
      <c r="L3050" s="9">
        <v>2025</v>
      </c>
      <c r="M3050" s="8" t="s">
        <v>18387</v>
      </c>
      <c r="N3050" s="8" t="s">
        <v>79</v>
      </c>
      <c r="O3050" s="8" t="s">
        <v>424</v>
      </c>
      <c r="P3050" s="6" t="s">
        <v>167</v>
      </c>
      <c r="Q3050" s="8" t="s">
        <v>102</v>
      </c>
      <c r="R3050" s="10" t="s">
        <v>18388</v>
      </c>
      <c r="S3050" s="11"/>
      <c r="T3050" s="6"/>
      <c r="U3050" s="24" t="str">
        <f>HYPERLINK("https://media.infra-m.ru/2185/2185871/cover/2185871.jpg", "Обложка")</f>
        <v>Обложка</v>
      </c>
      <c r="V3050" s="24" t="str">
        <f>HYPERLINK("https://znanium.ru/catalog/product/2185871", "Ознакомиться")</f>
        <v>Ознакомиться</v>
      </c>
      <c r="W3050" s="8" t="s">
        <v>6489</v>
      </c>
      <c r="X3050" s="6"/>
      <c r="Y3050" s="6"/>
      <c r="Z3050" s="6"/>
      <c r="AA3050" s="6" t="s">
        <v>133</v>
      </c>
      <c r="AB3050" s="8"/>
    </row>
    <row r="3051" spans="1:28" s="4" customFormat="1" ht="51.95" customHeight="1">
      <c r="A3051" s="5">
        <v>0</v>
      </c>
      <c r="B3051" s="6" t="s">
        <v>18389</v>
      </c>
      <c r="C3051" s="13">
        <v>1714.9</v>
      </c>
      <c r="D3051" s="8" t="s">
        <v>18390</v>
      </c>
      <c r="E3051" s="8" t="s">
        <v>18391</v>
      </c>
      <c r="F3051" s="8" t="s">
        <v>18392</v>
      </c>
      <c r="G3051" s="6" t="s">
        <v>89</v>
      </c>
      <c r="H3051" s="6" t="s">
        <v>53</v>
      </c>
      <c r="I3051" s="8" t="s">
        <v>90</v>
      </c>
      <c r="J3051" s="9">
        <v>1</v>
      </c>
      <c r="K3051" s="9">
        <v>381</v>
      </c>
      <c r="L3051" s="9">
        <v>2023</v>
      </c>
      <c r="M3051" s="8" t="s">
        <v>18393</v>
      </c>
      <c r="N3051" s="8" t="s">
        <v>41</v>
      </c>
      <c r="O3051" s="8" t="s">
        <v>278</v>
      </c>
      <c r="P3051" s="6" t="s">
        <v>167</v>
      </c>
      <c r="Q3051" s="8" t="s">
        <v>44</v>
      </c>
      <c r="R3051" s="10" t="s">
        <v>18394</v>
      </c>
      <c r="S3051" s="11" t="s">
        <v>18395</v>
      </c>
      <c r="T3051" s="6" t="s">
        <v>299</v>
      </c>
      <c r="U3051" s="24" t="str">
        <f>HYPERLINK("https://media.infra-m.ru/2001/2001629/cover/2001629.jpg", "Обложка")</f>
        <v>Обложка</v>
      </c>
      <c r="V3051" s="24" t="str">
        <f>HYPERLINK("https://znanium.ru/catalog/product/1068921", "Ознакомиться")</f>
        <v>Ознакомиться</v>
      </c>
      <c r="W3051" s="8" t="s">
        <v>189</v>
      </c>
      <c r="X3051" s="6"/>
      <c r="Y3051" s="6"/>
      <c r="Z3051" s="6"/>
      <c r="AA3051" s="6" t="s">
        <v>258</v>
      </c>
      <c r="AB3051" s="8"/>
    </row>
    <row r="3052" spans="1:28" s="4" customFormat="1" ht="51.95" customHeight="1">
      <c r="A3052" s="5">
        <v>0</v>
      </c>
      <c r="B3052" s="6" t="s">
        <v>18396</v>
      </c>
      <c r="C3052" s="13">
        <v>1084</v>
      </c>
      <c r="D3052" s="8" t="s">
        <v>18397</v>
      </c>
      <c r="E3052" s="8" t="s">
        <v>18398</v>
      </c>
      <c r="F3052" s="8" t="s">
        <v>18399</v>
      </c>
      <c r="G3052" s="6" t="s">
        <v>89</v>
      </c>
      <c r="H3052" s="6" t="s">
        <v>53</v>
      </c>
      <c r="I3052" s="8" t="s">
        <v>116</v>
      </c>
      <c r="J3052" s="9">
        <v>1</v>
      </c>
      <c r="K3052" s="9">
        <v>208</v>
      </c>
      <c r="L3052" s="9">
        <v>2025</v>
      </c>
      <c r="M3052" s="8" t="s">
        <v>18400</v>
      </c>
      <c r="N3052" s="8" t="s">
        <v>41</v>
      </c>
      <c r="O3052" s="8" t="s">
        <v>1204</v>
      </c>
      <c r="P3052" s="6" t="s">
        <v>43</v>
      </c>
      <c r="Q3052" s="8" t="s">
        <v>58</v>
      </c>
      <c r="R3052" s="10" t="s">
        <v>18401</v>
      </c>
      <c r="S3052" s="11" t="s">
        <v>18402</v>
      </c>
      <c r="T3052" s="6"/>
      <c r="U3052" s="24" t="str">
        <f>HYPERLINK("https://media.infra-m.ru/2198/2198528/cover/2198528.jpg", "Обложка")</f>
        <v>Обложка</v>
      </c>
      <c r="V3052" s="24" t="str">
        <f>HYPERLINK("https://znanium.ru/catalog/product/2067380", "Ознакомиться")</f>
        <v>Ознакомиться</v>
      </c>
      <c r="W3052" s="8" t="s">
        <v>18403</v>
      </c>
      <c r="X3052" s="6"/>
      <c r="Y3052" s="6"/>
      <c r="Z3052" s="6"/>
      <c r="AA3052" s="6" t="s">
        <v>111</v>
      </c>
      <c r="AB3052" s="8"/>
    </row>
    <row r="3053" spans="1:28" s="4" customFormat="1" ht="51.95" customHeight="1">
      <c r="A3053" s="5">
        <v>0</v>
      </c>
      <c r="B3053" s="6" t="s">
        <v>18404</v>
      </c>
      <c r="C3053" s="13">
        <v>1390</v>
      </c>
      <c r="D3053" s="8" t="s">
        <v>18405</v>
      </c>
      <c r="E3053" s="8" t="s">
        <v>18406</v>
      </c>
      <c r="F3053" s="8" t="s">
        <v>18407</v>
      </c>
      <c r="G3053" s="6" t="s">
        <v>52</v>
      </c>
      <c r="H3053" s="6" t="s">
        <v>53</v>
      </c>
      <c r="I3053" s="8" t="s">
        <v>100</v>
      </c>
      <c r="J3053" s="9">
        <v>1</v>
      </c>
      <c r="K3053" s="9">
        <v>256</v>
      </c>
      <c r="L3053" s="9">
        <v>2025</v>
      </c>
      <c r="M3053" s="8" t="s">
        <v>18408</v>
      </c>
      <c r="N3053" s="8" t="s">
        <v>79</v>
      </c>
      <c r="O3053" s="8" t="s">
        <v>570</v>
      </c>
      <c r="P3053" s="6" t="s">
        <v>167</v>
      </c>
      <c r="Q3053" s="8" t="s">
        <v>102</v>
      </c>
      <c r="R3053" s="10" t="s">
        <v>6520</v>
      </c>
      <c r="S3053" s="11"/>
      <c r="T3053" s="6"/>
      <c r="U3053" s="24" t="str">
        <f>HYPERLINK("https://media.infra-m.ru/1039/1039153/cover/1039153.jpg", "Обложка")</f>
        <v>Обложка</v>
      </c>
      <c r="V3053" s="24" t="str">
        <f>HYPERLINK("https://znanium.ru/catalog/product/1039153", "Ознакомиться")</f>
        <v>Ознакомиться</v>
      </c>
      <c r="W3053" s="8" t="s">
        <v>18409</v>
      </c>
      <c r="X3053" s="6" t="s">
        <v>2790</v>
      </c>
      <c r="Y3053" s="6"/>
      <c r="Z3053" s="6"/>
      <c r="AA3053" s="6" t="s">
        <v>61</v>
      </c>
      <c r="AB3053" s="8"/>
    </row>
    <row r="3054" spans="1:28" s="4" customFormat="1" ht="51.95" customHeight="1">
      <c r="A3054" s="5">
        <v>0</v>
      </c>
      <c r="B3054" s="6" t="s">
        <v>18410</v>
      </c>
      <c r="C3054" s="13">
        <v>1544</v>
      </c>
      <c r="D3054" s="8" t="s">
        <v>18411</v>
      </c>
      <c r="E3054" s="8" t="s">
        <v>18412</v>
      </c>
      <c r="F3054" s="8" t="s">
        <v>8178</v>
      </c>
      <c r="G3054" s="6" t="s">
        <v>89</v>
      </c>
      <c r="H3054" s="6" t="s">
        <v>53</v>
      </c>
      <c r="I3054" s="8" t="s">
        <v>100</v>
      </c>
      <c r="J3054" s="9">
        <v>1</v>
      </c>
      <c r="K3054" s="9">
        <v>309</v>
      </c>
      <c r="L3054" s="9">
        <v>2025</v>
      </c>
      <c r="M3054" s="8" t="s">
        <v>18413</v>
      </c>
      <c r="N3054" s="8" t="s">
        <v>41</v>
      </c>
      <c r="O3054" s="8" t="s">
        <v>1007</v>
      </c>
      <c r="P3054" s="6" t="s">
        <v>43</v>
      </c>
      <c r="Q3054" s="8" t="s">
        <v>102</v>
      </c>
      <c r="R3054" s="10" t="s">
        <v>18414</v>
      </c>
      <c r="S3054" s="11" t="s">
        <v>18415</v>
      </c>
      <c r="T3054" s="6"/>
      <c r="U3054" s="24" t="str">
        <f>HYPERLINK("https://media.infra-m.ru/2179/2179718/cover/2179718.jpg", "Обложка")</f>
        <v>Обложка</v>
      </c>
      <c r="V3054" s="24" t="str">
        <f>HYPERLINK("https://znanium.ru/catalog/product/1916136", "Ознакомиться")</f>
        <v>Ознакомиться</v>
      </c>
      <c r="W3054" s="8" t="s">
        <v>8182</v>
      </c>
      <c r="X3054" s="6"/>
      <c r="Y3054" s="6" t="s">
        <v>30</v>
      </c>
      <c r="Z3054" s="6"/>
      <c r="AA3054" s="6" t="s">
        <v>219</v>
      </c>
      <c r="AB3054" s="8" t="s">
        <v>2344</v>
      </c>
    </row>
    <row r="3055" spans="1:28" s="4" customFormat="1" ht="51.95" customHeight="1">
      <c r="A3055" s="5">
        <v>0</v>
      </c>
      <c r="B3055" s="6" t="s">
        <v>18416</v>
      </c>
      <c r="C3055" s="7">
        <v>580</v>
      </c>
      <c r="D3055" s="8" t="s">
        <v>18417</v>
      </c>
      <c r="E3055" s="8" t="s">
        <v>18418</v>
      </c>
      <c r="F3055" s="8" t="s">
        <v>18419</v>
      </c>
      <c r="G3055" s="6" t="s">
        <v>38</v>
      </c>
      <c r="H3055" s="6" t="s">
        <v>649</v>
      </c>
      <c r="I3055" s="8" t="s">
        <v>116</v>
      </c>
      <c r="J3055" s="9">
        <v>1</v>
      </c>
      <c r="K3055" s="9">
        <v>120</v>
      </c>
      <c r="L3055" s="9">
        <v>2023</v>
      </c>
      <c r="M3055" s="8" t="s">
        <v>18420</v>
      </c>
      <c r="N3055" s="8" t="s">
        <v>41</v>
      </c>
      <c r="O3055" s="8" t="s">
        <v>278</v>
      </c>
      <c r="P3055" s="6" t="s">
        <v>43</v>
      </c>
      <c r="Q3055" s="8" t="s">
        <v>44</v>
      </c>
      <c r="R3055" s="10" t="s">
        <v>18421</v>
      </c>
      <c r="S3055" s="11" t="s">
        <v>18422</v>
      </c>
      <c r="T3055" s="6"/>
      <c r="U3055" s="24" t="str">
        <f>HYPERLINK("https://media.infra-m.ru/2126/2126633/cover/2126633.jpg", "Обложка")</f>
        <v>Обложка</v>
      </c>
      <c r="V3055" s="24" t="str">
        <f>HYPERLINK("https://znanium.ru/catalog/product/2126633", "Ознакомиться")</f>
        <v>Ознакомиться</v>
      </c>
      <c r="W3055" s="8" t="s">
        <v>189</v>
      </c>
      <c r="X3055" s="6"/>
      <c r="Y3055" s="6"/>
      <c r="Z3055" s="6"/>
      <c r="AA3055" s="6" t="s">
        <v>84</v>
      </c>
      <c r="AB3055" s="8"/>
    </row>
    <row r="3056" spans="1:28" s="4" customFormat="1" ht="51.95" customHeight="1">
      <c r="A3056" s="5">
        <v>0</v>
      </c>
      <c r="B3056" s="6" t="s">
        <v>18423</v>
      </c>
      <c r="C3056" s="13">
        <v>2194</v>
      </c>
      <c r="D3056" s="8" t="s">
        <v>18424</v>
      </c>
      <c r="E3056" s="8" t="s">
        <v>18425</v>
      </c>
      <c r="F3056" s="8" t="s">
        <v>18426</v>
      </c>
      <c r="G3056" s="6" t="s">
        <v>89</v>
      </c>
      <c r="H3056" s="6" t="s">
        <v>53</v>
      </c>
      <c r="I3056" s="8" t="s">
        <v>90</v>
      </c>
      <c r="J3056" s="9">
        <v>1</v>
      </c>
      <c r="K3056" s="9">
        <v>423</v>
      </c>
      <c r="L3056" s="9">
        <v>2025</v>
      </c>
      <c r="M3056" s="8" t="s">
        <v>18427</v>
      </c>
      <c r="N3056" s="8" t="s">
        <v>41</v>
      </c>
      <c r="O3056" s="8" t="s">
        <v>118</v>
      </c>
      <c r="P3056" s="6" t="s">
        <v>167</v>
      </c>
      <c r="Q3056" s="8" t="s">
        <v>44</v>
      </c>
      <c r="R3056" s="10" t="s">
        <v>18428</v>
      </c>
      <c r="S3056" s="11" t="s">
        <v>18429</v>
      </c>
      <c r="T3056" s="6"/>
      <c r="U3056" s="24" t="str">
        <f>HYPERLINK("https://media.infra-m.ru/2194/2194338/cover/2194338.jpg", "Обложка")</f>
        <v>Обложка</v>
      </c>
      <c r="V3056" s="24" t="str">
        <f>HYPERLINK("https://znanium.ru/catalog/product/1903341", "Ознакомиться")</f>
        <v>Ознакомиться</v>
      </c>
      <c r="W3056" s="8" t="s">
        <v>637</v>
      </c>
      <c r="X3056" s="6"/>
      <c r="Y3056" s="6"/>
      <c r="Z3056" s="6"/>
      <c r="AA3056" s="6" t="s">
        <v>95</v>
      </c>
      <c r="AB3056" s="8"/>
    </row>
    <row r="3057" spans="1:28" s="4" customFormat="1" ht="51.95" customHeight="1">
      <c r="A3057" s="5">
        <v>0</v>
      </c>
      <c r="B3057" s="6" t="s">
        <v>18430</v>
      </c>
      <c r="C3057" s="13">
        <v>1230</v>
      </c>
      <c r="D3057" s="8" t="s">
        <v>18431</v>
      </c>
      <c r="E3057" s="8" t="s">
        <v>18432</v>
      </c>
      <c r="F3057" s="8" t="s">
        <v>18433</v>
      </c>
      <c r="G3057" s="6" t="s">
        <v>89</v>
      </c>
      <c r="H3057" s="6" t="s">
        <v>53</v>
      </c>
      <c r="I3057" s="8" t="s">
        <v>100</v>
      </c>
      <c r="J3057" s="9">
        <v>1</v>
      </c>
      <c r="K3057" s="9">
        <v>292</v>
      </c>
      <c r="L3057" s="9">
        <v>2022</v>
      </c>
      <c r="M3057" s="8" t="s">
        <v>18434</v>
      </c>
      <c r="N3057" s="8" t="s">
        <v>41</v>
      </c>
      <c r="O3057" s="8" t="s">
        <v>118</v>
      </c>
      <c r="P3057" s="6" t="s">
        <v>167</v>
      </c>
      <c r="Q3057" s="8" t="s">
        <v>102</v>
      </c>
      <c r="R3057" s="10" t="s">
        <v>18435</v>
      </c>
      <c r="S3057" s="11" t="s">
        <v>18436</v>
      </c>
      <c r="T3057" s="6" t="s">
        <v>299</v>
      </c>
      <c r="U3057" s="24" t="str">
        <f>HYPERLINK("https://media.infra-m.ru/1877/1877378/cover/1877378.jpg", "Обложка")</f>
        <v>Обложка</v>
      </c>
      <c r="V3057" s="24" t="str">
        <f>HYPERLINK("https://znanium.ru/catalog/product/1877378", "Ознакомиться")</f>
        <v>Ознакомиться</v>
      </c>
      <c r="W3057" s="8" t="s">
        <v>637</v>
      </c>
      <c r="X3057" s="6"/>
      <c r="Y3057" s="6"/>
      <c r="Z3057" s="6" t="s">
        <v>104</v>
      </c>
      <c r="AA3057" s="6" t="s">
        <v>258</v>
      </c>
      <c r="AB3057" s="8"/>
    </row>
    <row r="3058" spans="1:28" s="4" customFormat="1" ht="51.95" customHeight="1">
      <c r="A3058" s="5">
        <v>0</v>
      </c>
      <c r="B3058" s="6" t="s">
        <v>18437</v>
      </c>
      <c r="C3058" s="7">
        <v>930</v>
      </c>
      <c r="D3058" s="8" t="s">
        <v>18438</v>
      </c>
      <c r="E3058" s="8" t="s">
        <v>18432</v>
      </c>
      <c r="F3058" s="8" t="s">
        <v>18433</v>
      </c>
      <c r="G3058" s="6" t="s">
        <v>89</v>
      </c>
      <c r="H3058" s="6" t="s">
        <v>53</v>
      </c>
      <c r="I3058" s="8" t="s">
        <v>90</v>
      </c>
      <c r="J3058" s="9">
        <v>1</v>
      </c>
      <c r="K3058" s="9">
        <v>292</v>
      </c>
      <c r="L3058" s="9">
        <v>2019</v>
      </c>
      <c r="M3058" s="8" t="s">
        <v>18439</v>
      </c>
      <c r="N3058" s="8" t="s">
        <v>41</v>
      </c>
      <c r="O3058" s="8" t="s">
        <v>118</v>
      </c>
      <c r="P3058" s="6" t="s">
        <v>167</v>
      </c>
      <c r="Q3058" s="8" t="s">
        <v>44</v>
      </c>
      <c r="R3058" s="10" t="s">
        <v>18428</v>
      </c>
      <c r="S3058" s="11" t="s">
        <v>18440</v>
      </c>
      <c r="T3058" s="6" t="s">
        <v>299</v>
      </c>
      <c r="U3058" s="24" t="str">
        <f>HYPERLINK("https://media.infra-m.ru/0989/0989360/cover/989360.jpg", "Обложка")</f>
        <v>Обложка</v>
      </c>
      <c r="V3058" s="24" t="str">
        <f>HYPERLINK("https://znanium.ru/catalog/product/1903341", "Ознакомиться")</f>
        <v>Ознакомиться</v>
      </c>
      <c r="W3058" s="8" t="s">
        <v>637</v>
      </c>
      <c r="X3058" s="6"/>
      <c r="Y3058" s="6"/>
      <c r="Z3058" s="6"/>
      <c r="AA3058" s="6" t="s">
        <v>84</v>
      </c>
      <c r="AB3058" s="8"/>
    </row>
    <row r="3059" spans="1:28" s="4" customFormat="1" ht="42" customHeight="1">
      <c r="A3059" s="5">
        <v>0</v>
      </c>
      <c r="B3059" s="6" t="s">
        <v>18441</v>
      </c>
      <c r="C3059" s="13">
        <v>1260</v>
      </c>
      <c r="D3059" s="8" t="s">
        <v>18442</v>
      </c>
      <c r="E3059" s="8" t="s">
        <v>18443</v>
      </c>
      <c r="F3059" s="8" t="s">
        <v>18089</v>
      </c>
      <c r="G3059" s="6" t="s">
        <v>52</v>
      </c>
      <c r="H3059" s="6" t="s">
        <v>952</v>
      </c>
      <c r="I3059" s="8" t="s">
        <v>1171</v>
      </c>
      <c r="J3059" s="9">
        <v>1</v>
      </c>
      <c r="K3059" s="9">
        <v>368</v>
      </c>
      <c r="L3059" s="9">
        <v>2020</v>
      </c>
      <c r="M3059" s="8" t="s">
        <v>18444</v>
      </c>
      <c r="N3059" s="8" t="s">
        <v>41</v>
      </c>
      <c r="O3059" s="8" t="s">
        <v>278</v>
      </c>
      <c r="P3059" s="6" t="s">
        <v>43</v>
      </c>
      <c r="Q3059" s="8" t="s">
        <v>44</v>
      </c>
      <c r="R3059" s="10" t="s">
        <v>7543</v>
      </c>
      <c r="S3059" s="11"/>
      <c r="T3059" s="6"/>
      <c r="U3059" s="24" t="str">
        <f>HYPERLINK("https://media.infra-m.ru/1092/1092142/cover/1092142.jpg", "Обложка")</f>
        <v>Обложка</v>
      </c>
      <c r="V3059" s="24" t="str">
        <f>HYPERLINK("https://znanium.ru/catalog/product/994182", "Ознакомиться")</f>
        <v>Ознакомиться</v>
      </c>
      <c r="W3059" s="8" t="s">
        <v>2463</v>
      </c>
      <c r="X3059" s="6"/>
      <c r="Y3059" s="6"/>
      <c r="Z3059" s="6"/>
      <c r="AA3059" s="6" t="s">
        <v>84</v>
      </c>
      <c r="AB3059" s="8"/>
    </row>
    <row r="3060" spans="1:28" s="4" customFormat="1" ht="51.95" customHeight="1">
      <c r="A3060" s="5">
        <v>0</v>
      </c>
      <c r="B3060" s="6" t="s">
        <v>18445</v>
      </c>
      <c r="C3060" s="13">
        <v>1924</v>
      </c>
      <c r="D3060" s="8" t="s">
        <v>18446</v>
      </c>
      <c r="E3060" s="8" t="s">
        <v>18447</v>
      </c>
      <c r="F3060" s="8" t="s">
        <v>18448</v>
      </c>
      <c r="G3060" s="6" t="s">
        <v>89</v>
      </c>
      <c r="H3060" s="6" t="s">
        <v>438</v>
      </c>
      <c r="I3060" s="8" t="s">
        <v>100</v>
      </c>
      <c r="J3060" s="9">
        <v>1</v>
      </c>
      <c r="K3060" s="9">
        <v>384</v>
      </c>
      <c r="L3060" s="9">
        <v>2025</v>
      </c>
      <c r="M3060" s="8" t="s">
        <v>18449</v>
      </c>
      <c r="N3060" s="8" t="s">
        <v>79</v>
      </c>
      <c r="O3060" s="8" t="s">
        <v>80</v>
      </c>
      <c r="P3060" s="6" t="s">
        <v>167</v>
      </c>
      <c r="Q3060" s="8" t="s">
        <v>102</v>
      </c>
      <c r="R3060" s="10" t="s">
        <v>18450</v>
      </c>
      <c r="S3060" s="11"/>
      <c r="T3060" s="6"/>
      <c r="U3060" s="24" t="str">
        <f>HYPERLINK("https://media.infra-m.ru/2179/2179454/cover/2179454.jpg", "Обложка")</f>
        <v>Обложка</v>
      </c>
      <c r="V3060" s="24" t="str">
        <f>HYPERLINK("https://znanium.ru/catalog/product/2096066", "Ознакомиться")</f>
        <v>Ознакомиться</v>
      </c>
      <c r="W3060" s="8" t="s">
        <v>1175</v>
      </c>
      <c r="X3060" s="6"/>
      <c r="Y3060" s="6" t="s">
        <v>30</v>
      </c>
      <c r="Z3060" s="6"/>
      <c r="AA3060" s="6" t="s">
        <v>442</v>
      </c>
      <c r="AB3060" s="8"/>
    </row>
    <row r="3061" spans="1:28" s="4" customFormat="1" ht="42" customHeight="1">
      <c r="A3061" s="5">
        <v>0</v>
      </c>
      <c r="B3061" s="6" t="s">
        <v>18451</v>
      </c>
      <c r="C3061" s="13">
        <v>1090</v>
      </c>
      <c r="D3061" s="8" t="s">
        <v>18452</v>
      </c>
      <c r="E3061" s="8" t="s">
        <v>18453</v>
      </c>
      <c r="F3061" s="8" t="s">
        <v>18454</v>
      </c>
      <c r="G3061" s="6" t="s">
        <v>52</v>
      </c>
      <c r="H3061" s="6" t="s">
        <v>53</v>
      </c>
      <c r="I3061" s="8" t="s">
        <v>165</v>
      </c>
      <c r="J3061" s="9">
        <v>1</v>
      </c>
      <c r="K3061" s="9">
        <v>193</v>
      </c>
      <c r="L3061" s="9">
        <v>2025</v>
      </c>
      <c r="M3061" s="8" t="s">
        <v>18455</v>
      </c>
      <c r="N3061" s="8" t="s">
        <v>41</v>
      </c>
      <c r="O3061" s="8" t="s">
        <v>1007</v>
      </c>
      <c r="P3061" s="6" t="s">
        <v>167</v>
      </c>
      <c r="Q3061" s="8" t="s">
        <v>279</v>
      </c>
      <c r="R3061" s="10" t="s">
        <v>1231</v>
      </c>
      <c r="S3061" s="11"/>
      <c r="T3061" s="6"/>
      <c r="U3061" s="24" t="str">
        <f>HYPERLINK("https://media.infra-m.ru/2141/2141923/cover/2141923.jpg", "Обложка")</f>
        <v>Обложка</v>
      </c>
      <c r="V3061" s="24" t="str">
        <f>HYPERLINK("https://znanium.ru/catalog/product/2141923", "Ознакомиться")</f>
        <v>Ознакомиться</v>
      </c>
      <c r="W3061" s="8" t="s">
        <v>83</v>
      </c>
      <c r="X3061" s="6" t="s">
        <v>132</v>
      </c>
      <c r="Y3061" s="6"/>
      <c r="Z3061" s="6"/>
      <c r="AA3061" s="6" t="s">
        <v>61</v>
      </c>
      <c r="AB3061" s="8" t="s">
        <v>7908</v>
      </c>
    </row>
    <row r="3062" spans="1:28" s="4" customFormat="1" ht="51.95" customHeight="1">
      <c r="A3062" s="5">
        <v>0</v>
      </c>
      <c r="B3062" s="6" t="s">
        <v>18456</v>
      </c>
      <c r="C3062" s="13">
        <v>1360</v>
      </c>
      <c r="D3062" s="8" t="s">
        <v>18457</v>
      </c>
      <c r="E3062" s="8" t="s">
        <v>18458</v>
      </c>
      <c r="F3062" s="8" t="s">
        <v>1341</v>
      </c>
      <c r="G3062" s="6" t="s">
        <v>52</v>
      </c>
      <c r="H3062" s="6" t="s">
        <v>53</v>
      </c>
      <c r="I3062" s="8" t="s">
        <v>100</v>
      </c>
      <c r="J3062" s="9">
        <v>1</v>
      </c>
      <c r="K3062" s="9">
        <v>281</v>
      </c>
      <c r="L3062" s="9">
        <v>2024</v>
      </c>
      <c r="M3062" s="8" t="s">
        <v>18459</v>
      </c>
      <c r="N3062" s="8" t="s">
        <v>79</v>
      </c>
      <c r="O3062" s="8" t="s">
        <v>424</v>
      </c>
      <c r="P3062" s="6" t="s">
        <v>167</v>
      </c>
      <c r="Q3062" s="8" t="s">
        <v>102</v>
      </c>
      <c r="R3062" s="10" t="s">
        <v>18460</v>
      </c>
      <c r="S3062" s="11"/>
      <c r="T3062" s="6"/>
      <c r="U3062" s="24" t="str">
        <f>HYPERLINK("https://media.infra-m.ru/2150/2150768/cover/2150768.jpg", "Обложка")</f>
        <v>Обложка</v>
      </c>
      <c r="V3062" s="24" t="str">
        <f>HYPERLINK("https://znanium.ru/catalog/product/2150768", "Ознакомиться")</f>
        <v>Ознакомиться</v>
      </c>
      <c r="W3062" s="8" t="s">
        <v>1345</v>
      </c>
      <c r="X3062" s="6" t="s">
        <v>179</v>
      </c>
      <c r="Y3062" s="6"/>
      <c r="Z3062" s="6" t="s">
        <v>104</v>
      </c>
      <c r="AA3062" s="6" t="s">
        <v>133</v>
      </c>
      <c r="AB3062" s="8"/>
    </row>
    <row r="3063" spans="1:28" s="4" customFormat="1" ht="42" customHeight="1">
      <c r="A3063" s="5">
        <v>0</v>
      </c>
      <c r="B3063" s="6" t="s">
        <v>18461</v>
      </c>
      <c r="C3063" s="13">
        <v>1340</v>
      </c>
      <c r="D3063" s="8" t="s">
        <v>18462</v>
      </c>
      <c r="E3063" s="8" t="s">
        <v>18458</v>
      </c>
      <c r="F3063" s="8" t="s">
        <v>1341</v>
      </c>
      <c r="G3063" s="6" t="s">
        <v>52</v>
      </c>
      <c r="H3063" s="6" t="s">
        <v>53</v>
      </c>
      <c r="I3063" s="8" t="s">
        <v>116</v>
      </c>
      <c r="J3063" s="9">
        <v>1</v>
      </c>
      <c r="K3063" s="9">
        <v>281</v>
      </c>
      <c r="L3063" s="9">
        <v>2023</v>
      </c>
      <c r="M3063" s="8" t="s">
        <v>18463</v>
      </c>
      <c r="N3063" s="8" t="s">
        <v>79</v>
      </c>
      <c r="O3063" s="8" t="s">
        <v>424</v>
      </c>
      <c r="P3063" s="6" t="s">
        <v>167</v>
      </c>
      <c r="Q3063" s="8" t="s">
        <v>44</v>
      </c>
      <c r="R3063" s="10" t="s">
        <v>4598</v>
      </c>
      <c r="S3063" s="11"/>
      <c r="T3063" s="6"/>
      <c r="U3063" s="24" t="str">
        <f>HYPERLINK("https://media.infra-m.ru/1904/1904373/cover/1904373.jpg", "Обложка")</f>
        <v>Обложка</v>
      </c>
      <c r="V3063" s="24" t="str">
        <f>HYPERLINK("https://znanium.ru/catalog/product/1904373", "Ознакомиться")</f>
        <v>Ознакомиться</v>
      </c>
      <c r="W3063" s="8" t="s">
        <v>1345</v>
      </c>
      <c r="X3063" s="6"/>
      <c r="Y3063" s="6"/>
      <c r="Z3063" s="6"/>
      <c r="AA3063" s="6" t="s">
        <v>207</v>
      </c>
      <c r="AB3063" s="8"/>
    </row>
    <row r="3064" spans="1:28" s="4" customFormat="1" ht="51.95" customHeight="1">
      <c r="A3064" s="5">
        <v>0</v>
      </c>
      <c r="B3064" s="6" t="s">
        <v>18464</v>
      </c>
      <c r="C3064" s="7">
        <v>644</v>
      </c>
      <c r="D3064" s="8" t="s">
        <v>18465</v>
      </c>
      <c r="E3064" s="8" t="s">
        <v>18466</v>
      </c>
      <c r="F3064" s="8" t="s">
        <v>18467</v>
      </c>
      <c r="G3064" s="6" t="s">
        <v>38</v>
      </c>
      <c r="H3064" s="6" t="s">
        <v>53</v>
      </c>
      <c r="I3064" s="8" t="s">
        <v>90</v>
      </c>
      <c r="J3064" s="9">
        <v>1</v>
      </c>
      <c r="K3064" s="9">
        <v>142</v>
      </c>
      <c r="L3064" s="9">
        <v>2023</v>
      </c>
      <c r="M3064" s="8" t="s">
        <v>18468</v>
      </c>
      <c r="N3064" s="8" t="s">
        <v>41</v>
      </c>
      <c r="O3064" s="8" t="s">
        <v>118</v>
      </c>
      <c r="P3064" s="6" t="s">
        <v>43</v>
      </c>
      <c r="Q3064" s="8" t="s">
        <v>44</v>
      </c>
      <c r="R3064" s="10" t="s">
        <v>1709</v>
      </c>
      <c r="S3064" s="11" t="s">
        <v>18469</v>
      </c>
      <c r="T3064" s="6"/>
      <c r="U3064" s="24" t="str">
        <f>HYPERLINK("https://media.infra-m.ru/2006/2006055/cover/2006055.jpg", "Обложка")</f>
        <v>Обложка</v>
      </c>
      <c r="V3064" s="24" t="str">
        <f>HYPERLINK("https://znanium.ru/catalog/product/2006055", "Ознакомиться")</f>
        <v>Ознакомиться</v>
      </c>
      <c r="W3064" s="8" t="s">
        <v>18470</v>
      </c>
      <c r="X3064" s="6"/>
      <c r="Y3064" s="6"/>
      <c r="Z3064" s="6"/>
      <c r="AA3064" s="6" t="s">
        <v>151</v>
      </c>
      <c r="AB3064" s="8"/>
    </row>
    <row r="3065" spans="1:28" s="4" customFormat="1" ht="51.95" customHeight="1">
      <c r="A3065" s="5">
        <v>0</v>
      </c>
      <c r="B3065" s="6" t="s">
        <v>18471</v>
      </c>
      <c r="C3065" s="13">
        <v>1060</v>
      </c>
      <c r="D3065" s="8" t="s">
        <v>18472</v>
      </c>
      <c r="E3065" s="8" t="s">
        <v>18473</v>
      </c>
      <c r="F3065" s="8" t="s">
        <v>18474</v>
      </c>
      <c r="G3065" s="6" t="s">
        <v>38</v>
      </c>
      <c r="H3065" s="6" t="s">
        <v>53</v>
      </c>
      <c r="I3065" s="8" t="s">
        <v>116</v>
      </c>
      <c r="J3065" s="9">
        <v>1</v>
      </c>
      <c r="K3065" s="9">
        <v>229</v>
      </c>
      <c r="L3065" s="9">
        <v>2023</v>
      </c>
      <c r="M3065" s="8" t="s">
        <v>18475</v>
      </c>
      <c r="N3065" s="8" t="s">
        <v>79</v>
      </c>
      <c r="O3065" s="8" t="s">
        <v>570</v>
      </c>
      <c r="P3065" s="6" t="s">
        <v>43</v>
      </c>
      <c r="Q3065" s="8" t="s">
        <v>44</v>
      </c>
      <c r="R3065" s="10" t="s">
        <v>18476</v>
      </c>
      <c r="S3065" s="11" t="s">
        <v>18477</v>
      </c>
      <c r="T3065" s="6"/>
      <c r="U3065" s="24" t="str">
        <f>HYPERLINK("https://media.infra-m.ru/2126/2126516/cover/2126516.jpg", "Обложка")</f>
        <v>Обложка</v>
      </c>
      <c r="V3065" s="24" t="str">
        <f>HYPERLINK("https://znanium.ru/catalog/product/1084884", "Ознакомиться")</f>
        <v>Ознакомиться</v>
      </c>
      <c r="W3065" s="8" t="s">
        <v>16339</v>
      </c>
      <c r="X3065" s="6"/>
      <c r="Y3065" s="6"/>
      <c r="Z3065" s="6"/>
      <c r="AA3065" s="6" t="s">
        <v>418</v>
      </c>
      <c r="AB3065" s="8"/>
    </row>
    <row r="3066" spans="1:28" s="4" customFormat="1" ht="51.95" customHeight="1">
      <c r="A3066" s="5">
        <v>0</v>
      </c>
      <c r="B3066" s="6" t="s">
        <v>18478</v>
      </c>
      <c r="C3066" s="13">
        <v>1754</v>
      </c>
      <c r="D3066" s="8" t="s">
        <v>18479</v>
      </c>
      <c r="E3066" s="8" t="s">
        <v>18480</v>
      </c>
      <c r="F3066" s="8" t="s">
        <v>18481</v>
      </c>
      <c r="G3066" s="6" t="s">
        <v>89</v>
      </c>
      <c r="H3066" s="6" t="s">
        <v>649</v>
      </c>
      <c r="I3066" s="8" t="s">
        <v>100</v>
      </c>
      <c r="J3066" s="9">
        <v>1</v>
      </c>
      <c r="K3066" s="9">
        <v>350</v>
      </c>
      <c r="L3066" s="9">
        <v>2025</v>
      </c>
      <c r="M3066" s="8" t="s">
        <v>18482</v>
      </c>
      <c r="N3066" s="8" t="s">
        <v>41</v>
      </c>
      <c r="O3066" s="8" t="s">
        <v>278</v>
      </c>
      <c r="P3066" s="6" t="s">
        <v>167</v>
      </c>
      <c r="Q3066" s="8" t="s">
        <v>102</v>
      </c>
      <c r="R3066" s="10" t="s">
        <v>9516</v>
      </c>
      <c r="S3066" s="11" t="s">
        <v>18483</v>
      </c>
      <c r="T3066" s="6"/>
      <c r="U3066" s="24" t="str">
        <f>HYPERLINK("https://media.infra-m.ru/2183/2183855/cover/2183855.jpg", "Обложка")</f>
        <v>Обложка</v>
      </c>
      <c r="V3066" s="24" t="str">
        <f>HYPERLINK("https://znanium.ru/catalog/product/2156143", "Ознакомиться")</f>
        <v>Ознакомиться</v>
      </c>
      <c r="W3066" s="8" t="s">
        <v>10051</v>
      </c>
      <c r="X3066" s="6"/>
      <c r="Y3066" s="6"/>
      <c r="Z3066" s="6"/>
      <c r="AA3066" s="6" t="s">
        <v>1259</v>
      </c>
      <c r="AB3066" s="8"/>
    </row>
    <row r="3067" spans="1:28" s="4" customFormat="1" ht="51.95" customHeight="1">
      <c r="A3067" s="5">
        <v>0</v>
      </c>
      <c r="B3067" s="6" t="s">
        <v>18484</v>
      </c>
      <c r="C3067" s="13">
        <v>1030</v>
      </c>
      <c r="D3067" s="8" t="s">
        <v>18485</v>
      </c>
      <c r="E3067" s="8" t="s">
        <v>18486</v>
      </c>
      <c r="F3067" s="8" t="s">
        <v>18487</v>
      </c>
      <c r="G3067" s="6" t="s">
        <v>89</v>
      </c>
      <c r="H3067" s="6" t="s">
        <v>649</v>
      </c>
      <c r="I3067" s="8" t="s">
        <v>100</v>
      </c>
      <c r="J3067" s="9">
        <v>1</v>
      </c>
      <c r="K3067" s="9">
        <v>352</v>
      </c>
      <c r="L3067" s="9">
        <v>2018</v>
      </c>
      <c r="M3067" s="8" t="s">
        <v>18488</v>
      </c>
      <c r="N3067" s="8" t="s">
        <v>41</v>
      </c>
      <c r="O3067" s="8" t="s">
        <v>278</v>
      </c>
      <c r="P3067" s="6" t="s">
        <v>167</v>
      </c>
      <c r="Q3067" s="8" t="s">
        <v>102</v>
      </c>
      <c r="R3067" s="10" t="s">
        <v>9516</v>
      </c>
      <c r="S3067" s="11" t="s">
        <v>18489</v>
      </c>
      <c r="T3067" s="6"/>
      <c r="U3067" s="24" t="str">
        <f>HYPERLINK("https://media.infra-m.ru/0944/0944181/cover/944181.jpg", "Обложка")</f>
        <v>Обложка</v>
      </c>
      <c r="V3067" s="24" t="str">
        <f>HYPERLINK("https://znanium.ru/catalog/product/2156143", "Ознакомиться")</f>
        <v>Ознакомиться</v>
      </c>
      <c r="W3067" s="8" t="s">
        <v>10051</v>
      </c>
      <c r="X3067" s="6"/>
      <c r="Y3067" s="6"/>
      <c r="Z3067" s="6"/>
      <c r="AA3067" s="6" t="s">
        <v>47</v>
      </c>
      <c r="AB3067" s="8"/>
    </row>
    <row r="3068" spans="1:28" s="4" customFormat="1" ht="42" customHeight="1">
      <c r="A3068" s="5">
        <v>0</v>
      </c>
      <c r="B3068" s="6" t="s">
        <v>18490</v>
      </c>
      <c r="C3068" s="7">
        <v>680</v>
      </c>
      <c r="D3068" s="8" t="s">
        <v>18491</v>
      </c>
      <c r="E3068" s="8" t="s">
        <v>18492</v>
      </c>
      <c r="F3068" s="8" t="s">
        <v>18493</v>
      </c>
      <c r="G3068" s="6" t="s">
        <v>38</v>
      </c>
      <c r="H3068" s="6" t="s">
        <v>53</v>
      </c>
      <c r="I3068" s="8" t="s">
        <v>116</v>
      </c>
      <c r="J3068" s="9">
        <v>1</v>
      </c>
      <c r="K3068" s="9">
        <v>123</v>
      </c>
      <c r="L3068" s="9">
        <v>2025</v>
      </c>
      <c r="M3068" s="8" t="s">
        <v>18494</v>
      </c>
      <c r="N3068" s="8" t="s">
        <v>68</v>
      </c>
      <c r="O3068" s="8" t="s">
        <v>69</v>
      </c>
      <c r="P3068" s="6" t="s">
        <v>43</v>
      </c>
      <c r="Q3068" s="8" t="s">
        <v>58</v>
      </c>
      <c r="R3068" s="10" t="s">
        <v>18495</v>
      </c>
      <c r="S3068" s="11"/>
      <c r="T3068" s="6"/>
      <c r="U3068" s="24" t="str">
        <f>HYPERLINK("https://media.infra-m.ru/2130/2130668/cover/2130668.jpg", "Обложка")</f>
        <v>Обложка</v>
      </c>
      <c r="V3068" s="24" t="str">
        <f>HYPERLINK("https://znanium.ru/catalog/product/2130668", "Ознакомиться")</f>
        <v>Ознакомиться</v>
      </c>
      <c r="W3068" s="8" t="s">
        <v>3426</v>
      </c>
      <c r="X3068" s="6" t="s">
        <v>548</v>
      </c>
      <c r="Y3068" s="6"/>
      <c r="Z3068" s="6"/>
      <c r="AA3068" s="6" t="s">
        <v>61</v>
      </c>
      <c r="AB3068" s="8"/>
    </row>
    <row r="3069" spans="1:28" s="4" customFormat="1" ht="51.95" customHeight="1">
      <c r="A3069" s="5">
        <v>0</v>
      </c>
      <c r="B3069" s="6" t="s">
        <v>18496</v>
      </c>
      <c r="C3069" s="7">
        <v>834</v>
      </c>
      <c r="D3069" s="8" t="s">
        <v>18497</v>
      </c>
      <c r="E3069" s="8" t="s">
        <v>18498</v>
      </c>
      <c r="F3069" s="8" t="s">
        <v>18499</v>
      </c>
      <c r="G3069" s="6" t="s">
        <v>89</v>
      </c>
      <c r="H3069" s="6" t="s">
        <v>53</v>
      </c>
      <c r="I3069" s="8" t="s">
        <v>90</v>
      </c>
      <c r="J3069" s="9">
        <v>1</v>
      </c>
      <c r="K3069" s="9">
        <v>160</v>
      </c>
      <c r="L3069" s="9">
        <v>2025</v>
      </c>
      <c r="M3069" s="8" t="s">
        <v>18500</v>
      </c>
      <c r="N3069" s="8" t="s">
        <v>41</v>
      </c>
      <c r="O3069" s="8" t="s">
        <v>118</v>
      </c>
      <c r="P3069" s="6" t="s">
        <v>43</v>
      </c>
      <c r="Q3069" s="8" t="s">
        <v>44</v>
      </c>
      <c r="R3069" s="10" t="s">
        <v>18501</v>
      </c>
      <c r="S3069" s="11" t="s">
        <v>18502</v>
      </c>
      <c r="T3069" s="6"/>
      <c r="U3069" s="24" t="str">
        <f>HYPERLINK("https://media.infra-m.ru/2194/2194378/cover/2194378.jpg", "Обложка")</f>
        <v>Обложка</v>
      </c>
      <c r="V3069" s="24" t="str">
        <f>HYPERLINK("https://znanium.ru/catalog/product/1939092", "Ознакомиться")</f>
        <v>Ознакомиться</v>
      </c>
      <c r="W3069" s="8" t="s">
        <v>46</v>
      </c>
      <c r="X3069" s="6"/>
      <c r="Y3069" s="6"/>
      <c r="Z3069" s="6"/>
      <c r="AA3069" s="6" t="s">
        <v>84</v>
      </c>
      <c r="AB3069" s="8"/>
    </row>
    <row r="3070" spans="1:28" s="4" customFormat="1" ht="42" customHeight="1">
      <c r="A3070" s="5">
        <v>0</v>
      </c>
      <c r="B3070" s="6" t="s">
        <v>18503</v>
      </c>
      <c r="C3070" s="13">
        <v>2084</v>
      </c>
      <c r="D3070" s="8" t="s">
        <v>18504</v>
      </c>
      <c r="E3070" s="8" t="s">
        <v>18505</v>
      </c>
      <c r="F3070" s="8" t="s">
        <v>17954</v>
      </c>
      <c r="G3070" s="6" t="s">
        <v>52</v>
      </c>
      <c r="H3070" s="6" t="s">
        <v>39</v>
      </c>
      <c r="I3070" s="8" t="s">
        <v>90</v>
      </c>
      <c r="J3070" s="9">
        <v>1</v>
      </c>
      <c r="K3070" s="9">
        <v>400</v>
      </c>
      <c r="L3070" s="9">
        <v>2025</v>
      </c>
      <c r="M3070" s="8" t="s">
        <v>18506</v>
      </c>
      <c r="N3070" s="8" t="s">
        <v>41</v>
      </c>
      <c r="O3070" s="8" t="s">
        <v>118</v>
      </c>
      <c r="P3070" s="6" t="s">
        <v>43</v>
      </c>
      <c r="Q3070" s="8" t="s">
        <v>44</v>
      </c>
      <c r="R3070" s="10" t="s">
        <v>13892</v>
      </c>
      <c r="S3070" s="11"/>
      <c r="T3070" s="6"/>
      <c r="U3070" s="24" t="str">
        <f>HYPERLINK("https://media.infra-m.ru/2196/2196968/cover/2196968.jpg", "Обложка")</f>
        <v>Обложка</v>
      </c>
      <c r="V3070" s="24" t="str">
        <f>HYPERLINK("https://znanium.ru/catalog/product/2124365", "Ознакомиться")</f>
        <v>Ознакомиться</v>
      </c>
      <c r="W3070" s="8" t="s">
        <v>6124</v>
      </c>
      <c r="X3070" s="6"/>
      <c r="Y3070" s="6"/>
      <c r="Z3070" s="6"/>
      <c r="AA3070" s="6" t="s">
        <v>47</v>
      </c>
      <c r="AB3070" s="8"/>
    </row>
    <row r="3071" spans="1:28" s="4" customFormat="1" ht="51.95" customHeight="1">
      <c r="A3071" s="5">
        <v>0</v>
      </c>
      <c r="B3071" s="6" t="s">
        <v>18507</v>
      </c>
      <c r="C3071" s="13">
        <v>1880</v>
      </c>
      <c r="D3071" s="8" t="s">
        <v>18508</v>
      </c>
      <c r="E3071" s="8" t="s">
        <v>18505</v>
      </c>
      <c r="F3071" s="8" t="s">
        <v>17954</v>
      </c>
      <c r="G3071" s="6" t="s">
        <v>89</v>
      </c>
      <c r="H3071" s="6" t="s">
        <v>39</v>
      </c>
      <c r="I3071" s="8" t="s">
        <v>100</v>
      </c>
      <c r="J3071" s="9">
        <v>1</v>
      </c>
      <c r="K3071" s="9">
        <v>399</v>
      </c>
      <c r="L3071" s="9">
        <v>2024</v>
      </c>
      <c r="M3071" s="8" t="s">
        <v>18509</v>
      </c>
      <c r="N3071" s="8" t="s">
        <v>41</v>
      </c>
      <c r="O3071" s="8" t="s">
        <v>118</v>
      </c>
      <c r="P3071" s="6" t="s">
        <v>43</v>
      </c>
      <c r="Q3071" s="8" t="s">
        <v>102</v>
      </c>
      <c r="R3071" s="10" t="s">
        <v>2779</v>
      </c>
      <c r="S3071" s="11" t="s">
        <v>18510</v>
      </c>
      <c r="T3071" s="6"/>
      <c r="U3071" s="24" t="str">
        <f>HYPERLINK("https://media.infra-m.ru/2142/2142815/cover/2142815.jpg", "Обложка")</f>
        <v>Обложка</v>
      </c>
      <c r="V3071" s="24" t="str">
        <f>HYPERLINK("https://znanium.ru/catalog/product/2142815", "Ознакомиться")</f>
        <v>Ознакомиться</v>
      </c>
      <c r="W3071" s="8" t="s">
        <v>6124</v>
      </c>
      <c r="X3071" s="6"/>
      <c r="Y3071" s="6"/>
      <c r="Z3071" s="6" t="s">
        <v>104</v>
      </c>
      <c r="AA3071" s="6" t="s">
        <v>219</v>
      </c>
      <c r="AB3071" s="8"/>
    </row>
    <row r="3072" spans="1:28" s="4" customFormat="1" ht="51.95" customHeight="1">
      <c r="A3072" s="5">
        <v>0</v>
      </c>
      <c r="B3072" s="6" t="s">
        <v>18511</v>
      </c>
      <c r="C3072" s="7">
        <v>580</v>
      </c>
      <c r="D3072" s="8" t="s">
        <v>18512</v>
      </c>
      <c r="E3072" s="8" t="s">
        <v>18513</v>
      </c>
      <c r="F3072" s="8" t="s">
        <v>18514</v>
      </c>
      <c r="G3072" s="6" t="s">
        <v>38</v>
      </c>
      <c r="H3072" s="6" t="s">
        <v>53</v>
      </c>
      <c r="I3072" s="8" t="s">
        <v>90</v>
      </c>
      <c r="J3072" s="9">
        <v>1</v>
      </c>
      <c r="K3072" s="9">
        <v>109</v>
      </c>
      <c r="L3072" s="9">
        <v>2023</v>
      </c>
      <c r="M3072" s="8" t="s">
        <v>18515</v>
      </c>
      <c r="N3072" s="8" t="s">
        <v>997</v>
      </c>
      <c r="O3072" s="8" t="s">
        <v>998</v>
      </c>
      <c r="P3072" s="6" t="s">
        <v>43</v>
      </c>
      <c r="Q3072" s="8" t="s">
        <v>44</v>
      </c>
      <c r="R3072" s="10" t="s">
        <v>18516</v>
      </c>
      <c r="S3072" s="11" t="s">
        <v>18517</v>
      </c>
      <c r="T3072" s="6" t="s">
        <v>299</v>
      </c>
      <c r="U3072" s="24" t="str">
        <f>HYPERLINK("https://media.infra-m.ru/1892/1892036/cover/1892036.jpg", "Обложка")</f>
        <v>Обложка</v>
      </c>
      <c r="V3072" s="24" t="str">
        <f>HYPERLINK("https://znanium.ru/catalog/product/1892036", "Ознакомиться")</f>
        <v>Ознакомиться</v>
      </c>
      <c r="W3072" s="8" t="s">
        <v>11304</v>
      </c>
      <c r="X3072" s="6"/>
      <c r="Y3072" s="6"/>
      <c r="Z3072" s="6"/>
      <c r="AA3072" s="6" t="s">
        <v>258</v>
      </c>
      <c r="AB3072" s="8"/>
    </row>
    <row r="3073" spans="1:28" s="4" customFormat="1" ht="42" customHeight="1">
      <c r="A3073" s="5">
        <v>0</v>
      </c>
      <c r="B3073" s="6" t="s">
        <v>18518</v>
      </c>
      <c r="C3073" s="7">
        <v>960</v>
      </c>
      <c r="D3073" s="8" t="s">
        <v>18519</v>
      </c>
      <c r="E3073" s="8" t="s">
        <v>18520</v>
      </c>
      <c r="F3073" s="8" t="s">
        <v>18521</v>
      </c>
      <c r="G3073" s="6" t="s">
        <v>52</v>
      </c>
      <c r="H3073" s="6" t="s">
        <v>53</v>
      </c>
      <c r="I3073" s="8" t="s">
        <v>782</v>
      </c>
      <c r="J3073" s="9">
        <v>1</v>
      </c>
      <c r="K3073" s="9">
        <v>191</v>
      </c>
      <c r="L3073" s="9">
        <v>2024</v>
      </c>
      <c r="M3073" s="8" t="s">
        <v>18522</v>
      </c>
      <c r="N3073" s="8" t="s">
        <v>68</v>
      </c>
      <c r="O3073" s="8" t="s">
        <v>69</v>
      </c>
      <c r="P3073" s="6" t="s">
        <v>43</v>
      </c>
      <c r="Q3073" s="8" t="s">
        <v>58</v>
      </c>
      <c r="R3073" s="10" t="s">
        <v>18523</v>
      </c>
      <c r="S3073" s="11"/>
      <c r="T3073" s="6"/>
      <c r="U3073" s="24" t="str">
        <f>HYPERLINK("https://media.infra-m.ru/2124/2124964/cover/2124964.jpg", "Обложка")</f>
        <v>Обложка</v>
      </c>
      <c r="V3073" s="12"/>
      <c r="W3073" s="8" t="s">
        <v>784</v>
      </c>
      <c r="X3073" s="6" t="s">
        <v>389</v>
      </c>
      <c r="Y3073" s="6"/>
      <c r="Z3073" s="6"/>
      <c r="AA3073" s="6" t="s">
        <v>133</v>
      </c>
      <c r="AB3073" s="8"/>
    </row>
    <row r="3074" spans="1:28" s="4" customFormat="1" ht="42" customHeight="1">
      <c r="A3074" s="5">
        <v>0</v>
      </c>
      <c r="B3074" s="6" t="s">
        <v>18524</v>
      </c>
      <c r="C3074" s="13">
        <v>1430</v>
      </c>
      <c r="D3074" s="8" t="s">
        <v>18525</v>
      </c>
      <c r="E3074" s="8" t="s">
        <v>18526</v>
      </c>
      <c r="F3074" s="8" t="s">
        <v>18527</v>
      </c>
      <c r="G3074" s="6" t="s">
        <v>52</v>
      </c>
      <c r="H3074" s="6" t="s">
        <v>53</v>
      </c>
      <c r="I3074" s="8" t="s">
        <v>100</v>
      </c>
      <c r="J3074" s="9">
        <v>1</v>
      </c>
      <c r="K3074" s="9">
        <v>278</v>
      </c>
      <c r="L3074" s="9">
        <v>2025</v>
      </c>
      <c r="M3074" s="8" t="s">
        <v>18528</v>
      </c>
      <c r="N3074" s="8" t="s">
        <v>41</v>
      </c>
      <c r="O3074" s="8" t="s">
        <v>278</v>
      </c>
      <c r="P3074" s="6" t="s">
        <v>167</v>
      </c>
      <c r="Q3074" s="8" t="s">
        <v>102</v>
      </c>
      <c r="R3074" s="10" t="s">
        <v>18529</v>
      </c>
      <c r="S3074" s="11"/>
      <c r="T3074" s="6"/>
      <c r="U3074" s="24" t="str">
        <f>HYPERLINK("https://media.infra-m.ru/1907/1907612/cover/1907612.jpg", "Обложка")</f>
        <v>Обложка</v>
      </c>
      <c r="V3074" s="24" t="str">
        <f>HYPERLINK("https://znanium.ru/catalog/product/1907612", "Ознакомиться")</f>
        <v>Ознакомиться</v>
      </c>
      <c r="W3074" s="8" t="s">
        <v>1245</v>
      </c>
      <c r="X3074" s="6" t="s">
        <v>548</v>
      </c>
      <c r="Y3074" s="6"/>
      <c r="Z3074" s="6"/>
      <c r="AA3074" s="6" t="s">
        <v>61</v>
      </c>
      <c r="AB3074" s="8" t="s">
        <v>12026</v>
      </c>
    </row>
    <row r="3075" spans="1:28" s="4" customFormat="1" ht="51.95" customHeight="1">
      <c r="A3075" s="5">
        <v>0</v>
      </c>
      <c r="B3075" s="6" t="s">
        <v>18530</v>
      </c>
      <c r="C3075" s="7">
        <v>730</v>
      </c>
      <c r="D3075" s="8" t="s">
        <v>18531</v>
      </c>
      <c r="E3075" s="8" t="s">
        <v>18532</v>
      </c>
      <c r="F3075" s="8" t="s">
        <v>18533</v>
      </c>
      <c r="G3075" s="6" t="s">
        <v>38</v>
      </c>
      <c r="H3075" s="6" t="s">
        <v>53</v>
      </c>
      <c r="I3075" s="8" t="s">
        <v>560</v>
      </c>
      <c r="J3075" s="9">
        <v>1</v>
      </c>
      <c r="K3075" s="9">
        <v>136</v>
      </c>
      <c r="L3075" s="9">
        <v>2025</v>
      </c>
      <c r="M3075" s="8" t="s">
        <v>18534</v>
      </c>
      <c r="N3075" s="8" t="s">
        <v>41</v>
      </c>
      <c r="O3075" s="8" t="s">
        <v>129</v>
      </c>
      <c r="P3075" s="6" t="s">
        <v>43</v>
      </c>
      <c r="Q3075" s="8" t="s">
        <v>58</v>
      </c>
      <c r="R3075" s="10" t="s">
        <v>18535</v>
      </c>
      <c r="S3075" s="11" t="s">
        <v>18536</v>
      </c>
      <c r="T3075" s="6"/>
      <c r="U3075" s="24" t="str">
        <f>HYPERLINK("https://media.infra-m.ru/2197/2197270/cover/2197270.jpg", "Обложка")</f>
        <v>Обложка</v>
      </c>
      <c r="V3075" s="24" t="str">
        <f>HYPERLINK("https://znanium.ru/catalog/product/2197270", "Ознакомиться")</f>
        <v>Ознакомиться</v>
      </c>
      <c r="W3075" s="8" t="s">
        <v>564</v>
      </c>
      <c r="X3075" s="6"/>
      <c r="Y3075" s="6"/>
      <c r="Z3075" s="6"/>
      <c r="AA3075" s="6" t="s">
        <v>258</v>
      </c>
      <c r="AB3075" s="8"/>
    </row>
    <row r="3076" spans="1:28" s="4" customFormat="1" ht="42" customHeight="1">
      <c r="A3076" s="5">
        <v>0</v>
      </c>
      <c r="B3076" s="6" t="s">
        <v>18537</v>
      </c>
      <c r="C3076" s="7">
        <v>732</v>
      </c>
      <c r="D3076" s="8" t="s">
        <v>18538</v>
      </c>
      <c r="E3076" s="8" t="s">
        <v>18539</v>
      </c>
      <c r="F3076" s="8" t="s">
        <v>18540</v>
      </c>
      <c r="G3076" s="6" t="s">
        <v>38</v>
      </c>
      <c r="H3076" s="6" t="s">
        <v>53</v>
      </c>
      <c r="I3076" s="8" t="s">
        <v>18541</v>
      </c>
      <c r="J3076" s="9">
        <v>1</v>
      </c>
      <c r="K3076" s="9">
        <v>108</v>
      </c>
      <c r="L3076" s="9">
        <v>2024</v>
      </c>
      <c r="M3076" s="8" t="s">
        <v>18542</v>
      </c>
      <c r="N3076" s="8" t="s">
        <v>41</v>
      </c>
      <c r="O3076" s="8" t="s">
        <v>118</v>
      </c>
      <c r="P3076" s="6" t="s">
        <v>43</v>
      </c>
      <c r="Q3076" s="8" t="s">
        <v>279</v>
      </c>
      <c r="R3076" s="10" t="s">
        <v>7881</v>
      </c>
      <c r="S3076" s="11"/>
      <c r="T3076" s="6" t="s">
        <v>299</v>
      </c>
      <c r="U3076" s="24" t="str">
        <f>HYPERLINK("https://media.infra-m.ru/2061/2061331/cover/2061331.jpg", "Обложка")</f>
        <v>Обложка</v>
      </c>
      <c r="V3076" s="24" t="str">
        <f>HYPERLINK("https://znanium.ru/catalog/product/2061331", "Ознакомиться")</f>
        <v>Ознакомиться</v>
      </c>
      <c r="W3076" s="8" t="s">
        <v>13407</v>
      </c>
      <c r="X3076" s="6"/>
      <c r="Y3076" s="6"/>
      <c r="Z3076" s="6"/>
      <c r="AA3076" s="6" t="s">
        <v>622</v>
      </c>
      <c r="AB3076" s="8"/>
    </row>
    <row r="3077" spans="1:28" s="4" customFormat="1" ht="51.95" customHeight="1">
      <c r="A3077" s="5">
        <v>0</v>
      </c>
      <c r="B3077" s="6" t="s">
        <v>18543</v>
      </c>
      <c r="C3077" s="13">
        <v>1020</v>
      </c>
      <c r="D3077" s="8" t="s">
        <v>18544</v>
      </c>
      <c r="E3077" s="8" t="s">
        <v>18545</v>
      </c>
      <c r="F3077" s="8" t="s">
        <v>18546</v>
      </c>
      <c r="G3077" s="6" t="s">
        <v>52</v>
      </c>
      <c r="H3077" s="6" t="s">
        <v>53</v>
      </c>
      <c r="I3077" s="8" t="s">
        <v>116</v>
      </c>
      <c r="J3077" s="9">
        <v>1</v>
      </c>
      <c r="K3077" s="9">
        <v>191</v>
      </c>
      <c r="L3077" s="9">
        <v>2024</v>
      </c>
      <c r="M3077" s="8" t="s">
        <v>18547</v>
      </c>
      <c r="N3077" s="8" t="s">
        <v>41</v>
      </c>
      <c r="O3077" s="8" t="s">
        <v>1007</v>
      </c>
      <c r="P3077" s="6" t="s">
        <v>43</v>
      </c>
      <c r="Q3077" s="8" t="s">
        <v>44</v>
      </c>
      <c r="R3077" s="10" t="s">
        <v>18548</v>
      </c>
      <c r="S3077" s="11"/>
      <c r="T3077" s="6"/>
      <c r="U3077" s="24" t="str">
        <f>HYPERLINK("https://media.infra-m.ru/1861/1861002/cover/1861002.jpg", "Обложка")</f>
        <v>Обложка</v>
      </c>
      <c r="V3077" s="24" t="str">
        <f>HYPERLINK("https://znanium.ru/catalog/product/1861002", "Ознакомиться")</f>
        <v>Ознакомиться</v>
      </c>
      <c r="W3077" s="8" t="s">
        <v>1587</v>
      </c>
      <c r="X3077" s="6" t="s">
        <v>772</v>
      </c>
      <c r="Y3077" s="6"/>
      <c r="Z3077" s="6"/>
      <c r="AA3077" s="6" t="s">
        <v>133</v>
      </c>
      <c r="AB3077" s="8"/>
    </row>
    <row r="3078" spans="1:28" s="4" customFormat="1" ht="51.95" customHeight="1">
      <c r="A3078" s="5">
        <v>0</v>
      </c>
      <c r="B3078" s="6" t="s">
        <v>18549</v>
      </c>
      <c r="C3078" s="13">
        <v>2094</v>
      </c>
      <c r="D3078" s="8" t="s">
        <v>18550</v>
      </c>
      <c r="E3078" s="8" t="s">
        <v>18551</v>
      </c>
      <c r="F3078" s="8" t="s">
        <v>18552</v>
      </c>
      <c r="G3078" s="6" t="s">
        <v>52</v>
      </c>
      <c r="H3078" s="6" t="s">
        <v>674</v>
      </c>
      <c r="I3078" s="8"/>
      <c r="J3078" s="9">
        <v>1</v>
      </c>
      <c r="K3078" s="9">
        <v>416</v>
      </c>
      <c r="L3078" s="9">
        <v>2025</v>
      </c>
      <c r="M3078" s="8" t="s">
        <v>18553</v>
      </c>
      <c r="N3078" s="8" t="s">
        <v>41</v>
      </c>
      <c r="O3078" s="8" t="s">
        <v>1007</v>
      </c>
      <c r="P3078" s="6" t="s">
        <v>167</v>
      </c>
      <c r="Q3078" s="8" t="s">
        <v>44</v>
      </c>
      <c r="R3078" s="10" t="s">
        <v>18554</v>
      </c>
      <c r="S3078" s="11" t="s">
        <v>18555</v>
      </c>
      <c r="T3078" s="6"/>
      <c r="U3078" s="24" t="str">
        <f>HYPERLINK("https://media.infra-m.ru/2178/2178767/cover/2178767.jpg", "Обложка")</f>
        <v>Обложка</v>
      </c>
      <c r="V3078" s="24" t="str">
        <f>HYPERLINK("https://znanium.ru/catalog/product/1712399", "Ознакомиться")</f>
        <v>Ознакомиться</v>
      </c>
      <c r="W3078" s="8" t="s">
        <v>1076</v>
      </c>
      <c r="X3078" s="6"/>
      <c r="Y3078" s="6"/>
      <c r="Z3078" s="6"/>
      <c r="AA3078" s="6" t="s">
        <v>14104</v>
      </c>
      <c r="AB3078" s="8"/>
    </row>
    <row r="3079" spans="1:28" s="4" customFormat="1" ht="44.1" customHeight="1">
      <c r="A3079" s="5">
        <v>0</v>
      </c>
      <c r="B3079" s="6" t="s">
        <v>18556</v>
      </c>
      <c r="C3079" s="13">
        <v>2714</v>
      </c>
      <c r="D3079" s="8" t="s">
        <v>18557</v>
      </c>
      <c r="E3079" s="8" t="s">
        <v>18558</v>
      </c>
      <c r="F3079" s="8" t="s">
        <v>18559</v>
      </c>
      <c r="G3079" s="6" t="s">
        <v>52</v>
      </c>
      <c r="H3079" s="6" t="s">
        <v>66</v>
      </c>
      <c r="I3079" s="8"/>
      <c r="J3079" s="9">
        <v>1</v>
      </c>
      <c r="K3079" s="9">
        <v>790</v>
      </c>
      <c r="L3079" s="9">
        <v>2025</v>
      </c>
      <c r="M3079" s="8" t="s">
        <v>18560</v>
      </c>
      <c r="N3079" s="8" t="s">
        <v>41</v>
      </c>
      <c r="O3079" s="8" t="s">
        <v>118</v>
      </c>
      <c r="P3079" s="6" t="s">
        <v>167</v>
      </c>
      <c r="Q3079" s="8" t="s">
        <v>58</v>
      </c>
      <c r="R3079" s="10" t="s">
        <v>1251</v>
      </c>
      <c r="S3079" s="11"/>
      <c r="T3079" s="6"/>
      <c r="U3079" s="24" t="str">
        <f>HYPERLINK("https://media.infra-m.ru/2173/2173947/cover/2173947.jpg", "Обложка")</f>
        <v>Обложка</v>
      </c>
      <c r="V3079" s="12"/>
      <c r="W3079" s="8" t="s">
        <v>71</v>
      </c>
      <c r="X3079" s="6"/>
      <c r="Y3079" s="6"/>
      <c r="Z3079" s="6"/>
      <c r="AA3079" s="6" t="s">
        <v>18561</v>
      </c>
      <c r="AB3079" s="8"/>
    </row>
    <row r="3080" spans="1:28" s="4" customFormat="1" ht="51.95" customHeight="1">
      <c r="A3080" s="5">
        <v>0</v>
      </c>
      <c r="B3080" s="6" t="s">
        <v>18562</v>
      </c>
      <c r="C3080" s="13">
        <v>1050</v>
      </c>
      <c r="D3080" s="8" t="s">
        <v>18563</v>
      </c>
      <c r="E3080" s="8" t="s">
        <v>18564</v>
      </c>
      <c r="F3080" s="8" t="s">
        <v>11380</v>
      </c>
      <c r="G3080" s="6" t="s">
        <v>38</v>
      </c>
      <c r="H3080" s="6" t="s">
        <v>674</v>
      </c>
      <c r="I3080" s="8"/>
      <c r="J3080" s="9">
        <v>1</v>
      </c>
      <c r="K3080" s="9">
        <v>224</v>
      </c>
      <c r="L3080" s="9">
        <v>2024</v>
      </c>
      <c r="M3080" s="8" t="s">
        <v>18565</v>
      </c>
      <c r="N3080" s="8" t="s">
        <v>41</v>
      </c>
      <c r="O3080" s="8" t="s">
        <v>676</v>
      </c>
      <c r="P3080" s="6" t="s">
        <v>43</v>
      </c>
      <c r="Q3080" s="8" t="s">
        <v>44</v>
      </c>
      <c r="R3080" s="10" t="s">
        <v>2736</v>
      </c>
      <c r="S3080" s="11" t="s">
        <v>18566</v>
      </c>
      <c r="T3080" s="6"/>
      <c r="U3080" s="24" t="str">
        <f>HYPERLINK("https://media.infra-m.ru/2141/2141194/cover/2141194.jpg", "Обложка")</f>
        <v>Обложка</v>
      </c>
      <c r="V3080" s="24" t="str">
        <f>HYPERLINK("https://znanium.ru/catalog/product/2141194", "Ознакомиться")</f>
        <v>Ознакомиться</v>
      </c>
      <c r="W3080" s="8" t="s">
        <v>7139</v>
      </c>
      <c r="X3080" s="6"/>
      <c r="Y3080" s="6"/>
      <c r="Z3080" s="6"/>
      <c r="AA3080" s="6" t="s">
        <v>84</v>
      </c>
      <c r="AB3080" s="8"/>
    </row>
    <row r="3081" spans="1:28" s="4" customFormat="1" ht="51.95" customHeight="1">
      <c r="A3081" s="5">
        <v>0</v>
      </c>
      <c r="B3081" s="6" t="s">
        <v>18567</v>
      </c>
      <c r="C3081" s="13">
        <v>1320</v>
      </c>
      <c r="D3081" s="8" t="s">
        <v>18568</v>
      </c>
      <c r="E3081" s="8" t="s">
        <v>18569</v>
      </c>
      <c r="F3081" s="8" t="s">
        <v>18570</v>
      </c>
      <c r="G3081" s="6" t="s">
        <v>89</v>
      </c>
      <c r="H3081" s="6" t="s">
        <v>53</v>
      </c>
      <c r="I3081" s="8" t="s">
        <v>116</v>
      </c>
      <c r="J3081" s="9">
        <v>1</v>
      </c>
      <c r="K3081" s="9">
        <v>252</v>
      </c>
      <c r="L3081" s="9">
        <v>2025</v>
      </c>
      <c r="M3081" s="8" t="s">
        <v>18571</v>
      </c>
      <c r="N3081" s="8" t="s">
        <v>413</v>
      </c>
      <c r="O3081" s="8" t="s">
        <v>1528</v>
      </c>
      <c r="P3081" s="6" t="s">
        <v>167</v>
      </c>
      <c r="Q3081" s="8" t="s">
        <v>44</v>
      </c>
      <c r="R3081" s="10" t="s">
        <v>18572</v>
      </c>
      <c r="S3081" s="11" t="s">
        <v>18573</v>
      </c>
      <c r="T3081" s="6"/>
      <c r="U3081" s="24" t="str">
        <f>HYPERLINK("https://media.infra-m.ru/2191/2191270/cover/2191270.jpg", "Обложка")</f>
        <v>Обложка</v>
      </c>
      <c r="V3081" s="24" t="str">
        <f>HYPERLINK("https://znanium.ru/catalog/product/2191270", "Ознакомиться")</f>
        <v>Ознакомиться</v>
      </c>
      <c r="W3081" s="8" t="s">
        <v>1635</v>
      </c>
      <c r="X3081" s="6"/>
      <c r="Y3081" s="6"/>
      <c r="Z3081" s="6"/>
      <c r="AA3081" s="6" t="s">
        <v>151</v>
      </c>
      <c r="AB3081" s="8" t="s">
        <v>1383</v>
      </c>
    </row>
    <row r="3082" spans="1:28" s="4" customFormat="1" ht="51.95" customHeight="1">
      <c r="A3082" s="5">
        <v>0</v>
      </c>
      <c r="B3082" s="6" t="s">
        <v>18574</v>
      </c>
      <c r="C3082" s="13">
        <v>1160</v>
      </c>
      <c r="D3082" s="8" t="s">
        <v>18575</v>
      </c>
      <c r="E3082" s="8" t="s">
        <v>18576</v>
      </c>
      <c r="F3082" s="8" t="s">
        <v>16871</v>
      </c>
      <c r="G3082" s="6" t="s">
        <v>38</v>
      </c>
      <c r="H3082" s="6" t="s">
        <v>438</v>
      </c>
      <c r="I3082" s="8"/>
      <c r="J3082" s="9">
        <v>1</v>
      </c>
      <c r="K3082" s="9">
        <v>222</v>
      </c>
      <c r="L3082" s="9">
        <v>2022</v>
      </c>
      <c r="M3082" s="8" t="s">
        <v>18577</v>
      </c>
      <c r="N3082" s="8" t="s">
        <v>413</v>
      </c>
      <c r="O3082" s="8" t="s">
        <v>1528</v>
      </c>
      <c r="P3082" s="6" t="s">
        <v>43</v>
      </c>
      <c r="Q3082" s="8" t="s">
        <v>102</v>
      </c>
      <c r="R3082" s="10" t="s">
        <v>18578</v>
      </c>
      <c r="S3082" s="11"/>
      <c r="T3082" s="6"/>
      <c r="U3082" s="24" t="str">
        <f>HYPERLINK("https://media.infra-m.ru/1947/1947397/cover/1947397.jpg", "Обложка")</f>
        <v>Обложка</v>
      </c>
      <c r="V3082" s="24" t="str">
        <f>HYPERLINK("https://znanium.ru/catalog/product/912392", "Ознакомиться")</f>
        <v>Ознакомиться</v>
      </c>
      <c r="W3082" s="8" t="s">
        <v>46</v>
      </c>
      <c r="X3082" s="6"/>
      <c r="Y3082" s="6"/>
      <c r="Z3082" s="6"/>
      <c r="AA3082" s="6" t="s">
        <v>111</v>
      </c>
      <c r="AB3082" s="8"/>
    </row>
    <row r="3083" spans="1:28" s="4" customFormat="1" ht="51.95" customHeight="1">
      <c r="A3083" s="5">
        <v>0</v>
      </c>
      <c r="B3083" s="6" t="s">
        <v>18579</v>
      </c>
      <c r="C3083" s="13">
        <v>2494</v>
      </c>
      <c r="D3083" s="8" t="s">
        <v>18580</v>
      </c>
      <c r="E3083" s="8" t="s">
        <v>18581</v>
      </c>
      <c r="F3083" s="8" t="s">
        <v>18582</v>
      </c>
      <c r="G3083" s="6" t="s">
        <v>52</v>
      </c>
      <c r="H3083" s="6" t="s">
        <v>53</v>
      </c>
      <c r="I3083" s="8" t="s">
        <v>90</v>
      </c>
      <c r="J3083" s="9">
        <v>1</v>
      </c>
      <c r="K3083" s="9">
        <v>560</v>
      </c>
      <c r="L3083" s="9">
        <v>2025</v>
      </c>
      <c r="M3083" s="8" t="s">
        <v>18583</v>
      </c>
      <c r="N3083" s="8" t="s">
        <v>413</v>
      </c>
      <c r="O3083" s="8" t="s">
        <v>1528</v>
      </c>
      <c r="P3083" s="6" t="s">
        <v>167</v>
      </c>
      <c r="Q3083" s="8" t="s">
        <v>44</v>
      </c>
      <c r="R3083" s="10" t="s">
        <v>4159</v>
      </c>
      <c r="S3083" s="11"/>
      <c r="T3083" s="6"/>
      <c r="U3083" s="24" t="str">
        <f>HYPERLINK("https://media.infra-m.ru/2084/2084203/cover/2084203.jpg", "Обложка")</f>
        <v>Обложка</v>
      </c>
      <c r="V3083" s="24" t="str">
        <f>HYPERLINK("https://znanium.ru/catalog/product/1542312", "Ознакомиться")</f>
        <v>Ознакомиться</v>
      </c>
      <c r="W3083" s="8" t="s">
        <v>46</v>
      </c>
      <c r="X3083" s="6"/>
      <c r="Y3083" s="6"/>
      <c r="Z3083" s="6"/>
      <c r="AA3083" s="6" t="s">
        <v>9104</v>
      </c>
      <c r="AB3083" s="8"/>
    </row>
    <row r="3084" spans="1:28" s="4" customFormat="1" ht="51.95" customHeight="1">
      <c r="A3084" s="5">
        <v>0</v>
      </c>
      <c r="B3084" s="6" t="s">
        <v>18584</v>
      </c>
      <c r="C3084" s="13">
        <v>1184</v>
      </c>
      <c r="D3084" s="8" t="s">
        <v>18585</v>
      </c>
      <c r="E3084" s="8" t="s">
        <v>18586</v>
      </c>
      <c r="F3084" s="8" t="s">
        <v>18587</v>
      </c>
      <c r="G3084" s="6" t="s">
        <v>52</v>
      </c>
      <c r="H3084" s="6" t="s">
        <v>53</v>
      </c>
      <c r="I3084" s="8" t="s">
        <v>712</v>
      </c>
      <c r="J3084" s="9">
        <v>1</v>
      </c>
      <c r="K3084" s="9">
        <v>237</v>
      </c>
      <c r="L3084" s="9">
        <v>2025</v>
      </c>
      <c r="M3084" s="8" t="s">
        <v>18588</v>
      </c>
      <c r="N3084" s="8" t="s">
        <v>413</v>
      </c>
      <c r="O3084" s="8" t="s">
        <v>1528</v>
      </c>
      <c r="P3084" s="6" t="s">
        <v>43</v>
      </c>
      <c r="Q3084" s="8" t="s">
        <v>58</v>
      </c>
      <c r="R3084" s="10" t="s">
        <v>18589</v>
      </c>
      <c r="S3084" s="11" t="s">
        <v>18590</v>
      </c>
      <c r="T3084" s="6"/>
      <c r="U3084" s="24" t="str">
        <f>HYPERLINK("https://media.infra-m.ru/2180/2180477/cover/2180477.jpg", "Обложка")</f>
        <v>Обложка</v>
      </c>
      <c r="V3084" s="24" t="str">
        <f>HYPERLINK("https://znanium.ru/catalog/product/2065487", "Ознакомиться")</f>
        <v>Ознакомиться</v>
      </c>
      <c r="W3084" s="8" t="s">
        <v>716</v>
      </c>
      <c r="X3084" s="6"/>
      <c r="Y3084" s="6"/>
      <c r="Z3084" s="6"/>
      <c r="AA3084" s="6" t="s">
        <v>207</v>
      </c>
      <c r="AB3084" s="8"/>
    </row>
    <row r="3085" spans="1:28" s="4" customFormat="1" ht="51.95" customHeight="1">
      <c r="A3085" s="5">
        <v>0</v>
      </c>
      <c r="B3085" s="6" t="s">
        <v>18591</v>
      </c>
      <c r="C3085" s="7">
        <v>810</v>
      </c>
      <c r="D3085" s="8" t="s">
        <v>18592</v>
      </c>
      <c r="E3085" s="8" t="s">
        <v>18593</v>
      </c>
      <c r="F3085" s="8" t="s">
        <v>18594</v>
      </c>
      <c r="G3085" s="6" t="s">
        <v>89</v>
      </c>
      <c r="H3085" s="6" t="s">
        <v>53</v>
      </c>
      <c r="I3085" s="8" t="s">
        <v>276</v>
      </c>
      <c r="J3085" s="9">
        <v>1</v>
      </c>
      <c r="K3085" s="9">
        <v>166</v>
      </c>
      <c r="L3085" s="9">
        <v>2024</v>
      </c>
      <c r="M3085" s="8" t="s">
        <v>18595</v>
      </c>
      <c r="N3085" s="8" t="s">
        <v>79</v>
      </c>
      <c r="O3085" s="8" t="s">
        <v>684</v>
      </c>
      <c r="P3085" s="6" t="s">
        <v>43</v>
      </c>
      <c r="Q3085" s="8" t="s">
        <v>279</v>
      </c>
      <c r="R3085" s="10" t="s">
        <v>7165</v>
      </c>
      <c r="S3085" s="11" t="s">
        <v>18596</v>
      </c>
      <c r="T3085" s="6"/>
      <c r="U3085" s="24" t="str">
        <f>HYPERLINK("https://media.infra-m.ru/2131/2131186/cover/2131186.jpg", "Обложка")</f>
        <v>Обложка</v>
      </c>
      <c r="V3085" s="24" t="str">
        <f>HYPERLINK("https://znanium.ru/catalog/product/2131186", "Ознакомиться")</f>
        <v>Ознакомиться</v>
      </c>
      <c r="W3085" s="8" t="s">
        <v>13407</v>
      </c>
      <c r="X3085" s="6"/>
      <c r="Y3085" s="6"/>
      <c r="Z3085" s="6"/>
      <c r="AA3085" s="6" t="s">
        <v>258</v>
      </c>
      <c r="AB3085" s="8"/>
    </row>
    <row r="3086" spans="1:28" s="4" customFormat="1" ht="51.95" customHeight="1">
      <c r="A3086" s="5">
        <v>0</v>
      </c>
      <c r="B3086" s="6" t="s">
        <v>18597</v>
      </c>
      <c r="C3086" s="7">
        <v>644</v>
      </c>
      <c r="D3086" s="8" t="s">
        <v>18598</v>
      </c>
      <c r="E3086" s="8" t="s">
        <v>18599</v>
      </c>
      <c r="F3086" s="8" t="s">
        <v>18600</v>
      </c>
      <c r="G3086" s="6" t="s">
        <v>38</v>
      </c>
      <c r="H3086" s="6" t="s">
        <v>53</v>
      </c>
      <c r="I3086" s="8" t="s">
        <v>100</v>
      </c>
      <c r="J3086" s="9">
        <v>1</v>
      </c>
      <c r="K3086" s="9">
        <v>130</v>
      </c>
      <c r="L3086" s="9">
        <v>2023</v>
      </c>
      <c r="M3086" s="8" t="s">
        <v>18601</v>
      </c>
      <c r="N3086" s="8" t="s">
        <v>413</v>
      </c>
      <c r="O3086" s="8" t="s">
        <v>1141</v>
      </c>
      <c r="P3086" s="6" t="s">
        <v>43</v>
      </c>
      <c r="Q3086" s="8" t="s">
        <v>102</v>
      </c>
      <c r="R3086" s="10" t="s">
        <v>18602</v>
      </c>
      <c r="S3086" s="11" t="s">
        <v>18603</v>
      </c>
      <c r="T3086" s="6"/>
      <c r="U3086" s="24" t="str">
        <f>HYPERLINK("https://media.infra-m.ru/2006/2006818/cover/2006818.jpg", "Обложка")</f>
        <v>Обложка</v>
      </c>
      <c r="V3086" s="24" t="str">
        <f>HYPERLINK("https://znanium.ru/catalog/product/1003203", "Ознакомиться")</f>
        <v>Ознакомиться</v>
      </c>
      <c r="W3086" s="8" t="s">
        <v>399</v>
      </c>
      <c r="X3086" s="6"/>
      <c r="Y3086" s="6"/>
      <c r="Z3086" s="6"/>
      <c r="AA3086" s="6" t="s">
        <v>793</v>
      </c>
      <c r="AB3086" s="8"/>
    </row>
    <row r="3087" spans="1:28" s="4" customFormat="1" ht="51.95" customHeight="1">
      <c r="A3087" s="5">
        <v>0</v>
      </c>
      <c r="B3087" s="6" t="s">
        <v>18604</v>
      </c>
      <c r="C3087" s="7">
        <v>952</v>
      </c>
      <c r="D3087" s="8" t="s">
        <v>18605</v>
      </c>
      <c r="E3087" s="8" t="s">
        <v>18606</v>
      </c>
      <c r="F3087" s="8" t="s">
        <v>2126</v>
      </c>
      <c r="G3087" s="6" t="s">
        <v>38</v>
      </c>
      <c r="H3087" s="6" t="s">
        <v>39</v>
      </c>
      <c r="I3087" s="8" t="s">
        <v>100</v>
      </c>
      <c r="J3087" s="9">
        <v>1</v>
      </c>
      <c r="K3087" s="9">
        <v>158</v>
      </c>
      <c r="L3087" s="9">
        <v>2024</v>
      </c>
      <c r="M3087" s="8" t="s">
        <v>18607</v>
      </c>
      <c r="N3087" s="8" t="s">
        <v>79</v>
      </c>
      <c r="O3087" s="8" t="s">
        <v>396</v>
      </c>
      <c r="P3087" s="6" t="s">
        <v>43</v>
      </c>
      <c r="Q3087" s="8" t="s">
        <v>102</v>
      </c>
      <c r="R3087" s="10" t="s">
        <v>18608</v>
      </c>
      <c r="S3087" s="11" t="s">
        <v>620</v>
      </c>
      <c r="T3087" s="6"/>
      <c r="U3087" s="24" t="str">
        <f>HYPERLINK("https://media.infra-m.ru/2107/2107351/cover/2107351.jpg", "Обложка")</f>
        <v>Обложка</v>
      </c>
      <c r="V3087" s="24" t="str">
        <f>HYPERLINK("https://znanium.ru/catalog/product/2107351", "Ознакомиться")</f>
        <v>Ознакомиться</v>
      </c>
      <c r="W3087" s="8"/>
      <c r="X3087" s="6"/>
      <c r="Y3087" s="6"/>
      <c r="Z3087" s="6"/>
      <c r="AA3087" s="6" t="s">
        <v>2217</v>
      </c>
      <c r="AB3087" s="8"/>
    </row>
    <row r="3088" spans="1:28" s="4" customFormat="1" ht="42" customHeight="1">
      <c r="A3088" s="5">
        <v>0</v>
      </c>
      <c r="B3088" s="6" t="s">
        <v>18609</v>
      </c>
      <c r="C3088" s="7">
        <v>854</v>
      </c>
      <c r="D3088" s="8" t="s">
        <v>18610</v>
      </c>
      <c r="E3088" s="8" t="s">
        <v>18611</v>
      </c>
      <c r="F3088" s="8" t="s">
        <v>9982</v>
      </c>
      <c r="G3088" s="6" t="s">
        <v>38</v>
      </c>
      <c r="H3088" s="6" t="s">
        <v>53</v>
      </c>
      <c r="I3088" s="8" t="s">
        <v>1622</v>
      </c>
      <c r="J3088" s="9">
        <v>1</v>
      </c>
      <c r="K3088" s="9">
        <v>188</v>
      </c>
      <c r="L3088" s="9">
        <v>2023</v>
      </c>
      <c r="M3088" s="8" t="s">
        <v>18612</v>
      </c>
      <c r="N3088" s="8" t="s">
        <v>79</v>
      </c>
      <c r="O3088" s="8" t="s">
        <v>174</v>
      </c>
      <c r="P3088" s="6" t="s">
        <v>3155</v>
      </c>
      <c r="Q3088" s="8" t="s">
        <v>18613</v>
      </c>
      <c r="R3088" s="10" t="s">
        <v>18614</v>
      </c>
      <c r="S3088" s="11"/>
      <c r="T3088" s="6"/>
      <c r="U3088" s="24" t="str">
        <f>HYPERLINK("https://media.infra-m.ru/1919/1919460/cover/1919460.jpg", "Обложка")</f>
        <v>Обложка</v>
      </c>
      <c r="V3088" s="24" t="str">
        <f>HYPERLINK("https://znanium.ru/catalog/product/1841030", "Ознакомиться")</f>
        <v>Ознакомиться</v>
      </c>
      <c r="W3088" s="8" t="s">
        <v>5973</v>
      </c>
      <c r="X3088" s="6"/>
      <c r="Y3088" s="6"/>
      <c r="Z3088" s="6"/>
      <c r="AA3088" s="6" t="s">
        <v>84</v>
      </c>
      <c r="AB3088" s="8"/>
    </row>
    <row r="3089" spans="1:28" s="4" customFormat="1" ht="51.95" customHeight="1">
      <c r="A3089" s="5">
        <v>0</v>
      </c>
      <c r="B3089" s="6" t="s">
        <v>18615</v>
      </c>
      <c r="C3089" s="13">
        <v>1994</v>
      </c>
      <c r="D3089" s="8" t="s">
        <v>18616</v>
      </c>
      <c r="E3089" s="8" t="s">
        <v>18617</v>
      </c>
      <c r="F3089" s="8" t="s">
        <v>18552</v>
      </c>
      <c r="G3089" s="6" t="s">
        <v>52</v>
      </c>
      <c r="H3089" s="6" t="s">
        <v>674</v>
      </c>
      <c r="I3089" s="8"/>
      <c r="J3089" s="9">
        <v>1</v>
      </c>
      <c r="K3089" s="9">
        <v>448</v>
      </c>
      <c r="L3089" s="9">
        <v>2024</v>
      </c>
      <c r="M3089" s="8" t="s">
        <v>18618</v>
      </c>
      <c r="N3089" s="8" t="s">
        <v>41</v>
      </c>
      <c r="O3089" s="8" t="s">
        <v>1007</v>
      </c>
      <c r="P3089" s="6" t="s">
        <v>1046</v>
      </c>
      <c r="Q3089" s="8" t="s">
        <v>44</v>
      </c>
      <c r="R3089" s="10" t="s">
        <v>18619</v>
      </c>
      <c r="S3089" s="11"/>
      <c r="T3089" s="6"/>
      <c r="U3089" s="24" t="str">
        <f>HYPERLINK("https://media.infra-m.ru/2056/2056639/cover/2056639.jpg", "Обложка")</f>
        <v>Обложка</v>
      </c>
      <c r="V3089" s="24" t="str">
        <f>HYPERLINK("https://znanium.ru/catalog/product/756205", "Ознакомиться")</f>
        <v>Ознакомиться</v>
      </c>
      <c r="W3089" s="8" t="s">
        <v>1076</v>
      </c>
      <c r="X3089" s="6"/>
      <c r="Y3089" s="6"/>
      <c r="Z3089" s="6"/>
      <c r="AA3089" s="6" t="s">
        <v>663</v>
      </c>
      <c r="AB3089" s="8"/>
    </row>
    <row r="3090" spans="1:28" s="4" customFormat="1" ht="51.95" customHeight="1">
      <c r="A3090" s="5">
        <v>0</v>
      </c>
      <c r="B3090" s="6" t="s">
        <v>18620</v>
      </c>
      <c r="C3090" s="7">
        <v>980</v>
      </c>
      <c r="D3090" s="8" t="s">
        <v>18621</v>
      </c>
      <c r="E3090" s="8" t="s">
        <v>18622</v>
      </c>
      <c r="F3090" s="8" t="s">
        <v>17808</v>
      </c>
      <c r="G3090" s="6" t="s">
        <v>89</v>
      </c>
      <c r="H3090" s="6" t="s">
        <v>39</v>
      </c>
      <c r="I3090" s="8" t="s">
        <v>100</v>
      </c>
      <c r="J3090" s="9">
        <v>1</v>
      </c>
      <c r="K3090" s="9">
        <v>208</v>
      </c>
      <c r="L3090" s="9">
        <v>2024</v>
      </c>
      <c r="M3090" s="8" t="s">
        <v>18623</v>
      </c>
      <c r="N3090" s="8" t="s">
        <v>79</v>
      </c>
      <c r="O3090" s="8" t="s">
        <v>80</v>
      </c>
      <c r="P3090" s="6" t="s">
        <v>43</v>
      </c>
      <c r="Q3090" s="8" t="s">
        <v>102</v>
      </c>
      <c r="R3090" s="10" t="s">
        <v>18624</v>
      </c>
      <c r="S3090" s="11" t="s">
        <v>18625</v>
      </c>
      <c r="T3090" s="6"/>
      <c r="U3090" s="24" t="str">
        <f>HYPERLINK("https://media.infra-m.ru/2138/2138953/cover/2138953.jpg", "Обложка")</f>
        <v>Обложка</v>
      </c>
      <c r="V3090" s="24" t="str">
        <f>HYPERLINK("https://znanium.ru/catalog/product/2138953", "Ознакомиться")</f>
        <v>Ознакомиться</v>
      </c>
      <c r="W3090" s="8" t="s">
        <v>17811</v>
      </c>
      <c r="X3090" s="6"/>
      <c r="Y3090" s="6"/>
      <c r="Z3090" s="6"/>
      <c r="AA3090" s="6" t="s">
        <v>111</v>
      </c>
      <c r="AB3090" s="8"/>
    </row>
    <row r="3091" spans="1:28" s="4" customFormat="1" ht="51.95" customHeight="1">
      <c r="A3091" s="5">
        <v>0</v>
      </c>
      <c r="B3091" s="6" t="s">
        <v>18626</v>
      </c>
      <c r="C3091" s="13">
        <v>1200</v>
      </c>
      <c r="D3091" s="8" t="s">
        <v>18627</v>
      </c>
      <c r="E3091" s="8" t="s">
        <v>18628</v>
      </c>
      <c r="F3091" s="8" t="s">
        <v>3090</v>
      </c>
      <c r="G3091" s="6" t="s">
        <v>89</v>
      </c>
      <c r="H3091" s="6" t="s">
        <v>53</v>
      </c>
      <c r="I3091" s="8" t="s">
        <v>90</v>
      </c>
      <c r="J3091" s="9">
        <v>1</v>
      </c>
      <c r="K3091" s="9">
        <v>266</v>
      </c>
      <c r="L3091" s="9">
        <v>2023</v>
      </c>
      <c r="M3091" s="8" t="s">
        <v>18629</v>
      </c>
      <c r="N3091" s="8" t="s">
        <v>56</v>
      </c>
      <c r="O3091" s="8" t="s">
        <v>4042</v>
      </c>
      <c r="P3091" s="6" t="s">
        <v>43</v>
      </c>
      <c r="Q3091" s="8" t="s">
        <v>44</v>
      </c>
      <c r="R3091" s="10" t="s">
        <v>14507</v>
      </c>
      <c r="S3091" s="11" t="s">
        <v>18630</v>
      </c>
      <c r="T3091" s="6"/>
      <c r="U3091" s="24" t="str">
        <f>HYPERLINK("https://media.infra-m.ru/1939/1939104/cover/1939104.jpg", "Обложка")</f>
        <v>Обложка</v>
      </c>
      <c r="V3091" s="24" t="str">
        <f>HYPERLINK("https://znanium.ru/catalog/product/1939104", "Ознакомиться")</f>
        <v>Ознакомиться</v>
      </c>
      <c r="W3091" s="8" t="s">
        <v>2201</v>
      </c>
      <c r="X3091" s="6"/>
      <c r="Y3091" s="6"/>
      <c r="Z3091" s="6"/>
      <c r="AA3091" s="6" t="s">
        <v>1402</v>
      </c>
      <c r="AB3091" s="8"/>
    </row>
    <row r="3092" spans="1:28" s="4" customFormat="1" ht="51.95" customHeight="1">
      <c r="A3092" s="5">
        <v>0</v>
      </c>
      <c r="B3092" s="6" t="s">
        <v>18631</v>
      </c>
      <c r="C3092" s="13">
        <v>2394</v>
      </c>
      <c r="D3092" s="8" t="s">
        <v>18632</v>
      </c>
      <c r="E3092" s="8" t="s">
        <v>18633</v>
      </c>
      <c r="F3092" s="8" t="s">
        <v>18634</v>
      </c>
      <c r="G3092" s="6" t="s">
        <v>89</v>
      </c>
      <c r="H3092" s="6" t="s">
        <v>66</v>
      </c>
      <c r="I3092" s="8" t="s">
        <v>116</v>
      </c>
      <c r="J3092" s="9">
        <v>1</v>
      </c>
      <c r="K3092" s="9">
        <v>488</v>
      </c>
      <c r="L3092" s="9">
        <v>2025</v>
      </c>
      <c r="M3092" s="8" t="s">
        <v>18635</v>
      </c>
      <c r="N3092" s="8" t="s">
        <v>79</v>
      </c>
      <c r="O3092" s="8" t="s">
        <v>396</v>
      </c>
      <c r="P3092" s="6" t="s">
        <v>43</v>
      </c>
      <c r="Q3092" s="8" t="s">
        <v>44</v>
      </c>
      <c r="R3092" s="10" t="s">
        <v>18636</v>
      </c>
      <c r="S3092" s="11" t="s">
        <v>18637</v>
      </c>
      <c r="T3092" s="6"/>
      <c r="U3092" s="24" t="str">
        <f>HYPERLINK("https://media.infra-m.ru/2173/2173387/cover/2173387.jpg", "Обложка")</f>
        <v>Обложка</v>
      </c>
      <c r="V3092" s="24" t="str">
        <f>HYPERLINK("https://znanium.ru/catalog/product/1109569", "Ознакомиться")</f>
        <v>Ознакомиться</v>
      </c>
      <c r="W3092" s="8" t="s">
        <v>521</v>
      </c>
      <c r="X3092" s="6"/>
      <c r="Y3092" s="6"/>
      <c r="Z3092" s="6"/>
      <c r="AA3092" s="6" t="s">
        <v>122</v>
      </c>
      <c r="AB3092" s="8"/>
    </row>
    <row r="3093" spans="1:28" s="4" customFormat="1" ht="51.95" customHeight="1">
      <c r="A3093" s="5">
        <v>0</v>
      </c>
      <c r="B3093" s="6" t="s">
        <v>18638</v>
      </c>
      <c r="C3093" s="13">
        <v>1730</v>
      </c>
      <c r="D3093" s="8" t="s">
        <v>18639</v>
      </c>
      <c r="E3093" s="8" t="s">
        <v>18640</v>
      </c>
      <c r="F3093" s="8" t="s">
        <v>18641</v>
      </c>
      <c r="G3093" s="6" t="s">
        <v>89</v>
      </c>
      <c r="H3093" s="6" t="s">
        <v>53</v>
      </c>
      <c r="I3093" s="8" t="s">
        <v>100</v>
      </c>
      <c r="J3093" s="9">
        <v>1</v>
      </c>
      <c r="K3093" s="9">
        <v>329</v>
      </c>
      <c r="L3093" s="9">
        <v>2025</v>
      </c>
      <c r="M3093" s="8" t="s">
        <v>18642</v>
      </c>
      <c r="N3093" s="8" t="s">
        <v>79</v>
      </c>
      <c r="O3093" s="8" t="s">
        <v>80</v>
      </c>
      <c r="P3093" s="6" t="s">
        <v>167</v>
      </c>
      <c r="Q3093" s="8" t="s">
        <v>102</v>
      </c>
      <c r="R3093" s="10" t="s">
        <v>18643</v>
      </c>
      <c r="S3093" s="11" t="s">
        <v>18644</v>
      </c>
      <c r="T3093" s="6"/>
      <c r="U3093" s="24" t="str">
        <f>HYPERLINK("https://media.infra-m.ru/2174/2174910/cover/2174910.jpg", "Обложка")</f>
        <v>Обложка</v>
      </c>
      <c r="V3093" s="24" t="str">
        <f>HYPERLINK("https://znanium.ru/catalog/product/2174910", "Ознакомиться")</f>
        <v>Ознакомиться</v>
      </c>
      <c r="W3093" s="8" t="s">
        <v>399</v>
      </c>
      <c r="X3093" s="6"/>
      <c r="Y3093" s="6"/>
      <c r="Z3093" s="6" t="s">
        <v>104</v>
      </c>
      <c r="AA3093" s="6" t="s">
        <v>258</v>
      </c>
      <c r="AB3093" s="8"/>
    </row>
    <row r="3094" spans="1:28" s="4" customFormat="1" ht="51.95" customHeight="1">
      <c r="A3094" s="5">
        <v>0</v>
      </c>
      <c r="B3094" s="6" t="s">
        <v>18645</v>
      </c>
      <c r="C3094" s="13">
        <v>1644</v>
      </c>
      <c r="D3094" s="8" t="s">
        <v>18646</v>
      </c>
      <c r="E3094" s="8" t="s">
        <v>18640</v>
      </c>
      <c r="F3094" s="8" t="s">
        <v>18641</v>
      </c>
      <c r="G3094" s="6" t="s">
        <v>89</v>
      </c>
      <c r="H3094" s="6" t="s">
        <v>53</v>
      </c>
      <c r="I3094" s="8" t="s">
        <v>90</v>
      </c>
      <c r="J3094" s="9">
        <v>1</v>
      </c>
      <c r="K3094" s="9">
        <v>329</v>
      </c>
      <c r="L3094" s="9">
        <v>2025</v>
      </c>
      <c r="M3094" s="8" t="s">
        <v>18647</v>
      </c>
      <c r="N3094" s="8" t="s">
        <v>79</v>
      </c>
      <c r="O3094" s="8" t="s">
        <v>80</v>
      </c>
      <c r="P3094" s="6" t="s">
        <v>167</v>
      </c>
      <c r="Q3094" s="8" t="s">
        <v>44</v>
      </c>
      <c r="R3094" s="10" t="s">
        <v>18648</v>
      </c>
      <c r="S3094" s="11" t="s">
        <v>18649</v>
      </c>
      <c r="T3094" s="6"/>
      <c r="U3094" s="24" t="str">
        <f>HYPERLINK("https://media.infra-m.ru/2159/2159573/cover/2159573.jpg", "Обложка")</f>
        <v>Обложка</v>
      </c>
      <c r="V3094" s="24" t="str">
        <f>HYPERLINK("https://znanium.ru/catalog/product/1914211", "Ознакомиться")</f>
        <v>Ознакомиться</v>
      </c>
      <c r="W3094" s="8" t="s">
        <v>399</v>
      </c>
      <c r="X3094" s="6"/>
      <c r="Y3094" s="6"/>
      <c r="Z3094" s="6"/>
      <c r="AA3094" s="6" t="s">
        <v>111</v>
      </c>
      <c r="AB3094" s="8"/>
    </row>
    <row r="3095" spans="1:28" s="4" customFormat="1" ht="51.95" customHeight="1">
      <c r="A3095" s="5">
        <v>0</v>
      </c>
      <c r="B3095" s="6" t="s">
        <v>18650</v>
      </c>
      <c r="C3095" s="13">
        <v>1834</v>
      </c>
      <c r="D3095" s="8" t="s">
        <v>18651</v>
      </c>
      <c r="E3095" s="8" t="s">
        <v>18652</v>
      </c>
      <c r="F3095" s="8" t="s">
        <v>18653</v>
      </c>
      <c r="G3095" s="6" t="s">
        <v>89</v>
      </c>
      <c r="H3095" s="6" t="s">
        <v>39</v>
      </c>
      <c r="I3095" s="8" t="s">
        <v>90</v>
      </c>
      <c r="J3095" s="9">
        <v>1</v>
      </c>
      <c r="K3095" s="9">
        <v>367</v>
      </c>
      <c r="L3095" s="9">
        <v>2025</v>
      </c>
      <c r="M3095" s="8" t="s">
        <v>18654</v>
      </c>
      <c r="N3095" s="8" t="s">
        <v>79</v>
      </c>
      <c r="O3095" s="8" t="s">
        <v>684</v>
      </c>
      <c r="P3095" s="6" t="s">
        <v>43</v>
      </c>
      <c r="Q3095" s="8" t="s">
        <v>44</v>
      </c>
      <c r="R3095" s="10" t="s">
        <v>18655</v>
      </c>
      <c r="S3095" s="11" t="s">
        <v>18656</v>
      </c>
      <c r="T3095" s="6"/>
      <c r="U3095" s="24" t="str">
        <f>HYPERLINK("https://media.infra-m.ru/2180/2180240/cover/2180240.jpg", "Обложка")</f>
        <v>Обложка</v>
      </c>
      <c r="V3095" s="24" t="str">
        <f>HYPERLINK("https://znanium.ru/catalog/product/2104279", "Ознакомиться")</f>
        <v>Ознакомиться</v>
      </c>
      <c r="W3095" s="8" t="s">
        <v>1123</v>
      </c>
      <c r="X3095" s="6"/>
      <c r="Y3095" s="6"/>
      <c r="Z3095" s="6"/>
      <c r="AA3095" s="6" t="s">
        <v>654</v>
      </c>
      <c r="AB3095" s="8"/>
    </row>
    <row r="3096" spans="1:28" s="4" customFormat="1" ht="51.95" customHeight="1">
      <c r="A3096" s="5">
        <v>0</v>
      </c>
      <c r="B3096" s="6" t="s">
        <v>18657</v>
      </c>
      <c r="C3096" s="13">
        <v>1834</v>
      </c>
      <c r="D3096" s="8" t="s">
        <v>18658</v>
      </c>
      <c r="E3096" s="8" t="s">
        <v>18652</v>
      </c>
      <c r="F3096" s="8" t="s">
        <v>18653</v>
      </c>
      <c r="G3096" s="6" t="s">
        <v>89</v>
      </c>
      <c r="H3096" s="6" t="s">
        <v>39</v>
      </c>
      <c r="I3096" s="8" t="s">
        <v>100</v>
      </c>
      <c r="J3096" s="9">
        <v>1</v>
      </c>
      <c r="K3096" s="9">
        <v>367</v>
      </c>
      <c r="L3096" s="9">
        <v>2025</v>
      </c>
      <c r="M3096" s="8" t="s">
        <v>18659</v>
      </c>
      <c r="N3096" s="8" t="s">
        <v>79</v>
      </c>
      <c r="O3096" s="8" t="s">
        <v>684</v>
      </c>
      <c r="P3096" s="6" t="s">
        <v>43</v>
      </c>
      <c r="Q3096" s="8" t="s">
        <v>102</v>
      </c>
      <c r="R3096" s="10" t="s">
        <v>18660</v>
      </c>
      <c r="S3096" s="11" t="s">
        <v>18661</v>
      </c>
      <c r="T3096" s="6"/>
      <c r="U3096" s="24" t="str">
        <f>HYPERLINK("https://media.infra-m.ru/2185/2185890/cover/2185890.jpg", "Обложка")</f>
        <v>Обложка</v>
      </c>
      <c r="V3096" s="24" t="str">
        <f>HYPERLINK("https://znanium.ru/catalog/product/2094513", "Ознакомиться")</f>
        <v>Ознакомиться</v>
      </c>
      <c r="W3096" s="8" t="s">
        <v>1123</v>
      </c>
      <c r="X3096" s="6"/>
      <c r="Y3096" s="6"/>
      <c r="Z3096" s="6" t="s">
        <v>104</v>
      </c>
      <c r="AA3096" s="6" t="s">
        <v>258</v>
      </c>
      <c r="AB3096" s="8"/>
    </row>
    <row r="3097" spans="1:28" s="4" customFormat="1" ht="44.1" customHeight="1">
      <c r="A3097" s="5">
        <v>0</v>
      </c>
      <c r="B3097" s="6" t="s">
        <v>18662</v>
      </c>
      <c r="C3097" s="13">
        <v>1200</v>
      </c>
      <c r="D3097" s="8" t="s">
        <v>18663</v>
      </c>
      <c r="E3097" s="8" t="s">
        <v>18664</v>
      </c>
      <c r="F3097" s="8" t="s">
        <v>18665</v>
      </c>
      <c r="G3097" s="6" t="s">
        <v>38</v>
      </c>
      <c r="H3097" s="6" t="s">
        <v>952</v>
      </c>
      <c r="I3097" s="8" t="s">
        <v>1171</v>
      </c>
      <c r="J3097" s="9">
        <v>1</v>
      </c>
      <c r="K3097" s="9">
        <v>240</v>
      </c>
      <c r="L3097" s="9">
        <v>2025</v>
      </c>
      <c r="M3097" s="8" t="s">
        <v>18666</v>
      </c>
      <c r="N3097" s="8" t="s">
        <v>41</v>
      </c>
      <c r="O3097" s="8" t="s">
        <v>278</v>
      </c>
      <c r="P3097" s="6" t="s">
        <v>167</v>
      </c>
      <c r="Q3097" s="8" t="s">
        <v>44</v>
      </c>
      <c r="R3097" s="10" t="s">
        <v>18667</v>
      </c>
      <c r="S3097" s="11"/>
      <c r="T3097" s="6"/>
      <c r="U3097" s="24" t="str">
        <f>HYPERLINK("https://media.infra-m.ru/2173/2173948/cover/2173948.jpg", "Обложка")</f>
        <v>Обложка</v>
      </c>
      <c r="V3097" s="24" t="str">
        <f>HYPERLINK("https://znanium.ru/catalog/product/2173948", "Ознакомиться")</f>
        <v>Ознакомиться</v>
      </c>
      <c r="W3097" s="8" t="s">
        <v>637</v>
      </c>
      <c r="X3097" s="6"/>
      <c r="Y3097" s="6"/>
      <c r="Z3097" s="6"/>
      <c r="AA3097" s="6" t="s">
        <v>418</v>
      </c>
      <c r="AB3097" s="8"/>
    </row>
    <row r="3098" spans="1:28" s="4" customFormat="1" ht="51.95" customHeight="1">
      <c r="A3098" s="5">
        <v>0</v>
      </c>
      <c r="B3098" s="6" t="s">
        <v>18668</v>
      </c>
      <c r="C3098" s="13">
        <v>1770</v>
      </c>
      <c r="D3098" s="8" t="s">
        <v>18669</v>
      </c>
      <c r="E3098" s="8" t="s">
        <v>18670</v>
      </c>
      <c r="F3098" s="8" t="s">
        <v>18671</v>
      </c>
      <c r="G3098" s="6" t="s">
        <v>89</v>
      </c>
      <c r="H3098" s="6" t="s">
        <v>39</v>
      </c>
      <c r="I3098" s="8" t="s">
        <v>100</v>
      </c>
      <c r="J3098" s="9">
        <v>1</v>
      </c>
      <c r="K3098" s="9">
        <v>392</v>
      </c>
      <c r="L3098" s="9">
        <v>2023</v>
      </c>
      <c r="M3098" s="8" t="s">
        <v>18672</v>
      </c>
      <c r="N3098" s="8" t="s">
        <v>79</v>
      </c>
      <c r="O3098" s="8" t="s">
        <v>80</v>
      </c>
      <c r="P3098" s="6" t="s">
        <v>43</v>
      </c>
      <c r="Q3098" s="8" t="s">
        <v>102</v>
      </c>
      <c r="R3098" s="10" t="s">
        <v>18673</v>
      </c>
      <c r="S3098" s="11" t="s">
        <v>18674</v>
      </c>
      <c r="T3098" s="6"/>
      <c r="U3098" s="24" t="str">
        <f>HYPERLINK("https://media.infra-m.ru/1902/1902735/cover/1902735.jpg", "Обложка")</f>
        <v>Обложка</v>
      </c>
      <c r="V3098" s="24" t="str">
        <f>HYPERLINK("https://znanium.ru/catalog/product/1902735", "Ознакомиться")</f>
        <v>Ознакомиться</v>
      </c>
      <c r="W3098" s="8" t="s">
        <v>18675</v>
      </c>
      <c r="X3098" s="6"/>
      <c r="Y3098" s="6"/>
      <c r="Z3098" s="6"/>
      <c r="AA3098" s="6" t="s">
        <v>442</v>
      </c>
      <c r="AB3098" s="8"/>
    </row>
    <row r="3099" spans="1:28" s="4" customFormat="1" ht="51.95" customHeight="1">
      <c r="A3099" s="5">
        <v>0</v>
      </c>
      <c r="B3099" s="6" t="s">
        <v>18676</v>
      </c>
      <c r="C3099" s="13">
        <v>2990</v>
      </c>
      <c r="D3099" s="8" t="s">
        <v>18677</v>
      </c>
      <c r="E3099" s="8" t="s">
        <v>18678</v>
      </c>
      <c r="F3099" s="8" t="s">
        <v>1155</v>
      </c>
      <c r="G3099" s="6" t="s">
        <v>52</v>
      </c>
      <c r="H3099" s="6" t="s">
        <v>53</v>
      </c>
      <c r="I3099" s="8" t="s">
        <v>100</v>
      </c>
      <c r="J3099" s="9">
        <v>1</v>
      </c>
      <c r="K3099" s="9">
        <v>594</v>
      </c>
      <c r="L3099" s="9">
        <v>2025</v>
      </c>
      <c r="M3099" s="8" t="s">
        <v>18679</v>
      </c>
      <c r="N3099" s="8" t="s">
        <v>79</v>
      </c>
      <c r="O3099" s="8" t="s">
        <v>80</v>
      </c>
      <c r="P3099" s="6" t="s">
        <v>43</v>
      </c>
      <c r="Q3099" s="8" t="s">
        <v>102</v>
      </c>
      <c r="R3099" s="10" t="s">
        <v>18673</v>
      </c>
      <c r="S3099" s="11" t="s">
        <v>18680</v>
      </c>
      <c r="T3099" s="6"/>
      <c r="U3099" s="24" t="str">
        <f>HYPERLINK("https://media.infra-m.ru/2196/2196851/cover/2196851.jpg", "Обложка")</f>
        <v>Обложка</v>
      </c>
      <c r="V3099" s="24" t="str">
        <f>HYPERLINK("https://znanium.ru/catalog/product/2196851", "Ознакомиться")</f>
        <v>Ознакомиться</v>
      </c>
      <c r="W3099" s="8" t="s">
        <v>1158</v>
      </c>
      <c r="X3099" s="6"/>
      <c r="Y3099" s="6"/>
      <c r="Z3099" s="6"/>
      <c r="AA3099" s="6" t="s">
        <v>793</v>
      </c>
      <c r="AB3099" s="8"/>
    </row>
    <row r="3100" spans="1:28" s="4" customFormat="1" ht="42" customHeight="1">
      <c r="A3100" s="5">
        <v>0</v>
      </c>
      <c r="B3100" s="6" t="s">
        <v>18681</v>
      </c>
      <c r="C3100" s="13">
        <v>1220</v>
      </c>
      <c r="D3100" s="8" t="s">
        <v>18682</v>
      </c>
      <c r="E3100" s="8" t="s">
        <v>18683</v>
      </c>
      <c r="F3100" s="8" t="s">
        <v>8208</v>
      </c>
      <c r="G3100" s="6" t="s">
        <v>52</v>
      </c>
      <c r="H3100" s="6" t="s">
        <v>53</v>
      </c>
      <c r="I3100" s="8" t="s">
        <v>100</v>
      </c>
      <c r="J3100" s="9">
        <v>1</v>
      </c>
      <c r="K3100" s="9">
        <v>243</v>
      </c>
      <c r="L3100" s="9">
        <v>2025</v>
      </c>
      <c r="M3100" s="8" t="s">
        <v>18684</v>
      </c>
      <c r="N3100" s="8" t="s">
        <v>79</v>
      </c>
      <c r="O3100" s="8" t="s">
        <v>80</v>
      </c>
      <c r="P3100" s="6" t="s">
        <v>43</v>
      </c>
      <c r="Q3100" s="8" t="s">
        <v>102</v>
      </c>
      <c r="R3100" s="10" t="s">
        <v>8434</v>
      </c>
      <c r="S3100" s="11"/>
      <c r="T3100" s="6"/>
      <c r="U3100" s="24" t="str">
        <f>HYPERLINK("https://media.infra-m.ru/1867/1867578/cover/1867578.jpg", "Обложка")</f>
        <v>Обложка</v>
      </c>
      <c r="V3100" s="24" t="str">
        <f>HYPERLINK("https://znanium.ru/catalog/product/1867578", "Ознакомиться")</f>
        <v>Ознакомиться</v>
      </c>
      <c r="W3100" s="8" t="s">
        <v>8211</v>
      </c>
      <c r="X3100" s="6" t="s">
        <v>548</v>
      </c>
      <c r="Y3100" s="6"/>
      <c r="Z3100" s="6"/>
      <c r="AA3100" s="6" t="s">
        <v>61</v>
      </c>
      <c r="AB3100" s="8"/>
    </row>
    <row r="3101" spans="1:28" s="4" customFormat="1" ht="51.95" customHeight="1">
      <c r="A3101" s="5">
        <v>0</v>
      </c>
      <c r="B3101" s="6" t="s">
        <v>18685</v>
      </c>
      <c r="C3101" s="13">
        <v>2232</v>
      </c>
      <c r="D3101" s="8" t="s">
        <v>18686</v>
      </c>
      <c r="E3101" s="8" t="s">
        <v>18687</v>
      </c>
      <c r="F3101" s="8" t="s">
        <v>1155</v>
      </c>
      <c r="G3101" s="6" t="s">
        <v>89</v>
      </c>
      <c r="H3101" s="6" t="s">
        <v>53</v>
      </c>
      <c r="I3101" s="8" t="s">
        <v>116</v>
      </c>
      <c r="J3101" s="9">
        <v>1</v>
      </c>
      <c r="K3101" s="9">
        <v>343</v>
      </c>
      <c r="L3101" s="9">
        <v>2025</v>
      </c>
      <c r="M3101" s="8" t="s">
        <v>18688</v>
      </c>
      <c r="N3101" s="8" t="s">
        <v>79</v>
      </c>
      <c r="O3101" s="8" t="s">
        <v>80</v>
      </c>
      <c r="P3101" s="6" t="s">
        <v>43</v>
      </c>
      <c r="Q3101" s="8" t="s">
        <v>44</v>
      </c>
      <c r="R3101" s="10" t="s">
        <v>18689</v>
      </c>
      <c r="S3101" s="11" t="s">
        <v>18690</v>
      </c>
      <c r="T3101" s="6"/>
      <c r="U3101" s="24" t="str">
        <f>HYPERLINK("https://media.infra-m.ru/2166/2166199/cover/2166199.jpg", "Обложка")</f>
        <v>Обложка</v>
      </c>
      <c r="V3101" s="24" t="str">
        <f>HYPERLINK("https://znanium.ru/catalog/product/2166199", "Ознакомиться")</f>
        <v>Ознакомиться</v>
      </c>
      <c r="W3101" s="8" t="s">
        <v>1158</v>
      </c>
      <c r="X3101" s="6"/>
      <c r="Y3101" s="6"/>
      <c r="Z3101" s="6"/>
      <c r="AA3101" s="6" t="s">
        <v>442</v>
      </c>
      <c r="AB3101" s="8"/>
    </row>
    <row r="3102" spans="1:28" s="4" customFormat="1" ht="51.95" customHeight="1">
      <c r="A3102" s="5">
        <v>0</v>
      </c>
      <c r="B3102" s="6" t="s">
        <v>18691</v>
      </c>
      <c r="C3102" s="13">
        <v>2232</v>
      </c>
      <c r="D3102" s="8" t="s">
        <v>18692</v>
      </c>
      <c r="E3102" s="8" t="s">
        <v>18687</v>
      </c>
      <c r="F3102" s="8" t="s">
        <v>1155</v>
      </c>
      <c r="G3102" s="6" t="s">
        <v>89</v>
      </c>
      <c r="H3102" s="6" t="s">
        <v>53</v>
      </c>
      <c r="I3102" s="8" t="s">
        <v>100</v>
      </c>
      <c r="J3102" s="9">
        <v>1</v>
      </c>
      <c r="K3102" s="9">
        <v>343</v>
      </c>
      <c r="L3102" s="9">
        <v>2025</v>
      </c>
      <c r="M3102" s="8" t="s">
        <v>18693</v>
      </c>
      <c r="N3102" s="8" t="s">
        <v>79</v>
      </c>
      <c r="O3102" s="8" t="s">
        <v>80</v>
      </c>
      <c r="P3102" s="6" t="s">
        <v>43</v>
      </c>
      <c r="Q3102" s="8" t="s">
        <v>102</v>
      </c>
      <c r="R3102" s="10" t="s">
        <v>1165</v>
      </c>
      <c r="S3102" s="11" t="s">
        <v>4188</v>
      </c>
      <c r="T3102" s="6"/>
      <c r="U3102" s="24" t="str">
        <f>HYPERLINK("https://media.infra-m.ru/2186/2186214/cover/2186214.jpg", "Обложка")</f>
        <v>Обложка</v>
      </c>
      <c r="V3102" s="24" t="str">
        <f>HYPERLINK("https://znanium.ru/catalog/product/2186214", "Ознакомиться")</f>
        <v>Ознакомиться</v>
      </c>
      <c r="W3102" s="8" t="s">
        <v>1158</v>
      </c>
      <c r="X3102" s="6"/>
      <c r="Y3102" s="6"/>
      <c r="Z3102" s="6" t="s">
        <v>104</v>
      </c>
      <c r="AA3102" s="6" t="s">
        <v>151</v>
      </c>
      <c r="AB3102" s="8"/>
    </row>
    <row r="3103" spans="1:28" s="4" customFormat="1" ht="51.95" customHeight="1">
      <c r="A3103" s="5">
        <v>0</v>
      </c>
      <c r="B3103" s="6" t="s">
        <v>18694</v>
      </c>
      <c r="C3103" s="13">
        <v>2584</v>
      </c>
      <c r="D3103" s="8" t="s">
        <v>18695</v>
      </c>
      <c r="E3103" s="8" t="s">
        <v>18696</v>
      </c>
      <c r="F3103" s="8" t="s">
        <v>1155</v>
      </c>
      <c r="G3103" s="6" t="s">
        <v>52</v>
      </c>
      <c r="H3103" s="6" t="s">
        <v>53</v>
      </c>
      <c r="I3103" s="8" t="s">
        <v>90</v>
      </c>
      <c r="J3103" s="9">
        <v>1</v>
      </c>
      <c r="K3103" s="9">
        <v>515</v>
      </c>
      <c r="L3103" s="9">
        <v>2025</v>
      </c>
      <c r="M3103" s="8" t="s">
        <v>18697</v>
      </c>
      <c r="N3103" s="8" t="s">
        <v>79</v>
      </c>
      <c r="O3103" s="8" t="s">
        <v>80</v>
      </c>
      <c r="P3103" s="6" t="s">
        <v>43</v>
      </c>
      <c r="Q3103" s="8" t="s">
        <v>44</v>
      </c>
      <c r="R3103" s="10" t="s">
        <v>18698</v>
      </c>
      <c r="S3103" s="11" t="s">
        <v>18699</v>
      </c>
      <c r="T3103" s="6"/>
      <c r="U3103" s="24" t="str">
        <f>HYPERLINK("https://media.infra-m.ru/2171/2171193/cover/2171193.jpg", "Обложка")</f>
        <v>Обложка</v>
      </c>
      <c r="V3103" s="24" t="str">
        <f>HYPERLINK("https://znanium.ru/catalog/product/1039154", "Ознакомиться")</f>
        <v>Ознакомиться</v>
      </c>
      <c r="W3103" s="8" t="s">
        <v>1158</v>
      </c>
      <c r="X3103" s="6"/>
      <c r="Y3103" s="6"/>
      <c r="Z3103" s="6"/>
      <c r="AA3103" s="6" t="s">
        <v>235</v>
      </c>
      <c r="AB3103" s="8"/>
    </row>
    <row r="3104" spans="1:28" s="4" customFormat="1" ht="51.95" customHeight="1">
      <c r="A3104" s="5">
        <v>0</v>
      </c>
      <c r="B3104" s="6" t="s">
        <v>18700</v>
      </c>
      <c r="C3104" s="13">
        <v>2064</v>
      </c>
      <c r="D3104" s="8" t="s">
        <v>18701</v>
      </c>
      <c r="E3104" s="8" t="s">
        <v>18702</v>
      </c>
      <c r="F3104" s="8" t="s">
        <v>18703</v>
      </c>
      <c r="G3104" s="6" t="s">
        <v>89</v>
      </c>
      <c r="H3104" s="6" t="s">
        <v>649</v>
      </c>
      <c r="I3104" s="8" t="s">
        <v>100</v>
      </c>
      <c r="J3104" s="9">
        <v>1</v>
      </c>
      <c r="K3104" s="9">
        <v>414</v>
      </c>
      <c r="L3104" s="9">
        <v>2025</v>
      </c>
      <c r="M3104" s="8" t="s">
        <v>18704</v>
      </c>
      <c r="N3104" s="8" t="s">
        <v>79</v>
      </c>
      <c r="O3104" s="8" t="s">
        <v>80</v>
      </c>
      <c r="P3104" s="6" t="s">
        <v>43</v>
      </c>
      <c r="Q3104" s="8" t="s">
        <v>102</v>
      </c>
      <c r="R3104" s="10" t="s">
        <v>18705</v>
      </c>
      <c r="S3104" s="11" t="s">
        <v>18706</v>
      </c>
      <c r="T3104" s="6"/>
      <c r="U3104" s="24" t="str">
        <f>HYPERLINK("https://media.infra-m.ru/2174/2174656/cover/2174656.jpg", "Обложка")</f>
        <v>Обложка</v>
      </c>
      <c r="V3104" s="24" t="str">
        <f>HYPERLINK("https://znanium.ru/catalog/product/1735805", "Ознакомиться")</f>
        <v>Ознакомиться</v>
      </c>
      <c r="W3104" s="8" t="s">
        <v>2216</v>
      </c>
      <c r="X3104" s="6"/>
      <c r="Y3104" s="6"/>
      <c r="Z3104" s="6"/>
      <c r="AA3104" s="6" t="s">
        <v>555</v>
      </c>
      <c r="AB3104" s="8"/>
    </row>
    <row r="3105" spans="1:28" s="4" customFormat="1" ht="51.95" customHeight="1">
      <c r="A3105" s="5">
        <v>0</v>
      </c>
      <c r="B3105" s="6" t="s">
        <v>18707</v>
      </c>
      <c r="C3105" s="13">
        <v>1994</v>
      </c>
      <c r="D3105" s="8" t="s">
        <v>18708</v>
      </c>
      <c r="E3105" s="8" t="s">
        <v>18709</v>
      </c>
      <c r="F3105" s="8" t="s">
        <v>18710</v>
      </c>
      <c r="G3105" s="6" t="s">
        <v>89</v>
      </c>
      <c r="H3105" s="6" t="s">
        <v>39</v>
      </c>
      <c r="I3105" s="8" t="s">
        <v>185</v>
      </c>
      <c r="J3105" s="9">
        <v>1</v>
      </c>
      <c r="K3105" s="9">
        <v>431</v>
      </c>
      <c r="L3105" s="9">
        <v>2024</v>
      </c>
      <c r="M3105" s="8" t="s">
        <v>18711</v>
      </c>
      <c r="N3105" s="8" t="s">
        <v>79</v>
      </c>
      <c r="O3105" s="8" t="s">
        <v>80</v>
      </c>
      <c r="P3105" s="6" t="s">
        <v>43</v>
      </c>
      <c r="Q3105" s="8" t="s">
        <v>102</v>
      </c>
      <c r="R3105" s="10" t="s">
        <v>18712</v>
      </c>
      <c r="S3105" s="11" t="s">
        <v>18713</v>
      </c>
      <c r="T3105" s="6"/>
      <c r="U3105" s="24" t="str">
        <f>HYPERLINK("https://media.infra-m.ru/2157/2157443/cover/2157443.jpg", "Обложка")</f>
        <v>Обложка</v>
      </c>
      <c r="V3105" s="24" t="str">
        <f>HYPERLINK("https://znanium.ru/catalog/product/1150328", "Ознакомиться")</f>
        <v>Ознакомиться</v>
      </c>
      <c r="W3105" s="8" t="s">
        <v>2201</v>
      </c>
      <c r="X3105" s="6"/>
      <c r="Y3105" s="6"/>
      <c r="Z3105" s="6"/>
      <c r="AA3105" s="6" t="s">
        <v>244</v>
      </c>
      <c r="AB3105" s="8"/>
    </row>
    <row r="3106" spans="1:28" s="4" customFormat="1" ht="42" customHeight="1">
      <c r="A3106" s="5">
        <v>0</v>
      </c>
      <c r="B3106" s="6" t="s">
        <v>18714</v>
      </c>
      <c r="C3106" s="13">
        <v>1574</v>
      </c>
      <c r="D3106" s="8" t="s">
        <v>18715</v>
      </c>
      <c r="E3106" s="8" t="s">
        <v>18716</v>
      </c>
      <c r="F3106" s="8" t="s">
        <v>18717</v>
      </c>
      <c r="G3106" s="6" t="s">
        <v>89</v>
      </c>
      <c r="H3106" s="6" t="s">
        <v>53</v>
      </c>
      <c r="I3106" s="8" t="s">
        <v>100</v>
      </c>
      <c r="J3106" s="9">
        <v>1</v>
      </c>
      <c r="K3106" s="9">
        <v>314</v>
      </c>
      <c r="L3106" s="9">
        <v>2025</v>
      </c>
      <c r="M3106" s="8" t="s">
        <v>18718</v>
      </c>
      <c r="N3106" s="8" t="s">
        <v>41</v>
      </c>
      <c r="O3106" s="8" t="s">
        <v>1007</v>
      </c>
      <c r="P3106" s="6" t="s">
        <v>167</v>
      </c>
      <c r="Q3106" s="8" t="s">
        <v>102</v>
      </c>
      <c r="R3106" s="10" t="s">
        <v>3410</v>
      </c>
      <c r="S3106" s="11"/>
      <c r="T3106" s="6"/>
      <c r="U3106" s="24" t="str">
        <f>HYPERLINK("https://media.infra-m.ru/2163/2163827/cover/2163827.jpg", "Обложка")</f>
        <v>Обложка</v>
      </c>
      <c r="V3106" s="24" t="str">
        <f>HYPERLINK("https://znanium.ru/catalog/product/2163215", "Ознакомиться")</f>
        <v>Ознакомиться</v>
      </c>
      <c r="W3106" s="8" t="s">
        <v>189</v>
      </c>
      <c r="X3106" s="6"/>
      <c r="Y3106" s="6"/>
      <c r="Z3106" s="6"/>
      <c r="AA3106" s="6" t="s">
        <v>133</v>
      </c>
      <c r="AB3106" s="8" t="s">
        <v>12026</v>
      </c>
    </row>
    <row r="3107" spans="1:28" s="4" customFormat="1" ht="42" customHeight="1">
      <c r="A3107" s="5">
        <v>0</v>
      </c>
      <c r="B3107" s="6" t="s">
        <v>18719</v>
      </c>
      <c r="C3107" s="13">
        <v>1450</v>
      </c>
      <c r="D3107" s="8" t="s">
        <v>18720</v>
      </c>
      <c r="E3107" s="8" t="s">
        <v>18721</v>
      </c>
      <c r="F3107" s="8" t="s">
        <v>18722</v>
      </c>
      <c r="G3107" s="6" t="s">
        <v>52</v>
      </c>
      <c r="H3107" s="6" t="s">
        <v>53</v>
      </c>
      <c r="I3107" s="8" t="s">
        <v>100</v>
      </c>
      <c r="J3107" s="9">
        <v>1</v>
      </c>
      <c r="K3107" s="9">
        <v>306</v>
      </c>
      <c r="L3107" s="9">
        <v>2024</v>
      </c>
      <c r="M3107" s="8" t="s">
        <v>18723</v>
      </c>
      <c r="N3107" s="8" t="s">
        <v>41</v>
      </c>
      <c r="O3107" s="8" t="s">
        <v>1007</v>
      </c>
      <c r="P3107" s="6" t="s">
        <v>167</v>
      </c>
      <c r="Q3107" s="8" t="s">
        <v>102</v>
      </c>
      <c r="R3107" s="10" t="s">
        <v>3410</v>
      </c>
      <c r="S3107" s="11"/>
      <c r="T3107" s="6"/>
      <c r="U3107" s="24" t="str">
        <f>HYPERLINK("https://media.infra-m.ru/1915/1915793/cover/1915793.jpg", "Обложка")</f>
        <v>Обложка</v>
      </c>
      <c r="V3107" s="24" t="str">
        <f>HYPERLINK("https://znanium.ru/catalog/product/1915793", "Ознакомиться")</f>
        <v>Ознакомиться</v>
      </c>
      <c r="W3107" s="8" t="s">
        <v>18724</v>
      </c>
      <c r="X3107" s="6"/>
      <c r="Y3107" s="6"/>
      <c r="Z3107" s="6"/>
      <c r="AA3107" s="6" t="s">
        <v>133</v>
      </c>
      <c r="AB3107" s="8" t="s">
        <v>12026</v>
      </c>
    </row>
    <row r="3108" spans="1:28" s="4" customFormat="1" ht="42" customHeight="1">
      <c r="A3108" s="5">
        <v>0</v>
      </c>
      <c r="B3108" s="6" t="s">
        <v>18725</v>
      </c>
      <c r="C3108" s="13">
        <v>1340</v>
      </c>
      <c r="D3108" s="8" t="s">
        <v>18726</v>
      </c>
      <c r="E3108" s="8" t="s">
        <v>18727</v>
      </c>
      <c r="F3108" s="8" t="s">
        <v>18728</v>
      </c>
      <c r="G3108" s="6" t="s">
        <v>89</v>
      </c>
      <c r="H3108" s="6" t="s">
        <v>53</v>
      </c>
      <c r="I3108" s="8" t="s">
        <v>165</v>
      </c>
      <c r="J3108" s="9">
        <v>1</v>
      </c>
      <c r="K3108" s="9">
        <v>253</v>
      </c>
      <c r="L3108" s="9">
        <v>2024</v>
      </c>
      <c r="M3108" s="8" t="s">
        <v>18729</v>
      </c>
      <c r="N3108" s="8" t="s">
        <v>41</v>
      </c>
      <c r="O3108" s="8" t="s">
        <v>1007</v>
      </c>
      <c r="P3108" s="6" t="s">
        <v>167</v>
      </c>
      <c r="Q3108" s="8" t="s">
        <v>58</v>
      </c>
      <c r="R3108" s="10" t="s">
        <v>1356</v>
      </c>
      <c r="S3108" s="11"/>
      <c r="T3108" s="6"/>
      <c r="U3108" s="24" t="str">
        <f>HYPERLINK("https://media.infra-m.ru/2180/2180999/cover/2180999.jpg", "Обложка")</f>
        <v>Обложка</v>
      </c>
      <c r="V3108" s="24" t="str">
        <f>HYPERLINK("https://znanium.ru/catalog/product/2180999", "Ознакомиться")</f>
        <v>Ознакомиться</v>
      </c>
      <c r="W3108" s="8" t="s">
        <v>83</v>
      </c>
      <c r="X3108" s="6"/>
      <c r="Y3108" s="6"/>
      <c r="Z3108" s="6"/>
      <c r="AA3108" s="6" t="s">
        <v>133</v>
      </c>
      <c r="AB3108" s="8"/>
    </row>
    <row r="3109" spans="1:28" s="4" customFormat="1" ht="51.95" customHeight="1">
      <c r="A3109" s="5">
        <v>0</v>
      </c>
      <c r="B3109" s="6" t="s">
        <v>18730</v>
      </c>
      <c r="C3109" s="13">
        <v>1330</v>
      </c>
      <c r="D3109" s="8" t="s">
        <v>18731</v>
      </c>
      <c r="E3109" s="8" t="s">
        <v>18727</v>
      </c>
      <c r="F3109" s="8" t="s">
        <v>1411</v>
      </c>
      <c r="G3109" s="6" t="s">
        <v>89</v>
      </c>
      <c r="H3109" s="6" t="s">
        <v>53</v>
      </c>
      <c r="I3109" s="8" t="s">
        <v>100</v>
      </c>
      <c r="J3109" s="9">
        <v>1</v>
      </c>
      <c r="K3109" s="9">
        <v>265</v>
      </c>
      <c r="L3109" s="9">
        <v>2025</v>
      </c>
      <c r="M3109" s="8" t="s">
        <v>18732</v>
      </c>
      <c r="N3109" s="8" t="s">
        <v>41</v>
      </c>
      <c r="O3109" s="8" t="s">
        <v>1007</v>
      </c>
      <c r="P3109" s="6" t="s">
        <v>167</v>
      </c>
      <c r="Q3109" s="8" t="s">
        <v>102</v>
      </c>
      <c r="R3109" s="10" t="s">
        <v>18733</v>
      </c>
      <c r="S3109" s="11" t="s">
        <v>18734</v>
      </c>
      <c r="T3109" s="6"/>
      <c r="U3109" s="24" t="str">
        <f>HYPERLINK("https://media.infra-m.ru/2166/2166765/cover/2166765.jpg", "Обложка")</f>
        <v>Обложка</v>
      </c>
      <c r="V3109" s="24" t="str">
        <f>HYPERLINK("https://znanium.ru/catalog/product/2166765", "Ознакомиться")</f>
        <v>Ознакомиться</v>
      </c>
      <c r="W3109" s="8" t="s">
        <v>1313</v>
      </c>
      <c r="X3109" s="6"/>
      <c r="Y3109" s="6"/>
      <c r="Z3109" s="6"/>
      <c r="AA3109" s="6" t="s">
        <v>207</v>
      </c>
      <c r="AB3109" s="8" t="s">
        <v>1733</v>
      </c>
    </row>
    <row r="3110" spans="1:28" s="4" customFormat="1" ht="51.95" customHeight="1">
      <c r="A3110" s="5">
        <v>0</v>
      </c>
      <c r="B3110" s="6" t="s">
        <v>18735</v>
      </c>
      <c r="C3110" s="13">
        <v>1050</v>
      </c>
      <c r="D3110" s="8" t="s">
        <v>18736</v>
      </c>
      <c r="E3110" s="8" t="s">
        <v>18727</v>
      </c>
      <c r="F3110" s="8" t="s">
        <v>18737</v>
      </c>
      <c r="G3110" s="6" t="s">
        <v>89</v>
      </c>
      <c r="H3110" s="6" t="s">
        <v>53</v>
      </c>
      <c r="I3110" s="8" t="s">
        <v>100</v>
      </c>
      <c r="J3110" s="9">
        <v>1</v>
      </c>
      <c r="K3110" s="9">
        <v>220</v>
      </c>
      <c r="L3110" s="9">
        <v>2024</v>
      </c>
      <c r="M3110" s="8" t="s">
        <v>18738</v>
      </c>
      <c r="N3110" s="8" t="s">
        <v>41</v>
      </c>
      <c r="O3110" s="8" t="s">
        <v>1007</v>
      </c>
      <c r="P3110" s="6" t="s">
        <v>43</v>
      </c>
      <c r="Q3110" s="8" t="s">
        <v>102</v>
      </c>
      <c r="R3110" s="10" t="s">
        <v>3410</v>
      </c>
      <c r="S3110" s="11" t="s">
        <v>18739</v>
      </c>
      <c r="T3110" s="6"/>
      <c r="U3110" s="24" t="str">
        <f>HYPERLINK("https://media.infra-m.ru/2131/2131875/cover/2131875.jpg", "Обложка")</f>
        <v>Обложка</v>
      </c>
      <c r="V3110" s="24" t="str">
        <f>HYPERLINK("https://znanium.ru/catalog/product/2131875", "Ознакомиться")</f>
        <v>Ознакомиться</v>
      </c>
      <c r="W3110" s="8" t="s">
        <v>3201</v>
      </c>
      <c r="X3110" s="6"/>
      <c r="Y3110" s="6"/>
      <c r="Z3110" s="6"/>
      <c r="AA3110" s="6" t="s">
        <v>207</v>
      </c>
      <c r="AB3110" s="8" t="s">
        <v>1988</v>
      </c>
    </row>
    <row r="3111" spans="1:28" s="4" customFormat="1" ht="51.95" customHeight="1">
      <c r="A3111" s="5">
        <v>0</v>
      </c>
      <c r="B3111" s="6" t="s">
        <v>18740</v>
      </c>
      <c r="C3111" s="7">
        <v>700</v>
      </c>
      <c r="D3111" s="8" t="s">
        <v>18741</v>
      </c>
      <c r="E3111" s="8" t="s">
        <v>18742</v>
      </c>
      <c r="F3111" s="8" t="s">
        <v>18743</v>
      </c>
      <c r="G3111" s="6" t="s">
        <v>52</v>
      </c>
      <c r="H3111" s="6" t="s">
        <v>53</v>
      </c>
      <c r="I3111" s="8" t="s">
        <v>276</v>
      </c>
      <c r="J3111" s="9">
        <v>1</v>
      </c>
      <c r="K3111" s="9">
        <v>196</v>
      </c>
      <c r="L3111" s="9">
        <v>2020</v>
      </c>
      <c r="M3111" s="8" t="s">
        <v>18744</v>
      </c>
      <c r="N3111" s="8" t="s">
        <v>413</v>
      </c>
      <c r="O3111" s="8" t="s">
        <v>1584</v>
      </c>
      <c r="P3111" s="6" t="s">
        <v>43</v>
      </c>
      <c r="Q3111" s="8" t="s">
        <v>279</v>
      </c>
      <c r="R3111" s="10" t="s">
        <v>18745</v>
      </c>
      <c r="S3111" s="11"/>
      <c r="T3111" s="6"/>
      <c r="U3111" s="24" t="str">
        <f>HYPERLINK("https://media.infra-m.ru/1077/1077542/cover/1077542.jpg", "Обложка")</f>
        <v>Обложка</v>
      </c>
      <c r="V3111" s="24" t="str">
        <f>HYPERLINK("https://znanium.ru/catalog/product/1077542", "Ознакомиться")</f>
        <v>Ознакомиться</v>
      </c>
      <c r="W3111" s="8" t="s">
        <v>6838</v>
      </c>
      <c r="X3111" s="6"/>
      <c r="Y3111" s="6"/>
      <c r="Z3111" s="6"/>
      <c r="AA3111" s="6" t="s">
        <v>793</v>
      </c>
      <c r="AB3111" s="8"/>
    </row>
    <row r="3112" spans="1:28" s="4" customFormat="1" ht="42" customHeight="1">
      <c r="A3112" s="5">
        <v>0</v>
      </c>
      <c r="B3112" s="6" t="s">
        <v>18746</v>
      </c>
      <c r="C3112" s="13">
        <v>1360</v>
      </c>
      <c r="D3112" s="8" t="s">
        <v>18747</v>
      </c>
      <c r="E3112" s="8" t="s">
        <v>18748</v>
      </c>
      <c r="F3112" s="8" t="s">
        <v>18749</v>
      </c>
      <c r="G3112" s="6" t="s">
        <v>89</v>
      </c>
      <c r="H3112" s="6" t="s">
        <v>184</v>
      </c>
      <c r="I3112" s="8" t="s">
        <v>116</v>
      </c>
      <c r="J3112" s="9">
        <v>1</v>
      </c>
      <c r="K3112" s="9">
        <v>296</v>
      </c>
      <c r="L3112" s="9">
        <v>2023</v>
      </c>
      <c r="M3112" s="8" t="s">
        <v>18750</v>
      </c>
      <c r="N3112" s="8" t="s">
        <v>56</v>
      </c>
      <c r="O3112" s="8" t="s">
        <v>2183</v>
      </c>
      <c r="P3112" s="6" t="s">
        <v>167</v>
      </c>
      <c r="Q3112" s="8" t="s">
        <v>44</v>
      </c>
      <c r="R3112" s="10" t="s">
        <v>5274</v>
      </c>
      <c r="S3112" s="11"/>
      <c r="T3112" s="6"/>
      <c r="U3112" s="24" t="str">
        <f>HYPERLINK("https://media.infra-m.ru/1896/1896917/cover/1896917.jpg", "Обложка")</f>
        <v>Обложка</v>
      </c>
      <c r="V3112" s="24" t="str">
        <f>HYPERLINK("https://znanium.ru/catalog/product/1896917", "Ознакомиться")</f>
        <v>Ознакомиться</v>
      </c>
      <c r="W3112" s="8" t="s">
        <v>14987</v>
      </c>
      <c r="X3112" s="6"/>
      <c r="Y3112" s="6"/>
      <c r="Z3112" s="6"/>
      <c r="AA3112" s="6" t="s">
        <v>5034</v>
      </c>
      <c r="AB3112" s="8"/>
    </row>
    <row r="3113" spans="1:28" s="4" customFormat="1" ht="51.95" customHeight="1">
      <c r="A3113" s="5">
        <v>0</v>
      </c>
      <c r="B3113" s="6" t="s">
        <v>18751</v>
      </c>
      <c r="C3113" s="7">
        <v>604</v>
      </c>
      <c r="D3113" s="8" t="s">
        <v>18752</v>
      </c>
      <c r="E3113" s="8" t="s">
        <v>18753</v>
      </c>
      <c r="F3113" s="8" t="s">
        <v>18754</v>
      </c>
      <c r="G3113" s="6" t="s">
        <v>38</v>
      </c>
      <c r="H3113" s="6" t="s">
        <v>53</v>
      </c>
      <c r="I3113" s="8" t="s">
        <v>1779</v>
      </c>
      <c r="J3113" s="9">
        <v>1</v>
      </c>
      <c r="K3113" s="9">
        <v>121</v>
      </c>
      <c r="L3113" s="9">
        <v>2025</v>
      </c>
      <c r="M3113" s="8" t="s">
        <v>18755</v>
      </c>
      <c r="N3113" s="8" t="s">
        <v>79</v>
      </c>
      <c r="O3113" s="8" t="s">
        <v>424</v>
      </c>
      <c r="P3113" s="6" t="s">
        <v>43</v>
      </c>
      <c r="Q3113" s="8" t="s">
        <v>58</v>
      </c>
      <c r="R3113" s="10" t="s">
        <v>5274</v>
      </c>
      <c r="S3113" s="11" t="s">
        <v>18756</v>
      </c>
      <c r="T3113" s="6"/>
      <c r="U3113" s="24" t="str">
        <f>HYPERLINK("https://media.infra-m.ru/2188/2188319/cover/2188319.jpg", "Обложка")</f>
        <v>Обложка</v>
      </c>
      <c r="V3113" s="24" t="str">
        <f>HYPERLINK("https://znanium.ru/catalog/product/2013704", "Ознакомиться")</f>
        <v>Ознакомиться</v>
      </c>
      <c r="W3113" s="8" t="s">
        <v>206</v>
      </c>
      <c r="X3113" s="6"/>
      <c r="Y3113" s="6"/>
      <c r="Z3113" s="6"/>
      <c r="AA3113" s="6" t="s">
        <v>258</v>
      </c>
      <c r="AB3113" s="8"/>
    </row>
    <row r="3114" spans="1:28" s="4" customFormat="1" ht="51.95" customHeight="1">
      <c r="A3114" s="5">
        <v>0</v>
      </c>
      <c r="B3114" s="6" t="s">
        <v>18757</v>
      </c>
      <c r="C3114" s="13">
        <v>1540</v>
      </c>
      <c r="D3114" s="8" t="s">
        <v>18758</v>
      </c>
      <c r="E3114" s="8" t="s">
        <v>18759</v>
      </c>
      <c r="F3114" s="8" t="s">
        <v>18749</v>
      </c>
      <c r="G3114" s="6" t="s">
        <v>89</v>
      </c>
      <c r="H3114" s="6" t="s">
        <v>184</v>
      </c>
      <c r="I3114" s="8" t="s">
        <v>185</v>
      </c>
      <c r="J3114" s="9">
        <v>1</v>
      </c>
      <c r="K3114" s="9">
        <v>296</v>
      </c>
      <c r="L3114" s="9">
        <v>2025</v>
      </c>
      <c r="M3114" s="8" t="s">
        <v>18760</v>
      </c>
      <c r="N3114" s="8" t="s">
        <v>56</v>
      </c>
      <c r="O3114" s="8" t="s">
        <v>2183</v>
      </c>
      <c r="P3114" s="6" t="s">
        <v>167</v>
      </c>
      <c r="Q3114" s="8" t="s">
        <v>102</v>
      </c>
      <c r="R3114" s="10" t="s">
        <v>18761</v>
      </c>
      <c r="S3114" s="11"/>
      <c r="T3114" s="6"/>
      <c r="U3114" s="24" t="str">
        <f>HYPERLINK("https://media.infra-m.ru/2187/2187628/cover/2187628.jpg", "Обложка")</f>
        <v>Обложка</v>
      </c>
      <c r="V3114" s="24" t="str">
        <f>HYPERLINK("https://znanium.ru/catalog/product/2187628", "Ознакомиться")</f>
        <v>Ознакомиться</v>
      </c>
      <c r="W3114" s="8" t="s">
        <v>14987</v>
      </c>
      <c r="X3114" s="6"/>
      <c r="Y3114" s="6"/>
      <c r="Z3114" s="6" t="s">
        <v>104</v>
      </c>
      <c r="AA3114" s="6" t="s">
        <v>793</v>
      </c>
      <c r="AB3114" s="8"/>
    </row>
    <row r="3115" spans="1:28" s="4" customFormat="1" ht="51.95" customHeight="1">
      <c r="A3115" s="5">
        <v>0</v>
      </c>
      <c r="B3115" s="6" t="s">
        <v>18762</v>
      </c>
      <c r="C3115" s="13">
        <v>1294</v>
      </c>
      <c r="D3115" s="8" t="s">
        <v>18763</v>
      </c>
      <c r="E3115" s="8" t="s">
        <v>18764</v>
      </c>
      <c r="F3115" s="8" t="s">
        <v>18765</v>
      </c>
      <c r="G3115" s="6" t="s">
        <v>89</v>
      </c>
      <c r="H3115" s="6" t="s">
        <v>438</v>
      </c>
      <c r="I3115" s="8"/>
      <c r="J3115" s="9">
        <v>1</v>
      </c>
      <c r="K3115" s="9">
        <v>288</v>
      </c>
      <c r="L3115" s="9">
        <v>2023</v>
      </c>
      <c r="M3115" s="8" t="s">
        <v>18766</v>
      </c>
      <c r="N3115" s="8" t="s">
        <v>79</v>
      </c>
      <c r="O3115" s="8" t="s">
        <v>80</v>
      </c>
      <c r="P3115" s="6" t="s">
        <v>167</v>
      </c>
      <c r="Q3115" s="8" t="s">
        <v>102</v>
      </c>
      <c r="R3115" s="10" t="s">
        <v>18767</v>
      </c>
      <c r="S3115" s="11"/>
      <c r="T3115" s="6"/>
      <c r="U3115" s="24" t="str">
        <f>HYPERLINK("https://media.infra-m.ru/2006/2006039/cover/2006039.jpg", "Обложка")</f>
        <v>Обложка</v>
      </c>
      <c r="V3115" s="24" t="str">
        <f>HYPERLINK("https://znanium.ru/catalog/product/1460280", "Ознакомиться")</f>
        <v>Ознакомиться</v>
      </c>
      <c r="W3115" s="8" t="s">
        <v>2209</v>
      </c>
      <c r="X3115" s="6"/>
      <c r="Y3115" s="6"/>
      <c r="Z3115" s="6"/>
      <c r="AA3115" s="6" t="s">
        <v>442</v>
      </c>
      <c r="AB3115" s="8"/>
    </row>
    <row r="3116" spans="1:28" s="4" customFormat="1" ht="51.95" customHeight="1">
      <c r="A3116" s="5">
        <v>0</v>
      </c>
      <c r="B3116" s="6" t="s">
        <v>18768</v>
      </c>
      <c r="C3116" s="13">
        <v>1034</v>
      </c>
      <c r="D3116" s="8" t="s">
        <v>18769</v>
      </c>
      <c r="E3116" s="8" t="s">
        <v>18770</v>
      </c>
      <c r="F3116" s="8" t="s">
        <v>3669</v>
      </c>
      <c r="G3116" s="6" t="s">
        <v>52</v>
      </c>
      <c r="H3116" s="6" t="s">
        <v>649</v>
      </c>
      <c r="I3116" s="8" t="s">
        <v>116</v>
      </c>
      <c r="J3116" s="9">
        <v>1</v>
      </c>
      <c r="K3116" s="9">
        <v>224</v>
      </c>
      <c r="L3116" s="9">
        <v>2023</v>
      </c>
      <c r="M3116" s="8" t="s">
        <v>18771</v>
      </c>
      <c r="N3116" s="8" t="s">
        <v>41</v>
      </c>
      <c r="O3116" s="8" t="s">
        <v>1007</v>
      </c>
      <c r="P3116" s="6" t="s">
        <v>43</v>
      </c>
      <c r="Q3116" s="8" t="s">
        <v>44</v>
      </c>
      <c r="R3116" s="10" t="s">
        <v>1265</v>
      </c>
      <c r="S3116" s="11" t="s">
        <v>18772</v>
      </c>
      <c r="T3116" s="6"/>
      <c r="U3116" s="24" t="str">
        <f>HYPERLINK("https://media.infra-m.ru/2094/2094511/cover/2094511.jpg", "Обложка")</f>
        <v>Обложка</v>
      </c>
      <c r="V3116" s="24" t="str">
        <f>HYPERLINK("https://znanium.ru/catalog/product/1844328", "Ознакомиться")</f>
        <v>Ознакомиться</v>
      </c>
      <c r="W3116" s="8" t="s">
        <v>3672</v>
      </c>
      <c r="X3116" s="6"/>
      <c r="Y3116" s="6"/>
      <c r="Z3116" s="6"/>
      <c r="AA3116" s="6" t="s">
        <v>47</v>
      </c>
      <c r="AB3116" s="8"/>
    </row>
    <row r="3117" spans="1:28" s="4" customFormat="1" ht="51.95" customHeight="1">
      <c r="A3117" s="5">
        <v>0</v>
      </c>
      <c r="B3117" s="6" t="s">
        <v>18773</v>
      </c>
      <c r="C3117" s="13">
        <v>2382</v>
      </c>
      <c r="D3117" s="8" t="s">
        <v>18774</v>
      </c>
      <c r="E3117" s="8" t="s">
        <v>18775</v>
      </c>
      <c r="F3117" s="8" t="s">
        <v>18776</v>
      </c>
      <c r="G3117" s="6" t="s">
        <v>89</v>
      </c>
      <c r="H3117" s="6" t="s">
        <v>53</v>
      </c>
      <c r="I3117" s="8" t="s">
        <v>1325</v>
      </c>
      <c r="J3117" s="9">
        <v>1</v>
      </c>
      <c r="K3117" s="9">
        <v>356</v>
      </c>
      <c r="L3117" s="9">
        <v>2025</v>
      </c>
      <c r="M3117" s="8" t="s">
        <v>18777</v>
      </c>
      <c r="N3117" s="8" t="s">
        <v>41</v>
      </c>
      <c r="O3117" s="8" t="s">
        <v>129</v>
      </c>
      <c r="P3117" s="6" t="s">
        <v>43</v>
      </c>
      <c r="Q3117" s="8" t="s">
        <v>58</v>
      </c>
      <c r="R3117" s="10" t="s">
        <v>18778</v>
      </c>
      <c r="S3117" s="11" t="s">
        <v>18779</v>
      </c>
      <c r="T3117" s="6"/>
      <c r="U3117" s="24" t="str">
        <f>HYPERLINK("https://media.infra-m.ru/2179/2179210/cover/2179210.jpg", "Обложка")</f>
        <v>Обложка</v>
      </c>
      <c r="V3117" s="24" t="str">
        <f>HYPERLINK("https://znanium.ru/catalog/product/2179210", "Ознакомиться")</f>
        <v>Ознакомиться</v>
      </c>
      <c r="W3117" s="8" t="s">
        <v>1329</v>
      </c>
      <c r="X3117" s="6"/>
      <c r="Y3117" s="6"/>
      <c r="Z3117" s="6"/>
      <c r="AA3117" s="6" t="s">
        <v>133</v>
      </c>
      <c r="AB3117" s="8"/>
    </row>
    <row r="3118" spans="1:28" s="4" customFormat="1" ht="51.95" customHeight="1">
      <c r="A3118" s="5">
        <v>0</v>
      </c>
      <c r="B3118" s="6" t="s">
        <v>18780</v>
      </c>
      <c r="C3118" s="7">
        <v>820</v>
      </c>
      <c r="D3118" s="8" t="s">
        <v>18781</v>
      </c>
      <c r="E3118" s="8" t="s">
        <v>18782</v>
      </c>
      <c r="F3118" s="8" t="s">
        <v>2706</v>
      </c>
      <c r="G3118" s="6" t="s">
        <v>89</v>
      </c>
      <c r="H3118" s="6" t="s">
        <v>53</v>
      </c>
      <c r="I3118" s="8" t="s">
        <v>100</v>
      </c>
      <c r="J3118" s="9">
        <v>1</v>
      </c>
      <c r="K3118" s="9">
        <v>183</v>
      </c>
      <c r="L3118" s="9">
        <v>2023</v>
      </c>
      <c r="M3118" s="8" t="s">
        <v>18783</v>
      </c>
      <c r="N3118" s="8" t="s">
        <v>41</v>
      </c>
      <c r="O3118" s="8" t="s">
        <v>1007</v>
      </c>
      <c r="P3118" s="6" t="s">
        <v>167</v>
      </c>
      <c r="Q3118" s="8" t="s">
        <v>102</v>
      </c>
      <c r="R3118" s="10" t="s">
        <v>1656</v>
      </c>
      <c r="S3118" s="11" t="s">
        <v>18784</v>
      </c>
      <c r="T3118" s="6" t="s">
        <v>299</v>
      </c>
      <c r="U3118" s="24" t="str">
        <f>HYPERLINK("https://media.infra-m.ru/1965/1965770/cover/1965770.jpg", "Обложка")</f>
        <v>Обложка</v>
      </c>
      <c r="V3118" s="24" t="str">
        <f>HYPERLINK("https://znanium.ru/catalog/product/1965770", "Ознакомиться")</f>
        <v>Ознакомиться</v>
      </c>
      <c r="W3118" s="8" t="s">
        <v>1233</v>
      </c>
      <c r="X3118" s="6"/>
      <c r="Y3118" s="6"/>
      <c r="Z3118" s="6"/>
      <c r="AA3118" s="6" t="s">
        <v>793</v>
      </c>
      <c r="AB3118" s="8"/>
    </row>
    <row r="3119" spans="1:28" s="4" customFormat="1" ht="51.95" customHeight="1">
      <c r="A3119" s="5">
        <v>0</v>
      </c>
      <c r="B3119" s="6" t="s">
        <v>18785</v>
      </c>
      <c r="C3119" s="13">
        <v>1444</v>
      </c>
      <c r="D3119" s="8" t="s">
        <v>18786</v>
      </c>
      <c r="E3119" s="8" t="s">
        <v>18787</v>
      </c>
      <c r="F3119" s="8" t="s">
        <v>12244</v>
      </c>
      <c r="G3119" s="6" t="s">
        <v>52</v>
      </c>
      <c r="H3119" s="6" t="s">
        <v>39</v>
      </c>
      <c r="I3119" s="8" t="s">
        <v>185</v>
      </c>
      <c r="J3119" s="9">
        <v>1</v>
      </c>
      <c r="K3119" s="9">
        <v>288</v>
      </c>
      <c r="L3119" s="9">
        <v>2025</v>
      </c>
      <c r="M3119" s="8" t="s">
        <v>18788</v>
      </c>
      <c r="N3119" s="8" t="s">
        <v>41</v>
      </c>
      <c r="O3119" s="8" t="s">
        <v>1007</v>
      </c>
      <c r="P3119" s="6" t="s">
        <v>167</v>
      </c>
      <c r="Q3119" s="8" t="s">
        <v>102</v>
      </c>
      <c r="R3119" s="10" t="s">
        <v>1656</v>
      </c>
      <c r="S3119" s="11" t="s">
        <v>18789</v>
      </c>
      <c r="T3119" s="6"/>
      <c r="U3119" s="24" t="str">
        <f>HYPERLINK("https://media.infra-m.ru/2184/2184881/cover/2184881.jpg", "Обложка")</f>
        <v>Обложка</v>
      </c>
      <c r="V3119" s="12"/>
      <c r="W3119" s="8" t="s">
        <v>189</v>
      </c>
      <c r="X3119" s="6"/>
      <c r="Y3119" s="6"/>
      <c r="Z3119" s="6"/>
      <c r="AA3119" s="6" t="s">
        <v>663</v>
      </c>
      <c r="AB3119" s="8"/>
    </row>
    <row r="3120" spans="1:28" s="4" customFormat="1" ht="42" customHeight="1">
      <c r="A3120" s="5">
        <v>0</v>
      </c>
      <c r="B3120" s="6" t="s">
        <v>18790</v>
      </c>
      <c r="C3120" s="7">
        <v>580</v>
      </c>
      <c r="D3120" s="8" t="s">
        <v>18791</v>
      </c>
      <c r="E3120" s="8" t="s">
        <v>18787</v>
      </c>
      <c r="F3120" s="8" t="s">
        <v>18792</v>
      </c>
      <c r="G3120" s="6" t="s">
        <v>38</v>
      </c>
      <c r="H3120" s="6" t="s">
        <v>952</v>
      </c>
      <c r="I3120" s="8"/>
      <c r="J3120" s="9">
        <v>1</v>
      </c>
      <c r="K3120" s="9">
        <v>124</v>
      </c>
      <c r="L3120" s="9">
        <v>2022</v>
      </c>
      <c r="M3120" s="8" t="s">
        <v>18793</v>
      </c>
      <c r="N3120" s="8" t="s">
        <v>41</v>
      </c>
      <c r="O3120" s="8" t="s">
        <v>1007</v>
      </c>
      <c r="P3120" s="6" t="s">
        <v>43</v>
      </c>
      <c r="Q3120" s="8" t="s">
        <v>44</v>
      </c>
      <c r="R3120" s="10" t="s">
        <v>2461</v>
      </c>
      <c r="S3120" s="11"/>
      <c r="T3120" s="6"/>
      <c r="U3120" s="24" t="str">
        <f>HYPERLINK("https://media.infra-m.ru/1844/1844831/cover/1844831.jpg", "Обложка")</f>
        <v>Обложка</v>
      </c>
      <c r="V3120" s="24" t="str">
        <f>HYPERLINK("https://znanium.ru/catalog/product/1844831", "Ознакомиться")</f>
        <v>Ознакомиться</v>
      </c>
      <c r="W3120" s="8" t="s">
        <v>189</v>
      </c>
      <c r="X3120" s="6"/>
      <c r="Y3120" s="6"/>
      <c r="Z3120" s="6"/>
      <c r="AA3120" s="6" t="s">
        <v>95</v>
      </c>
      <c r="AB3120" s="8"/>
    </row>
    <row r="3121" spans="1:28" s="4" customFormat="1" ht="44.1" customHeight="1">
      <c r="A3121" s="5">
        <v>0</v>
      </c>
      <c r="B3121" s="6" t="s">
        <v>18794</v>
      </c>
      <c r="C3121" s="13">
        <v>1044.9000000000001</v>
      </c>
      <c r="D3121" s="8" t="s">
        <v>18795</v>
      </c>
      <c r="E3121" s="8" t="s">
        <v>18787</v>
      </c>
      <c r="F3121" s="8" t="s">
        <v>18796</v>
      </c>
      <c r="G3121" s="6" t="s">
        <v>38</v>
      </c>
      <c r="H3121" s="6" t="s">
        <v>184</v>
      </c>
      <c r="I3121" s="8" t="s">
        <v>90</v>
      </c>
      <c r="J3121" s="9">
        <v>1</v>
      </c>
      <c r="K3121" s="9">
        <v>274</v>
      </c>
      <c r="L3121" s="9">
        <v>2022</v>
      </c>
      <c r="M3121" s="8" t="s">
        <v>18797</v>
      </c>
      <c r="N3121" s="8" t="s">
        <v>41</v>
      </c>
      <c r="O3121" s="8" t="s">
        <v>1007</v>
      </c>
      <c r="P3121" s="6" t="s">
        <v>43</v>
      </c>
      <c r="Q3121" s="8" t="s">
        <v>44</v>
      </c>
      <c r="R3121" s="10" t="s">
        <v>5782</v>
      </c>
      <c r="S3121" s="11"/>
      <c r="T3121" s="6"/>
      <c r="U3121" s="24" t="str">
        <f>HYPERLINK("https://media.infra-m.ru/1851/1851441/cover/1851441.jpg", "Обложка")</f>
        <v>Обложка</v>
      </c>
      <c r="V3121" s="24" t="str">
        <f>HYPERLINK("https://znanium.ru/catalog/product/1036625", "Ознакомиться")</f>
        <v>Ознакомиться</v>
      </c>
      <c r="W3121" s="8" t="s">
        <v>368</v>
      </c>
      <c r="X3121" s="6"/>
      <c r="Y3121" s="6"/>
      <c r="Z3121" s="6"/>
      <c r="AA3121" s="6" t="s">
        <v>196</v>
      </c>
      <c r="AB3121" s="8"/>
    </row>
    <row r="3122" spans="1:28" s="4" customFormat="1" ht="42" customHeight="1">
      <c r="A3122" s="5">
        <v>0</v>
      </c>
      <c r="B3122" s="6" t="s">
        <v>18798</v>
      </c>
      <c r="C3122" s="13">
        <v>1224.9000000000001</v>
      </c>
      <c r="D3122" s="8" t="s">
        <v>18799</v>
      </c>
      <c r="E3122" s="8" t="s">
        <v>18800</v>
      </c>
      <c r="F3122" s="8" t="s">
        <v>18801</v>
      </c>
      <c r="G3122" s="6" t="s">
        <v>52</v>
      </c>
      <c r="H3122" s="6" t="s">
        <v>649</v>
      </c>
      <c r="I3122" s="8" t="s">
        <v>116</v>
      </c>
      <c r="J3122" s="9">
        <v>2</v>
      </c>
      <c r="K3122" s="9">
        <v>272</v>
      </c>
      <c r="L3122" s="9">
        <v>2023</v>
      </c>
      <c r="M3122" s="8" t="s">
        <v>18802</v>
      </c>
      <c r="N3122" s="8" t="s">
        <v>41</v>
      </c>
      <c r="O3122" s="8" t="s">
        <v>1007</v>
      </c>
      <c r="P3122" s="6" t="s">
        <v>43</v>
      </c>
      <c r="Q3122" s="8" t="s">
        <v>44</v>
      </c>
      <c r="R3122" s="10" t="s">
        <v>2461</v>
      </c>
      <c r="S3122" s="11"/>
      <c r="T3122" s="6"/>
      <c r="U3122" s="24" t="str">
        <f>HYPERLINK("https://media.infra-m.ru/1981/1981727/cover/1981727.jpg", "Обложка")</f>
        <v>Обложка</v>
      </c>
      <c r="V3122" s="24" t="str">
        <f>HYPERLINK("https://znanium.ru/catalog/product/1981727", "Ознакомиться")</f>
        <v>Ознакомиться</v>
      </c>
      <c r="W3122" s="8" t="s">
        <v>18147</v>
      </c>
      <c r="X3122" s="6"/>
      <c r="Y3122" s="6"/>
      <c r="Z3122" s="6"/>
      <c r="AA3122" s="6" t="s">
        <v>47</v>
      </c>
      <c r="AB3122" s="8"/>
    </row>
    <row r="3123" spans="1:28" s="4" customFormat="1" ht="51.95" customHeight="1">
      <c r="A3123" s="5">
        <v>0</v>
      </c>
      <c r="B3123" s="6" t="s">
        <v>18803</v>
      </c>
      <c r="C3123" s="13">
        <v>1994</v>
      </c>
      <c r="D3123" s="8" t="s">
        <v>18804</v>
      </c>
      <c r="E3123" s="8" t="s">
        <v>18800</v>
      </c>
      <c r="F3123" s="8" t="s">
        <v>18805</v>
      </c>
      <c r="G3123" s="6" t="s">
        <v>52</v>
      </c>
      <c r="H3123" s="6" t="s">
        <v>952</v>
      </c>
      <c r="I3123" s="8" t="s">
        <v>2662</v>
      </c>
      <c r="J3123" s="9">
        <v>1</v>
      </c>
      <c r="K3123" s="9">
        <v>446</v>
      </c>
      <c r="L3123" s="9">
        <v>2024</v>
      </c>
      <c r="M3123" s="8" t="s">
        <v>18806</v>
      </c>
      <c r="N3123" s="8" t="s">
        <v>41</v>
      </c>
      <c r="O3123" s="8" t="s">
        <v>1007</v>
      </c>
      <c r="P3123" s="6" t="s">
        <v>43</v>
      </c>
      <c r="Q3123" s="8" t="s">
        <v>102</v>
      </c>
      <c r="R3123" s="10" t="s">
        <v>18807</v>
      </c>
      <c r="S3123" s="11" t="s">
        <v>2665</v>
      </c>
      <c r="T3123" s="6"/>
      <c r="U3123" s="24" t="str">
        <f>HYPERLINK("https://media.infra-m.ru/2056/2056803/cover/2056803.jpg", "Обложка")</f>
        <v>Обложка</v>
      </c>
      <c r="V3123" s="24" t="str">
        <f>HYPERLINK("https://znanium.ru/catalog/product/1834708", "Ознакомиться")</f>
        <v>Ознакомиться</v>
      </c>
      <c r="W3123" s="8" t="s">
        <v>2666</v>
      </c>
      <c r="X3123" s="6"/>
      <c r="Y3123" s="6"/>
      <c r="Z3123" s="6"/>
      <c r="AA3123" s="6" t="s">
        <v>654</v>
      </c>
      <c r="AB3123" s="8"/>
    </row>
    <row r="3124" spans="1:28" s="4" customFormat="1" ht="51.95" customHeight="1">
      <c r="A3124" s="5">
        <v>0</v>
      </c>
      <c r="B3124" s="6" t="s">
        <v>18808</v>
      </c>
      <c r="C3124" s="13">
        <v>1440</v>
      </c>
      <c r="D3124" s="8" t="s">
        <v>18809</v>
      </c>
      <c r="E3124" s="8" t="s">
        <v>18787</v>
      </c>
      <c r="F3124" s="8" t="s">
        <v>2711</v>
      </c>
      <c r="G3124" s="6" t="s">
        <v>89</v>
      </c>
      <c r="H3124" s="6" t="s">
        <v>649</v>
      </c>
      <c r="I3124" s="8" t="s">
        <v>185</v>
      </c>
      <c r="J3124" s="9">
        <v>1</v>
      </c>
      <c r="K3124" s="9">
        <v>288</v>
      </c>
      <c r="L3124" s="9">
        <v>2024</v>
      </c>
      <c r="M3124" s="8" t="s">
        <v>18810</v>
      </c>
      <c r="N3124" s="8" t="s">
        <v>41</v>
      </c>
      <c r="O3124" s="8" t="s">
        <v>1007</v>
      </c>
      <c r="P3124" s="6" t="s">
        <v>167</v>
      </c>
      <c r="Q3124" s="8" t="s">
        <v>102</v>
      </c>
      <c r="R3124" s="10" t="s">
        <v>18807</v>
      </c>
      <c r="S3124" s="11" t="s">
        <v>2650</v>
      </c>
      <c r="T3124" s="6"/>
      <c r="U3124" s="24" t="str">
        <f>HYPERLINK("https://media.infra-m.ru/2123/2123894/cover/2123894.jpg", "Обложка")</f>
        <v>Обложка</v>
      </c>
      <c r="V3124" s="24" t="str">
        <f>HYPERLINK("https://znanium.ru/catalog/product/2123894", "Ознакомиться")</f>
        <v>Ознакомиться</v>
      </c>
      <c r="W3124" s="8" t="s">
        <v>83</v>
      </c>
      <c r="X3124" s="6"/>
      <c r="Y3124" s="6"/>
      <c r="Z3124" s="6"/>
      <c r="AA3124" s="6" t="s">
        <v>2193</v>
      </c>
      <c r="AB3124" s="8"/>
    </row>
    <row r="3125" spans="1:28" s="4" customFormat="1" ht="44.1" customHeight="1">
      <c r="A3125" s="5">
        <v>0</v>
      </c>
      <c r="B3125" s="6" t="s">
        <v>18811</v>
      </c>
      <c r="C3125" s="7">
        <v>734.9</v>
      </c>
      <c r="D3125" s="8" t="s">
        <v>18812</v>
      </c>
      <c r="E3125" s="8" t="s">
        <v>18800</v>
      </c>
      <c r="F3125" s="8" t="s">
        <v>18796</v>
      </c>
      <c r="G3125" s="6" t="s">
        <v>38</v>
      </c>
      <c r="H3125" s="6" t="s">
        <v>184</v>
      </c>
      <c r="I3125" s="8" t="s">
        <v>90</v>
      </c>
      <c r="J3125" s="9">
        <v>30</v>
      </c>
      <c r="K3125" s="9">
        <v>274</v>
      </c>
      <c r="L3125" s="9">
        <v>2017</v>
      </c>
      <c r="M3125" s="8" t="s">
        <v>18813</v>
      </c>
      <c r="N3125" s="8" t="s">
        <v>41</v>
      </c>
      <c r="O3125" s="8" t="s">
        <v>1007</v>
      </c>
      <c r="P3125" s="6" t="s">
        <v>43</v>
      </c>
      <c r="Q3125" s="8" t="s">
        <v>44</v>
      </c>
      <c r="R3125" s="10" t="s">
        <v>5782</v>
      </c>
      <c r="S3125" s="11"/>
      <c r="T3125" s="6" t="s">
        <v>299</v>
      </c>
      <c r="U3125" s="24" t="str">
        <f>HYPERLINK("https://media.infra-m.ru/0620/0620882/cover/620882.jpg", "Обложка")</f>
        <v>Обложка</v>
      </c>
      <c r="V3125" s="24" t="str">
        <f>HYPERLINK("https://znanium.ru/catalog/product/1036625", "Ознакомиться")</f>
        <v>Ознакомиться</v>
      </c>
      <c r="W3125" s="8" t="s">
        <v>368</v>
      </c>
      <c r="X3125" s="6"/>
      <c r="Y3125" s="6"/>
      <c r="Z3125" s="6"/>
      <c r="AA3125" s="6" t="s">
        <v>84</v>
      </c>
      <c r="AB3125" s="8"/>
    </row>
    <row r="3126" spans="1:28" s="4" customFormat="1" ht="51.95" customHeight="1">
      <c r="A3126" s="5">
        <v>0</v>
      </c>
      <c r="B3126" s="6" t="s">
        <v>18814</v>
      </c>
      <c r="C3126" s="7">
        <v>710</v>
      </c>
      <c r="D3126" s="8" t="s">
        <v>18815</v>
      </c>
      <c r="E3126" s="8" t="s">
        <v>18816</v>
      </c>
      <c r="F3126" s="8" t="s">
        <v>18817</v>
      </c>
      <c r="G3126" s="6" t="s">
        <v>38</v>
      </c>
      <c r="H3126" s="6" t="s">
        <v>53</v>
      </c>
      <c r="I3126" s="8" t="s">
        <v>100</v>
      </c>
      <c r="J3126" s="9">
        <v>1</v>
      </c>
      <c r="K3126" s="9">
        <v>141</v>
      </c>
      <c r="L3126" s="9">
        <v>2025</v>
      </c>
      <c r="M3126" s="8" t="s">
        <v>18818</v>
      </c>
      <c r="N3126" s="8" t="s">
        <v>56</v>
      </c>
      <c r="O3126" s="8" t="s">
        <v>2183</v>
      </c>
      <c r="P3126" s="6" t="s">
        <v>43</v>
      </c>
      <c r="Q3126" s="8" t="s">
        <v>102</v>
      </c>
      <c r="R3126" s="10" t="s">
        <v>18819</v>
      </c>
      <c r="S3126" s="11" t="s">
        <v>18820</v>
      </c>
      <c r="T3126" s="6"/>
      <c r="U3126" s="24" t="str">
        <f>HYPERLINK("https://media.infra-m.ru/2187/2187448/cover/2187448.jpg", "Обложка")</f>
        <v>Обложка</v>
      </c>
      <c r="V3126" s="24" t="str">
        <f>HYPERLINK("https://znanium.ru/catalog/product/2187448", "Ознакомиться")</f>
        <v>Ознакомиться</v>
      </c>
      <c r="W3126" s="8" t="s">
        <v>141</v>
      </c>
      <c r="X3126" s="6"/>
      <c r="Y3126" s="6"/>
      <c r="Z3126" s="6" t="s">
        <v>104</v>
      </c>
      <c r="AA3126" s="6" t="s">
        <v>258</v>
      </c>
      <c r="AB3126" s="8"/>
    </row>
    <row r="3127" spans="1:28" s="4" customFormat="1" ht="51.95" customHeight="1">
      <c r="A3127" s="5">
        <v>0</v>
      </c>
      <c r="B3127" s="6" t="s">
        <v>18821</v>
      </c>
      <c r="C3127" s="13">
        <v>2034</v>
      </c>
      <c r="D3127" s="8" t="s">
        <v>18822</v>
      </c>
      <c r="E3127" s="8" t="s">
        <v>18823</v>
      </c>
      <c r="F3127" s="8" t="s">
        <v>18824</v>
      </c>
      <c r="G3127" s="6" t="s">
        <v>89</v>
      </c>
      <c r="H3127" s="6" t="s">
        <v>53</v>
      </c>
      <c r="I3127" s="8" t="s">
        <v>90</v>
      </c>
      <c r="J3127" s="9">
        <v>1</v>
      </c>
      <c r="K3127" s="9">
        <v>407</v>
      </c>
      <c r="L3127" s="9">
        <v>2025</v>
      </c>
      <c r="M3127" s="8" t="s">
        <v>18825</v>
      </c>
      <c r="N3127" s="8" t="s">
        <v>41</v>
      </c>
      <c r="O3127" s="8" t="s">
        <v>1007</v>
      </c>
      <c r="P3127" s="6" t="s">
        <v>167</v>
      </c>
      <c r="Q3127" s="8" t="s">
        <v>44</v>
      </c>
      <c r="R3127" s="10" t="s">
        <v>13474</v>
      </c>
      <c r="S3127" s="11" t="s">
        <v>18826</v>
      </c>
      <c r="T3127" s="6"/>
      <c r="U3127" s="24" t="str">
        <f>HYPERLINK("https://media.infra-m.ru/2192/2192234/cover/2192234.jpg", "Обложка")</f>
        <v>Обложка</v>
      </c>
      <c r="V3127" s="24" t="str">
        <f>HYPERLINK("https://znanium.ru/catalog/product/1937177", "Ознакомиться")</f>
        <v>Ознакомиться</v>
      </c>
      <c r="W3127" s="8" t="s">
        <v>18827</v>
      </c>
      <c r="X3127" s="6"/>
      <c r="Y3127" s="6"/>
      <c r="Z3127" s="6"/>
      <c r="AA3127" s="6" t="s">
        <v>95</v>
      </c>
      <c r="AB3127" s="8"/>
    </row>
    <row r="3128" spans="1:28" s="4" customFormat="1" ht="51.95" customHeight="1">
      <c r="A3128" s="5">
        <v>0</v>
      </c>
      <c r="B3128" s="6" t="s">
        <v>18828</v>
      </c>
      <c r="C3128" s="7">
        <v>710</v>
      </c>
      <c r="D3128" s="8" t="s">
        <v>18829</v>
      </c>
      <c r="E3128" s="8" t="s">
        <v>18816</v>
      </c>
      <c r="F3128" s="8" t="s">
        <v>18817</v>
      </c>
      <c r="G3128" s="6" t="s">
        <v>38</v>
      </c>
      <c r="H3128" s="6" t="s">
        <v>53</v>
      </c>
      <c r="I3128" s="8" t="s">
        <v>116</v>
      </c>
      <c r="J3128" s="9">
        <v>1</v>
      </c>
      <c r="K3128" s="9">
        <v>141</v>
      </c>
      <c r="L3128" s="9">
        <v>2024</v>
      </c>
      <c r="M3128" s="8" t="s">
        <v>18830</v>
      </c>
      <c r="N3128" s="8" t="s">
        <v>56</v>
      </c>
      <c r="O3128" s="8" t="s">
        <v>2183</v>
      </c>
      <c r="P3128" s="6" t="s">
        <v>43</v>
      </c>
      <c r="Q3128" s="8" t="s">
        <v>44</v>
      </c>
      <c r="R3128" s="10" t="s">
        <v>18831</v>
      </c>
      <c r="S3128" s="11" t="s">
        <v>18832</v>
      </c>
      <c r="T3128" s="6"/>
      <c r="U3128" s="24" t="str">
        <f>HYPERLINK("https://media.infra-m.ru/2157/2157226/cover/2157226.jpg", "Обложка")</f>
        <v>Обложка</v>
      </c>
      <c r="V3128" s="24" t="str">
        <f>HYPERLINK("https://znanium.ru/catalog/product/2157226", "Ознакомиться")</f>
        <v>Ознакомиться</v>
      </c>
      <c r="W3128" s="8" t="s">
        <v>141</v>
      </c>
      <c r="X3128" s="6"/>
      <c r="Y3128" s="6"/>
      <c r="Z3128" s="6"/>
      <c r="AA3128" s="6" t="s">
        <v>151</v>
      </c>
      <c r="AB3128" s="8"/>
    </row>
    <row r="3129" spans="1:28" s="4" customFormat="1" ht="51.95" customHeight="1">
      <c r="A3129" s="5">
        <v>0</v>
      </c>
      <c r="B3129" s="6" t="s">
        <v>18833</v>
      </c>
      <c r="C3129" s="13">
        <v>1444</v>
      </c>
      <c r="D3129" s="8" t="s">
        <v>18834</v>
      </c>
      <c r="E3129" s="8" t="s">
        <v>18835</v>
      </c>
      <c r="F3129" s="8" t="s">
        <v>18836</v>
      </c>
      <c r="G3129" s="6" t="s">
        <v>52</v>
      </c>
      <c r="H3129" s="6" t="s">
        <v>53</v>
      </c>
      <c r="I3129" s="8" t="s">
        <v>1631</v>
      </c>
      <c r="J3129" s="9">
        <v>1</v>
      </c>
      <c r="K3129" s="9">
        <v>287</v>
      </c>
      <c r="L3129" s="9">
        <v>2025</v>
      </c>
      <c r="M3129" s="8" t="s">
        <v>18837</v>
      </c>
      <c r="N3129" s="8" t="s">
        <v>413</v>
      </c>
      <c r="O3129" s="8" t="s">
        <v>2771</v>
      </c>
      <c r="P3129" s="6" t="s">
        <v>43</v>
      </c>
      <c r="Q3129" s="8" t="s">
        <v>102</v>
      </c>
      <c r="R3129" s="10" t="s">
        <v>2822</v>
      </c>
      <c r="S3129" s="11" t="s">
        <v>18838</v>
      </c>
      <c r="T3129" s="6"/>
      <c r="U3129" s="24" t="str">
        <f>HYPERLINK("https://media.infra-m.ru/2186/2186958/cover/2186958.jpg", "Обложка")</f>
        <v>Обложка</v>
      </c>
      <c r="V3129" s="24" t="str">
        <f>HYPERLINK("https://znanium.ru/catalog/product/1911603", "Ознакомиться")</f>
        <v>Ознакомиться</v>
      </c>
      <c r="W3129" s="8" t="s">
        <v>716</v>
      </c>
      <c r="X3129" s="6"/>
      <c r="Y3129" s="6"/>
      <c r="Z3129" s="6"/>
      <c r="AA3129" s="6" t="s">
        <v>207</v>
      </c>
      <c r="AB3129" s="8"/>
    </row>
    <row r="3130" spans="1:28" s="4" customFormat="1" ht="51.95" customHeight="1">
      <c r="A3130" s="5">
        <v>0</v>
      </c>
      <c r="B3130" s="6" t="s">
        <v>18839</v>
      </c>
      <c r="C3130" s="13">
        <v>1480</v>
      </c>
      <c r="D3130" s="8" t="s">
        <v>18840</v>
      </c>
      <c r="E3130" s="8" t="s">
        <v>18841</v>
      </c>
      <c r="F3130" s="8" t="s">
        <v>17574</v>
      </c>
      <c r="G3130" s="6" t="s">
        <v>52</v>
      </c>
      <c r="H3130" s="6" t="s">
        <v>53</v>
      </c>
      <c r="I3130" s="8" t="s">
        <v>1631</v>
      </c>
      <c r="J3130" s="9">
        <v>1</v>
      </c>
      <c r="K3130" s="9">
        <v>328</v>
      </c>
      <c r="L3130" s="9">
        <v>2023</v>
      </c>
      <c r="M3130" s="8" t="s">
        <v>18842</v>
      </c>
      <c r="N3130" s="8" t="s">
        <v>41</v>
      </c>
      <c r="O3130" s="8" t="s">
        <v>129</v>
      </c>
      <c r="P3130" s="6" t="s">
        <v>43</v>
      </c>
      <c r="Q3130" s="8" t="s">
        <v>102</v>
      </c>
      <c r="R3130" s="10" t="s">
        <v>2822</v>
      </c>
      <c r="S3130" s="11" t="s">
        <v>18838</v>
      </c>
      <c r="T3130" s="6"/>
      <c r="U3130" s="24" t="str">
        <f>HYPERLINK("https://media.infra-m.ru/1911/1911602/cover/1911602.jpg", "Обложка")</f>
        <v>Обложка</v>
      </c>
      <c r="V3130" s="24" t="str">
        <f>HYPERLINK("https://znanium.ru/catalog/product/1911602", "Ознакомиться")</f>
        <v>Ознакомиться</v>
      </c>
      <c r="W3130" s="8" t="s">
        <v>716</v>
      </c>
      <c r="X3130" s="6"/>
      <c r="Y3130" s="6"/>
      <c r="Z3130" s="6"/>
      <c r="AA3130" s="6" t="s">
        <v>207</v>
      </c>
      <c r="AB3130" s="8"/>
    </row>
    <row r="3131" spans="1:28" s="4" customFormat="1" ht="42" customHeight="1">
      <c r="A3131" s="5">
        <v>0</v>
      </c>
      <c r="B3131" s="6" t="s">
        <v>18843</v>
      </c>
      <c r="C3131" s="13">
        <v>1570</v>
      </c>
      <c r="D3131" s="8" t="s">
        <v>18844</v>
      </c>
      <c r="E3131" s="8" t="s">
        <v>18845</v>
      </c>
      <c r="F3131" s="8" t="s">
        <v>2885</v>
      </c>
      <c r="G3131" s="6" t="s">
        <v>89</v>
      </c>
      <c r="H3131" s="6" t="s">
        <v>53</v>
      </c>
      <c r="I3131" s="8" t="s">
        <v>116</v>
      </c>
      <c r="J3131" s="9">
        <v>1</v>
      </c>
      <c r="K3131" s="9">
        <v>305</v>
      </c>
      <c r="L3131" s="9">
        <v>2025</v>
      </c>
      <c r="M3131" s="8" t="s">
        <v>18846</v>
      </c>
      <c r="N3131" s="8" t="s">
        <v>41</v>
      </c>
      <c r="O3131" s="8" t="s">
        <v>129</v>
      </c>
      <c r="P3131" s="6" t="s">
        <v>43</v>
      </c>
      <c r="Q3131" s="8" t="s">
        <v>44</v>
      </c>
      <c r="R3131" s="10" t="s">
        <v>2764</v>
      </c>
      <c r="S3131" s="11"/>
      <c r="T3131" s="6"/>
      <c r="U3131" s="24" t="str">
        <f>HYPERLINK("https://media.infra-m.ru/2179/2179595/cover/2179595.jpg", "Обложка")</f>
        <v>Обложка</v>
      </c>
      <c r="V3131" s="24" t="str">
        <f>HYPERLINK("https://znanium.ru/catalog/product/2179595", "Ознакомиться")</f>
        <v>Ознакомиться</v>
      </c>
      <c r="W3131" s="8" t="s">
        <v>189</v>
      </c>
      <c r="X3131" s="6"/>
      <c r="Y3131" s="6"/>
      <c r="Z3131" s="6" t="s">
        <v>335</v>
      </c>
      <c r="AA3131" s="6" t="s">
        <v>61</v>
      </c>
      <c r="AB3131" s="8" t="s">
        <v>1863</v>
      </c>
    </row>
    <row r="3132" spans="1:28" s="4" customFormat="1" ht="42" customHeight="1">
      <c r="A3132" s="5">
        <v>0</v>
      </c>
      <c r="B3132" s="6" t="s">
        <v>18847</v>
      </c>
      <c r="C3132" s="13">
        <v>1550</v>
      </c>
      <c r="D3132" s="8" t="s">
        <v>18848</v>
      </c>
      <c r="E3132" s="8" t="s">
        <v>18845</v>
      </c>
      <c r="F3132" s="8" t="s">
        <v>2885</v>
      </c>
      <c r="G3132" s="6" t="s">
        <v>89</v>
      </c>
      <c r="H3132" s="6" t="s">
        <v>53</v>
      </c>
      <c r="I3132" s="8" t="s">
        <v>100</v>
      </c>
      <c r="J3132" s="9">
        <v>1</v>
      </c>
      <c r="K3132" s="9">
        <v>305</v>
      </c>
      <c r="L3132" s="9">
        <v>2025</v>
      </c>
      <c r="M3132" s="8" t="s">
        <v>18849</v>
      </c>
      <c r="N3132" s="8" t="s">
        <v>41</v>
      </c>
      <c r="O3132" s="8" t="s">
        <v>129</v>
      </c>
      <c r="P3132" s="6" t="s">
        <v>43</v>
      </c>
      <c r="Q3132" s="8" t="s">
        <v>102</v>
      </c>
      <c r="R3132" s="10" t="s">
        <v>2822</v>
      </c>
      <c r="S3132" s="11"/>
      <c r="T3132" s="6"/>
      <c r="U3132" s="24" t="str">
        <f>HYPERLINK("https://media.infra-m.ru/2173/2173238/cover/2173238.jpg", "Обложка")</f>
        <v>Обложка</v>
      </c>
      <c r="V3132" s="24" t="str">
        <f>HYPERLINK("https://znanium.ru/catalog/product/2173238", "Ознакомиться")</f>
        <v>Ознакомиться</v>
      </c>
      <c r="W3132" s="8" t="s">
        <v>189</v>
      </c>
      <c r="X3132" s="6"/>
      <c r="Y3132" s="6"/>
      <c r="Z3132" s="6"/>
      <c r="AA3132" s="6" t="s">
        <v>61</v>
      </c>
      <c r="AB3132" s="8" t="s">
        <v>227</v>
      </c>
    </row>
    <row r="3133" spans="1:28" s="4" customFormat="1" ht="42" customHeight="1">
      <c r="A3133" s="5">
        <v>0</v>
      </c>
      <c r="B3133" s="6" t="s">
        <v>18850</v>
      </c>
      <c r="C3133" s="13">
        <v>1024.9000000000001</v>
      </c>
      <c r="D3133" s="8" t="s">
        <v>18851</v>
      </c>
      <c r="E3133" s="8" t="s">
        <v>18852</v>
      </c>
      <c r="F3133" s="8" t="s">
        <v>18853</v>
      </c>
      <c r="G3133" s="6" t="s">
        <v>52</v>
      </c>
      <c r="H3133" s="6" t="s">
        <v>53</v>
      </c>
      <c r="I3133" s="8" t="s">
        <v>90</v>
      </c>
      <c r="J3133" s="9">
        <v>1</v>
      </c>
      <c r="K3133" s="9">
        <v>351</v>
      </c>
      <c r="L3133" s="9">
        <v>2018</v>
      </c>
      <c r="M3133" s="8" t="s">
        <v>18854</v>
      </c>
      <c r="N3133" s="8" t="s">
        <v>413</v>
      </c>
      <c r="O3133" s="8" t="s">
        <v>414</v>
      </c>
      <c r="P3133" s="6" t="s">
        <v>167</v>
      </c>
      <c r="Q3133" s="8" t="s">
        <v>44</v>
      </c>
      <c r="R3133" s="10" t="s">
        <v>13474</v>
      </c>
      <c r="S3133" s="11"/>
      <c r="T3133" s="6"/>
      <c r="U3133" s="24" t="str">
        <f>HYPERLINK("https://media.infra-m.ru/0920/0920543/cover/920543.jpg", "Обложка")</f>
        <v>Обложка</v>
      </c>
      <c r="V3133" s="24" t="str">
        <f>HYPERLINK("https://znanium.ru/catalog/product/1937177", "Ознакомиться")</f>
        <v>Ознакомиться</v>
      </c>
      <c r="W3133" s="8" t="s">
        <v>18827</v>
      </c>
      <c r="X3133" s="6"/>
      <c r="Y3133" s="6"/>
      <c r="Z3133" s="6"/>
      <c r="AA3133" s="6" t="s">
        <v>47</v>
      </c>
      <c r="AB3133" s="8"/>
    </row>
    <row r="3134" spans="1:28" s="4" customFormat="1" ht="42" customHeight="1">
      <c r="A3134" s="5">
        <v>0</v>
      </c>
      <c r="B3134" s="6" t="s">
        <v>18855</v>
      </c>
      <c r="C3134" s="7">
        <v>880</v>
      </c>
      <c r="D3134" s="8" t="s">
        <v>18856</v>
      </c>
      <c r="E3134" s="8" t="s">
        <v>18857</v>
      </c>
      <c r="F3134" s="8" t="s">
        <v>18858</v>
      </c>
      <c r="G3134" s="6" t="s">
        <v>89</v>
      </c>
      <c r="H3134" s="6" t="s">
        <v>53</v>
      </c>
      <c r="I3134" s="8" t="s">
        <v>100</v>
      </c>
      <c r="J3134" s="9">
        <v>1</v>
      </c>
      <c r="K3134" s="9">
        <v>170</v>
      </c>
      <c r="L3134" s="9">
        <v>2025</v>
      </c>
      <c r="M3134" s="8" t="s">
        <v>18859</v>
      </c>
      <c r="N3134" s="8" t="s">
        <v>41</v>
      </c>
      <c r="O3134" s="8" t="s">
        <v>118</v>
      </c>
      <c r="P3134" s="6" t="s">
        <v>43</v>
      </c>
      <c r="Q3134" s="8" t="s">
        <v>102</v>
      </c>
      <c r="R3134" s="10" t="s">
        <v>18860</v>
      </c>
      <c r="S3134" s="11"/>
      <c r="T3134" s="6"/>
      <c r="U3134" s="24" t="str">
        <f>HYPERLINK("https://media.infra-m.ru/2162/2162492/cover/2162492.jpg", "Обложка")</f>
        <v>Обложка</v>
      </c>
      <c r="V3134" s="24" t="str">
        <f>HYPERLINK("https://znanium.ru/catalog/product/2162492", "Ознакомиться")</f>
        <v>Ознакомиться</v>
      </c>
      <c r="W3134" s="8" t="s">
        <v>18861</v>
      </c>
      <c r="X3134" s="6"/>
      <c r="Y3134" s="6"/>
      <c r="Z3134" s="6"/>
      <c r="AA3134" s="6" t="s">
        <v>133</v>
      </c>
      <c r="AB3134" s="8"/>
    </row>
    <row r="3135" spans="1:28" s="4" customFormat="1" ht="51.95" customHeight="1">
      <c r="A3135" s="5">
        <v>0</v>
      </c>
      <c r="B3135" s="6" t="s">
        <v>18862</v>
      </c>
      <c r="C3135" s="7">
        <v>920</v>
      </c>
      <c r="D3135" s="8" t="s">
        <v>18863</v>
      </c>
      <c r="E3135" s="8" t="s">
        <v>18864</v>
      </c>
      <c r="F3135" s="8" t="s">
        <v>18865</v>
      </c>
      <c r="G3135" s="6" t="s">
        <v>89</v>
      </c>
      <c r="H3135" s="6" t="s">
        <v>53</v>
      </c>
      <c r="I3135" s="8" t="s">
        <v>90</v>
      </c>
      <c r="J3135" s="9">
        <v>1</v>
      </c>
      <c r="K3135" s="9">
        <v>225</v>
      </c>
      <c r="L3135" s="9">
        <v>2022</v>
      </c>
      <c r="M3135" s="8" t="s">
        <v>18866</v>
      </c>
      <c r="N3135" s="8" t="s">
        <v>413</v>
      </c>
      <c r="O3135" s="8" t="s">
        <v>1584</v>
      </c>
      <c r="P3135" s="6" t="s">
        <v>937</v>
      </c>
      <c r="Q3135" s="8" t="s">
        <v>58</v>
      </c>
      <c r="R3135" s="10" t="s">
        <v>18867</v>
      </c>
      <c r="S3135" s="11" t="s">
        <v>18868</v>
      </c>
      <c r="T3135" s="6" t="s">
        <v>299</v>
      </c>
      <c r="U3135" s="24" t="str">
        <f>HYPERLINK("https://media.infra-m.ru/1862/1862629/cover/1862629.jpg", "Обложка")</f>
        <v>Обложка</v>
      </c>
      <c r="V3135" s="24" t="str">
        <f>HYPERLINK("https://znanium.ru/catalog/product/2196306", "Ознакомиться")</f>
        <v>Ознакомиться</v>
      </c>
      <c r="W3135" s="8" t="s">
        <v>3255</v>
      </c>
      <c r="X3135" s="6"/>
      <c r="Y3135" s="6"/>
      <c r="Z3135" s="6"/>
      <c r="AA3135" s="6" t="s">
        <v>1259</v>
      </c>
      <c r="AB3135" s="8" t="s">
        <v>271</v>
      </c>
    </row>
    <row r="3136" spans="1:28" s="4" customFormat="1" ht="51.95" customHeight="1">
      <c r="A3136" s="5">
        <v>0</v>
      </c>
      <c r="B3136" s="6" t="s">
        <v>18869</v>
      </c>
      <c r="C3136" s="7">
        <v>830</v>
      </c>
      <c r="D3136" s="8" t="s">
        <v>18870</v>
      </c>
      <c r="E3136" s="8" t="s">
        <v>18871</v>
      </c>
      <c r="F3136" s="8" t="s">
        <v>18872</v>
      </c>
      <c r="G3136" s="6" t="s">
        <v>89</v>
      </c>
      <c r="H3136" s="6" t="s">
        <v>53</v>
      </c>
      <c r="I3136" s="8" t="s">
        <v>116</v>
      </c>
      <c r="J3136" s="9">
        <v>1</v>
      </c>
      <c r="K3136" s="9">
        <v>149</v>
      </c>
      <c r="L3136" s="9">
        <v>2025</v>
      </c>
      <c r="M3136" s="8" t="s">
        <v>18873</v>
      </c>
      <c r="N3136" s="8" t="s">
        <v>413</v>
      </c>
      <c r="O3136" s="8" t="s">
        <v>1584</v>
      </c>
      <c r="P3136" s="6" t="s">
        <v>937</v>
      </c>
      <c r="Q3136" s="8" t="s">
        <v>58</v>
      </c>
      <c r="R3136" s="10" t="s">
        <v>18867</v>
      </c>
      <c r="S3136" s="11"/>
      <c r="T3136" s="6"/>
      <c r="U3136" s="24" t="str">
        <f>HYPERLINK("https://media.infra-m.ru/2196/2196306/cover/2196306.jpg", "Обложка")</f>
        <v>Обложка</v>
      </c>
      <c r="V3136" s="24" t="str">
        <f>HYPERLINK("https://znanium.ru/catalog/product/2196306", "Ознакомиться")</f>
        <v>Ознакомиться</v>
      </c>
      <c r="W3136" s="8" t="s">
        <v>3255</v>
      </c>
      <c r="X3136" s="6"/>
      <c r="Y3136" s="6"/>
      <c r="Z3136" s="6"/>
      <c r="AA3136" s="6" t="s">
        <v>3787</v>
      </c>
      <c r="AB3136" s="8" t="s">
        <v>271</v>
      </c>
    </row>
    <row r="3137" spans="1:28" s="4" customFormat="1" ht="51.95" customHeight="1">
      <c r="A3137" s="5">
        <v>0</v>
      </c>
      <c r="B3137" s="6" t="s">
        <v>18874</v>
      </c>
      <c r="C3137" s="13">
        <v>1990</v>
      </c>
      <c r="D3137" s="8" t="s">
        <v>18875</v>
      </c>
      <c r="E3137" s="8" t="s">
        <v>18876</v>
      </c>
      <c r="F3137" s="8" t="s">
        <v>18877</v>
      </c>
      <c r="G3137" s="6" t="s">
        <v>89</v>
      </c>
      <c r="H3137" s="6" t="s">
        <v>53</v>
      </c>
      <c r="I3137" s="8" t="s">
        <v>116</v>
      </c>
      <c r="J3137" s="9">
        <v>1</v>
      </c>
      <c r="K3137" s="9">
        <v>400</v>
      </c>
      <c r="L3137" s="9">
        <v>2025</v>
      </c>
      <c r="M3137" s="8" t="s">
        <v>18878</v>
      </c>
      <c r="N3137" s="8" t="s">
        <v>413</v>
      </c>
      <c r="O3137" s="8" t="s">
        <v>1584</v>
      </c>
      <c r="P3137" s="6" t="s">
        <v>167</v>
      </c>
      <c r="Q3137" s="8" t="s">
        <v>44</v>
      </c>
      <c r="R3137" s="10" t="s">
        <v>18879</v>
      </c>
      <c r="S3137" s="11" t="s">
        <v>18880</v>
      </c>
      <c r="T3137" s="6"/>
      <c r="U3137" s="24" t="str">
        <f>HYPERLINK("https://media.infra-m.ru/2175/2175126/cover/2175126.jpg", "Обложка")</f>
        <v>Обложка</v>
      </c>
      <c r="V3137" s="24" t="str">
        <f>HYPERLINK("https://znanium.ru/catalog/product/2175126", "Ознакомиться")</f>
        <v>Ознакомиться</v>
      </c>
      <c r="W3137" s="8" t="s">
        <v>1587</v>
      </c>
      <c r="X3137" s="6"/>
      <c r="Y3137" s="6"/>
      <c r="Z3137" s="6"/>
      <c r="AA3137" s="6" t="s">
        <v>95</v>
      </c>
      <c r="AB3137" s="8"/>
    </row>
    <row r="3138" spans="1:28" s="4" customFormat="1" ht="51.95" customHeight="1">
      <c r="A3138" s="5">
        <v>0</v>
      </c>
      <c r="B3138" s="6" t="s">
        <v>18881</v>
      </c>
      <c r="C3138" s="13">
        <v>1484.9</v>
      </c>
      <c r="D3138" s="8" t="s">
        <v>18882</v>
      </c>
      <c r="E3138" s="8" t="s">
        <v>18883</v>
      </c>
      <c r="F3138" s="8" t="s">
        <v>18884</v>
      </c>
      <c r="G3138" s="6" t="s">
        <v>89</v>
      </c>
      <c r="H3138" s="6" t="s">
        <v>53</v>
      </c>
      <c r="I3138" s="8" t="s">
        <v>90</v>
      </c>
      <c r="J3138" s="9">
        <v>1</v>
      </c>
      <c r="K3138" s="9">
        <v>400</v>
      </c>
      <c r="L3138" s="9">
        <v>2021</v>
      </c>
      <c r="M3138" s="8" t="s">
        <v>18885</v>
      </c>
      <c r="N3138" s="8" t="s">
        <v>413</v>
      </c>
      <c r="O3138" s="8" t="s">
        <v>1584</v>
      </c>
      <c r="P3138" s="6" t="s">
        <v>167</v>
      </c>
      <c r="Q3138" s="8" t="s">
        <v>44</v>
      </c>
      <c r="R3138" s="10" t="s">
        <v>18879</v>
      </c>
      <c r="S3138" s="11" t="s">
        <v>18886</v>
      </c>
      <c r="T3138" s="6"/>
      <c r="U3138" s="24" t="str">
        <f>HYPERLINK("https://media.infra-m.ru/1811/1811566/cover/1811566.jpg", "Обложка")</f>
        <v>Обложка</v>
      </c>
      <c r="V3138" s="24" t="str">
        <f>HYPERLINK("https://znanium.ru/catalog/product/2175126", "Ознакомиться")</f>
        <v>Ознакомиться</v>
      </c>
      <c r="W3138" s="8" t="s">
        <v>1587</v>
      </c>
      <c r="X3138" s="6"/>
      <c r="Y3138" s="6"/>
      <c r="Z3138" s="6"/>
      <c r="AA3138" s="6" t="s">
        <v>47</v>
      </c>
      <c r="AB3138" s="8"/>
    </row>
    <row r="3139" spans="1:28" s="4" customFormat="1" ht="51.95" customHeight="1">
      <c r="A3139" s="5">
        <v>0</v>
      </c>
      <c r="B3139" s="6" t="s">
        <v>18887</v>
      </c>
      <c r="C3139" s="13">
        <v>1560</v>
      </c>
      <c r="D3139" s="8" t="s">
        <v>18888</v>
      </c>
      <c r="E3139" s="8" t="s">
        <v>18889</v>
      </c>
      <c r="F3139" s="8" t="s">
        <v>2418</v>
      </c>
      <c r="G3139" s="6" t="s">
        <v>89</v>
      </c>
      <c r="H3139" s="6" t="s">
        <v>53</v>
      </c>
      <c r="I3139" s="8" t="s">
        <v>1631</v>
      </c>
      <c r="J3139" s="9">
        <v>1</v>
      </c>
      <c r="K3139" s="9">
        <v>346</v>
      </c>
      <c r="L3139" s="9">
        <v>2023</v>
      </c>
      <c r="M3139" s="8" t="s">
        <v>18890</v>
      </c>
      <c r="N3139" s="8" t="s">
        <v>41</v>
      </c>
      <c r="O3139" s="8" t="s">
        <v>1007</v>
      </c>
      <c r="P3139" s="6" t="s">
        <v>167</v>
      </c>
      <c r="Q3139" s="8" t="s">
        <v>102</v>
      </c>
      <c r="R3139" s="10" t="s">
        <v>18891</v>
      </c>
      <c r="S3139" s="11" t="s">
        <v>18892</v>
      </c>
      <c r="T3139" s="6"/>
      <c r="U3139" s="24" t="str">
        <f>HYPERLINK("https://media.infra-m.ru/1911/1911734/cover/1911734.jpg", "Обложка")</f>
        <v>Обложка</v>
      </c>
      <c r="V3139" s="24" t="str">
        <f>HYPERLINK("https://znanium.ru/catalog/product/1911734", "Ознакомиться")</f>
        <v>Ознакомиться</v>
      </c>
      <c r="W3139" s="8" t="s">
        <v>2422</v>
      </c>
      <c r="X3139" s="6"/>
      <c r="Y3139" s="6"/>
      <c r="Z3139" s="6"/>
      <c r="AA3139" s="6" t="s">
        <v>258</v>
      </c>
      <c r="AB3139" s="8" t="s">
        <v>906</v>
      </c>
    </row>
    <row r="3140" spans="1:28" s="4" customFormat="1" ht="51.95" customHeight="1">
      <c r="A3140" s="5">
        <v>0</v>
      </c>
      <c r="B3140" s="6" t="s">
        <v>18893</v>
      </c>
      <c r="C3140" s="13">
        <v>1240</v>
      </c>
      <c r="D3140" s="8" t="s">
        <v>18894</v>
      </c>
      <c r="E3140" s="8" t="s">
        <v>18889</v>
      </c>
      <c r="F3140" s="8" t="s">
        <v>10977</v>
      </c>
      <c r="G3140" s="6" t="s">
        <v>52</v>
      </c>
      <c r="H3140" s="6" t="s">
        <v>53</v>
      </c>
      <c r="I3140" s="8" t="s">
        <v>100</v>
      </c>
      <c r="J3140" s="9">
        <v>1</v>
      </c>
      <c r="K3140" s="9">
        <v>251</v>
      </c>
      <c r="L3140" s="9">
        <v>2024</v>
      </c>
      <c r="M3140" s="8" t="s">
        <v>18895</v>
      </c>
      <c r="N3140" s="8" t="s">
        <v>41</v>
      </c>
      <c r="O3140" s="8" t="s">
        <v>1007</v>
      </c>
      <c r="P3140" s="6" t="s">
        <v>167</v>
      </c>
      <c r="Q3140" s="8" t="s">
        <v>102</v>
      </c>
      <c r="R3140" s="10" t="s">
        <v>18896</v>
      </c>
      <c r="S3140" s="11"/>
      <c r="T3140" s="6"/>
      <c r="U3140" s="24" t="str">
        <f>HYPERLINK("https://media.infra-m.ru/1913/1913538/cover/1913538.jpg", "Обложка")</f>
        <v>Обложка</v>
      </c>
      <c r="V3140" s="24" t="str">
        <f>HYPERLINK("https://znanium.ru/catalog/product/1913538", "Ознакомиться")</f>
        <v>Ознакомиться</v>
      </c>
      <c r="W3140" s="8" t="s">
        <v>1233</v>
      </c>
      <c r="X3140" s="6" t="s">
        <v>3761</v>
      </c>
      <c r="Y3140" s="6"/>
      <c r="Z3140" s="6"/>
      <c r="AA3140" s="6" t="s">
        <v>133</v>
      </c>
      <c r="AB3140" s="8"/>
    </row>
    <row r="3141" spans="1:28" s="4" customFormat="1" ht="51.95" customHeight="1">
      <c r="A3141" s="5">
        <v>0</v>
      </c>
      <c r="B3141" s="6" t="s">
        <v>18897</v>
      </c>
      <c r="C3141" s="13">
        <v>2270</v>
      </c>
      <c r="D3141" s="8" t="s">
        <v>18898</v>
      </c>
      <c r="E3141" s="8" t="s">
        <v>18899</v>
      </c>
      <c r="F3141" s="8" t="s">
        <v>18900</v>
      </c>
      <c r="G3141" s="6" t="s">
        <v>52</v>
      </c>
      <c r="H3141" s="6" t="s">
        <v>53</v>
      </c>
      <c r="I3141" s="8" t="s">
        <v>116</v>
      </c>
      <c r="J3141" s="9">
        <v>1</v>
      </c>
      <c r="K3141" s="9">
        <v>491</v>
      </c>
      <c r="L3141" s="9">
        <v>2023</v>
      </c>
      <c r="M3141" s="8" t="s">
        <v>18901</v>
      </c>
      <c r="N3141" s="8" t="s">
        <v>41</v>
      </c>
      <c r="O3141" s="8" t="s">
        <v>1007</v>
      </c>
      <c r="P3141" s="6" t="s">
        <v>167</v>
      </c>
      <c r="Q3141" s="8" t="s">
        <v>44</v>
      </c>
      <c r="R3141" s="10" t="s">
        <v>18902</v>
      </c>
      <c r="S3141" s="11" t="s">
        <v>1414</v>
      </c>
      <c r="T3141" s="6"/>
      <c r="U3141" s="24" t="str">
        <f>HYPERLINK("https://media.infra-m.ru/1851/1851513/cover/1851513.jpg", "Обложка")</f>
        <v>Обложка</v>
      </c>
      <c r="V3141" s="24" t="str">
        <f>HYPERLINK("https://znanium.ru/catalog/product/1851513", "Ознакомиться")</f>
        <v>Ознакомиться</v>
      </c>
      <c r="W3141" s="8" t="s">
        <v>1313</v>
      </c>
      <c r="X3141" s="6"/>
      <c r="Y3141" s="6"/>
      <c r="Z3141" s="6"/>
      <c r="AA3141" s="6" t="s">
        <v>813</v>
      </c>
      <c r="AB3141" s="8"/>
    </row>
    <row r="3142" spans="1:28" s="4" customFormat="1" ht="51.95" customHeight="1">
      <c r="A3142" s="5">
        <v>0</v>
      </c>
      <c r="B3142" s="6" t="s">
        <v>18903</v>
      </c>
      <c r="C3142" s="13">
        <v>1400</v>
      </c>
      <c r="D3142" s="8" t="s">
        <v>18904</v>
      </c>
      <c r="E3142" s="8" t="s">
        <v>18905</v>
      </c>
      <c r="F3142" s="8" t="s">
        <v>18906</v>
      </c>
      <c r="G3142" s="6" t="s">
        <v>52</v>
      </c>
      <c r="H3142" s="6" t="s">
        <v>53</v>
      </c>
      <c r="I3142" s="8" t="s">
        <v>712</v>
      </c>
      <c r="J3142" s="9">
        <v>1</v>
      </c>
      <c r="K3142" s="9">
        <v>303</v>
      </c>
      <c r="L3142" s="9">
        <v>2024</v>
      </c>
      <c r="M3142" s="8" t="s">
        <v>18907</v>
      </c>
      <c r="N3142" s="8" t="s">
        <v>79</v>
      </c>
      <c r="O3142" s="8" t="s">
        <v>684</v>
      </c>
      <c r="P3142" s="6" t="s">
        <v>43</v>
      </c>
      <c r="Q3142" s="8" t="s">
        <v>58</v>
      </c>
      <c r="R3142" s="10" t="s">
        <v>1617</v>
      </c>
      <c r="S3142" s="11" t="s">
        <v>18908</v>
      </c>
      <c r="T3142" s="6"/>
      <c r="U3142" s="24" t="str">
        <f>HYPERLINK("https://media.infra-m.ru/2105/2105240/cover/2105240.jpg", "Обложка")</f>
        <v>Обложка</v>
      </c>
      <c r="V3142" s="24" t="str">
        <f>HYPERLINK("https://znanium.ru/catalog/product/2105240", "Ознакомиться")</f>
        <v>Ознакомиться</v>
      </c>
      <c r="W3142" s="8" t="s">
        <v>716</v>
      </c>
      <c r="X3142" s="6"/>
      <c r="Y3142" s="6"/>
      <c r="Z3142" s="6"/>
      <c r="AA3142" s="6" t="s">
        <v>133</v>
      </c>
      <c r="AB3142" s="8"/>
    </row>
    <row r="3143" spans="1:28" s="4" customFormat="1" ht="51.95" customHeight="1">
      <c r="A3143" s="5">
        <v>0</v>
      </c>
      <c r="B3143" s="6" t="s">
        <v>18909</v>
      </c>
      <c r="C3143" s="13">
        <v>1550</v>
      </c>
      <c r="D3143" s="8" t="s">
        <v>18910</v>
      </c>
      <c r="E3143" s="8" t="s">
        <v>18911</v>
      </c>
      <c r="F3143" s="8" t="s">
        <v>18906</v>
      </c>
      <c r="G3143" s="6" t="s">
        <v>52</v>
      </c>
      <c r="H3143" s="6" t="s">
        <v>53</v>
      </c>
      <c r="I3143" s="8" t="s">
        <v>712</v>
      </c>
      <c r="J3143" s="9">
        <v>1</v>
      </c>
      <c r="K3143" s="9">
        <v>335</v>
      </c>
      <c r="L3143" s="9">
        <v>2024</v>
      </c>
      <c r="M3143" s="8" t="s">
        <v>18912</v>
      </c>
      <c r="N3143" s="8" t="s">
        <v>79</v>
      </c>
      <c r="O3143" s="8" t="s">
        <v>684</v>
      </c>
      <c r="P3143" s="6" t="s">
        <v>43</v>
      </c>
      <c r="Q3143" s="8" t="s">
        <v>58</v>
      </c>
      <c r="R3143" s="10" t="s">
        <v>1617</v>
      </c>
      <c r="S3143" s="11" t="s">
        <v>18908</v>
      </c>
      <c r="T3143" s="6"/>
      <c r="U3143" s="24" t="str">
        <f>HYPERLINK("https://media.infra-m.ru/2105/2105235/cover/2105235.jpg", "Обложка")</f>
        <v>Обложка</v>
      </c>
      <c r="V3143" s="24" t="str">
        <f>HYPERLINK("https://znanium.ru/catalog/product/2105235", "Ознакомиться")</f>
        <v>Ознакомиться</v>
      </c>
      <c r="W3143" s="8" t="s">
        <v>716</v>
      </c>
      <c r="X3143" s="6"/>
      <c r="Y3143" s="6"/>
      <c r="Z3143" s="6"/>
      <c r="AA3143" s="6" t="s">
        <v>133</v>
      </c>
      <c r="AB3143" s="8"/>
    </row>
    <row r="3144" spans="1:28" s="4" customFormat="1" ht="51.95" customHeight="1">
      <c r="A3144" s="5">
        <v>0</v>
      </c>
      <c r="B3144" s="6" t="s">
        <v>18913</v>
      </c>
      <c r="C3144" s="13">
        <v>1964</v>
      </c>
      <c r="D3144" s="8" t="s">
        <v>18914</v>
      </c>
      <c r="E3144" s="8" t="s">
        <v>18915</v>
      </c>
      <c r="F3144" s="8" t="s">
        <v>18916</v>
      </c>
      <c r="G3144" s="6" t="s">
        <v>52</v>
      </c>
      <c r="H3144" s="6" t="s">
        <v>53</v>
      </c>
      <c r="I3144" s="8" t="s">
        <v>212</v>
      </c>
      <c r="J3144" s="9">
        <v>1</v>
      </c>
      <c r="K3144" s="9">
        <v>378</v>
      </c>
      <c r="L3144" s="9">
        <v>2025</v>
      </c>
      <c r="M3144" s="8" t="s">
        <v>18917</v>
      </c>
      <c r="N3144" s="8" t="s">
        <v>79</v>
      </c>
      <c r="O3144" s="8" t="s">
        <v>684</v>
      </c>
      <c r="P3144" s="6" t="s">
        <v>167</v>
      </c>
      <c r="Q3144" s="8" t="s">
        <v>44</v>
      </c>
      <c r="R3144" s="10" t="s">
        <v>1617</v>
      </c>
      <c r="S3144" s="11" t="s">
        <v>18918</v>
      </c>
      <c r="T3144" s="6"/>
      <c r="U3144" s="24" t="str">
        <f>HYPERLINK("https://media.infra-m.ru/2196/2196895/cover/2196895.jpg", "Обложка")</f>
        <v>Обложка</v>
      </c>
      <c r="V3144" s="24" t="str">
        <f>HYPERLINK("https://znanium.ru/catalog/product/2127012", "Ознакомиться")</f>
        <v>Ознакомиться</v>
      </c>
      <c r="W3144" s="8" t="s">
        <v>18919</v>
      </c>
      <c r="X3144" s="6"/>
      <c r="Y3144" s="6"/>
      <c r="Z3144" s="6"/>
      <c r="AA3144" s="6" t="s">
        <v>418</v>
      </c>
      <c r="AB3144" s="8"/>
    </row>
    <row r="3145" spans="1:28" s="4" customFormat="1" ht="42" customHeight="1">
      <c r="A3145" s="5">
        <v>0</v>
      </c>
      <c r="B3145" s="6" t="s">
        <v>18920</v>
      </c>
      <c r="C3145" s="7">
        <v>980</v>
      </c>
      <c r="D3145" s="8" t="s">
        <v>18921</v>
      </c>
      <c r="E3145" s="8" t="s">
        <v>18922</v>
      </c>
      <c r="F3145" s="8" t="s">
        <v>18923</v>
      </c>
      <c r="G3145" s="6" t="s">
        <v>89</v>
      </c>
      <c r="H3145" s="6" t="s">
        <v>53</v>
      </c>
      <c r="I3145" s="8" t="s">
        <v>6088</v>
      </c>
      <c r="J3145" s="9">
        <v>1</v>
      </c>
      <c r="K3145" s="9">
        <v>191</v>
      </c>
      <c r="L3145" s="9">
        <v>2025</v>
      </c>
      <c r="M3145" s="8" t="s">
        <v>18924</v>
      </c>
      <c r="N3145" s="8" t="s">
        <v>41</v>
      </c>
      <c r="O3145" s="8" t="s">
        <v>278</v>
      </c>
      <c r="P3145" s="6" t="s">
        <v>6090</v>
      </c>
      <c r="Q3145" s="8" t="s">
        <v>58</v>
      </c>
      <c r="R3145" s="10" t="s">
        <v>18925</v>
      </c>
      <c r="S3145" s="11"/>
      <c r="T3145" s="6"/>
      <c r="U3145" s="24" t="str">
        <f>HYPERLINK("https://media.infra-m.ru/2183/2183780/cover/2183780.jpg", "Обложка")</f>
        <v>Обложка</v>
      </c>
      <c r="V3145" s="24" t="str">
        <f>HYPERLINK("https://znanium.ru/catalog/product/2183780", "Ознакомиться")</f>
        <v>Ознакомиться</v>
      </c>
      <c r="W3145" s="8" t="s">
        <v>71</v>
      </c>
      <c r="X3145" s="6"/>
      <c r="Y3145" s="6"/>
      <c r="Z3145" s="6"/>
      <c r="AA3145" s="6" t="s">
        <v>61</v>
      </c>
      <c r="AB3145" s="8"/>
    </row>
    <row r="3146" spans="1:28" s="4" customFormat="1" ht="42" customHeight="1">
      <c r="A3146" s="5">
        <v>0</v>
      </c>
      <c r="B3146" s="6" t="s">
        <v>18926</v>
      </c>
      <c r="C3146" s="13">
        <v>1020</v>
      </c>
      <c r="D3146" s="8" t="s">
        <v>18927</v>
      </c>
      <c r="E3146" s="8" t="s">
        <v>18922</v>
      </c>
      <c r="F3146" s="8" t="s">
        <v>18923</v>
      </c>
      <c r="G3146" s="6" t="s">
        <v>52</v>
      </c>
      <c r="H3146" s="6" t="s">
        <v>53</v>
      </c>
      <c r="I3146" s="8" t="s">
        <v>100</v>
      </c>
      <c r="J3146" s="9">
        <v>1</v>
      </c>
      <c r="K3146" s="9">
        <v>191</v>
      </c>
      <c r="L3146" s="9">
        <v>2025</v>
      </c>
      <c r="M3146" s="8" t="s">
        <v>18928</v>
      </c>
      <c r="N3146" s="8" t="s">
        <v>41</v>
      </c>
      <c r="O3146" s="8" t="s">
        <v>278</v>
      </c>
      <c r="P3146" s="6" t="s">
        <v>43</v>
      </c>
      <c r="Q3146" s="8" t="s">
        <v>102</v>
      </c>
      <c r="R3146" s="10" t="s">
        <v>18925</v>
      </c>
      <c r="S3146" s="11"/>
      <c r="T3146" s="6"/>
      <c r="U3146" s="24" t="str">
        <f>HYPERLINK("https://media.infra-m.ru/1971/1971857/cover/1971857.jpg", "Обложка")</f>
        <v>Обложка</v>
      </c>
      <c r="V3146" s="24" t="str">
        <f>HYPERLINK("https://znanium.ru/catalog/product/1971857", "Ознакомиться")</f>
        <v>Ознакомиться</v>
      </c>
      <c r="W3146" s="8" t="s">
        <v>71</v>
      </c>
      <c r="X3146" s="6" t="s">
        <v>389</v>
      </c>
      <c r="Y3146" s="6"/>
      <c r="Z3146" s="6"/>
      <c r="AA3146" s="6" t="s">
        <v>61</v>
      </c>
      <c r="AB3146" s="8"/>
    </row>
    <row r="3147" spans="1:28" s="4" customFormat="1" ht="51.95" customHeight="1">
      <c r="A3147" s="5">
        <v>0</v>
      </c>
      <c r="B3147" s="6" t="s">
        <v>18929</v>
      </c>
      <c r="C3147" s="7">
        <v>744.9</v>
      </c>
      <c r="D3147" s="8" t="s">
        <v>18930</v>
      </c>
      <c r="E3147" s="8" t="s">
        <v>18931</v>
      </c>
      <c r="F3147" s="8" t="s">
        <v>18932</v>
      </c>
      <c r="G3147" s="6" t="s">
        <v>52</v>
      </c>
      <c r="H3147" s="6" t="s">
        <v>53</v>
      </c>
      <c r="I3147" s="8" t="s">
        <v>100</v>
      </c>
      <c r="J3147" s="9">
        <v>1</v>
      </c>
      <c r="K3147" s="9">
        <v>165</v>
      </c>
      <c r="L3147" s="9">
        <v>2023</v>
      </c>
      <c r="M3147" s="8" t="s">
        <v>18933</v>
      </c>
      <c r="N3147" s="8" t="s">
        <v>41</v>
      </c>
      <c r="O3147" s="8" t="s">
        <v>278</v>
      </c>
      <c r="P3147" s="6" t="s">
        <v>43</v>
      </c>
      <c r="Q3147" s="8" t="s">
        <v>102</v>
      </c>
      <c r="R3147" s="10" t="s">
        <v>1349</v>
      </c>
      <c r="S3147" s="11" t="s">
        <v>18934</v>
      </c>
      <c r="T3147" s="6" t="s">
        <v>299</v>
      </c>
      <c r="U3147" s="24" t="str">
        <f>HYPERLINK("https://media.infra-m.ru/1964/1964974/cover/1964974.jpg", "Обложка")</f>
        <v>Обложка</v>
      </c>
      <c r="V3147" s="24" t="str">
        <f>HYPERLINK("https://znanium.ru/catalog/product/1013021", "Ознакомиться")</f>
        <v>Ознакомиться</v>
      </c>
      <c r="W3147" s="8" t="s">
        <v>700</v>
      </c>
      <c r="X3147" s="6"/>
      <c r="Y3147" s="6"/>
      <c r="Z3147" s="6"/>
      <c r="AA3147" s="6" t="s">
        <v>793</v>
      </c>
      <c r="AB3147" s="8"/>
    </row>
    <row r="3148" spans="1:28" s="4" customFormat="1" ht="51.95" customHeight="1">
      <c r="A3148" s="5">
        <v>0</v>
      </c>
      <c r="B3148" s="6" t="s">
        <v>18935</v>
      </c>
      <c r="C3148" s="13">
        <v>1280</v>
      </c>
      <c r="D3148" s="8" t="s">
        <v>18936</v>
      </c>
      <c r="E3148" s="8" t="s">
        <v>18937</v>
      </c>
      <c r="F3148" s="8" t="s">
        <v>3130</v>
      </c>
      <c r="G3148" s="6" t="s">
        <v>89</v>
      </c>
      <c r="H3148" s="6" t="s">
        <v>53</v>
      </c>
      <c r="I3148" s="8" t="s">
        <v>100</v>
      </c>
      <c r="J3148" s="9">
        <v>1</v>
      </c>
      <c r="K3148" s="9">
        <v>256</v>
      </c>
      <c r="L3148" s="9">
        <v>2025</v>
      </c>
      <c r="M3148" s="8" t="s">
        <v>18938</v>
      </c>
      <c r="N3148" s="8" t="s">
        <v>413</v>
      </c>
      <c r="O3148" s="8" t="s">
        <v>414</v>
      </c>
      <c r="P3148" s="6" t="s">
        <v>43</v>
      </c>
      <c r="Q3148" s="8" t="s">
        <v>102</v>
      </c>
      <c r="R3148" s="10" t="s">
        <v>4603</v>
      </c>
      <c r="S3148" s="11" t="s">
        <v>18939</v>
      </c>
      <c r="T3148" s="6" t="s">
        <v>299</v>
      </c>
      <c r="U3148" s="24" t="str">
        <f>HYPERLINK("https://media.infra-m.ru/2171/2171478/cover/2171478.jpg", "Обложка")</f>
        <v>Обложка</v>
      </c>
      <c r="V3148" s="24" t="str">
        <f>HYPERLINK("https://znanium.ru/catalog/product/2171478", "Ознакомиться")</f>
        <v>Ознакомиться</v>
      </c>
      <c r="W3148" s="8" t="s">
        <v>399</v>
      </c>
      <c r="X3148" s="6"/>
      <c r="Y3148" s="6"/>
      <c r="Z3148" s="6" t="s">
        <v>3872</v>
      </c>
      <c r="AA3148" s="6" t="s">
        <v>219</v>
      </c>
      <c r="AB3148" s="8"/>
    </row>
    <row r="3149" spans="1:28" s="4" customFormat="1" ht="42" customHeight="1">
      <c r="A3149" s="5">
        <v>0</v>
      </c>
      <c r="B3149" s="6" t="s">
        <v>18940</v>
      </c>
      <c r="C3149" s="7">
        <v>960</v>
      </c>
      <c r="D3149" s="8" t="s">
        <v>18941</v>
      </c>
      <c r="E3149" s="8" t="s">
        <v>18942</v>
      </c>
      <c r="F3149" s="8" t="s">
        <v>18943</v>
      </c>
      <c r="G3149" s="6" t="s">
        <v>89</v>
      </c>
      <c r="H3149" s="6" t="s">
        <v>53</v>
      </c>
      <c r="I3149" s="8" t="s">
        <v>560</v>
      </c>
      <c r="J3149" s="9">
        <v>1</v>
      </c>
      <c r="K3149" s="9">
        <v>184</v>
      </c>
      <c r="L3149" s="9">
        <v>2025</v>
      </c>
      <c r="M3149" s="8" t="s">
        <v>18944</v>
      </c>
      <c r="N3149" s="8" t="s">
        <v>41</v>
      </c>
      <c r="O3149" s="8" t="s">
        <v>129</v>
      </c>
      <c r="P3149" s="6" t="s">
        <v>43</v>
      </c>
      <c r="Q3149" s="8" t="s">
        <v>44</v>
      </c>
      <c r="R3149" s="10" t="s">
        <v>18945</v>
      </c>
      <c r="S3149" s="11"/>
      <c r="T3149" s="6"/>
      <c r="U3149" s="24" t="str">
        <f>HYPERLINK("https://media.infra-m.ru/2169/2169482/cover/2169482.jpg", "Обложка")</f>
        <v>Обложка</v>
      </c>
      <c r="V3149" s="24" t="str">
        <f>HYPERLINK("https://znanium.ru/catalog/product/2169482", "Ознакомиться")</f>
        <v>Ознакомиться</v>
      </c>
      <c r="W3149" s="8" t="s">
        <v>564</v>
      </c>
      <c r="X3149" s="6"/>
      <c r="Y3149" s="6"/>
      <c r="Z3149" s="6"/>
      <c r="AA3149" s="6" t="s">
        <v>207</v>
      </c>
      <c r="AB3149" s="8"/>
    </row>
    <row r="3150" spans="1:28" s="4" customFormat="1" ht="51.95" customHeight="1">
      <c r="A3150" s="5">
        <v>0</v>
      </c>
      <c r="B3150" s="6" t="s">
        <v>18946</v>
      </c>
      <c r="C3150" s="13">
        <v>2592</v>
      </c>
      <c r="D3150" s="8" t="s">
        <v>18947</v>
      </c>
      <c r="E3150" s="8" t="s">
        <v>18948</v>
      </c>
      <c r="F3150" s="8" t="s">
        <v>18949</v>
      </c>
      <c r="G3150" s="6" t="s">
        <v>89</v>
      </c>
      <c r="H3150" s="6" t="s">
        <v>39</v>
      </c>
      <c r="I3150" s="8" t="s">
        <v>185</v>
      </c>
      <c r="J3150" s="9">
        <v>1</v>
      </c>
      <c r="K3150" s="9">
        <v>384</v>
      </c>
      <c r="L3150" s="9">
        <v>2025</v>
      </c>
      <c r="M3150" s="8" t="s">
        <v>18950</v>
      </c>
      <c r="N3150" s="8" t="s">
        <v>41</v>
      </c>
      <c r="O3150" s="8" t="s">
        <v>129</v>
      </c>
      <c r="P3150" s="6" t="s">
        <v>167</v>
      </c>
      <c r="Q3150" s="8" t="s">
        <v>102</v>
      </c>
      <c r="R3150" s="10" t="s">
        <v>18951</v>
      </c>
      <c r="S3150" s="11" t="s">
        <v>18952</v>
      </c>
      <c r="T3150" s="6"/>
      <c r="U3150" s="24" t="str">
        <f>HYPERLINK("https://media.infra-m.ru/2186/2186169/cover/2186169.jpg", "Обложка")</f>
        <v>Обложка</v>
      </c>
      <c r="V3150" s="24" t="str">
        <f>HYPERLINK("https://znanium.ru/catalog/product/2186169", "Ознакомиться")</f>
        <v>Ознакомиться</v>
      </c>
      <c r="W3150" s="8" t="s">
        <v>2073</v>
      </c>
      <c r="X3150" s="6"/>
      <c r="Y3150" s="6"/>
      <c r="Z3150" s="6"/>
      <c r="AA3150" s="6" t="s">
        <v>494</v>
      </c>
      <c r="AB3150" s="8"/>
    </row>
    <row r="3151" spans="1:28" s="4" customFormat="1" ht="42" customHeight="1">
      <c r="A3151" s="5">
        <v>0</v>
      </c>
      <c r="B3151" s="6" t="s">
        <v>18953</v>
      </c>
      <c r="C3151" s="13">
        <v>2490</v>
      </c>
      <c r="D3151" s="8" t="s">
        <v>18954</v>
      </c>
      <c r="E3151" s="8" t="s">
        <v>18948</v>
      </c>
      <c r="F3151" s="8" t="s">
        <v>18949</v>
      </c>
      <c r="G3151" s="6" t="s">
        <v>89</v>
      </c>
      <c r="H3151" s="6" t="s">
        <v>39</v>
      </c>
      <c r="I3151" s="8" t="s">
        <v>116</v>
      </c>
      <c r="J3151" s="9">
        <v>1</v>
      </c>
      <c r="K3151" s="9">
        <v>384</v>
      </c>
      <c r="L3151" s="9">
        <v>2025</v>
      </c>
      <c r="M3151" s="8" t="s">
        <v>18955</v>
      </c>
      <c r="N3151" s="8" t="s">
        <v>41</v>
      </c>
      <c r="O3151" s="8" t="s">
        <v>129</v>
      </c>
      <c r="P3151" s="6" t="s">
        <v>167</v>
      </c>
      <c r="Q3151" s="8" t="s">
        <v>58</v>
      </c>
      <c r="R3151" s="10" t="s">
        <v>130</v>
      </c>
      <c r="S3151" s="11"/>
      <c r="T3151" s="6"/>
      <c r="U3151" s="24" t="str">
        <f>HYPERLINK("https://media.infra-m.ru/2165/2165116/cover/2165116.jpg", "Обложка")</f>
        <v>Обложка</v>
      </c>
      <c r="V3151" s="24" t="str">
        <f>HYPERLINK("https://znanium.ru/catalog/product/2165116", "Ознакомиться")</f>
        <v>Ознакомиться</v>
      </c>
      <c r="W3151" s="8" t="s">
        <v>2073</v>
      </c>
      <c r="X3151" s="6"/>
      <c r="Y3151" s="6"/>
      <c r="Z3151" s="6" t="s">
        <v>2627</v>
      </c>
      <c r="AA3151" s="6" t="s">
        <v>813</v>
      </c>
      <c r="AB3151" s="8"/>
    </row>
    <row r="3152" spans="1:28" s="4" customFormat="1" ht="51.95" customHeight="1">
      <c r="A3152" s="5">
        <v>0</v>
      </c>
      <c r="B3152" s="6" t="s">
        <v>18956</v>
      </c>
      <c r="C3152" s="13">
        <v>1070</v>
      </c>
      <c r="D3152" s="8" t="s">
        <v>18957</v>
      </c>
      <c r="E3152" s="8" t="s">
        <v>18958</v>
      </c>
      <c r="F3152" s="8" t="s">
        <v>15590</v>
      </c>
      <c r="G3152" s="6" t="s">
        <v>38</v>
      </c>
      <c r="H3152" s="6" t="s">
        <v>184</v>
      </c>
      <c r="I3152" s="8" t="s">
        <v>116</v>
      </c>
      <c r="J3152" s="9">
        <v>1</v>
      </c>
      <c r="K3152" s="9">
        <v>207</v>
      </c>
      <c r="L3152" s="9">
        <v>2025</v>
      </c>
      <c r="M3152" s="8" t="s">
        <v>18959</v>
      </c>
      <c r="N3152" s="8" t="s">
        <v>413</v>
      </c>
      <c r="O3152" s="8" t="s">
        <v>1584</v>
      </c>
      <c r="P3152" s="6" t="s">
        <v>167</v>
      </c>
      <c r="Q3152" s="8" t="s">
        <v>58</v>
      </c>
      <c r="R3152" s="10" t="s">
        <v>18960</v>
      </c>
      <c r="S3152" s="11"/>
      <c r="T3152" s="6"/>
      <c r="U3152" s="24" t="str">
        <f>HYPERLINK("https://media.infra-m.ru/2184/2184326/cover/2184326.jpg", "Обложка")</f>
        <v>Обложка</v>
      </c>
      <c r="V3152" s="24" t="str">
        <f>HYPERLINK("https://znanium.ru/catalog/product/2184326", "Ознакомиться")</f>
        <v>Ознакомиться</v>
      </c>
      <c r="W3152" s="8" t="s">
        <v>4161</v>
      </c>
      <c r="X3152" s="6"/>
      <c r="Y3152" s="6"/>
      <c r="Z3152" s="6"/>
      <c r="AA3152" s="6" t="s">
        <v>442</v>
      </c>
      <c r="AB3152" s="8"/>
    </row>
    <row r="3153" spans="1:28" s="4" customFormat="1" ht="51.95" customHeight="1">
      <c r="A3153" s="5">
        <v>0</v>
      </c>
      <c r="B3153" s="6" t="s">
        <v>18961</v>
      </c>
      <c r="C3153" s="13">
        <v>2824</v>
      </c>
      <c r="D3153" s="8" t="s">
        <v>18962</v>
      </c>
      <c r="E3153" s="8" t="s">
        <v>18963</v>
      </c>
      <c r="F3153" s="8" t="s">
        <v>18964</v>
      </c>
      <c r="G3153" s="6" t="s">
        <v>52</v>
      </c>
      <c r="H3153" s="6" t="s">
        <v>53</v>
      </c>
      <c r="I3153" s="8" t="s">
        <v>212</v>
      </c>
      <c r="J3153" s="9">
        <v>1</v>
      </c>
      <c r="K3153" s="9">
        <v>543</v>
      </c>
      <c r="L3153" s="9">
        <v>2025</v>
      </c>
      <c r="M3153" s="8" t="s">
        <v>18965</v>
      </c>
      <c r="N3153" s="8" t="s">
        <v>79</v>
      </c>
      <c r="O3153" s="8" t="s">
        <v>424</v>
      </c>
      <c r="P3153" s="6" t="s">
        <v>167</v>
      </c>
      <c r="Q3153" s="8" t="s">
        <v>214</v>
      </c>
      <c r="R3153" s="10" t="s">
        <v>18966</v>
      </c>
      <c r="S3153" s="11" t="s">
        <v>18967</v>
      </c>
      <c r="T3153" s="6"/>
      <c r="U3153" s="24" t="str">
        <f>HYPERLINK("https://media.infra-m.ru/2201/2201383/cover/2201383.jpg", "Обложка")</f>
        <v>Обложка</v>
      </c>
      <c r="V3153" s="24" t="str">
        <f>HYPERLINK("https://znanium.ru/catalog/product/2054122", "Ознакомиться")</f>
        <v>Ознакомиться</v>
      </c>
      <c r="W3153" s="8" t="s">
        <v>5019</v>
      </c>
      <c r="X3153" s="6"/>
      <c r="Y3153" s="6"/>
      <c r="Z3153" s="6"/>
      <c r="AA3153" s="6" t="s">
        <v>258</v>
      </c>
      <c r="AB3153" s="8"/>
    </row>
    <row r="3154" spans="1:28" s="4" customFormat="1" ht="51.95" customHeight="1">
      <c r="A3154" s="5">
        <v>0</v>
      </c>
      <c r="B3154" s="6" t="s">
        <v>18968</v>
      </c>
      <c r="C3154" s="13">
        <v>1080</v>
      </c>
      <c r="D3154" s="8" t="s">
        <v>18969</v>
      </c>
      <c r="E3154" s="8" t="s">
        <v>18970</v>
      </c>
      <c r="F3154" s="8" t="s">
        <v>18971</v>
      </c>
      <c r="G3154" s="6" t="s">
        <v>52</v>
      </c>
      <c r="H3154" s="6" t="s">
        <v>53</v>
      </c>
      <c r="I3154" s="8" t="s">
        <v>100</v>
      </c>
      <c r="J3154" s="9">
        <v>1</v>
      </c>
      <c r="K3154" s="9">
        <v>203</v>
      </c>
      <c r="L3154" s="9">
        <v>2024</v>
      </c>
      <c r="M3154" s="8" t="s">
        <v>18972</v>
      </c>
      <c r="N3154" s="8" t="s">
        <v>79</v>
      </c>
      <c r="O3154" s="8" t="s">
        <v>684</v>
      </c>
      <c r="P3154" s="6" t="s">
        <v>43</v>
      </c>
      <c r="Q3154" s="8" t="s">
        <v>102</v>
      </c>
      <c r="R3154" s="10" t="s">
        <v>18973</v>
      </c>
      <c r="S3154" s="11" t="s">
        <v>18974</v>
      </c>
      <c r="T3154" s="6"/>
      <c r="U3154" s="24" t="str">
        <f>HYPERLINK("https://media.infra-m.ru/2124/2124790/cover/2124790.jpg", "Обложка")</f>
        <v>Обложка</v>
      </c>
      <c r="V3154" s="24" t="str">
        <f>HYPERLINK("https://znanium.ru/catalog/product/2124790", "Ознакомиться")</f>
        <v>Ознакомиться</v>
      </c>
      <c r="W3154" s="8" t="s">
        <v>5345</v>
      </c>
      <c r="X3154" s="6" t="s">
        <v>548</v>
      </c>
      <c r="Y3154" s="6"/>
      <c r="Z3154" s="6"/>
      <c r="AA3154" s="6" t="s">
        <v>105</v>
      </c>
      <c r="AB3154" s="8"/>
    </row>
    <row r="3155" spans="1:28" s="4" customFormat="1" ht="51.95" customHeight="1">
      <c r="A3155" s="5">
        <v>0</v>
      </c>
      <c r="B3155" s="6" t="s">
        <v>18975</v>
      </c>
      <c r="C3155" s="13">
        <v>1074.9000000000001</v>
      </c>
      <c r="D3155" s="8" t="s">
        <v>18976</v>
      </c>
      <c r="E3155" s="8" t="s">
        <v>18977</v>
      </c>
      <c r="F3155" s="8" t="s">
        <v>18978</v>
      </c>
      <c r="G3155" s="6" t="s">
        <v>89</v>
      </c>
      <c r="H3155" s="6" t="s">
        <v>53</v>
      </c>
      <c r="I3155" s="8" t="s">
        <v>100</v>
      </c>
      <c r="J3155" s="9">
        <v>1</v>
      </c>
      <c r="K3155" s="9">
        <v>238</v>
      </c>
      <c r="L3155" s="9">
        <v>2023</v>
      </c>
      <c r="M3155" s="8" t="s">
        <v>18979</v>
      </c>
      <c r="N3155" s="8" t="s">
        <v>79</v>
      </c>
      <c r="O3155" s="8" t="s">
        <v>684</v>
      </c>
      <c r="P3155" s="6" t="s">
        <v>43</v>
      </c>
      <c r="Q3155" s="8" t="s">
        <v>102</v>
      </c>
      <c r="R3155" s="10" t="s">
        <v>18973</v>
      </c>
      <c r="S3155" s="11" t="s">
        <v>18980</v>
      </c>
      <c r="T3155" s="6"/>
      <c r="U3155" s="24" t="str">
        <f>HYPERLINK("https://media.infra-m.ru/2045/2045954/cover/2045954.jpg", "Обложка")</f>
        <v>Обложка</v>
      </c>
      <c r="V3155" s="24" t="str">
        <f>HYPERLINK("https://znanium.ru/catalog/product/2124790", "Ознакомиться")</f>
        <v>Ознакомиться</v>
      </c>
      <c r="W3155" s="8" t="s">
        <v>5345</v>
      </c>
      <c r="X3155" s="6"/>
      <c r="Y3155" s="6"/>
      <c r="Z3155" s="6"/>
      <c r="AA3155" s="6" t="s">
        <v>793</v>
      </c>
      <c r="AB3155" s="8"/>
    </row>
    <row r="3156" spans="1:28" s="4" customFormat="1" ht="51.95" customHeight="1">
      <c r="A3156" s="5">
        <v>0</v>
      </c>
      <c r="B3156" s="6" t="s">
        <v>18981</v>
      </c>
      <c r="C3156" s="13">
        <v>1600</v>
      </c>
      <c r="D3156" s="8" t="s">
        <v>18982</v>
      </c>
      <c r="E3156" s="8" t="s">
        <v>18983</v>
      </c>
      <c r="F3156" s="8" t="s">
        <v>18971</v>
      </c>
      <c r="G3156" s="6" t="s">
        <v>52</v>
      </c>
      <c r="H3156" s="6" t="s">
        <v>53</v>
      </c>
      <c r="I3156" s="8" t="s">
        <v>100</v>
      </c>
      <c r="J3156" s="9">
        <v>1</v>
      </c>
      <c r="K3156" s="9">
        <v>333</v>
      </c>
      <c r="L3156" s="9">
        <v>2024</v>
      </c>
      <c r="M3156" s="8" t="s">
        <v>18984</v>
      </c>
      <c r="N3156" s="8" t="s">
        <v>79</v>
      </c>
      <c r="O3156" s="8" t="s">
        <v>396</v>
      </c>
      <c r="P3156" s="6" t="s">
        <v>43</v>
      </c>
      <c r="Q3156" s="8" t="s">
        <v>102</v>
      </c>
      <c r="R3156" s="10" t="s">
        <v>18985</v>
      </c>
      <c r="S3156" s="11" t="s">
        <v>18986</v>
      </c>
      <c r="T3156" s="6"/>
      <c r="U3156" s="24" t="str">
        <f>HYPERLINK("https://media.infra-m.ru/2138/2138112/cover/2138112.jpg", "Обложка")</f>
        <v>Обложка</v>
      </c>
      <c r="V3156" s="24" t="str">
        <f>HYPERLINK("https://znanium.ru/catalog/product/2138112", "Ознакомиться")</f>
        <v>Ознакомиться</v>
      </c>
      <c r="W3156" s="8" t="s">
        <v>5345</v>
      </c>
      <c r="X3156" s="6" t="s">
        <v>3761</v>
      </c>
      <c r="Y3156" s="6"/>
      <c r="Z3156" s="6"/>
      <c r="AA3156" s="6" t="s">
        <v>105</v>
      </c>
      <c r="AB3156" s="8"/>
    </row>
    <row r="3157" spans="1:28" s="4" customFormat="1" ht="51.95" customHeight="1">
      <c r="A3157" s="5">
        <v>0</v>
      </c>
      <c r="B3157" s="6" t="s">
        <v>18987</v>
      </c>
      <c r="C3157" s="13">
        <v>1990</v>
      </c>
      <c r="D3157" s="8" t="s">
        <v>18988</v>
      </c>
      <c r="E3157" s="8" t="s">
        <v>18989</v>
      </c>
      <c r="F3157" s="8" t="s">
        <v>18971</v>
      </c>
      <c r="G3157" s="6" t="s">
        <v>52</v>
      </c>
      <c r="H3157" s="6" t="s">
        <v>53</v>
      </c>
      <c r="I3157" s="8" t="s">
        <v>100</v>
      </c>
      <c r="J3157" s="9">
        <v>1</v>
      </c>
      <c r="K3157" s="9">
        <v>525</v>
      </c>
      <c r="L3157" s="9">
        <v>2022</v>
      </c>
      <c r="M3157" s="8" t="s">
        <v>18990</v>
      </c>
      <c r="N3157" s="8" t="s">
        <v>79</v>
      </c>
      <c r="O3157" s="8" t="s">
        <v>396</v>
      </c>
      <c r="P3157" s="6" t="s">
        <v>43</v>
      </c>
      <c r="Q3157" s="8" t="s">
        <v>102</v>
      </c>
      <c r="R3157" s="10" t="s">
        <v>18985</v>
      </c>
      <c r="S3157" s="11" t="s">
        <v>18991</v>
      </c>
      <c r="T3157" s="6"/>
      <c r="U3157" s="24" t="str">
        <f>HYPERLINK("https://media.infra-m.ru/1865/1865774/cover/1865774.jpg", "Обложка")</f>
        <v>Обложка</v>
      </c>
      <c r="V3157" s="24" t="str">
        <f>HYPERLINK("https://znanium.ru/catalog/product/2138112", "Ознакомиться")</f>
        <v>Ознакомиться</v>
      </c>
      <c r="W3157" s="8" t="s">
        <v>5345</v>
      </c>
      <c r="X3157" s="6"/>
      <c r="Y3157" s="6"/>
      <c r="Z3157" s="6"/>
      <c r="AA3157" s="6" t="s">
        <v>235</v>
      </c>
      <c r="AB3157" s="8"/>
    </row>
    <row r="3158" spans="1:28" s="4" customFormat="1" ht="51.95" customHeight="1">
      <c r="A3158" s="5">
        <v>0</v>
      </c>
      <c r="B3158" s="6" t="s">
        <v>18992</v>
      </c>
      <c r="C3158" s="13">
        <v>1320</v>
      </c>
      <c r="D3158" s="8" t="s">
        <v>18993</v>
      </c>
      <c r="E3158" s="8" t="s">
        <v>18994</v>
      </c>
      <c r="F3158" s="8" t="s">
        <v>18995</v>
      </c>
      <c r="G3158" s="6" t="s">
        <v>89</v>
      </c>
      <c r="H3158" s="6" t="s">
        <v>53</v>
      </c>
      <c r="I3158" s="8" t="s">
        <v>100</v>
      </c>
      <c r="J3158" s="9">
        <v>1</v>
      </c>
      <c r="K3158" s="9">
        <v>254</v>
      </c>
      <c r="L3158" s="9">
        <v>2025</v>
      </c>
      <c r="M3158" s="8" t="s">
        <v>18996</v>
      </c>
      <c r="N3158" s="8" t="s">
        <v>79</v>
      </c>
      <c r="O3158" s="8" t="s">
        <v>424</v>
      </c>
      <c r="P3158" s="6" t="s">
        <v>167</v>
      </c>
      <c r="Q3158" s="8" t="s">
        <v>102</v>
      </c>
      <c r="R3158" s="10" t="s">
        <v>18997</v>
      </c>
      <c r="S3158" s="11" t="s">
        <v>591</v>
      </c>
      <c r="T3158" s="6"/>
      <c r="U3158" s="24" t="str">
        <f>HYPERLINK("https://media.infra-m.ru/2164/2164146/cover/2164146.jpg", "Обложка")</f>
        <v>Обложка</v>
      </c>
      <c r="V3158" s="24" t="str">
        <f>HYPERLINK("https://znanium.ru/catalog/product/2164146", "Ознакомиться")</f>
        <v>Ознакомиться</v>
      </c>
      <c r="W3158" s="8" t="s">
        <v>478</v>
      </c>
      <c r="X3158" s="6"/>
      <c r="Y3158" s="6"/>
      <c r="Z3158" s="6"/>
      <c r="AA3158" s="6" t="s">
        <v>614</v>
      </c>
      <c r="AB3158" s="8"/>
    </row>
    <row r="3159" spans="1:28" s="4" customFormat="1" ht="51.95" customHeight="1">
      <c r="A3159" s="5">
        <v>0</v>
      </c>
      <c r="B3159" s="6" t="s">
        <v>18998</v>
      </c>
      <c r="C3159" s="13">
        <v>3164</v>
      </c>
      <c r="D3159" s="8" t="s">
        <v>18999</v>
      </c>
      <c r="E3159" s="8" t="s">
        <v>19000</v>
      </c>
      <c r="F3159" s="8" t="s">
        <v>19001</v>
      </c>
      <c r="G3159" s="6" t="s">
        <v>52</v>
      </c>
      <c r="H3159" s="6" t="s">
        <v>53</v>
      </c>
      <c r="I3159" s="8" t="s">
        <v>212</v>
      </c>
      <c r="J3159" s="9">
        <v>1</v>
      </c>
      <c r="K3159" s="9">
        <v>634</v>
      </c>
      <c r="L3159" s="9">
        <v>2025</v>
      </c>
      <c r="M3159" s="8" t="s">
        <v>19002</v>
      </c>
      <c r="N3159" s="8" t="s">
        <v>79</v>
      </c>
      <c r="O3159" s="8" t="s">
        <v>174</v>
      </c>
      <c r="P3159" s="6" t="s">
        <v>167</v>
      </c>
      <c r="Q3159" s="8" t="s">
        <v>214</v>
      </c>
      <c r="R3159" s="10" t="s">
        <v>19003</v>
      </c>
      <c r="S3159" s="11" t="s">
        <v>19004</v>
      </c>
      <c r="T3159" s="6" t="s">
        <v>299</v>
      </c>
      <c r="U3159" s="24" t="str">
        <f>HYPERLINK("https://media.infra-m.ru/2164/2164039/cover/2164039.jpg", "Обложка")</f>
        <v>Обложка</v>
      </c>
      <c r="V3159" s="24" t="str">
        <f>HYPERLINK("https://znanium.ru/catalog/product/1047183", "Ознакомиться")</f>
        <v>Ознакомиться</v>
      </c>
      <c r="W3159" s="8" t="s">
        <v>19005</v>
      </c>
      <c r="X3159" s="6"/>
      <c r="Y3159" s="6"/>
      <c r="Z3159" s="6"/>
      <c r="AA3159" s="6" t="s">
        <v>442</v>
      </c>
      <c r="AB3159" s="8"/>
    </row>
    <row r="3160" spans="1:28" s="4" customFormat="1" ht="51.95" customHeight="1">
      <c r="A3160" s="5">
        <v>0</v>
      </c>
      <c r="B3160" s="6" t="s">
        <v>19006</v>
      </c>
      <c r="C3160" s="13">
        <v>1740</v>
      </c>
      <c r="D3160" s="8" t="s">
        <v>19007</v>
      </c>
      <c r="E3160" s="8" t="s">
        <v>19008</v>
      </c>
      <c r="F3160" s="8" t="s">
        <v>19009</v>
      </c>
      <c r="G3160" s="6" t="s">
        <v>89</v>
      </c>
      <c r="H3160" s="6" t="s">
        <v>184</v>
      </c>
      <c r="I3160" s="8" t="s">
        <v>90</v>
      </c>
      <c r="J3160" s="9">
        <v>1</v>
      </c>
      <c r="K3160" s="9">
        <v>378</v>
      </c>
      <c r="L3160" s="9">
        <v>2023</v>
      </c>
      <c r="M3160" s="8" t="s">
        <v>19010</v>
      </c>
      <c r="N3160" s="8" t="s">
        <v>41</v>
      </c>
      <c r="O3160" s="8" t="s">
        <v>118</v>
      </c>
      <c r="P3160" s="6" t="s">
        <v>43</v>
      </c>
      <c r="Q3160" s="8" t="s">
        <v>44</v>
      </c>
      <c r="R3160" s="10" t="s">
        <v>1709</v>
      </c>
      <c r="S3160" s="11" t="s">
        <v>19011</v>
      </c>
      <c r="T3160" s="6"/>
      <c r="U3160" s="24" t="str">
        <f>HYPERLINK("https://media.infra-m.ru/2036/2036545/cover/2036545.jpg", "Обложка")</f>
        <v>Обложка</v>
      </c>
      <c r="V3160" s="24" t="str">
        <f>HYPERLINK("https://znanium.ru/catalog/product/2036545", "Ознакомиться")</f>
        <v>Ознакомиться</v>
      </c>
      <c r="W3160" s="8" t="s">
        <v>19012</v>
      </c>
      <c r="X3160" s="6"/>
      <c r="Y3160" s="6"/>
      <c r="Z3160" s="6"/>
      <c r="AA3160" s="6" t="s">
        <v>418</v>
      </c>
      <c r="AB3160" s="8"/>
    </row>
    <row r="3161" spans="1:28" s="4" customFormat="1" ht="51.95" customHeight="1">
      <c r="A3161" s="5">
        <v>0</v>
      </c>
      <c r="B3161" s="6" t="s">
        <v>19013</v>
      </c>
      <c r="C3161" s="13">
        <v>1674</v>
      </c>
      <c r="D3161" s="8" t="s">
        <v>19014</v>
      </c>
      <c r="E3161" s="8" t="s">
        <v>19015</v>
      </c>
      <c r="F3161" s="8" t="s">
        <v>19016</v>
      </c>
      <c r="G3161" s="6" t="s">
        <v>52</v>
      </c>
      <c r="H3161" s="6" t="s">
        <v>53</v>
      </c>
      <c r="I3161" s="8" t="s">
        <v>90</v>
      </c>
      <c r="J3161" s="9">
        <v>1</v>
      </c>
      <c r="K3161" s="9">
        <v>364</v>
      </c>
      <c r="L3161" s="9">
        <v>2024</v>
      </c>
      <c r="M3161" s="8" t="s">
        <v>19017</v>
      </c>
      <c r="N3161" s="8" t="s">
        <v>413</v>
      </c>
      <c r="O3161" s="8" t="s">
        <v>414</v>
      </c>
      <c r="P3161" s="6" t="s">
        <v>43</v>
      </c>
      <c r="Q3161" s="8" t="s">
        <v>44</v>
      </c>
      <c r="R3161" s="10" t="s">
        <v>19018</v>
      </c>
      <c r="S3161" s="11" t="s">
        <v>19019</v>
      </c>
      <c r="T3161" s="6"/>
      <c r="U3161" s="24" t="str">
        <f>HYPERLINK("https://media.infra-m.ru/2079/2079641/cover/2079641.jpg", "Обложка")</f>
        <v>Обложка</v>
      </c>
      <c r="V3161" s="24" t="str">
        <f>HYPERLINK("https://znanium.ru/catalog/product/2079641", "Ознакомиться")</f>
        <v>Ознакомиться</v>
      </c>
      <c r="W3161" s="8" t="s">
        <v>4293</v>
      </c>
      <c r="X3161" s="6"/>
      <c r="Y3161" s="6"/>
      <c r="Z3161" s="6"/>
      <c r="AA3161" s="6" t="s">
        <v>72</v>
      </c>
      <c r="AB3161" s="8"/>
    </row>
    <row r="3162" spans="1:28" s="4" customFormat="1" ht="51.95" customHeight="1">
      <c r="A3162" s="5">
        <v>0</v>
      </c>
      <c r="B3162" s="6" t="s">
        <v>19020</v>
      </c>
      <c r="C3162" s="7">
        <v>844</v>
      </c>
      <c r="D3162" s="8" t="s">
        <v>19021</v>
      </c>
      <c r="E3162" s="8" t="s">
        <v>19022</v>
      </c>
      <c r="F3162" s="8" t="s">
        <v>5835</v>
      </c>
      <c r="G3162" s="6" t="s">
        <v>38</v>
      </c>
      <c r="H3162" s="6" t="s">
        <v>53</v>
      </c>
      <c r="I3162" s="8" t="s">
        <v>116</v>
      </c>
      <c r="J3162" s="9">
        <v>1</v>
      </c>
      <c r="K3162" s="9">
        <v>163</v>
      </c>
      <c r="L3162" s="9">
        <v>2025</v>
      </c>
      <c r="M3162" s="8" t="s">
        <v>19023</v>
      </c>
      <c r="N3162" s="8" t="s">
        <v>56</v>
      </c>
      <c r="O3162" s="8" t="s">
        <v>57</v>
      </c>
      <c r="P3162" s="6" t="s">
        <v>43</v>
      </c>
      <c r="Q3162" s="8" t="s">
        <v>44</v>
      </c>
      <c r="R3162" s="10" t="s">
        <v>19024</v>
      </c>
      <c r="S3162" s="11" t="s">
        <v>19025</v>
      </c>
      <c r="T3162" s="6"/>
      <c r="U3162" s="24" t="str">
        <f>HYPERLINK("https://media.infra-m.ru/2199/2199805/cover/2199805.jpg", "Обложка")</f>
        <v>Обложка</v>
      </c>
      <c r="V3162" s="24" t="str">
        <f>HYPERLINK("https://znanium.ru/catalog/product/2006060", "Ознакомиться")</f>
        <v>Ознакомиться</v>
      </c>
      <c r="W3162" s="8" t="s">
        <v>2059</v>
      </c>
      <c r="X3162" s="6"/>
      <c r="Y3162" s="6"/>
      <c r="Z3162" s="6"/>
      <c r="AA3162" s="6" t="s">
        <v>258</v>
      </c>
      <c r="AB3162" s="8"/>
    </row>
    <row r="3163" spans="1:28" s="4" customFormat="1" ht="51.95" customHeight="1">
      <c r="A3163" s="5">
        <v>0</v>
      </c>
      <c r="B3163" s="6" t="s">
        <v>19026</v>
      </c>
      <c r="C3163" s="7">
        <v>820</v>
      </c>
      <c r="D3163" s="8" t="s">
        <v>19027</v>
      </c>
      <c r="E3163" s="8" t="s">
        <v>19022</v>
      </c>
      <c r="F3163" s="8" t="s">
        <v>5835</v>
      </c>
      <c r="G3163" s="6" t="s">
        <v>89</v>
      </c>
      <c r="H3163" s="6" t="s">
        <v>53</v>
      </c>
      <c r="I3163" s="8" t="s">
        <v>100</v>
      </c>
      <c r="J3163" s="9">
        <v>1</v>
      </c>
      <c r="K3163" s="9">
        <v>163</v>
      </c>
      <c r="L3163" s="9">
        <v>2025</v>
      </c>
      <c r="M3163" s="8" t="s">
        <v>19028</v>
      </c>
      <c r="N3163" s="8" t="s">
        <v>56</v>
      </c>
      <c r="O3163" s="8" t="s">
        <v>57</v>
      </c>
      <c r="P3163" s="6" t="s">
        <v>43</v>
      </c>
      <c r="Q3163" s="8" t="s">
        <v>102</v>
      </c>
      <c r="R3163" s="10" t="s">
        <v>19029</v>
      </c>
      <c r="S3163" s="11" t="s">
        <v>19030</v>
      </c>
      <c r="T3163" s="6"/>
      <c r="U3163" s="24" t="str">
        <f>HYPERLINK("https://media.infra-m.ru/2167/2167694/cover/2167694.jpg", "Обложка")</f>
        <v>Обложка</v>
      </c>
      <c r="V3163" s="24" t="str">
        <f>HYPERLINK("https://znanium.ru/catalog/product/2167694", "Ознакомиться")</f>
        <v>Ознакомиться</v>
      </c>
      <c r="W3163" s="8" t="s">
        <v>2059</v>
      </c>
      <c r="X3163" s="6"/>
      <c r="Y3163" s="6"/>
      <c r="Z3163" s="6" t="s">
        <v>104</v>
      </c>
      <c r="AA3163" s="6" t="s">
        <v>793</v>
      </c>
      <c r="AB3163" s="8"/>
    </row>
    <row r="3164" spans="1:28" s="4" customFormat="1" ht="51.95" customHeight="1">
      <c r="A3164" s="5">
        <v>0</v>
      </c>
      <c r="B3164" s="6" t="s">
        <v>19031</v>
      </c>
      <c r="C3164" s="7">
        <v>760</v>
      </c>
      <c r="D3164" s="8" t="s">
        <v>19032</v>
      </c>
      <c r="E3164" s="8" t="s">
        <v>19033</v>
      </c>
      <c r="F3164" s="8" t="s">
        <v>19034</v>
      </c>
      <c r="G3164" s="6" t="s">
        <v>89</v>
      </c>
      <c r="H3164" s="6" t="s">
        <v>53</v>
      </c>
      <c r="I3164" s="8" t="s">
        <v>116</v>
      </c>
      <c r="J3164" s="9">
        <v>1</v>
      </c>
      <c r="K3164" s="9">
        <v>146</v>
      </c>
      <c r="L3164" s="9">
        <v>2025</v>
      </c>
      <c r="M3164" s="8" t="s">
        <v>19035</v>
      </c>
      <c r="N3164" s="8" t="s">
        <v>41</v>
      </c>
      <c r="O3164" s="8" t="s">
        <v>118</v>
      </c>
      <c r="P3164" s="6" t="s">
        <v>43</v>
      </c>
      <c r="Q3164" s="8" t="s">
        <v>44</v>
      </c>
      <c r="R3164" s="10" t="s">
        <v>375</v>
      </c>
      <c r="S3164" s="11" t="s">
        <v>19036</v>
      </c>
      <c r="T3164" s="6"/>
      <c r="U3164" s="24" t="str">
        <f>HYPERLINK("https://media.infra-m.ru/2197/2197265/cover/2197265.jpg", "Обложка")</f>
        <v>Обложка</v>
      </c>
      <c r="V3164" s="24" t="str">
        <f>HYPERLINK("https://znanium.ru/catalog/product/2197265", "Ознакомиться")</f>
        <v>Ознакомиться</v>
      </c>
      <c r="W3164" s="8" t="s">
        <v>189</v>
      </c>
      <c r="X3164" s="6"/>
      <c r="Y3164" s="6"/>
      <c r="Z3164" s="6"/>
      <c r="AA3164" s="6" t="s">
        <v>326</v>
      </c>
      <c r="AB3164" s="8"/>
    </row>
    <row r="3165" spans="1:28" s="4" customFormat="1" ht="51.95" customHeight="1">
      <c r="A3165" s="5">
        <v>0</v>
      </c>
      <c r="B3165" s="6" t="s">
        <v>19037</v>
      </c>
      <c r="C3165" s="13">
        <v>1330</v>
      </c>
      <c r="D3165" s="8" t="s">
        <v>19038</v>
      </c>
      <c r="E3165" s="8" t="s">
        <v>19039</v>
      </c>
      <c r="F3165" s="8" t="s">
        <v>19040</v>
      </c>
      <c r="G3165" s="6" t="s">
        <v>89</v>
      </c>
      <c r="H3165" s="6" t="s">
        <v>53</v>
      </c>
      <c r="I3165" s="8" t="s">
        <v>116</v>
      </c>
      <c r="J3165" s="9">
        <v>1</v>
      </c>
      <c r="K3165" s="9">
        <v>288</v>
      </c>
      <c r="L3165" s="9">
        <v>2024</v>
      </c>
      <c r="M3165" s="8" t="s">
        <v>19041</v>
      </c>
      <c r="N3165" s="8" t="s">
        <v>41</v>
      </c>
      <c r="O3165" s="8" t="s">
        <v>6182</v>
      </c>
      <c r="P3165" s="6" t="s">
        <v>43</v>
      </c>
      <c r="Q3165" s="8" t="s">
        <v>44</v>
      </c>
      <c r="R3165" s="10" t="s">
        <v>19042</v>
      </c>
      <c r="S3165" s="11" t="s">
        <v>19043</v>
      </c>
      <c r="T3165" s="6"/>
      <c r="U3165" s="24" t="str">
        <f>HYPERLINK("https://media.infra-m.ru/2102/2102674/cover/2102674.jpg", "Обложка")</f>
        <v>Обложка</v>
      </c>
      <c r="V3165" s="24" t="str">
        <f>HYPERLINK("https://znanium.ru/catalog/product/2102674", "Ознакомиться")</f>
        <v>Ознакомиться</v>
      </c>
      <c r="W3165" s="8" t="s">
        <v>2672</v>
      </c>
      <c r="X3165" s="6"/>
      <c r="Y3165" s="6"/>
      <c r="Z3165" s="6"/>
      <c r="AA3165" s="6" t="s">
        <v>2193</v>
      </c>
      <c r="AB3165" s="8"/>
    </row>
    <row r="3166" spans="1:28" s="4" customFormat="1" ht="51.95" customHeight="1">
      <c r="A3166" s="5">
        <v>0</v>
      </c>
      <c r="B3166" s="6" t="s">
        <v>19044</v>
      </c>
      <c r="C3166" s="13">
        <v>1000</v>
      </c>
      <c r="D3166" s="8" t="s">
        <v>19045</v>
      </c>
      <c r="E3166" s="8" t="s">
        <v>19046</v>
      </c>
      <c r="F3166" s="8" t="s">
        <v>19047</v>
      </c>
      <c r="G3166" s="6" t="s">
        <v>52</v>
      </c>
      <c r="H3166" s="6" t="s">
        <v>53</v>
      </c>
      <c r="I3166" s="8" t="s">
        <v>116</v>
      </c>
      <c r="J3166" s="9">
        <v>1</v>
      </c>
      <c r="K3166" s="9">
        <v>192</v>
      </c>
      <c r="L3166" s="9">
        <v>2024</v>
      </c>
      <c r="M3166" s="8" t="s">
        <v>19048</v>
      </c>
      <c r="N3166" s="8" t="s">
        <v>41</v>
      </c>
      <c r="O3166" s="8" t="s">
        <v>6182</v>
      </c>
      <c r="P3166" s="6" t="s">
        <v>43</v>
      </c>
      <c r="Q3166" s="8" t="s">
        <v>58</v>
      </c>
      <c r="R3166" s="10" t="s">
        <v>19049</v>
      </c>
      <c r="S3166" s="11"/>
      <c r="T3166" s="6"/>
      <c r="U3166" s="24" t="str">
        <f>HYPERLINK("https://media.infra-m.ru/2106/2106167/cover/2106167.jpg", "Обложка")</f>
        <v>Обложка</v>
      </c>
      <c r="V3166" s="24" t="str">
        <f>HYPERLINK("https://znanium.ru/catalog/product/2106167", "Ознакомиться")</f>
        <v>Ознакомиться</v>
      </c>
      <c r="W3166" s="8" t="s">
        <v>19050</v>
      </c>
      <c r="X3166" s="6" t="s">
        <v>132</v>
      </c>
      <c r="Y3166" s="6"/>
      <c r="Z3166" s="6"/>
      <c r="AA3166" s="6" t="s">
        <v>133</v>
      </c>
      <c r="AB3166" s="8"/>
    </row>
    <row r="3167" spans="1:28" s="4" customFormat="1" ht="51.95" customHeight="1">
      <c r="A3167" s="5">
        <v>0</v>
      </c>
      <c r="B3167" s="6" t="s">
        <v>19051</v>
      </c>
      <c r="C3167" s="7">
        <v>870</v>
      </c>
      <c r="D3167" s="8" t="s">
        <v>19052</v>
      </c>
      <c r="E3167" s="8" t="s">
        <v>19053</v>
      </c>
      <c r="F3167" s="8" t="s">
        <v>19054</v>
      </c>
      <c r="G3167" s="6" t="s">
        <v>89</v>
      </c>
      <c r="H3167" s="6" t="s">
        <v>39</v>
      </c>
      <c r="I3167" s="8" t="s">
        <v>100</v>
      </c>
      <c r="J3167" s="9">
        <v>1</v>
      </c>
      <c r="K3167" s="9">
        <v>157</v>
      </c>
      <c r="L3167" s="9">
        <v>2025</v>
      </c>
      <c r="M3167" s="8" t="s">
        <v>19055</v>
      </c>
      <c r="N3167" s="8" t="s">
        <v>413</v>
      </c>
      <c r="O3167" s="8" t="s">
        <v>1141</v>
      </c>
      <c r="P3167" s="6" t="s">
        <v>43</v>
      </c>
      <c r="Q3167" s="8" t="s">
        <v>102</v>
      </c>
      <c r="R3167" s="10" t="s">
        <v>19056</v>
      </c>
      <c r="S3167" s="11"/>
      <c r="T3167" s="6"/>
      <c r="U3167" s="24" t="str">
        <f>HYPERLINK("https://media.infra-m.ru/2172/2172152/cover/2172152.jpg", "Обложка")</f>
        <v>Обложка</v>
      </c>
      <c r="V3167" s="24" t="str">
        <f>HYPERLINK("https://znanium.ru/catalog/product/2172152", "Ознакомиться")</f>
        <v>Ознакомиться</v>
      </c>
      <c r="W3167" s="8" t="s">
        <v>1514</v>
      </c>
      <c r="X3167" s="6" t="s">
        <v>785</v>
      </c>
      <c r="Y3167" s="6"/>
      <c r="Z3167" s="6" t="s">
        <v>104</v>
      </c>
      <c r="AA3167" s="6" t="s">
        <v>549</v>
      </c>
      <c r="AB3167" s="8" t="s">
        <v>271</v>
      </c>
    </row>
    <row r="3168" spans="1:28" s="4" customFormat="1" ht="51.95" customHeight="1">
      <c r="A3168" s="5">
        <v>0</v>
      </c>
      <c r="B3168" s="6" t="s">
        <v>19057</v>
      </c>
      <c r="C3168" s="7">
        <v>660</v>
      </c>
      <c r="D3168" s="8" t="s">
        <v>19058</v>
      </c>
      <c r="E3168" s="8" t="s">
        <v>19053</v>
      </c>
      <c r="F3168" s="8" t="s">
        <v>19054</v>
      </c>
      <c r="G3168" s="6" t="s">
        <v>89</v>
      </c>
      <c r="H3168" s="6" t="s">
        <v>39</v>
      </c>
      <c r="I3168" s="8" t="s">
        <v>116</v>
      </c>
      <c r="J3168" s="9">
        <v>1</v>
      </c>
      <c r="K3168" s="9">
        <v>157</v>
      </c>
      <c r="L3168" s="9">
        <v>2024</v>
      </c>
      <c r="M3168" s="8" t="s">
        <v>19059</v>
      </c>
      <c r="N3168" s="8" t="s">
        <v>413</v>
      </c>
      <c r="O3168" s="8" t="s">
        <v>1141</v>
      </c>
      <c r="P3168" s="6" t="s">
        <v>43</v>
      </c>
      <c r="Q3168" s="8" t="s">
        <v>44</v>
      </c>
      <c r="R3168" s="10" t="s">
        <v>19060</v>
      </c>
      <c r="S3168" s="11" t="s">
        <v>19061</v>
      </c>
      <c r="T3168" s="6"/>
      <c r="U3168" s="24" t="str">
        <f>HYPERLINK("https://media.infra-m.ru/1891/1891840/cover/1891840.jpg", "Обложка")</f>
        <v>Обложка</v>
      </c>
      <c r="V3168" s="24" t="str">
        <f>HYPERLINK("https://znanium.ru/catalog/product/1891840", "Ознакомиться")</f>
        <v>Ознакомиться</v>
      </c>
      <c r="W3168" s="8" t="s">
        <v>1514</v>
      </c>
      <c r="X3168" s="6"/>
      <c r="Y3168" s="6"/>
      <c r="Z3168" s="6"/>
      <c r="AA3168" s="6" t="s">
        <v>326</v>
      </c>
      <c r="AB3168" s="8"/>
    </row>
    <row r="3169" spans="1:28" s="4" customFormat="1" ht="51.95" customHeight="1">
      <c r="A3169" s="5">
        <v>0</v>
      </c>
      <c r="B3169" s="6" t="s">
        <v>19062</v>
      </c>
      <c r="C3169" s="7">
        <v>844.9</v>
      </c>
      <c r="D3169" s="8" t="s">
        <v>19063</v>
      </c>
      <c r="E3169" s="8" t="s">
        <v>19064</v>
      </c>
      <c r="F3169" s="8" t="s">
        <v>6712</v>
      </c>
      <c r="G3169" s="6" t="s">
        <v>52</v>
      </c>
      <c r="H3169" s="6" t="s">
        <v>53</v>
      </c>
      <c r="I3169" s="8" t="s">
        <v>276</v>
      </c>
      <c r="J3169" s="9">
        <v>1</v>
      </c>
      <c r="K3169" s="9">
        <v>289</v>
      </c>
      <c r="L3169" s="9">
        <v>2018</v>
      </c>
      <c r="M3169" s="8" t="s">
        <v>19065</v>
      </c>
      <c r="N3169" s="8" t="s">
        <v>41</v>
      </c>
      <c r="O3169" s="8" t="s">
        <v>118</v>
      </c>
      <c r="P3169" s="6" t="s">
        <v>167</v>
      </c>
      <c r="Q3169" s="8" t="s">
        <v>279</v>
      </c>
      <c r="R3169" s="10" t="s">
        <v>19066</v>
      </c>
      <c r="S3169" s="11" t="s">
        <v>19067</v>
      </c>
      <c r="T3169" s="6" t="s">
        <v>299</v>
      </c>
      <c r="U3169" s="24" t="str">
        <f>HYPERLINK("https://media.infra-m.ru/0975/0975898/cover/975898.jpg", "Обложка")</f>
        <v>Обложка</v>
      </c>
      <c r="V3169" s="24" t="str">
        <f>HYPERLINK("https://znanium.ru/catalog/product/1896122", "Ознакомиться")</f>
        <v>Ознакомиться</v>
      </c>
      <c r="W3169" s="8" t="s">
        <v>2080</v>
      </c>
      <c r="X3169" s="6"/>
      <c r="Y3169" s="6"/>
      <c r="Z3169" s="6"/>
      <c r="AA3169" s="6" t="s">
        <v>479</v>
      </c>
      <c r="AB3169" s="8"/>
    </row>
    <row r="3170" spans="1:28" s="4" customFormat="1" ht="51.95" customHeight="1">
      <c r="A3170" s="5">
        <v>0</v>
      </c>
      <c r="B3170" s="6" t="s">
        <v>19068</v>
      </c>
      <c r="C3170" s="13">
        <v>1474</v>
      </c>
      <c r="D3170" s="8" t="s">
        <v>19069</v>
      </c>
      <c r="E3170" s="8" t="s">
        <v>19070</v>
      </c>
      <c r="F3170" s="8" t="s">
        <v>2296</v>
      </c>
      <c r="G3170" s="6" t="s">
        <v>52</v>
      </c>
      <c r="H3170" s="6" t="s">
        <v>53</v>
      </c>
      <c r="I3170" s="8" t="s">
        <v>276</v>
      </c>
      <c r="J3170" s="9">
        <v>1</v>
      </c>
      <c r="K3170" s="9">
        <v>284</v>
      </c>
      <c r="L3170" s="9">
        <v>2025</v>
      </c>
      <c r="M3170" s="8" t="s">
        <v>19071</v>
      </c>
      <c r="N3170" s="8" t="s">
        <v>41</v>
      </c>
      <c r="O3170" s="8" t="s">
        <v>118</v>
      </c>
      <c r="P3170" s="6" t="s">
        <v>167</v>
      </c>
      <c r="Q3170" s="8" t="s">
        <v>279</v>
      </c>
      <c r="R3170" s="10" t="s">
        <v>19066</v>
      </c>
      <c r="S3170" s="11" t="s">
        <v>19072</v>
      </c>
      <c r="T3170" s="6"/>
      <c r="U3170" s="24" t="str">
        <f>HYPERLINK("https://media.infra-m.ru/2198/2198919/cover/2198919.jpg", "Обложка")</f>
        <v>Обложка</v>
      </c>
      <c r="V3170" s="24" t="str">
        <f>HYPERLINK("https://znanium.ru/catalog/product/1896122", "Ознакомиться")</f>
        <v>Ознакомиться</v>
      </c>
      <c r="W3170" s="8" t="s">
        <v>2080</v>
      </c>
      <c r="X3170" s="6"/>
      <c r="Y3170" s="6"/>
      <c r="Z3170" s="6"/>
      <c r="AA3170" s="6" t="s">
        <v>3922</v>
      </c>
      <c r="AB3170" s="8"/>
    </row>
    <row r="3171" spans="1:28" s="4" customFormat="1" ht="51.95" customHeight="1">
      <c r="A3171" s="5">
        <v>0</v>
      </c>
      <c r="B3171" s="6" t="s">
        <v>19073</v>
      </c>
      <c r="C3171" s="13">
        <v>1044.9000000000001</v>
      </c>
      <c r="D3171" s="8" t="s">
        <v>19074</v>
      </c>
      <c r="E3171" s="8" t="s">
        <v>19075</v>
      </c>
      <c r="F3171" s="8" t="s">
        <v>6712</v>
      </c>
      <c r="G3171" s="6" t="s">
        <v>52</v>
      </c>
      <c r="H3171" s="6" t="s">
        <v>53</v>
      </c>
      <c r="I3171" s="8" t="s">
        <v>276</v>
      </c>
      <c r="J3171" s="9">
        <v>1</v>
      </c>
      <c r="K3171" s="9">
        <v>289</v>
      </c>
      <c r="L3171" s="9">
        <v>2021</v>
      </c>
      <c r="M3171" s="8" t="s">
        <v>19065</v>
      </c>
      <c r="N3171" s="8" t="s">
        <v>41</v>
      </c>
      <c r="O3171" s="8" t="s">
        <v>118</v>
      </c>
      <c r="P3171" s="6" t="s">
        <v>167</v>
      </c>
      <c r="Q3171" s="8" t="s">
        <v>279</v>
      </c>
      <c r="R3171" s="10" t="s">
        <v>19066</v>
      </c>
      <c r="S3171" s="11" t="s">
        <v>19067</v>
      </c>
      <c r="T3171" s="6" t="s">
        <v>299</v>
      </c>
      <c r="U3171" s="24" t="str">
        <f>HYPERLINK("https://media.infra-m.ru/1290/1290640/cover/1290640.jpg", "Обложка")</f>
        <v>Обложка</v>
      </c>
      <c r="V3171" s="24" t="str">
        <f>HYPERLINK("https://znanium.ru/catalog/product/1896122", "Ознакомиться")</f>
        <v>Ознакомиться</v>
      </c>
      <c r="W3171" s="8" t="s">
        <v>2080</v>
      </c>
      <c r="X3171" s="6"/>
      <c r="Y3171" s="6"/>
      <c r="Z3171" s="6"/>
      <c r="AA3171" s="6" t="s">
        <v>874</v>
      </c>
      <c r="AB3171" s="8"/>
    </row>
    <row r="3172" spans="1:28" s="4" customFormat="1" ht="42" customHeight="1">
      <c r="A3172" s="5">
        <v>0</v>
      </c>
      <c r="B3172" s="6" t="s">
        <v>19076</v>
      </c>
      <c r="C3172" s="13">
        <v>1930</v>
      </c>
      <c r="D3172" s="8" t="s">
        <v>19077</v>
      </c>
      <c r="E3172" s="8" t="s">
        <v>19078</v>
      </c>
      <c r="F3172" s="8" t="s">
        <v>6251</v>
      </c>
      <c r="G3172" s="6" t="s">
        <v>52</v>
      </c>
      <c r="H3172" s="6" t="s">
        <v>53</v>
      </c>
      <c r="I3172" s="8" t="s">
        <v>100</v>
      </c>
      <c r="J3172" s="9">
        <v>1</v>
      </c>
      <c r="K3172" s="9">
        <v>379</v>
      </c>
      <c r="L3172" s="9">
        <v>2024</v>
      </c>
      <c r="M3172" s="8" t="s">
        <v>19079</v>
      </c>
      <c r="N3172" s="8" t="s">
        <v>41</v>
      </c>
      <c r="O3172" s="8" t="s">
        <v>676</v>
      </c>
      <c r="P3172" s="6" t="s">
        <v>43</v>
      </c>
      <c r="Q3172" s="8" t="s">
        <v>102</v>
      </c>
      <c r="R3172" s="10" t="s">
        <v>5775</v>
      </c>
      <c r="S3172" s="11"/>
      <c r="T3172" s="6"/>
      <c r="U3172" s="24" t="str">
        <f>HYPERLINK("https://media.infra-m.ru/1930/1930673/cover/1930673.jpg", "Обложка")</f>
        <v>Обложка</v>
      </c>
      <c r="V3172" s="24" t="str">
        <f>HYPERLINK("https://znanium.ru/catalog/product/1930673", "Ознакомиться")</f>
        <v>Ознакомиться</v>
      </c>
      <c r="W3172" s="8" t="s">
        <v>2878</v>
      </c>
      <c r="X3172" s="6" t="s">
        <v>548</v>
      </c>
      <c r="Y3172" s="6"/>
      <c r="Z3172" s="6"/>
      <c r="AA3172" s="6" t="s">
        <v>133</v>
      </c>
      <c r="AB3172" s="8" t="s">
        <v>11412</v>
      </c>
    </row>
    <row r="3173" spans="1:28" s="4" customFormat="1" ht="51.95" customHeight="1">
      <c r="A3173" s="5">
        <v>0</v>
      </c>
      <c r="B3173" s="6" t="s">
        <v>19080</v>
      </c>
      <c r="C3173" s="13">
        <v>1424</v>
      </c>
      <c r="D3173" s="8" t="s">
        <v>19081</v>
      </c>
      <c r="E3173" s="8" t="s">
        <v>19082</v>
      </c>
      <c r="F3173" s="8" t="s">
        <v>19083</v>
      </c>
      <c r="G3173" s="6" t="s">
        <v>52</v>
      </c>
      <c r="H3173" s="6" t="s">
        <v>53</v>
      </c>
      <c r="I3173" s="8" t="s">
        <v>1631</v>
      </c>
      <c r="J3173" s="9">
        <v>1</v>
      </c>
      <c r="K3173" s="9">
        <v>285</v>
      </c>
      <c r="L3173" s="9">
        <v>2025</v>
      </c>
      <c r="M3173" s="8" t="s">
        <v>19084</v>
      </c>
      <c r="N3173" s="8" t="s">
        <v>79</v>
      </c>
      <c r="O3173" s="8" t="s">
        <v>684</v>
      </c>
      <c r="P3173" s="6" t="s">
        <v>43</v>
      </c>
      <c r="Q3173" s="8" t="s">
        <v>102</v>
      </c>
      <c r="R3173" s="10" t="s">
        <v>19085</v>
      </c>
      <c r="S3173" s="11" t="s">
        <v>19086</v>
      </c>
      <c r="T3173" s="6"/>
      <c r="U3173" s="24" t="str">
        <f>HYPERLINK("https://media.infra-m.ru/2180/2180225/cover/2180225.jpg", "Обложка")</f>
        <v>Обложка</v>
      </c>
      <c r="V3173" s="24" t="str">
        <f>HYPERLINK("https://znanium.ru/catalog/product/1981704", "Ознакомиться")</f>
        <v>Ознакомиться</v>
      </c>
      <c r="W3173" s="8" t="s">
        <v>716</v>
      </c>
      <c r="X3173" s="6"/>
      <c r="Y3173" s="6"/>
      <c r="Z3173" s="6"/>
      <c r="AA3173" s="6" t="s">
        <v>207</v>
      </c>
      <c r="AB3173" s="8"/>
    </row>
    <row r="3174" spans="1:28" s="4" customFormat="1" ht="51.95" customHeight="1">
      <c r="A3174" s="5">
        <v>0</v>
      </c>
      <c r="B3174" s="6" t="s">
        <v>19087</v>
      </c>
      <c r="C3174" s="7">
        <v>500</v>
      </c>
      <c r="D3174" s="8" t="s">
        <v>19088</v>
      </c>
      <c r="E3174" s="8" t="s">
        <v>19089</v>
      </c>
      <c r="F3174" s="8" t="s">
        <v>19090</v>
      </c>
      <c r="G3174" s="6" t="s">
        <v>38</v>
      </c>
      <c r="H3174" s="6" t="s">
        <v>184</v>
      </c>
      <c r="I3174" s="8" t="s">
        <v>116</v>
      </c>
      <c r="J3174" s="9">
        <v>1</v>
      </c>
      <c r="K3174" s="9">
        <v>99</v>
      </c>
      <c r="L3174" s="9">
        <v>2023</v>
      </c>
      <c r="M3174" s="8" t="s">
        <v>19091</v>
      </c>
      <c r="N3174" s="8" t="s">
        <v>79</v>
      </c>
      <c r="O3174" s="8" t="s">
        <v>396</v>
      </c>
      <c r="P3174" s="6" t="s">
        <v>43</v>
      </c>
      <c r="Q3174" s="8" t="s">
        <v>58</v>
      </c>
      <c r="R3174" s="10" t="s">
        <v>19092</v>
      </c>
      <c r="S3174" s="11" t="s">
        <v>19093</v>
      </c>
      <c r="T3174" s="6"/>
      <c r="U3174" s="24" t="str">
        <f>HYPERLINK("https://media.infra-m.ru/1911/1911175/cover/1911175.jpg", "Обложка")</f>
        <v>Обложка</v>
      </c>
      <c r="V3174" s="24" t="str">
        <f>HYPERLINK("https://znanium.ru/catalog/product/1911175", "Ознакомиться")</f>
        <v>Ознакомиться</v>
      </c>
      <c r="W3174" s="8" t="s">
        <v>11304</v>
      </c>
      <c r="X3174" s="6"/>
      <c r="Y3174" s="6"/>
      <c r="Z3174" s="6"/>
      <c r="AA3174" s="6" t="s">
        <v>84</v>
      </c>
      <c r="AB3174" s="8"/>
    </row>
    <row r="3175" spans="1:28" s="4" customFormat="1" ht="51.95" customHeight="1">
      <c r="A3175" s="5">
        <v>0</v>
      </c>
      <c r="B3175" s="6" t="s">
        <v>19094</v>
      </c>
      <c r="C3175" s="7">
        <v>610</v>
      </c>
      <c r="D3175" s="8" t="s">
        <v>19095</v>
      </c>
      <c r="E3175" s="8" t="s">
        <v>19096</v>
      </c>
      <c r="F3175" s="8" t="s">
        <v>19097</v>
      </c>
      <c r="G3175" s="6" t="s">
        <v>89</v>
      </c>
      <c r="H3175" s="6" t="s">
        <v>53</v>
      </c>
      <c r="I3175" s="8" t="s">
        <v>100</v>
      </c>
      <c r="J3175" s="9">
        <v>1</v>
      </c>
      <c r="K3175" s="9">
        <v>187</v>
      </c>
      <c r="L3175" s="9">
        <v>2019</v>
      </c>
      <c r="M3175" s="8" t="s">
        <v>19098</v>
      </c>
      <c r="N3175" s="8" t="s">
        <v>413</v>
      </c>
      <c r="O3175" s="8" t="s">
        <v>414</v>
      </c>
      <c r="P3175" s="6" t="s">
        <v>167</v>
      </c>
      <c r="Q3175" s="8" t="s">
        <v>102</v>
      </c>
      <c r="R3175" s="10" t="s">
        <v>19099</v>
      </c>
      <c r="S3175" s="11" t="s">
        <v>19100</v>
      </c>
      <c r="T3175" s="6"/>
      <c r="U3175" s="24" t="str">
        <f>HYPERLINK("https://media.infra-m.ru/1015/1015854/cover/1015854.jpg", "Обложка")</f>
        <v>Обложка</v>
      </c>
      <c r="V3175" s="24" t="str">
        <f>HYPERLINK("https://znanium.ru/catalog/product/2192445", "Ознакомиться")</f>
        <v>Ознакомиться</v>
      </c>
      <c r="W3175" s="8" t="s">
        <v>478</v>
      </c>
      <c r="X3175" s="6"/>
      <c r="Y3175" s="6"/>
      <c r="Z3175" s="6"/>
      <c r="AA3175" s="6" t="s">
        <v>244</v>
      </c>
      <c r="AB3175" s="8"/>
    </row>
    <row r="3176" spans="1:28" s="4" customFormat="1" ht="51.95" customHeight="1">
      <c r="A3176" s="5">
        <v>0</v>
      </c>
      <c r="B3176" s="6" t="s">
        <v>19101</v>
      </c>
      <c r="C3176" s="7">
        <v>960</v>
      </c>
      <c r="D3176" s="8" t="s">
        <v>19102</v>
      </c>
      <c r="E3176" s="8" t="s">
        <v>19103</v>
      </c>
      <c r="F3176" s="8" t="s">
        <v>19104</v>
      </c>
      <c r="G3176" s="6" t="s">
        <v>89</v>
      </c>
      <c r="H3176" s="6" t="s">
        <v>53</v>
      </c>
      <c r="I3176" s="8" t="s">
        <v>100</v>
      </c>
      <c r="J3176" s="9">
        <v>1</v>
      </c>
      <c r="K3176" s="9">
        <v>190</v>
      </c>
      <c r="L3176" s="9">
        <v>2025</v>
      </c>
      <c r="M3176" s="8" t="s">
        <v>19105</v>
      </c>
      <c r="N3176" s="8" t="s">
        <v>413</v>
      </c>
      <c r="O3176" s="8" t="s">
        <v>414</v>
      </c>
      <c r="P3176" s="6" t="s">
        <v>167</v>
      </c>
      <c r="Q3176" s="8" t="s">
        <v>102</v>
      </c>
      <c r="R3176" s="10" t="s">
        <v>19099</v>
      </c>
      <c r="S3176" s="11" t="s">
        <v>19100</v>
      </c>
      <c r="T3176" s="6"/>
      <c r="U3176" s="24" t="str">
        <f>HYPERLINK("https://media.infra-m.ru/2192/2192445/cover/2192445.jpg", "Обложка")</f>
        <v>Обложка</v>
      </c>
      <c r="V3176" s="24" t="str">
        <f>HYPERLINK("https://znanium.ru/catalog/product/2192445", "Ознакомиться")</f>
        <v>Ознакомиться</v>
      </c>
      <c r="W3176" s="8" t="s">
        <v>478</v>
      </c>
      <c r="X3176" s="6"/>
      <c r="Y3176" s="6"/>
      <c r="Z3176" s="6"/>
      <c r="AA3176" s="6" t="s">
        <v>10161</v>
      </c>
      <c r="AB3176" s="8"/>
    </row>
    <row r="3177" spans="1:28" s="4" customFormat="1" ht="42" customHeight="1">
      <c r="A3177" s="5">
        <v>0</v>
      </c>
      <c r="B3177" s="6" t="s">
        <v>19106</v>
      </c>
      <c r="C3177" s="13">
        <v>1650</v>
      </c>
      <c r="D3177" s="8" t="s">
        <v>19107</v>
      </c>
      <c r="E3177" s="8" t="s">
        <v>19108</v>
      </c>
      <c r="F3177" s="8" t="s">
        <v>10196</v>
      </c>
      <c r="G3177" s="6" t="s">
        <v>89</v>
      </c>
      <c r="H3177" s="6" t="s">
        <v>952</v>
      </c>
      <c r="I3177" s="8"/>
      <c r="J3177" s="9">
        <v>1</v>
      </c>
      <c r="K3177" s="9">
        <v>368</v>
      </c>
      <c r="L3177" s="9">
        <v>2023</v>
      </c>
      <c r="M3177" s="8" t="s">
        <v>19109</v>
      </c>
      <c r="N3177" s="8" t="s">
        <v>41</v>
      </c>
      <c r="O3177" s="8" t="s">
        <v>1007</v>
      </c>
      <c r="P3177" s="6" t="s">
        <v>43</v>
      </c>
      <c r="Q3177" s="8" t="s">
        <v>279</v>
      </c>
      <c r="R3177" s="10" t="s">
        <v>1356</v>
      </c>
      <c r="S3177" s="11"/>
      <c r="T3177" s="6"/>
      <c r="U3177" s="24" t="str">
        <f>HYPERLINK("https://media.infra-m.ru/1082/1082926/cover/1082926.jpg", "Обложка")</f>
        <v>Обложка</v>
      </c>
      <c r="V3177" s="24" t="str">
        <f>HYPERLINK("https://znanium.ru/catalog/product/1082926", "Ознакомиться")</f>
        <v>Ознакомиться</v>
      </c>
      <c r="W3177" s="8" t="s">
        <v>2817</v>
      </c>
      <c r="X3177" s="6"/>
      <c r="Y3177" s="6"/>
      <c r="Z3177" s="6"/>
      <c r="AA3177" s="6" t="s">
        <v>258</v>
      </c>
      <c r="AB3177" s="8"/>
    </row>
    <row r="3178" spans="1:28" s="4" customFormat="1" ht="51.95" customHeight="1">
      <c r="A3178" s="5">
        <v>0</v>
      </c>
      <c r="B3178" s="6" t="s">
        <v>19110</v>
      </c>
      <c r="C3178" s="13">
        <v>1030</v>
      </c>
      <c r="D3178" s="8" t="s">
        <v>19111</v>
      </c>
      <c r="E3178" s="8" t="s">
        <v>19112</v>
      </c>
      <c r="F3178" s="8" t="s">
        <v>8268</v>
      </c>
      <c r="G3178" s="6" t="s">
        <v>89</v>
      </c>
      <c r="H3178" s="6" t="s">
        <v>53</v>
      </c>
      <c r="I3178" s="8" t="s">
        <v>212</v>
      </c>
      <c r="J3178" s="9">
        <v>1</v>
      </c>
      <c r="K3178" s="9">
        <v>216</v>
      </c>
      <c r="L3178" s="9">
        <v>2024</v>
      </c>
      <c r="M3178" s="8" t="s">
        <v>19113</v>
      </c>
      <c r="N3178" s="8" t="s">
        <v>79</v>
      </c>
      <c r="O3178" s="8" t="s">
        <v>80</v>
      </c>
      <c r="P3178" s="6" t="s">
        <v>43</v>
      </c>
      <c r="Q3178" s="8" t="s">
        <v>214</v>
      </c>
      <c r="R3178" s="10" t="s">
        <v>2557</v>
      </c>
      <c r="S3178" s="11" t="s">
        <v>11025</v>
      </c>
      <c r="T3178" s="6"/>
      <c r="U3178" s="24" t="str">
        <f>HYPERLINK("https://media.infra-m.ru/2131/2131865/cover/2131865.jpg", "Обложка")</f>
        <v>Обложка</v>
      </c>
      <c r="V3178" s="24" t="str">
        <f>HYPERLINK("https://znanium.ru/catalog/product/2131865", "Ознакомиться")</f>
        <v>Ознакомиться</v>
      </c>
      <c r="W3178" s="8" t="s">
        <v>243</v>
      </c>
      <c r="X3178" s="6"/>
      <c r="Y3178" s="6"/>
      <c r="Z3178" s="6" t="s">
        <v>218</v>
      </c>
      <c r="AA3178" s="6" t="s">
        <v>219</v>
      </c>
      <c r="AB3178" s="8"/>
    </row>
    <row r="3179" spans="1:28" s="4" customFormat="1" ht="51.95" customHeight="1">
      <c r="A3179" s="5">
        <v>0</v>
      </c>
      <c r="B3179" s="6" t="s">
        <v>19114</v>
      </c>
      <c r="C3179" s="13">
        <v>1320</v>
      </c>
      <c r="D3179" s="8" t="s">
        <v>19115</v>
      </c>
      <c r="E3179" s="8" t="s">
        <v>19116</v>
      </c>
      <c r="F3179" s="8" t="s">
        <v>19117</v>
      </c>
      <c r="G3179" s="6" t="s">
        <v>89</v>
      </c>
      <c r="H3179" s="6" t="s">
        <v>53</v>
      </c>
      <c r="I3179" s="8" t="s">
        <v>100</v>
      </c>
      <c r="J3179" s="9">
        <v>1</v>
      </c>
      <c r="K3179" s="9">
        <v>346</v>
      </c>
      <c r="L3179" s="9">
        <v>2022</v>
      </c>
      <c r="M3179" s="8" t="s">
        <v>19118</v>
      </c>
      <c r="N3179" s="8" t="s">
        <v>79</v>
      </c>
      <c r="O3179" s="8" t="s">
        <v>80</v>
      </c>
      <c r="P3179" s="6" t="s">
        <v>43</v>
      </c>
      <c r="Q3179" s="8" t="s">
        <v>102</v>
      </c>
      <c r="R3179" s="10" t="s">
        <v>19119</v>
      </c>
      <c r="S3179" s="11" t="s">
        <v>19120</v>
      </c>
      <c r="T3179" s="6"/>
      <c r="U3179" s="24" t="str">
        <f>HYPERLINK("https://media.infra-m.ru/1056/1056856/cover/1056856.jpg", "Обложка")</f>
        <v>Обложка</v>
      </c>
      <c r="V3179" s="24" t="str">
        <f>HYPERLINK("https://znanium.ru/catalog/product/1056856", "Ознакомиться")</f>
        <v>Ознакомиться</v>
      </c>
      <c r="W3179" s="8" t="s">
        <v>2216</v>
      </c>
      <c r="X3179" s="6"/>
      <c r="Y3179" s="6"/>
      <c r="Z3179" s="6"/>
      <c r="AA3179" s="6" t="s">
        <v>513</v>
      </c>
      <c r="AB3179" s="8"/>
    </row>
    <row r="3180" spans="1:28" s="4" customFormat="1" ht="51.95" customHeight="1">
      <c r="A3180" s="5">
        <v>0</v>
      </c>
      <c r="B3180" s="6" t="s">
        <v>19121</v>
      </c>
      <c r="C3180" s="13">
        <v>1730</v>
      </c>
      <c r="D3180" s="8" t="s">
        <v>19122</v>
      </c>
      <c r="E3180" s="8" t="s">
        <v>19123</v>
      </c>
      <c r="F3180" s="8" t="s">
        <v>19124</v>
      </c>
      <c r="G3180" s="6" t="s">
        <v>52</v>
      </c>
      <c r="H3180" s="6" t="s">
        <v>53</v>
      </c>
      <c r="I3180" s="8" t="s">
        <v>116</v>
      </c>
      <c r="J3180" s="9">
        <v>1</v>
      </c>
      <c r="K3180" s="9">
        <v>374</v>
      </c>
      <c r="L3180" s="9">
        <v>2024</v>
      </c>
      <c r="M3180" s="8" t="s">
        <v>19125</v>
      </c>
      <c r="N3180" s="8" t="s">
        <v>413</v>
      </c>
      <c r="O3180" s="8" t="s">
        <v>414</v>
      </c>
      <c r="P3180" s="6" t="s">
        <v>43</v>
      </c>
      <c r="Q3180" s="8" t="s">
        <v>58</v>
      </c>
      <c r="R3180" s="10" t="s">
        <v>19126</v>
      </c>
      <c r="S3180" s="11" t="s">
        <v>19127</v>
      </c>
      <c r="T3180" s="6"/>
      <c r="U3180" s="24" t="str">
        <f>HYPERLINK("https://media.infra-m.ru/1477/1477254/cover/1477254.jpg", "Обложка")</f>
        <v>Обложка</v>
      </c>
      <c r="V3180" s="24" t="str">
        <f>HYPERLINK("https://znanium.ru/catalog/product/1477254", "Ознакомиться")</f>
        <v>Ознакомиться</v>
      </c>
      <c r="W3180" s="8" t="s">
        <v>10326</v>
      </c>
      <c r="X3180" s="6"/>
      <c r="Y3180" s="6"/>
      <c r="Z3180" s="6"/>
      <c r="AA3180" s="6" t="s">
        <v>105</v>
      </c>
      <c r="AB3180" s="8"/>
    </row>
    <row r="3181" spans="1:28" s="4" customFormat="1" ht="51.95" customHeight="1">
      <c r="A3181" s="5">
        <v>0</v>
      </c>
      <c r="B3181" s="6" t="s">
        <v>19128</v>
      </c>
      <c r="C3181" s="13">
        <v>1604.9</v>
      </c>
      <c r="D3181" s="8" t="s">
        <v>19129</v>
      </c>
      <c r="E3181" s="8" t="s">
        <v>19130</v>
      </c>
      <c r="F3181" s="8" t="s">
        <v>19131</v>
      </c>
      <c r="G3181" s="6" t="s">
        <v>38</v>
      </c>
      <c r="H3181" s="6" t="s">
        <v>53</v>
      </c>
      <c r="I3181" s="8" t="s">
        <v>116</v>
      </c>
      <c r="J3181" s="9">
        <v>1</v>
      </c>
      <c r="K3181" s="9">
        <v>357</v>
      </c>
      <c r="L3181" s="9">
        <v>2020</v>
      </c>
      <c r="M3181" s="8" t="s">
        <v>19132</v>
      </c>
      <c r="N3181" s="8" t="s">
        <v>413</v>
      </c>
      <c r="O3181" s="8" t="s">
        <v>414</v>
      </c>
      <c r="P3181" s="6" t="s">
        <v>43</v>
      </c>
      <c r="Q3181" s="8" t="s">
        <v>44</v>
      </c>
      <c r="R3181" s="10" t="s">
        <v>19126</v>
      </c>
      <c r="S3181" s="11" t="s">
        <v>19133</v>
      </c>
      <c r="T3181" s="6"/>
      <c r="U3181" s="24" t="str">
        <f>HYPERLINK("https://media.infra-m.ru/1915/1915776/cover/1915776.jpg", "Обложка")</f>
        <v>Обложка</v>
      </c>
      <c r="V3181" s="24" t="str">
        <f>HYPERLINK("https://znanium.ru/catalog/product/1477254", "Ознакомиться")</f>
        <v>Ознакомиться</v>
      </c>
      <c r="W3181" s="8" t="s">
        <v>10326</v>
      </c>
      <c r="X3181" s="6"/>
      <c r="Y3181" s="6"/>
      <c r="Z3181" s="6"/>
      <c r="AA3181" s="6" t="s">
        <v>622</v>
      </c>
      <c r="AB3181" s="8"/>
    </row>
    <row r="3182" spans="1:28" s="4" customFormat="1" ht="51.95" customHeight="1">
      <c r="A3182" s="5">
        <v>0</v>
      </c>
      <c r="B3182" s="6" t="s">
        <v>19134</v>
      </c>
      <c r="C3182" s="7">
        <v>844</v>
      </c>
      <c r="D3182" s="8" t="s">
        <v>19135</v>
      </c>
      <c r="E3182" s="8" t="s">
        <v>19136</v>
      </c>
      <c r="F3182" s="8" t="s">
        <v>19137</v>
      </c>
      <c r="G3182" s="6" t="s">
        <v>52</v>
      </c>
      <c r="H3182" s="6" t="s">
        <v>184</v>
      </c>
      <c r="I3182" s="8" t="s">
        <v>90</v>
      </c>
      <c r="J3182" s="9">
        <v>1</v>
      </c>
      <c r="K3182" s="9">
        <v>183</v>
      </c>
      <c r="L3182" s="9">
        <v>2024</v>
      </c>
      <c r="M3182" s="8" t="s">
        <v>19138</v>
      </c>
      <c r="N3182" s="8" t="s">
        <v>79</v>
      </c>
      <c r="O3182" s="8" t="s">
        <v>80</v>
      </c>
      <c r="P3182" s="6" t="s">
        <v>43</v>
      </c>
      <c r="Q3182" s="8" t="s">
        <v>44</v>
      </c>
      <c r="R3182" s="10" t="s">
        <v>19139</v>
      </c>
      <c r="S3182" s="11" t="s">
        <v>19140</v>
      </c>
      <c r="T3182" s="6"/>
      <c r="U3182" s="24" t="str">
        <f>HYPERLINK("https://media.infra-m.ru/1927/1927326/cover/1927326.jpg", "Обложка")</f>
        <v>Обложка</v>
      </c>
      <c r="V3182" s="24" t="str">
        <f>HYPERLINK("https://znanium.ru/catalog/product/1927326", "Ознакомиться")</f>
        <v>Ознакомиться</v>
      </c>
      <c r="W3182" s="8" t="s">
        <v>347</v>
      </c>
      <c r="X3182" s="6"/>
      <c r="Y3182" s="6"/>
      <c r="Z3182" s="6"/>
      <c r="AA3182" s="6" t="s">
        <v>47</v>
      </c>
      <c r="AB3182" s="8"/>
    </row>
    <row r="3183" spans="1:28" s="4" customFormat="1" ht="51.95" customHeight="1">
      <c r="A3183" s="5">
        <v>0</v>
      </c>
      <c r="B3183" s="6" t="s">
        <v>19141</v>
      </c>
      <c r="C3183" s="13">
        <v>1444</v>
      </c>
      <c r="D3183" s="8" t="s">
        <v>19142</v>
      </c>
      <c r="E3183" s="8" t="s">
        <v>19143</v>
      </c>
      <c r="F3183" s="8" t="s">
        <v>19144</v>
      </c>
      <c r="G3183" s="6" t="s">
        <v>52</v>
      </c>
      <c r="H3183" s="6" t="s">
        <v>39</v>
      </c>
      <c r="I3183" s="8" t="s">
        <v>185</v>
      </c>
      <c r="J3183" s="9">
        <v>1</v>
      </c>
      <c r="K3183" s="9">
        <v>288</v>
      </c>
      <c r="L3183" s="9">
        <v>2025</v>
      </c>
      <c r="M3183" s="8" t="s">
        <v>19145</v>
      </c>
      <c r="N3183" s="8" t="s">
        <v>79</v>
      </c>
      <c r="O3183" s="8" t="s">
        <v>80</v>
      </c>
      <c r="P3183" s="6" t="s">
        <v>43</v>
      </c>
      <c r="Q3183" s="8" t="s">
        <v>102</v>
      </c>
      <c r="R3183" s="10" t="s">
        <v>8559</v>
      </c>
      <c r="S3183" s="11" t="s">
        <v>11759</v>
      </c>
      <c r="T3183" s="6"/>
      <c r="U3183" s="24" t="str">
        <f>HYPERLINK("https://media.infra-m.ru/2141/2141726/cover/2141726.jpg", "Обложка")</f>
        <v>Обложка</v>
      </c>
      <c r="V3183" s="12"/>
      <c r="W3183" s="8" t="s">
        <v>1514</v>
      </c>
      <c r="X3183" s="6"/>
      <c r="Y3183" s="6"/>
      <c r="Z3183" s="6"/>
      <c r="AA3183" s="6" t="s">
        <v>4504</v>
      </c>
      <c r="AB3183" s="8"/>
    </row>
    <row r="3184" spans="1:28" s="4" customFormat="1" ht="51.95" customHeight="1">
      <c r="A3184" s="5">
        <v>0</v>
      </c>
      <c r="B3184" s="6" t="s">
        <v>19146</v>
      </c>
      <c r="C3184" s="13">
        <v>1080</v>
      </c>
      <c r="D3184" s="8" t="s">
        <v>19147</v>
      </c>
      <c r="E3184" s="8" t="s">
        <v>19148</v>
      </c>
      <c r="F3184" s="8" t="s">
        <v>8268</v>
      </c>
      <c r="G3184" s="6" t="s">
        <v>89</v>
      </c>
      <c r="H3184" s="6" t="s">
        <v>53</v>
      </c>
      <c r="I3184" s="8" t="s">
        <v>100</v>
      </c>
      <c r="J3184" s="9">
        <v>1</v>
      </c>
      <c r="K3184" s="9">
        <v>216</v>
      </c>
      <c r="L3184" s="9">
        <v>2023</v>
      </c>
      <c r="M3184" s="8" t="s">
        <v>19149</v>
      </c>
      <c r="N3184" s="8" t="s">
        <v>79</v>
      </c>
      <c r="O3184" s="8" t="s">
        <v>80</v>
      </c>
      <c r="P3184" s="6" t="s">
        <v>43</v>
      </c>
      <c r="Q3184" s="8" t="s">
        <v>102</v>
      </c>
      <c r="R3184" s="10" t="s">
        <v>19150</v>
      </c>
      <c r="S3184" s="11" t="s">
        <v>19151</v>
      </c>
      <c r="T3184" s="6"/>
      <c r="U3184" s="24" t="str">
        <f>HYPERLINK("https://media.infra-m.ru/1900/1900721/cover/1900721.jpg", "Обложка")</f>
        <v>Обложка</v>
      </c>
      <c r="V3184" s="24" t="str">
        <f>HYPERLINK("https://znanium.ru/catalog/product/1900721", "Ознакомиться")</f>
        <v>Ознакомиться</v>
      </c>
      <c r="W3184" s="8" t="s">
        <v>243</v>
      </c>
      <c r="X3184" s="6"/>
      <c r="Y3184" s="6"/>
      <c r="Z3184" s="6" t="s">
        <v>104</v>
      </c>
      <c r="AA3184" s="6" t="s">
        <v>196</v>
      </c>
      <c r="AB3184" s="8"/>
    </row>
    <row r="3185" spans="1:28" s="4" customFormat="1" ht="42" customHeight="1">
      <c r="A3185" s="5">
        <v>0</v>
      </c>
      <c r="B3185" s="6" t="s">
        <v>19152</v>
      </c>
      <c r="C3185" s="7">
        <v>990</v>
      </c>
      <c r="D3185" s="8" t="s">
        <v>19153</v>
      </c>
      <c r="E3185" s="8" t="s">
        <v>19154</v>
      </c>
      <c r="F3185" s="8" t="s">
        <v>19155</v>
      </c>
      <c r="G3185" s="6" t="s">
        <v>52</v>
      </c>
      <c r="H3185" s="6" t="s">
        <v>53</v>
      </c>
      <c r="I3185" s="8" t="s">
        <v>100</v>
      </c>
      <c r="J3185" s="9">
        <v>1</v>
      </c>
      <c r="K3185" s="9">
        <v>193</v>
      </c>
      <c r="L3185" s="9">
        <v>2025</v>
      </c>
      <c r="M3185" s="8" t="s">
        <v>19156</v>
      </c>
      <c r="N3185" s="8" t="s">
        <v>79</v>
      </c>
      <c r="O3185" s="8" t="s">
        <v>80</v>
      </c>
      <c r="P3185" s="6" t="s">
        <v>43</v>
      </c>
      <c r="Q3185" s="8" t="s">
        <v>102</v>
      </c>
      <c r="R3185" s="10" t="s">
        <v>13398</v>
      </c>
      <c r="S3185" s="11"/>
      <c r="T3185" s="6"/>
      <c r="U3185" s="24" t="str">
        <f>HYPERLINK("https://media.infra-m.ru/2161/2161237/cover/2161237.jpg", "Обложка")</f>
        <v>Обложка</v>
      </c>
      <c r="V3185" s="24" t="str">
        <f>HYPERLINK("https://znanium.ru/catalog/product/2161237", "Ознакомиться")</f>
        <v>Ознакомиться</v>
      </c>
      <c r="W3185" s="8" t="s">
        <v>1505</v>
      </c>
      <c r="X3185" s="6" t="s">
        <v>785</v>
      </c>
      <c r="Y3185" s="6"/>
      <c r="Z3185" s="6" t="s">
        <v>104</v>
      </c>
      <c r="AA3185" s="6" t="s">
        <v>61</v>
      </c>
      <c r="AB3185" s="8"/>
    </row>
    <row r="3186" spans="1:28" s="4" customFormat="1" ht="42" customHeight="1">
      <c r="A3186" s="5">
        <v>0</v>
      </c>
      <c r="B3186" s="6" t="s">
        <v>19157</v>
      </c>
      <c r="C3186" s="7">
        <v>970</v>
      </c>
      <c r="D3186" s="8" t="s">
        <v>19158</v>
      </c>
      <c r="E3186" s="8" t="s">
        <v>19154</v>
      </c>
      <c r="F3186" s="8" t="s">
        <v>19155</v>
      </c>
      <c r="G3186" s="6" t="s">
        <v>52</v>
      </c>
      <c r="H3186" s="6" t="s">
        <v>53</v>
      </c>
      <c r="I3186" s="8" t="s">
        <v>116</v>
      </c>
      <c r="J3186" s="9">
        <v>1</v>
      </c>
      <c r="K3186" s="9">
        <v>193</v>
      </c>
      <c r="L3186" s="9">
        <v>2024</v>
      </c>
      <c r="M3186" s="8" t="s">
        <v>19159</v>
      </c>
      <c r="N3186" s="8" t="s">
        <v>79</v>
      </c>
      <c r="O3186" s="8" t="s">
        <v>80</v>
      </c>
      <c r="P3186" s="6" t="s">
        <v>43</v>
      </c>
      <c r="Q3186" s="8" t="s">
        <v>44</v>
      </c>
      <c r="R3186" s="10" t="s">
        <v>19160</v>
      </c>
      <c r="S3186" s="11"/>
      <c r="T3186" s="6"/>
      <c r="U3186" s="24" t="str">
        <f>HYPERLINK("https://media.infra-m.ru/1915/1915784/cover/1915784.jpg", "Обложка")</f>
        <v>Обложка</v>
      </c>
      <c r="V3186" s="24" t="str">
        <f>HYPERLINK("https://znanium.ru/catalog/product/1915784", "Ознакомиться")</f>
        <v>Ознакомиться</v>
      </c>
      <c r="W3186" s="8" t="s">
        <v>1505</v>
      </c>
      <c r="X3186" s="6" t="s">
        <v>389</v>
      </c>
      <c r="Y3186" s="6"/>
      <c r="Z3186" s="6"/>
      <c r="AA3186" s="6" t="s">
        <v>133</v>
      </c>
      <c r="AB3186" s="8"/>
    </row>
    <row r="3187" spans="1:28" s="4" customFormat="1" ht="51.95" customHeight="1">
      <c r="A3187" s="5">
        <v>0</v>
      </c>
      <c r="B3187" s="6" t="s">
        <v>19161</v>
      </c>
      <c r="C3187" s="7">
        <v>994</v>
      </c>
      <c r="D3187" s="8" t="s">
        <v>19162</v>
      </c>
      <c r="E3187" s="8" t="s">
        <v>19112</v>
      </c>
      <c r="F3187" s="8" t="s">
        <v>8268</v>
      </c>
      <c r="G3187" s="6" t="s">
        <v>52</v>
      </c>
      <c r="H3187" s="6" t="s">
        <v>53</v>
      </c>
      <c r="I3187" s="8" t="s">
        <v>90</v>
      </c>
      <c r="J3187" s="9">
        <v>1</v>
      </c>
      <c r="K3187" s="9">
        <v>216</v>
      </c>
      <c r="L3187" s="9">
        <v>2024</v>
      </c>
      <c r="M3187" s="8" t="s">
        <v>19163</v>
      </c>
      <c r="N3187" s="8" t="s">
        <v>79</v>
      </c>
      <c r="O3187" s="8" t="s">
        <v>80</v>
      </c>
      <c r="P3187" s="6" t="s">
        <v>43</v>
      </c>
      <c r="Q3187" s="8" t="s">
        <v>44</v>
      </c>
      <c r="R3187" s="10" t="s">
        <v>8270</v>
      </c>
      <c r="S3187" s="11" t="s">
        <v>8271</v>
      </c>
      <c r="T3187" s="6"/>
      <c r="U3187" s="24" t="str">
        <f>HYPERLINK("https://media.infra-m.ru/2061/2061192/cover/2061192.jpg", "Обложка")</f>
        <v>Обложка</v>
      </c>
      <c r="V3187" s="24" t="str">
        <f>HYPERLINK("https://znanium.ru/catalog/product/1784437", "Ознакомиться")</f>
        <v>Ознакомиться</v>
      </c>
      <c r="W3187" s="8" t="s">
        <v>243</v>
      </c>
      <c r="X3187" s="6"/>
      <c r="Y3187" s="6"/>
      <c r="Z3187" s="6"/>
      <c r="AA3187" s="6" t="s">
        <v>2217</v>
      </c>
      <c r="AB3187" s="8"/>
    </row>
    <row r="3188" spans="1:28" s="4" customFormat="1" ht="51.95" customHeight="1">
      <c r="A3188" s="5">
        <v>0</v>
      </c>
      <c r="B3188" s="6" t="s">
        <v>19164</v>
      </c>
      <c r="C3188" s="13">
        <v>1040</v>
      </c>
      <c r="D3188" s="8" t="s">
        <v>19165</v>
      </c>
      <c r="E3188" s="8" t="s">
        <v>19166</v>
      </c>
      <c r="F3188" s="8" t="s">
        <v>8238</v>
      </c>
      <c r="G3188" s="6" t="s">
        <v>89</v>
      </c>
      <c r="H3188" s="6" t="s">
        <v>184</v>
      </c>
      <c r="I3188" s="8" t="s">
        <v>185</v>
      </c>
      <c r="J3188" s="9">
        <v>1</v>
      </c>
      <c r="K3188" s="9">
        <v>202</v>
      </c>
      <c r="L3188" s="9">
        <v>2025</v>
      </c>
      <c r="M3188" s="8" t="s">
        <v>19167</v>
      </c>
      <c r="N3188" s="8" t="s">
        <v>79</v>
      </c>
      <c r="O3188" s="8" t="s">
        <v>80</v>
      </c>
      <c r="P3188" s="6" t="s">
        <v>167</v>
      </c>
      <c r="Q3188" s="8" t="s">
        <v>102</v>
      </c>
      <c r="R3188" s="10" t="s">
        <v>19168</v>
      </c>
      <c r="S3188" s="11"/>
      <c r="T3188" s="6"/>
      <c r="U3188" s="24" t="str">
        <f>HYPERLINK("https://media.infra-m.ru/2169/2169040/cover/2169040.jpg", "Обложка")</f>
        <v>Обложка</v>
      </c>
      <c r="V3188" s="24" t="str">
        <f>HYPERLINK("https://znanium.ru/catalog/product/2169040", "Ознакомиться")</f>
        <v>Ознакомиться</v>
      </c>
      <c r="W3188" s="8" t="s">
        <v>347</v>
      </c>
      <c r="X3188" s="6"/>
      <c r="Y3188" s="6"/>
      <c r="Z3188" s="6"/>
      <c r="AA3188" s="6" t="s">
        <v>258</v>
      </c>
      <c r="AB3188" s="8"/>
    </row>
    <row r="3189" spans="1:28" s="4" customFormat="1" ht="51.95" customHeight="1">
      <c r="A3189" s="5">
        <v>0</v>
      </c>
      <c r="B3189" s="6" t="s">
        <v>19169</v>
      </c>
      <c r="C3189" s="13">
        <v>1550</v>
      </c>
      <c r="D3189" s="8" t="s">
        <v>19170</v>
      </c>
      <c r="E3189" s="8" t="s">
        <v>19166</v>
      </c>
      <c r="F3189" s="8" t="s">
        <v>2885</v>
      </c>
      <c r="G3189" s="6" t="s">
        <v>89</v>
      </c>
      <c r="H3189" s="6" t="s">
        <v>53</v>
      </c>
      <c r="I3189" s="8" t="s">
        <v>100</v>
      </c>
      <c r="J3189" s="9">
        <v>1</v>
      </c>
      <c r="K3189" s="9">
        <v>337</v>
      </c>
      <c r="L3189" s="9">
        <v>2024</v>
      </c>
      <c r="M3189" s="8" t="s">
        <v>19171</v>
      </c>
      <c r="N3189" s="8" t="s">
        <v>79</v>
      </c>
      <c r="O3189" s="8" t="s">
        <v>80</v>
      </c>
      <c r="P3189" s="6" t="s">
        <v>43</v>
      </c>
      <c r="Q3189" s="8" t="s">
        <v>102</v>
      </c>
      <c r="R3189" s="10" t="s">
        <v>19172</v>
      </c>
      <c r="S3189" s="11" t="s">
        <v>19173</v>
      </c>
      <c r="T3189" s="6"/>
      <c r="U3189" s="24" t="str">
        <f>HYPERLINK("https://media.infra-m.ru/2118/2118689/cover/2118689.jpg", "Обложка")</f>
        <v>Обложка</v>
      </c>
      <c r="V3189" s="24" t="str">
        <f>HYPERLINK("https://znanium.ru/catalog/product/2118689", "Ознакомиться")</f>
        <v>Ознакомиться</v>
      </c>
      <c r="W3189" s="8" t="s">
        <v>189</v>
      </c>
      <c r="X3189" s="6"/>
      <c r="Y3189" s="6"/>
      <c r="Z3189" s="6" t="s">
        <v>104</v>
      </c>
      <c r="AA3189" s="6" t="s">
        <v>219</v>
      </c>
      <c r="AB3189" s="8"/>
    </row>
    <row r="3190" spans="1:28" s="4" customFormat="1" ht="42" customHeight="1">
      <c r="A3190" s="5">
        <v>0</v>
      </c>
      <c r="B3190" s="6" t="s">
        <v>19174</v>
      </c>
      <c r="C3190" s="13">
        <v>1754</v>
      </c>
      <c r="D3190" s="8" t="s">
        <v>19175</v>
      </c>
      <c r="E3190" s="8" t="s">
        <v>19166</v>
      </c>
      <c r="F3190" s="8" t="s">
        <v>2885</v>
      </c>
      <c r="G3190" s="6" t="s">
        <v>89</v>
      </c>
      <c r="H3190" s="6" t="s">
        <v>53</v>
      </c>
      <c r="I3190" s="8" t="s">
        <v>2048</v>
      </c>
      <c r="J3190" s="9">
        <v>1</v>
      </c>
      <c r="K3190" s="9">
        <v>337</v>
      </c>
      <c r="L3190" s="9">
        <v>2025</v>
      </c>
      <c r="M3190" s="8" t="s">
        <v>19176</v>
      </c>
      <c r="N3190" s="8" t="s">
        <v>79</v>
      </c>
      <c r="O3190" s="8" t="s">
        <v>80</v>
      </c>
      <c r="P3190" s="6" t="s">
        <v>43</v>
      </c>
      <c r="Q3190" s="8" t="s">
        <v>44</v>
      </c>
      <c r="R3190" s="10" t="s">
        <v>17816</v>
      </c>
      <c r="S3190" s="11"/>
      <c r="T3190" s="6"/>
      <c r="U3190" s="24" t="str">
        <f>HYPERLINK("https://media.infra-m.ru/2199/2199796/cover/2199796.jpg", "Обложка")</f>
        <v>Обложка</v>
      </c>
      <c r="V3190" s="24" t="str">
        <f>HYPERLINK("https://znanium.ru/catalog/product/2199796", "Ознакомиться")</f>
        <v>Ознакомиться</v>
      </c>
      <c r="W3190" s="8" t="s">
        <v>189</v>
      </c>
      <c r="X3190" s="6"/>
      <c r="Y3190" s="6"/>
      <c r="Z3190" s="6"/>
      <c r="AA3190" s="6" t="s">
        <v>219</v>
      </c>
      <c r="AB3190" s="8"/>
    </row>
    <row r="3191" spans="1:28" s="4" customFormat="1" ht="51.95" customHeight="1">
      <c r="A3191" s="5">
        <v>0</v>
      </c>
      <c r="B3191" s="6" t="s">
        <v>19177</v>
      </c>
      <c r="C3191" s="13">
        <v>1010</v>
      </c>
      <c r="D3191" s="8" t="s">
        <v>19178</v>
      </c>
      <c r="E3191" s="8" t="s">
        <v>19179</v>
      </c>
      <c r="F3191" s="8" t="s">
        <v>6251</v>
      </c>
      <c r="G3191" s="6" t="s">
        <v>89</v>
      </c>
      <c r="H3191" s="6" t="s">
        <v>53</v>
      </c>
      <c r="I3191" s="8" t="s">
        <v>90</v>
      </c>
      <c r="J3191" s="9">
        <v>1</v>
      </c>
      <c r="K3191" s="9">
        <v>225</v>
      </c>
      <c r="L3191" s="9">
        <v>2023</v>
      </c>
      <c r="M3191" s="8" t="s">
        <v>19180</v>
      </c>
      <c r="N3191" s="8" t="s">
        <v>413</v>
      </c>
      <c r="O3191" s="8" t="s">
        <v>414</v>
      </c>
      <c r="P3191" s="6" t="s">
        <v>43</v>
      </c>
      <c r="Q3191" s="8" t="s">
        <v>44</v>
      </c>
      <c r="R3191" s="10" t="s">
        <v>19181</v>
      </c>
      <c r="S3191" s="11" t="s">
        <v>19182</v>
      </c>
      <c r="T3191" s="6"/>
      <c r="U3191" s="24" t="str">
        <f>HYPERLINK("https://media.infra-m.ru/1909/1909204/cover/1909204.jpg", "Обложка")</f>
        <v>Обложка</v>
      </c>
      <c r="V3191" s="24" t="str">
        <f>HYPERLINK("https://znanium.ru/catalog/product/1893806", "Ознакомиться")</f>
        <v>Ознакомиться</v>
      </c>
      <c r="W3191" s="8" t="s">
        <v>2878</v>
      </c>
      <c r="X3191" s="6"/>
      <c r="Y3191" s="6"/>
      <c r="Z3191" s="6"/>
      <c r="AA3191" s="6" t="s">
        <v>258</v>
      </c>
      <c r="AB3191" s="8"/>
    </row>
    <row r="3192" spans="1:28" s="4" customFormat="1" ht="51.95" customHeight="1">
      <c r="A3192" s="5">
        <v>0</v>
      </c>
      <c r="B3192" s="6" t="s">
        <v>19183</v>
      </c>
      <c r="C3192" s="13">
        <v>1070</v>
      </c>
      <c r="D3192" s="8" t="s">
        <v>19184</v>
      </c>
      <c r="E3192" s="8" t="s">
        <v>19179</v>
      </c>
      <c r="F3192" s="8" t="s">
        <v>6251</v>
      </c>
      <c r="G3192" s="6" t="s">
        <v>89</v>
      </c>
      <c r="H3192" s="6" t="s">
        <v>53</v>
      </c>
      <c r="I3192" s="8" t="s">
        <v>100</v>
      </c>
      <c r="J3192" s="9">
        <v>1</v>
      </c>
      <c r="K3192" s="9">
        <v>225</v>
      </c>
      <c r="L3192" s="9">
        <v>2024</v>
      </c>
      <c r="M3192" s="8" t="s">
        <v>19185</v>
      </c>
      <c r="N3192" s="8" t="s">
        <v>413</v>
      </c>
      <c r="O3192" s="8" t="s">
        <v>414</v>
      </c>
      <c r="P3192" s="6" t="s">
        <v>43</v>
      </c>
      <c r="Q3192" s="8" t="s">
        <v>102</v>
      </c>
      <c r="R3192" s="10" t="s">
        <v>5775</v>
      </c>
      <c r="S3192" s="11" t="s">
        <v>19186</v>
      </c>
      <c r="T3192" s="6"/>
      <c r="U3192" s="24" t="str">
        <f>HYPERLINK("https://media.infra-m.ru/2131/2131756/cover/2131756.jpg", "Обложка")</f>
        <v>Обложка</v>
      </c>
      <c r="V3192" s="24" t="str">
        <f>HYPERLINK("https://znanium.ru/catalog/product/2131756", "Ознакомиться")</f>
        <v>Ознакомиться</v>
      </c>
      <c r="W3192" s="8" t="s">
        <v>2878</v>
      </c>
      <c r="X3192" s="6"/>
      <c r="Y3192" s="6"/>
      <c r="Z3192" s="6" t="s">
        <v>104</v>
      </c>
      <c r="AA3192" s="6" t="s">
        <v>207</v>
      </c>
      <c r="AB3192" s="8"/>
    </row>
    <row r="3193" spans="1:28" s="4" customFormat="1" ht="51.95" customHeight="1">
      <c r="A3193" s="5">
        <v>0</v>
      </c>
      <c r="B3193" s="6" t="s">
        <v>19187</v>
      </c>
      <c r="C3193" s="7">
        <v>610</v>
      </c>
      <c r="D3193" s="8" t="s">
        <v>19188</v>
      </c>
      <c r="E3193" s="8" t="s">
        <v>19189</v>
      </c>
      <c r="F3193" s="8" t="s">
        <v>19190</v>
      </c>
      <c r="G3193" s="6" t="s">
        <v>38</v>
      </c>
      <c r="H3193" s="6" t="s">
        <v>53</v>
      </c>
      <c r="I3193" s="8" t="s">
        <v>1325</v>
      </c>
      <c r="J3193" s="9">
        <v>1</v>
      </c>
      <c r="K3193" s="9">
        <v>108</v>
      </c>
      <c r="L3193" s="9">
        <v>2024</v>
      </c>
      <c r="M3193" s="8" t="s">
        <v>19191</v>
      </c>
      <c r="N3193" s="8" t="s">
        <v>413</v>
      </c>
      <c r="O3193" s="8" t="s">
        <v>1141</v>
      </c>
      <c r="P3193" s="6" t="s">
        <v>43</v>
      </c>
      <c r="Q3193" s="8" t="s">
        <v>58</v>
      </c>
      <c r="R3193" s="10" t="s">
        <v>19192</v>
      </c>
      <c r="S3193" s="11"/>
      <c r="T3193" s="6"/>
      <c r="U3193" s="24" t="str">
        <f>HYPERLINK("https://media.infra-m.ru/2142/2142528/cover/2142528.jpg", "Обложка")</f>
        <v>Обложка</v>
      </c>
      <c r="V3193" s="24" t="str">
        <f>HYPERLINK("https://znanium.ru/catalog/product/2142528", "Ознакомиться")</f>
        <v>Ознакомиться</v>
      </c>
      <c r="W3193" s="8" t="s">
        <v>1329</v>
      </c>
      <c r="X3193" s="6"/>
      <c r="Y3193" s="6"/>
      <c r="Z3193" s="6"/>
      <c r="AA3193" s="6" t="s">
        <v>258</v>
      </c>
      <c r="AB3193" s="8"/>
    </row>
    <row r="3194" spans="1:28" s="4" customFormat="1" ht="51.95" customHeight="1">
      <c r="A3194" s="5">
        <v>0</v>
      </c>
      <c r="B3194" s="6" t="s">
        <v>19193</v>
      </c>
      <c r="C3194" s="7">
        <v>980</v>
      </c>
      <c r="D3194" s="8" t="s">
        <v>19194</v>
      </c>
      <c r="E3194" s="8" t="s">
        <v>19195</v>
      </c>
      <c r="F3194" s="8" t="s">
        <v>19196</v>
      </c>
      <c r="G3194" s="6" t="s">
        <v>89</v>
      </c>
      <c r="H3194" s="6" t="s">
        <v>53</v>
      </c>
      <c r="I3194" s="8" t="s">
        <v>116</v>
      </c>
      <c r="J3194" s="9">
        <v>1</v>
      </c>
      <c r="K3194" s="9">
        <v>189</v>
      </c>
      <c r="L3194" s="9">
        <v>2025</v>
      </c>
      <c r="M3194" s="8" t="s">
        <v>19197</v>
      </c>
      <c r="N3194" s="8" t="s">
        <v>413</v>
      </c>
      <c r="O3194" s="8" t="s">
        <v>1141</v>
      </c>
      <c r="P3194" s="6" t="s">
        <v>43</v>
      </c>
      <c r="Q3194" s="8" t="s">
        <v>44</v>
      </c>
      <c r="R3194" s="10" t="s">
        <v>19198</v>
      </c>
      <c r="S3194" s="11" t="s">
        <v>19199</v>
      </c>
      <c r="T3194" s="6"/>
      <c r="U3194" s="24" t="str">
        <f>HYPERLINK("https://media.infra-m.ru/2191/2191605/cover/2191605.jpg", "Обложка")</f>
        <v>Обложка</v>
      </c>
      <c r="V3194" s="24" t="str">
        <f>HYPERLINK("https://znanium.ru/catalog/product/2191605", "Ознакомиться")</f>
        <v>Ознакомиться</v>
      </c>
      <c r="W3194" s="8" t="s">
        <v>4274</v>
      </c>
      <c r="X3194" s="6"/>
      <c r="Y3194" s="6"/>
      <c r="Z3194" s="6"/>
      <c r="AA3194" s="6" t="s">
        <v>151</v>
      </c>
      <c r="AB3194" s="8"/>
    </row>
    <row r="3195" spans="1:28" s="4" customFormat="1" ht="51.95" customHeight="1">
      <c r="A3195" s="5">
        <v>0</v>
      </c>
      <c r="B3195" s="6" t="s">
        <v>19200</v>
      </c>
      <c r="C3195" s="7">
        <v>874</v>
      </c>
      <c r="D3195" s="8" t="s">
        <v>19201</v>
      </c>
      <c r="E3195" s="8" t="s">
        <v>19202</v>
      </c>
      <c r="F3195" s="8" t="s">
        <v>19203</v>
      </c>
      <c r="G3195" s="6" t="s">
        <v>52</v>
      </c>
      <c r="H3195" s="6" t="s">
        <v>53</v>
      </c>
      <c r="I3195" s="8" t="s">
        <v>116</v>
      </c>
      <c r="J3195" s="9">
        <v>1</v>
      </c>
      <c r="K3195" s="9">
        <v>173</v>
      </c>
      <c r="L3195" s="9">
        <v>2025</v>
      </c>
      <c r="M3195" s="8" t="s">
        <v>19204</v>
      </c>
      <c r="N3195" s="8" t="s">
        <v>79</v>
      </c>
      <c r="O3195" s="8" t="s">
        <v>174</v>
      </c>
      <c r="P3195" s="6" t="s">
        <v>43</v>
      </c>
      <c r="Q3195" s="8" t="s">
        <v>214</v>
      </c>
      <c r="R3195" s="10" t="s">
        <v>1134</v>
      </c>
      <c r="S3195" s="11" t="s">
        <v>19205</v>
      </c>
      <c r="T3195" s="6"/>
      <c r="U3195" s="24" t="str">
        <f>HYPERLINK("https://media.infra-m.ru/2180/2180980/cover/2180980.jpg", "Обложка")</f>
        <v>Обложка</v>
      </c>
      <c r="V3195" s="24" t="str">
        <f>HYPERLINK("https://znanium.ru/catalog/product/2125012", "Ознакомиться")</f>
        <v>Ознакомиться</v>
      </c>
      <c r="W3195" s="8" t="s">
        <v>16696</v>
      </c>
      <c r="X3195" s="6"/>
      <c r="Y3195" s="6"/>
      <c r="Z3195" s="6"/>
      <c r="AA3195" s="6" t="s">
        <v>47</v>
      </c>
      <c r="AB3195" s="8"/>
    </row>
    <row r="3196" spans="1:28" s="4" customFormat="1" ht="51.95" customHeight="1">
      <c r="A3196" s="5">
        <v>0</v>
      </c>
      <c r="B3196" s="6" t="s">
        <v>19206</v>
      </c>
      <c r="C3196" s="7">
        <v>904</v>
      </c>
      <c r="D3196" s="8" t="s">
        <v>19207</v>
      </c>
      <c r="E3196" s="8" t="s">
        <v>19208</v>
      </c>
      <c r="F3196" s="8" t="s">
        <v>16687</v>
      </c>
      <c r="G3196" s="6" t="s">
        <v>89</v>
      </c>
      <c r="H3196" s="6" t="s">
        <v>53</v>
      </c>
      <c r="I3196" s="8" t="s">
        <v>5280</v>
      </c>
      <c r="J3196" s="9">
        <v>1</v>
      </c>
      <c r="K3196" s="9">
        <v>196</v>
      </c>
      <c r="L3196" s="9">
        <v>2023</v>
      </c>
      <c r="M3196" s="8" t="s">
        <v>19209</v>
      </c>
      <c r="N3196" s="8" t="s">
        <v>79</v>
      </c>
      <c r="O3196" s="8" t="s">
        <v>174</v>
      </c>
      <c r="P3196" s="6" t="s">
        <v>43</v>
      </c>
      <c r="Q3196" s="8" t="s">
        <v>214</v>
      </c>
      <c r="R3196" s="10" t="s">
        <v>19210</v>
      </c>
      <c r="S3196" s="11" t="s">
        <v>16689</v>
      </c>
      <c r="T3196" s="6"/>
      <c r="U3196" s="24" t="str">
        <f>HYPERLINK("https://media.infra-m.ru/2058/2058759/cover/2058759.jpg", "Обложка")</f>
        <v>Обложка</v>
      </c>
      <c r="V3196" s="24" t="str">
        <f>HYPERLINK("https://znanium.ru/catalog/product/1911105", "Ознакомиться")</f>
        <v>Ознакомиться</v>
      </c>
      <c r="W3196" s="8" t="s">
        <v>5284</v>
      </c>
      <c r="X3196" s="6"/>
      <c r="Y3196" s="6"/>
      <c r="Z3196" s="6"/>
      <c r="AA3196" s="6" t="s">
        <v>258</v>
      </c>
      <c r="AB3196" s="8"/>
    </row>
    <row r="3197" spans="1:28" s="4" customFormat="1" ht="51.95" customHeight="1">
      <c r="A3197" s="5">
        <v>0</v>
      </c>
      <c r="B3197" s="6" t="s">
        <v>19211</v>
      </c>
      <c r="C3197" s="13">
        <v>1124</v>
      </c>
      <c r="D3197" s="8" t="s">
        <v>19212</v>
      </c>
      <c r="E3197" s="8" t="s">
        <v>19213</v>
      </c>
      <c r="F3197" s="8" t="s">
        <v>10061</v>
      </c>
      <c r="G3197" s="6" t="s">
        <v>89</v>
      </c>
      <c r="H3197" s="6" t="s">
        <v>53</v>
      </c>
      <c r="I3197" s="8" t="s">
        <v>90</v>
      </c>
      <c r="J3197" s="9">
        <v>1</v>
      </c>
      <c r="K3197" s="9">
        <v>224</v>
      </c>
      <c r="L3197" s="9">
        <v>2025</v>
      </c>
      <c r="M3197" s="8" t="s">
        <v>19214</v>
      </c>
      <c r="N3197" s="8" t="s">
        <v>41</v>
      </c>
      <c r="O3197" s="8" t="s">
        <v>278</v>
      </c>
      <c r="P3197" s="6" t="s">
        <v>43</v>
      </c>
      <c r="Q3197" s="8" t="s">
        <v>44</v>
      </c>
      <c r="R3197" s="10" t="s">
        <v>8490</v>
      </c>
      <c r="S3197" s="11" t="s">
        <v>19215</v>
      </c>
      <c r="T3197" s="6"/>
      <c r="U3197" s="24" t="str">
        <f>HYPERLINK("https://media.infra-m.ru/2188/2188768/cover/2188768.jpg", "Обложка")</f>
        <v>Обложка</v>
      </c>
      <c r="V3197" s="24" t="str">
        <f>HYPERLINK("https://znanium.ru/catalog/product/1842558", "Ознакомиться")</f>
        <v>Ознакомиться</v>
      </c>
      <c r="W3197" s="8"/>
      <c r="X3197" s="6"/>
      <c r="Y3197" s="6"/>
      <c r="Z3197" s="6"/>
      <c r="AA3197" s="6" t="s">
        <v>122</v>
      </c>
      <c r="AB3197" s="8"/>
    </row>
    <row r="3198" spans="1:28" s="4" customFormat="1" ht="51.95" customHeight="1">
      <c r="A3198" s="5">
        <v>0</v>
      </c>
      <c r="B3198" s="6" t="s">
        <v>19216</v>
      </c>
      <c r="C3198" s="13">
        <v>1014</v>
      </c>
      <c r="D3198" s="8" t="s">
        <v>19217</v>
      </c>
      <c r="E3198" s="8" t="s">
        <v>19213</v>
      </c>
      <c r="F3198" s="8" t="s">
        <v>18247</v>
      </c>
      <c r="G3198" s="6" t="s">
        <v>52</v>
      </c>
      <c r="H3198" s="6" t="s">
        <v>53</v>
      </c>
      <c r="I3198" s="8" t="s">
        <v>100</v>
      </c>
      <c r="J3198" s="9">
        <v>1</v>
      </c>
      <c r="K3198" s="9">
        <v>224</v>
      </c>
      <c r="L3198" s="9">
        <v>2023</v>
      </c>
      <c r="M3198" s="8" t="s">
        <v>19218</v>
      </c>
      <c r="N3198" s="8" t="s">
        <v>41</v>
      </c>
      <c r="O3198" s="8" t="s">
        <v>278</v>
      </c>
      <c r="P3198" s="6" t="s">
        <v>43</v>
      </c>
      <c r="Q3198" s="8" t="s">
        <v>102</v>
      </c>
      <c r="R3198" s="10" t="s">
        <v>19219</v>
      </c>
      <c r="S3198" s="11" t="s">
        <v>19220</v>
      </c>
      <c r="T3198" s="6"/>
      <c r="U3198" s="24" t="str">
        <f>HYPERLINK("https://media.infra-m.ru/2021/2021435/cover/2021435.jpg", "Обложка")</f>
        <v>Обложка</v>
      </c>
      <c r="V3198" s="24" t="str">
        <f>HYPERLINK("https://znanium.ru/catalog/product/961529", "Ознакомиться")</f>
        <v>Ознакомиться</v>
      </c>
      <c r="W3198" s="8"/>
      <c r="X3198" s="6"/>
      <c r="Y3198" s="6"/>
      <c r="Z3198" s="6" t="s">
        <v>104</v>
      </c>
      <c r="AA3198" s="6" t="s">
        <v>793</v>
      </c>
      <c r="AB3198" s="8"/>
    </row>
    <row r="3199" spans="1:28" s="4" customFormat="1" ht="51.95" customHeight="1">
      <c r="A3199" s="5">
        <v>0</v>
      </c>
      <c r="B3199" s="6" t="s">
        <v>19221</v>
      </c>
      <c r="C3199" s="13">
        <v>1750</v>
      </c>
      <c r="D3199" s="8" t="s">
        <v>19222</v>
      </c>
      <c r="E3199" s="8" t="s">
        <v>19223</v>
      </c>
      <c r="F3199" s="8" t="s">
        <v>19224</v>
      </c>
      <c r="G3199" s="6" t="s">
        <v>89</v>
      </c>
      <c r="H3199" s="6" t="s">
        <v>53</v>
      </c>
      <c r="I3199" s="8" t="s">
        <v>116</v>
      </c>
      <c r="J3199" s="9">
        <v>1</v>
      </c>
      <c r="K3199" s="9">
        <v>350</v>
      </c>
      <c r="L3199" s="9">
        <v>2025</v>
      </c>
      <c r="M3199" s="8" t="s">
        <v>19225</v>
      </c>
      <c r="N3199" s="8" t="s">
        <v>41</v>
      </c>
      <c r="O3199" s="8" t="s">
        <v>278</v>
      </c>
      <c r="P3199" s="6" t="s">
        <v>43</v>
      </c>
      <c r="Q3199" s="8" t="s">
        <v>44</v>
      </c>
      <c r="R3199" s="10" t="s">
        <v>19226</v>
      </c>
      <c r="S3199" s="11" t="s">
        <v>19227</v>
      </c>
      <c r="T3199" s="6"/>
      <c r="U3199" s="24" t="str">
        <f>HYPERLINK("https://media.infra-m.ru/2163/2163996/cover/2163996.jpg", "Обложка")</f>
        <v>Обложка</v>
      </c>
      <c r="V3199" s="24" t="str">
        <f>HYPERLINK("https://znanium.ru/catalog/product/2163996", "Ознакомиться")</f>
        <v>Ознакомиться</v>
      </c>
      <c r="W3199" s="8" t="s">
        <v>2514</v>
      </c>
      <c r="X3199" s="6"/>
      <c r="Y3199" s="6"/>
      <c r="Z3199" s="6"/>
      <c r="AA3199" s="6" t="s">
        <v>47</v>
      </c>
      <c r="AB3199" s="8"/>
    </row>
    <row r="3200" spans="1:28" s="4" customFormat="1" ht="51.95" customHeight="1">
      <c r="A3200" s="5">
        <v>0</v>
      </c>
      <c r="B3200" s="6" t="s">
        <v>19228</v>
      </c>
      <c r="C3200" s="13">
        <v>2227</v>
      </c>
      <c r="D3200" s="8" t="s">
        <v>19229</v>
      </c>
      <c r="E3200" s="8" t="s">
        <v>19230</v>
      </c>
      <c r="F3200" s="8" t="s">
        <v>19231</v>
      </c>
      <c r="G3200" s="6" t="s">
        <v>89</v>
      </c>
      <c r="H3200" s="6" t="s">
        <v>53</v>
      </c>
      <c r="I3200" s="8" t="s">
        <v>116</v>
      </c>
      <c r="J3200" s="9">
        <v>1</v>
      </c>
      <c r="K3200" s="9">
        <v>215</v>
      </c>
      <c r="L3200" s="9">
        <v>2025</v>
      </c>
      <c r="M3200" s="8" t="s">
        <v>19232</v>
      </c>
      <c r="N3200" s="8" t="s">
        <v>79</v>
      </c>
      <c r="O3200" s="8" t="s">
        <v>396</v>
      </c>
      <c r="P3200" s="6" t="s">
        <v>167</v>
      </c>
      <c r="Q3200" s="8" t="s">
        <v>44</v>
      </c>
      <c r="R3200" s="10" t="s">
        <v>10707</v>
      </c>
      <c r="S3200" s="11" t="s">
        <v>19233</v>
      </c>
      <c r="T3200" s="6"/>
      <c r="U3200" s="24" t="str">
        <f>HYPERLINK("https://media.infra-m.ru/2195/2195963/cover/2195963.jpg", "Обложка")</f>
        <v>Обложка</v>
      </c>
      <c r="V3200" s="24" t="str">
        <f>HYPERLINK("https://znanium.ru/catalog/product/2084205", "Ознакомиться")</f>
        <v>Ознакомиться</v>
      </c>
      <c r="W3200" s="8" t="s">
        <v>19234</v>
      </c>
      <c r="X3200" s="6"/>
      <c r="Y3200" s="6"/>
      <c r="Z3200" s="6"/>
      <c r="AA3200" s="6" t="s">
        <v>793</v>
      </c>
      <c r="AB3200" s="8"/>
    </row>
    <row r="3201" spans="1:28" s="4" customFormat="1" ht="51.95" customHeight="1">
      <c r="A3201" s="5">
        <v>0</v>
      </c>
      <c r="B3201" s="6" t="s">
        <v>19235</v>
      </c>
      <c r="C3201" s="13">
        <v>1880</v>
      </c>
      <c r="D3201" s="8" t="s">
        <v>19236</v>
      </c>
      <c r="E3201" s="8" t="s">
        <v>19237</v>
      </c>
      <c r="F3201" s="8" t="s">
        <v>19238</v>
      </c>
      <c r="G3201" s="6" t="s">
        <v>52</v>
      </c>
      <c r="H3201" s="6" t="s">
        <v>53</v>
      </c>
      <c r="I3201" s="8" t="s">
        <v>223</v>
      </c>
      <c r="J3201" s="9">
        <v>1</v>
      </c>
      <c r="K3201" s="9">
        <v>364</v>
      </c>
      <c r="L3201" s="9">
        <v>2025</v>
      </c>
      <c r="M3201" s="8" t="s">
        <v>19239</v>
      </c>
      <c r="N3201" s="8" t="s">
        <v>56</v>
      </c>
      <c r="O3201" s="8" t="s">
        <v>57</v>
      </c>
      <c r="P3201" s="6" t="s">
        <v>167</v>
      </c>
      <c r="Q3201" s="8" t="s">
        <v>102</v>
      </c>
      <c r="R3201" s="10" t="s">
        <v>19240</v>
      </c>
      <c r="S3201" s="11"/>
      <c r="T3201" s="6"/>
      <c r="U3201" s="24" t="str">
        <f>HYPERLINK("https://media.infra-m.ru/2156/2156469/cover/2156469.jpg", "Обложка")</f>
        <v>Обложка</v>
      </c>
      <c r="V3201" s="24" t="str">
        <f>HYPERLINK("https://znanium.ru/catalog/product/2156469", "Ознакомиться")</f>
        <v>Ознакомиться</v>
      </c>
      <c r="W3201" s="8" t="s">
        <v>83</v>
      </c>
      <c r="X3201" s="6" t="s">
        <v>132</v>
      </c>
      <c r="Y3201" s="6"/>
      <c r="Z3201" s="6"/>
      <c r="AA3201" s="6" t="s">
        <v>61</v>
      </c>
      <c r="AB3201" s="8" t="s">
        <v>227</v>
      </c>
    </row>
    <row r="3202" spans="1:28" s="4" customFormat="1" ht="51.95" customHeight="1">
      <c r="A3202" s="5">
        <v>0</v>
      </c>
      <c r="B3202" s="6" t="s">
        <v>19241</v>
      </c>
      <c r="C3202" s="13">
        <v>1280</v>
      </c>
      <c r="D3202" s="8" t="s">
        <v>19242</v>
      </c>
      <c r="E3202" s="8" t="s">
        <v>19243</v>
      </c>
      <c r="F3202" s="8" t="s">
        <v>19244</v>
      </c>
      <c r="G3202" s="6" t="s">
        <v>52</v>
      </c>
      <c r="H3202" s="6" t="s">
        <v>53</v>
      </c>
      <c r="I3202" s="8" t="s">
        <v>712</v>
      </c>
      <c r="J3202" s="9">
        <v>1</v>
      </c>
      <c r="K3202" s="9">
        <v>270</v>
      </c>
      <c r="L3202" s="9">
        <v>2024</v>
      </c>
      <c r="M3202" s="8" t="s">
        <v>19245</v>
      </c>
      <c r="N3202" s="8" t="s">
        <v>79</v>
      </c>
      <c r="O3202" s="8" t="s">
        <v>396</v>
      </c>
      <c r="P3202" s="6" t="s">
        <v>43</v>
      </c>
      <c r="Q3202" s="8" t="s">
        <v>58</v>
      </c>
      <c r="R3202" s="10" t="s">
        <v>19246</v>
      </c>
      <c r="S3202" s="11" t="s">
        <v>19247</v>
      </c>
      <c r="T3202" s="6"/>
      <c r="U3202" s="24" t="str">
        <f>HYPERLINK("https://media.infra-m.ru/2091/2091437/cover/2091437.jpg", "Обложка")</f>
        <v>Обложка</v>
      </c>
      <c r="V3202" s="24" t="str">
        <f>HYPERLINK("https://znanium.ru/catalog/product/2091437", "Ознакомиться")</f>
        <v>Ознакомиться</v>
      </c>
      <c r="W3202" s="8" t="s">
        <v>716</v>
      </c>
      <c r="X3202" s="6"/>
      <c r="Y3202" s="6"/>
      <c r="Z3202" s="6"/>
      <c r="AA3202" s="6" t="s">
        <v>133</v>
      </c>
      <c r="AB3202" s="8"/>
    </row>
    <row r="3203" spans="1:28" s="4" customFormat="1" ht="51.95" customHeight="1">
      <c r="A3203" s="5">
        <v>0</v>
      </c>
      <c r="B3203" s="6" t="s">
        <v>19248</v>
      </c>
      <c r="C3203" s="13">
        <v>1760</v>
      </c>
      <c r="D3203" s="8" t="s">
        <v>19249</v>
      </c>
      <c r="E3203" s="8" t="s">
        <v>19250</v>
      </c>
      <c r="F3203" s="8" t="s">
        <v>19251</v>
      </c>
      <c r="G3203" s="6" t="s">
        <v>89</v>
      </c>
      <c r="H3203" s="6" t="s">
        <v>53</v>
      </c>
      <c r="I3203" s="8" t="s">
        <v>212</v>
      </c>
      <c r="J3203" s="9">
        <v>1</v>
      </c>
      <c r="K3203" s="9">
        <v>391</v>
      </c>
      <c r="L3203" s="9">
        <v>2023</v>
      </c>
      <c r="M3203" s="8" t="s">
        <v>19252</v>
      </c>
      <c r="N3203" s="8" t="s">
        <v>79</v>
      </c>
      <c r="O3203" s="8" t="s">
        <v>570</v>
      </c>
      <c r="P3203" s="6" t="s">
        <v>167</v>
      </c>
      <c r="Q3203" s="8" t="s">
        <v>214</v>
      </c>
      <c r="R3203" s="10" t="s">
        <v>19253</v>
      </c>
      <c r="S3203" s="11" t="s">
        <v>19254</v>
      </c>
      <c r="T3203" s="6"/>
      <c r="U3203" s="24" t="str">
        <f>HYPERLINK("https://media.infra-m.ru/1893/1893801/cover/1893801.jpg", "Обложка")</f>
        <v>Обложка</v>
      </c>
      <c r="V3203" s="24" t="str">
        <f>HYPERLINK("https://znanium.ru/catalog/product/1893801", "Ознакомиться")</f>
        <v>Ознакомиться</v>
      </c>
      <c r="W3203" s="8" t="s">
        <v>1514</v>
      </c>
      <c r="X3203" s="6"/>
      <c r="Y3203" s="6"/>
      <c r="Z3203" s="6"/>
      <c r="AA3203" s="6" t="s">
        <v>235</v>
      </c>
      <c r="AB3203" s="8"/>
    </row>
    <row r="3204" spans="1:28" s="4" customFormat="1" ht="51.95" customHeight="1">
      <c r="A3204" s="5">
        <v>0</v>
      </c>
      <c r="B3204" s="6" t="s">
        <v>19255</v>
      </c>
      <c r="C3204" s="13">
        <v>1760</v>
      </c>
      <c r="D3204" s="8" t="s">
        <v>19256</v>
      </c>
      <c r="E3204" s="8" t="s">
        <v>19257</v>
      </c>
      <c r="F3204" s="8" t="s">
        <v>19258</v>
      </c>
      <c r="G3204" s="6" t="s">
        <v>89</v>
      </c>
      <c r="H3204" s="6" t="s">
        <v>53</v>
      </c>
      <c r="I3204" s="8" t="s">
        <v>116</v>
      </c>
      <c r="J3204" s="9">
        <v>1</v>
      </c>
      <c r="K3204" s="9">
        <v>351</v>
      </c>
      <c r="L3204" s="9">
        <v>2025</v>
      </c>
      <c r="M3204" s="8" t="s">
        <v>19259</v>
      </c>
      <c r="N3204" s="8" t="s">
        <v>79</v>
      </c>
      <c r="O3204" s="8" t="s">
        <v>396</v>
      </c>
      <c r="P3204" s="6" t="s">
        <v>167</v>
      </c>
      <c r="Q3204" s="8" t="s">
        <v>58</v>
      </c>
      <c r="R3204" s="10" t="s">
        <v>19260</v>
      </c>
      <c r="S3204" s="11" t="s">
        <v>19261</v>
      </c>
      <c r="T3204" s="6"/>
      <c r="U3204" s="24" t="str">
        <f>HYPERLINK("https://media.infra-m.ru/2172/2172772/cover/2172772.jpg", "Обложка")</f>
        <v>Обложка</v>
      </c>
      <c r="V3204" s="24" t="str">
        <f>HYPERLINK("https://znanium.ru/catalog/product/2172772", "Ознакомиться")</f>
        <v>Ознакомиться</v>
      </c>
      <c r="W3204" s="8" t="s">
        <v>1144</v>
      </c>
      <c r="X3204" s="6"/>
      <c r="Y3204" s="6"/>
      <c r="Z3204" s="6"/>
      <c r="AA3204" s="6" t="s">
        <v>442</v>
      </c>
      <c r="AB3204" s="8"/>
    </row>
    <row r="3205" spans="1:28" s="4" customFormat="1" ht="51.95" customHeight="1">
      <c r="A3205" s="5">
        <v>0</v>
      </c>
      <c r="B3205" s="6" t="s">
        <v>19262</v>
      </c>
      <c r="C3205" s="13">
        <v>1110</v>
      </c>
      <c r="D3205" s="8" t="s">
        <v>19263</v>
      </c>
      <c r="E3205" s="8" t="s">
        <v>19264</v>
      </c>
      <c r="F3205" s="8" t="s">
        <v>19265</v>
      </c>
      <c r="G3205" s="6" t="s">
        <v>89</v>
      </c>
      <c r="H3205" s="6" t="s">
        <v>649</v>
      </c>
      <c r="I3205" s="8" t="s">
        <v>100</v>
      </c>
      <c r="J3205" s="9">
        <v>1</v>
      </c>
      <c r="K3205" s="9">
        <v>240</v>
      </c>
      <c r="L3205" s="9">
        <v>2024</v>
      </c>
      <c r="M3205" s="8" t="s">
        <v>19266</v>
      </c>
      <c r="N3205" s="8" t="s">
        <v>56</v>
      </c>
      <c r="O3205" s="8" t="s">
        <v>741</v>
      </c>
      <c r="P3205" s="6" t="s">
        <v>167</v>
      </c>
      <c r="Q3205" s="8" t="s">
        <v>102</v>
      </c>
      <c r="R3205" s="10" t="s">
        <v>19267</v>
      </c>
      <c r="S3205" s="11" t="s">
        <v>242</v>
      </c>
      <c r="T3205" s="6"/>
      <c r="U3205" s="24" t="str">
        <f>HYPERLINK("https://media.infra-m.ru/2130/2130168/cover/2130168.jpg", "Обложка")</f>
        <v>Обложка</v>
      </c>
      <c r="V3205" s="24" t="str">
        <f>HYPERLINK("https://znanium.ru/catalog/product/2130168", "Ознакомиться")</f>
        <v>Ознакомиться</v>
      </c>
      <c r="W3205" s="8" t="s">
        <v>10326</v>
      </c>
      <c r="X3205" s="6"/>
      <c r="Y3205" s="6"/>
      <c r="Z3205" s="6"/>
      <c r="AA3205" s="6" t="s">
        <v>2193</v>
      </c>
      <c r="AB3205" s="8"/>
    </row>
    <row r="3206" spans="1:28" s="4" customFormat="1" ht="51.95" customHeight="1">
      <c r="A3206" s="5">
        <v>0</v>
      </c>
      <c r="B3206" s="6" t="s">
        <v>19268</v>
      </c>
      <c r="C3206" s="7">
        <v>870</v>
      </c>
      <c r="D3206" s="8" t="s">
        <v>19269</v>
      </c>
      <c r="E3206" s="8" t="s">
        <v>19270</v>
      </c>
      <c r="F3206" s="8" t="s">
        <v>19271</v>
      </c>
      <c r="G3206" s="6" t="s">
        <v>38</v>
      </c>
      <c r="H3206" s="6" t="s">
        <v>53</v>
      </c>
      <c r="I3206" s="8" t="s">
        <v>116</v>
      </c>
      <c r="J3206" s="9">
        <v>1</v>
      </c>
      <c r="K3206" s="9">
        <v>185</v>
      </c>
      <c r="L3206" s="9">
        <v>2024</v>
      </c>
      <c r="M3206" s="8" t="s">
        <v>19272</v>
      </c>
      <c r="N3206" s="8" t="s">
        <v>41</v>
      </c>
      <c r="O3206" s="8" t="s">
        <v>1007</v>
      </c>
      <c r="P3206" s="6" t="s">
        <v>43</v>
      </c>
      <c r="Q3206" s="8" t="s">
        <v>44</v>
      </c>
      <c r="R3206" s="10" t="s">
        <v>13761</v>
      </c>
      <c r="S3206" s="11" t="s">
        <v>19273</v>
      </c>
      <c r="T3206" s="6"/>
      <c r="U3206" s="24" t="str">
        <f>HYPERLINK("https://media.infra-m.ru/2079/2079648/cover/2079648.jpg", "Обложка")</f>
        <v>Обложка</v>
      </c>
      <c r="V3206" s="24" t="str">
        <f>HYPERLINK("https://znanium.ru/catalog/product/2079648", "Ознакомиться")</f>
        <v>Ознакомиться</v>
      </c>
      <c r="W3206" s="8" t="s">
        <v>1076</v>
      </c>
      <c r="X3206" s="6"/>
      <c r="Y3206" s="6"/>
      <c r="Z3206" s="6"/>
      <c r="AA3206" s="6" t="s">
        <v>442</v>
      </c>
      <c r="AB3206" s="8"/>
    </row>
    <row r="3207" spans="1:28" s="4" customFormat="1" ht="51.95" customHeight="1">
      <c r="A3207" s="5">
        <v>0</v>
      </c>
      <c r="B3207" s="6" t="s">
        <v>19274</v>
      </c>
      <c r="C3207" s="7">
        <v>684</v>
      </c>
      <c r="D3207" s="8" t="s">
        <v>19275</v>
      </c>
      <c r="E3207" s="8" t="s">
        <v>19276</v>
      </c>
      <c r="F3207" s="8" t="s">
        <v>11179</v>
      </c>
      <c r="G3207" s="6" t="s">
        <v>38</v>
      </c>
      <c r="H3207" s="6" t="s">
        <v>53</v>
      </c>
      <c r="I3207" s="8" t="s">
        <v>276</v>
      </c>
      <c r="J3207" s="9">
        <v>1</v>
      </c>
      <c r="K3207" s="9">
        <v>150</v>
      </c>
      <c r="L3207" s="9">
        <v>2023</v>
      </c>
      <c r="M3207" s="8" t="s">
        <v>19277</v>
      </c>
      <c r="N3207" s="8" t="s">
        <v>41</v>
      </c>
      <c r="O3207" s="8" t="s">
        <v>1007</v>
      </c>
      <c r="P3207" s="6" t="s">
        <v>43</v>
      </c>
      <c r="Q3207" s="8" t="s">
        <v>279</v>
      </c>
      <c r="R3207" s="10" t="s">
        <v>3797</v>
      </c>
      <c r="S3207" s="11" t="s">
        <v>19278</v>
      </c>
      <c r="T3207" s="6"/>
      <c r="U3207" s="24" t="str">
        <f>HYPERLINK("https://media.infra-m.ru/2006/2006919/cover/2006919.jpg", "Обложка")</f>
        <v>Обложка</v>
      </c>
      <c r="V3207" s="24" t="str">
        <f>HYPERLINK("https://znanium.ru/catalog/product/1074318", "Ознакомиться")</f>
        <v>Ознакомиться</v>
      </c>
      <c r="W3207" s="8" t="s">
        <v>1826</v>
      </c>
      <c r="X3207" s="6"/>
      <c r="Y3207" s="6"/>
      <c r="Z3207" s="6"/>
      <c r="AA3207" s="6" t="s">
        <v>151</v>
      </c>
      <c r="AB3207" s="8"/>
    </row>
    <row r="3208" spans="1:28" s="4" customFormat="1" ht="51.95" customHeight="1">
      <c r="A3208" s="5">
        <v>0</v>
      </c>
      <c r="B3208" s="6" t="s">
        <v>19279</v>
      </c>
      <c r="C3208" s="13">
        <v>1720</v>
      </c>
      <c r="D3208" s="8" t="s">
        <v>19280</v>
      </c>
      <c r="E3208" s="8" t="s">
        <v>19281</v>
      </c>
      <c r="F3208" s="8" t="s">
        <v>14160</v>
      </c>
      <c r="G3208" s="6" t="s">
        <v>89</v>
      </c>
      <c r="H3208" s="6" t="s">
        <v>77</v>
      </c>
      <c r="I3208" s="8"/>
      <c r="J3208" s="9">
        <v>1</v>
      </c>
      <c r="K3208" s="9">
        <v>366</v>
      </c>
      <c r="L3208" s="9">
        <v>2024</v>
      </c>
      <c r="M3208" s="8" t="s">
        <v>19282</v>
      </c>
      <c r="N3208" s="8" t="s">
        <v>41</v>
      </c>
      <c r="O3208" s="8" t="s">
        <v>676</v>
      </c>
      <c r="P3208" s="6" t="s">
        <v>43</v>
      </c>
      <c r="Q3208" s="8" t="s">
        <v>279</v>
      </c>
      <c r="R3208" s="10" t="s">
        <v>806</v>
      </c>
      <c r="S3208" s="11" t="s">
        <v>19283</v>
      </c>
      <c r="T3208" s="6" t="s">
        <v>299</v>
      </c>
      <c r="U3208" s="24" t="str">
        <f>HYPERLINK("https://media.infra-m.ru/2136/2136634/cover/2136634.jpg", "Обложка")</f>
        <v>Обложка</v>
      </c>
      <c r="V3208" s="24" t="str">
        <f>HYPERLINK("https://znanium.ru/catalog/product/2136634", "Ознакомиться")</f>
        <v>Ознакомиться</v>
      </c>
      <c r="W3208" s="8" t="s">
        <v>1505</v>
      </c>
      <c r="X3208" s="6"/>
      <c r="Y3208" s="6"/>
      <c r="Z3208" s="6"/>
      <c r="AA3208" s="6" t="s">
        <v>160</v>
      </c>
      <c r="AB3208" s="8"/>
    </row>
    <row r="3209" spans="1:28" s="4" customFormat="1" ht="51.95" customHeight="1">
      <c r="A3209" s="5">
        <v>0</v>
      </c>
      <c r="B3209" s="6" t="s">
        <v>19284</v>
      </c>
      <c r="C3209" s="13">
        <v>1244</v>
      </c>
      <c r="D3209" s="8" t="s">
        <v>19285</v>
      </c>
      <c r="E3209" s="8" t="s">
        <v>19286</v>
      </c>
      <c r="F3209" s="8" t="s">
        <v>1822</v>
      </c>
      <c r="G3209" s="6" t="s">
        <v>52</v>
      </c>
      <c r="H3209" s="6" t="s">
        <v>77</v>
      </c>
      <c r="I3209" s="8"/>
      <c r="J3209" s="9">
        <v>1</v>
      </c>
      <c r="K3209" s="9">
        <v>240</v>
      </c>
      <c r="L3209" s="9">
        <v>2025</v>
      </c>
      <c r="M3209" s="8" t="s">
        <v>19287</v>
      </c>
      <c r="N3209" s="8" t="s">
        <v>41</v>
      </c>
      <c r="O3209" s="8" t="s">
        <v>118</v>
      </c>
      <c r="P3209" s="6" t="s">
        <v>43</v>
      </c>
      <c r="Q3209" s="8" t="s">
        <v>44</v>
      </c>
      <c r="R3209" s="10" t="s">
        <v>19288</v>
      </c>
      <c r="S3209" s="11"/>
      <c r="T3209" s="6"/>
      <c r="U3209" s="24" t="str">
        <f>HYPERLINK("https://media.infra-m.ru/2196/2196076/cover/2196076.jpg", "Обложка")</f>
        <v>Обложка</v>
      </c>
      <c r="V3209" s="24" t="str">
        <f>HYPERLINK("https://znanium.ru/catalog/product/1014759", "Ознакомиться")</f>
        <v>Ознакомиться</v>
      </c>
      <c r="W3209" s="8" t="s">
        <v>1826</v>
      </c>
      <c r="X3209" s="6"/>
      <c r="Y3209" s="6"/>
      <c r="Z3209" s="6"/>
      <c r="AA3209" s="6" t="s">
        <v>111</v>
      </c>
      <c r="AB3209" s="8"/>
    </row>
    <row r="3210" spans="1:28" s="4" customFormat="1" ht="51.95" customHeight="1">
      <c r="A3210" s="5">
        <v>0</v>
      </c>
      <c r="B3210" s="6" t="s">
        <v>19289</v>
      </c>
      <c r="C3210" s="13">
        <v>1294</v>
      </c>
      <c r="D3210" s="8" t="s">
        <v>19290</v>
      </c>
      <c r="E3210" s="8" t="s">
        <v>19291</v>
      </c>
      <c r="F3210" s="8" t="s">
        <v>19292</v>
      </c>
      <c r="G3210" s="6" t="s">
        <v>89</v>
      </c>
      <c r="H3210" s="6" t="s">
        <v>53</v>
      </c>
      <c r="I3210" s="8" t="s">
        <v>100</v>
      </c>
      <c r="J3210" s="9">
        <v>1</v>
      </c>
      <c r="K3210" s="9">
        <v>281</v>
      </c>
      <c r="L3210" s="9">
        <v>2024</v>
      </c>
      <c r="M3210" s="8" t="s">
        <v>19293</v>
      </c>
      <c r="N3210" s="8" t="s">
        <v>56</v>
      </c>
      <c r="O3210" s="8" t="s">
        <v>57</v>
      </c>
      <c r="P3210" s="6" t="s">
        <v>43</v>
      </c>
      <c r="Q3210" s="8" t="s">
        <v>102</v>
      </c>
      <c r="R3210" s="10" t="s">
        <v>19294</v>
      </c>
      <c r="S3210" s="11" t="s">
        <v>19295</v>
      </c>
      <c r="T3210" s="6"/>
      <c r="U3210" s="24" t="str">
        <f>HYPERLINK("https://media.infra-m.ru/2127/2127084/cover/2127084.jpg", "Обложка")</f>
        <v>Обложка</v>
      </c>
      <c r="V3210" s="24" t="str">
        <f>HYPERLINK("https://znanium.ru/catalog/product/2127084", "Ознакомиться")</f>
        <v>Ознакомиться</v>
      </c>
      <c r="W3210" s="8" t="s">
        <v>19296</v>
      </c>
      <c r="X3210" s="6"/>
      <c r="Y3210" s="6"/>
      <c r="Z3210" s="6"/>
      <c r="AA3210" s="6" t="s">
        <v>219</v>
      </c>
      <c r="AB3210" s="8" t="s">
        <v>2336</v>
      </c>
    </row>
    <row r="3211" spans="1:28" s="4" customFormat="1" ht="51.95" customHeight="1">
      <c r="A3211" s="5">
        <v>0</v>
      </c>
      <c r="B3211" s="6" t="s">
        <v>19297</v>
      </c>
      <c r="C3211" s="7">
        <v>774</v>
      </c>
      <c r="D3211" s="8" t="s">
        <v>19298</v>
      </c>
      <c r="E3211" s="8" t="s">
        <v>19299</v>
      </c>
      <c r="F3211" s="8" t="s">
        <v>13077</v>
      </c>
      <c r="G3211" s="6" t="s">
        <v>38</v>
      </c>
      <c r="H3211" s="6" t="s">
        <v>53</v>
      </c>
      <c r="I3211" s="8" t="s">
        <v>90</v>
      </c>
      <c r="J3211" s="9">
        <v>1</v>
      </c>
      <c r="K3211" s="9">
        <v>168</v>
      </c>
      <c r="L3211" s="9">
        <v>2024</v>
      </c>
      <c r="M3211" s="8" t="s">
        <v>19300</v>
      </c>
      <c r="N3211" s="8" t="s">
        <v>413</v>
      </c>
      <c r="O3211" s="8" t="s">
        <v>1141</v>
      </c>
      <c r="P3211" s="6" t="s">
        <v>43</v>
      </c>
      <c r="Q3211" s="8" t="s">
        <v>44</v>
      </c>
      <c r="R3211" s="10" t="s">
        <v>13079</v>
      </c>
      <c r="S3211" s="11" t="s">
        <v>19301</v>
      </c>
      <c r="T3211" s="6"/>
      <c r="U3211" s="24" t="str">
        <f>HYPERLINK("https://media.infra-m.ru/2118/2118094/cover/2118094.jpg", "Обложка")</f>
        <v>Обложка</v>
      </c>
      <c r="V3211" s="24" t="str">
        <f>HYPERLINK("https://znanium.ru/catalog/product/2118094", "Ознакомиться")</f>
        <v>Ознакомиться</v>
      </c>
      <c r="W3211" s="8" t="s">
        <v>189</v>
      </c>
      <c r="X3211" s="6"/>
      <c r="Y3211" s="6"/>
      <c r="Z3211" s="6"/>
      <c r="AA3211" s="6" t="s">
        <v>47</v>
      </c>
      <c r="AB3211" s="8"/>
    </row>
    <row r="3212" spans="1:28" s="4" customFormat="1" ht="51.95" customHeight="1">
      <c r="A3212" s="5">
        <v>0</v>
      </c>
      <c r="B3212" s="6" t="s">
        <v>19302</v>
      </c>
      <c r="C3212" s="13">
        <v>1164</v>
      </c>
      <c r="D3212" s="8" t="s">
        <v>19303</v>
      </c>
      <c r="E3212" s="8" t="s">
        <v>19304</v>
      </c>
      <c r="F3212" s="8" t="s">
        <v>19305</v>
      </c>
      <c r="G3212" s="6" t="s">
        <v>52</v>
      </c>
      <c r="H3212" s="6" t="s">
        <v>53</v>
      </c>
      <c r="I3212" s="8" t="s">
        <v>90</v>
      </c>
      <c r="J3212" s="9">
        <v>1</v>
      </c>
      <c r="K3212" s="9">
        <v>224</v>
      </c>
      <c r="L3212" s="9">
        <v>2025</v>
      </c>
      <c r="M3212" s="8" t="s">
        <v>19306</v>
      </c>
      <c r="N3212" s="8" t="s">
        <v>41</v>
      </c>
      <c r="O3212" s="8" t="s">
        <v>118</v>
      </c>
      <c r="P3212" s="6" t="s">
        <v>43</v>
      </c>
      <c r="Q3212" s="8" t="s">
        <v>44</v>
      </c>
      <c r="R3212" s="10" t="s">
        <v>19307</v>
      </c>
      <c r="S3212" s="11" t="s">
        <v>19308</v>
      </c>
      <c r="T3212" s="6"/>
      <c r="U3212" s="24" t="str">
        <f>HYPERLINK("https://media.infra-m.ru/2194/2194349/cover/2194349.jpg", "Обложка")</f>
        <v>Обложка</v>
      </c>
      <c r="V3212" s="24" t="str">
        <f>HYPERLINK("https://znanium.ru/catalog/product/1032985", "Ознакомиться")</f>
        <v>Ознакомиться</v>
      </c>
      <c r="W3212" s="8" t="s">
        <v>2080</v>
      </c>
      <c r="X3212" s="6"/>
      <c r="Y3212" s="6"/>
      <c r="Z3212" s="6"/>
      <c r="AA3212" s="6" t="s">
        <v>196</v>
      </c>
      <c r="AB3212" s="8"/>
    </row>
    <row r="3213" spans="1:28" s="4" customFormat="1" ht="51.95" customHeight="1">
      <c r="A3213" s="5">
        <v>0</v>
      </c>
      <c r="B3213" s="6" t="s">
        <v>19309</v>
      </c>
      <c r="C3213" s="7">
        <v>954.9</v>
      </c>
      <c r="D3213" s="8" t="s">
        <v>19310</v>
      </c>
      <c r="E3213" s="8" t="s">
        <v>19311</v>
      </c>
      <c r="F3213" s="8" t="s">
        <v>19305</v>
      </c>
      <c r="G3213" s="6" t="s">
        <v>52</v>
      </c>
      <c r="H3213" s="6" t="s">
        <v>66</v>
      </c>
      <c r="I3213" s="8" t="s">
        <v>116</v>
      </c>
      <c r="J3213" s="9">
        <v>1</v>
      </c>
      <c r="K3213" s="9">
        <v>251</v>
      </c>
      <c r="L3213" s="9">
        <v>2022</v>
      </c>
      <c r="M3213" s="8" t="s">
        <v>19312</v>
      </c>
      <c r="N3213" s="8" t="s">
        <v>41</v>
      </c>
      <c r="O3213" s="8" t="s">
        <v>118</v>
      </c>
      <c r="P3213" s="6" t="s">
        <v>43</v>
      </c>
      <c r="Q3213" s="8" t="s">
        <v>44</v>
      </c>
      <c r="R3213" s="10" t="s">
        <v>19313</v>
      </c>
      <c r="S3213" s="11" t="s">
        <v>19314</v>
      </c>
      <c r="T3213" s="6"/>
      <c r="U3213" s="24" t="str">
        <f>HYPERLINK("https://media.infra-m.ru/1836/1836633/cover/1836633.jpg", "Обложка")</f>
        <v>Обложка</v>
      </c>
      <c r="V3213" s="24" t="str">
        <f>HYPERLINK("https://znanium.ru/catalog/product/1836633", "Ознакомиться")</f>
        <v>Ознакомиться</v>
      </c>
      <c r="W3213" s="8" t="s">
        <v>2080</v>
      </c>
      <c r="X3213" s="6"/>
      <c r="Y3213" s="6"/>
      <c r="Z3213" s="6"/>
      <c r="AA3213" s="6" t="s">
        <v>638</v>
      </c>
      <c r="AB3213" s="8"/>
    </row>
    <row r="3214" spans="1:28" s="4" customFormat="1" ht="51.95" customHeight="1">
      <c r="A3214" s="5">
        <v>0</v>
      </c>
      <c r="B3214" s="6" t="s">
        <v>19315</v>
      </c>
      <c r="C3214" s="13">
        <v>1540</v>
      </c>
      <c r="D3214" s="8" t="s">
        <v>19316</v>
      </c>
      <c r="E3214" s="8" t="s">
        <v>19317</v>
      </c>
      <c r="F3214" s="8" t="s">
        <v>19318</v>
      </c>
      <c r="G3214" s="6" t="s">
        <v>89</v>
      </c>
      <c r="H3214" s="6" t="s">
        <v>649</v>
      </c>
      <c r="I3214" s="8" t="s">
        <v>15153</v>
      </c>
      <c r="J3214" s="9">
        <v>1</v>
      </c>
      <c r="K3214" s="9">
        <v>334</v>
      </c>
      <c r="L3214" s="9">
        <v>2024</v>
      </c>
      <c r="M3214" s="8" t="s">
        <v>19319</v>
      </c>
      <c r="N3214" s="8" t="s">
        <v>56</v>
      </c>
      <c r="O3214" s="8" t="s">
        <v>4042</v>
      </c>
      <c r="P3214" s="6" t="s">
        <v>167</v>
      </c>
      <c r="Q3214" s="8" t="s">
        <v>44</v>
      </c>
      <c r="R3214" s="10" t="s">
        <v>19320</v>
      </c>
      <c r="S3214" s="11" t="s">
        <v>19321</v>
      </c>
      <c r="T3214" s="6"/>
      <c r="U3214" s="24" t="str">
        <f>HYPERLINK("https://media.infra-m.ru/2085/2085044/cover/2085044.jpg", "Обложка")</f>
        <v>Обложка</v>
      </c>
      <c r="V3214" s="24" t="str">
        <f>HYPERLINK("https://znanium.ru/catalog/product/2085044", "Ознакомиться")</f>
        <v>Ознакомиться</v>
      </c>
      <c r="W3214" s="8" t="s">
        <v>12172</v>
      </c>
      <c r="X3214" s="6"/>
      <c r="Y3214" s="6"/>
      <c r="Z3214" s="6"/>
      <c r="AA3214" s="6" t="s">
        <v>7452</v>
      </c>
      <c r="AB3214" s="8"/>
    </row>
    <row r="3215" spans="1:28" s="4" customFormat="1" ht="51.95" customHeight="1">
      <c r="A3215" s="5">
        <v>0</v>
      </c>
      <c r="B3215" s="6" t="s">
        <v>19322</v>
      </c>
      <c r="C3215" s="13">
        <v>1524</v>
      </c>
      <c r="D3215" s="8" t="s">
        <v>19323</v>
      </c>
      <c r="E3215" s="8" t="s">
        <v>19324</v>
      </c>
      <c r="F3215" s="8" t="s">
        <v>19325</v>
      </c>
      <c r="G3215" s="6" t="s">
        <v>38</v>
      </c>
      <c r="H3215" s="6" t="s">
        <v>39</v>
      </c>
      <c r="I3215" s="8" t="s">
        <v>100</v>
      </c>
      <c r="J3215" s="9">
        <v>1</v>
      </c>
      <c r="K3215" s="9">
        <v>304</v>
      </c>
      <c r="L3215" s="9">
        <v>2025</v>
      </c>
      <c r="M3215" s="8" t="s">
        <v>19326</v>
      </c>
      <c r="N3215" s="8" t="s">
        <v>41</v>
      </c>
      <c r="O3215" s="8" t="s">
        <v>118</v>
      </c>
      <c r="P3215" s="6" t="s">
        <v>43</v>
      </c>
      <c r="Q3215" s="8" t="s">
        <v>102</v>
      </c>
      <c r="R3215" s="10" t="s">
        <v>19327</v>
      </c>
      <c r="S3215" s="11" t="s">
        <v>12744</v>
      </c>
      <c r="T3215" s="6"/>
      <c r="U3215" s="24" t="str">
        <f>HYPERLINK("https://media.infra-m.ru/2188/2188210/cover/2188210.jpg", "Обложка")</f>
        <v>Обложка</v>
      </c>
      <c r="V3215" s="24" t="str">
        <f>HYPERLINK("https://znanium.ru/catalog/product/2188210", "Ознакомиться")</f>
        <v>Ознакомиться</v>
      </c>
      <c r="W3215" s="8" t="s">
        <v>159</v>
      </c>
      <c r="X3215" s="6"/>
      <c r="Y3215" s="6"/>
      <c r="Z3215" s="6"/>
      <c r="AA3215" s="6" t="s">
        <v>494</v>
      </c>
      <c r="AB3215" s="8"/>
    </row>
    <row r="3216" spans="1:28" s="4" customFormat="1" ht="51.95" customHeight="1">
      <c r="A3216" s="5">
        <v>0</v>
      </c>
      <c r="B3216" s="6" t="s">
        <v>19328</v>
      </c>
      <c r="C3216" s="13">
        <v>2244</v>
      </c>
      <c r="D3216" s="8" t="s">
        <v>19329</v>
      </c>
      <c r="E3216" s="8" t="s">
        <v>19330</v>
      </c>
      <c r="F3216" s="8" t="s">
        <v>19331</v>
      </c>
      <c r="G3216" s="6" t="s">
        <v>52</v>
      </c>
      <c r="H3216" s="6" t="s">
        <v>649</v>
      </c>
      <c r="I3216" s="8" t="s">
        <v>116</v>
      </c>
      <c r="J3216" s="9">
        <v>1</v>
      </c>
      <c r="K3216" s="9">
        <v>448</v>
      </c>
      <c r="L3216" s="9">
        <v>2025</v>
      </c>
      <c r="M3216" s="8" t="s">
        <v>19332</v>
      </c>
      <c r="N3216" s="8" t="s">
        <v>79</v>
      </c>
      <c r="O3216" s="8" t="s">
        <v>80</v>
      </c>
      <c r="P3216" s="6" t="s">
        <v>43</v>
      </c>
      <c r="Q3216" s="8" t="s">
        <v>44</v>
      </c>
      <c r="R3216" s="10" t="s">
        <v>1173</v>
      </c>
      <c r="S3216" s="11" t="s">
        <v>19333</v>
      </c>
      <c r="T3216" s="6"/>
      <c r="U3216" s="24" t="str">
        <f>HYPERLINK("https://media.infra-m.ru/2188/2188735/cover/2188735.jpg", "Обложка")</f>
        <v>Обложка</v>
      </c>
      <c r="V3216" s="12"/>
      <c r="W3216" s="8" t="s">
        <v>2216</v>
      </c>
      <c r="X3216" s="6"/>
      <c r="Y3216" s="6"/>
      <c r="Z3216" s="6"/>
      <c r="AA3216" s="6" t="s">
        <v>72</v>
      </c>
      <c r="AB3216" s="8"/>
    </row>
    <row r="3217" spans="1:28" s="4" customFormat="1" ht="51.95" customHeight="1">
      <c r="A3217" s="5">
        <v>0</v>
      </c>
      <c r="B3217" s="6" t="s">
        <v>19334</v>
      </c>
      <c r="C3217" s="7">
        <v>864.9</v>
      </c>
      <c r="D3217" s="8" t="s">
        <v>19335</v>
      </c>
      <c r="E3217" s="8" t="s">
        <v>19336</v>
      </c>
      <c r="F3217" s="8" t="s">
        <v>19337</v>
      </c>
      <c r="G3217" s="6" t="s">
        <v>52</v>
      </c>
      <c r="H3217" s="6" t="s">
        <v>53</v>
      </c>
      <c r="I3217" s="8" t="s">
        <v>100</v>
      </c>
      <c r="J3217" s="9">
        <v>1</v>
      </c>
      <c r="K3217" s="9">
        <v>192</v>
      </c>
      <c r="L3217" s="9">
        <v>2023</v>
      </c>
      <c r="M3217" s="8" t="s">
        <v>19338</v>
      </c>
      <c r="N3217" s="8" t="s">
        <v>41</v>
      </c>
      <c r="O3217" s="8" t="s">
        <v>278</v>
      </c>
      <c r="P3217" s="6" t="s">
        <v>43</v>
      </c>
      <c r="Q3217" s="8" t="s">
        <v>102</v>
      </c>
      <c r="R3217" s="10" t="s">
        <v>19339</v>
      </c>
      <c r="S3217" s="11" t="s">
        <v>19340</v>
      </c>
      <c r="T3217" s="6"/>
      <c r="U3217" s="24" t="str">
        <f>HYPERLINK("https://media.infra-m.ru/2030/2030859/cover/2030859.jpg", "Обложка")</f>
        <v>Обложка</v>
      </c>
      <c r="V3217" s="24" t="str">
        <f>HYPERLINK("https://znanium.ru/catalog/product/987878", "Ознакомиться")</f>
        <v>Ознакомиться</v>
      </c>
      <c r="W3217" s="8"/>
      <c r="X3217" s="6"/>
      <c r="Y3217" s="6"/>
      <c r="Z3217" s="6"/>
      <c r="AA3217" s="6" t="s">
        <v>219</v>
      </c>
      <c r="AB3217" s="8"/>
    </row>
    <row r="3218" spans="1:28" s="4" customFormat="1" ht="51.95" customHeight="1">
      <c r="A3218" s="5">
        <v>0</v>
      </c>
      <c r="B3218" s="6" t="s">
        <v>19341</v>
      </c>
      <c r="C3218" s="13">
        <v>1350</v>
      </c>
      <c r="D3218" s="8" t="s">
        <v>19342</v>
      </c>
      <c r="E3218" s="8" t="s">
        <v>19343</v>
      </c>
      <c r="F3218" s="8" t="s">
        <v>12292</v>
      </c>
      <c r="G3218" s="6" t="s">
        <v>89</v>
      </c>
      <c r="H3218" s="6" t="s">
        <v>53</v>
      </c>
      <c r="I3218" s="8" t="s">
        <v>116</v>
      </c>
      <c r="J3218" s="9">
        <v>1</v>
      </c>
      <c r="K3218" s="9">
        <v>292</v>
      </c>
      <c r="L3218" s="9">
        <v>2024</v>
      </c>
      <c r="M3218" s="8" t="s">
        <v>19344</v>
      </c>
      <c r="N3218" s="8" t="s">
        <v>41</v>
      </c>
      <c r="O3218" s="8" t="s">
        <v>278</v>
      </c>
      <c r="P3218" s="6" t="s">
        <v>167</v>
      </c>
      <c r="Q3218" s="8" t="s">
        <v>44</v>
      </c>
      <c r="R3218" s="10" t="s">
        <v>19345</v>
      </c>
      <c r="S3218" s="11" t="s">
        <v>19346</v>
      </c>
      <c r="T3218" s="6"/>
      <c r="U3218" s="24" t="str">
        <f>HYPERLINK("https://media.infra-m.ru/2119/2119151/cover/2119151.jpg", "Обложка")</f>
        <v>Обложка</v>
      </c>
      <c r="V3218" s="24" t="str">
        <f>HYPERLINK("https://znanium.ru/catalog/product/2119151", "Ознакомиться")</f>
        <v>Ознакомиться</v>
      </c>
      <c r="W3218" s="8" t="s">
        <v>12269</v>
      </c>
      <c r="X3218" s="6"/>
      <c r="Y3218" s="6"/>
      <c r="Z3218" s="6"/>
      <c r="AA3218" s="6" t="s">
        <v>494</v>
      </c>
      <c r="AB3218" s="8"/>
    </row>
    <row r="3219" spans="1:28" s="4" customFormat="1" ht="51.95" customHeight="1">
      <c r="A3219" s="5">
        <v>0</v>
      </c>
      <c r="B3219" s="6" t="s">
        <v>19347</v>
      </c>
      <c r="C3219" s="13">
        <v>1344</v>
      </c>
      <c r="D3219" s="8" t="s">
        <v>19348</v>
      </c>
      <c r="E3219" s="8" t="s">
        <v>19343</v>
      </c>
      <c r="F3219" s="8" t="s">
        <v>12292</v>
      </c>
      <c r="G3219" s="6" t="s">
        <v>89</v>
      </c>
      <c r="H3219" s="6" t="s">
        <v>53</v>
      </c>
      <c r="I3219" s="8" t="s">
        <v>100</v>
      </c>
      <c r="J3219" s="9">
        <v>1</v>
      </c>
      <c r="K3219" s="9">
        <v>292</v>
      </c>
      <c r="L3219" s="9">
        <v>2024</v>
      </c>
      <c r="M3219" s="8" t="s">
        <v>19349</v>
      </c>
      <c r="N3219" s="8" t="s">
        <v>41</v>
      </c>
      <c r="O3219" s="8" t="s">
        <v>278</v>
      </c>
      <c r="P3219" s="6" t="s">
        <v>167</v>
      </c>
      <c r="Q3219" s="8" t="s">
        <v>102</v>
      </c>
      <c r="R3219" s="10" t="s">
        <v>12576</v>
      </c>
      <c r="S3219" s="11" t="s">
        <v>19350</v>
      </c>
      <c r="T3219" s="6"/>
      <c r="U3219" s="24" t="str">
        <f>HYPERLINK("https://media.infra-m.ru/2102/2102660/cover/2102660.jpg", "Обложка")</f>
        <v>Обложка</v>
      </c>
      <c r="V3219" s="24" t="str">
        <f>HYPERLINK("https://znanium.ru/catalog/product/1372729", "Ознакомиться")</f>
        <v>Ознакомиться</v>
      </c>
      <c r="W3219" s="8" t="s">
        <v>12269</v>
      </c>
      <c r="X3219" s="6"/>
      <c r="Y3219" s="6"/>
      <c r="Z3219" s="6" t="s">
        <v>104</v>
      </c>
      <c r="AA3219" s="6" t="s">
        <v>1374</v>
      </c>
      <c r="AB3219" s="8"/>
    </row>
    <row r="3220" spans="1:28" s="4" customFormat="1" ht="51.95" customHeight="1">
      <c r="A3220" s="5">
        <v>0</v>
      </c>
      <c r="B3220" s="6" t="s">
        <v>19351</v>
      </c>
      <c r="C3220" s="7">
        <v>290</v>
      </c>
      <c r="D3220" s="8" t="s">
        <v>19352</v>
      </c>
      <c r="E3220" s="8" t="s">
        <v>19353</v>
      </c>
      <c r="F3220" s="8" t="s">
        <v>19354</v>
      </c>
      <c r="G3220" s="6" t="s">
        <v>38</v>
      </c>
      <c r="H3220" s="6" t="s">
        <v>39</v>
      </c>
      <c r="I3220" s="8"/>
      <c r="J3220" s="9">
        <v>1</v>
      </c>
      <c r="K3220" s="9">
        <v>72</v>
      </c>
      <c r="L3220" s="9">
        <v>2019</v>
      </c>
      <c r="M3220" s="8" t="s">
        <v>19355</v>
      </c>
      <c r="N3220" s="8" t="s">
        <v>56</v>
      </c>
      <c r="O3220" s="8" t="s">
        <v>57</v>
      </c>
      <c r="P3220" s="6" t="s">
        <v>366</v>
      </c>
      <c r="Q3220" s="8" t="s">
        <v>44</v>
      </c>
      <c r="R3220" s="10" t="s">
        <v>19356</v>
      </c>
      <c r="S3220" s="11"/>
      <c r="T3220" s="6"/>
      <c r="U3220" s="24" t="str">
        <f>HYPERLINK("https://media.infra-m.ru/0987/0987259/cover/987259.jpg", "Обложка")</f>
        <v>Обложка</v>
      </c>
      <c r="V3220" s="24" t="str">
        <f>HYPERLINK("https://znanium.ru/catalog/product/2147715", "Ознакомиться")</f>
        <v>Ознакомиться</v>
      </c>
      <c r="W3220" s="8" t="s">
        <v>347</v>
      </c>
      <c r="X3220" s="6"/>
      <c r="Y3220" s="6"/>
      <c r="Z3220" s="6"/>
      <c r="AA3220" s="6" t="s">
        <v>418</v>
      </c>
      <c r="AB3220" s="8"/>
    </row>
    <row r="3221" spans="1:28" s="4" customFormat="1" ht="51.95" customHeight="1">
      <c r="A3221" s="5">
        <v>0</v>
      </c>
      <c r="B3221" s="6" t="s">
        <v>19357</v>
      </c>
      <c r="C3221" s="7">
        <v>560</v>
      </c>
      <c r="D3221" s="8" t="s">
        <v>19358</v>
      </c>
      <c r="E3221" s="8" t="s">
        <v>19359</v>
      </c>
      <c r="F3221" s="8" t="s">
        <v>19354</v>
      </c>
      <c r="G3221" s="6" t="s">
        <v>38</v>
      </c>
      <c r="H3221" s="6" t="s">
        <v>53</v>
      </c>
      <c r="I3221" s="8" t="s">
        <v>116</v>
      </c>
      <c r="J3221" s="9">
        <v>1</v>
      </c>
      <c r="K3221" s="9">
        <v>99</v>
      </c>
      <c r="L3221" s="9">
        <v>2024</v>
      </c>
      <c r="M3221" s="8" t="s">
        <v>19360</v>
      </c>
      <c r="N3221" s="8" t="s">
        <v>56</v>
      </c>
      <c r="O3221" s="8" t="s">
        <v>57</v>
      </c>
      <c r="P3221" s="6" t="s">
        <v>43</v>
      </c>
      <c r="Q3221" s="8" t="s">
        <v>44</v>
      </c>
      <c r="R3221" s="10" t="s">
        <v>19356</v>
      </c>
      <c r="S3221" s="11" t="s">
        <v>19361</v>
      </c>
      <c r="T3221" s="6"/>
      <c r="U3221" s="24" t="str">
        <f>HYPERLINK("https://media.infra-m.ru/2147/2147715/cover/2147715.jpg", "Обложка")</f>
        <v>Обложка</v>
      </c>
      <c r="V3221" s="24" t="str">
        <f>HYPERLINK("https://znanium.ru/catalog/product/2147715", "Ознакомиться")</f>
        <v>Ознакомиться</v>
      </c>
      <c r="W3221" s="8" t="s">
        <v>347</v>
      </c>
      <c r="X3221" s="6"/>
      <c r="Y3221" s="6"/>
      <c r="Z3221" s="6"/>
      <c r="AA3221" s="6" t="s">
        <v>95</v>
      </c>
      <c r="AB3221" s="8"/>
    </row>
    <row r="3222" spans="1:28" s="4" customFormat="1" ht="51.95" customHeight="1">
      <c r="A3222" s="5">
        <v>0</v>
      </c>
      <c r="B3222" s="6" t="s">
        <v>19362</v>
      </c>
      <c r="C3222" s="7">
        <v>510</v>
      </c>
      <c r="D3222" s="8" t="s">
        <v>19363</v>
      </c>
      <c r="E3222" s="8" t="s">
        <v>19364</v>
      </c>
      <c r="F3222" s="8" t="s">
        <v>19354</v>
      </c>
      <c r="G3222" s="6" t="s">
        <v>38</v>
      </c>
      <c r="H3222" s="6" t="s">
        <v>53</v>
      </c>
      <c r="I3222" s="8" t="s">
        <v>6088</v>
      </c>
      <c r="J3222" s="9">
        <v>1</v>
      </c>
      <c r="K3222" s="9">
        <v>99</v>
      </c>
      <c r="L3222" s="9">
        <v>2024</v>
      </c>
      <c r="M3222" s="8" t="s">
        <v>19365</v>
      </c>
      <c r="N3222" s="8" t="s">
        <v>56</v>
      </c>
      <c r="O3222" s="8" t="s">
        <v>57</v>
      </c>
      <c r="P3222" s="6" t="s">
        <v>6090</v>
      </c>
      <c r="Q3222" s="8" t="s">
        <v>58</v>
      </c>
      <c r="R3222" s="10" t="s">
        <v>19366</v>
      </c>
      <c r="S3222" s="11"/>
      <c r="T3222" s="6"/>
      <c r="U3222" s="24" t="str">
        <f>HYPERLINK("https://media.infra-m.ru/2183/2183782/cover/2183782.jpg", "Обложка")</f>
        <v>Обложка</v>
      </c>
      <c r="V3222" s="24" t="str">
        <f>HYPERLINK("https://znanium.ru/catalog/product/2183782", "Ознакомиться")</f>
        <v>Ознакомиться</v>
      </c>
      <c r="W3222" s="8" t="s">
        <v>347</v>
      </c>
      <c r="X3222" s="6"/>
      <c r="Y3222" s="6"/>
      <c r="Z3222" s="6"/>
      <c r="AA3222" s="6" t="s">
        <v>133</v>
      </c>
      <c r="AB3222" s="8"/>
    </row>
    <row r="3223" spans="1:28" s="4" customFormat="1" ht="51.95" customHeight="1">
      <c r="A3223" s="5">
        <v>0</v>
      </c>
      <c r="B3223" s="6" t="s">
        <v>19367</v>
      </c>
      <c r="C3223" s="13">
        <v>1394.9</v>
      </c>
      <c r="D3223" s="8" t="s">
        <v>19368</v>
      </c>
      <c r="E3223" s="8" t="s">
        <v>19369</v>
      </c>
      <c r="F3223" s="8" t="s">
        <v>19370</v>
      </c>
      <c r="G3223" s="6" t="s">
        <v>52</v>
      </c>
      <c r="H3223" s="6" t="s">
        <v>53</v>
      </c>
      <c r="I3223" s="8" t="s">
        <v>90</v>
      </c>
      <c r="J3223" s="9">
        <v>1</v>
      </c>
      <c r="K3223" s="9">
        <v>368</v>
      </c>
      <c r="L3223" s="9">
        <v>2022</v>
      </c>
      <c r="M3223" s="8" t="s">
        <v>19371</v>
      </c>
      <c r="N3223" s="8" t="s">
        <v>41</v>
      </c>
      <c r="O3223" s="8" t="s">
        <v>6182</v>
      </c>
      <c r="P3223" s="6" t="s">
        <v>167</v>
      </c>
      <c r="Q3223" s="8" t="s">
        <v>44</v>
      </c>
      <c r="R3223" s="10" t="s">
        <v>157</v>
      </c>
      <c r="S3223" s="11" t="s">
        <v>19372</v>
      </c>
      <c r="T3223" s="6" t="s">
        <v>299</v>
      </c>
      <c r="U3223" s="24" t="str">
        <f>HYPERLINK("https://media.infra-m.ru/1844/1844288/cover/1844288.jpg", "Обложка")</f>
        <v>Обложка</v>
      </c>
      <c r="V3223" s="24" t="str">
        <f>HYPERLINK("https://znanium.ru/catalog/product/1844288", "Ознакомиться")</f>
        <v>Ознакомиться</v>
      </c>
      <c r="W3223" s="8" t="s">
        <v>4228</v>
      </c>
      <c r="X3223" s="6"/>
      <c r="Y3223" s="6"/>
      <c r="Z3223" s="6"/>
      <c r="AA3223" s="6" t="s">
        <v>479</v>
      </c>
      <c r="AB3223" s="8"/>
    </row>
    <row r="3224" spans="1:28" s="4" customFormat="1" ht="51.95" customHeight="1">
      <c r="A3224" s="5">
        <v>0</v>
      </c>
      <c r="B3224" s="6" t="s">
        <v>19373</v>
      </c>
      <c r="C3224" s="13">
        <v>1130</v>
      </c>
      <c r="D3224" s="8" t="s">
        <v>19374</v>
      </c>
      <c r="E3224" s="8" t="s">
        <v>19375</v>
      </c>
      <c r="F3224" s="8" t="s">
        <v>13280</v>
      </c>
      <c r="G3224" s="6" t="s">
        <v>89</v>
      </c>
      <c r="H3224" s="6" t="s">
        <v>438</v>
      </c>
      <c r="I3224" s="8"/>
      <c r="J3224" s="9">
        <v>1</v>
      </c>
      <c r="K3224" s="9">
        <v>240</v>
      </c>
      <c r="L3224" s="9">
        <v>2024</v>
      </c>
      <c r="M3224" s="8" t="s">
        <v>19376</v>
      </c>
      <c r="N3224" s="8" t="s">
        <v>79</v>
      </c>
      <c r="O3224" s="8" t="s">
        <v>148</v>
      </c>
      <c r="P3224" s="6" t="s">
        <v>167</v>
      </c>
      <c r="Q3224" s="8" t="s">
        <v>102</v>
      </c>
      <c r="R3224" s="10" t="s">
        <v>19377</v>
      </c>
      <c r="S3224" s="11"/>
      <c r="T3224" s="6"/>
      <c r="U3224" s="24" t="str">
        <f>HYPERLINK("https://media.infra-m.ru/2098/2098993/cover/2098993.jpg", "Обложка")</f>
        <v>Обложка</v>
      </c>
      <c r="V3224" s="24" t="str">
        <f>HYPERLINK("https://znanium.ru/catalog/product/2098993", "Ознакомиться")</f>
        <v>Ознакомиться</v>
      </c>
      <c r="W3224" s="8" t="s">
        <v>450</v>
      </c>
      <c r="X3224" s="6"/>
      <c r="Y3224" s="6"/>
      <c r="Z3224" s="6"/>
      <c r="AA3224" s="6" t="s">
        <v>442</v>
      </c>
      <c r="AB3224" s="8"/>
    </row>
    <row r="3225" spans="1:28" s="4" customFormat="1" ht="51.95" customHeight="1">
      <c r="A3225" s="5">
        <v>0</v>
      </c>
      <c r="B3225" s="6" t="s">
        <v>19378</v>
      </c>
      <c r="C3225" s="13">
        <v>2294</v>
      </c>
      <c r="D3225" s="8" t="s">
        <v>19379</v>
      </c>
      <c r="E3225" s="8" t="s">
        <v>19380</v>
      </c>
      <c r="F3225" s="8" t="s">
        <v>19381</v>
      </c>
      <c r="G3225" s="6" t="s">
        <v>52</v>
      </c>
      <c r="H3225" s="6" t="s">
        <v>53</v>
      </c>
      <c r="I3225" s="8" t="s">
        <v>90</v>
      </c>
      <c r="J3225" s="9">
        <v>1</v>
      </c>
      <c r="K3225" s="9">
        <v>621</v>
      </c>
      <c r="L3225" s="9">
        <v>2025</v>
      </c>
      <c r="M3225" s="8" t="s">
        <v>19382</v>
      </c>
      <c r="N3225" s="8" t="s">
        <v>41</v>
      </c>
      <c r="O3225" s="8" t="s">
        <v>6182</v>
      </c>
      <c r="P3225" s="6" t="s">
        <v>167</v>
      </c>
      <c r="Q3225" s="8" t="s">
        <v>44</v>
      </c>
      <c r="R3225" s="10" t="s">
        <v>1231</v>
      </c>
      <c r="S3225" s="11" t="s">
        <v>19383</v>
      </c>
      <c r="T3225" s="6"/>
      <c r="U3225" s="24" t="str">
        <f>HYPERLINK("https://media.infra-m.ru/2188/2188710/cover/2188710.jpg", "Обложка")</f>
        <v>Обложка</v>
      </c>
      <c r="V3225" s="24" t="str">
        <f>HYPERLINK("https://znanium.ru/catalog/product/945546", "Ознакомиться")</f>
        <v>Ознакомиться</v>
      </c>
      <c r="W3225" s="8" t="s">
        <v>1253</v>
      </c>
      <c r="X3225" s="6"/>
      <c r="Y3225" s="6"/>
      <c r="Z3225" s="6"/>
      <c r="AA3225" s="6" t="s">
        <v>2217</v>
      </c>
      <c r="AB3225" s="8"/>
    </row>
    <row r="3226" spans="1:28" s="4" customFormat="1" ht="51.95" customHeight="1">
      <c r="A3226" s="5">
        <v>0</v>
      </c>
      <c r="B3226" s="6" t="s">
        <v>19384</v>
      </c>
      <c r="C3226" s="13">
        <v>1610</v>
      </c>
      <c r="D3226" s="8" t="s">
        <v>19385</v>
      </c>
      <c r="E3226" s="8" t="s">
        <v>19386</v>
      </c>
      <c r="F3226" s="8" t="s">
        <v>19387</v>
      </c>
      <c r="G3226" s="6" t="s">
        <v>89</v>
      </c>
      <c r="H3226" s="6" t="s">
        <v>53</v>
      </c>
      <c r="I3226" s="8" t="s">
        <v>116</v>
      </c>
      <c r="J3226" s="9">
        <v>1</v>
      </c>
      <c r="K3226" s="9">
        <v>350</v>
      </c>
      <c r="L3226" s="9">
        <v>2024</v>
      </c>
      <c r="M3226" s="8" t="s">
        <v>19388</v>
      </c>
      <c r="N3226" s="8" t="s">
        <v>41</v>
      </c>
      <c r="O3226" s="8" t="s">
        <v>118</v>
      </c>
      <c r="P3226" s="6" t="s">
        <v>167</v>
      </c>
      <c r="Q3226" s="8" t="s">
        <v>44</v>
      </c>
      <c r="R3226" s="10" t="s">
        <v>15769</v>
      </c>
      <c r="S3226" s="11" t="s">
        <v>19389</v>
      </c>
      <c r="T3226" s="6"/>
      <c r="U3226" s="24" t="str">
        <f>HYPERLINK("https://media.infra-m.ru/2091/2091889/cover/2091889.jpg", "Обложка")</f>
        <v>Обложка</v>
      </c>
      <c r="V3226" s="24" t="str">
        <f>HYPERLINK("https://znanium.ru/catalog/product/2091889", "Ознакомиться")</f>
        <v>Ознакомиться</v>
      </c>
      <c r="W3226" s="8" t="s">
        <v>15752</v>
      </c>
      <c r="X3226" s="6"/>
      <c r="Y3226" s="6"/>
      <c r="Z3226" s="6"/>
      <c r="AA3226" s="6" t="s">
        <v>701</v>
      </c>
      <c r="AB3226" s="8"/>
    </row>
    <row r="3227" spans="1:28" s="4" customFormat="1" ht="51.95" customHeight="1">
      <c r="A3227" s="5">
        <v>0</v>
      </c>
      <c r="B3227" s="6" t="s">
        <v>19390</v>
      </c>
      <c r="C3227" s="13">
        <v>1334</v>
      </c>
      <c r="D3227" s="8" t="s">
        <v>19391</v>
      </c>
      <c r="E3227" s="8" t="s">
        <v>19392</v>
      </c>
      <c r="F3227" s="8" t="s">
        <v>19393</v>
      </c>
      <c r="G3227" s="6" t="s">
        <v>52</v>
      </c>
      <c r="H3227" s="6" t="s">
        <v>77</v>
      </c>
      <c r="I3227" s="8"/>
      <c r="J3227" s="9">
        <v>1</v>
      </c>
      <c r="K3227" s="9">
        <v>288</v>
      </c>
      <c r="L3227" s="9">
        <v>2024</v>
      </c>
      <c r="M3227" s="8" t="s">
        <v>19394</v>
      </c>
      <c r="N3227" s="8" t="s">
        <v>41</v>
      </c>
      <c r="O3227" s="8" t="s">
        <v>118</v>
      </c>
      <c r="P3227" s="6" t="s">
        <v>43</v>
      </c>
      <c r="Q3227" s="8" t="s">
        <v>44</v>
      </c>
      <c r="R3227" s="10" t="s">
        <v>19395</v>
      </c>
      <c r="S3227" s="11" t="s">
        <v>19396</v>
      </c>
      <c r="T3227" s="6"/>
      <c r="U3227" s="24" t="str">
        <f>HYPERLINK("https://media.infra-m.ru/2056/2056648/cover/2056648.jpg", "Обложка")</f>
        <v>Обложка</v>
      </c>
      <c r="V3227" s="24" t="str">
        <f>HYPERLINK("https://znanium.ru/catalog/product/1832416", "Ознакомиться")</f>
        <v>Ознакомиться</v>
      </c>
      <c r="W3227" s="8" t="s">
        <v>4383</v>
      </c>
      <c r="X3227" s="6"/>
      <c r="Y3227" s="6"/>
      <c r="Z3227" s="6"/>
      <c r="AA3227" s="6" t="s">
        <v>479</v>
      </c>
      <c r="AB3227" s="8"/>
    </row>
    <row r="3228" spans="1:28" s="4" customFormat="1" ht="51.95" customHeight="1">
      <c r="A3228" s="5">
        <v>0</v>
      </c>
      <c r="B3228" s="6" t="s">
        <v>19397</v>
      </c>
      <c r="C3228" s="13">
        <v>2510</v>
      </c>
      <c r="D3228" s="8" t="s">
        <v>19398</v>
      </c>
      <c r="E3228" s="8" t="s">
        <v>19399</v>
      </c>
      <c r="F3228" s="8" t="s">
        <v>19400</v>
      </c>
      <c r="G3228" s="6" t="s">
        <v>52</v>
      </c>
      <c r="H3228" s="6" t="s">
        <v>952</v>
      </c>
      <c r="I3228" s="8" t="s">
        <v>1171</v>
      </c>
      <c r="J3228" s="9">
        <v>1</v>
      </c>
      <c r="K3228" s="9">
        <v>624</v>
      </c>
      <c r="L3228" s="9">
        <v>2024</v>
      </c>
      <c r="M3228" s="8" t="s">
        <v>19401</v>
      </c>
      <c r="N3228" s="8" t="s">
        <v>41</v>
      </c>
      <c r="O3228" s="8" t="s">
        <v>118</v>
      </c>
      <c r="P3228" s="6" t="s">
        <v>43</v>
      </c>
      <c r="Q3228" s="8" t="s">
        <v>44</v>
      </c>
      <c r="R3228" s="10" t="s">
        <v>19402</v>
      </c>
      <c r="S3228" s="11" t="s">
        <v>19403</v>
      </c>
      <c r="T3228" s="6"/>
      <c r="U3228" s="24" t="str">
        <f>HYPERLINK("https://media.infra-m.ru/2124/2124343/cover/2124343.jpg", "Обложка")</f>
        <v>Обложка</v>
      </c>
      <c r="V3228" s="24" t="str">
        <f>HYPERLINK("https://znanium.ru/catalog/product/2124343", "Ознакомиться")</f>
        <v>Ознакомиться</v>
      </c>
      <c r="W3228" s="8" t="s">
        <v>2988</v>
      </c>
      <c r="X3228" s="6"/>
      <c r="Y3228" s="6"/>
      <c r="Z3228" s="6"/>
      <c r="AA3228" s="6" t="s">
        <v>654</v>
      </c>
      <c r="AB3228" s="8"/>
    </row>
    <row r="3229" spans="1:28" s="4" customFormat="1" ht="51.95" customHeight="1">
      <c r="A3229" s="5">
        <v>0</v>
      </c>
      <c r="B3229" s="6" t="s">
        <v>19404</v>
      </c>
      <c r="C3229" s="13">
        <v>1490</v>
      </c>
      <c r="D3229" s="8" t="s">
        <v>19405</v>
      </c>
      <c r="E3229" s="8" t="s">
        <v>19399</v>
      </c>
      <c r="F3229" s="8" t="s">
        <v>19406</v>
      </c>
      <c r="G3229" s="6" t="s">
        <v>89</v>
      </c>
      <c r="H3229" s="6" t="s">
        <v>53</v>
      </c>
      <c r="I3229" s="8" t="s">
        <v>100</v>
      </c>
      <c r="J3229" s="9">
        <v>1</v>
      </c>
      <c r="K3229" s="9">
        <v>297</v>
      </c>
      <c r="L3229" s="9">
        <v>2025</v>
      </c>
      <c r="M3229" s="8" t="s">
        <v>19407</v>
      </c>
      <c r="N3229" s="8" t="s">
        <v>41</v>
      </c>
      <c r="O3229" s="8" t="s">
        <v>118</v>
      </c>
      <c r="P3229" s="6" t="s">
        <v>43</v>
      </c>
      <c r="Q3229" s="8" t="s">
        <v>102</v>
      </c>
      <c r="R3229" s="10" t="s">
        <v>19408</v>
      </c>
      <c r="S3229" s="11"/>
      <c r="T3229" s="6" t="s">
        <v>299</v>
      </c>
      <c r="U3229" s="24" t="str">
        <f>HYPERLINK("https://media.infra-m.ru/2174/2174462/cover/2174462.jpg", "Обложка")</f>
        <v>Обложка</v>
      </c>
      <c r="V3229" s="24" t="str">
        <f>HYPERLINK("https://znanium.ru/catalog/product/2174462", "Ознакомиться")</f>
        <v>Ознакомиться</v>
      </c>
      <c r="W3229" s="8" t="s">
        <v>1358</v>
      </c>
      <c r="X3229" s="6"/>
      <c r="Y3229" s="6"/>
      <c r="Z3229" s="6" t="s">
        <v>502</v>
      </c>
      <c r="AA3229" s="6" t="s">
        <v>133</v>
      </c>
      <c r="AB3229" s="8"/>
    </row>
    <row r="3230" spans="1:28" s="4" customFormat="1" ht="51.95" customHeight="1">
      <c r="A3230" s="5">
        <v>0</v>
      </c>
      <c r="B3230" s="6" t="s">
        <v>19409</v>
      </c>
      <c r="C3230" s="13">
        <v>1380</v>
      </c>
      <c r="D3230" s="8" t="s">
        <v>19410</v>
      </c>
      <c r="E3230" s="8" t="s">
        <v>19399</v>
      </c>
      <c r="F3230" s="8" t="s">
        <v>19406</v>
      </c>
      <c r="G3230" s="6" t="s">
        <v>89</v>
      </c>
      <c r="H3230" s="6" t="s">
        <v>53</v>
      </c>
      <c r="I3230" s="8" t="s">
        <v>116</v>
      </c>
      <c r="J3230" s="9">
        <v>1</v>
      </c>
      <c r="K3230" s="9">
        <v>297</v>
      </c>
      <c r="L3230" s="9">
        <v>2024</v>
      </c>
      <c r="M3230" s="8" t="s">
        <v>19411</v>
      </c>
      <c r="N3230" s="8" t="s">
        <v>41</v>
      </c>
      <c r="O3230" s="8" t="s">
        <v>118</v>
      </c>
      <c r="P3230" s="6" t="s">
        <v>43</v>
      </c>
      <c r="Q3230" s="8" t="s">
        <v>58</v>
      </c>
      <c r="R3230" s="10" t="s">
        <v>19412</v>
      </c>
      <c r="S3230" s="11" t="s">
        <v>19413</v>
      </c>
      <c r="T3230" s="6" t="s">
        <v>299</v>
      </c>
      <c r="U3230" s="24" t="str">
        <f>HYPERLINK("https://media.infra-m.ru/2048/2048912/cover/2048912.jpg", "Обложка")</f>
        <v>Обложка</v>
      </c>
      <c r="V3230" s="24" t="str">
        <f>HYPERLINK("https://znanium.ru/catalog/product/2048912", "Ознакомиться")</f>
        <v>Ознакомиться</v>
      </c>
      <c r="W3230" s="8" t="s">
        <v>1358</v>
      </c>
      <c r="X3230" s="6"/>
      <c r="Y3230" s="6"/>
      <c r="Z3230" s="6"/>
      <c r="AA3230" s="6" t="s">
        <v>442</v>
      </c>
      <c r="AB3230" s="8"/>
    </row>
    <row r="3231" spans="1:28" s="4" customFormat="1" ht="51.95" customHeight="1">
      <c r="A3231" s="5">
        <v>0</v>
      </c>
      <c r="B3231" s="6" t="s">
        <v>19414</v>
      </c>
      <c r="C3231" s="13">
        <v>2240</v>
      </c>
      <c r="D3231" s="8" t="s">
        <v>19415</v>
      </c>
      <c r="E3231" s="8" t="s">
        <v>19416</v>
      </c>
      <c r="F3231" s="8" t="s">
        <v>19417</v>
      </c>
      <c r="G3231" s="6" t="s">
        <v>52</v>
      </c>
      <c r="H3231" s="6" t="s">
        <v>674</v>
      </c>
      <c r="I3231" s="8"/>
      <c r="J3231" s="9">
        <v>1</v>
      </c>
      <c r="K3231" s="9">
        <v>456</v>
      </c>
      <c r="L3231" s="9">
        <v>2025</v>
      </c>
      <c r="M3231" s="8" t="s">
        <v>19418</v>
      </c>
      <c r="N3231" s="8" t="s">
        <v>41</v>
      </c>
      <c r="O3231" s="8" t="s">
        <v>676</v>
      </c>
      <c r="P3231" s="6" t="s">
        <v>167</v>
      </c>
      <c r="Q3231" s="8" t="s">
        <v>44</v>
      </c>
      <c r="R3231" s="10" t="s">
        <v>19419</v>
      </c>
      <c r="S3231" s="11"/>
      <c r="T3231" s="6"/>
      <c r="U3231" s="24" t="str">
        <f>HYPERLINK("https://media.infra-m.ru/2162/2162249/cover/2162249.jpg", "Обложка")</f>
        <v>Обложка</v>
      </c>
      <c r="V3231" s="24" t="str">
        <f>HYPERLINK("https://znanium.ru/catalog/product/2162249", "Ознакомиться")</f>
        <v>Ознакомиться</v>
      </c>
      <c r="W3231" s="8" t="s">
        <v>792</v>
      </c>
      <c r="X3231" s="6" t="s">
        <v>1049</v>
      </c>
      <c r="Y3231" s="6"/>
      <c r="Z3231" s="6"/>
      <c r="AA3231" s="6" t="s">
        <v>61</v>
      </c>
      <c r="AB3231" s="8"/>
    </row>
    <row r="3232" spans="1:28" s="4" customFormat="1" ht="51.95" customHeight="1">
      <c r="A3232" s="5">
        <v>0</v>
      </c>
      <c r="B3232" s="6" t="s">
        <v>19420</v>
      </c>
      <c r="C3232" s="7">
        <v>880</v>
      </c>
      <c r="D3232" s="8" t="s">
        <v>19421</v>
      </c>
      <c r="E3232" s="8" t="s">
        <v>19422</v>
      </c>
      <c r="F3232" s="8" t="s">
        <v>19423</v>
      </c>
      <c r="G3232" s="6" t="s">
        <v>89</v>
      </c>
      <c r="H3232" s="6" t="s">
        <v>53</v>
      </c>
      <c r="I3232" s="8" t="s">
        <v>116</v>
      </c>
      <c r="J3232" s="9">
        <v>1</v>
      </c>
      <c r="K3232" s="9">
        <v>158</v>
      </c>
      <c r="L3232" s="9">
        <v>2025</v>
      </c>
      <c r="M3232" s="8" t="s">
        <v>19424</v>
      </c>
      <c r="N3232" s="8" t="s">
        <v>79</v>
      </c>
      <c r="O3232" s="8" t="s">
        <v>396</v>
      </c>
      <c r="P3232" s="6" t="s">
        <v>43</v>
      </c>
      <c r="Q3232" s="8" t="s">
        <v>58</v>
      </c>
      <c r="R3232" s="10" t="s">
        <v>19425</v>
      </c>
      <c r="S3232" s="11" t="s">
        <v>19426</v>
      </c>
      <c r="T3232" s="6"/>
      <c r="U3232" s="24" t="str">
        <f>HYPERLINK("https://media.infra-m.ru/2179/2179481/cover/2179481.jpg", "Обложка")</f>
        <v>Обложка</v>
      </c>
      <c r="V3232" s="24" t="str">
        <f>HYPERLINK("https://znanium.ru/catalog/product/2179481", "Ознакомиться")</f>
        <v>Ознакомиться</v>
      </c>
      <c r="W3232" s="8" t="s">
        <v>1563</v>
      </c>
      <c r="X3232" s="6"/>
      <c r="Y3232" s="6"/>
      <c r="Z3232" s="6"/>
      <c r="AA3232" s="6" t="s">
        <v>95</v>
      </c>
      <c r="AB3232" s="8"/>
    </row>
    <row r="3233" spans="1:28" s="4" customFormat="1" ht="51.95" customHeight="1">
      <c r="A3233" s="5">
        <v>0</v>
      </c>
      <c r="B3233" s="6" t="s">
        <v>19427</v>
      </c>
      <c r="C3233" s="7">
        <v>570</v>
      </c>
      <c r="D3233" s="8" t="s">
        <v>19428</v>
      </c>
      <c r="E3233" s="8" t="s">
        <v>19429</v>
      </c>
      <c r="F3233" s="8" t="s">
        <v>19423</v>
      </c>
      <c r="G3233" s="6" t="s">
        <v>38</v>
      </c>
      <c r="H3233" s="6" t="s">
        <v>39</v>
      </c>
      <c r="I3233" s="8" t="s">
        <v>116</v>
      </c>
      <c r="J3233" s="9">
        <v>1</v>
      </c>
      <c r="K3233" s="9">
        <v>128</v>
      </c>
      <c r="L3233" s="9">
        <v>2020</v>
      </c>
      <c r="M3233" s="8" t="s">
        <v>19430</v>
      </c>
      <c r="N3233" s="8" t="s">
        <v>79</v>
      </c>
      <c r="O3233" s="8" t="s">
        <v>424</v>
      </c>
      <c r="P3233" s="6" t="s">
        <v>43</v>
      </c>
      <c r="Q3233" s="8" t="s">
        <v>44</v>
      </c>
      <c r="R3233" s="10" t="s">
        <v>19425</v>
      </c>
      <c r="S3233" s="11" t="s">
        <v>19431</v>
      </c>
      <c r="T3233" s="6"/>
      <c r="U3233" s="24" t="str">
        <f>HYPERLINK("https://media.infra-m.ru/1052/1052189/cover/1052189.jpg", "Обложка")</f>
        <v>Обложка</v>
      </c>
      <c r="V3233" s="24" t="str">
        <f>HYPERLINK("https://znanium.ru/catalog/product/2179481", "Ознакомиться")</f>
        <v>Ознакомиться</v>
      </c>
      <c r="W3233" s="8" t="s">
        <v>1563</v>
      </c>
      <c r="X3233" s="6"/>
      <c r="Y3233" s="6"/>
      <c r="Z3233" s="6"/>
      <c r="AA3233" s="6" t="s">
        <v>418</v>
      </c>
      <c r="AB3233" s="8"/>
    </row>
    <row r="3234" spans="1:28" s="4" customFormat="1" ht="51.95" customHeight="1">
      <c r="A3234" s="5">
        <v>0</v>
      </c>
      <c r="B3234" s="6" t="s">
        <v>19432</v>
      </c>
      <c r="C3234" s="13">
        <v>1250</v>
      </c>
      <c r="D3234" s="8" t="s">
        <v>19433</v>
      </c>
      <c r="E3234" s="8" t="s">
        <v>19434</v>
      </c>
      <c r="F3234" s="8" t="s">
        <v>19435</v>
      </c>
      <c r="G3234" s="6" t="s">
        <v>89</v>
      </c>
      <c r="H3234" s="6" t="s">
        <v>53</v>
      </c>
      <c r="I3234" s="8" t="s">
        <v>100</v>
      </c>
      <c r="J3234" s="9">
        <v>1</v>
      </c>
      <c r="K3234" s="9">
        <v>272</v>
      </c>
      <c r="L3234" s="9">
        <v>2024</v>
      </c>
      <c r="M3234" s="8" t="s">
        <v>19436</v>
      </c>
      <c r="N3234" s="8" t="s">
        <v>79</v>
      </c>
      <c r="O3234" s="8" t="s">
        <v>148</v>
      </c>
      <c r="P3234" s="6" t="s">
        <v>167</v>
      </c>
      <c r="Q3234" s="8" t="s">
        <v>102</v>
      </c>
      <c r="R3234" s="10" t="s">
        <v>19437</v>
      </c>
      <c r="S3234" s="11" t="s">
        <v>19438</v>
      </c>
      <c r="T3234" s="6"/>
      <c r="U3234" s="24" t="str">
        <f>HYPERLINK("https://media.infra-m.ru/2103/2103210/cover/2103210.jpg", "Обложка")</f>
        <v>Обложка</v>
      </c>
      <c r="V3234" s="24" t="str">
        <f>HYPERLINK("https://znanium.ru/catalog/product/2103210", "Ознакомиться")</f>
        <v>Ознакомиться</v>
      </c>
      <c r="W3234" s="8" t="s">
        <v>71</v>
      </c>
      <c r="X3234" s="6"/>
      <c r="Y3234" s="6" t="s">
        <v>30</v>
      </c>
      <c r="Z3234" s="6"/>
      <c r="AA3234" s="6" t="s">
        <v>47</v>
      </c>
      <c r="AB3234" s="8"/>
    </row>
    <row r="3235" spans="1:28" s="4" customFormat="1" ht="44.1" customHeight="1">
      <c r="A3235" s="5">
        <v>0</v>
      </c>
      <c r="B3235" s="6" t="s">
        <v>19439</v>
      </c>
      <c r="C3235" s="13">
        <v>1800</v>
      </c>
      <c r="D3235" s="8" t="s">
        <v>19440</v>
      </c>
      <c r="E3235" s="8" t="s">
        <v>19441</v>
      </c>
      <c r="F3235" s="8" t="s">
        <v>19442</v>
      </c>
      <c r="G3235" s="6" t="s">
        <v>89</v>
      </c>
      <c r="H3235" s="6" t="s">
        <v>53</v>
      </c>
      <c r="I3235" s="8" t="s">
        <v>116</v>
      </c>
      <c r="J3235" s="9">
        <v>1</v>
      </c>
      <c r="K3235" s="9">
        <v>390</v>
      </c>
      <c r="L3235" s="9">
        <v>2023</v>
      </c>
      <c r="M3235" s="8" t="s">
        <v>19443</v>
      </c>
      <c r="N3235" s="8" t="s">
        <v>997</v>
      </c>
      <c r="O3235" s="8" t="s">
        <v>998</v>
      </c>
      <c r="P3235" s="6" t="s">
        <v>43</v>
      </c>
      <c r="Q3235" s="8" t="s">
        <v>58</v>
      </c>
      <c r="R3235" s="10" t="s">
        <v>19444</v>
      </c>
      <c r="S3235" s="11"/>
      <c r="T3235" s="6"/>
      <c r="U3235" s="24" t="str">
        <f>HYPERLINK("https://media.infra-m.ru/2043/2043316/cover/2043316.jpg", "Обложка")</f>
        <v>Обложка</v>
      </c>
      <c r="V3235" s="24" t="str">
        <f>HYPERLINK("https://znanium.ru/catalog/product/2043316", "Ознакомиться")</f>
        <v>Ознакомиться</v>
      </c>
      <c r="W3235" s="8" t="s">
        <v>9167</v>
      </c>
      <c r="X3235" s="6"/>
      <c r="Y3235" s="6"/>
      <c r="Z3235" s="6"/>
      <c r="AA3235" s="6" t="s">
        <v>418</v>
      </c>
      <c r="AB3235" s="8"/>
    </row>
    <row r="3236" spans="1:28" s="4" customFormat="1" ht="51.95" customHeight="1">
      <c r="A3236" s="5">
        <v>0</v>
      </c>
      <c r="B3236" s="6" t="s">
        <v>19445</v>
      </c>
      <c r="C3236" s="13">
        <v>1094</v>
      </c>
      <c r="D3236" s="8" t="s">
        <v>19446</v>
      </c>
      <c r="E3236" s="8" t="s">
        <v>19447</v>
      </c>
      <c r="F3236" s="8" t="s">
        <v>19448</v>
      </c>
      <c r="G3236" s="6" t="s">
        <v>52</v>
      </c>
      <c r="H3236" s="6" t="s">
        <v>66</v>
      </c>
      <c r="I3236" s="8" t="s">
        <v>116</v>
      </c>
      <c r="J3236" s="9">
        <v>1</v>
      </c>
      <c r="K3236" s="9">
        <v>239</v>
      </c>
      <c r="L3236" s="9">
        <v>2024</v>
      </c>
      <c r="M3236" s="8" t="s">
        <v>19449</v>
      </c>
      <c r="N3236" s="8" t="s">
        <v>41</v>
      </c>
      <c r="O3236" s="8" t="s">
        <v>1204</v>
      </c>
      <c r="P3236" s="6" t="s">
        <v>43</v>
      </c>
      <c r="Q3236" s="8" t="s">
        <v>44</v>
      </c>
      <c r="R3236" s="10" t="s">
        <v>14767</v>
      </c>
      <c r="S3236" s="11" t="s">
        <v>19450</v>
      </c>
      <c r="T3236" s="6"/>
      <c r="U3236" s="24" t="str">
        <f>HYPERLINK("https://media.infra-m.ru/2126/2126308/cover/2126308.jpg", "Обложка")</f>
        <v>Обложка</v>
      </c>
      <c r="V3236" s="24" t="str">
        <f>HYPERLINK("https://znanium.ru/catalog/product/1280630", "Ознакомиться")</f>
        <v>Ознакомиться</v>
      </c>
      <c r="W3236" s="8" t="s">
        <v>354</v>
      </c>
      <c r="X3236" s="6"/>
      <c r="Y3236" s="6"/>
      <c r="Z3236" s="6"/>
      <c r="AA3236" s="6" t="s">
        <v>2217</v>
      </c>
      <c r="AB3236" s="8"/>
    </row>
    <row r="3237" spans="1:28" s="4" customFormat="1" ht="51.95" customHeight="1">
      <c r="A3237" s="5">
        <v>0</v>
      </c>
      <c r="B3237" s="6" t="s">
        <v>19451</v>
      </c>
      <c r="C3237" s="7">
        <v>390</v>
      </c>
      <c r="D3237" s="8" t="s">
        <v>19452</v>
      </c>
      <c r="E3237" s="8" t="s">
        <v>19453</v>
      </c>
      <c r="F3237" s="8" t="s">
        <v>19454</v>
      </c>
      <c r="G3237" s="6" t="s">
        <v>38</v>
      </c>
      <c r="H3237" s="6" t="s">
        <v>53</v>
      </c>
      <c r="I3237" s="8" t="s">
        <v>90</v>
      </c>
      <c r="J3237" s="9">
        <v>1</v>
      </c>
      <c r="K3237" s="9">
        <v>127</v>
      </c>
      <c r="L3237" s="9">
        <v>2019</v>
      </c>
      <c r="M3237" s="8" t="s">
        <v>19455</v>
      </c>
      <c r="N3237" s="8" t="s">
        <v>79</v>
      </c>
      <c r="O3237" s="8" t="s">
        <v>148</v>
      </c>
      <c r="P3237" s="6" t="s">
        <v>43</v>
      </c>
      <c r="Q3237" s="8" t="s">
        <v>44</v>
      </c>
      <c r="R3237" s="10" t="s">
        <v>19456</v>
      </c>
      <c r="S3237" s="11" t="s">
        <v>19457</v>
      </c>
      <c r="T3237" s="6"/>
      <c r="U3237" s="24" t="str">
        <f>HYPERLINK("https://media.infra-m.ru/0995/0995625/cover/995625.jpg", "Обложка")</f>
        <v>Обложка</v>
      </c>
      <c r="V3237" s="24" t="str">
        <f>HYPERLINK("https://znanium.ru/catalog/product/1882575", "Ознакомиться")</f>
        <v>Ознакомиться</v>
      </c>
      <c r="W3237" s="8" t="s">
        <v>450</v>
      </c>
      <c r="X3237" s="6"/>
      <c r="Y3237" s="6"/>
      <c r="Z3237" s="6"/>
      <c r="AA3237" s="6" t="s">
        <v>111</v>
      </c>
      <c r="AB3237" s="8"/>
    </row>
    <row r="3238" spans="1:28" s="4" customFormat="1" ht="42" customHeight="1">
      <c r="A3238" s="5">
        <v>0</v>
      </c>
      <c r="B3238" s="6" t="s">
        <v>19458</v>
      </c>
      <c r="C3238" s="7">
        <v>734</v>
      </c>
      <c r="D3238" s="8" t="s">
        <v>19459</v>
      </c>
      <c r="E3238" s="8" t="s">
        <v>19460</v>
      </c>
      <c r="F3238" s="8" t="s">
        <v>19454</v>
      </c>
      <c r="G3238" s="6" t="s">
        <v>52</v>
      </c>
      <c r="H3238" s="6" t="s">
        <v>53</v>
      </c>
      <c r="I3238" s="8" t="s">
        <v>116</v>
      </c>
      <c r="J3238" s="9">
        <v>1</v>
      </c>
      <c r="K3238" s="9">
        <v>140</v>
      </c>
      <c r="L3238" s="9">
        <v>2025</v>
      </c>
      <c r="M3238" s="8" t="s">
        <v>19461</v>
      </c>
      <c r="N3238" s="8" t="s">
        <v>79</v>
      </c>
      <c r="O3238" s="8" t="s">
        <v>148</v>
      </c>
      <c r="P3238" s="6" t="s">
        <v>43</v>
      </c>
      <c r="Q3238" s="8" t="s">
        <v>44</v>
      </c>
      <c r="R3238" s="10" t="s">
        <v>19456</v>
      </c>
      <c r="S3238" s="11"/>
      <c r="T3238" s="6"/>
      <c r="U3238" s="24" t="str">
        <f>HYPERLINK("https://media.infra-m.ru/2194/2194377/cover/2194377.jpg", "Обложка")</f>
        <v>Обложка</v>
      </c>
      <c r="V3238" s="24" t="str">
        <f>HYPERLINK("https://znanium.ru/catalog/product/1882575", "Ознакомиться")</f>
        <v>Ознакомиться</v>
      </c>
      <c r="W3238" s="8" t="s">
        <v>450</v>
      </c>
      <c r="X3238" s="6"/>
      <c r="Y3238" s="6"/>
      <c r="Z3238" s="6"/>
      <c r="AA3238" s="6" t="s">
        <v>813</v>
      </c>
      <c r="AB3238" s="8"/>
    </row>
    <row r="3239" spans="1:28" s="4" customFormat="1" ht="51.95" customHeight="1">
      <c r="A3239" s="5">
        <v>0</v>
      </c>
      <c r="B3239" s="6" t="s">
        <v>19462</v>
      </c>
      <c r="C3239" s="13">
        <v>1244</v>
      </c>
      <c r="D3239" s="8" t="s">
        <v>19463</v>
      </c>
      <c r="E3239" s="8" t="s">
        <v>19464</v>
      </c>
      <c r="F3239" s="8" t="s">
        <v>19465</v>
      </c>
      <c r="G3239" s="6" t="s">
        <v>89</v>
      </c>
      <c r="H3239" s="6" t="s">
        <v>53</v>
      </c>
      <c r="I3239" s="8" t="s">
        <v>90</v>
      </c>
      <c r="J3239" s="9">
        <v>1</v>
      </c>
      <c r="K3239" s="9">
        <v>248</v>
      </c>
      <c r="L3239" s="9">
        <v>2025</v>
      </c>
      <c r="M3239" s="8" t="s">
        <v>19466</v>
      </c>
      <c r="N3239" s="8" t="s">
        <v>79</v>
      </c>
      <c r="O3239" s="8" t="s">
        <v>148</v>
      </c>
      <c r="P3239" s="6" t="s">
        <v>43</v>
      </c>
      <c r="Q3239" s="8" t="s">
        <v>44</v>
      </c>
      <c r="R3239" s="10" t="s">
        <v>9909</v>
      </c>
      <c r="S3239" s="11" t="s">
        <v>19467</v>
      </c>
      <c r="T3239" s="6"/>
      <c r="U3239" s="24" t="str">
        <f>HYPERLINK("https://media.infra-m.ru/2192/2192225/cover/2192225.jpg", "Обложка")</f>
        <v>Обложка</v>
      </c>
      <c r="V3239" s="24" t="str">
        <f>HYPERLINK("https://znanium.ru/catalog/product/1862056", "Ознакомиться")</f>
        <v>Ознакомиться</v>
      </c>
      <c r="W3239" s="8" t="s">
        <v>3201</v>
      </c>
      <c r="X3239" s="6"/>
      <c r="Y3239" s="6"/>
      <c r="Z3239" s="6"/>
      <c r="AA3239" s="6" t="s">
        <v>196</v>
      </c>
      <c r="AB3239" s="8"/>
    </row>
    <row r="3240" spans="1:28" s="4" customFormat="1" ht="51.95" customHeight="1">
      <c r="A3240" s="5">
        <v>0</v>
      </c>
      <c r="B3240" s="6" t="s">
        <v>19468</v>
      </c>
      <c r="C3240" s="13">
        <v>1140</v>
      </c>
      <c r="D3240" s="8" t="s">
        <v>19469</v>
      </c>
      <c r="E3240" s="8" t="s">
        <v>19470</v>
      </c>
      <c r="F3240" s="8" t="s">
        <v>3130</v>
      </c>
      <c r="G3240" s="6" t="s">
        <v>89</v>
      </c>
      <c r="H3240" s="6" t="s">
        <v>649</v>
      </c>
      <c r="I3240" s="8" t="s">
        <v>116</v>
      </c>
      <c r="J3240" s="9">
        <v>1</v>
      </c>
      <c r="K3240" s="9">
        <v>221</v>
      </c>
      <c r="L3240" s="9">
        <v>2025</v>
      </c>
      <c r="M3240" s="8" t="s">
        <v>19471</v>
      </c>
      <c r="N3240" s="8" t="s">
        <v>413</v>
      </c>
      <c r="O3240" s="8" t="s">
        <v>1584</v>
      </c>
      <c r="P3240" s="6" t="s">
        <v>43</v>
      </c>
      <c r="Q3240" s="8" t="s">
        <v>44</v>
      </c>
      <c r="R3240" s="10" t="s">
        <v>19472</v>
      </c>
      <c r="S3240" s="11" t="s">
        <v>19473</v>
      </c>
      <c r="T3240" s="6"/>
      <c r="U3240" s="24" t="str">
        <f>HYPERLINK("https://media.infra-m.ru/2173/2173239/cover/2173239.jpg", "Обложка")</f>
        <v>Обложка</v>
      </c>
      <c r="V3240" s="24" t="str">
        <f>HYPERLINK("https://znanium.ru/catalog/product/2173239", "Ознакомиться")</f>
        <v>Ознакомиться</v>
      </c>
      <c r="W3240" s="8" t="s">
        <v>399</v>
      </c>
      <c r="X3240" s="6"/>
      <c r="Y3240" s="6"/>
      <c r="Z3240" s="6"/>
      <c r="AA3240" s="6" t="s">
        <v>111</v>
      </c>
      <c r="AB3240" s="8"/>
    </row>
    <row r="3241" spans="1:28" s="4" customFormat="1" ht="51.95" customHeight="1">
      <c r="A3241" s="5">
        <v>0</v>
      </c>
      <c r="B3241" s="6" t="s">
        <v>19474</v>
      </c>
      <c r="C3241" s="13">
        <v>1730</v>
      </c>
      <c r="D3241" s="8" t="s">
        <v>19475</v>
      </c>
      <c r="E3241" s="8" t="s">
        <v>19476</v>
      </c>
      <c r="F3241" s="8" t="s">
        <v>19477</v>
      </c>
      <c r="G3241" s="6" t="s">
        <v>89</v>
      </c>
      <c r="H3241" s="6" t="s">
        <v>649</v>
      </c>
      <c r="I3241" s="8" t="s">
        <v>116</v>
      </c>
      <c r="J3241" s="9">
        <v>1</v>
      </c>
      <c r="K3241" s="9">
        <v>384</v>
      </c>
      <c r="L3241" s="9">
        <v>2024</v>
      </c>
      <c r="M3241" s="8" t="s">
        <v>19478</v>
      </c>
      <c r="N3241" s="8" t="s">
        <v>79</v>
      </c>
      <c r="O3241" s="8" t="s">
        <v>396</v>
      </c>
      <c r="P3241" s="6" t="s">
        <v>167</v>
      </c>
      <c r="Q3241" s="8" t="s">
        <v>44</v>
      </c>
      <c r="R3241" s="10" t="s">
        <v>19479</v>
      </c>
      <c r="S3241" s="11" t="s">
        <v>19480</v>
      </c>
      <c r="T3241" s="6"/>
      <c r="U3241" s="24" t="str">
        <f>HYPERLINK("https://media.infra-m.ru/2056/2056659/cover/2056659.jpg", "Обложка")</f>
        <v>Обложка</v>
      </c>
      <c r="V3241" s="24" t="str">
        <f>HYPERLINK("https://znanium.ru/catalog/product/2056659", "Ознакомиться")</f>
        <v>Ознакомиться</v>
      </c>
      <c r="W3241" s="8" t="s">
        <v>189</v>
      </c>
      <c r="X3241" s="6"/>
      <c r="Y3241" s="6"/>
      <c r="Z3241" s="6"/>
      <c r="AA3241" s="6" t="s">
        <v>887</v>
      </c>
      <c r="AB3241" s="8"/>
    </row>
    <row r="3242" spans="1:28" s="4" customFormat="1" ht="51.95" customHeight="1">
      <c r="A3242" s="5">
        <v>0</v>
      </c>
      <c r="B3242" s="6" t="s">
        <v>19481</v>
      </c>
      <c r="C3242" s="13">
        <v>1920</v>
      </c>
      <c r="D3242" s="8" t="s">
        <v>19482</v>
      </c>
      <c r="E3242" s="8" t="s">
        <v>19476</v>
      </c>
      <c r="F3242" s="8" t="s">
        <v>19477</v>
      </c>
      <c r="G3242" s="6" t="s">
        <v>89</v>
      </c>
      <c r="H3242" s="6" t="s">
        <v>649</v>
      </c>
      <c r="I3242" s="8" t="s">
        <v>100</v>
      </c>
      <c r="J3242" s="9">
        <v>1</v>
      </c>
      <c r="K3242" s="9">
        <v>384</v>
      </c>
      <c r="L3242" s="9">
        <v>2024</v>
      </c>
      <c r="M3242" s="8" t="s">
        <v>19483</v>
      </c>
      <c r="N3242" s="8" t="s">
        <v>79</v>
      </c>
      <c r="O3242" s="8" t="s">
        <v>396</v>
      </c>
      <c r="P3242" s="6" t="s">
        <v>167</v>
      </c>
      <c r="Q3242" s="8" t="s">
        <v>102</v>
      </c>
      <c r="R3242" s="10" t="s">
        <v>19484</v>
      </c>
      <c r="S3242" s="11" t="s">
        <v>19485</v>
      </c>
      <c r="T3242" s="6"/>
      <c r="U3242" s="24" t="str">
        <f>HYPERLINK("https://media.infra-m.ru/2155/2155296/cover/2155296.jpg", "Обложка")</f>
        <v>Обложка</v>
      </c>
      <c r="V3242" s="24" t="str">
        <f>HYPERLINK("https://znanium.ru/catalog/product/2155296", "Ознакомиться")</f>
        <v>Ознакомиться</v>
      </c>
      <c r="W3242" s="8" t="s">
        <v>189</v>
      </c>
      <c r="X3242" s="6"/>
      <c r="Y3242" s="6"/>
      <c r="Z3242" s="6" t="s">
        <v>104</v>
      </c>
      <c r="AA3242" s="6" t="s">
        <v>5769</v>
      </c>
      <c r="AB3242" s="8"/>
    </row>
    <row r="3243" spans="1:28" s="4" customFormat="1" ht="51.95" customHeight="1">
      <c r="A3243" s="5">
        <v>0</v>
      </c>
      <c r="B3243" s="6" t="s">
        <v>19486</v>
      </c>
      <c r="C3243" s="13">
        <v>1000</v>
      </c>
      <c r="D3243" s="8" t="s">
        <v>19487</v>
      </c>
      <c r="E3243" s="8" t="s">
        <v>19488</v>
      </c>
      <c r="F3243" s="8" t="s">
        <v>19489</v>
      </c>
      <c r="G3243" s="6" t="s">
        <v>89</v>
      </c>
      <c r="H3243" s="6" t="s">
        <v>53</v>
      </c>
      <c r="I3243" s="8" t="s">
        <v>116</v>
      </c>
      <c r="J3243" s="9">
        <v>1</v>
      </c>
      <c r="K3243" s="9">
        <v>199</v>
      </c>
      <c r="L3243" s="9">
        <v>2025</v>
      </c>
      <c r="M3243" s="8" t="s">
        <v>19490</v>
      </c>
      <c r="N3243" s="8" t="s">
        <v>79</v>
      </c>
      <c r="O3243" s="8" t="s">
        <v>80</v>
      </c>
      <c r="P3243" s="6" t="s">
        <v>43</v>
      </c>
      <c r="Q3243" s="8" t="s">
        <v>44</v>
      </c>
      <c r="R3243" s="10" t="s">
        <v>19491</v>
      </c>
      <c r="S3243" s="11" t="s">
        <v>19492</v>
      </c>
      <c r="T3243" s="6"/>
      <c r="U3243" s="24" t="str">
        <f>HYPERLINK("https://media.infra-m.ru/2168/2168379/cover/2168379.jpg", "Обложка")</f>
        <v>Обложка</v>
      </c>
      <c r="V3243" s="24" t="str">
        <f>HYPERLINK("https://znanium.ru/catalog/product/2168379", "Ознакомиться")</f>
        <v>Ознакомиться</v>
      </c>
      <c r="W3243" s="8" t="s">
        <v>1514</v>
      </c>
      <c r="X3243" s="6"/>
      <c r="Y3243" s="6"/>
      <c r="Z3243" s="6"/>
      <c r="AA3243" s="6" t="s">
        <v>160</v>
      </c>
      <c r="AB3243" s="8"/>
    </row>
    <row r="3244" spans="1:28" s="4" customFormat="1" ht="51.95" customHeight="1">
      <c r="A3244" s="5">
        <v>0</v>
      </c>
      <c r="B3244" s="6" t="s">
        <v>19493</v>
      </c>
      <c r="C3244" s="13">
        <v>1130</v>
      </c>
      <c r="D3244" s="8" t="s">
        <v>19494</v>
      </c>
      <c r="E3244" s="8" t="s">
        <v>19495</v>
      </c>
      <c r="F3244" s="8" t="s">
        <v>19496</v>
      </c>
      <c r="G3244" s="6" t="s">
        <v>52</v>
      </c>
      <c r="H3244" s="6" t="s">
        <v>53</v>
      </c>
      <c r="I3244" s="8" t="s">
        <v>712</v>
      </c>
      <c r="J3244" s="9">
        <v>1</v>
      </c>
      <c r="K3244" s="9">
        <v>251</v>
      </c>
      <c r="L3244" s="9">
        <v>2023</v>
      </c>
      <c r="M3244" s="8" t="s">
        <v>19497</v>
      </c>
      <c r="N3244" s="8" t="s">
        <v>79</v>
      </c>
      <c r="O3244" s="8" t="s">
        <v>396</v>
      </c>
      <c r="P3244" s="6" t="s">
        <v>43</v>
      </c>
      <c r="Q3244" s="8" t="s">
        <v>44</v>
      </c>
      <c r="R3244" s="10" t="s">
        <v>5343</v>
      </c>
      <c r="S3244" s="11" t="s">
        <v>19498</v>
      </c>
      <c r="T3244" s="6"/>
      <c r="U3244" s="24" t="str">
        <f>HYPERLINK("https://media.infra-m.ru/1937/1937179/cover/1937179.jpg", "Обложка")</f>
        <v>Обложка</v>
      </c>
      <c r="V3244" s="24" t="str">
        <f>HYPERLINK("https://znanium.ru/catalog/product/1937179", "Ознакомиться")</f>
        <v>Ознакомиться</v>
      </c>
      <c r="W3244" s="8" t="s">
        <v>716</v>
      </c>
      <c r="X3244" s="6"/>
      <c r="Y3244" s="6"/>
      <c r="Z3244" s="6"/>
      <c r="AA3244" s="6" t="s">
        <v>207</v>
      </c>
      <c r="AB3244" s="8"/>
    </row>
    <row r="3245" spans="1:28" s="4" customFormat="1" ht="42" customHeight="1">
      <c r="A3245" s="5">
        <v>0</v>
      </c>
      <c r="B3245" s="6" t="s">
        <v>19499</v>
      </c>
      <c r="C3245" s="13">
        <v>1490</v>
      </c>
      <c r="D3245" s="8" t="s">
        <v>19500</v>
      </c>
      <c r="E3245" s="8" t="s">
        <v>19501</v>
      </c>
      <c r="F3245" s="8" t="s">
        <v>19502</v>
      </c>
      <c r="G3245" s="6" t="s">
        <v>89</v>
      </c>
      <c r="H3245" s="6" t="s">
        <v>184</v>
      </c>
      <c r="I3245" s="8" t="s">
        <v>116</v>
      </c>
      <c r="J3245" s="9">
        <v>1</v>
      </c>
      <c r="K3245" s="9">
        <v>298</v>
      </c>
      <c r="L3245" s="9">
        <v>2024</v>
      </c>
      <c r="M3245" s="8" t="s">
        <v>19503</v>
      </c>
      <c r="N3245" s="8" t="s">
        <v>413</v>
      </c>
      <c r="O3245" s="8" t="s">
        <v>2771</v>
      </c>
      <c r="P3245" s="6" t="s">
        <v>43</v>
      </c>
      <c r="Q3245" s="8" t="s">
        <v>1047</v>
      </c>
      <c r="R3245" s="10" t="s">
        <v>18163</v>
      </c>
      <c r="S3245" s="11"/>
      <c r="T3245" s="6" t="s">
        <v>299</v>
      </c>
      <c r="U3245" s="24" t="str">
        <f>HYPERLINK("https://media.infra-m.ru/2142/2142822/cover/2142822.jpg", "Обложка")</f>
        <v>Обложка</v>
      </c>
      <c r="V3245" s="24" t="str">
        <f>HYPERLINK("https://znanium.ru/catalog/product/2142822", "Ознакомиться")</f>
        <v>Ознакомиться</v>
      </c>
      <c r="W3245" s="8" t="s">
        <v>13407</v>
      </c>
      <c r="X3245" s="6"/>
      <c r="Y3245" s="6"/>
      <c r="Z3245" s="6"/>
      <c r="AA3245" s="6" t="s">
        <v>10466</v>
      </c>
      <c r="AB3245" s="8"/>
    </row>
    <row r="3246" spans="1:28" s="4" customFormat="1" ht="42" customHeight="1">
      <c r="A3246" s="5">
        <v>0</v>
      </c>
      <c r="B3246" s="6" t="s">
        <v>19504</v>
      </c>
      <c r="C3246" s="7">
        <v>499.9</v>
      </c>
      <c r="D3246" s="8" t="s">
        <v>19505</v>
      </c>
      <c r="E3246" s="8" t="s">
        <v>19506</v>
      </c>
      <c r="F3246" s="8" t="s">
        <v>19507</v>
      </c>
      <c r="G3246" s="6" t="s">
        <v>52</v>
      </c>
      <c r="H3246" s="6" t="s">
        <v>184</v>
      </c>
      <c r="I3246" s="8" t="s">
        <v>276</v>
      </c>
      <c r="J3246" s="9">
        <v>1</v>
      </c>
      <c r="K3246" s="9">
        <v>228</v>
      </c>
      <c r="L3246" s="9">
        <v>2017</v>
      </c>
      <c r="M3246" s="8" t="s">
        <v>19508</v>
      </c>
      <c r="N3246" s="8" t="s">
        <v>413</v>
      </c>
      <c r="O3246" s="8" t="s">
        <v>2771</v>
      </c>
      <c r="P3246" s="6" t="s">
        <v>43</v>
      </c>
      <c r="Q3246" s="8" t="s">
        <v>279</v>
      </c>
      <c r="R3246" s="10" t="s">
        <v>18163</v>
      </c>
      <c r="S3246" s="11"/>
      <c r="T3246" s="6" t="s">
        <v>299</v>
      </c>
      <c r="U3246" s="24" t="str">
        <f>HYPERLINK("https://media.infra-m.ru/0774/0774413/cover/774413.jpg", "Обложка")</f>
        <v>Обложка</v>
      </c>
      <c r="V3246" s="24" t="str">
        <f>HYPERLINK("https://znanium.ru/catalog/product/2142822", "Ознакомиться")</f>
        <v>Ознакомиться</v>
      </c>
      <c r="W3246" s="8" t="s">
        <v>13407</v>
      </c>
      <c r="X3246" s="6"/>
      <c r="Y3246" s="6"/>
      <c r="Z3246" s="6"/>
      <c r="AA3246" s="6" t="s">
        <v>2001</v>
      </c>
      <c r="AB3246" s="8"/>
    </row>
    <row r="3247" spans="1:28" s="4" customFormat="1" ht="51.95" customHeight="1">
      <c r="A3247" s="5">
        <v>0</v>
      </c>
      <c r="B3247" s="6" t="s">
        <v>19509</v>
      </c>
      <c r="C3247" s="7">
        <v>890</v>
      </c>
      <c r="D3247" s="8" t="s">
        <v>19510</v>
      </c>
      <c r="E3247" s="8" t="s">
        <v>19511</v>
      </c>
      <c r="F3247" s="8" t="s">
        <v>19512</v>
      </c>
      <c r="G3247" s="6" t="s">
        <v>52</v>
      </c>
      <c r="H3247" s="6" t="s">
        <v>53</v>
      </c>
      <c r="I3247" s="8" t="s">
        <v>712</v>
      </c>
      <c r="J3247" s="9">
        <v>1</v>
      </c>
      <c r="K3247" s="9">
        <v>180</v>
      </c>
      <c r="L3247" s="9">
        <v>2024</v>
      </c>
      <c r="M3247" s="8" t="s">
        <v>19513</v>
      </c>
      <c r="N3247" s="8" t="s">
        <v>79</v>
      </c>
      <c r="O3247" s="8" t="s">
        <v>684</v>
      </c>
      <c r="P3247" s="6" t="s">
        <v>43</v>
      </c>
      <c r="Q3247" s="8" t="s">
        <v>58</v>
      </c>
      <c r="R3247" s="10" t="s">
        <v>7980</v>
      </c>
      <c r="S3247" s="11" t="s">
        <v>19514</v>
      </c>
      <c r="T3247" s="6"/>
      <c r="U3247" s="24" t="str">
        <f>HYPERLINK("https://media.infra-m.ru/2123/2123830/cover/2123830.jpg", "Обложка")</f>
        <v>Обложка</v>
      </c>
      <c r="V3247" s="24" t="str">
        <f>HYPERLINK("https://znanium.ru/catalog/product/2123830", "Ознакомиться")</f>
        <v>Ознакомиться</v>
      </c>
      <c r="W3247" s="8" t="s">
        <v>716</v>
      </c>
      <c r="X3247" s="6"/>
      <c r="Y3247" s="6"/>
      <c r="Z3247" s="6"/>
      <c r="AA3247" s="6" t="s">
        <v>133</v>
      </c>
      <c r="AB3247" s="8"/>
    </row>
    <row r="3248" spans="1:28" s="4" customFormat="1" ht="42" customHeight="1">
      <c r="A3248" s="5">
        <v>0</v>
      </c>
      <c r="B3248" s="6" t="s">
        <v>19515</v>
      </c>
      <c r="C3248" s="7">
        <v>900</v>
      </c>
      <c r="D3248" s="8" t="s">
        <v>19516</v>
      </c>
      <c r="E3248" s="8" t="s">
        <v>19517</v>
      </c>
      <c r="F3248" s="8" t="s">
        <v>19518</v>
      </c>
      <c r="G3248" s="6" t="s">
        <v>89</v>
      </c>
      <c r="H3248" s="6" t="s">
        <v>184</v>
      </c>
      <c r="I3248" s="8" t="s">
        <v>276</v>
      </c>
      <c r="J3248" s="9">
        <v>1</v>
      </c>
      <c r="K3248" s="9">
        <v>238</v>
      </c>
      <c r="L3248" s="9">
        <v>2021</v>
      </c>
      <c r="M3248" s="8" t="s">
        <v>19519</v>
      </c>
      <c r="N3248" s="8" t="s">
        <v>413</v>
      </c>
      <c r="O3248" s="8" t="s">
        <v>2771</v>
      </c>
      <c r="P3248" s="6" t="s">
        <v>43</v>
      </c>
      <c r="Q3248" s="8" t="s">
        <v>279</v>
      </c>
      <c r="R3248" s="10" t="s">
        <v>18163</v>
      </c>
      <c r="S3248" s="11"/>
      <c r="T3248" s="6" t="s">
        <v>299</v>
      </c>
      <c r="U3248" s="24" t="str">
        <f>HYPERLINK("https://media.infra-m.ru/1245/1245074/cover/1245074.jpg", "Обложка")</f>
        <v>Обложка</v>
      </c>
      <c r="V3248" s="24" t="str">
        <f>HYPERLINK("https://znanium.ru/catalog/product/2142822", "Ознакомиться")</f>
        <v>Ознакомиться</v>
      </c>
      <c r="W3248" s="8" t="s">
        <v>13407</v>
      </c>
      <c r="X3248" s="6"/>
      <c r="Y3248" s="6"/>
      <c r="Z3248" s="6"/>
      <c r="AA3248" s="6" t="s">
        <v>2423</v>
      </c>
      <c r="AB3248" s="8"/>
    </row>
    <row r="3249" spans="1:28" s="4" customFormat="1" ht="51.95" customHeight="1">
      <c r="A3249" s="5">
        <v>0</v>
      </c>
      <c r="B3249" s="6" t="s">
        <v>19520</v>
      </c>
      <c r="C3249" s="7">
        <v>624</v>
      </c>
      <c r="D3249" s="8" t="s">
        <v>19521</v>
      </c>
      <c r="E3249" s="8" t="s">
        <v>19522</v>
      </c>
      <c r="F3249" s="8" t="s">
        <v>19523</v>
      </c>
      <c r="G3249" s="6" t="s">
        <v>38</v>
      </c>
      <c r="H3249" s="6" t="s">
        <v>53</v>
      </c>
      <c r="I3249" s="8" t="s">
        <v>276</v>
      </c>
      <c r="J3249" s="9">
        <v>1</v>
      </c>
      <c r="K3249" s="9">
        <v>119</v>
      </c>
      <c r="L3249" s="9">
        <v>2025</v>
      </c>
      <c r="M3249" s="8" t="s">
        <v>19524</v>
      </c>
      <c r="N3249" s="8" t="s">
        <v>79</v>
      </c>
      <c r="O3249" s="8" t="s">
        <v>396</v>
      </c>
      <c r="P3249" s="6" t="s">
        <v>43</v>
      </c>
      <c r="Q3249" s="8" t="s">
        <v>279</v>
      </c>
      <c r="R3249" s="10" t="s">
        <v>19525</v>
      </c>
      <c r="S3249" s="11" t="s">
        <v>19526</v>
      </c>
      <c r="T3249" s="6"/>
      <c r="U3249" s="24" t="str">
        <f>HYPERLINK("https://media.infra-m.ru/2201/2201553/cover/2201553.jpg", "Обложка")</f>
        <v>Обложка</v>
      </c>
      <c r="V3249" s="24" t="str">
        <f>HYPERLINK("https://znanium.ru/catalog/product/1981678", "Ознакомиться")</f>
        <v>Ознакомиться</v>
      </c>
      <c r="W3249" s="8" t="s">
        <v>19527</v>
      </c>
      <c r="X3249" s="6"/>
      <c r="Y3249" s="6"/>
      <c r="Z3249" s="6"/>
      <c r="AA3249" s="6" t="s">
        <v>84</v>
      </c>
      <c r="AB3249" s="8"/>
    </row>
    <row r="3250" spans="1:28" s="4" customFormat="1" ht="51.95" customHeight="1">
      <c r="A3250" s="5">
        <v>0</v>
      </c>
      <c r="B3250" s="6" t="s">
        <v>19528</v>
      </c>
      <c r="C3250" s="13">
        <v>1274</v>
      </c>
      <c r="D3250" s="8" t="s">
        <v>19529</v>
      </c>
      <c r="E3250" s="8" t="s">
        <v>19530</v>
      </c>
      <c r="F3250" s="8" t="s">
        <v>12422</v>
      </c>
      <c r="G3250" s="6" t="s">
        <v>89</v>
      </c>
      <c r="H3250" s="6" t="s">
        <v>53</v>
      </c>
      <c r="I3250" s="8" t="s">
        <v>116</v>
      </c>
      <c r="J3250" s="9">
        <v>1</v>
      </c>
      <c r="K3250" s="9">
        <v>257</v>
      </c>
      <c r="L3250" s="9">
        <v>2025</v>
      </c>
      <c r="M3250" s="8" t="s">
        <v>19531</v>
      </c>
      <c r="N3250" s="8" t="s">
        <v>413</v>
      </c>
      <c r="O3250" s="8" t="s">
        <v>2771</v>
      </c>
      <c r="P3250" s="6" t="s">
        <v>167</v>
      </c>
      <c r="Q3250" s="8" t="s">
        <v>44</v>
      </c>
      <c r="R3250" s="10" t="s">
        <v>19532</v>
      </c>
      <c r="S3250" s="11" t="s">
        <v>19533</v>
      </c>
      <c r="T3250" s="6"/>
      <c r="U3250" s="24" t="str">
        <f>HYPERLINK("https://media.infra-m.ru/2163/2163214/cover/2163214.jpg", "Обложка")</f>
        <v>Обложка</v>
      </c>
      <c r="V3250" s="24" t="str">
        <f>HYPERLINK("https://znanium.ru/catalog/product/2123865", "Ознакомиться")</f>
        <v>Ознакомиться</v>
      </c>
      <c r="W3250" s="8" t="s">
        <v>4161</v>
      </c>
      <c r="X3250" s="6"/>
      <c r="Y3250" s="6"/>
      <c r="Z3250" s="6"/>
      <c r="AA3250" s="6" t="s">
        <v>235</v>
      </c>
      <c r="AB3250" s="8"/>
    </row>
    <row r="3251" spans="1:28" s="4" customFormat="1" ht="51.95" customHeight="1">
      <c r="A3251" s="5">
        <v>0</v>
      </c>
      <c r="B3251" s="6" t="s">
        <v>19534</v>
      </c>
      <c r="C3251" s="13">
        <v>1414</v>
      </c>
      <c r="D3251" s="8" t="s">
        <v>19535</v>
      </c>
      <c r="E3251" s="8" t="s">
        <v>19536</v>
      </c>
      <c r="F3251" s="8" t="s">
        <v>19537</v>
      </c>
      <c r="G3251" s="6" t="s">
        <v>89</v>
      </c>
      <c r="H3251" s="6" t="s">
        <v>39</v>
      </c>
      <c r="I3251" s="8" t="s">
        <v>90</v>
      </c>
      <c r="J3251" s="9">
        <v>1</v>
      </c>
      <c r="K3251" s="9">
        <v>271</v>
      </c>
      <c r="L3251" s="9">
        <v>2025</v>
      </c>
      <c r="M3251" s="8" t="s">
        <v>19538</v>
      </c>
      <c r="N3251" s="8" t="s">
        <v>413</v>
      </c>
      <c r="O3251" s="8" t="s">
        <v>2771</v>
      </c>
      <c r="P3251" s="6" t="s">
        <v>43</v>
      </c>
      <c r="Q3251" s="8" t="s">
        <v>44</v>
      </c>
      <c r="R3251" s="10" t="s">
        <v>19539</v>
      </c>
      <c r="S3251" s="11" t="s">
        <v>9096</v>
      </c>
      <c r="T3251" s="6"/>
      <c r="U3251" s="24" t="str">
        <f>HYPERLINK("https://media.infra-m.ru/2188/2188715/cover/2188715.jpg", "Обложка")</f>
        <v>Обложка</v>
      </c>
      <c r="V3251" s="24" t="str">
        <f>HYPERLINK("https://znanium.ru/catalog/product/1913858", "Ознакомиться")</f>
        <v>Ознакомиться</v>
      </c>
      <c r="W3251" s="8" t="s">
        <v>159</v>
      </c>
      <c r="X3251" s="6"/>
      <c r="Y3251" s="6"/>
      <c r="Z3251" s="6"/>
      <c r="AA3251" s="6" t="s">
        <v>494</v>
      </c>
      <c r="AB3251" s="8"/>
    </row>
    <row r="3252" spans="1:28" s="4" customFormat="1" ht="51.95" customHeight="1">
      <c r="A3252" s="5">
        <v>0</v>
      </c>
      <c r="B3252" s="6" t="s">
        <v>19540</v>
      </c>
      <c r="C3252" s="7">
        <v>820</v>
      </c>
      <c r="D3252" s="8" t="s">
        <v>19541</v>
      </c>
      <c r="E3252" s="8" t="s">
        <v>19530</v>
      </c>
      <c r="F3252" s="8" t="s">
        <v>19542</v>
      </c>
      <c r="G3252" s="6" t="s">
        <v>89</v>
      </c>
      <c r="H3252" s="6" t="s">
        <v>53</v>
      </c>
      <c r="I3252" s="8" t="s">
        <v>4855</v>
      </c>
      <c r="J3252" s="9">
        <v>1</v>
      </c>
      <c r="K3252" s="9">
        <v>167</v>
      </c>
      <c r="L3252" s="9">
        <v>2023</v>
      </c>
      <c r="M3252" s="8" t="s">
        <v>19543</v>
      </c>
      <c r="N3252" s="8" t="s">
        <v>413</v>
      </c>
      <c r="O3252" s="8" t="s">
        <v>2771</v>
      </c>
      <c r="P3252" s="6" t="s">
        <v>43</v>
      </c>
      <c r="Q3252" s="8" t="s">
        <v>44</v>
      </c>
      <c r="R3252" s="10" t="s">
        <v>19544</v>
      </c>
      <c r="S3252" s="11" t="s">
        <v>19545</v>
      </c>
      <c r="T3252" s="6"/>
      <c r="U3252" s="24" t="str">
        <f>HYPERLINK("https://media.infra-m.ru/2127/2127137/cover/2127137.jpg", "Обложка")</f>
        <v>Обложка</v>
      </c>
      <c r="V3252" s="12"/>
      <c r="W3252" s="8" t="s">
        <v>913</v>
      </c>
      <c r="X3252" s="6"/>
      <c r="Y3252" s="6"/>
      <c r="Z3252" s="6"/>
      <c r="AA3252" s="6" t="s">
        <v>207</v>
      </c>
      <c r="AB3252" s="8"/>
    </row>
    <row r="3253" spans="1:28" s="4" customFormat="1" ht="51.95" customHeight="1">
      <c r="A3253" s="5">
        <v>0</v>
      </c>
      <c r="B3253" s="6" t="s">
        <v>19546</v>
      </c>
      <c r="C3253" s="13">
        <v>1150</v>
      </c>
      <c r="D3253" s="8" t="s">
        <v>19547</v>
      </c>
      <c r="E3253" s="8" t="s">
        <v>19548</v>
      </c>
      <c r="F3253" s="8" t="s">
        <v>19549</v>
      </c>
      <c r="G3253" s="6" t="s">
        <v>52</v>
      </c>
      <c r="H3253" s="6" t="s">
        <v>184</v>
      </c>
      <c r="I3253" s="8" t="s">
        <v>116</v>
      </c>
      <c r="J3253" s="9">
        <v>1</v>
      </c>
      <c r="K3253" s="9">
        <v>228</v>
      </c>
      <c r="L3253" s="9">
        <v>2024</v>
      </c>
      <c r="M3253" s="8" t="s">
        <v>19550</v>
      </c>
      <c r="N3253" s="8" t="s">
        <v>41</v>
      </c>
      <c r="O3253" s="8" t="s">
        <v>676</v>
      </c>
      <c r="P3253" s="6" t="s">
        <v>43</v>
      </c>
      <c r="Q3253" s="8" t="s">
        <v>58</v>
      </c>
      <c r="R3253" s="10" t="s">
        <v>19551</v>
      </c>
      <c r="S3253" s="11" t="s">
        <v>19552</v>
      </c>
      <c r="T3253" s="6" t="s">
        <v>299</v>
      </c>
      <c r="U3253" s="24" t="str">
        <f>HYPERLINK("https://media.infra-m.ru/1913/1913014/cover/1913014.jpg", "Обложка")</f>
        <v>Обложка</v>
      </c>
      <c r="V3253" s="24" t="str">
        <f>HYPERLINK("https://znanium.ru/catalog/product/1913014", "Ознакомиться")</f>
        <v>Ознакомиться</v>
      </c>
      <c r="W3253" s="8" t="s">
        <v>19553</v>
      </c>
      <c r="X3253" s="6" t="s">
        <v>3761</v>
      </c>
      <c r="Y3253" s="6"/>
      <c r="Z3253" s="6"/>
      <c r="AA3253" s="6" t="s">
        <v>3787</v>
      </c>
      <c r="AB3253" s="8"/>
    </row>
    <row r="3254" spans="1:28" s="4" customFormat="1" ht="51.95" customHeight="1">
      <c r="A3254" s="5">
        <v>0</v>
      </c>
      <c r="B3254" s="6" t="s">
        <v>19554</v>
      </c>
      <c r="C3254" s="13">
        <v>1794.9</v>
      </c>
      <c r="D3254" s="8" t="s">
        <v>19555</v>
      </c>
      <c r="E3254" s="8" t="s">
        <v>19556</v>
      </c>
      <c r="F3254" s="8" t="s">
        <v>19557</v>
      </c>
      <c r="G3254" s="6" t="s">
        <v>52</v>
      </c>
      <c r="H3254" s="6" t="s">
        <v>53</v>
      </c>
      <c r="I3254" s="8" t="s">
        <v>90</v>
      </c>
      <c r="J3254" s="9">
        <v>1</v>
      </c>
      <c r="K3254" s="9">
        <v>399</v>
      </c>
      <c r="L3254" s="9">
        <v>2023</v>
      </c>
      <c r="M3254" s="8" t="s">
        <v>19558</v>
      </c>
      <c r="N3254" s="8" t="s">
        <v>41</v>
      </c>
      <c r="O3254" s="8" t="s">
        <v>6182</v>
      </c>
      <c r="P3254" s="6" t="s">
        <v>167</v>
      </c>
      <c r="Q3254" s="8" t="s">
        <v>44</v>
      </c>
      <c r="R3254" s="10" t="s">
        <v>1008</v>
      </c>
      <c r="S3254" s="11" t="s">
        <v>19559</v>
      </c>
      <c r="T3254" s="6"/>
      <c r="U3254" s="24" t="str">
        <f>HYPERLINK("https://media.infra-m.ru/1960/1960134/cover/1960134.jpg", "Обложка")</f>
        <v>Обложка</v>
      </c>
      <c r="V3254" s="24" t="str">
        <f>HYPERLINK("https://znanium.ru/catalog/product/1958351", "Ознакомиться")</f>
        <v>Ознакомиться</v>
      </c>
      <c r="W3254" s="8" t="s">
        <v>1253</v>
      </c>
      <c r="X3254" s="6"/>
      <c r="Y3254" s="6"/>
      <c r="Z3254" s="6"/>
      <c r="AA3254" s="6" t="s">
        <v>377</v>
      </c>
      <c r="AB3254" s="8"/>
    </row>
    <row r="3255" spans="1:28" s="4" customFormat="1" ht="42" customHeight="1">
      <c r="A3255" s="5">
        <v>0</v>
      </c>
      <c r="B3255" s="6" t="s">
        <v>19560</v>
      </c>
      <c r="C3255" s="13">
        <v>1490</v>
      </c>
      <c r="D3255" s="8" t="s">
        <v>19561</v>
      </c>
      <c r="E3255" s="8" t="s">
        <v>19562</v>
      </c>
      <c r="F3255" s="8" t="s">
        <v>19563</v>
      </c>
      <c r="G3255" s="6" t="s">
        <v>52</v>
      </c>
      <c r="H3255" s="6" t="s">
        <v>53</v>
      </c>
      <c r="I3255" s="8" t="s">
        <v>116</v>
      </c>
      <c r="J3255" s="9">
        <v>1</v>
      </c>
      <c r="K3255" s="9">
        <v>323</v>
      </c>
      <c r="L3255" s="9">
        <v>2024</v>
      </c>
      <c r="M3255" s="8" t="s">
        <v>19564</v>
      </c>
      <c r="N3255" s="8" t="s">
        <v>41</v>
      </c>
      <c r="O3255" s="8" t="s">
        <v>1007</v>
      </c>
      <c r="P3255" s="6" t="s">
        <v>167</v>
      </c>
      <c r="Q3255" s="8" t="s">
        <v>44</v>
      </c>
      <c r="R3255" s="10" t="s">
        <v>1008</v>
      </c>
      <c r="S3255" s="11"/>
      <c r="T3255" s="6" t="s">
        <v>299</v>
      </c>
      <c r="U3255" s="24" t="str">
        <f>HYPERLINK("https://media.infra-m.ru/1958/1958351/cover/1958351.jpg", "Обложка")</f>
        <v>Обложка</v>
      </c>
      <c r="V3255" s="24" t="str">
        <f>HYPERLINK("https://znanium.ru/catalog/product/1958351", "Ознакомиться")</f>
        <v>Ознакомиться</v>
      </c>
      <c r="W3255" s="8" t="s">
        <v>1253</v>
      </c>
      <c r="X3255" s="6"/>
      <c r="Y3255" s="6"/>
      <c r="Z3255" s="6"/>
      <c r="AA3255" s="6" t="s">
        <v>3787</v>
      </c>
      <c r="AB3255" s="8"/>
    </row>
    <row r="3256" spans="1:28" s="4" customFormat="1" ht="51.95" customHeight="1">
      <c r="A3256" s="5">
        <v>0</v>
      </c>
      <c r="B3256" s="6" t="s">
        <v>19565</v>
      </c>
      <c r="C3256" s="13">
        <v>1034</v>
      </c>
      <c r="D3256" s="8" t="s">
        <v>19566</v>
      </c>
      <c r="E3256" s="8" t="s">
        <v>19567</v>
      </c>
      <c r="F3256" s="8" t="s">
        <v>19549</v>
      </c>
      <c r="G3256" s="6" t="s">
        <v>52</v>
      </c>
      <c r="H3256" s="6" t="s">
        <v>184</v>
      </c>
      <c r="I3256" s="8" t="s">
        <v>185</v>
      </c>
      <c r="J3256" s="9">
        <v>1</v>
      </c>
      <c r="K3256" s="9">
        <v>224</v>
      </c>
      <c r="L3256" s="9">
        <v>2024</v>
      </c>
      <c r="M3256" s="8" t="s">
        <v>19568</v>
      </c>
      <c r="N3256" s="8" t="s">
        <v>41</v>
      </c>
      <c r="O3256" s="8" t="s">
        <v>676</v>
      </c>
      <c r="P3256" s="6" t="s">
        <v>43</v>
      </c>
      <c r="Q3256" s="8" t="s">
        <v>44</v>
      </c>
      <c r="R3256" s="10" t="s">
        <v>19551</v>
      </c>
      <c r="S3256" s="11" t="s">
        <v>19552</v>
      </c>
      <c r="T3256" s="6" t="s">
        <v>299</v>
      </c>
      <c r="U3256" s="24" t="str">
        <f>HYPERLINK("https://media.infra-m.ru/2091/2091892/cover/2091892.jpg", "Обложка")</f>
        <v>Обложка</v>
      </c>
      <c r="V3256" s="24" t="str">
        <f>HYPERLINK("https://znanium.ru/catalog/product/1913014", "Ознакомиться")</f>
        <v>Ознакомиться</v>
      </c>
      <c r="W3256" s="8" t="s">
        <v>19553</v>
      </c>
      <c r="X3256" s="6"/>
      <c r="Y3256" s="6"/>
      <c r="Z3256" s="6"/>
      <c r="AA3256" s="6" t="s">
        <v>326</v>
      </c>
      <c r="AB3256" s="8"/>
    </row>
    <row r="3257" spans="1:28" s="4" customFormat="1" ht="51.95" customHeight="1">
      <c r="A3257" s="5">
        <v>0</v>
      </c>
      <c r="B3257" s="6" t="s">
        <v>19569</v>
      </c>
      <c r="C3257" s="7">
        <v>977</v>
      </c>
      <c r="D3257" s="8" t="s">
        <v>19570</v>
      </c>
      <c r="E3257" s="8" t="s">
        <v>19571</v>
      </c>
      <c r="F3257" s="8" t="s">
        <v>19572</v>
      </c>
      <c r="G3257" s="6" t="s">
        <v>38</v>
      </c>
      <c r="H3257" s="6" t="s">
        <v>438</v>
      </c>
      <c r="I3257" s="8"/>
      <c r="J3257" s="9">
        <v>1</v>
      </c>
      <c r="K3257" s="9">
        <v>144</v>
      </c>
      <c r="L3257" s="9">
        <v>2025</v>
      </c>
      <c r="M3257" s="8" t="s">
        <v>19573</v>
      </c>
      <c r="N3257" s="8" t="s">
        <v>413</v>
      </c>
      <c r="O3257" s="8" t="s">
        <v>1141</v>
      </c>
      <c r="P3257" s="6" t="s">
        <v>43</v>
      </c>
      <c r="Q3257" s="8" t="s">
        <v>58</v>
      </c>
      <c r="R3257" s="10" t="s">
        <v>19574</v>
      </c>
      <c r="S3257" s="11"/>
      <c r="T3257" s="6"/>
      <c r="U3257" s="24" t="str">
        <f>HYPERLINK("https://media.infra-m.ru/2192/2192419/cover/2192419.jpg", "Обложка")</f>
        <v>Обложка</v>
      </c>
      <c r="V3257" s="24" t="str">
        <f>HYPERLINK("https://znanium.ru/catalog/product/971691", "Ознакомиться")</f>
        <v>Ознакомиться</v>
      </c>
      <c r="W3257" s="8" t="s">
        <v>758</v>
      </c>
      <c r="X3257" s="6"/>
      <c r="Y3257" s="6"/>
      <c r="Z3257" s="6"/>
      <c r="AA3257" s="6" t="s">
        <v>111</v>
      </c>
      <c r="AB3257" s="8"/>
    </row>
    <row r="3258" spans="1:28" s="4" customFormat="1" ht="51.95" customHeight="1">
      <c r="A3258" s="5">
        <v>0</v>
      </c>
      <c r="B3258" s="6" t="s">
        <v>19575</v>
      </c>
      <c r="C3258" s="13">
        <v>2100</v>
      </c>
      <c r="D3258" s="8" t="s">
        <v>19576</v>
      </c>
      <c r="E3258" s="8" t="s">
        <v>19577</v>
      </c>
      <c r="F3258" s="8" t="s">
        <v>19578</v>
      </c>
      <c r="G3258" s="6" t="s">
        <v>52</v>
      </c>
      <c r="H3258" s="6" t="s">
        <v>53</v>
      </c>
      <c r="I3258" s="8" t="s">
        <v>116</v>
      </c>
      <c r="J3258" s="9">
        <v>1</v>
      </c>
      <c r="K3258" s="9">
        <v>414</v>
      </c>
      <c r="L3258" s="9">
        <v>2023</v>
      </c>
      <c r="M3258" s="8" t="s">
        <v>19579</v>
      </c>
      <c r="N3258" s="8" t="s">
        <v>413</v>
      </c>
      <c r="O3258" s="8" t="s">
        <v>414</v>
      </c>
      <c r="P3258" s="6" t="s">
        <v>43</v>
      </c>
      <c r="Q3258" s="8" t="s">
        <v>44</v>
      </c>
      <c r="R3258" s="10" t="s">
        <v>1311</v>
      </c>
      <c r="S3258" s="11" t="s">
        <v>19580</v>
      </c>
      <c r="T3258" s="6" t="s">
        <v>299</v>
      </c>
      <c r="U3258" s="24" t="str">
        <f>HYPERLINK("https://media.infra-m.ru/2070/2070077/cover/2070077.jpg", "Обложка")</f>
        <v>Обложка</v>
      </c>
      <c r="V3258" s="24" t="str">
        <f>HYPERLINK("https://znanium.ru/catalog/product/2070077", "Ознакомиться")</f>
        <v>Ознакомиться</v>
      </c>
      <c r="W3258" s="8" t="s">
        <v>5019</v>
      </c>
      <c r="X3258" s="6"/>
      <c r="Y3258" s="6"/>
      <c r="Z3258" s="6"/>
      <c r="AA3258" s="6" t="s">
        <v>513</v>
      </c>
      <c r="AB3258" s="8"/>
    </row>
    <row r="3259" spans="1:28" s="4" customFormat="1" ht="51.95" customHeight="1">
      <c r="A3259" s="5">
        <v>0</v>
      </c>
      <c r="B3259" s="6" t="s">
        <v>19581</v>
      </c>
      <c r="C3259" s="13">
        <v>1484.9</v>
      </c>
      <c r="D3259" s="8" t="s">
        <v>19582</v>
      </c>
      <c r="E3259" s="8" t="s">
        <v>19583</v>
      </c>
      <c r="F3259" s="8" t="s">
        <v>19578</v>
      </c>
      <c r="G3259" s="6" t="s">
        <v>89</v>
      </c>
      <c r="H3259" s="6" t="s">
        <v>53</v>
      </c>
      <c r="I3259" s="8" t="s">
        <v>90</v>
      </c>
      <c r="J3259" s="9">
        <v>1</v>
      </c>
      <c r="K3259" s="9">
        <v>401</v>
      </c>
      <c r="L3259" s="9">
        <v>2022</v>
      </c>
      <c r="M3259" s="8" t="s">
        <v>19584</v>
      </c>
      <c r="N3259" s="8" t="s">
        <v>413</v>
      </c>
      <c r="O3259" s="8" t="s">
        <v>414</v>
      </c>
      <c r="P3259" s="6" t="s">
        <v>43</v>
      </c>
      <c r="Q3259" s="8" t="s">
        <v>44</v>
      </c>
      <c r="R3259" s="10" t="s">
        <v>1311</v>
      </c>
      <c r="S3259" s="11" t="s">
        <v>19585</v>
      </c>
      <c r="T3259" s="6" t="s">
        <v>299</v>
      </c>
      <c r="U3259" s="24" t="str">
        <f>HYPERLINK("https://media.infra-m.ru/1660/1660301/cover/1660301.jpg", "Обложка")</f>
        <v>Обложка</v>
      </c>
      <c r="V3259" s="24" t="str">
        <f>HYPERLINK("https://znanium.ru/catalog/product/2070077", "Ознакомиться")</f>
        <v>Ознакомиться</v>
      </c>
      <c r="W3259" s="8" t="s">
        <v>5019</v>
      </c>
      <c r="X3259" s="6"/>
      <c r="Y3259" s="6"/>
      <c r="Z3259" s="6"/>
      <c r="AA3259" s="6" t="s">
        <v>111</v>
      </c>
      <c r="AB3259" s="8"/>
    </row>
    <row r="3260" spans="1:28" s="4" customFormat="1" ht="51.95" customHeight="1">
      <c r="A3260" s="5">
        <v>0</v>
      </c>
      <c r="B3260" s="6" t="s">
        <v>19586</v>
      </c>
      <c r="C3260" s="13">
        <v>1430</v>
      </c>
      <c r="D3260" s="8" t="s">
        <v>19587</v>
      </c>
      <c r="E3260" s="8" t="s">
        <v>19588</v>
      </c>
      <c r="F3260" s="8" t="s">
        <v>19589</v>
      </c>
      <c r="G3260" s="6" t="s">
        <v>89</v>
      </c>
      <c r="H3260" s="6" t="s">
        <v>53</v>
      </c>
      <c r="I3260" s="8" t="s">
        <v>116</v>
      </c>
      <c r="J3260" s="9">
        <v>1</v>
      </c>
      <c r="K3260" s="9">
        <v>303</v>
      </c>
      <c r="L3260" s="9">
        <v>2024</v>
      </c>
      <c r="M3260" s="8" t="s">
        <v>19590</v>
      </c>
      <c r="N3260" s="8" t="s">
        <v>79</v>
      </c>
      <c r="O3260" s="8" t="s">
        <v>148</v>
      </c>
      <c r="P3260" s="6" t="s">
        <v>43</v>
      </c>
      <c r="Q3260" s="8" t="s">
        <v>58</v>
      </c>
      <c r="R3260" s="10" t="s">
        <v>19591</v>
      </c>
      <c r="S3260" s="11" t="s">
        <v>19592</v>
      </c>
      <c r="T3260" s="6"/>
      <c r="U3260" s="24" t="str">
        <f>HYPERLINK("https://media.infra-m.ru/2135/2135238/cover/2135238.jpg", "Обложка")</f>
        <v>Обложка</v>
      </c>
      <c r="V3260" s="24" t="str">
        <f>HYPERLINK("https://znanium.ru/catalog/product/2135238", "Ознакомиться")</f>
        <v>Ознакомиться</v>
      </c>
      <c r="W3260" s="8" t="s">
        <v>8065</v>
      </c>
      <c r="X3260" s="6"/>
      <c r="Y3260" s="6"/>
      <c r="Z3260" s="6"/>
      <c r="AA3260" s="6" t="s">
        <v>442</v>
      </c>
      <c r="AB3260" s="8"/>
    </row>
    <row r="3261" spans="1:28" s="4" customFormat="1" ht="51.95" customHeight="1">
      <c r="A3261" s="5">
        <v>0</v>
      </c>
      <c r="B3261" s="6" t="s">
        <v>19593</v>
      </c>
      <c r="C3261" s="13">
        <v>1444</v>
      </c>
      <c r="D3261" s="8" t="s">
        <v>19594</v>
      </c>
      <c r="E3261" s="8" t="s">
        <v>19595</v>
      </c>
      <c r="F3261" s="8" t="s">
        <v>19596</v>
      </c>
      <c r="G3261" s="6" t="s">
        <v>89</v>
      </c>
      <c r="H3261" s="6" t="s">
        <v>649</v>
      </c>
      <c r="I3261" s="8" t="s">
        <v>100</v>
      </c>
      <c r="J3261" s="9">
        <v>1</v>
      </c>
      <c r="K3261" s="9">
        <v>288</v>
      </c>
      <c r="L3261" s="9">
        <v>2025</v>
      </c>
      <c r="M3261" s="8" t="s">
        <v>19597</v>
      </c>
      <c r="N3261" s="8" t="s">
        <v>56</v>
      </c>
      <c r="O3261" s="8" t="s">
        <v>741</v>
      </c>
      <c r="P3261" s="6" t="s">
        <v>167</v>
      </c>
      <c r="Q3261" s="8" t="s">
        <v>102</v>
      </c>
      <c r="R3261" s="10" t="s">
        <v>19598</v>
      </c>
      <c r="S3261" s="11" t="s">
        <v>242</v>
      </c>
      <c r="T3261" s="6"/>
      <c r="U3261" s="24" t="str">
        <f>HYPERLINK("https://media.infra-m.ru/2165/2165403/cover/2165403.jpg", "Обложка")</f>
        <v>Обложка</v>
      </c>
      <c r="V3261" s="24" t="str">
        <f>HYPERLINK("https://znanium.ru/catalog/product/2150333", "Ознакомиться")</f>
        <v>Ознакомиться</v>
      </c>
      <c r="W3261" s="8" t="s">
        <v>10326</v>
      </c>
      <c r="X3261" s="6"/>
      <c r="Y3261" s="6"/>
      <c r="Z3261" s="6"/>
      <c r="AA3261" s="6" t="s">
        <v>1135</v>
      </c>
      <c r="AB3261" s="8"/>
    </row>
    <row r="3262" spans="1:28" s="4" customFormat="1" ht="51.95" customHeight="1">
      <c r="A3262" s="5">
        <v>0</v>
      </c>
      <c r="B3262" s="6" t="s">
        <v>19599</v>
      </c>
      <c r="C3262" s="13">
        <v>1180</v>
      </c>
      <c r="D3262" s="8" t="s">
        <v>19600</v>
      </c>
      <c r="E3262" s="8" t="s">
        <v>19601</v>
      </c>
      <c r="F3262" s="8" t="s">
        <v>19602</v>
      </c>
      <c r="G3262" s="6" t="s">
        <v>89</v>
      </c>
      <c r="H3262" s="6" t="s">
        <v>53</v>
      </c>
      <c r="I3262" s="8" t="s">
        <v>90</v>
      </c>
      <c r="J3262" s="9">
        <v>1</v>
      </c>
      <c r="K3262" s="9">
        <v>256</v>
      </c>
      <c r="L3262" s="9">
        <v>2024</v>
      </c>
      <c r="M3262" s="8" t="s">
        <v>19603</v>
      </c>
      <c r="N3262" s="8" t="s">
        <v>413</v>
      </c>
      <c r="O3262" s="8" t="s">
        <v>1528</v>
      </c>
      <c r="P3262" s="6" t="s">
        <v>43</v>
      </c>
      <c r="Q3262" s="8" t="s">
        <v>44</v>
      </c>
      <c r="R3262" s="10" t="s">
        <v>19604</v>
      </c>
      <c r="S3262" s="11"/>
      <c r="T3262" s="6"/>
      <c r="U3262" s="24" t="str">
        <f>HYPERLINK("https://media.infra-m.ru/2127/2127282/cover/2127282.jpg", "Обложка")</f>
        <v>Обложка</v>
      </c>
      <c r="V3262" s="24" t="str">
        <f>HYPERLINK("https://znanium.ru/catalog/product/2127282", "Ознакомиться")</f>
        <v>Ознакомиться</v>
      </c>
      <c r="W3262" s="8" t="s">
        <v>450</v>
      </c>
      <c r="X3262" s="6"/>
      <c r="Y3262" s="6"/>
      <c r="Z3262" s="6"/>
      <c r="AA3262" s="6" t="s">
        <v>494</v>
      </c>
      <c r="AB3262" s="8"/>
    </row>
    <row r="3263" spans="1:28" s="4" customFormat="1" ht="51.95" customHeight="1">
      <c r="A3263" s="5">
        <v>0</v>
      </c>
      <c r="B3263" s="6" t="s">
        <v>19605</v>
      </c>
      <c r="C3263" s="7">
        <v>664</v>
      </c>
      <c r="D3263" s="8" t="s">
        <v>19606</v>
      </c>
      <c r="E3263" s="8" t="s">
        <v>19607</v>
      </c>
      <c r="F3263" s="8" t="s">
        <v>19608</v>
      </c>
      <c r="G3263" s="6" t="s">
        <v>38</v>
      </c>
      <c r="H3263" s="6" t="s">
        <v>39</v>
      </c>
      <c r="I3263" s="8"/>
      <c r="J3263" s="9">
        <v>1</v>
      </c>
      <c r="K3263" s="9">
        <v>128</v>
      </c>
      <c r="L3263" s="9">
        <v>2025</v>
      </c>
      <c r="M3263" s="8" t="s">
        <v>19609</v>
      </c>
      <c r="N3263" s="8" t="s">
        <v>413</v>
      </c>
      <c r="O3263" s="8" t="s">
        <v>414</v>
      </c>
      <c r="P3263" s="6" t="s">
        <v>43</v>
      </c>
      <c r="Q3263" s="8" t="s">
        <v>58</v>
      </c>
      <c r="R3263" s="10" t="s">
        <v>17398</v>
      </c>
      <c r="S3263" s="11" t="s">
        <v>19610</v>
      </c>
      <c r="T3263" s="6"/>
      <c r="U3263" s="24" t="str">
        <f>HYPERLINK("https://media.infra-m.ru/2192/2192223/cover/2192223.jpg", "Обложка")</f>
        <v>Обложка</v>
      </c>
      <c r="V3263" s="24" t="str">
        <f>HYPERLINK("https://znanium.ru/catalog/product/1856557", "Ознакомиться")</f>
        <v>Ознакомиться</v>
      </c>
      <c r="W3263" s="8" t="s">
        <v>19611</v>
      </c>
      <c r="X3263" s="6"/>
      <c r="Y3263" s="6"/>
      <c r="Z3263" s="6"/>
      <c r="AA3263" s="6" t="s">
        <v>122</v>
      </c>
      <c r="AB3263" s="8"/>
    </row>
    <row r="3264" spans="1:28" s="4" customFormat="1" ht="51.95" customHeight="1">
      <c r="A3264" s="5">
        <v>0</v>
      </c>
      <c r="B3264" s="6" t="s">
        <v>19612</v>
      </c>
      <c r="C3264" s="7">
        <v>574</v>
      </c>
      <c r="D3264" s="8" t="s">
        <v>19613</v>
      </c>
      <c r="E3264" s="8" t="s">
        <v>19607</v>
      </c>
      <c r="F3264" s="8" t="s">
        <v>19614</v>
      </c>
      <c r="G3264" s="6" t="s">
        <v>38</v>
      </c>
      <c r="H3264" s="6" t="s">
        <v>39</v>
      </c>
      <c r="I3264" s="8" t="s">
        <v>100</v>
      </c>
      <c r="J3264" s="9">
        <v>1</v>
      </c>
      <c r="K3264" s="9">
        <v>126</v>
      </c>
      <c r="L3264" s="9">
        <v>2023</v>
      </c>
      <c r="M3264" s="8" t="s">
        <v>19615</v>
      </c>
      <c r="N3264" s="8" t="s">
        <v>413</v>
      </c>
      <c r="O3264" s="8" t="s">
        <v>414</v>
      </c>
      <c r="P3264" s="6" t="s">
        <v>43</v>
      </c>
      <c r="Q3264" s="8" t="s">
        <v>102</v>
      </c>
      <c r="R3264" s="10" t="s">
        <v>19616</v>
      </c>
      <c r="S3264" s="11" t="s">
        <v>19617</v>
      </c>
      <c r="T3264" s="6"/>
      <c r="U3264" s="24" t="str">
        <f>HYPERLINK("https://media.infra-m.ru/2021/2021468/cover/2021468.jpg", "Обложка")</f>
        <v>Обложка</v>
      </c>
      <c r="V3264" s="24" t="str">
        <f>HYPERLINK("https://znanium.ru/catalog/product/1042596", "Ознакомиться")</f>
        <v>Ознакомиться</v>
      </c>
      <c r="W3264" s="8" t="s">
        <v>19611</v>
      </c>
      <c r="X3264" s="6"/>
      <c r="Y3264" s="6"/>
      <c r="Z3264" s="6" t="s">
        <v>502</v>
      </c>
      <c r="AA3264" s="6" t="s">
        <v>258</v>
      </c>
      <c r="AB3264" s="8"/>
    </row>
    <row r="3265" spans="1:28" s="4" customFormat="1" ht="51.95" customHeight="1">
      <c r="A3265" s="5">
        <v>0</v>
      </c>
      <c r="B3265" s="6" t="s">
        <v>19618</v>
      </c>
      <c r="C3265" s="13">
        <v>1590</v>
      </c>
      <c r="D3265" s="8" t="s">
        <v>19619</v>
      </c>
      <c r="E3265" s="8" t="s">
        <v>19620</v>
      </c>
      <c r="F3265" s="8" t="s">
        <v>19621</v>
      </c>
      <c r="G3265" s="6" t="s">
        <v>89</v>
      </c>
      <c r="H3265" s="6" t="s">
        <v>53</v>
      </c>
      <c r="I3265" s="8" t="s">
        <v>100</v>
      </c>
      <c r="J3265" s="9">
        <v>1</v>
      </c>
      <c r="K3265" s="9">
        <v>338</v>
      </c>
      <c r="L3265" s="9">
        <v>2024</v>
      </c>
      <c r="M3265" s="8" t="s">
        <v>19622</v>
      </c>
      <c r="N3265" s="8" t="s">
        <v>79</v>
      </c>
      <c r="O3265" s="8" t="s">
        <v>396</v>
      </c>
      <c r="P3265" s="6" t="s">
        <v>43</v>
      </c>
      <c r="Q3265" s="8" t="s">
        <v>102</v>
      </c>
      <c r="R3265" s="10" t="s">
        <v>19623</v>
      </c>
      <c r="S3265" s="11" t="s">
        <v>19624</v>
      </c>
      <c r="T3265" s="6"/>
      <c r="U3265" s="24" t="str">
        <f>HYPERLINK("https://media.infra-m.ru/2139/2139079/cover/2139079.jpg", "Обложка")</f>
        <v>Обложка</v>
      </c>
      <c r="V3265" s="24" t="str">
        <f>HYPERLINK("https://znanium.ru/catalog/product/2198839", "Ознакомиться")</f>
        <v>Ознакомиться</v>
      </c>
      <c r="W3265" s="8" t="s">
        <v>71</v>
      </c>
      <c r="X3265" s="6"/>
      <c r="Y3265" s="6"/>
      <c r="Z3265" s="6"/>
      <c r="AA3265" s="6" t="s">
        <v>418</v>
      </c>
      <c r="AB3265" s="8" t="s">
        <v>906</v>
      </c>
    </row>
    <row r="3266" spans="1:28" s="4" customFormat="1" ht="42" customHeight="1">
      <c r="A3266" s="5">
        <v>0</v>
      </c>
      <c r="B3266" s="6" t="s">
        <v>19625</v>
      </c>
      <c r="C3266" s="13">
        <v>1420</v>
      </c>
      <c r="D3266" s="8" t="s">
        <v>19626</v>
      </c>
      <c r="E3266" s="8" t="s">
        <v>19627</v>
      </c>
      <c r="F3266" s="8" t="s">
        <v>19628</v>
      </c>
      <c r="G3266" s="6" t="s">
        <v>52</v>
      </c>
      <c r="H3266" s="6" t="s">
        <v>53</v>
      </c>
      <c r="I3266" s="8" t="s">
        <v>116</v>
      </c>
      <c r="J3266" s="9">
        <v>1</v>
      </c>
      <c r="K3266" s="9">
        <v>271</v>
      </c>
      <c r="L3266" s="9">
        <v>2025</v>
      </c>
      <c r="M3266" s="8" t="s">
        <v>19629</v>
      </c>
      <c r="N3266" s="8" t="s">
        <v>79</v>
      </c>
      <c r="O3266" s="8" t="s">
        <v>684</v>
      </c>
      <c r="P3266" s="6" t="s">
        <v>43</v>
      </c>
      <c r="Q3266" s="8" t="s">
        <v>58</v>
      </c>
      <c r="R3266" s="10" t="s">
        <v>4062</v>
      </c>
      <c r="S3266" s="11"/>
      <c r="T3266" s="6"/>
      <c r="U3266" s="24" t="str">
        <f>HYPERLINK("https://media.infra-m.ru/2131/2131272/cover/2131272.jpg", "Обложка")</f>
        <v>Обложка</v>
      </c>
      <c r="V3266" s="24" t="str">
        <f>HYPERLINK("https://znanium.ru/catalog/product/2131272", "Ознакомиться")</f>
        <v>Ознакомиться</v>
      </c>
      <c r="W3266" s="8" t="s">
        <v>19050</v>
      </c>
      <c r="X3266" s="6" t="s">
        <v>226</v>
      </c>
      <c r="Y3266" s="6"/>
      <c r="Z3266" s="6"/>
      <c r="AA3266" s="6" t="s">
        <v>133</v>
      </c>
      <c r="AB3266" s="8"/>
    </row>
    <row r="3267" spans="1:28" s="4" customFormat="1" ht="44.1" customHeight="1">
      <c r="A3267" s="5">
        <v>0</v>
      </c>
      <c r="B3267" s="6" t="s">
        <v>19630</v>
      </c>
      <c r="C3267" s="13">
        <v>1510</v>
      </c>
      <c r="D3267" s="8" t="s">
        <v>19631</v>
      </c>
      <c r="E3267" s="8" t="s">
        <v>19632</v>
      </c>
      <c r="F3267" s="8" t="s">
        <v>9006</v>
      </c>
      <c r="G3267" s="6" t="s">
        <v>52</v>
      </c>
      <c r="H3267" s="6" t="s">
        <v>53</v>
      </c>
      <c r="I3267" s="8" t="s">
        <v>116</v>
      </c>
      <c r="J3267" s="9">
        <v>1</v>
      </c>
      <c r="K3267" s="9">
        <v>315</v>
      </c>
      <c r="L3267" s="9">
        <v>2024</v>
      </c>
      <c r="M3267" s="8" t="s">
        <v>19633</v>
      </c>
      <c r="N3267" s="8" t="s">
        <v>56</v>
      </c>
      <c r="O3267" s="8" t="s">
        <v>4042</v>
      </c>
      <c r="P3267" s="6" t="s">
        <v>43</v>
      </c>
      <c r="Q3267" s="8" t="s">
        <v>44</v>
      </c>
      <c r="R3267" s="10" t="s">
        <v>19634</v>
      </c>
      <c r="S3267" s="11"/>
      <c r="T3267" s="6"/>
      <c r="U3267" s="24" t="str">
        <f>HYPERLINK("https://media.infra-m.ru/1860/1860990/cover/1860990.jpg", "Обложка")</f>
        <v>Обложка</v>
      </c>
      <c r="V3267" s="24" t="str">
        <f>HYPERLINK("https://znanium.ru/catalog/product/1860990", "Ознакомиться")</f>
        <v>Ознакомиться</v>
      </c>
      <c r="W3267" s="8" t="s">
        <v>6124</v>
      </c>
      <c r="X3267" s="6"/>
      <c r="Y3267" s="6"/>
      <c r="Z3267" s="6"/>
      <c r="AA3267" s="6" t="s">
        <v>133</v>
      </c>
      <c r="AB3267" s="8"/>
    </row>
    <row r="3268" spans="1:28" s="4" customFormat="1" ht="51.95" customHeight="1">
      <c r="A3268" s="5">
        <v>0</v>
      </c>
      <c r="B3268" s="6" t="s">
        <v>19635</v>
      </c>
      <c r="C3268" s="13">
        <v>1044</v>
      </c>
      <c r="D3268" s="8" t="s">
        <v>19636</v>
      </c>
      <c r="E3268" s="8" t="s">
        <v>19637</v>
      </c>
      <c r="F3268" s="8" t="s">
        <v>19638</v>
      </c>
      <c r="G3268" s="6" t="s">
        <v>89</v>
      </c>
      <c r="H3268" s="6" t="s">
        <v>53</v>
      </c>
      <c r="I3268" s="8" t="s">
        <v>100</v>
      </c>
      <c r="J3268" s="9">
        <v>1</v>
      </c>
      <c r="K3268" s="9">
        <v>231</v>
      </c>
      <c r="L3268" s="9">
        <v>2023</v>
      </c>
      <c r="M3268" s="8" t="s">
        <v>19639</v>
      </c>
      <c r="N3268" s="8" t="s">
        <v>997</v>
      </c>
      <c r="O3268" s="8" t="s">
        <v>998</v>
      </c>
      <c r="P3268" s="6" t="s">
        <v>43</v>
      </c>
      <c r="Q3268" s="8" t="s">
        <v>102</v>
      </c>
      <c r="R3268" s="10" t="s">
        <v>19640</v>
      </c>
      <c r="S3268" s="11"/>
      <c r="T3268" s="6" t="s">
        <v>299</v>
      </c>
      <c r="U3268" s="24" t="str">
        <f>HYPERLINK("https://media.infra-m.ru/2062/2062476/cover/2062476.jpg", "Обложка")</f>
        <v>Обложка</v>
      </c>
      <c r="V3268" s="24" t="str">
        <f>HYPERLINK("https://znanium.ru/catalog/product/2051441", "Ознакомиться")</f>
        <v>Ознакомиться</v>
      </c>
      <c r="W3268" s="8" t="s">
        <v>947</v>
      </c>
      <c r="X3268" s="6"/>
      <c r="Y3268" s="6"/>
      <c r="Z3268" s="6" t="s">
        <v>104</v>
      </c>
      <c r="AA3268" s="6" t="s">
        <v>1259</v>
      </c>
      <c r="AB3268" s="8"/>
    </row>
    <row r="3269" spans="1:28" s="4" customFormat="1" ht="51.95" customHeight="1">
      <c r="A3269" s="5">
        <v>0</v>
      </c>
      <c r="B3269" s="6" t="s">
        <v>19641</v>
      </c>
      <c r="C3269" s="7">
        <v>730</v>
      </c>
      <c r="D3269" s="8" t="s">
        <v>19642</v>
      </c>
      <c r="E3269" s="8" t="s">
        <v>19637</v>
      </c>
      <c r="F3269" s="8" t="s">
        <v>19638</v>
      </c>
      <c r="G3269" s="6" t="s">
        <v>89</v>
      </c>
      <c r="H3269" s="6" t="s">
        <v>53</v>
      </c>
      <c r="I3269" s="8" t="s">
        <v>116</v>
      </c>
      <c r="J3269" s="9">
        <v>1</v>
      </c>
      <c r="K3269" s="9">
        <v>152</v>
      </c>
      <c r="L3269" s="9">
        <v>2024</v>
      </c>
      <c r="M3269" s="8" t="s">
        <v>19643</v>
      </c>
      <c r="N3269" s="8" t="s">
        <v>997</v>
      </c>
      <c r="O3269" s="8" t="s">
        <v>998</v>
      </c>
      <c r="P3269" s="6" t="s">
        <v>43</v>
      </c>
      <c r="Q3269" s="8" t="s">
        <v>44</v>
      </c>
      <c r="R3269" s="10" t="s">
        <v>14303</v>
      </c>
      <c r="S3269" s="11" t="s">
        <v>19644</v>
      </c>
      <c r="T3269" s="6" t="s">
        <v>299</v>
      </c>
      <c r="U3269" s="24" t="str">
        <f>HYPERLINK("https://media.infra-m.ru/2085/2085567/cover/2085567.jpg", "Обложка")</f>
        <v>Обложка</v>
      </c>
      <c r="V3269" s="24" t="str">
        <f>HYPERLINK("https://znanium.ru/catalog/product/2085567", "Ознакомиться")</f>
        <v>Ознакомиться</v>
      </c>
      <c r="W3269" s="8" t="s">
        <v>947</v>
      </c>
      <c r="X3269" s="6"/>
      <c r="Y3269" s="6"/>
      <c r="Z3269" s="6"/>
      <c r="AA3269" s="6" t="s">
        <v>1374</v>
      </c>
      <c r="AB3269" s="8"/>
    </row>
    <row r="3270" spans="1:28" s="4" customFormat="1" ht="51.95" customHeight="1">
      <c r="A3270" s="5">
        <v>0</v>
      </c>
      <c r="B3270" s="6" t="s">
        <v>19645</v>
      </c>
      <c r="C3270" s="13">
        <v>1700</v>
      </c>
      <c r="D3270" s="8" t="s">
        <v>19646</v>
      </c>
      <c r="E3270" s="8" t="s">
        <v>19647</v>
      </c>
      <c r="F3270" s="8" t="s">
        <v>19648</v>
      </c>
      <c r="G3270" s="6" t="s">
        <v>52</v>
      </c>
      <c r="H3270" s="6" t="s">
        <v>53</v>
      </c>
      <c r="I3270" s="8" t="s">
        <v>116</v>
      </c>
      <c r="J3270" s="9">
        <v>1</v>
      </c>
      <c r="K3270" s="9">
        <v>327</v>
      </c>
      <c r="L3270" s="9">
        <v>2025</v>
      </c>
      <c r="M3270" s="8" t="s">
        <v>19649</v>
      </c>
      <c r="N3270" s="8" t="s">
        <v>79</v>
      </c>
      <c r="O3270" s="8" t="s">
        <v>424</v>
      </c>
      <c r="P3270" s="6" t="s">
        <v>167</v>
      </c>
      <c r="Q3270" s="8" t="s">
        <v>58</v>
      </c>
      <c r="R3270" s="10" t="s">
        <v>4798</v>
      </c>
      <c r="S3270" s="11"/>
      <c r="T3270" s="6"/>
      <c r="U3270" s="24" t="str">
        <f>HYPERLINK("https://media.infra-m.ru/2125/2125937/cover/2125937.jpg", "Обложка")</f>
        <v>Обложка</v>
      </c>
      <c r="V3270" s="24" t="str">
        <f>HYPERLINK("https://znanium.ru/catalog/product/2125937", "Ознакомиться")</f>
        <v>Ознакомиться</v>
      </c>
      <c r="W3270" s="8" t="s">
        <v>12607</v>
      </c>
      <c r="X3270" s="6" t="s">
        <v>785</v>
      </c>
      <c r="Y3270" s="6"/>
      <c r="Z3270" s="6"/>
      <c r="AA3270" s="6" t="s">
        <v>61</v>
      </c>
      <c r="AB3270" s="8" t="s">
        <v>1159</v>
      </c>
    </row>
    <row r="3271" spans="1:28" s="4" customFormat="1" ht="51.95" customHeight="1">
      <c r="A3271" s="5">
        <v>0</v>
      </c>
      <c r="B3271" s="6" t="s">
        <v>19650</v>
      </c>
      <c r="C3271" s="13">
        <v>1684.9</v>
      </c>
      <c r="D3271" s="8" t="s">
        <v>19651</v>
      </c>
      <c r="E3271" s="8" t="s">
        <v>19652</v>
      </c>
      <c r="F3271" s="8" t="s">
        <v>19653</v>
      </c>
      <c r="G3271" s="6" t="s">
        <v>52</v>
      </c>
      <c r="H3271" s="6" t="s">
        <v>39</v>
      </c>
      <c r="I3271" s="8" t="s">
        <v>90</v>
      </c>
      <c r="J3271" s="9">
        <v>1</v>
      </c>
      <c r="K3271" s="9">
        <v>375</v>
      </c>
      <c r="L3271" s="9">
        <v>2023</v>
      </c>
      <c r="M3271" s="8" t="s">
        <v>19654</v>
      </c>
      <c r="N3271" s="8" t="s">
        <v>41</v>
      </c>
      <c r="O3271" s="8" t="s">
        <v>118</v>
      </c>
      <c r="P3271" s="6" t="s">
        <v>43</v>
      </c>
      <c r="Q3271" s="8" t="s">
        <v>44</v>
      </c>
      <c r="R3271" s="10" t="s">
        <v>1709</v>
      </c>
      <c r="S3271" s="11" t="s">
        <v>19655</v>
      </c>
      <c r="T3271" s="6"/>
      <c r="U3271" s="24" t="str">
        <f>HYPERLINK("https://media.infra-m.ru/1898/1898392/cover/1898392.jpg", "Обложка")</f>
        <v>Обложка</v>
      </c>
      <c r="V3271" s="24" t="str">
        <f>HYPERLINK("https://znanium.ru/catalog/product/1898392", "Ознакомиться")</f>
        <v>Ознакомиться</v>
      </c>
      <c r="W3271" s="8" t="s">
        <v>2878</v>
      </c>
      <c r="X3271" s="6"/>
      <c r="Y3271" s="6"/>
      <c r="Z3271" s="6"/>
      <c r="AA3271" s="6" t="s">
        <v>1259</v>
      </c>
      <c r="AB3271" s="8"/>
    </row>
    <row r="3272" spans="1:28" s="4" customFormat="1" ht="44.1" customHeight="1">
      <c r="A3272" s="5">
        <v>0</v>
      </c>
      <c r="B3272" s="6" t="s">
        <v>19656</v>
      </c>
      <c r="C3272" s="7">
        <v>850</v>
      </c>
      <c r="D3272" s="8" t="s">
        <v>19657</v>
      </c>
      <c r="E3272" s="8" t="s">
        <v>19658</v>
      </c>
      <c r="F3272" s="8" t="s">
        <v>19659</v>
      </c>
      <c r="G3272" s="6" t="s">
        <v>52</v>
      </c>
      <c r="H3272" s="6" t="s">
        <v>53</v>
      </c>
      <c r="I3272" s="8" t="s">
        <v>2048</v>
      </c>
      <c r="J3272" s="9">
        <v>1</v>
      </c>
      <c r="K3272" s="9">
        <v>175</v>
      </c>
      <c r="L3272" s="9">
        <v>2023</v>
      </c>
      <c r="M3272" s="8" t="s">
        <v>19660</v>
      </c>
      <c r="N3272" s="8" t="s">
        <v>41</v>
      </c>
      <c r="O3272" s="8" t="s">
        <v>1204</v>
      </c>
      <c r="P3272" s="6" t="s">
        <v>43</v>
      </c>
      <c r="Q3272" s="8" t="s">
        <v>44</v>
      </c>
      <c r="R3272" s="10" t="s">
        <v>19661</v>
      </c>
      <c r="S3272" s="11"/>
      <c r="T3272" s="6"/>
      <c r="U3272" s="24" t="str">
        <f>HYPERLINK("https://media.infra-m.ru/1013/1013724/cover/1013724.jpg", "Обложка")</f>
        <v>Обложка</v>
      </c>
      <c r="V3272" s="24" t="str">
        <f>HYPERLINK("https://znanium.ru/catalog/product/1013724", "Ознакомиться")</f>
        <v>Ознакомиться</v>
      </c>
      <c r="W3272" s="8" t="s">
        <v>19662</v>
      </c>
      <c r="X3272" s="6"/>
      <c r="Y3272" s="6"/>
      <c r="Z3272" s="6"/>
      <c r="AA3272" s="6" t="s">
        <v>207</v>
      </c>
      <c r="AB3272" s="8"/>
    </row>
    <row r="3273" spans="1:28" s="4" customFormat="1" ht="42" customHeight="1">
      <c r="A3273" s="5">
        <v>0</v>
      </c>
      <c r="B3273" s="6" t="s">
        <v>19663</v>
      </c>
      <c r="C3273" s="7">
        <v>980</v>
      </c>
      <c r="D3273" s="8" t="s">
        <v>19664</v>
      </c>
      <c r="E3273" s="8" t="s">
        <v>19665</v>
      </c>
      <c r="F3273" s="8" t="s">
        <v>19666</v>
      </c>
      <c r="G3273" s="6" t="s">
        <v>52</v>
      </c>
      <c r="H3273" s="6" t="s">
        <v>53</v>
      </c>
      <c r="I3273" s="8" t="s">
        <v>116</v>
      </c>
      <c r="J3273" s="9">
        <v>1</v>
      </c>
      <c r="K3273" s="9">
        <v>207</v>
      </c>
      <c r="L3273" s="9">
        <v>2024</v>
      </c>
      <c r="M3273" s="8" t="s">
        <v>19667</v>
      </c>
      <c r="N3273" s="8" t="s">
        <v>41</v>
      </c>
      <c r="O3273" s="8" t="s">
        <v>676</v>
      </c>
      <c r="P3273" s="6" t="s">
        <v>43</v>
      </c>
      <c r="Q3273" s="8" t="s">
        <v>58</v>
      </c>
      <c r="R3273" s="10" t="s">
        <v>791</v>
      </c>
      <c r="S3273" s="11"/>
      <c r="T3273" s="6"/>
      <c r="U3273" s="24" t="str">
        <f>HYPERLINK("https://media.infra-m.ru/2038/2038209/cover/2038209.jpg", "Обложка")</f>
        <v>Обложка</v>
      </c>
      <c r="V3273" s="24" t="str">
        <f>HYPERLINK("https://znanium.ru/catalog/product/2038209", "Ознакомиться")</f>
        <v>Ознакомиться</v>
      </c>
      <c r="W3273" s="8" t="s">
        <v>792</v>
      </c>
      <c r="X3273" s="6"/>
      <c r="Y3273" s="6"/>
      <c r="Z3273" s="6"/>
      <c r="AA3273" s="6" t="s">
        <v>133</v>
      </c>
      <c r="AB3273" s="8"/>
    </row>
    <row r="3274" spans="1:28" s="4" customFormat="1" ht="51.95" customHeight="1">
      <c r="A3274" s="5">
        <v>0</v>
      </c>
      <c r="B3274" s="6" t="s">
        <v>19668</v>
      </c>
      <c r="C3274" s="13">
        <v>1430</v>
      </c>
      <c r="D3274" s="8" t="s">
        <v>19669</v>
      </c>
      <c r="E3274" s="8" t="s">
        <v>19670</v>
      </c>
      <c r="F3274" s="8" t="s">
        <v>7752</v>
      </c>
      <c r="G3274" s="6" t="s">
        <v>89</v>
      </c>
      <c r="H3274" s="6" t="s">
        <v>53</v>
      </c>
      <c r="I3274" s="8" t="s">
        <v>116</v>
      </c>
      <c r="J3274" s="9">
        <v>1</v>
      </c>
      <c r="K3274" s="9">
        <v>297</v>
      </c>
      <c r="L3274" s="9">
        <v>2024</v>
      </c>
      <c r="M3274" s="8" t="s">
        <v>19671</v>
      </c>
      <c r="N3274" s="8" t="s">
        <v>41</v>
      </c>
      <c r="O3274" s="8" t="s">
        <v>118</v>
      </c>
      <c r="P3274" s="6" t="s">
        <v>43</v>
      </c>
      <c r="Q3274" s="8" t="s">
        <v>44</v>
      </c>
      <c r="R3274" s="10" t="s">
        <v>15769</v>
      </c>
      <c r="S3274" s="11" t="s">
        <v>19672</v>
      </c>
      <c r="T3274" s="6"/>
      <c r="U3274" s="24" t="str">
        <f>HYPERLINK("https://media.infra-m.ru/2125/2125118/cover/2125118.jpg", "Обложка")</f>
        <v>Обложка</v>
      </c>
      <c r="V3274" s="24" t="str">
        <f>HYPERLINK("https://znanium.ru/catalog/product/2125118", "Ознакомиться")</f>
        <v>Ознакомиться</v>
      </c>
      <c r="W3274" s="8" t="s">
        <v>19673</v>
      </c>
      <c r="X3274" s="6"/>
      <c r="Y3274" s="6"/>
      <c r="Z3274" s="6"/>
      <c r="AA3274" s="6" t="s">
        <v>207</v>
      </c>
      <c r="AB3274" s="8"/>
    </row>
    <row r="3275" spans="1:28" s="4" customFormat="1" ht="51.95" customHeight="1">
      <c r="A3275" s="5">
        <v>0</v>
      </c>
      <c r="B3275" s="6" t="s">
        <v>19674</v>
      </c>
      <c r="C3275" s="13">
        <v>1060</v>
      </c>
      <c r="D3275" s="8" t="s">
        <v>19675</v>
      </c>
      <c r="E3275" s="8" t="s">
        <v>19676</v>
      </c>
      <c r="F3275" s="8" t="s">
        <v>19677</v>
      </c>
      <c r="G3275" s="6" t="s">
        <v>89</v>
      </c>
      <c r="H3275" s="6" t="s">
        <v>53</v>
      </c>
      <c r="I3275" s="8" t="s">
        <v>276</v>
      </c>
      <c r="J3275" s="9">
        <v>1</v>
      </c>
      <c r="K3275" s="9">
        <v>212</v>
      </c>
      <c r="L3275" s="9">
        <v>2024</v>
      </c>
      <c r="M3275" s="8" t="s">
        <v>19678</v>
      </c>
      <c r="N3275" s="8" t="s">
        <v>41</v>
      </c>
      <c r="O3275" s="8" t="s">
        <v>1007</v>
      </c>
      <c r="P3275" s="6" t="s">
        <v>43</v>
      </c>
      <c r="Q3275" s="8" t="s">
        <v>279</v>
      </c>
      <c r="R3275" s="10" t="s">
        <v>5714</v>
      </c>
      <c r="S3275" s="11"/>
      <c r="T3275" s="6"/>
      <c r="U3275" s="24" t="str">
        <f>HYPERLINK("https://media.infra-m.ru/2106/2106723/cover/2106723.jpg", "Обложка")</f>
        <v>Обложка</v>
      </c>
      <c r="V3275" s="24" t="str">
        <f>HYPERLINK("https://znanium.ru/catalog/product/2106723", "Ознакомиться")</f>
        <v>Ознакомиться</v>
      </c>
      <c r="W3275" s="8" t="s">
        <v>4293</v>
      </c>
      <c r="X3275" s="6"/>
      <c r="Y3275" s="6"/>
      <c r="Z3275" s="6"/>
      <c r="AA3275" s="6" t="s">
        <v>207</v>
      </c>
      <c r="AB3275" s="8"/>
    </row>
    <row r="3276" spans="1:28" s="4" customFormat="1" ht="51.95" customHeight="1">
      <c r="A3276" s="5">
        <v>0</v>
      </c>
      <c r="B3276" s="6" t="s">
        <v>19679</v>
      </c>
      <c r="C3276" s="7">
        <v>774</v>
      </c>
      <c r="D3276" s="8" t="s">
        <v>19680</v>
      </c>
      <c r="E3276" s="8" t="s">
        <v>19681</v>
      </c>
      <c r="F3276" s="8" t="s">
        <v>6846</v>
      </c>
      <c r="G3276" s="6" t="s">
        <v>89</v>
      </c>
      <c r="H3276" s="6" t="s">
        <v>53</v>
      </c>
      <c r="I3276" s="8" t="s">
        <v>100</v>
      </c>
      <c r="J3276" s="9">
        <v>1</v>
      </c>
      <c r="K3276" s="9">
        <v>155</v>
      </c>
      <c r="L3276" s="9">
        <v>2025</v>
      </c>
      <c r="M3276" s="8" t="s">
        <v>19682</v>
      </c>
      <c r="N3276" s="8" t="s">
        <v>41</v>
      </c>
      <c r="O3276" s="8" t="s">
        <v>278</v>
      </c>
      <c r="P3276" s="6" t="s">
        <v>43</v>
      </c>
      <c r="Q3276" s="8" t="s">
        <v>102</v>
      </c>
      <c r="R3276" s="10" t="s">
        <v>18040</v>
      </c>
      <c r="S3276" s="11" t="s">
        <v>19683</v>
      </c>
      <c r="T3276" s="6"/>
      <c r="U3276" s="24" t="str">
        <f>HYPERLINK("https://media.infra-m.ru/2184/2184978/cover/2184978.jpg", "Обложка")</f>
        <v>Обложка</v>
      </c>
      <c r="V3276" s="24" t="str">
        <f>HYPERLINK("https://znanium.ru/catalog/product/2162575", "Ознакомиться")</f>
        <v>Ознакомиться</v>
      </c>
      <c r="W3276" s="8" t="s">
        <v>19684</v>
      </c>
      <c r="X3276" s="6"/>
      <c r="Y3276" s="6"/>
      <c r="Z3276" s="6"/>
      <c r="AA3276" s="6" t="s">
        <v>793</v>
      </c>
      <c r="AB3276" s="8" t="s">
        <v>2336</v>
      </c>
    </row>
    <row r="3277" spans="1:28" s="4" customFormat="1" ht="51.95" customHeight="1">
      <c r="A3277" s="5">
        <v>0</v>
      </c>
      <c r="B3277" s="6" t="s">
        <v>19685</v>
      </c>
      <c r="C3277" s="13">
        <v>1314</v>
      </c>
      <c r="D3277" s="8" t="s">
        <v>19686</v>
      </c>
      <c r="E3277" s="8" t="s">
        <v>19687</v>
      </c>
      <c r="F3277" s="8" t="s">
        <v>19688</v>
      </c>
      <c r="G3277" s="6" t="s">
        <v>89</v>
      </c>
      <c r="H3277" s="6" t="s">
        <v>53</v>
      </c>
      <c r="I3277" s="8" t="s">
        <v>276</v>
      </c>
      <c r="J3277" s="9">
        <v>1</v>
      </c>
      <c r="K3277" s="9">
        <v>252</v>
      </c>
      <c r="L3277" s="9">
        <v>2025</v>
      </c>
      <c r="M3277" s="8" t="s">
        <v>19689</v>
      </c>
      <c r="N3277" s="8" t="s">
        <v>79</v>
      </c>
      <c r="O3277" s="8" t="s">
        <v>148</v>
      </c>
      <c r="P3277" s="6" t="s">
        <v>43</v>
      </c>
      <c r="Q3277" s="8" t="s">
        <v>279</v>
      </c>
      <c r="R3277" s="10" t="s">
        <v>19690</v>
      </c>
      <c r="S3277" s="11" t="s">
        <v>19691</v>
      </c>
      <c r="T3277" s="6"/>
      <c r="U3277" s="24" t="str">
        <f>HYPERLINK("https://media.infra-m.ru/2196/2196131/cover/2196131.jpg", "Обложка")</f>
        <v>Обложка</v>
      </c>
      <c r="V3277" s="24" t="str">
        <f>HYPERLINK("https://znanium.ru/catalog/product/1907498", "Ознакомиться")</f>
        <v>Ознакомиться</v>
      </c>
      <c r="W3277" s="8" t="s">
        <v>637</v>
      </c>
      <c r="X3277" s="6"/>
      <c r="Y3277" s="6"/>
      <c r="Z3277" s="6"/>
      <c r="AA3277" s="6" t="s">
        <v>442</v>
      </c>
      <c r="AB3277" s="8" t="s">
        <v>271</v>
      </c>
    </row>
    <row r="3278" spans="1:28" s="4" customFormat="1" ht="51.95" customHeight="1">
      <c r="A3278" s="5">
        <v>0</v>
      </c>
      <c r="B3278" s="6" t="s">
        <v>19692</v>
      </c>
      <c r="C3278" s="13">
        <v>1784</v>
      </c>
      <c r="D3278" s="8" t="s">
        <v>19693</v>
      </c>
      <c r="E3278" s="8" t="s">
        <v>19694</v>
      </c>
      <c r="F3278" s="8" t="s">
        <v>19695</v>
      </c>
      <c r="G3278" s="6" t="s">
        <v>89</v>
      </c>
      <c r="H3278" s="6" t="s">
        <v>53</v>
      </c>
      <c r="I3278" s="8" t="s">
        <v>100</v>
      </c>
      <c r="J3278" s="9">
        <v>1</v>
      </c>
      <c r="K3278" s="9">
        <v>344</v>
      </c>
      <c r="L3278" s="9">
        <v>2025</v>
      </c>
      <c r="M3278" s="8" t="s">
        <v>19696</v>
      </c>
      <c r="N3278" s="8" t="s">
        <v>79</v>
      </c>
      <c r="O3278" s="8" t="s">
        <v>174</v>
      </c>
      <c r="P3278" s="6" t="s">
        <v>167</v>
      </c>
      <c r="Q3278" s="8" t="s">
        <v>102</v>
      </c>
      <c r="R3278" s="10" t="s">
        <v>19697</v>
      </c>
      <c r="S3278" s="11" t="s">
        <v>19698</v>
      </c>
      <c r="T3278" s="6"/>
      <c r="U3278" s="24" t="str">
        <f>HYPERLINK("https://media.infra-m.ru/2199/2199769/cover/2199769.jpg", "Обложка")</f>
        <v>Обложка</v>
      </c>
      <c r="V3278" s="24" t="str">
        <f>HYPERLINK("https://znanium.ru/catalog/product/2033536", "Ознакомиться")</f>
        <v>Ознакомиться</v>
      </c>
      <c r="W3278" s="8" t="s">
        <v>1642</v>
      </c>
      <c r="X3278" s="6"/>
      <c r="Y3278" s="6"/>
      <c r="Z3278" s="6"/>
      <c r="AA3278" s="6" t="s">
        <v>219</v>
      </c>
      <c r="AB3278" s="8"/>
    </row>
    <row r="3279" spans="1:28" s="4" customFormat="1" ht="51.95" customHeight="1">
      <c r="A3279" s="5">
        <v>0</v>
      </c>
      <c r="B3279" s="6" t="s">
        <v>19699</v>
      </c>
      <c r="C3279" s="13">
        <v>3300</v>
      </c>
      <c r="D3279" s="8" t="s">
        <v>19700</v>
      </c>
      <c r="E3279" s="8" t="s">
        <v>19701</v>
      </c>
      <c r="F3279" s="8" t="s">
        <v>16541</v>
      </c>
      <c r="G3279" s="6" t="s">
        <v>52</v>
      </c>
      <c r="H3279" s="6" t="s">
        <v>53</v>
      </c>
      <c r="I3279" s="8" t="s">
        <v>116</v>
      </c>
      <c r="J3279" s="9">
        <v>1</v>
      </c>
      <c r="K3279" s="9">
        <v>660</v>
      </c>
      <c r="L3279" s="9">
        <v>2025</v>
      </c>
      <c r="M3279" s="8" t="s">
        <v>19702</v>
      </c>
      <c r="N3279" s="8" t="s">
        <v>56</v>
      </c>
      <c r="O3279" s="8" t="s">
        <v>741</v>
      </c>
      <c r="P3279" s="6" t="s">
        <v>167</v>
      </c>
      <c r="Q3279" s="8" t="s">
        <v>58</v>
      </c>
      <c r="R3279" s="10" t="s">
        <v>6344</v>
      </c>
      <c r="S3279" s="11" t="s">
        <v>19703</v>
      </c>
      <c r="T3279" s="6" t="s">
        <v>299</v>
      </c>
      <c r="U3279" s="24" t="str">
        <f>HYPERLINK("https://media.infra-m.ru/2170/2170627/cover/2170627.jpg", "Обложка")</f>
        <v>Обложка</v>
      </c>
      <c r="V3279" s="24" t="str">
        <f>HYPERLINK("https://znanium.ru/catalog/product/2170627", "Ознакомиться")</f>
        <v>Ознакомиться</v>
      </c>
      <c r="W3279" s="8" t="s">
        <v>13535</v>
      </c>
      <c r="X3279" s="6"/>
      <c r="Y3279" s="6"/>
      <c r="Z3279" s="6"/>
      <c r="AA3279" s="6" t="s">
        <v>95</v>
      </c>
      <c r="AB3279" s="8"/>
    </row>
    <row r="3280" spans="1:28" s="4" customFormat="1" ht="51.95" customHeight="1">
      <c r="A3280" s="5">
        <v>0</v>
      </c>
      <c r="B3280" s="6" t="s">
        <v>19704</v>
      </c>
      <c r="C3280" s="13">
        <v>3300</v>
      </c>
      <c r="D3280" s="8" t="s">
        <v>19705</v>
      </c>
      <c r="E3280" s="8" t="s">
        <v>19701</v>
      </c>
      <c r="F3280" s="8" t="s">
        <v>16541</v>
      </c>
      <c r="G3280" s="6" t="s">
        <v>52</v>
      </c>
      <c r="H3280" s="6" t="s">
        <v>53</v>
      </c>
      <c r="I3280" s="8" t="s">
        <v>212</v>
      </c>
      <c r="J3280" s="9">
        <v>1</v>
      </c>
      <c r="K3280" s="9">
        <v>660</v>
      </c>
      <c r="L3280" s="9">
        <v>2025</v>
      </c>
      <c r="M3280" s="8" t="s">
        <v>19706</v>
      </c>
      <c r="N3280" s="8" t="s">
        <v>56</v>
      </c>
      <c r="O3280" s="8" t="s">
        <v>741</v>
      </c>
      <c r="P3280" s="6" t="s">
        <v>167</v>
      </c>
      <c r="Q3280" s="8" t="s">
        <v>214</v>
      </c>
      <c r="R3280" s="10" t="s">
        <v>19707</v>
      </c>
      <c r="S3280" s="11" t="s">
        <v>19708</v>
      </c>
      <c r="T3280" s="6" t="s">
        <v>299</v>
      </c>
      <c r="U3280" s="24" t="str">
        <f>HYPERLINK("https://media.infra-m.ru/2170/2170628/cover/2170628.jpg", "Обложка")</f>
        <v>Обложка</v>
      </c>
      <c r="V3280" s="24" t="str">
        <f>HYPERLINK("https://znanium.ru/catalog/product/2170628", "Ознакомиться")</f>
        <v>Ознакомиться</v>
      </c>
      <c r="W3280" s="8" t="s">
        <v>13535</v>
      </c>
      <c r="X3280" s="6"/>
      <c r="Y3280" s="6"/>
      <c r="Z3280" s="6" t="s">
        <v>19709</v>
      </c>
      <c r="AA3280" s="6" t="s">
        <v>95</v>
      </c>
      <c r="AB3280" s="8"/>
    </row>
    <row r="3281" spans="1:28" s="4" customFormat="1" ht="51.95" customHeight="1">
      <c r="A3281" s="5">
        <v>0</v>
      </c>
      <c r="B3281" s="6" t="s">
        <v>19710</v>
      </c>
      <c r="C3281" s="13">
        <v>1250</v>
      </c>
      <c r="D3281" s="8" t="s">
        <v>19711</v>
      </c>
      <c r="E3281" s="8" t="s">
        <v>19712</v>
      </c>
      <c r="F3281" s="8" t="s">
        <v>19713</v>
      </c>
      <c r="G3281" s="6" t="s">
        <v>89</v>
      </c>
      <c r="H3281" s="6" t="s">
        <v>53</v>
      </c>
      <c r="I3281" s="8" t="s">
        <v>116</v>
      </c>
      <c r="J3281" s="9">
        <v>1</v>
      </c>
      <c r="K3281" s="9">
        <v>272</v>
      </c>
      <c r="L3281" s="9">
        <v>2023</v>
      </c>
      <c r="M3281" s="8" t="s">
        <v>19714</v>
      </c>
      <c r="N3281" s="8" t="s">
        <v>997</v>
      </c>
      <c r="O3281" s="8" t="s">
        <v>998</v>
      </c>
      <c r="P3281" s="6" t="s">
        <v>167</v>
      </c>
      <c r="Q3281" s="8" t="s">
        <v>44</v>
      </c>
      <c r="R3281" s="10" t="s">
        <v>19715</v>
      </c>
      <c r="S3281" s="11" t="s">
        <v>19716</v>
      </c>
      <c r="T3281" s="6"/>
      <c r="U3281" s="24" t="str">
        <f>HYPERLINK("https://media.infra-m.ru/2039/2039902/cover/2039902.jpg", "Обложка")</f>
        <v>Обложка</v>
      </c>
      <c r="V3281" s="24" t="str">
        <f>HYPERLINK("https://znanium.ru/catalog/product/2039902", "Ознакомиться")</f>
        <v>Ознакомиться</v>
      </c>
      <c r="W3281" s="8" t="s">
        <v>6875</v>
      </c>
      <c r="X3281" s="6"/>
      <c r="Y3281" s="6"/>
      <c r="Z3281" s="6"/>
      <c r="AA3281" s="6" t="s">
        <v>258</v>
      </c>
      <c r="AB3281" s="8"/>
    </row>
    <row r="3282" spans="1:28" s="4" customFormat="1" ht="51.95" customHeight="1">
      <c r="A3282" s="5">
        <v>0</v>
      </c>
      <c r="B3282" s="6" t="s">
        <v>19717</v>
      </c>
      <c r="C3282" s="13">
        <v>1080</v>
      </c>
      <c r="D3282" s="8" t="s">
        <v>19718</v>
      </c>
      <c r="E3282" s="8" t="s">
        <v>19719</v>
      </c>
      <c r="F3282" s="8" t="s">
        <v>19720</v>
      </c>
      <c r="G3282" s="6" t="s">
        <v>89</v>
      </c>
      <c r="H3282" s="6" t="s">
        <v>53</v>
      </c>
      <c r="I3282" s="8" t="s">
        <v>116</v>
      </c>
      <c r="J3282" s="9">
        <v>1</v>
      </c>
      <c r="K3282" s="9">
        <v>209</v>
      </c>
      <c r="L3282" s="9">
        <v>2024</v>
      </c>
      <c r="M3282" s="8" t="s">
        <v>19721</v>
      </c>
      <c r="N3282" s="8" t="s">
        <v>997</v>
      </c>
      <c r="O3282" s="8" t="s">
        <v>998</v>
      </c>
      <c r="P3282" s="6" t="s">
        <v>167</v>
      </c>
      <c r="Q3282" s="8" t="s">
        <v>58</v>
      </c>
      <c r="R3282" s="10" t="s">
        <v>19722</v>
      </c>
      <c r="S3282" s="11" t="s">
        <v>19723</v>
      </c>
      <c r="T3282" s="6"/>
      <c r="U3282" s="24" t="str">
        <f>HYPERLINK("https://media.infra-m.ru/2107/2107436/cover/2107436.jpg", "Обложка")</f>
        <v>Обложка</v>
      </c>
      <c r="V3282" s="24" t="str">
        <f>HYPERLINK("https://znanium.ru/catalog/product/2107436", "Ознакомиться")</f>
        <v>Ознакомиться</v>
      </c>
      <c r="W3282" s="8" t="s">
        <v>2514</v>
      </c>
      <c r="X3282" s="6"/>
      <c r="Y3282" s="6"/>
      <c r="Z3282" s="6"/>
      <c r="AA3282" s="6" t="s">
        <v>160</v>
      </c>
      <c r="AB3282" s="8"/>
    </row>
    <row r="3283" spans="1:28" s="4" customFormat="1" ht="51.95" customHeight="1">
      <c r="A3283" s="5">
        <v>0</v>
      </c>
      <c r="B3283" s="6" t="s">
        <v>19724</v>
      </c>
      <c r="C3283" s="13">
        <v>1100</v>
      </c>
      <c r="D3283" s="8" t="s">
        <v>19725</v>
      </c>
      <c r="E3283" s="8" t="s">
        <v>19719</v>
      </c>
      <c r="F3283" s="8" t="s">
        <v>19726</v>
      </c>
      <c r="G3283" s="6" t="s">
        <v>89</v>
      </c>
      <c r="H3283" s="6" t="s">
        <v>39</v>
      </c>
      <c r="I3283" s="8" t="s">
        <v>100</v>
      </c>
      <c r="J3283" s="9">
        <v>1</v>
      </c>
      <c r="K3283" s="9">
        <v>208</v>
      </c>
      <c r="L3283" s="9">
        <v>2025</v>
      </c>
      <c r="M3283" s="8" t="s">
        <v>19727</v>
      </c>
      <c r="N3283" s="8" t="s">
        <v>997</v>
      </c>
      <c r="O3283" s="8" t="s">
        <v>998</v>
      </c>
      <c r="P3283" s="6" t="s">
        <v>43</v>
      </c>
      <c r="Q3283" s="8" t="s">
        <v>102</v>
      </c>
      <c r="R3283" s="10" t="s">
        <v>19728</v>
      </c>
      <c r="S3283" s="11" t="s">
        <v>19729</v>
      </c>
      <c r="T3283" s="6"/>
      <c r="U3283" s="24" t="str">
        <f>HYPERLINK("https://media.infra-m.ru/2184/2184532/cover/2184532.jpg", "Обложка")</f>
        <v>Обложка</v>
      </c>
      <c r="V3283" s="24" t="str">
        <f>HYPERLINK("https://znanium.ru/catalog/product/2184532", "Ознакомиться")</f>
        <v>Ознакомиться</v>
      </c>
      <c r="W3283" s="8" t="s">
        <v>71</v>
      </c>
      <c r="X3283" s="6"/>
      <c r="Y3283" s="6"/>
      <c r="Z3283" s="6"/>
      <c r="AA3283" s="6" t="s">
        <v>377</v>
      </c>
      <c r="AB3283" s="8"/>
    </row>
    <row r="3284" spans="1:28" s="4" customFormat="1" ht="51.95" customHeight="1">
      <c r="A3284" s="5">
        <v>0</v>
      </c>
      <c r="B3284" s="6" t="s">
        <v>19730</v>
      </c>
      <c r="C3284" s="7">
        <v>650</v>
      </c>
      <c r="D3284" s="8" t="s">
        <v>19731</v>
      </c>
      <c r="E3284" s="8" t="s">
        <v>19732</v>
      </c>
      <c r="F3284" s="8" t="s">
        <v>19733</v>
      </c>
      <c r="G3284" s="6" t="s">
        <v>52</v>
      </c>
      <c r="H3284" s="6" t="s">
        <v>53</v>
      </c>
      <c r="I3284" s="8" t="s">
        <v>712</v>
      </c>
      <c r="J3284" s="9">
        <v>1</v>
      </c>
      <c r="K3284" s="9">
        <v>153</v>
      </c>
      <c r="L3284" s="9">
        <v>2023</v>
      </c>
      <c r="M3284" s="8" t="s">
        <v>19734</v>
      </c>
      <c r="N3284" s="8" t="s">
        <v>79</v>
      </c>
      <c r="O3284" s="8" t="s">
        <v>396</v>
      </c>
      <c r="P3284" s="6" t="s">
        <v>43</v>
      </c>
      <c r="Q3284" s="8" t="s">
        <v>44</v>
      </c>
      <c r="R3284" s="10" t="s">
        <v>5343</v>
      </c>
      <c r="S3284" s="11" t="s">
        <v>19735</v>
      </c>
      <c r="T3284" s="6"/>
      <c r="U3284" s="24" t="str">
        <f>HYPERLINK("https://media.infra-m.ru/1981/1981737/cover/1981737.jpg", "Обложка")</f>
        <v>Обложка</v>
      </c>
      <c r="V3284" s="24" t="str">
        <f>HYPERLINK("https://znanium.ru/catalog/product/1981737", "Ознакомиться")</f>
        <v>Ознакомиться</v>
      </c>
      <c r="W3284" s="8" t="s">
        <v>716</v>
      </c>
      <c r="X3284" s="6"/>
      <c r="Y3284" s="6"/>
      <c r="Z3284" s="6"/>
      <c r="AA3284" s="6" t="s">
        <v>207</v>
      </c>
      <c r="AB3284" s="8"/>
    </row>
    <row r="3285" spans="1:28" s="4" customFormat="1" ht="51.95" customHeight="1">
      <c r="A3285" s="5">
        <v>0</v>
      </c>
      <c r="B3285" s="6" t="s">
        <v>19736</v>
      </c>
      <c r="C3285" s="7">
        <v>984</v>
      </c>
      <c r="D3285" s="8" t="s">
        <v>19737</v>
      </c>
      <c r="E3285" s="8" t="s">
        <v>19738</v>
      </c>
      <c r="F3285" s="8" t="s">
        <v>19739</v>
      </c>
      <c r="G3285" s="6" t="s">
        <v>89</v>
      </c>
      <c r="H3285" s="6" t="s">
        <v>53</v>
      </c>
      <c r="I3285" s="8" t="s">
        <v>4855</v>
      </c>
      <c r="J3285" s="9">
        <v>1</v>
      </c>
      <c r="K3285" s="9">
        <v>219</v>
      </c>
      <c r="L3285" s="9">
        <v>2023</v>
      </c>
      <c r="M3285" s="8" t="s">
        <v>19740</v>
      </c>
      <c r="N3285" s="8" t="s">
        <v>79</v>
      </c>
      <c r="O3285" s="8" t="s">
        <v>396</v>
      </c>
      <c r="P3285" s="6" t="s">
        <v>43</v>
      </c>
      <c r="Q3285" s="8" t="s">
        <v>44</v>
      </c>
      <c r="R3285" s="10" t="s">
        <v>13210</v>
      </c>
      <c r="S3285" s="11" t="s">
        <v>19741</v>
      </c>
      <c r="T3285" s="6"/>
      <c r="U3285" s="24" t="str">
        <f>HYPERLINK("https://media.infra-m.ru/2006/2006857/cover/2006857.jpg", "Обложка")</f>
        <v>Обложка</v>
      </c>
      <c r="V3285" s="12"/>
      <c r="W3285" s="8" t="s">
        <v>784</v>
      </c>
      <c r="X3285" s="6"/>
      <c r="Y3285" s="6"/>
      <c r="Z3285" s="6"/>
      <c r="AA3285" s="6" t="s">
        <v>196</v>
      </c>
      <c r="AB3285" s="8"/>
    </row>
    <row r="3286" spans="1:28" s="4" customFormat="1" ht="51.95" customHeight="1">
      <c r="A3286" s="5">
        <v>0</v>
      </c>
      <c r="B3286" s="6" t="s">
        <v>19742</v>
      </c>
      <c r="C3286" s="13">
        <v>2684</v>
      </c>
      <c r="D3286" s="8" t="s">
        <v>19743</v>
      </c>
      <c r="E3286" s="8" t="s">
        <v>19744</v>
      </c>
      <c r="F3286" s="8" t="s">
        <v>19745</v>
      </c>
      <c r="G3286" s="6" t="s">
        <v>89</v>
      </c>
      <c r="H3286" s="6" t="s">
        <v>53</v>
      </c>
      <c r="I3286" s="8" t="s">
        <v>1868</v>
      </c>
      <c r="J3286" s="9">
        <v>1</v>
      </c>
      <c r="K3286" s="9">
        <v>536</v>
      </c>
      <c r="L3286" s="9">
        <v>2025</v>
      </c>
      <c r="M3286" s="8" t="s">
        <v>19746</v>
      </c>
      <c r="N3286" s="8" t="s">
        <v>79</v>
      </c>
      <c r="O3286" s="8" t="s">
        <v>537</v>
      </c>
      <c r="P3286" s="6" t="s">
        <v>167</v>
      </c>
      <c r="Q3286" s="8" t="s">
        <v>214</v>
      </c>
      <c r="R3286" s="10" t="s">
        <v>19747</v>
      </c>
      <c r="S3286" s="11" t="s">
        <v>19748</v>
      </c>
      <c r="T3286" s="6"/>
      <c r="U3286" s="24" t="str">
        <f>HYPERLINK("https://media.infra-m.ru/2191/2191613/cover/2191613.jpg", "Обложка")</f>
        <v>Обложка</v>
      </c>
      <c r="V3286" s="12"/>
      <c r="W3286" s="8" t="s">
        <v>784</v>
      </c>
      <c r="X3286" s="6"/>
      <c r="Y3286" s="6"/>
      <c r="Z3286" s="6"/>
      <c r="AA3286" s="6" t="s">
        <v>442</v>
      </c>
      <c r="AB3286" s="8"/>
    </row>
    <row r="3287" spans="1:28" s="4" customFormat="1" ht="51.95" customHeight="1">
      <c r="A3287" s="5">
        <v>0</v>
      </c>
      <c r="B3287" s="6" t="s">
        <v>19749</v>
      </c>
      <c r="C3287" s="13">
        <v>1620</v>
      </c>
      <c r="D3287" s="8" t="s">
        <v>19750</v>
      </c>
      <c r="E3287" s="8" t="s">
        <v>19751</v>
      </c>
      <c r="F3287" s="8" t="s">
        <v>19752</v>
      </c>
      <c r="G3287" s="6" t="s">
        <v>89</v>
      </c>
      <c r="H3287" s="6" t="s">
        <v>649</v>
      </c>
      <c r="I3287" s="8" t="s">
        <v>100</v>
      </c>
      <c r="J3287" s="9">
        <v>1</v>
      </c>
      <c r="K3287" s="9">
        <v>318</v>
      </c>
      <c r="L3287" s="9">
        <v>2025</v>
      </c>
      <c r="M3287" s="8" t="s">
        <v>19753</v>
      </c>
      <c r="N3287" s="8" t="s">
        <v>79</v>
      </c>
      <c r="O3287" s="8" t="s">
        <v>537</v>
      </c>
      <c r="P3287" s="6" t="s">
        <v>167</v>
      </c>
      <c r="Q3287" s="8" t="s">
        <v>102</v>
      </c>
      <c r="R3287" s="10" t="s">
        <v>19754</v>
      </c>
      <c r="S3287" s="11" t="s">
        <v>242</v>
      </c>
      <c r="T3287" s="6"/>
      <c r="U3287" s="24" t="str">
        <f>HYPERLINK("https://media.infra-m.ru/2181/2181608/cover/2181608.jpg", "Обложка")</f>
        <v>Обложка</v>
      </c>
      <c r="V3287" s="24" t="str">
        <f>HYPERLINK("https://znanium.ru/catalog/product/2181608", "Ознакомиться")</f>
        <v>Ознакомиться</v>
      </c>
      <c r="W3287" s="8"/>
      <c r="X3287" s="6"/>
      <c r="Y3287" s="6" t="s">
        <v>30</v>
      </c>
      <c r="Z3287" s="6"/>
      <c r="AA3287" s="6" t="s">
        <v>1135</v>
      </c>
      <c r="AB3287" s="8"/>
    </row>
    <row r="3288" spans="1:28" s="4" customFormat="1" ht="51.95" customHeight="1">
      <c r="A3288" s="5">
        <v>0</v>
      </c>
      <c r="B3288" s="6" t="s">
        <v>19755</v>
      </c>
      <c r="C3288" s="13">
        <v>1190</v>
      </c>
      <c r="D3288" s="8" t="s">
        <v>19756</v>
      </c>
      <c r="E3288" s="8" t="s">
        <v>19757</v>
      </c>
      <c r="F3288" s="8" t="s">
        <v>19758</v>
      </c>
      <c r="G3288" s="6" t="s">
        <v>52</v>
      </c>
      <c r="H3288" s="6" t="s">
        <v>53</v>
      </c>
      <c r="I3288" s="8" t="s">
        <v>100</v>
      </c>
      <c r="J3288" s="9">
        <v>1</v>
      </c>
      <c r="K3288" s="9">
        <v>264</v>
      </c>
      <c r="L3288" s="9">
        <v>2023</v>
      </c>
      <c r="M3288" s="8" t="s">
        <v>19759</v>
      </c>
      <c r="N3288" s="8" t="s">
        <v>41</v>
      </c>
      <c r="O3288" s="8" t="s">
        <v>676</v>
      </c>
      <c r="P3288" s="6" t="s">
        <v>43</v>
      </c>
      <c r="Q3288" s="8" t="s">
        <v>102</v>
      </c>
      <c r="R3288" s="10" t="s">
        <v>19760</v>
      </c>
      <c r="S3288" s="11" t="s">
        <v>19761</v>
      </c>
      <c r="T3288" s="6"/>
      <c r="U3288" s="24" t="str">
        <f>HYPERLINK("https://media.infra-m.ru/1837/1837052/cover/1837052.jpg", "Обложка")</f>
        <v>Обложка</v>
      </c>
      <c r="V3288" s="24" t="str">
        <f>HYPERLINK("https://znanium.ru/catalog/product/1837052", "Ознакомиться")</f>
        <v>Ознакомиться</v>
      </c>
      <c r="W3288" s="8" t="s">
        <v>6076</v>
      </c>
      <c r="X3288" s="6"/>
      <c r="Y3288" s="6"/>
      <c r="Z3288" s="6"/>
      <c r="AA3288" s="6" t="s">
        <v>207</v>
      </c>
      <c r="AB3288" s="8"/>
    </row>
    <row r="3289" spans="1:28" s="4" customFormat="1" ht="42" customHeight="1">
      <c r="A3289" s="5">
        <v>0</v>
      </c>
      <c r="B3289" s="6" t="s">
        <v>19762</v>
      </c>
      <c r="C3289" s="13">
        <v>1384</v>
      </c>
      <c r="D3289" s="8" t="s">
        <v>19763</v>
      </c>
      <c r="E3289" s="8" t="s">
        <v>19764</v>
      </c>
      <c r="F3289" s="8" t="s">
        <v>19765</v>
      </c>
      <c r="G3289" s="6" t="s">
        <v>52</v>
      </c>
      <c r="H3289" s="6" t="s">
        <v>184</v>
      </c>
      <c r="I3289" s="8" t="s">
        <v>58</v>
      </c>
      <c r="J3289" s="9">
        <v>1</v>
      </c>
      <c r="K3289" s="9">
        <v>308</v>
      </c>
      <c r="L3289" s="9">
        <v>2023</v>
      </c>
      <c r="M3289" s="8" t="s">
        <v>19766</v>
      </c>
      <c r="N3289" s="8" t="s">
        <v>41</v>
      </c>
      <c r="O3289" s="8" t="s">
        <v>676</v>
      </c>
      <c r="P3289" s="6" t="s">
        <v>167</v>
      </c>
      <c r="Q3289" s="8" t="s">
        <v>102</v>
      </c>
      <c r="R3289" s="10" t="s">
        <v>19767</v>
      </c>
      <c r="S3289" s="11"/>
      <c r="T3289" s="6" t="s">
        <v>299</v>
      </c>
      <c r="U3289" s="24" t="str">
        <f>HYPERLINK("https://media.infra-m.ru/1998/1998960/cover/1998960.jpg", "Обложка")</f>
        <v>Обложка</v>
      </c>
      <c r="V3289" s="24" t="str">
        <f>HYPERLINK("https://znanium.ru/catalog/product/1081936", "Ознакомиться")</f>
        <v>Ознакомиться</v>
      </c>
      <c r="W3289" s="8" t="s">
        <v>234</v>
      </c>
      <c r="X3289" s="6"/>
      <c r="Y3289" s="6"/>
      <c r="Z3289" s="6"/>
      <c r="AA3289" s="6" t="s">
        <v>111</v>
      </c>
      <c r="AB3289" s="8"/>
    </row>
    <row r="3290" spans="1:28" s="4" customFormat="1" ht="51.95" customHeight="1">
      <c r="A3290" s="5">
        <v>0</v>
      </c>
      <c r="B3290" s="6" t="s">
        <v>19768</v>
      </c>
      <c r="C3290" s="13">
        <v>2194</v>
      </c>
      <c r="D3290" s="8" t="s">
        <v>19769</v>
      </c>
      <c r="E3290" s="8" t="s">
        <v>19764</v>
      </c>
      <c r="F3290" s="8" t="s">
        <v>19770</v>
      </c>
      <c r="G3290" s="6" t="s">
        <v>52</v>
      </c>
      <c r="H3290" s="6" t="s">
        <v>674</v>
      </c>
      <c r="I3290" s="8"/>
      <c r="J3290" s="9">
        <v>1</v>
      </c>
      <c r="K3290" s="9">
        <v>480</v>
      </c>
      <c r="L3290" s="9">
        <v>2023</v>
      </c>
      <c r="M3290" s="8" t="s">
        <v>19771</v>
      </c>
      <c r="N3290" s="8" t="s">
        <v>41</v>
      </c>
      <c r="O3290" s="8" t="s">
        <v>676</v>
      </c>
      <c r="P3290" s="6" t="s">
        <v>167</v>
      </c>
      <c r="Q3290" s="8" t="s">
        <v>44</v>
      </c>
      <c r="R3290" s="10" t="s">
        <v>19772</v>
      </c>
      <c r="S3290" s="11"/>
      <c r="T3290" s="6"/>
      <c r="U3290" s="24" t="str">
        <f>HYPERLINK("https://media.infra-m.ru/2043/2043261/cover/2043261.jpg", "Обложка")</f>
        <v>Обложка</v>
      </c>
      <c r="V3290" s="24" t="str">
        <f>HYPERLINK("https://znanium.ru/catalog/product/2043261", "Ознакомиться")</f>
        <v>Ознакомиться</v>
      </c>
      <c r="W3290" s="8" t="s">
        <v>347</v>
      </c>
      <c r="X3290" s="6"/>
      <c r="Y3290" s="6"/>
      <c r="Z3290" s="6"/>
      <c r="AA3290" s="6" t="s">
        <v>111</v>
      </c>
      <c r="AB3290" s="8"/>
    </row>
    <row r="3291" spans="1:28" s="4" customFormat="1" ht="51.95" customHeight="1">
      <c r="A3291" s="5">
        <v>0</v>
      </c>
      <c r="B3291" s="6" t="s">
        <v>19773</v>
      </c>
      <c r="C3291" s="13">
        <v>1844</v>
      </c>
      <c r="D3291" s="8" t="s">
        <v>19774</v>
      </c>
      <c r="E3291" s="8" t="s">
        <v>19775</v>
      </c>
      <c r="F3291" s="8" t="s">
        <v>19776</v>
      </c>
      <c r="G3291" s="6" t="s">
        <v>52</v>
      </c>
      <c r="H3291" s="6" t="s">
        <v>1738</v>
      </c>
      <c r="I3291" s="8"/>
      <c r="J3291" s="9">
        <v>1</v>
      </c>
      <c r="K3291" s="9">
        <v>400</v>
      </c>
      <c r="L3291" s="9">
        <v>2023</v>
      </c>
      <c r="M3291" s="8" t="s">
        <v>19777</v>
      </c>
      <c r="N3291" s="8" t="s">
        <v>41</v>
      </c>
      <c r="O3291" s="8" t="s">
        <v>676</v>
      </c>
      <c r="P3291" s="6" t="s">
        <v>167</v>
      </c>
      <c r="Q3291" s="8" t="s">
        <v>102</v>
      </c>
      <c r="R3291" s="10" t="s">
        <v>19778</v>
      </c>
      <c r="S3291" s="11" t="s">
        <v>19779</v>
      </c>
      <c r="T3291" s="6"/>
      <c r="U3291" s="24" t="str">
        <f>HYPERLINK("https://media.infra-m.ru/1891/1891842/cover/1891842.jpg", "Обложка")</f>
        <v>Обложка</v>
      </c>
      <c r="V3291" s="24" t="str">
        <f>HYPERLINK("https://znanium.ru/catalog/product/1032055", "Ознакомиться")</f>
        <v>Ознакомиться</v>
      </c>
      <c r="W3291" s="8" t="s">
        <v>2995</v>
      </c>
      <c r="X3291" s="6"/>
      <c r="Y3291" s="6"/>
      <c r="Z3291" s="6"/>
      <c r="AA3291" s="6" t="s">
        <v>377</v>
      </c>
      <c r="AB3291" s="8"/>
    </row>
    <row r="3292" spans="1:28" s="4" customFormat="1" ht="51.95" customHeight="1">
      <c r="A3292" s="5">
        <v>0</v>
      </c>
      <c r="B3292" s="6" t="s">
        <v>19780</v>
      </c>
      <c r="C3292" s="13">
        <v>1350</v>
      </c>
      <c r="D3292" s="8" t="s">
        <v>19781</v>
      </c>
      <c r="E3292" s="8" t="s">
        <v>19782</v>
      </c>
      <c r="F3292" s="8" t="s">
        <v>7114</v>
      </c>
      <c r="G3292" s="6" t="s">
        <v>38</v>
      </c>
      <c r="H3292" s="6" t="s">
        <v>184</v>
      </c>
      <c r="I3292" s="8" t="s">
        <v>2511</v>
      </c>
      <c r="J3292" s="14">
        <v>0</v>
      </c>
      <c r="K3292" s="9">
        <v>287</v>
      </c>
      <c r="L3292" s="9">
        <v>2024</v>
      </c>
      <c r="M3292" s="8" t="s">
        <v>19783</v>
      </c>
      <c r="N3292" s="8" t="s">
        <v>41</v>
      </c>
      <c r="O3292" s="8" t="s">
        <v>676</v>
      </c>
      <c r="P3292" s="6" t="s">
        <v>1046</v>
      </c>
      <c r="Q3292" s="8" t="s">
        <v>58</v>
      </c>
      <c r="R3292" s="10" t="s">
        <v>19784</v>
      </c>
      <c r="S3292" s="11"/>
      <c r="T3292" s="6"/>
      <c r="U3292" s="24" t="str">
        <f>HYPERLINK("https://media.infra-m.ru/2142/2142669/cover/2142669.jpg", "Обложка")</f>
        <v>Обложка</v>
      </c>
      <c r="V3292" s="24" t="str">
        <f>HYPERLINK("https://znanium.ru/catalog/product/2142669", "Ознакомиться")</f>
        <v>Ознакомиться</v>
      </c>
      <c r="W3292" s="8" t="s">
        <v>4830</v>
      </c>
      <c r="X3292" s="6" t="s">
        <v>3761</v>
      </c>
      <c r="Y3292" s="6"/>
      <c r="Z3292" s="6"/>
      <c r="AA3292" s="6" t="s">
        <v>105</v>
      </c>
      <c r="AB3292" s="8"/>
    </row>
    <row r="3293" spans="1:28" s="4" customFormat="1" ht="51.95" customHeight="1">
      <c r="A3293" s="5">
        <v>0</v>
      </c>
      <c r="B3293" s="6" t="s">
        <v>19785</v>
      </c>
      <c r="C3293" s="13">
        <v>1684</v>
      </c>
      <c r="D3293" s="8" t="s">
        <v>19786</v>
      </c>
      <c r="E3293" s="8" t="s">
        <v>19787</v>
      </c>
      <c r="F3293" s="8" t="s">
        <v>19788</v>
      </c>
      <c r="G3293" s="6" t="s">
        <v>52</v>
      </c>
      <c r="H3293" s="6" t="s">
        <v>77</v>
      </c>
      <c r="I3293" s="8"/>
      <c r="J3293" s="9">
        <v>1</v>
      </c>
      <c r="K3293" s="9">
        <v>336</v>
      </c>
      <c r="L3293" s="9">
        <v>2025</v>
      </c>
      <c r="M3293" s="8" t="s">
        <v>19789</v>
      </c>
      <c r="N3293" s="8" t="s">
        <v>79</v>
      </c>
      <c r="O3293" s="8" t="s">
        <v>80</v>
      </c>
      <c r="P3293" s="6" t="s">
        <v>43</v>
      </c>
      <c r="Q3293" s="8" t="s">
        <v>44</v>
      </c>
      <c r="R3293" s="10" t="s">
        <v>19790</v>
      </c>
      <c r="S3293" s="11" t="s">
        <v>19791</v>
      </c>
      <c r="T3293" s="6"/>
      <c r="U3293" s="24" t="str">
        <f>HYPERLINK("https://media.infra-m.ru/2166/2166675/cover/2166675.jpg", "Обложка")</f>
        <v>Обложка</v>
      </c>
      <c r="V3293" s="24" t="str">
        <f>HYPERLINK("https://znanium.ru/catalog/product/1840487", "Ознакомиться")</f>
        <v>Ознакомиться</v>
      </c>
      <c r="W3293" s="8" t="s">
        <v>19792</v>
      </c>
      <c r="X3293" s="6"/>
      <c r="Y3293" s="6"/>
      <c r="Z3293" s="6"/>
      <c r="AA3293" s="6" t="s">
        <v>326</v>
      </c>
      <c r="AB3293" s="8"/>
    </row>
    <row r="3294" spans="1:28" s="4" customFormat="1" ht="51.95" customHeight="1">
      <c r="A3294" s="5">
        <v>0</v>
      </c>
      <c r="B3294" s="6" t="s">
        <v>19793</v>
      </c>
      <c r="C3294" s="7">
        <v>880</v>
      </c>
      <c r="D3294" s="8" t="s">
        <v>19794</v>
      </c>
      <c r="E3294" s="8" t="s">
        <v>19795</v>
      </c>
      <c r="F3294" s="8" t="s">
        <v>19796</v>
      </c>
      <c r="G3294" s="6" t="s">
        <v>38</v>
      </c>
      <c r="H3294" s="6" t="s">
        <v>184</v>
      </c>
      <c r="I3294" s="8" t="s">
        <v>116</v>
      </c>
      <c r="J3294" s="9">
        <v>1</v>
      </c>
      <c r="K3294" s="9">
        <v>172</v>
      </c>
      <c r="L3294" s="9">
        <v>2025</v>
      </c>
      <c r="M3294" s="8" t="s">
        <v>19797</v>
      </c>
      <c r="N3294" s="8" t="s">
        <v>41</v>
      </c>
      <c r="O3294" s="8" t="s">
        <v>676</v>
      </c>
      <c r="P3294" s="6" t="s">
        <v>43</v>
      </c>
      <c r="Q3294" s="8" t="s">
        <v>58</v>
      </c>
      <c r="R3294" s="10" t="s">
        <v>806</v>
      </c>
      <c r="S3294" s="11" t="s">
        <v>19798</v>
      </c>
      <c r="T3294" s="6"/>
      <c r="U3294" s="24" t="str">
        <f>HYPERLINK("https://media.infra-m.ru/2161/2161543/cover/2161543.jpg", "Обложка")</f>
        <v>Обложка</v>
      </c>
      <c r="V3294" s="24" t="str">
        <f>HYPERLINK("https://znanium.ru/catalog/product/2161543", "Ознакомиться")</f>
        <v>Ознакомиться</v>
      </c>
      <c r="W3294" s="8" t="s">
        <v>678</v>
      </c>
      <c r="X3294" s="6"/>
      <c r="Y3294" s="6"/>
      <c r="Z3294" s="6"/>
      <c r="AA3294" s="6" t="s">
        <v>494</v>
      </c>
      <c r="AB3294" s="8"/>
    </row>
    <row r="3295" spans="1:28" s="4" customFormat="1" ht="51.95" customHeight="1">
      <c r="A3295" s="5">
        <v>0</v>
      </c>
      <c r="B3295" s="6" t="s">
        <v>19799</v>
      </c>
      <c r="C3295" s="7">
        <v>950</v>
      </c>
      <c r="D3295" s="8" t="s">
        <v>19800</v>
      </c>
      <c r="E3295" s="8" t="s">
        <v>19801</v>
      </c>
      <c r="F3295" s="8" t="s">
        <v>19802</v>
      </c>
      <c r="G3295" s="6" t="s">
        <v>89</v>
      </c>
      <c r="H3295" s="6" t="s">
        <v>53</v>
      </c>
      <c r="I3295" s="8" t="s">
        <v>90</v>
      </c>
      <c r="J3295" s="9">
        <v>1</v>
      </c>
      <c r="K3295" s="9">
        <v>210</v>
      </c>
      <c r="L3295" s="9">
        <v>2023</v>
      </c>
      <c r="M3295" s="8" t="s">
        <v>19803</v>
      </c>
      <c r="N3295" s="8" t="s">
        <v>997</v>
      </c>
      <c r="O3295" s="8" t="s">
        <v>998</v>
      </c>
      <c r="P3295" s="6" t="s">
        <v>43</v>
      </c>
      <c r="Q3295" s="8" t="s">
        <v>44</v>
      </c>
      <c r="R3295" s="10" t="s">
        <v>19804</v>
      </c>
      <c r="S3295" s="11" t="s">
        <v>19805</v>
      </c>
      <c r="T3295" s="6"/>
      <c r="U3295" s="24" t="str">
        <f>HYPERLINK("https://media.infra-m.ru/1993/1993507/cover/1993507.jpg", "Обложка")</f>
        <v>Обложка</v>
      </c>
      <c r="V3295" s="24" t="str">
        <f>HYPERLINK("https://znanium.ru/catalog/product/1993507", "Ознакомиться")</f>
        <v>Ознакомиться</v>
      </c>
      <c r="W3295" s="8" t="s">
        <v>5371</v>
      </c>
      <c r="X3295" s="6"/>
      <c r="Y3295" s="6"/>
      <c r="Z3295" s="6"/>
      <c r="AA3295" s="6" t="s">
        <v>326</v>
      </c>
      <c r="AB3295" s="8"/>
    </row>
    <row r="3296" spans="1:28" s="4" customFormat="1" ht="51.95" customHeight="1">
      <c r="A3296" s="5">
        <v>0</v>
      </c>
      <c r="B3296" s="6" t="s">
        <v>19806</v>
      </c>
      <c r="C3296" s="13">
        <v>1004</v>
      </c>
      <c r="D3296" s="8" t="s">
        <v>19807</v>
      </c>
      <c r="E3296" s="8" t="s">
        <v>19808</v>
      </c>
      <c r="F3296" s="8" t="s">
        <v>19809</v>
      </c>
      <c r="G3296" s="6" t="s">
        <v>89</v>
      </c>
      <c r="H3296" s="6" t="s">
        <v>53</v>
      </c>
      <c r="I3296" s="8" t="s">
        <v>116</v>
      </c>
      <c r="J3296" s="9">
        <v>1</v>
      </c>
      <c r="K3296" s="9">
        <v>205</v>
      </c>
      <c r="L3296" s="9">
        <v>2023</v>
      </c>
      <c r="M3296" s="8" t="s">
        <v>19810</v>
      </c>
      <c r="N3296" s="8" t="s">
        <v>56</v>
      </c>
      <c r="O3296" s="8" t="s">
        <v>57</v>
      </c>
      <c r="P3296" s="6" t="s">
        <v>167</v>
      </c>
      <c r="Q3296" s="8" t="s">
        <v>58</v>
      </c>
      <c r="R3296" s="10" t="s">
        <v>19811</v>
      </c>
      <c r="S3296" s="11" t="s">
        <v>19812</v>
      </c>
      <c r="T3296" s="6"/>
      <c r="U3296" s="24" t="str">
        <f>HYPERLINK("https://media.infra-m.ru/2081/2081018/cover/2081018.jpg", "Обложка")</f>
        <v>Обложка</v>
      </c>
      <c r="V3296" s="24" t="str">
        <f>HYPERLINK("https://znanium.ru/catalog/product/2063428", "Ознакомиться")</f>
        <v>Ознакомиться</v>
      </c>
      <c r="W3296" s="8" t="s">
        <v>2343</v>
      </c>
      <c r="X3296" s="6"/>
      <c r="Y3296" s="6"/>
      <c r="Z3296" s="6"/>
      <c r="AA3296" s="6" t="s">
        <v>235</v>
      </c>
      <c r="AB3296" s="8"/>
    </row>
    <row r="3297" spans="1:28" s="4" customFormat="1" ht="51.95" customHeight="1">
      <c r="A3297" s="5">
        <v>0</v>
      </c>
      <c r="B3297" s="6" t="s">
        <v>19813</v>
      </c>
      <c r="C3297" s="13">
        <v>1054</v>
      </c>
      <c r="D3297" s="8" t="s">
        <v>19814</v>
      </c>
      <c r="E3297" s="8" t="s">
        <v>19815</v>
      </c>
      <c r="F3297" s="8" t="s">
        <v>19816</v>
      </c>
      <c r="G3297" s="6" t="s">
        <v>52</v>
      </c>
      <c r="H3297" s="6" t="s">
        <v>53</v>
      </c>
      <c r="I3297" s="8" t="s">
        <v>90</v>
      </c>
      <c r="J3297" s="9">
        <v>1</v>
      </c>
      <c r="K3297" s="9">
        <v>224</v>
      </c>
      <c r="L3297" s="9">
        <v>2024</v>
      </c>
      <c r="M3297" s="8" t="s">
        <v>19817</v>
      </c>
      <c r="N3297" s="8" t="s">
        <v>41</v>
      </c>
      <c r="O3297" s="8" t="s">
        <v>278</v>
      </c>
      <c r="P3297" s="6" t="s">
        <v>43</v>
      </c>
      <c r="Q3297" s="8" t="s">
        <v>44</v>
      </c>
      <c r="R3297" s="10" t="s">
        <v>4226</v>
      </c>
      <c r="S3297" s="11"/>
      <c r="T3297" s="6"/>
      <c r="U3297" s="24" t="str">
        <f>HYPERLINK("https://media.infra-m.ru/2155/2155011/cover/2155011.jpg", "Обложка")</f>
        <v>Обложка</v>
      </c>
      <c r="V3297" s="24" t="str">
        <f>HYPERLINK("https://znanium.ru/catalog/product/1013802", "Ознакомиться")</f>
        <v>Ознакомиться</v>
      </c>
      <c r="W3297" s="8" t="s">
        <v>2080</v>
      </c>
      <c r="X3297" s="6"/>
      <c r="Y3297" s="6"/>
      <c r="Z3297" s="6"/>
      <c r="AA3297" s="6" t="s">
        <v>2423</v>
      </c>
      <c r="AB3297" s="8"/>
    </row>
    <row r="3298" spans="1:28" s="4" customFormat="1" ht="51.95" customHeight="1">
      <c r="A3298" s="5">
        <v>0</v>
      </c>
      <c r="B3298" s="6" t="s">
        <v>19818</v>
      </c>
      <c r="C3298" s="13">
        <v>2214</v>
      </c>
      <c r="D3298" s="8" t="s">
        <v>19819</v>
      </c>
      <c r="E3298" s="8" t="s">
        <v>19820</v>
      </c>
      <c r="F3298" s="8" t="s">
        <v>19821</v>
      </c>
      <c r="G3298" s="6" t="s">
        <v>52</v>
      </c>
      <c r="H3298" s="6" t="s">
        <v>53</v>
      </c>
      <c r="I3298" s="8" t="s">
        <v>90</v>
      </c>
      <c r="J3298" s="9">
        <v>1</v>
      </c>
      <c r="K3298" s="9">
        <v>437</v>
      </c>
      <c r="L3298" s="9">
        <v>2025</v>
      </c>
      <c r="M3298" s="8" t="s">
        <v>19822</v>
      </c>
      <c r="N3298" s="8" t="s">
        <v>41</v>
      </c>
      <c r="O3298" s="8" t="s">
        <v>278</v>
      </c>
      <c r="P3298" s="6" t="s">
        <v>167</v>
      </c>
      <c r="Q3298" s="8" t="s">
        <v>44</v>
      </c>
      <c r="R3298" s="10" t="s">
        <v>19823</v>
      </c>
      <c r="S3298" s="11" t="s">
        <v>19824</v>
      </c>
      <c r="T3298" s="6" t="s">
        <v>299</v>
      </c>
      <c r="U3298" s="24" t="str">
        <f>HYPERLINK("https://media.infra-m.ru/2179/2179726/cover/2179726.jpg", "Обложка")</f>
        <v>Обложка</v>
      </c>
      <c r="V3298" s="24" t="str">
        <f>HYPERLINK("https://znanium.ru/catalog/product/1940014", "Ознакомиться")</f>
        <v>Ознакомиться</v>
      </c>
      <c r="W3298" s="8" t="s">
        <v>1076</v>
      </c>
      <c r="X3298" s="6"/>
      <c r="Y3298" s="6"/>
      <c r="Z3298" s="6"/>
      <c r="AA3298" s="6" t="s">
        <v>1374</v>
      </c>
      <c r="AB3298" s="8"/>
    </row>
    <row r="3299" spans="1:28" s="4" customFormat="1" ht="51.95" customHeight="1">
      <c r="A3299" s="5">
        <v>0</v>
      </c>
      <c r="B3299" s="6" t="s">
        <v>19825</v>
      </c>
      <c r="C3299" s="13">
        <v>1174</v>
      </c>
      <c r="D3299" s="8" t="s">
        <v>19826</v>
      </c>
      <c r="E3299" s="8" t="s">
        <v>19820</v>
      </c>
      <c r="F3299" s="8" t="s">
        <v>19827</v>
      </c>
      <c r="G3299" s="6" t="s">
        <v>52</v>
      </c>
      <c r="H3299" s="6" t="s">
        <v>39</v>
      </c>
      <c r="I3299" s="8" t="s">
        <v>185</v>
      </c>
      <c r="J3299" s="9">
        <v>1</v>
      </c>
      <c r="K3299" s="9">
        <v>256</v>
      </c>
      <c r="L3299" s="9">
        <v>2024</v>
      </c>
      <c r="M3299" s="8" t="s">
        <v>19828</v>
      </c>
      <c r="N3299" s="8" t="s">
        <v>41</v>
      </c>
      <c r="O3299" s="8" t="s">
        <v>278</v>
      </c>
      <c r="P3299" s="6" t="s">
        <v>43</v>
      </c>
      <c r="Q3299" s="8" t="s">
        <v>102</v>
      </c>
      <c r="R3299" s="10" t="s">
        <v>1349</v>
      </c>
      <c r="S3299" s="11" t="s">
        <v>6083</v>
      </c>
      <c r="T3299" s="6"/>
      <c r="U3299" s="24" t="str">
        <f>HYPERLINK("https://media.infra-m.ru/2104/2104120/cover/2104120.jpg", "Обложка")</f>
        <v>Обложка</v>
      </c>
      <c r="V3299" s="24" t="str">
        <f>HYPERLINK("https://znanium.ru/catalog/product/2161525", "Ознакомиться")</f>
        <v>Ознакомиться</v>
      </c>
      <c r="W3299" s="8" t="s">
        <v>1449</v>
      </c>
      <c r="X3299" s="6"/>
      <c r="Y3299" s="6"/>
      <c r="Z3299" s="6"/>
      <c r="AA3299" s="6" t="s">
        <v>479</v>
      </c>
      <c r="AB3299" s="8" t="s">
        <v>11412</v>
      </c>
    </row>
    <row r="3300" spans="1:28" s="4" customFormat="1" ht="51.95" customHeight="1">
      <c r="A3300" s="5">
        <v>0</v>
      </c>
      <c r="B3300" s="6" t="s">
        <v>19829</v>
      </c>
      <c r="C3300" s="13">
        <v>1434</v>
      </c>
      <c r="D3300" s="8" t="s">
        <v>19830</v>
      </c>
      <c r="E3300" s="8" t="s">
        <v>19831</v>
      </c>
      <c r="F3300" s="8" t="s">
        <v>1446</v>
      </c>
      <c r="G3300" s="6" t="s">
        <v>52</v>
      </c>
      <c r="H3300" s="6" t="s">
        <v>53</v>
      </c>
      <c r="I3300" s="8" t="s">
        <v>100</v>
      </c>
      <c r="J3300" s="9">
        <v>1</v>
      </c>
      <c r="K3300" s="9">
        <v>288</v>
      </c>
      <c r="L3300" s="9">
        <v>2025</v>
      </c>
      <c r="M3300" s="8" t="s">
        <v>19832</v>
      </c>
      <c r="N3300" s="8" t="s">
        <v>41</v>
      </c>
      <c r="O3300" s="8" t="s">
        <v>278</v>
      </c>
      <c r="P3300" s="6" t="s">
        <v>43</v>
      </c>
      <c r="Q3300" s="8" t="s">
        <v>102</v>
      </c>
      <c r="R3300" s="10" t="s">
        <v>1349</v>
      </c>
      <c r="S3300" s="11" t="s">
        <v>620</v>
      </c>
      <c r="T3300" s="6"/>
      <c r="U3300" s="24" t="str">
        <f>HYPERLINK("https://media.infra-m.ru/2187/2187240/cover/2187240.jpg", "Обложка")</f>
        <v>Обложка</v>
      </c>
      <c r="V3300" s="24" t="str">
        <f>HYPERLINK("https://znanium.ru/catalog/product/2161525", "Ознакомиться")</f>
        <v>Ознакомиться</v>
      </c>
      <c r="W3300" s="8" t="s">
        <v>1449</v>
      </c>
      <c r="X3300" s="6"/>
      <c r="Y3300" s="6"/>
      <c r="Z3300" s="6"/>
      <c r="AA3300" s="6" t="s">
        <v>3787</v>
      </c>
      <c r="AB3300" s="8" t="s">
        <v>11412</v>
      </c>
    </row>
    <row r="3301" spans="1:28" s="4" customFormat="1" ht="51.95" customHeight="1">
      <c r="A3301" s="5">
        <v>0</v>
      </c>
      <c r="B3301" s="6" t="s">
        <v>19833</v>
      </c>
      <c r="C3301" s="7">
        <v>914.9</v>
      </c>
      <c r="D3301" s="8" t="s">
        <v>19834</v>
      </c>
      <c r="E3301" s="8" t="s">
        <v>19835</v>
      </c>
      <c r="F3301" s="8" t="s">
        <v>19836</v>
      </c>
      <c r="G3301" s="6" t="s">
        <v>52</v>
      </c>
      <c r="H3301" s="6" t="s">
        <v>53</v>
      </c>
      <c r="I3301" s="8" t="s">
        <v>90</v>
      </c>
      <c r="J3301" s="9">
        <v>1</v>
      </c>
      <c r="K3301" s="9">
        <v>313</v>
      </c>
      <c r="L3301" s="9">
        <v>2018</v>
      </c>
      <c r="M3301" s="8" t="s">
        <v>19837</v>
      </c>
      <c r="N3301" s="8" t="s">
        <v>41</v>
      </c>
      <c r="O3301" s="8" t="s">
        <v>278</v>
      </c>
      <c r="P3301" s="6" t="s">
        <v>167</v>
      </c>
      <c r="Q3301" s="8" t="s">
        <v>44</v>
      </c>
      <c r="R3301" s="10" t="s">
        <v>19823</v>
      </c>
      <c r="S3301" s="11" t="s">
        <v>19838</v>
      </c>
      <c r="T3301" s="6"/>
      <c r="U3301" s="24" t="str">
        <f>HYPERLINK("https://media.infra-m.ru/0935/0935429/cover/935429.jpg", "Обложка")</f>
        <v>Обложка</v>
      </c>
      <c r="V3301" s="24" t="str">
        <f>HYPERLINK("https://znanium.ru/catalog/product/1940014", "Ознакомиться")</f>
        <v>Ознакомиться</v>
      </c>
      <c r="W3301" s="8" t="s">
        <v>1076</v>
      </c>
      <c r="X3301" s="6"/>
      <c r="Y3301" s="6"/>
      <c r="Z3301" s="6"/>
      <c r="AA3301" s="6" t="s">
        <v>84</v>
      </c>
      <c r="AB3301" s="8"/>
    </row>
    <row r="3302" spans="1:28" s="4" customFormat="1" ht="51.95" customHeight="1">
      <c r="A3302" s="5">
        <v>0</v>
      </c>
      <c r="B3302" s="6" t="s">
        <v>19839</v>
      </c>
      <c r="C3302" s="13">
        <v>1324</v>
      </c>
      <c r="D3302" s="8" t="s">
        <v>19840</v>
      </c>
      <c r="E3302" s="8" t="s">
        <v>19820</v>
      </c>
      <c r="F3302" s="8" t="s">
        <v>19841</v>
      </c>
      <c r="G3302" s="6" t="s">
        <v>52</v>
      </c>
      <c r="H3302" s="6" t="s">
        <v>53</v>
      </c>
      <c r="I3302" s="8" t="s">
        <v>90</v>
      </c>
      <c r="J3302" s="9">
        <v>1</v>
      </c>
      <c r="K3302" s="9">
        <v>287</v>
      </c>
      <c r="L3302" s="9">
        <v>2024</v>
      </c>
      <c r="M3302" s="8" t="s">
        <v>19842</v>
      </c>
      <c r="N3302" s="8" t="s">
        <v>41</v>
      </c>
      <c r="O3302" s="8" t="s">
        <v>278</v>
      </c>
      <c r="P3302" s="6" t="s">
        <v>167</v>
      </c>
      <c r="Q3302" s="8" t="s">
        <v>44</v>
      </c>
      <c r="R3302" s="10" t="s">
        <v>168</v>
      </c>
      <c r="S3302" s="11" t="s">
        <v>19843</v>
      </c>
      <c r="T3302" s="6"/>
      <c r="U3302" s="24" t="str">
        <f>HYPERLINK("https://media.infra-m.ru/2087/2087741/cover/2087741.jpg", "Обложка")</f>
        <v>Обложка</v>
      </c>
      <c r="V3302" s="24" t="str">
        <f>HYPERLINK("https://znanium.ru/catalog/product/1067424", "Ознакомиться")</f>
        <v>Ознакомиться</v>
      </c>
      <c r="W3302" s="8" t="s">
        <v>2080</v>
      </c>
      <c r="X3302" s="6"/>
      <c r="Y3302" s="6"/>
      <c r="Z3302" s="6"/>
      <c r="AA3302" s="6" t="s">
        <v>494</v>
      </c>
      <c r="AB3302" s="8"/>
    </row>
    <row r="3303" spans="1:28" s="4" customFormat="1" ht="51.95" customHeight="1">
      <c r="A3303" s="5">
        <v>0</v>
      </c>
      <c r="B3303" s="6" t="s">
        <v>19844</v>
      </c>
      <c r="C3303" s="7">
        <v>834</v>
      </c>
      <c r="D3303" s="8" t="s">
        <v>19845</v>
      </c>
      <c r="E3303" s="8" t="s">
        <v>19846</v>
      </c>
      <c r="F3303" s="8" t="s">
        <v>19847</v>
      </c>
      <c r="G3303" s="6" t="s">
        <v>52</v>
      </c>
      <c r="H3303" s="6" t="s">
        <v>649</v>
      </c>
      <c r="I3303" s="8" t="s">
        <v>116</v>
      </c>
      <c r="J3303" s="9">
        <v>1</v>
      </c>
      <c r="K3303" s="9">
        <v>160</v>
      </c>
      <c r="L3303" s="9">
        <v>2025</v>
      </c>
      <c r="M3303" s="8" t="s">
        <v>19848</v>
      </c>
      <c r="N3303" s="8" t="s">
        <v>79</v>
      </c>
      <c r="O3303" s="8" t="s">
        <v>396</v>
      </c>
      <c r="P3303" s="6" t="s">
        <v>43</v>
      </c>
      <c r="Q3303" s="8" t="s">
        <v>44</v>
      </c>
      <c r="R3303" s="10" t="s">
        <v>19849</v>
      </c>
      <c r="S3303" s="11" t="s">
        <v>19850</v>
      </c>
      <c r="T3303" s="6"/>
      <c r="U3303" s="24" t="str">
        <f>HYPERLINK("https://media.infra-m.ru/2192/2192944/cover/2192944.jpg", "Обложка")</f>
        <v>Обложка</v>
      </c>
      <c r="V3303" s="24" t="str">
        <f>HYPERLINK("https://znanium.ru/catalog/product/1744830", "Ознакомиться")</f>
        <v>Ознакомиться</v>
      </c>
      <c r="W3303" s="8" t="s">
        <v>1571</v>
      </c>
      <c r="X3303" s="6"/>
      <c r="Y3303" s="6"/>
      <c r="Z3303" s="6"/>
      <c r="AA3303" s="6" t="s">
        <v>1461</v>
      </c>
      <c r="AB3303" s="8"/>
    </row>
    <row r="3304" spans="1:28" s="4" customFormat="1" ht="51.95" customHeight="1">
      <c r="A3304" s="5">
        <v>0</v>
      </c>
      <c r="B3304" s="6" t="s">
        <v>19851</v>
      </c>
      <c r="C3304" s="7">
        <v>740</v>
      </c>
      <c r="D3304" s="8" t="s">
        <v>19852</v>
      </c>
      <c r="E3304" s="8" t="s">
        <v>19846</v>
      </c>
      <c r="F3304" s="8" t="s">
        <v>19853</v>
      </c>
      <c r="G3304" s="6" t="s">
        <v>89</v>
      </c>
      <c r="H3304" s="6" t="s">
        <v>649</v>
      </c>
      <c r="I3304" s="8" t="s">
        <v>100</v>
      </c>
      <c r="J3304" s="9">
        <v>1</v>
      </c>
      <c r="K3304" s="9">
        <v>160</v>
      </c>
      <c r="L3304" s="9">
        <v>2024</v>
      </c>
      <c r="M3304" s="8" t="s">
        <v>19854</v>
      </c>
      <c r="N3304" s="8" t="s">
        <v>79</v>
      </c>
      <c r="O3304" s="8" t="s">
        <v>396</v>
      </c>
      <c r="P3304" s="6" t="s">
        <v>43</v>
      </c>
      <c r="Q3304" s="8" t="s">
        <v>102</v>
      </c>
      <c r="R3304" s="10" t="s">
        <v>19855</v>
      </c>
      <c r="S3304" s="11" t="s">
        <v>19856</v>
      </c>
      <c r="T3304" s="6"/>
      <c r="U3304" s="24" t="str">
        <f>HYPERLINK("https://media.infra-m.ru/2131/2131816/cover/2131816.jpg", "Обложка")</f>
        <v>Обложка</v>
      </c>
      <c r="V3304" s="24" t="str">
        <f>HYPERLINK("https://znanium.ru/catalog/product/2131816", "Ознакомиться")</f>
        <v>Ознакомиться</v>
      </c>
      <c r="W3304" s="8" t="s">
        <v>1571</v>
      </c>
      <c r="X3304" s="6"/>
      <c r="Y3304" s="6"/>
      <c r="Z3304" s="6" t="s">
        <v>104</v>
      </c>
      <c r="AA3304" s="6" t="s">
        <v>1259</v>
      </c>
      <c r="AB3304" s="8"/>
    </row>
    <row r="3305" spans="1:28" s="4" customFormat="1" ht="44.1" customHeight="1">
      <c r="A3305" s="5">
        <v>0</v>
      </c>
      <c r="B3305" s="6" t="s">
        <v>19857</v>
      </c>
      <c r="C3305" s="7">
        <v>764</v>
      </c>
      <c r="D3305" s="8" t="s">
        <v>19858</v>
      </c>
      <c r="E3305" s="8" t="s">
        <v>19859</v>
      </c>
      <c r="F3305" s="8" t="s">
        <v>19860</v>
      </c>
      <c r="G3305" s="6" t="s">
        <v>89</v>
      </c>
      <c r="H3305" s="6" t="s">
        <v>674</v>
      </c>
      <c r="I3305" s="8"/>
      <c r="J3305" s="9">
        <v>1</v>
      </c>
      <c r="K3305" s="9">
        <v>152</v>
      </c>
      <c r="L3305" s="9">
        <v>2025</v>
      </c>
      <c r="M3305" s="8" t="s">
        <v>19861</v>
      </c>
      <c r="N3305" s="8" t="s">
        <v>56</v>
      </c>
      <c r="O3305" s="8" t="s">
        <v>57</v>
      </c>
      <c r="P3305" s="6" t="s">
        <v>43</v>
      </c>
      <c r="Q3305" s="8" t="s">
        <v>44</v>
      </c>
      <c r="R3305" s="10" t="s">
        <v>8910</v>
      </c>
      <c r="S3305" s="11"/>
      <c r="T3305" s="6"/>
      <c r="U3305" s="24" t="str">
        <f>HYPERLINK("https://media.infra-m.ru/2193/2193017/cover/2193017.jpg", "Обложка")</f>
        <v>Обложка</v>
      </c>
      <c r="V3305" s="24" t="str">
        <f>HYPERLINK("https://znanium.ru/catalog/product/1996451", "Ознакомиться")</f>
        <v>Ознакомиться</v>
      </c>
      <c r="W3305" s="8" t="s">
        <v>792</v>
      </c>
      <c r="X3305" s="6"/>
      <c r="Y3305" s="6"/>
      <c r="Z3305" s="6"/>
      <c r="AA3305" s="6" t="s">
        <v>793</v>
      </c>
      <c r="AB3305" s="8"/>
    </row>
    <row r="3306" spans="1:28" s="4" customFormat="1" ht="51.95" customHeight="1">
      <c r="A3306" s="5">
        <v>0</v>
      </c>
      <c r="B3306" s="6" t="s">
        <v>19862</v>
      </c>
      <c r="C3306" s="13">
        <v>1550</v>
      </c>
      <c r="D3306" s="8" t="s">
        <v>19863</v>
      </c>
      <c r="E3306" s="8" t="s">
        <v>19864</v>
      </c>
      <c r="F3306" s="8" t="s">
        <v>19865</v>
      </c>
      <c r="G3306" s="6" t="s">
        <v>89</v>
      </c>
      <c r="H3306" s="6" t="s">
        <v>53</v>
      </c>
      <c r="I3306" s="8" t="s">
        <v>116</v>
      </c>
      <c r="J3306" s="9">
        <v>1</v>
      </c>
      <c r="K3306" s="9">
        <v>336</v>
      </c>
      <c r="L3306" s="9">
        <v>2024</v>
      </c>
      <c r="M3306" s="8" t="s">
        <v>19866</v>
      </c>
      <c r="N3306" s="8" t="s">
        <v>413</v>
      </c>
      <c r="O3306" s="8" t="s">
        <v>414</v>
      </c>
      <c r="P3306" s="6" t="s">
        <v>43</v>
      </c>
      <c r="Q3306" s="8" t="s">
        <v>44</v>
      </c>
      <c r="R3306" s="10" t="s">
        <v>19867</v>
      </c>
      <c r="S3306" s="11" t="s">
        <v>19868</v>
      </c>
      <c r="T3306" s="6" t="s">
        <v>299</v>
      </c>
      <c r="U3306" s="24" t="str">
        <f>HYPERLINK("https://media.infra-m.ru/2084/2084208/cover/2084208.jpg", "Обложка")</f>
        <v>Обложка</v>
      </c>
      <c r="V3306" s="24" t="str">
        <f>HYPERLINK("https://znanium.ru/catalog/product/2084208", "Ознакомиться")</f>
        <v>Ознакомиться</v>
      </c>
      <c r="W3306" s="8" t="s">
        <v>4293</v>
      </c>
      <c r="X3306" s="6"/>
      <c r="Y3306" s="6"/>
      <c r="Z3306" s="6"/>
      <c r="AA3306" s="6" t="s">
        <v>47</v>
      </c>
      <c r="AB3306" s="8"/>
    </row>
    <row r="3307" spans="1:28" s="4" customFormat="1" ht="51.95" customHeight="1">
      <c r="A3307" s="5">
        <v>0</v>
      </c>
      <c r="B3307" s="6" t="s">
        <v>19869</v>
      </c>
      <c r="C3307" s="13">
        <v>1010</v>
      </c>
      <c r="D3307" s="8" t="s">
        <v>19870</v>
      </c>
      <c r="E3307" s="8" t="s">
        <v>19871</v>
      </c>
      <c r="F3307" s="8" t="s">
        <v>19872</v>
      </c>
      <c r="G3307" s="6" t="s">
        <v>89</v>
      </c>
      <c r="H3307" s="6" t="s">
        <v>649</v>
      </c>
      <c r="I3307" s="8" t="s">
        <v>100</v>
      </c>
      <c r="J3307" s="9">
        <v>1</v>
      </c>
      <c r="K3307" s="9">
        <v>224</v>
      </c>
      <c r="L3307" s="9">
        <v>2023</v>
      </c>
      <c r="M3307" s="8" t="s">
        <v>19873</v>
      </c>
      <c r="N3307" s="8" t="s">
        <v>79</v>
      </c>
      <c r="O3307" s="8" t="s">
        <v>80</v>
      </c>
      <c r="P3307" s="6" t="s">
        <v>43</v>
      </c>
      <c r="Q3307" s="8" t="s">
        <v>102</v>
      </c>
      <c r="R3307" s="10" t="s">
        <v>19874</v>
      </c>
      <c r="S3307" s="11" t="s">
        <v>19875</v>
      </c>
      <c r="T3307" s="6"/>
      <c r="U3307" s="24" t="str">
        <f>HYPERLINK("https://media.infra-m.ru/2010/2010597/cover/2010597.jpg", "Обложка")</f>
        <v>Обложка</v>
      </c>
      <c r="V3307" s="24" t="str">
        <f>HYPERLINK("https://znanium.ru/catalog/product/2010597", "Ознакомиться")</f>
        <v>Ознакомиться</v>
      </c>
      <c r="W3307" s="8" t="s">
        <v>2216</v>
      </c>
      <c r="X3307" s="6"/>
      <c r="Y3307" s="6"/>
      <c r="Z3307" s="6" t="s">
        <v>104</v>
      </c>
      <c r="AA3307" s="6" t="s">
        <v>793</v>
      </c>
      <c r="AB3307" s="8"/>
    </row>
    <row r="3308" spans="1:28" s="4" customFormat="1" ht="51.95" customHeight="1">
      <c r="A3308" s="5">
        <v>0</v>
      </c>
      <c r="B3308" s="6" t="s">
        <v>19876</v>
      </c>
      <c r="C3308" s="7">
        <v>590</v>
      </c>
      <c r="D3308" s="8" t="s">
        <v>19877</v>
      </c>
      <c r="E3308" s="8" t="s">
        <v>19878</v>
      </c>
      <c r="F3308" s="8" t="s">
        <v>19879</v>
      </c>
      <c r="G3308" s="6" t="s">
        <v>38</v>
      </c>
      <c r="H3308" s="6" t="s">
        <v>53</v>
      </c>
      <c r="I3308" s="8" t="s">
        <v>100</v>
      </c>
      <c r="J3308" s="9">
        <v>1</v>
      </c>
      <c r="K3308" s="9">
        <v>118</v>
      </c>
      <c r="L3308" s="9">
        <v>2025</v>
      </c>
      <c r="M3308" s="8" t="s">
        <v>19880</v>
      </c>
      <c r="N3308" s="8" t="s">
        <v>79</v>
      </c>
      <c r="O3308" s="8" t="s">
        <v>80</v>
      </c>
      <c r="P3308" s="6" t="s">
        <v>43</v>
      </c>
      <c r="Q3308" s="8" t="s">
        <v>102</v>
      </c>
      <c r="R3308" s="10" t="s">
        <v>19881</v>
      </c>
      <c r="S3308" s="11" t="s">
        <v>4188</v>
      </c>
      <c r="T3308" s="6"/>
      <c r="U3308" s="24" t="str">
        <f>HYPERLINK("https://media.infra-m.ru/2171/2171259/cover/2171259.jpg", "Обложка")</f>
        <v>Обложка</v>
      </c>
      <c r="V3308" s="24" t="str">
        <f>HYPERLINK("https://znanium.ru/catalog/product/2171259", "Ознакомиться")</f>
        <v>Ознакомиться</v>
      </c>
      <c r="W3308" s="8" t="s">
        <v>10383</v>
      </c>
      <c r="X3308" s="6"/>
      <c r="Y3308" s="6"/>
      <c r="Z3308" s="6" t="s">
        <v>104</v>
      </c>
      <c r="AA3308" s="6" t="s">
        <v>151</v>
      </c>
      <c r="AB3308" s="8"/>
    </row>
    <row r="3309" spans="1:28" s="4" customFormat="1" ht="51.95" customHeight="1">
      <c r="A3309" s="5">
        <v>0</v>
      </c>
      <c r="B3309" s="6" t="s">
        <v>19882</v>
      </c>
      <c r="C3309" s="7">
        <v>544</v>
      </c>
      <c r="D3309" s="8" t="s">
        <v>19883</v>
      </c>
      <c r="E3309" s="8" t="s">
        <v>19878</v>
      </c>
      <c r="F3309" s="8" t="s">
        <v>19879</v>
      </c>
      <c r="G3309" s="6" t="s">
        <v>38</v>
      </c>
      <c r="H3309" s="6" t="s">
        <v>53</v>
      </c>
      <c r="I3309" s="8" t="s">
        <v>90</v>
      </c>
      <c r="J3309" s="9">
        <v>1</v>
      </c>
      <c r="K3309" s="9">
        <v>118</v>
      </c>
      <c r="L3309" s="9">
        <v>2023</v>
      </c>
      <c r="M3309" s="8" t="s">
        <v>19884</v>
      </c>
      <c r="N3309" s="8" t="s">
        <v>79</v>
      </c>
      <c r="O3309" s="8" t="s">
        <v>80</v>
      </c>
      <c r="P3309" s="6" t="s">
        <v>43</v>
      </c>
      <c r="Q3309" s="8" t="s">
        <v>44</v>
      </c>
      <c r="R3309" s="10" t="s">
        <v>19885</v>
      </c>
      <c r="S3309" s="11" t="s">
        <v>19886</v>
      </c>
      <c r="T3309" s="6"/>
      <c r="U3309" s="24" t="str">
        <f>HYPERLINK("https://media.infra-m.ru/1927/1927327/cover/1927327.jpg", "Обложка")</f>
        <v>Обложка</v>
      </c>
      <c r="V3309" s="24" t="str">
        <f>HYPERLINK("https://znanium.ru/catalog/product/1221179", "Ознакомиться")</f>
        <v>Ознакомиться</v>
      </c>
      <c r="W3309" s="8" t="s">
        <v>10383</v>
      </c>
      <c r="X3309" s="6"/>
      <c r="Y3309" s="6"/>
      <c r="Z3309" s="6"/>
      <c r="AA3309" s="6" t="s">
        <v>442</v>
      </c>
      <c r="AB3309" s="8"/>
    </row>
    <row r="3310" spans="1:28" s="4" customFormat="1" ht="51.95" customHeight="1">
      <c r="A3310" s="5">
        <v>0</v>
      </c>
      <c r="B3310" s="6" t="s">
        <v>19887</v>
      </c>
      <c r="C3310" s="7">
        <v>810</v>
      </c>
      <c r="D3310" s="8" t="s">
        <v>19888</v>
      </c>
      <c r="E3310" s="8" t="s">
        <v>19871</v>
      </c>
      <c r="F3310" s="8" t="s">
        <v>19872</v>
      </c>
      <c r="G3310" s="6" t="s">
        <v>89</v>
      </c>
      <c r="H3310" s="6" t="s">
        <v>649</v>
      </c>
      <c r="I3310" s="8" t="s">
        <v>90</v>
      </c>
      <c r="J3310" s="9">
        <v>1</v>
      </c>
      <c r="K3310" s="9">
        <v>224</v>
      </c>
      <c r="L3310" s="9">
        <v>2021</v>
      </c>
      <c r="M3310" s="8" t="s">
        <v>19889</v>
      </c>
      <c r="N3310" s="8" t="s">
        <v>79</v>
      </c>
      <c r="O3310" s="8" t="s">
        <v>80</v>
      </c>
      <c r="P3310" s="6" t="s">
        <v>43</v>
      </c>
      <c r="Q3310" s="8" t="s">
        <v>44</v>
      </c>
      <c r="R3310" s="10" t="s">
        <v>19890</v>
      </c>
      <c r="S3310" s="11" t="s">
        <v>19891</v>
      </c>
      <c r="T3310" s="6"/>
      <c r="U3310" s="24" t="str">
        <f>HYPERLINK("https://media.infra-m.ru/1225/1225391/cover/1225391.jpg", "Обложка")</f>
        <v>Обложка</v>
      </c>
      <c r="V3310" s="24" t="str">
        <f>HYPERLINK("https://znanium.ru/catalog/product/2165059", "Ознакомиться")</f>
        <v>Ознакомиться</v>
      </c>
      <c r="W3310" s="8" t="s">
        <v>2216</v>
      </c>
      <c r="X3310" s="6"/>
      <c r="Y3310" s="6"/>
      <c r="Z3310" s="6"/>
      <c r="AA3310" s="6" t="s">
        <v>72</v>
      </c>
      <c r="AB3310" s="8"/>
    </row>
    <row r="3311" spans="1:28" s="4" customFormat="1" ht="51.95" customHeight="1">
      <c r="A3311" s="5">
        <v>0</v>
      </c>
      <c r="B3311" s="6" t="s">
        <v>19892</v>
      </c>
      <c r="C3311" s="13">
        <v>1350</v>
      </c>
      <c r="D3311" s="8" t="s">
        <v>19893</v>
      </c>
      <c r="E3311" s="8" t="s">
        <v>19894</v>
      </c>
      <c r="F3311" s="8" t="s">
        <v>19895</v>
      </c>
      <c r="G3311" s="6" t="s">
        <v>89</v>
      </c>
      <c r="H3311" s="6" t="s">
        <v>53</v>
      </c>
      <c r="I3311" s="8" t="s">
        <v>116</v>
      </c>
      <c r="J3311" s="9">
        <v>1</v>
      </c>
      <c r="K3311" s="9">
        <v>269</v>
      </c>
      <c r="L3311" s="9">
        <v>2025</v>
      </c>
      <c r="M3311" s="8" t="s">
        <v>19896</v>
      </c>
      <c r="N3311" s="8" t="s">
        <v>79</v>
      </c>
      <c r="O3311" s="8" t="s">
        <v>80</v>
      </c>
      <c r="P3311" s="6" t="s">
        <v>43</v>
      </c>
      <c r="Q3311" s="8" t="s">
        <v>44</v>
      </c>
      <c r="R3311" s="10" t="s">
        <v>19890</v>
      </c>
      <c r="S3311" s="11" t="s">
        <v>2350</v>
      </c>
      <c r="T3311" s="6"/>
      <c r="U3311" s="24" t="str">
        <f>HYPERLINK("https://media.infra-m.ru/2165/2165059/cover/2165059.jpg", "Обложка")</f>
        <v>Обложка</v>
      </c>
      <c r="V3311" s="24" t="str">
        <f>HYPERLINK("https://znanium.ru/catalog/product/2165059", "Ознакомиться")</f>
        <v>Ознакомиться</v>
      </c>
      <c r="W3311" s="8" t="s">
        <v>2216</v>
      </c>
      <c r="X3311" s="6"/>
      <c r="Y3311" s="6"/>
      <c r="Z3311" s="6"/>
      <c r="AA3311" s="6" t="s">
        <v>95</v>
      </c>
      <c r="AB3311" s="8"/>
    </row>
    <row r="3312" spans="1:28" s="4" customFormat="1" ht="51.95" customHeight="1">
      <c r="A3312" s="5">
        <v>0</v>
      </c>
      <c r="B3312" s="6" t="s">
        <v>19897</v>
      </c>
      <c r="C3312" s="13">
        <v>1090</v>
      </c>
      <c r="D3312" s="8" t="s">
        <v>19898</v>
      </c>
      <c r="E3312" s="8" t="s">
        <v>19899</v>
      </c>
      <c r="F3312" s="8" t="s">
        <v>19900</v>
      </c>
      <c r="G3312" s="6" t="s">
        <v>52</v>
      </c>
      <c r="H3312" s="6" t="s">
        <v>53</v>
      </c>
      <c r="I3312" s="8" t="s">
        <v>100</v>
      </c>
      <c r="J3312" s="9">
        <v>1</v>
      </c>
      <c r="K3312" s="9">
        <v>211</v>
      </c>
      <c r="L3312" s="9">
        <v>2025</v>
      </c>
      <c r="M3312" s="8" t="s">
        <v>19901</v>
      </c>
      <c r="N3312" s="8" t="s">
        <v>79</v>
      </c>
      <c r="O3312" s="8" t="s">
        <v>80</v>
      </c>
      <c r="P3312" s="6" t="s">
        <v>43</v>
      </c>
      <c r="Q3312" s="8" t="s">
        <v>102</v>
      </c>
      <c r="R3312" s="10" t="s">
        <v>19902</v>
      </c>
      <c r="S3312" s="11"/>
      <c r="T3312" s="6"/>
      <c r="U3312" s="24" t="str">
        <f>HYPERLINK("https://media.infra-m.ru/2175/2175042/cover/2175042.jpg", "Обложка")</f>
        <v>Обложка</v>
      </c>
      <c r="V3312" s="24" t="str">
        <f>HYPERLINK("https://znanium.ru/catalog/product/2175042", "Ознакомиться")</f>
        <v>Ознакомиться</v>
      </c>
      <c r="W3312" s="8" t="s">
        <v>2216</v>
      </c>
      <c r="X3312" s="6" t="s">
        <v>132</v>
      </c>
      <c r="Y3312" s="6"/>
      <c r="Z3312" s="6" t="s">
        <v>104</v>
      </c>
      <c r="AA3312" s="6" t="s">
        <v>61</v>
      </c>
      <c r="AB3312" s="8"/>
    </row>
    <row r="3313" spans="1:28" s="4" customFormat="1" ht="51.95" customHeight="1">
      <c r="A3313" s="5">
        <v>0</v>
      </c>
      <c r="B3313" s="6" t="s">
        <v>19903</v>
      </c>
      <c r="C3313" s="7">
        <v>700</v>
      </c>
      <c r="D3313" s="8" t="s">
        <v>19904</v>
      </c>
      <c r="E3313" s="8" t="s">
        <v>19905</v>
      </c>
      <c r="F3313" s="8" t="s">
        <v>19906</v>
      </c>
      <c r="G3313" s="6" t="s">
        <v>38</v>
      </c>
      <c r="H3313" s="6" t="s">
        <v>184</v>
      </c>
      <c r="I3313" s="8" t="s">
        <v>90</v>
      </c>
      <c r="J3313" s="9">
        <v>1</v>
      </c>
      <c r="K3313" s="9">
        <v>194</v>
      </c>
      <c r="L3313" s="9">
        <v>2020</v>
      </c>
      <c r="M3313" s="8" t="s">
        <v>19907</v>
      </c>
      <c r="N3313" s="8" t="s">
        <v>997</v>
      </c>
      <c r="O3313" s="8" t="s">
        <v>998</v>
      </c>
      <c r="P3313" s="6" t="s">
        <v>175</v>
      </c>
      <c r="Q3313" s="8" t="s">
        <v>44</v>
      </c>
      <c r="R3313" s="10" t="s">
        <v>7695</v>
      </c>
      <c r="S3313" s="11"/>
      <c r="T3313" s="6"/>
      <c r="U3313" s="24" t="str">
        <f>HYPERLINK("https://media.infra-m.ru/1181/1181039/cover/1181039.jpg", "Обложка")</f>
        <v>Обложка</v>
      </c>
      <c r="V3313" s="24" t="str">
        <f>HYPERLINK("https://znanium.ru/catalog/product/1181039", "Ознакомиться")</f>
        <v>Ознакомиться</v>
      </c>
      <c r="W3313" s="8" t="s">
        <v>19908</v>
      </c>
      <c r="X3313" s="6"/>
      <c r="Y3313" s="6"/>
      <c r="Z3313" s="6"/>
      <c r="AA3313" s="6" t="s">
        <v>2001</v>
      </c>
      <c r="AB3313" s="8"/>
    </row>
    <row r="3314" spans="1:28" s="4" customFormat="1" ht="51.95" customHeight="1">
      <c r="A3314" s="5">
        <v>0</v>
      </c>
      <c r="B3314" s="6" t="s">
        <v>19909</v>
      </c>
      <c r="C3314" s="13">
        <v>1030</v>
      </c>
      <c r="D3314" s="8" t="s">
        <v>19910</v>
      </c>
      <c r="E3314" s="8" t="s">
        <v>19911</v>
      </c>
      <c r="F3314" s="8" t="s">
        <v>19906</v>
      </c>
      <c r="G3314" s="6" t="s">
        <v>38</v>
      </c>
      <c r="H3314" s="6" t="s">
        <v>184</v>
      </c>
      <c r="I3314" s="8" t="s">
        <v>116</v>
      </c>
      <c r="J3314" s="9">
        <v>1</v>
      </c>
      <c r="K3314" s="9">
        <v>228</v>
      </c>
      <c r="L3314" s="9">
        <v>2021</v>
      </c>
      <c r="M3314" s="8" t="s">
        <v>19912</v>
      </c>
      <c r="N3314" s="8" t="s">
        <v>997</v>
      </c>
      <c r="O3314" s="8" t="s">
        <v>998</v>
      </c>
      <c r="P3314" s="6" t="s">
        <v>175</v>
      </c>
      <c r="Q3314" s="8" t="s">
        <v>44</v>
      </c>
      <c r="R3314" s="10" t="s">
        <v>7695</v>
      </c>
      <c r="S3314" s="11"/>
      <c r="T3314" s="6"/>
      <c r="U3314" s="24" t="str">
        <f>HYPERLINK("https://media.infra-m.ru/1946/1946440/cover/1946440.jpg", "Обложка")</f>
        <v>Обложка</v>
      </c>
      <c r="V3314" s="24" t="str">
        <f>HYPERLINK("https://znanium.ru/catalog/product/1181039", "Ознакомиться")</f>
        <v>Ознакомиться</v>
      </c>
      <c r="W3314" s="8" t="s">
        <v>19908</v>
      </c>
      <c r="X3314" s="6"/>
      <c r="Y3314" s="6"/>
      <c r="Z3314" s="6"/>
      <c r="AA3314" s="6" t="s">
        <v>867</v>
      </c>
      <c r="AB3314" s="8"/>
    </row>
    <row r="3315" spans="1:28" s="4" customFormat="1" ht="51.95" customHeight="1">
      <c r="A3315" s="5">
        <v>0</v>
      </c>
      <c r="B3315" s="6" t="s">
        <v>19913</v>
      </c>
      <c r="C3315" s="7">
        <v>590</v>
      </c>
      <c r="D3315" s="8" t="s">
        <v>19914</v>
      </c>
      <c r="E3315" s="8" t="s">
        <v>19915</v>
      </c>
      <c r="F3315" s="8" t="s">
        <v>19916</v>
      </c>
      <c r="G3315" s="6" t="s">
        <v>38</v>
      </c>
      <c r="H3315" s="6" t="s">
        <v>53</v>
      </c>
      <c r="I3315" s="8" t="s">
        <v>100</v>
      </c>
      <c r="J3315" s="9">
        <v>1</v>
      </c>
      <c r="K3315" s="9">
        <v>124</v>
      </c>
      <c r="L3315" s="9">
        <v>2023</v>
      </c>
      <c r="M3315" s="8" t="s">
        <v>19917</v>
      </c>
      <c r="N3315" s="8" t="s">
        <v>79</v>
      </c>
      <c r="O3315" s="8" t="s">
        <v>396</v>
      </c>
      <c r="P3315" s="6" t="s">
        <v>43</v>
      </c>
      <c r="Q3315" s="8" t="s">
        <v>102</v>
      </c>
      <c r="R3315" s="10" t="s">
        <v>19918</v>
      </c>
      <c r="S3315" s="11" t="s">
        <v>19919</v>
      </c>
      <c r="T3315" s="6"/>
      <c r="U3315" s="24" t="str">
        <f>HYPERLINK("https://media.infra-m.ru/1976/1976133/cover/1976133.jpg", "Обложка")</f>
        <v>Обложка</v>
      </c>
      <c r="V3315" s="24" t="str">
        <f>HYPERLINK("https://znanium.ru/catalog/product/1976133", "Ознакомиться")</f>
        <v>Ознакомиться</v>
      </c>
      <c r="W3315" s="8" t="s">
        <v>1514</v>
      </c>
      <c r="X3315" s="6"/>
      <c r="Y3315" s="6"/>
      <c r="Z3315" s="6" t="s">
        <v>104</v>
      </c>
      <c r="AA3315" s="6" t="s">
        <v>793</v>
      </c>
      <c r="AB3315" s="8"/>
    </row>
    <row r="3316" spans="1:28" s="4" customFormat="1" ht="51.95" customHeight="1">
      <c r="A3316" s="5">
        <v>0</v>
      </c>
      <c r="B3316" s="6" t="s">
        <v>19920</v>
      </c>
      <c r="C3316" s="13">
        <v>1234</v>
      </c>
      <c r="D3316" s="8" t="s">
        <v>19921</v>
      </c>
      <c r="E3316" s="8" t="s">
        <v>19922</v>
      </c>
      <c r="F3316" s="8" t="s">
        <v>8178</v>
      </c>
      <c r="G3316" s="6" t="s">
        <v>89</v>
      </c>
      <c r="H3316" s="6" t="s">
        <v>53</v>
      </c>
      <c r="I3316" s="8" t="s">
        <v>100</v>
      </c>
      <c r="J3316" s="9">
        <v>1</v>
      </c>
      <c r="K3316" s="9">
        <v>236</v>
      </c>
      <c r="L3316" s="9">
        <v>2025</v>
      </c>
      <c r="M3316" s="8" t="s">
        <v>19923</v>
      </c>
      <c r="N3316" s="8" t="s">
        <v>79</v>
      </c>
      <c r="O3316" s="8" t="s">
        <v>80</v>
      </c>
      <c r="P3316" s="6" t="s">
        <v>43</v>
      </c>
      <c r="Q3316" s="8" t="s">
        <v>102</v>
      </c>
      <c r="R3316" s="10" t="s">
        <v>19924</v>
      </c>
      <c r="S3316" s="11" t="s">
        <v>19925</v>
      </c>
      <c r="T3316" s="6"/>
      <c r="U3316" s="24" t="str">
        <f>HYPERLINK("https://media.infra-m.ru/2199/2199936/cover/2199936.jpg", "Обложка")</f>
        <v>Обложка</v>
      </c>
      <c r="V3316" s="24" t="str">
        <f>HYPERLINK("https://znanium.ru/catalog/product/2073477", "Ознакомиться")</f>
        <v>Ознакомиться</v>
      </c>
      <c r="W3316" s="8"/>
      <c r="X3316" s="6"/>
      <c r="Y3316" s="6"/>
      <c r="Z3316" s="6"/>
      <c r="AA3316" s="6" t="s">
        <v>207</v>
      </c>
      <c r="AB3316" s="8"/>
    </row>
    <row r="3317" spans="1:28" s="4" customFormat="1" ht="51.95" customHeight="1">
      <c r="A3317" s="5">
        <v>0</v>
      </c>
      <c r="B3317" s="6" t="s">
        <v>19926</v>
      </c>
      <c r="C3317" s="13">
        <v>1914</v>
      </c>
      <c r="D3317" s="8" t="s">
        <v>19927</v>
      </c>
      <c r="E3317" s="8" t="s">
        <v>19928</v>
      </c>
      <c r="F3317" s="8" t="s">
        <v>19929</v>
      </c>
      <c r="G3317" s="6" t="s">
        <v>89</v>
      </c>
      <c r="H3317" s="6" t="s">
        <v>39</v>
      </c>
      <c r="I3317" s="8" t="s">
        <v>100</v>
      </c>
      <c r="J3317" s="9">
        <v>1</v>
      </c>
      <c r="K3317" s="9">
        <v>416</v>
      </c>
      <c r="L3317" s="9">
        <v>2024</v>
      </c>
      <c r="M3317" s="8" t="s">
        <v>19930</v>
      </c>
      <c r="N3317" s="8" t="s">
        <v>79</v>
      </c>
      <c r="O3317" s="8" t="s">
        <v>80</v>
      </c>
      <c r="P3317" s="6" t="s">
        <v>43</v>
      </c>
      <c r="Q3317" s="8" t="s">
        <v>102</v>
      </c>
      <c r="R3317" s="10" t="s">
        <v>19931</v>
      </c>
      <c r="S3317" s="11" t="s">
        <v>4951</v>
      </c>
      <c r="T3317" s="6"/>
      <c r="U3317" s="24" t="str">
        <f>HYPERLINK("https://media.infra-m.ru/2054/2054226/cover/2054226.jpg", "Обложка")</f>
        <v>Обложка</v>
      </c>
      <c r="V3317" s="24" t="str">
        <f>HYPERLINK("https://znanium.ru/catalog/product/1190668", "Ознакомиться")</f>
        <v>Ознакомиться</v>
      </c>
      <c r="W3317" s="8" t="s">
        <v>2201</v>
      </c>
      <c r="X3317" s="6"/>
      <c r="Y3317" s="6"/>
      <c r="Z3317" s="6"/>
      <c r="AA3317" s="6" t="s">
        <v>407</v>
      </c>
      <c r="AB3317" s="8"/>
    </row>
    <row r="3318" spans="1:28" s="4" customFormat="1" ht="51.95" customHeight="1">
      <c r="A3318" s="5">
        <v>0</v>
      </c>
      <c r="B3318" s="6" t="s">
        <v>19932</v>
      </c>
      <c r="C3318" s="13">
        <v>1190</v>
      </c>
      <c r="D3318" s="8" t="s">
        <v>19933</v>
      </c>
      <c r="E3318" s="8" t="s">
        <v>19922</v>
      </c>
      <c r="F3318" s="8" t="s">
        <v>19934</v>
      </c>
      <c r="G3318" s="6" t="s">
        <v>52</v>
      </c>
      <c r="H3318" s="6" t="s">
        <v>53</v>
      </c>
      <c r="I3318" s="8" t="s">
        <v>100</v>
      </c>
      <c r="J3318" s="9">
        <v>1</v>
      </c>
      <c r="K3318" s="9">
        <v>229</v>
      </c>
      <c r="L3318" s="9">
        <v>2025</v>
      </c>
      <c r="M3318" s="8" t="s">
        <v>19935</v>
      </c>
      <c r="N3318" s="8" t="s">
        <v>79</v>
      </c>
      <c r="O3318" s="8" t="s">
        <v>80</v>
      </c>
      <c r="P3318" s="6" t="s">
        <v>43</v>
      </c>
      <c r="Q3318" s="8" t="s">
        <v>102</v>
      </c>
      <c r="R3318" s="10" t="s">
        <v>19936</v>
      </c>
      <c r="S3318" s="11"/>
      <c r="T3318" s="6"/>
      <c r="U3318" s="24" t="str">
        <f>HYPERLINK("https://media.infra-m.ru/1096/1096072/cover/1096072.jpg", "Обложка")</f>
        <v>Обложка</v>
      </c>
      <c r="V3318" s="24" t="str">
        <f>HYPERLINK("https://znanium.ru/catalog/product/1096072", "Ознакомиться")</f>
        <v>Ознакомиться</v>
      </c>
      <c r="W3318" s="8" t="s">
        <v>10383</v>
      </c>
      <c r="X3318" s="6" t="s">
        <v>389</v>
      </c>
      <c r="Y3318" s="6"/>
      <c r="Z3318" s="6"/>
      <c r="AA3318" s="6" t="s">
        <v>61</v>
      </c>
      <c r="AB3318" s="8"/>
    </row>
    <row r="3319" spans="1:28" s="4" customFormat="1" ht="51.95" customHeight="1">
      <c r="A3319" s="5">
        <v>0</v>
      </c>
      <c r="B3319" s="6" t="s">
        <v>19937</v>
      </c>
      <c r="C3319" s="13">
        <v>1000</v>
      </c>
      <c r="D3319" s="8" t="s">
        <v>19938</v>
      </c>
      <c r="E3319" s="8" t="s">
        <v>19899</v>
      </c>
      <c r="F3319" s="8" t="s">
        <v>19900</v>
      </c>
      <c r="G3319" s="6" t="s">
        <v>52</v>
      </c>
      <c r="H3319" s="6" t="s">
        <v>53</v>
      </c>
      <c r="I3319" s="8" t="s">
        <v>116</v>
      </c>
      <c r="J3319" s="9">
        <v>1</v>
      </c>
      <c r="K3319" s="9">
        <v>211</v>
      </c>
      <c r="L3319" s="9">
        <v>2024</v>
      </c>
      <c r="M3319" s="8" t="s">
        <v>19939</v>
      </c>
      <c r="N3319" s="8" t="s">
        <v>79</v>
      </c>
      <c r="O3319" s="8" t="s">
        <v>80</v>
      </c>
      <c r="P3319" s="6" t="s">
        <v>43</v>
      </c>
      <c r="Q3319" s="8" t="s">
        <v>44</v>
      </c>
      <c r="R3319" s="10" t="s">
        <v>19940</v>
      </c>
      <c r="S3319" s="11"/>
      <c r="T3319" s="6"/>
      <c r="U3319" s="24" t="str">
        <f>HYPERLINK("https://media.infra-m.ru/1872/1872684/cover/1872684.jpg", "Обложка")</f>
        <v>Обложка</v>
      </c>
      <c r="V3319" s="24" t="str">
        <f>HYPERLINK("https://znanium.ru/catalog/product/1872684", "Ознакомиться")</f>
        <v>Ознакомиться</v>
      </c>
      <c r="W3319" s="8" t="s">
        <v>2216</v>
      </c>
      <c r="X3319" s="6"/>
      <c r="Y3319" s="6"/>
      <c r="Z3319" s="6"/>
      <c r="AA3319" s="6" t="s">
        <v>133</v>
      </c>
      <c r="AB3319" s="8" t="s">
        <v>1969</v>
      </c>
    </row>
    <row r="3320" spans="1:28" s="4" customFormat="1" ht="51.95" customHeight="1">
      <c r="A3320" s="5">
        <v>0</v>
      </c>
      <c r="B3320" s="6" t="s">
        <v>19941</v>
      </c>
      <c r="C3320" s="7">
        <v>824.9</v>
      </c>
      <c r="D3320" s="8" t="s">
        <v>19942</v>
      </c>
      <c r="E3320" s="8" t="s">
        <v>19943</v>
      </c>
      <c r="F3320" s="8" t="s">
        <v>19944</v>
      </c>
      <c r="G3320" s="6" t="s">
        <v>52</v>
      </c>
      <c r="H3320" s="6" t="s">
        <v>77</v>
      </c>
      <c r="I3320" s="8"/>
      <c r="J3320" s="9">
        <v>1</v>
      </c>
      <c r="K3320" s="9">
        <v>224</v>
      </c>
      <c r="L3320" s="9">
        <v>2022</v>
      </c>
      <c r="M3320" s="8" t="s">
        <v>19945</v>
      </c>
      <c r="N3320" s="8" t="s">
        <v>79</v>
      </c>
      <c r="O3320" s="8" t="s">
        <v>396</v>
      </c>
      <c r="P3320" s="6" t="s">
        <v>43</v>
      </c>
      <c r="Q3320" s="8" t="s">
        <v>44</v>
      </c>
      <c r="R3320" s="10" t="s">
        <v>19946</v>
      </c>
      <c r="S3320" s="11"/>
      <c r="T3320" s="6"/>
      <c r="U3320" s="24" t="str">
        <f>HYPERLINK("https://media.infra-m.ru/1730/1730034/cover/1730034.jpg", "Обложка")</f>
        <v>Обложка</v>
      </c>
      <c r="V3320" s="24" t="str">
        <f>HYPERLINK("https://znanium.ru/catalog/product/1730034", "Ознакомиться")</f>
        <v>Ознакомиться</v>
      </c>
      <c r="W3320" s="8" t="s">
        <v>1571</v>
      </c>
      <c r="X3320" s="6"/>
      <c r="Y3320" s="6"/>
      <c r="Z3320" s="6"/>
      <c r="AA3320" s="6" t="s">
        <v>111</v>
      </c>
      <c r="AB3320" s="8"/>
    </row>
    <row r="3321" spans="1:28" s="4" customFormat="1" ht="42" customHeight="1">
      <c r="A3321" s="5">
        <v>0</v>
      </c>
      <c r="B3321" s="6" t="s">
        <v>19947</v>
      </c>
      <c r="C3321" s="7">
        <v>574.9</v>
      </c>
      <c r="D3321" s="8" t="s">
        <v>19948</v>
      </c>
      <c r="E3321" s="8" t="s">
        <v>19915</v>
      </c>
      <c r="F3321" s="8" t="s">
        <v>19949</v>
      </c>
      <c r="G3321" s="6" t="s">
        <v>38</v>
      </c>
      <c r="H3321" s="6" t="s">
        <v>53</v>
      </c>
      <c r="I3321" s="8" t="s">
        <v>90</v>
      </c>
      <c r="J3321" s="9">
        <v>1</v>
      </c>
      <c r="K3321" s="9">
        <v>124</v>
      </c>
      <c r="L3321" s="9">
        <v>2023</v>
      </c>
      <c r="M3321" s="8" t="s">
        <v>19950</v>
      </c>
      <c r="N3321" s="8" t="s">
        <v>79</v>
      </c>
      <c r="O3321" s="8" t="s">
        <v>396</v>
      </c>
      <c r="P3321" s="6" t="s">
        <v>43</v>
      </c>
      <c r="Q3321" s="8" t="s">
        <v>44</v>
      </c>
      <c r="R3321" s="10" t="s">
        <v>19951</v>
      </c>
      <c r="S3321" s="11"/>
      <c r="T3321" s="6"/>
      <c r="U3321" s="24" t="str">
        <f>HYPERLINK("https://media.infra-m.ru/1903/1903362/cover/1903362.jpg", "Обложка")</f>
        <v>Обложка</v>
      </c>
      <c r="V3321" s="24" t="str">
        <f>HYPERLINK("https://znanium.ru/catalog/product/1816414", "Ознакомиться")</f>
        <v>Ознакомиться</v>
      </c>
      <c r="W3321" s="8" t="s">
        <v>1514</v>
      </c>
      <c r="X3321" s="6"/>
      <c r="Y3321" s="6"/>
      <c r="Z3321" s="6"/>
      <c r="AA3321" s="6" t="s">
        <v>111</v>
      </c>
      <c r="AB3321" s="8"/>
    </row>
    <row r="3322" spans="1:28" s="4" customFormat="1" ht="51.95" customHeight="1">
      <c r="A3322" s="5">
        <v>0</v>
      </c>
      <c r="B3322" s="6" t="s">
        <v>19952</v>
      </c>
      <c r="C3322" s="13">
        <v>1594</v>
      </c>
      <c r="D3322" s="8" t="s">
        <v>19953</v>
      </c>
      <c r="E3322" s="8" t="s">
        <v>19954</v>
      </c>
      <c r="F3322" s="8" t="s">
        <v>19955</v>
      </c>
      <c r="G3322" s="6" t="s">
        <v>52</v>
      </c>
      <c r="H3322" s="6" t="s">
        <v>53</v>
      </c>
      <c r="I3322" s="8" t="s">
        <v>116</v>
      </c>
      <c r="J3322" s="9">
        <v>1</v>
      </c>
      <c r="K3322" s="9">
        <v>307</v>
      </c>
      <c r="L3322" s="9">
        <v>2025</v>
      </c>
      <c r="M3322" s="8" t="s">
        <v>19956</v>
      </c>
      <c r="N3322" s="8" t="s">
        <v>41</v>
      </c>
      <c r="O3322" s="8" t="s">
        <v>118</v>
      </c>
      <c r="P3322" s="6" t="s">
        <v>167</v>
      </c>
      <c r="Q3322" s="8" t="s">
        <v>44</v>
      </c>
      <c r="R3322" s="10" t="s">
        <v>168</v>
      </c>
      <c r="S3322" s="11"/>
      <c r="T3322" s="6"/>
      <c r="U3322" s="24" t="str">
        <f>HYPERLINK("https://media.infra-m.ru/2192/2192097/cover/2192097.jpg", "Обложка")</f>
        <v>Обложка</v>
      </c>
      <c r="V3322" s="24" t="str">
        <f>HYPERLINK("https://znanium.ru/catalog/product/2143432", "Ознакомиться")</f>
        <v>Ознакомиться</v>
      </c>
      <c r="W3322" s="8" t="s">
        <v>8621</v>
      </c>
      <c r="X3322" s="6"/>
      <c r="Y3322" s="6"/>
      <c r="Z3322" s="6"/>
      <c r="AA3322" s="6" t="s">
        <v>61</v>
      </c>
      <c r="AB3322" s="8"/>
    </row>
    <row r="3323" spans="1:28" s="4" customFormat="1" ht="42" customHeight="1">
      <c r="A3323" s="5">
        <v>0</v>
      </c>
      <c r="B3323" s="6" t="s">
        <v>19957</v>
      </c>
      <c r="C3323" s="13">
        <v>2120</v>
      </c>
      <c r="D3323" s="8" t="s">
        <v>19958</v>
      </c>
      <c r="E3323" s="8" t="s">
        <v>19959</v>
      </c>
      <c r="F3323" s="8" t="s">
        <v>19960</v>
      </c>
      <c r="G3323" s="6" t="s">
        <v>52</v>
      </c>
      <c r="H3323" s="6" t="s">
        <v>53</v>
      </c>
      <c r="I3323" s="8" t="s">
        <v>116</v>
      </c>
      <c r="J3323" s="9">
        <v>1</v>
      </c>
      <c r="K3323" s="9">
        <v>412</v>
      </c>
      <c r="L3323" s="9">
        <v>2025</v>
      </c>
      <c r="M3323" s="8" t="s">
        <v>19961</v>
      </c>
      <c r="N3323" s="8" t="s">
        <v>41</v>
      </c>
      <c r="O3323" s="8" t="s">
        <v>118</v>
      </c>
      <c r="P3323" s="6" t="s">
        <v>167</v>
      </c>
      <c r="Q3323" s="8" t="s">
        <v>58</v>
      </c>
      <c r="R3323" s="10" t="s">
        <v>1958</v>
      </c>
      <c r="S3323" s="11"/>
      <c r="T3323" s="6"/>
      <c r="U3323" s="24" t="str">
        <f>HYPERLINK("https://media.infra-m.ru/2091/2091823/cover/2091823.jpg", "Обложка")</f>
        <v>Обложка</v>
      </c>
      <c r="V3323" s="24" t="str">
        <f>HYPERLINK("https://znanium.ru/catalog/product/2091823", "Ознакомиться")</f>
        <v>Ознакомиться</v>
      </c>
      <c r="W3323" s="8" t="s">
        <v>947</v>
      </c>
      <c r="X3323" s="6" t="s">
        <v>785</v>
      </c>
      <c r="Y3323" s="6"/>
      <c r="Z3323" s="6"/>
      <c r="AA3323" s="6" t="s">
        <v>61</v>
      </c>
      <c r="AB3323" s="8"/>
    </row>
    <row r="3324" spans="1:28" s="4" customFormat="1" ht="42" customHeight="1">
      <c r="A3324" s="5">
        <v>0</v>
      </c>
      <c r="B3324" s="6" t="s">
        <v>19962</v>
      </c>
      <c r="C3324" s="13">
        <v>1370</v>
      </c>
      <c r="D3324" s="8" t="s">
        <v>19963</v>
      </c>
      <c r="E3324" s="8" t="s">
        <v>19964</v>
      </c>
      <c r="F3324" s="8" t="s">
        <v>19965</v>
      </c>
      <c r="G3324" s="6" t="s">
        <v>89</v>
      </c>
      <c r="H3324" s="6" t="s">
        <v>674</v>
      </c>
      <c r="I3324" s="8"/>
      <c r="J3324" s="9">
        <v>1</v>
      </c>
      <c r="K3324" s="9">
        <v>296</v>
      </c>
      <c r="L3324" s="9">
        <v>2024</v>
      </c>
      <c r="M3324" s="8" t="s">
        <v>19966</v>
      </c>
      <c r="N3324" s="8" t="s">
        <v>41</v>
      </c>
      <c r="O3324" s="8" t="s">
        <v>676</v>
      </c>
      <c r="P3324" s="6" t="s">
        <v>43</v>
      </c>
      <c r="Q3324" s="8" t="s">
        <v>58</v>
      </c>
      <c r="R3324" s="10" t="s">
        <v>791</v>
      </c>
      <c r="S3324" s="11"/>
      <c r="T3324" s="6"/>
      <c r="U3324" s="24" t="str">
        <f>HYPERLINK("https://media.infra-m.ru/2121/2121210/cover/2121210.jpg", "Обложка")</f>
        <v>Обложка</v>
      </c>
      <c r="V3324" s="24" t="str">
        <f>HYPERLINK("https://znanium.ru/catalog/product/2018256", "Ознакомиться")</f>
        <v>Ознакомиться</v>
      </c>
      <c r="W3324" s="8"/>
      <c r="X3324" s="6"/>
      <c r="Y3324" s="6"/>
      <c r="Z3324" s="6"/>
      <c r="AA3324" s="6" t="s">
        <v>235</v>
      </c>
      <c r="AB3324" s="8"/>
    </row>
    <row r="3325" spans="1:28" s="4" customFormat="1" ht="51.95" customHeight="1">
      <c r="A3325" s="5">
        <v>0</v>
      </c>
      <c r="B3325" s="6" t="s">
        <v>19967</v>
      </c>
      <c r="C3325" s="13">
        <v>1000</v>
      </c>
      <c r="D3325" s="8" t="s">
        <v>19968</v>
      </c>
      <c r="E3325" s="8" t="s">
        <v>19969</v>
      </c>
      <c r="F3325" s="8" t="s">
        <v>19970</v>
      </c>
      <c r="G3325" s="6" t="s">
        <v>52</v>
      </c>
      <c r="H3325" s="6" t="s">
        <v>53</v>
      </c>
      <c r="I3325" s="8" t="s">
        <v>116</v>
      </c>
      <c r="J3325" s="9">
        <v>1</v>
      </c>
      <c r="K3325" s="9">
        <v>186</v>
      </c>
      <c r="L3325" s="9">
        <v>2025</v>
      </c>
      <c r="M3325" s="8" t="s">
        <v>19971</v>
      </c>
      <c r="N3325" s="8" t="s">
        <v>41</v>
      </c>
      <c r="O3325" s="8" t="s">
        <v>676</v>
      </c>
      <c r="P3325" s="6" t="s">
        <v>43</v>
      </c>
      <c r="Q3325" s="8" t="s">
        <v>58</v>
      </c>
      <c r="R3325" s="10" t="s">
        <v>806</v>
      </c>
      <c r="S3325" s="11"/>
      <c r="T3325" s="6"/>
      <c r="U3325" s="24" t="str">
        <f>HYPERLINK("https://media.infra-m.ru/2133/2133663/cover/2133663.jpg", "Обложка")</f>
        <v>Обложка</v>
      </c>
      <c r="V3325" s="24" t="str">
        <f>HYPERLINK("https://znanium.ru/catalog/product/2133663", "Ознакомиться")</f>
        <v>Ознакомиться</v>
      </c>
      <c r="W3325" s="8" t="s">
        <v>19050</v>
      </c>
      <c r="X3325" s="6" t="s">
        <v>1049</v>
      </c>
      <c r="Y3325" s="6"/>
      <c r="Z3325" s="6"/>
      <c r="AA3325" s="6" t="s">
        <v>61</v>
      </c>
      <c r="AB3325" s="8"/>
    </row>
    <row r="3326" spans="1:28" s="4" customFormat="1" ht="51.95" customHeight="1">
      <c r="A3326" s="5">
        <v>0</v>
      </c>
      <c r="B3326" s="6" t="s">
        <v>19972</v>
      </c>
      <c r="C3326" s="13">
        <v>1744</v>
      </c>
      <c r="D3326" s="8" t="s">
        <v>19973</v>
      </c>
      <c r="E3326" s="8" t="s">
        <v>19974</v>
      </c>
      <c r="F3326" s="8" t="s">
        <v>19975</v>
      </c>
      <c r="G3326" s="6" t="s">
        <v>89</v>
      </c>
      <c r="H3326" s="6" t="s">
        <v>53</v>
      </c>
      <c r="I3326" s="8" t="s">
        <v>90</v>
      </c>
      <c r="J3326" s="9">
        <v>1</v>
      </c>
      <c r="K3326" s="9">
        <v>348</v>
      </c>
      <c r="L3326" s="9">
        <v>2025</v>
      </c>
      <c r="M3326" s="8" t="s">
        <v>19976</v>
      </c>
      <c r="N3326" s="8" t="s">
        <v>41</v>
      </c>
      <c r="O3326" s="8" t="s">
        <v>42</v>
      </c>
      <c r="P3326" s="6" t="s">
        <v>167</v>
      </c>
      <c r="Q3326" s="8" t="s">
        <v>44</v>
      </c>
      <c r="R3326" s="10" t="s">
        <v>19977</v>
      </c>
      <c r="S3326" s="11" t="s">
        <v>19978</v>
      </c>
      <c r="T3326" s="6"/>
      <c r="U3326" s="24" t="str">
        <f>HYPERLINK("https://media.infra-m.ru/2186/2186291/cover/2186291.jpg", "Обложка")</f>
        <v>Обложка</v>
      </c>
      <c r="V3326" s="24" t="str">
        <f>HYPERLINK("https://znanium.ru/catalog/product/1912985", "Ознакомиться")</f>
        <v>Ознакомиться</v>
      </c>
      <c r="W3326" s="8" t="s">
        <v>15846</v>
      </c>
      <c r="X3326" s="6"/>
      <c r="Y3326" s="6"/>
      <c r="Z3326" s="6"/>
      <c r="AA3326" s="6" t="s">
        <v>513</v>
      </c>
      <c r="AB3326" s="8"/>
    </row>
    <row r="3327" spans="1:28" s="4" customFormat="1" ht="51.95" customHeight="1">
      <c r="A3327" s="5">
        <v>0</v>
      </c>
      <c r="B3327" s="6" t="s">
        <v>19979</v>
      </c>
      <c r="C3327" s="13">
        <v>1324.9</v>
      </c>
      <c r="D3327" s="8" t="s">
        <v>19980</v>
      </c>
      <c r="E3327" s="8" t="s">
        <v>19981</v>
      </c>
      <c r="F3327" s="8" t="s">
        <v>19982</v>
      </c>
      <c r="G3327" s="6" t="s">
        <v>52</v>
      </c>
      <c r="H3327" s="6" t="s">
        <v>77</v>
      </c>
      <c r="I3327" s="8"/>
      <c r="J3327" s="9">
        <v>1</v>
      </c>
      <c r="K3327" s="9">
        <v>368</v>
      </c>
      <c r="L3327" s="9">
        <v>2021</v>
      </c>
      <c r="M3327" s="8" t="s">
        <v>19983</v>
      </c>
      <c r="N3327" s="8" t="s">
        <v>41</v>
      </c>
      <c r="O3327" s="8" t="s">
        <v>42</v>
      </c>
      <c r="P3327" s="6" t="s">
        <v>167</v>
      </c>
      <c r="Q3327" s="8" t="s">
        <v>44</v>
      </c>
      <c r="R3327" s="10" t="s">
        <v>19977</v>
      </c>
      <c r="S3327" s="11" t="s">
        <v>19984</v>
      </c>
      <c r="T3327" s="6"/>
      <c r="U3327" s="24" t="str">
        <f>HYPERLINK("https://media.infra-m.ru/1177/1177557/cover/1177557.jpg", "Обложка")</f>
        <v>Обложка</v>
      </c>
      <c r="V3327" s="24" t="str">
        <f>HYPERLINK("https://znanium.ru/catalog/product/1912985", "Ознакомиться")</f>
        <v>Ознакомиться</v>
      </c>
      <c r="W3327" s="8" t="s">
        <v>15846</v>
      </c>
      <c r="X3327" s="6"/>
      <c r="Y3327" s="6"/>
      <c r="Z3327" s="6"/>
      <c r="AA3327" s="6" t="s">
        <v>84</v>
      </c>
      <c r="AB3327" s="8"/>
    </row>
    <row r="3328" spans="1:28" s="4" customFormat="1" ht="51.95" customHeight="1">
      <c r="A3328" s="5">
        <v>0</v>
      </c>
      <c r="B3328" s="6" t="s">
        <v>19985</v>
      </c>
      <c r="C3328" s="13">
        <v>1074</v>
      </c>
      <c r="D3328" s="8" t="s">
        <v>19986</v>
      </c>
      <c r="E3328" s="8" t="s">
        <v>19987</v>
      </c>
      <c r="F3328" s="8" t="s">
        <v>19988</v>
      </c>
      <c r="G3328" s="6" t="s">
        <v>89</v>
      </c>
      <c r="H3328" s="6" t="s">
        <v>53</v>
      </c>
      <c r="I3328" s="8" t="s">
        <v>276</v>
      </c>
      <c r="J3328" s="9">
        <v>1</v>
      </c>
      <c r="K3328" s="9">
        <v>205</v>
      </c>
      <c r="L3328" s="9">
        <v>2025</v>
      </c>
      <c r="M3328" s="8" t="s">
        <v>19989</v>
      </c>
      <c r="N3328" s="8" t="s">
        <v>56</v>
      </c>
      <c r="O3328" s="8" t="s">
        <v>741</v>
      </c>
      <c r="P3328" s="6" t="s">
        <v>43</v>
      </c>
      <c r="Q3328" s="8" t="s">
        <v>279</v>
      </c>
      <c r="R3328" s="10" t="s">
        <v>19990</v>
      </c>
      <c r="S3328" s="11" t="s">
        <v>19991</v>
      </c>
      <c r="T3328" s="6"/>
      <c r="U3328" s="24" t="str">
        <f>HYPERLINK("https://media.infra-m.ru/2198/2198525/cover/2198525.jpg", "Обложка")</f>
        <v>Обложка</v>
      </c>
      <c r="V3328" s="24" t="str">
        <f>HYPERLINK("https://znanium.ru/catalog/product/1985783", "Ознакомиться")</f>
        <v>Ознакомиться</v>
      </c>
      <c r="W3328" s="8" t="s">
        <v>19992</v>
      </c>
      <c r="X3328" s="6"/>
      <c r="Y3328" s="6"/>
      <c r="Z3328" s="6"/>
      <c r="AA3328" s="6" t="s">
        <v>513</v>
      </c>
      <c r="AB3328" s="8"/>
    </row>
    <row r="3329" spans="1:28" s="4" customFormat="1" ht="42" customHeight="1">
      <c r="A3329" s="5">
        <v>0</v>
      </c>
      <c r="B3329" s="6" t="s">
        <v>19993</v>
      </c>
      <c r="C3329" s="13">
        <v>1294.9000000000001</v>
      </c>
      <c r="D3329" s="8" t="s">
        <v>19994</v>
      </c>
      <c r="E3329" s="8" t="s">
        <v>19995</v>
      </c>
      <c r="F3329" s="8" t="s">
        <v>19996</v>
      </c>
      <c r="G3329" s="6" t="s">
        <v>52</v>
      </c>
      <c r="H3329" s="6" t="s">
        <v>77</v>
      </c>
      <c r="I3329" s="8"/>
      <c r="J3329" s="9">
        <v>1</v>
      </c>
      <c r="K3329" s="9">
        <v>288</v>
      </c>
      <c r="L3329" s="9">
        <v>2023</v>
      </c>
      <c r="M3329" s="8" t="s">
        <v>19997</v>
      </c>
      <c r="N3329" s="8" t="s">
        <v>997</v>
      </c>
      <c r="O3329" s="8" t="s">
        <v>998</v>
      </c>
      <c r="P3329" s="6" t="s">
        <v>43</v>
      </c>
      <c r="Q3329" s="8" t="s">
        <v>44</v>
      </c>
      <c r="R3329" s="10" t="s">
        <v>6842</v>
      </c>
      <c r="S3329" s="11"/>
      <c r="T3329" s="6"/>
      <c r="U3329" s="24" t="str">
        <f>HYPERLINK("https://media.infra-m.ru/1911/1911779/cover/1911779.jpg", "Обложка")</f>
        <v>Обложка</v>
      </c>
      <c r="V3329" s="24" t="str">
        <f>HYPERLINK("https://znanium.ru/catalog/product/925814", "Ознакомиться")</f>
        <v>Ознакомиться</v>
      </c>
      <c r="W3329" s="8" t="s">
        <v>94</v>
      </c>
      <c r="X3329" s="6"/>
      <c r="Y3329" s="6"/>
      <c r="Z3329" s="6"/>
      <c r="AA3329" s="6" t="s">
        <v>111</v>
      </c>
      <c r="AB3329" s="8"/>
    </row>
    <row r="3330" spans="1:28" s="4" customFormat="1" ht="51.95" customHeight="1">
      <c r="A3330" s="5">
        <v>0</v>
      </c>
      <c r="B3330" s="6" t="s">
        <v>19998</v>
      </c>
      <c r="C3330" s="7">
        <v>500</v>
      </c>
      <c r="D3330" s="8" t="s">
        <v>19999</v>
      </c>
      <c r="E3330" s="8" t="s">
        <v>20000</v>
      </c>
      <c r="F3330" s="8" t="s">
        <v>20001</v>
      </c>
      <c r="G3330" s="6" t="s">
        <v>38</v>
      </c>
      <c r="H3330" s="6" t="s">
        <v>53</v>
      </c>
      <c r="I3330" s="8" t="s">
        <v>212</v>
      </c>
      <c r="J3330" s="9">
        <v>1</v>
      </c>
      <c r="K3330" s="9">
        <v>96</v>
      </c>
      <c r="L3330" s="9">
        <v>2023</v>
      </c>
      <c r="M3330" s="8" t="s">
        <v>20002</v>
      </c>
      <c r="N3330" s="8" t="s">
        <v>79</v>
      </c>
      <c r="O3330" s="8" t="s">
        <v>174</v>
      </c>
      <c r="P3330" s="6" t="s">
        <v>43</v>
      </c>
      <c r="Q3330" s="8" t="s">
        <v>214</v>
      </c>
      <c r="R3330" s="10" t="s">
        <v>20003</v>
      </c>
      <c r="S3330" s="11" t="s">
        <v>20004</v>
      </c>
      <c r="T3330" s="6"/>
      <c r="U3330" s="24" t="str">
        <f>HYPERLINK("https://media.infra-m.ru/1912/1912986/cover/1912986.jpg", "Обложка")</f>
        <v>Обложка</v>
      </c>
      <c r="V3330" s="24" t="str">
        <f>HYPERLINK("https://znanium.ru/catalog/product/1912986", "Ознакомиться")</f>
        <v>Ознакомиться</v>
      </c>
      <c r="W3330" s="8" t="s">
        <v>3187</v>
      </c>
      <c r="X3330" s="6"/>
      <c r="Y3330" s="6"/>
      <c r="Z3330" s="6"/>
      <c r="AA3330" s="6" t="s">
        <v>151</v>
      </c>
      <c r="AB3330" s="8"/>
    </row>
    <row r="3331" spans="1:28" s="4" customFormat="1" ht="51.95" customHeight="1">
      <c r="A3331" s="5">
        <v>0</v>
      </c>
      <c r="B3331" s="6" t="s">
        <v>20005</v>
      </c>
      <c r="C3331" s="7">
        <v>704.9</v>
      </c>
      <c r="D3331" s="8" t="s">
        <v>20006</v>
      </c>
      <c r="E3331" s="8" t="s">
        <v>20007</v>
      </c>
      <c r="F3331" s="8" t="s">
        <v>20008</v>
      </c>
      <c r="G3331" s="6" t="s">
        <v>52</v>
      </c>
      <c r="H3331" s="6" t="s">
        <v>53</v>
      </c>
      <c r="I3331" s="8" t="s">
        <v>3356</v>
      </c>
      <c r="J3331" s="9">
        <v>1</v>
      </c>
      <c r="K3331" s="9">
        <v>207</v>
      </c>
      <c r="L3331" s="9">
        <v>2020</v>
      </c>
      <c r="M3331" s="8" t="s">
        <v>20009</v>
      </c>
      <c r="N3331" s="8" t="s">
        <v>79</v>
      </c>
      <c r="O3331" s="8" t="s">
        <v>396</v>
      </c>
      <c r="P3331" s="6" t="s">
        <v>43</v>
      </c>
      <c r="Q3331" s="8" t="s">
        <v>214</v>
      </c>
      <c r="R3331" s="10"/>
      <c r="S3331" s="11" t="s">
        <v>20010</v>
      </c>
      <c r="T3331" s="6"/>
      <c r="U3331" s="24" t="str">
        <f>HYPERLINK("https://media.infra-m.ru/1044/1044595/cover/1044595.jpg", "Обложка")</f>
        <v>Обложка</v>
      </c>
      <c r="V3331" s="12"/>
      <c r="W3331" s="8" t="s">
        <v>784</v>
      </c>
      <c r="X3331" s="6"/>
      <c r="Y3331" s="6"/>
      <c r="Z3331" s="6"/>
      <c r="AA3331" s="6" t="s">
        <v>151</v>
      </c>
      <c r="AB3331" s="8"/>
    </row>
    <row r="3332" spans="1:28" s="4" customFormat="1" ht="51.95" customHeight="1">
      <c r="A3332" s="5">
        <v>0</v>
      </c>
      <c r="B3332" s="6" t="s">
        <v>20011</v>
      </c>
      <c r="C3332" s="13">
        <v>1330</v>
      </c>
      <c r="D3332" s="8" t="s">
        <v>20012</v>
      </c>
      <c r="E3332" s="8" t="s">
        <v>20013</v>
      </c>
      <c r="F3332" s="8" t="s">
        <v>4989</v>
      </c>
      <c r="G3332" s="6" t="s">
        <v>89</v>
      </c>
      <c r="H3332" s="6" t="s">
        <v>77</v>
      </c>
      <c r="I3332" s="8"/>
      <c r="J3332" s="9">
        <v>1</v>
      </c>
      <c r="K3332" s="9">
        <v>414</v>
      </c>
      <c r="L3332" s="9">
        <v>2019</v>
      </c>
      <c r="M3332" s="8" t="s">
        <v>20014</v>
      </c>
      <c r="N3332" s="8" t="s">
        <v>56</v>
      </c>
      <c r="O3332" s="8" t="s">
        <v>741</v>
      </c>
      <c r="P3332" s="6" t="s">
        <v>43</v>
      </c>
      <c r="Q3332" s="8" t="s">
        <v>44</v>
      </c>
      <c r="R3332" s="10" t="s">
        <v>20015</v>
      </c>
      <c r="S3332" s="11"/>
      <c r="T3332" s="6"/>
      <c r="U3332" s="24" t="str">
        <f>HYPERLINK("https://media.infra-m.ru/1030/1030671/cover/1030671.jpg", "Обложка")</f>
        <v>Обложка</v>
      </c>
      <c r="V3332" s="24" t="str">
        <f>HYPERLINK("https://znanium.ru/catalog/product/2179083", "Ознакомиться")</f>
        <v>Ознакомиться</v>
      </c>
      <c r="W3332" s="8" t="s">
        <v>1505</v>
      </c>
      <c r="X3332" s="6"/>
      <c r="Y3332" s="6"/>
      <c r="Z3332" s="6"/>
      <c r="AA3332" s="6" t="s">
        <v>47</v>
      </c>
      <c r="AB3332" s="8"/>
    </row>
    <row r="3333" spans="1:28" s="4" customFormat="1" ht="51.95" customHeight="1">
      <c r="A3333" s="5">
        <v>0</v>
      </c>
      <c r="B3333" s="6" t="s">
        <v>20016</v>
      </c>
      <c r="C3333" s="7">
        <v>784.9</v>
      </c>
      <c r="D3333" s="8" t="s">
        <v>20017</v>
      </c>
      <c r="E3333" s="8" t="s">
        <v>20018</v>
      </c>
      <c r="F3333" s="8" t="s">
        <v>9027</v>
      </c>
      <c r="G3333" s="6" t="s">
        <v>52</v>
      </c>
      <c r="H3333" s="6" t="s">
        <v>77</v>
      </c>
      <c r="I3333" s="8"/>
      <c r="J3333" s="9">
        <v>1</v>
      </c>
      <c r="K3333" s="9">
        <v>268</v>
      </c>
      <c r="L3333" s="9">
        <v>2017</v>
      </c>
      <c r="M3333" s="8" t="s">
        <v>20019</v>
      </c>
      <c r="N3333" s="8" t="s">
        <v>56</v>
      </c>
      <c r="O3333" s="8" t="s">
        <v>741</v>
      </c>
      <c r="P3333" s="6" t="s">
        <v>43</v>
      </c>
      <c r="Q3333" s="8" t="s">
        <v>44</v>
      </c>
      <c r="R3333" s="10" t="s">
        <v>17240</v>
      </c>
      <c r="S3333" s="11" t="s">
        <v>20020</v>
      </c>
      <c r="T3333" s="6"/>
      <c r="U3333" s="24" t="str">
        <f>HYPERLINK("https://media.infra-m.ru/0923/0923340/cover/923340.jpg", "Обложка")</f>
        <v>Обложка</v>
      </c>
      <c r="V3333" s="24" t="str">
        <f>HYPERLINK("https://znanium.ru/catalog/product/1913860", "Ознакомиться")</f>
        <v>Ознакомиться</v>
      </c>
      <c r="W3333" s="8" t="s">
        <v>83</v>
      </c>
      <c r="X3333" s="6"/>
      <c r="Y3333" s="6"/>
      <c r="Z3333" s="6"/>
      <c r="AA3333" s="6" t="s">
        <v>122</v>
      </c>
      <c r="AB3333" s="8"/>
    </row>
    <row r="3334" spans="1:28" s="4" customFormat="1" ht="51.95" customHeight="1">
      <c r="A3334" s="5">
        <v>0</v>
      </c>
      <c r="B3334" s="6" t="s">
        <v>20021</v>
      </c>
      <c r="C3334" s="13">
        <v>1364</v>
      </c>
      <c r="D3334" s="8" t="s">
        <v>20022</v>
      </c>
      <c r="E3334" s="8" t="s">
        <v>20023</v>
      </c>
      <c r="F3334" s="8" t="s">
        <v>9027</v>
      </c>
      <c r="G3334" s="6" t="s">
        <v>89</v>
      </c>
      <c r="H3334" s="6" t="s">
        <v>77</v>
      </c>
      <c r="I3334" s="8"/>
      <c r="J3334" s="9">
        <v>1</v>
      </c>
      <c r="K3334" s="9">
        <v>272</v>
      </c>
      <c r="L3334" s="9">
        <v>2025</v>
      </c>
      <c r="M3334" s="8" t="s">
        <v>20024</v>
      </c>
      <c r="N3334" s="8" t="s">
        <v>56</v>
      </c>
      <c r="O3334" s="8" t="s">
        <v>741</v>
      </c>
      <c r="P3334" s="6" t="s">
        <v>43</v>
      </c>
      <c r="Q3334" s="8" t="s">
        <v>44</v>
      </c>
      <c r="R3334" s="10" t="s">
        <v>17240</v>
      </c>
      <c r="S3334" s="11"/>
      <c r="T3334" s="6"/>
      <c r="U3334" s="24" t="str">
        <f>HYPERLINK("https://media.infra-m.ru/2184/2184153/cover/2184153.jpg", "Обложка")</f>
        <v>Обложка</v>
      </c>
      <c r="V3334" s="24" t="str">
        <f>HYPERLINK("https://znanium.ru/catalog/product/1913860", "Ознакомиться")</f>
        <v>Ознакомиться</v>
      </c>
      <c r="W3334" s="8" t="s">
        <v>83</v>
      </c>
      <c r="X3334" s="6"/>
      <c r="Y3334" s="6"/>
      <c r="Z3334" s="6"/>
      <c r="AA3334" s="6" t="s">
        <v>196</v>
      </c>
      <c r="AB3334" s="8"/>
    </row>
    <row r="3335" spans="1:28" s="4" customFormat="1" ht="51.95" customHeight="1">
      <c r="A3335" s="5">
        <v>0</v>
      </c>
      <c r="B3335" s="6" t="s">
        <v>20025</v>
      </c>
      <c r="C3335" s="13">
        <v>2120</v>
      </c>
      <c r="D3335" s="8" t="s">
        <v>20026</v>
      </c>
      <c r="E3335" s="8" t="s">
        <v>20027</v>
      </c>
      <c r="F3335" s="8" t="s">
        <v>20028</v>
      </c>
      <c r="G3335" s="6" t="s">
        <v>52</v>
      </c>
      <c r="H3335" s="6" t="s">
        <v>53</v>
      </c>
      <c r="I3335" s="8" t="s">
        <v>116</v>
      </c>
      <c r="J3335" s="9">
        <v>1</v>
      </c>
      <c r="K3335" s="9">
        <v>424</v>
      </c>
      <c r="L3335" s="9">
        <v>2025</v>
      </c>
      <c r="M3335" s="8" t="s">
        <v>20029</v>
      </c>
      <c r="N3335" s="8" t="s">
        <v>56</v>
      </c>
      <c r="O3335" s="8" t="s">
        <v>741</v>
      </c>
      <c r="P3335" s="6" t="s">
        <v>43</v>
      </c>
      <c r="Q3335" s="8" t="s">
        <v>279</v>
      </c>
      <c r="R3335" s="10" t="s">
        <v>20015</v>
      </c>
      <c r="S3335" s="11" t="s">
        <v>20030</v>
      </c>
      <c r="T3335" s="6"/>
      <c r="U3335" s="24" t="str">
        <f>HYPERLINK("https://media.infra-m.ru/2179/2179083/cover/2179083.jpg", "Обложка")</f>
        <v>Обложка</v>
      </c>
      <c r="V3335" s="24" t="str">
        <f>HYPERLINK("https://znanium.ru/catalog/product/2179083", "Ознакомиться")</f>
        <v>Ознакомиться</v>
      </c>
      <c r="W3335" s="8" t="s">
        <v>1505</v>
      </c>
      <c r="X3335" s="6"/>
      <c r="Y3335" s="6"/>
      <c r="Z3335" s="6"/>
      <c r="AA3335" s="6" t="s">
        <v>95</v>
      </c>
      <c r="AB3335" s="8"/>
    </row>
    <row r="3336" spans="1:28" s="4" customFormat="1" ht="51.95" customHeight="1">
      <c r="A3336" s="5">
        <v>0</v>
      </c>
      <c r="B3336" s="6" t="s">
        <v>20031</v>
      </c>
      <c r="C3336" s="13">
        <v>1124</v>
      </c>
      <c r="D3336" s="8" t="s">
        <v>20032</v>
      </c>
      <c r="E3336" s="8" t="s">
        <v>20033</v>
      </c>
      <c r="F3336" s="8" t="s">
        <v>20034</v>
      </c>
      <c r="G3336" s="6" t="s">
        <v>89</v>
      </c>
      <c r="H3336" s="6" t="s">
        <v>53</v>
      </c>
      <c r="I3336" s="8" t="s">
        <v>116</v>
      </c>
      <c r="J3336" s="9">
        <v>1</v>
      </c>
      <c r="K3336" s="9">
        <v>217</v>
      </c>
      <c r="L3336" s="9">
        <v>2025</v>
      </c>
      <c r="M3336" s="8" t="s">
        <v>20035</v>
      </c>
      <c r="N3336" s="8" t="s">
        <v>56</v>
      </c>
      <c r="O3336" s="8" t="s">
        <v>741</v>
      </c>
      <c r="P3336" s="6" t="s">
        <v>43</v>
      </c>
      <c r="Q3336" s="8" t="s">
        <v>44</v>
      </c>
      <c r="R3336" s="10" t="s">
        <v>20036</v>
      </c>
      <c r="S3336" s="11" t="s">
        <v>20037</v>
      </c>
      <c r="T3336" s="6"/>
      <c r="U3336" s="24" t="str">
        <f>HYPERLINK("https://media.infra-m.ru/2199/2199771/cover/2199771.jpg", "Обложка")</f>
        <v>Обложка</v>
      </c>
      <c r="V3336" s="24" t="str">
        <f>HYPERLINK("https://znanium.ru/catalog/product/2142543", "Ознакомиться")</f>
        <v>Ознакомиться</v>
      </c>
      <c r="W3336" s="8" t="s">
        <v>2774</v>
      </c>
      <c r="X3336" s="6"/>
      <c r="Y3336" s="6"/>
      <c r="Z3336" s="6"/>
      <c r="AA3336" s="6" t="s">
        <v>219</v>
      </c>
      <c r="AB3336" s="8"/>
    </row>
    <row r="3337" spans="1:28" s="4" customFormat="1" ht="51.95" customHeight="1">
      <c r="A3337" s="5">
        <v>0</v>
      </c>
      <c r="B3337" s="6" t="s">
        <v>20038</v>
      </c>
      <c r="C3337" s="7">
        <v>970</v>
      </c>
      <c r="D3337" s="8" t="s">
        <v>20039</v>
      </c>
      <c r="E3337" s="8" t="s">
        <v>20040</v>
      </c>
      <c r="F3337" s="8" t="s">
        <v>19596</v>
      </c>
      <c r="G3337" s="6" t="s">
        <v>89</v>
      </c>
      <c r="H3337" s="6" t="s">
        <v>649</v>
      </c>
      <c r="I3337" s="8" t="s">
        <v>116</v>
      </c>
      <c r="J3337" s="9">
        <v>1</v>
      </c>
      <c r="K3337" s="9">
        <v>192</v>
      </c>
      <c r="L3337" s="9">
        <v>2024</v>
      </c>
      <c r="M3337" s="8" t="s">
        <v>20041</v>
      </c>
      <c r="N3337" s="8" t="s">
        <v>56</v>
      </c>
      <c r="O3337" s="8" t="s">
        <v>741</v>
      </c>
      <c r="P3337" s="6" t="s">
        <v>43</v>
      </c>
      <c r="Q3337" s="8" t="s">
        <v>44</v>
      </c>
      <c r="R3337" s="10" t="s">
        <v>20042</v>
      </c>
      <c r="S3337" s="11" t="s">
        <v>20043</v>
      </c>
      <c r="T3337" s="6"/>
      <c r="U3337" s="24" t="str">
        <f>HYPERLINK("https://media.infra-m.ru/2156/2156665/cover/2156665.jpg", "Обложка")</f>
        <v>Обложка</v>
      </c>
      <c r="V3337" s="24" t="str">
        <f>HYPERLINK("https://znanium.ru/catalog/product/2156665", "Ознакомиться")</f>
        <v>Ознакомиться</v>
      </c>
      <c r="W3337" s="8" t="s">
        <v>10326</v>
      </c>
      <c r="X3337" s="6"/>
      <c r="Y3337" s="6"/>
      <c r="Z3337" s="6"/>
      <c r="AA3337" s="6" t="s">
        <v>622</v>
      </c>
      <c r="AB3337" s="8"/>
    </row>
    <row r="3338" spans="1:28" s="4" customFormat="1" ht="42" customHeight="1">
      <c r="A3338" s="5">
        <v>0</v>
      </c>
      <c r="B3338" s="6" t="s">
        <v>20044</v>
      </c>
      <c r="C3338" s="13">
        <v>1047</v>
      </c>
      <c r="D3338" s="8" t="s">
        <v>20045</v>
      </c>
      <c r="E3338" s="8" t="s">
        <v>20046</v>
      </c>
      <c r="F3338" s="8" t="s">
        <v>19879</v>
      </c>
      <c r="G3338" s="6" t="s">
        <v>38</v>
      </c>
      <c r="H3338" s="6" t="s">
        <v>39</v>
      </c>
      <c r="I3338" s="8" t="s">
        <v>116</v>
      </c>
      <c r="J3338" s="9">
        <v>1</v>
      </c>
      <c r="K3338" s="9">
        <v>160</v>
      </c>
      <c r="L3338" s="9">
        <v>2025</v>
      </c>
      <c r="M3338" s="8" t="s">
        <v>20047</v>
      </c>
      <c r="N3338" s="8" t="s">
        <v>79</v>
      </c>
      <c r="O3338" s="8" t="s">
        <v>80</v>
      </c>
      <c r="P3338" s="6" t="s">
        <v>43</v>
      </c>
      <c r="Q3338" s="8" t="s">
        <v>44</v>
      </c>
      <c r="R3338" s="10" t="s">
        <v>20048</v>
      </c>
      <c r="S3338" s="11"/>
      <c r="T3338" s="6"/>
      <c r="U3338" s="24" t="str">
        <f>HYPERLINK("https://media.infra-m.ru/2174/2174661/cover/2174661.jpg", "Обложка")</f>
        <v>Обложка</v>
      </c>
      <c r="V3338" s="24" t="str">
        <f>HYPERLINK("https://znanium.ru/catalog/product/1856698", "Ознакомиться")</f>
        <v>Ознакомиться</v>
      </c>
      <c r="W3338" s="8" t="s">
        <v>10383</v>
      </c>
      <c r="X3338" s="6"/>
      <c r="Y3338" s="6"/>
      <c r="Z3338" s="6"/>
      <c r="AA3338" s="6" t="s">
        <v>111</v>
      </c>
      <c r="AB3338" s="8"/>
    </row>
    <row r="3339" spans="1:28" s="4" customFormat="1" ht="51.95" customHeight="1">
      <c r="A3339" s="5">
        <v>0</v>
      </c>
      <c r="B3339" s="6" t="s">
        <v>20049</v>
      </c>
      <c r="C3339" s="13">
        <v>1170</v>
      </c>
      <c r="D3339" s="8" t="s">
        <v>20050</v>
      </c>
      <c r="E3339" s="8" t="s">
        <v>20051</v>
      </c>
      <c r="F3339" s="8" t="s">
        <v>20052</v>
      </c>
      <c r="G3339" s="6" t="s">
        <v>89</v>
      </c>
      <c r="H3339" s="6" t="s">
        <v>53</v>
      </c>
      <c r="I3339" s="8" t="s">
        <v>1325</v>
      </c>
      <c r="J3339" s="9">
        <v>1</v>
      </c>
      <c r="K3339" s="9">
        <v>196</v>
      </c>
      <c r="L3339" s="9">
        <v>2024</v>
      </c>
      <c r="M3339" s="8" t="s">
        <v>20053</v>
      </c>
      <c r="N3339" s="8" t="s">
        <v>79</v>
      </c>
      <c r="O3339" s="8" t="s">
        <v>537</v>
      </c>
      <c r="P3339" s="6" t="s">
        <v>43</v>
      </c>
      <c r="Q3339" s="8" t="s">
        <v>58</v>
      </c>
      <c r="R3339" s="10" t="s">
        <v>20054</v>
      </c>
      <c r="S3339" s="11" t="s">
        <v>20055</v>
      </c>
      <c r="T3339" s="6"/>
      <c r="U3339" s="24" t="str">
        <f>HYPERLINK("https://media.infra-m.ru/2167/2167605/cover/2167605.jpg", "Обложка")</f>
        <v>Обложка</v>
      </c>
      <c r="V3339" s="24" t="str">
        <f>HYPERLINK("https://znanium.ru/catalog/product/2167605", "Ознакомиться")</f>
        <v>Ознакомиться</v>
      </c>
      <c r="W3339" s="8" t="s">
        <v>1329</v>
      </c>
      <c r="X3339" s="6"/>
      <c r="Y3339" s="6"/>
      <c r="Z3339" s="6"/>
      <c r="AA3339" s="6" t="s">
        <v>133</v>
      </c>
      <c r="AB3339" s="8"/>
    </row>
    <row r="3340" spans="1:28" s="4" customFormat="1" ht="51.95" customHeight="1">
      <c r="A3340" s="5">
        <v>0</v>
      </c>
      <c r="B3340" s="6" t="s">
        <v>20056</v>
      </c>
      <c r="C3340" s="7">
        <v>820</v>
      </c>
      <c r="D3340" s="8" t="s">
        <v>20057</v>
      </c>
      <c r="E3340" s="8" t="s">
        <v>20058</v>
      </c>
      <c r="F3340" s="8" t="s">
        <v>20059</v>
      </c>
      <c r="G3340" s="6" t="s">
        <v>89</v>
      </c>
      <c r="H3340" s="6" t="s">
        <v>53</v>
      </c>
      <c r="I3340" s="8" t="s">
        <v>90</v>
      </c>
      <c r="J3340" s="9">
        <v>1</v>
      </c>
      <c r="K3340" s="9">
        <v>164</v>
      </c>
      <c r="L3340" s="9">
        <v>2023</v>
      </c>
      <c r="M3340" s="8" t="s">
        <v>20060</v>
      </c>
      <c r="N3340" s="8" t="s">
        <v>41</v>
      </c>
      <c r="O3340" s="8" t="s">
        <v>118</v>
      </c>
      <c r="P3340" s="6" t="s">
        <v>43</v>
      </c>
      <c r="Q3340" s="8" t="s">
        <v>44</v>
      </c>
      <c r="R3340" s="10" t="s">
        <v>20061</v>
      </c>
      <c r="S3340" s="11" t="s">
        <v>20062</v>
      </c>
      <c r="T3340" s="6"/>
      <c r="U3340" s="24" t="str">
        <f>HYPERLINK("https://media.infra-m.ru/1870/1870407/cover/1870407.jpg", "Обложка")</f>
        <v>Обложка</v>
      </c>
      <c r="V3340" s="24" t="str">
        <f>HYPERLINK("https://znanium.ru/catalog/product/1870407", "Ознакомиться")</f>
        <v>Ознакомиться</v>
      </c>
      <c r="W3340" s="8" t="s">
        <v>3010</v>
      </c>
      <c r="X3340" s="6"/>
      <c r="Y3340" s="6"/>
      <c r="Z3340" s="6"/>
      <c r="AA3340" s="6" t="s">
        <v>151</v>
      </c>
      <c r="AB3340" s="8"/>
    </row>
    <row r="3341" spans="1:28" s="4" customFormat="1" ht="51.95" customHeight="1">
      <c r="A3341" s="5">
        <v>0</v>
      </c>
      <c r="B3341" s="6" t="s">
        <v>20063</v>
      </c>
      <c r="C3341" s="13">
        <v>1614</v>
      </c>
      <c r="D3341" s="8" t="s">
        <v>20064</v>
      </c>
      <c r="E3341" s="8" t="s">
        <v>20065</v>
      </c>
      <c r="F3341" s="8" t="s">
        <v>20066</v>
      </c>
      <c r="G3341" s="6" t="s">
        <v>52</v>
      </c>
      <c r="H3341" s="6" t="s">
        <v>53</v>
      </c>
      <c r="I3341" s="8" t="s">
        <v>90</v>
      </c>
      <c r="J3341" s="9">
        <v>1</v>
      </c>
      <c r="K3341" s="9">
        <v>311</v>
      </c>
      <c r="L3341" s="9">
        <v>2025</v>
      </c>
      <c r="M3341" s="8" t="s">
        <v>20067</v>
      </c>
      <c r="N3341" s="8" t="s">
        <v>79</v>
      </c>
      <c r="O3341" s="8" t="s">
        <v>396</v>
      </c>
      <c r="P3341" s="6" t="s">
        <v>43</v>
      </c>
      <c r="Q3341" s="8" t="s">
        <v>44</v>
      </c>
      <c r="R3341" s="10" t="s">
        <v>11473</v>
      </c>
      <c r="S3341" s="11" t="s">
        <v>20068</v>
      </c>
      <c r="T3341" s="6"/>
      <c r="U3341" s="24" t="str">
        <f>HYPERLINK("https://media.infra-m.ru/2196/2196077/cover/2196077.jpg", "Обложка")</f>
        <v>Обложка</v>
      </c>
      <c r="V3341" s="24" t="str">
        <f>HYPERLINK("https://znanium.ru/catalog/product/949740", "Ознакомиться")</f>
        <v>Ознакомиться</v>
      </c>
      <c r="W3341" s="8" t="s">
        <v>784</v>
      </c>
      <c r="X3341" s="6"/>
      <c r="Y3341" s="6"/>
      <c r="Z3341" s="6"/>
      <c r="AA3341" s="6" t="s">
        <v>160</v>
      </c>
      <c r="AB3341" s="8"/>
    </row>
    <row r="3342" spans="1:28" s="4" customFormat="1" ht="51.95" customHeight="1">
      <c r="A3342" s="5">
        <v>0</v>
      </c>
      <c r="B3342" s="6" t="s">
        <v>20069</v>
      </c>
      <c r="C3342" s="13">
        <v>1394.9</v>
      </c>
      <c r="D3342" s="8" t="s">
        <v>20070</v>
      </c>
      <c r="E3342" s="8" t="s">
        <v>20071</v>
      </c>
      <c r="F3342" s="8" t="s">
        <v>20066</v>
      </c>
      <c r="G3342" s="6" t="s">
        <v>52</v>
      </c>
      <c r="H3342" s="6" t="s">
        <v>53</v>
      </c>
      <c r="I3342" s="8" t="s">
        <v>6796</v>
      </c>
      <c r="J3342" s="9">
        <v>1</v>
      </c>
      <c r="K3342" s="9">
        <v>311</v>
      </c>
      <c r="L3342" s="9">
        <v>2023</v>
      </c>
      <c r="M3342" s="8" t="s">
        <v>20072</v>
      </c>
      <c r="N3342" s="8" t="s">
        <v>79</v>
      </c>
      <c r="O3342" s="8" t="s">
        <v>396</v>
      </c>
      <c r="P3342" s="6" t="s">
        <v>43</v>
      </c>
      <c r="Q3342" s="8" t="s">
        <v>279</v>
      </c>
      <c r="R3342" s="10" t="s">
        <v>20073</v>
      </c>
      <c r="S3342" s="11" t="s">
        <v>20074</v>
      </c>
      <c r="T3342" s="6"/>
      <c r="U3342" s="24" t="str">
        <f>HYPERLINK("https://media.infra-m.ru/2006/2006885/cover/2006885.jpg", "Обложка")</f>
        <v>Обложка</v>
      </c>
      <c r="V3342" s="12"/>
      <c r="W3342" s="8" t="s">
        <v>784</v>
      </c>
      <c r="X3342" s="6"/>
      <c r="Y3342" s="6"/>
      <c r="Z3342" s="6"/>
      <c r="AA3342" s="6" t="s">
        <v>151</v>
      </c>
      <c r="AB3342" s="8"/>
    </row>
    <row r="3343" spans="1:28" s="4" customFormat="1" ht="51.95" customHeight="1">
      <c r="A3343" s="5">
        <v>0</v>
      </c>
      <c r="B3343" s="6" t="s">
        <v>20075</v>
      </c>
      <c r="C3343" s="13">
        <v>1914</v>
      </c>
      <c r="D3343" s="8" t="s">
        <v>20076</v>
      </c>
      <c r="E3343" s="8" t="s">
        <v>20077</v>
      </c>
      <c r="F3343" s="8" t="s">
        <v>20078</v>
      </c>
      <c r="G3343" s="6" t="s">
        <v>52</v>
      </c>
      <c r="H3343" s="6" t="s">
        <v>952</v>
      </c>
      <c r="I3343" s="8"/>
      <c r="J3343" s="9">
        <v>1</v>
      </c>
      <c r="K3343" s="9">
        <v>416</v>
      </c>
      <c r="L3343" s="9">
        <v>2024</v>
      </c>
      <c r="M3343" s="8" t="s">
        <v>20079</v>
      </c>
      <c r="N3343" s="8" t="s">
        <v>41</v>
      </c>
      <c r="O3343" s="8" t="s">
        <v>278</v>
      </c>
      <c r="P3343" s="6" t="s">
        <v>167</v>
      </c>
      <c r="Q3343" s="8" t="s">
        <v>44</v>
      </c>
      <c r="R3343" s="10" t="s">
        <v>20080</v>
      </c>
      <c r="S3343" s="11" t="s">
        <v>20081</v>
      </c>
      <c r="T3343" s="6"/>
      <c r="U3343" s="24" t="str">
        <f>HYPERLINK("https://media.infra-m.ru/2056/2056655/cover/2056655.jpg", "Обложка")</f>
        <v>Обложка</v>
      </c>
      <c r="V3343" s="24" t="str">
        <f>HYPERLINK("https://znanium.ru/catalog/product/969593", "Ознакомиться")</f>
        <v>Ознакомиться</v>
      </c>
      <c r="W3343" s="8" t="s">
        <v>955</v>
      </c>
      <c r="X3343" s="6"/>
      <c r="Y3343" s="6"/>
      <c r="Z3343" s="6"/>
      <c r="AA3343" s="6" t="s">
        <v>4952</v>
      </c>
      <c r="AB3343" s="8"/>
    </row>
    <row r="3344" spans="1:28" s="4" customFormat="1" ht="51.95" customHeight="1">
      <c r="A3344" s="5">
        <v>0</v>
      </c>
      <c r="B3344" s="6" t="s">
        <v>20082</v>
      </c>
      <c r="C3344" s="13">
        <v>1084.9000000000001</v>
      </c>
      <c r="D3344" s="8" t="s">
        <v>20083</v>
      </c>
      <c r="E3344" s="8" t="s">
        <v>20084</v>
      </c>
      <c r="F3344" s="8" t="s">
        <v>20085</v>
      </c>
      <c r="G3344" s="6" t="s">
        <v>52</v>
      </c>
      <c r="H3344" s="6" t="s">
        <v>1738</v>
      </c>
      <c r="I3344" s="8" t="s">
        <v>1739</v>
      </c>
      <c r="J3344" s="9">
        <v>1</v>
      </c>
      <c r="K3344" s="9">
        <v>240</v>
      </c>
      <c r="L3344" s="9">
        <v>2023</v>
      </c>
      <c r="M3344" s="8" t="s">
        <v>20086</v>
      </c>
      <c r="N3344" s="8" t="s">
        <v>41</v>
      </c>
      <c r="O3344" s="8" t="s">
        <v>278</v>
      </c>
      <c r="P3344" s="6" t="s">
        <v>43</v>
      </c>
      <c r="Q3344" s="8" t="s">
        <v>102</v>
      </c>
      <c r="R3344" s="10" t="s">
        <v>20087</v>
      </c>
      <c r="S3344" s="11" t="s">
        <v>20088</v>
      </c>
      <c r="T3344" s="6"/>
      <c r="U3344" s="24" t="str">
        <f>HYPERLINK("https://media.infra-m.ru/1894/1894508/cover/1894508.jpg", "Обложка")</f>
        <v>Обложка</v>
      </c>
      <c r="V3344" s="24" t="str">
        <f>HYPERLINK("https://znanium.ru/catalog/product/2183866", "Ознакомиться")</f>
        <v>Ознакомиться</v>
      </c>
      <c r="W3344" s="8" t="s">
        <v>354</v>
      </c>
      <c r="X3344" s="6"/>
      <c r="Y3344" s="6"/>
      <c r="Z3344" s="6"/>
      <c r="AA3344" s="6" t="s">
        <v>122</v>
      </c>
      <c r="AB3344" s="8"/>
    </row>
    <row r="3345" spans="1:28" s="4" customFormat="1" ht="51.95" customHeight="1">
      <c r="A3345" s="5">
        <v>0</v>
      </c>
      <c r="B3345" s="6" t="s">
        <v>20089</v>
      </c>
      <c r="C3345" s="13">
        <v>1230</v>
      </c>
      <c r="D3345" s="8" t="s">
        <v>20090</v>
      </c>
      <c r="E3345" s="8" t="s">
        <v>20091</v>
      </c>
      <c r="F3345" s="8" t="s">
        <v>20092</v>
      </c>
      <c r="G3345" s="6" t="s">
        <v>89</v>
      </c>
      <c r="H3345" s="6" t="s">
        <v>53</v>
      </c>
      <c r="I3345" s="8" t="s">
        <v>100</v>
      </c>
      <c r="J3345" s="9">
        <v>1</v>
      </c>
      <c r="K3345" s="9">
        <v>240</v>
      </c>
      <c r="L3345" s="9">
        <v>2025</v>
      </c>
      <c r="M3345" s="8" t="s">
        <v>20093</v>
      </c>
      <c r="N3345" s="8" t="s">
        <v>41</v>
      </c>
      <c r="O3345" s="8" t="s">
        <v>278</v>
      </c>
      <c r="P3345" s="6" t="s">
        <v>43</v>
      </c>
      <c r="Q3345" s="8" t="s">
        <v>102</v>
      </c>
      <c r="R3345" s="10" t="s">
        <v>20087</v>
      </c>
      <c r="S3345" s="11" t="s">
        <v>20088</v>
      </c>
      <c r="T3345" s="6"/>
      <c r="U3345" s="24" t="str">
        <f>HYPERLINK("https://media.infra-m.ru/2183/2183866/cover/2183866.jpg", "Обложка")</f>
        <v>Обложка</v>
      </c>
      <c r="V3345" s="24" t="str">
        <f>HYPERLINK("https://znanium.ru/catalog/product/2183866", "Ознакомиться")</f>
        <v>Ознакомиться</v>
      </c>
      <c r="W3345" s="8" t="s">
        <v>354</v>
      </c>
      <c r="X3345" s="6"/>
      <c r="Y3345" s="6"/>
      <c r="Z3345" s="6"/>
      <c r="AA3345" s="6" t="s">
        <v>105</v>
      </c>
      <c r="AB3345" s="8"/>
    </row>
    <row r="3346" spans="1:28" s="4" customFormat="1" ht="44.1" customHeight="1">
      <c r="A3346" s="5">
        <v>0</v>
      </c>
      <c r="B3346" s="6" t="s">
        <v>20094</v>
      </c>
      <c r="C3346" s="7">
        <v>940</v>
      </c>
      <c r="D3346" s="8" t="s">
        <v>20095</v>
      </c>
      <c r="E3346" s="8" t="s">
        <v>20096</v>
      </c>
      <c r="F3346" s="8" t="s">
        <v>20097</v>
      </c>
      <c r="G3346" s="6" t="s">
        <v>89</v>
      </c>
      <c r="H3346" s="6" t="s">
        <v>184</v>
      </c>
      <c r="I3346" s="8" t="s">
        <v>185</v>
      </c>
      <c r="J3346" s="9">
        <v>1</v>
      </c>
      <c r="K3346" s="9">
        <v>200</v>
      </c>
      <c r="L3346" s="9">
        <v>2024</v>
      </c>
      <c r="M3346" s="8" t="s">
        <v>20098</v>
      </c>
      <c r="N3346" s="8" t="s">
        <v>56</v>
      </c>
      <c r="O3346" s="8" t="s">
        <v>9271</v>
      </c>
      <c r="P3346" s="6" t="s">
        <v>167</v>
      </c>
      <c r="Q3346" s="8" t="s">
        <v>44</v>
      </c>
      <c r="R3346" s="10" t="s">
        <v>20099</v>
      </c>
      <c r="S3346" s="11"/>
      <c r="T3346" s="6"/>
      <c r="U3346" s="24" t="str">
        <f>HYPERLINK("https://media.infra-m.ru/2103/2103181/cover/2103181.jpg", "Обложка")</f>
        <v>Обложка</v>
      </c>
      <c r="V3346" s="24" t="str">
        <f>HYPERLINK("https://znanium.ru/catalog/product/2103181", "Ознакомиться")</f>
        <v>Ознакомиться</v>
      </c>
      <c r="W3346" s="8" t="s">
        <v>913</v>
      </c>
      <c r="X3346" s="6"/>
      <c r="Y3346" s="6"/>
      <c r="Z3346" s="6"/>
      <c r="AA3346" s="6" t="s">
        <v>442</v>
      </c>
      <c r="AB3346" s="8"/>
    </row>
    <row r="3347" spans="1:28" s="4" customFormat="1" ht="51.95" customHeight="1">
      <c r="A3347" s="5">
        <v>0</v>
      </c>
      <c r="B3347" s="6" t="s">
        <v>20100</v>
      </c>
      <c r="C3347" s="7">
        <v>960</v>
      </c>
      <c r="D3347" s="8" t="s">
        <v>20101</v>
      </c>
      <c r="E3347" s="8" t="s">
        <v>20102</v>
      </c>
      <c r="F3347" s="8" t="s">
        <v>20103</v>
      </c>
      <c r="G3347" s="6" t="s">
        <v>38</v>
      </c>
      <c r="H3347" s="6" t="s">
        <v>39</v>
      </c>
      <c r="I3347" s="8" t="s">
        <v>116</v>
      </c>
      <c r="J3347" s="9">
        <v>1</v>
      </c>
      <c r="K3347" s="9">
        <v>191</v>
      </c>
      <c r="L3347" s="9">
        <v>2025</v>
      </c>
      <c r="M3347" s="8" t="s">
        <v>20104</v>
      </c>
      <c r="N3347" s="8" t="s">
        <v>56</v>
      </c>
      <c r="O3347" s="8" t="s">
        <v>57</v>
      </c>
      <c r="P3347" s="6" t="s">
        <v>43</v>
      </c>
      <c r="Q3347" s="8" t="s">
        <v>44</v>
      </c>
      <c r="R3347" s="10" t="s">
        <v>20105</v>
      </c>
      <c r="S3347" s="11" t="s">
        <v>20106</v>
      </c>
      <c r="T3347" s="6"/>
      <c r="U3347" s="24" t="str">
        <f>HYPERLINK("https://media.infra-m.ru/2161/2161299/cover/2161299.jpg", "Обложка")</f>
        <v>Обложка</v>
      </c>
      <c r="V3347" s="24" t="str">
        <f>HYPERLINK("https://znanium.ru/catalog/product/2161299", "Ознакомиться")</f>
        <v>Ознакомиться</v>
      </c>
      <c r="W3347" s="8" t="s">
        <v>4293</v>
      </c>
      <c r="X3347" s="6"/>
      <c r="Y3347" s="6"/>
      <c r="Z3347" s="6"/>
      <c r="AA3347" s="6" t="s">
        <v>418</v>
      </c>
      <c r="AB3347" s="8"/>
    </row>
    <row r="3348" spans="1:28" s="4" customFormat="1" ht="51.95" customHeight="1">
      <c r="A3348" s="5">
        <v>0</v>
      </c>
      <c r="B3348" s="6" t="s">
        <v>20107</v>
      </c>
      <c r="C3348" s="13">
        <v>1124</v>
      </c>
      <c r="D3348" s="8" t="s">
        <v>20108</v>
      </c>
      <c r="E3348" s="8" t="s">
        <v>20109</v>
      </c>
      <c r="F3348" s="8" t="s">
        <v>483</v>
      </c>
      <c r="G3348" s="6" t="s">
        <v>89</v>
      </c>
      <c r="H3348" s="6" t="s">
        <v>53</v>
      </c>
      <c r="I3348" s="8" t="s">
        <v>116</v>
      </c>
      <c r="J3348" s="9">
        <v>1</v>
      </c>
      <c r="K3348" s="9">
        <v>223</v>
      </c>
      <c r="L3348" s="9">
        <v>2025</v>
      </c>
      <c r="M3348" s="8" t="s">
        <v>20110</v>
      </c>
      <c r="N3348" s="8" t="s">
        <v>79</v>
      </c>
      <c r="O3348" s="8" t="s">
        <v>537</v>
      </c>
      <c r="P3348" s="6" t="s">
        <v>43</v>
      </c>
      <c r="Q3348" s="8" t="s">
        <v>58</v>
      </c>
      <c r="R3348" s="10" t="s">
        <v>7012</v>
      </c>
      <c r="S3348" s="11" t="s">
        <v>20111</v>
      </c>
      <c r="T3348" s="6"/>
      <c r="U3348" s="24" t="str">
        <f>HYPERLINK("https://media.infra-m.ru/2167/2167526/cover/2167526.jpg", "Обложка")</f>
        <v>Обложка</v>
      </c>
      <c r="V3348" s="24" t="str">
        <f>HYPERLINK("https://znanium.ru/catalog/product/2161359", "Ознакомиться")</f>
        <v>Ознакомиться</v>
      </c>
      <c r="W3348" s="8" t="s">
        <v>487</v>
      </c>
      <c r="X3348" s="6"/>
      <c r="Y3348" s="6"/>
      <c r="Z3348" s="6"/>
      <c r="AA3348" s="6" t="s">
        <v>326</v>
      </c>
      <c r="AB3348" s="8"/>
    </row>
    <row r="3349" spans="1:28" s="4" customFormat="1" ht="51.95" customHeight="1">
      <c r="A3349" s="5">
        <v>0</v>
      </c>
      <c r="B3349" s="6" t="s">
        <v>20112</v>
      </c>
      <c r="C3349" s="13">
        <v>1114</v>
      </c>
      <c r="D3349" s="8" t="s">
        <v>20113</v>
      </c>
      <c r="E3349" s="8" t="s">
        <v>20109</v>
      </c>
      <c r="F3349" s="8" t="s">
        <v>483</v>
      </c>
      <c r="G3349" s="6" t="s">
        <v>89</v>
      </c>
      <c r="H3349" s="6" t="s">
        <v>53</v>
      </c>
      <c r="I3349" s="8" t="s">
        <v>100</v>
      </c>
      <c r="J3349" s="9">
        <v>1</v>
      </c>
      <c r="K3349" s="9">
        <v>223</v>
      </c>
      <c r="L3349" s="9">
        <v>2025</v>
      </c>
      <c r="M3349" s="8" t="s">
        <v>20114</v>
      </c>
      <c r="N3349" s="8" t="s">
        <v>79</v>
      </c>
      <c r="O3349" s="8" t="s">
        <v>537</v>
      </c>
      <c r="P3349" s="6" t="s">
        <v>43</v>
      </c>
      <c r="Q3349" s="8" t="s">
        <v>102</v>
      </c>
      <c r="R3349" s="10" t="s">
        <v>20115</v>
      </c>
      <c r="S3349" s="11" t="s">
        <v>20116</v>
      </c>
      <c r="T3349" s="6"/>
      <c r="U3349" s="24" t="str">
        <f>HYPERLINK("https://media.infra-m.ru/2188/2188774/cover/2188774.jpg", "Обложка")</f>
        <v>Обложка</v>
      </c>
      <c r="V3349" s="24" t="str">
        <f>HYPERLINK("https://znanium.ru/catalog/product/2131473", "Ознакомиться")</f>
        <v>Ознакомиться</v>
      </c>
      <c r="W3349" s="8" t="s">
        <v>487</v>
      </c>
      <c r="X3349" s="6"/>
      <c r="Y3349" s="6"/>
      <c r="Z3349" s="6" t="s">
        <v>502</v>
      </c>
      <c r="AA3349" s="6" t="s">
        <v>1374</v>
      </c>
      <c r="AB3349" s="8"/>
    </row>
    <row r="3350" spans="1:28" s="4" customFormat="1" ht="42" customHeight="1">
      <c r="A3350" s="5">
        <v>0</v>
      </c>
      <c r="B3350" s="6" t="s">
        <v>20117</v>
      </c>
      <c r="C3350" s="13">
        <v>1090</v>
      </c>
      <c r="D3350" s="8" t="s">
        <v>20118</v>
      </c>
      <c r="E3350" s="8" t="s">
        <v>20119</v>
      </c>
      <c r="F3350" s="8" t="s">
        <v>20120</v>
      </c>
      <c r="G3350" s="6" t="s">
        <v>89</v>
      </c>
      <c r="H3350" s="6" t="s">
        <v>184</v>
      </c>
      <c r="I3350" s="8" t="s">
        <v>185</v>
      </c>
      <c r="J3350" s="9">
        <v>1</v>
      </c>
      <c r="K3350" s="9">
        <v>232</v>
      </c>
      <c r="L3350" s="9">
        <v>2024</v>
      </c>
      <c r="M3350" s="8" t="s">
        <v>20121</v>
      </c>
      <c r="N3350" s="8" t="s">
        <v>41</v>
      </c>
      <c r="O3350" s="8" t="s">
        <v>4035</v>
      </c>
      <c r="P3350" s="6" t="s">
        <v>167</v>
      </c>
      <c r="Q3350" s="8" t="s">
        <v>102</v>
      </c>
      <c r="R3350" s="10" t="s">
        <v>9631</v>
      </c>
      <c r="S3350" s="11"/>
      <c r="T3350" s="6"/>
      <c r="U3350" s="24" t="str">
        <f>HYPERLINK("https://media.infra-m.ru/2136/2136106/cover/2136106.jpg", "Обложка")</f>
        <v>Обложка</v>
      </c>
      <c r="V3350" s="12"/>
      <c r="W3350" s="8" t="s">
        <v>4815</v>
      </c>
      <c r="X3350" s="6"/>
      <c r="Y3350" s="6"/>
      <c r="Z3350" s="6"/>
      <c r="AA3350" s="6" t="s">
        <v>133</v>
      </c>
      <c r="AB3350" s="8"/>
    </row>
    <row r="3351" spans="1:28" s="4" customFormat="1" ht="44.1" customHeight="1">
      <c r="A3351" s="5">
        <v>0</v>
      </c>
      <c r="B3351" s="6" t="s">
        <v>20122</v>
      </c>
      <c r="C3351" s="13">
        <v>1330</v>
      </c>
      <c r="D3351" s="8" t="s">
        <v>20123</v>
      </c>
      <c r="E3351" s="8" t="s">
        <v>20119</v>
      </c>
      <c r="F3351" s="8" t="s">
        <v>20124</v>
      </c>
      <c r="G3351" s="6" t="s">
        <v>89</v>
      </c>
      <c r="H3351" s="6" t="s">
        <v>184</v>
      </c>
      <c r="I3351" s="8" t="s">
        <v>116</v>
      </c>
      <c r="J3351" s="9">
        <v>1</v>
      </c>
      <c r="K3351" s="9">
        <v>154</v>
      </c>
      <c r="L3351" s="9">
        <v>2024</v>
      </c>
      <c r="M3351" s="8" t="s">
        <v>20125</v>
      </c>
      <c r="N3351" s="8" t="s">
        <v>41</v>
      </c>
      <c r="O3351" s="8" t="s">
        <v>4035</v>
      </c>
      <c r="P3351" s="6" t="s">
        <v>167</v>
      </c>
      <c r="Q3351" s="8" t="s">
        <v>58</v>
      </c>
      <c r="R3351" s="10" t="s">
        <v>20126</v>
      </c>
      <c r="S3351" s="11"/>
      <c r="T3351" s="6"/>
      <c r="U3351" s="24" t="str">
        <f>HYPERLINK("https://media.infra-m.ru/2131/2131470/cover/2131470.jpg", "Обложка")</f>
        <v>Обложка</v>
      </c>
      <c r="V3351" s="24" t="str">
        <f>HYPERLINK("https://znanium.ru/catalog/product/2123773", "Ознакомиться")</f>
        <v>Ознакомиться</v>
      </c>
      <c r="W3351" s="8" t="s">
        <v>4815</v>
      </c>
      <c r="X3351" s="6"/>
      <c r="Y3351" s="6"/>
      <c r="Z3351" s="6"/>
      <c r="AA3351" s="6" t="s">
        <v>133</v>
      </c>
      <c r="AB3351" s="8"/>
    </row>
    <row r="3352" spans="1:28" s="4" customFormat="1" ht="42" customHeight="1">
      <c r="A3352" s="5">
        <v>0</v>
      </c>
      <c r="B3352" s="6" t="s">
        <v>20127</v>
      </c>
      <c r="C3352" s="7">
        <v>990</v>
      </c>
      <c r="D3352" s="8" t="s">
        <v>20128</v>
      </c>
      <c r="E3352" s="8" t="s">
        <v>20119</v>
      </c>
      <c r="F3352" s="8" t="s">
        <v>3197</v>
      </c>
      <c r="G3352" s="6" t="s">
        <v>89</v>
      </c>
      <c r="H3352" s="6" t="s">
        <v>53</v>
      </c>
      <c r="I3352" s="8" t="s">
        <v>116</v>
      </c>
      <c r="J3352" s="9">
        <v>1</v>
      </c>
      <c r="K3352" s="9">
        <v>190</v>
      </c>
      <c r="L3352" s="9">
        <v>2025</v>
      </c>
      <c r="M3352" s="8" t="s">
        <v>20129</v>
      </c>
      <c r="N3352" s="8" t="s">
        <v>41</v>
      </c>
      <c r="O3352" s="8" t="s">
        <v>4035</v>
      </c>
      <c r="P3352" s="6" t="s">
        <v>43</v>
      </c>
      <c r="Q3352" s="8" t="s">
        <v>58</v>
      </c>
      <c r="R3352" s="10" t="s">
        <v>20130</v>
      </c>
      <c r="S3352" s="11"/>
      <c r="T3352" s="6"/>
      <c r="U3352" s="24" t="str">
        <f>HYPERLINK("https://media.infra-m.ru/2175/2175285/cover/2175285.jpg", "Обложка")</f>
        <v>Обложка</v>
      </c>
      <c r="V3352" s="24" t="str">
        <f>HYPERLINK("https://znanium.ru/catalog/product/2175285", "Ознакомиться")</f>
        <v>Ознакомиться</v>
      </c>
      <c r="W3352" s="8" t="s">
        <v>3201</v>
      </c>
      <c r="X3352" s="6"/>
      <c r="Y3352" s="6"/>
      <c r="Z3352" s="6"/>
      <c r="AA3352" s="6" t="s">
        <v>133</v>
      </c>
      <c r="AB3352" s="8"/>
    </row>
    <row r="3353" spans="1:28" s="4" customFormat="1" ht="44.1" customHeight="1">
      <c r="A3353" s="5">
        <v>0</v>
      </c>
      <c r="B3353" s="6" t="s">
        <v>20131</v>
      </c>
      <c r="C3353" s="7">
        <v>990</v>
      </c>
      <c r="D3353" s="8" t="s">
        <v>20132</v>
      </c>
      <c r="E3353" s="8" t="s">
        <v>20119</v>
      </c>
      <c r="F3353" s="8" t="s">
        <v>3197</v>
      </c>
      <c r="G3353" s="6" t="s">
        <v>52</v>
      </c>
      <c r="H3353" s="6" t="s">
        <v>53</v>
      </c>
      <c r="I3353" s="8" t="s">
        <v>100</v>
      </c>
      <c r="J3353" s="9">
        <v>1</v>
      </c>
      <c r="K3353" s="9">
        <v>190</v>
      </c>
      <c r="L3353" s="9">
        <v>2025</v>
      </c>
      <c r="M3353" s="8" t="s">
        <v>20133</v>
      </c>
      <c r="N3353" s="8" t="s">
        <v>41</v>
      </c>
      <c r="O3353" s="8" t="s">
        <v>4035</v>
      </c>
      <c r="P3353" s="6" t="s">
        <v>43</v>
      </c>
      <c r="Q3353" s="8" t="s">
        <v>102</v>
      </c>
      <c r="R3353" s="10" t="s">
        <v>20134</v>
      </c>
      <c r="S3353" s="11"/>
      <c r="T3353" s="6"/>
      <c r="U3353" s="24" t="str">
        <f>HYPERLINK("https://media.infra-m.ru/2172/2172167/cover/2172167.jpg", "Обложка")</f>
        <v>Обложка</v>
      </c>
      <c r="V3353" s="24" t="str">
        <f>HYPERLINK("https://znanium.ru/catalog/product/2172167", "Ознакомиться")</f>
        <v>Ознакомиться</v>
      </c>
      <c r="W3353" s="8" t="s">
        <v>3201</v>
      </c>
      <c r="X3353" s="6" t="s">
        <v>785</v>
      </c>
      <c r="Y3353" s="6"/>
      <c r="Z3353" s="6" t="s">
        <v>502</v>
      </c>
      <c r="AA3353" s="6" t="s">
        <v>61</v>
      </c>
      <c r="AB3353" s="8"/>
    </row>
    <row r="3354" spans="1:28" s="4" customFormat="1" ht="42" customHeight="1">
      <c r="A3354" s="5">
        <v>0</v>
      </c>
      <c r="B3354" s="6" t="s">
        <v>20135</v>
      </c>
      <c r="C3354" s="13">
        <v>2084</v>
      </c>
      <c r="D3354" s="8" t="s">
        <v>20136</v>
      </c>
      <c r="E3354" s="8" t="s">
        <v>20137</v>
      </c>
      <c r="F3354" s="8" t="s">
        <v>20138</v>
      </c>
      <c r="G3354" s="6" t="s">
        <v>52</v>
      </c>
      <c r="H3354" s="6" t="s">
        <v>184</v>
      </c>
      <c r="I3354" s="8" t="s">
        <v>116</v>
      </c>
      <c r="J3354" s="9">
        <v>1</v>
      </c>
      <c r="K3354" s="9">
        <v>416</v>
      </c>
      <c r="L3354" s="9">
        <v>2025</v>
      </c>
      <c r="M3354" s="8" t="s">
        <v>20139</v>
      </c>
      <c r="N3354" s="8" t="s">
        <v>56</v>
      </c>
      <c r="O3354" s="8" t="s">
        <v>57</v>
      </c>
      <c r="P3354" s="6" t="s">
        <v>43</v>
      </c>
      <c r="Q3354" s="8" t="s">
        <v>44</v>
      </c>
      <c r="R3354" s="10" t="s">
        <v>45</v>
      </c>
      <c r="S3354" s="11"/>
      <c r="T3354" s="6"/>
      <c r="U3354" s="24" t="str">
        <f>HYPERLINK("https://media.infra-m.ru/2180/2180382/cover/2180382.jpg", "Обложка")</f>
        <v>Обложка</v>
      </c>
      <c r="V3354" s="12"/>
      <c r="W3354" s="8"/>
      <c r="X3354" s="6"/>
      <c r="Y3354" s="6"/>
      <c r="Z3354" s="6"/>
      <c r="AA3354" s="6" t="s">
        <v>122</v>
      </c>
      <c r="AB3354" s="8"/>
    </row>
    <row r="3355" spans="1:28" s="4" customFormat="1" ht="51.95" customHeight="1">
      <c r="A3355" s="5">
        <v>0</v>
      </c>
      <c r="B3355" s="6" t="s">
        <v>20140</v>
      </c>
      <c r="C3355" s="13">
        <v>1624</v>
      </c>
      <c r="D3355" s="8" t="s">
        <v>20141</v>
      </c>
      <c r="E3355" s="8" t="s">
        <v>20142</v>
      </c>
      <c r="F3355" s="8" t="s">
        <v>20143</v>
      </c>
      <c r="G3355" s="6" t="s">
        <v>89</v>
      </c>
      <c r="H3355" s="6" t="s">
        <v>53</v>
      </c>
      <c r="I3355" s="8" t="s">
        <v>116</v>
      </c>
      <c r="J3355" s="9">
        <v>1</v>
      </c>
      <c r="K3355" s="9">
        <v>312</v>
      </c>
      <c r="L3355" s="9">
        <v>2025</v>
      </c>
      <c r="M3355" s="8" t="s">
        <v>20144</v>
      </c>
      <c r="N3355" s="8" t="s">
        <v>41</v>
      </c>
      <c r="O3355" s="8" t="s">
        <v>118</v>
      </c>
      <c r="P3355" s="6" t="s">
        <v>167</v>
      </c>
      <c r="Q3355" s="8" t="s">
        <v>44</v>
      </c>
      <c r="R3355" s="10" t="s">
        <v>20145</v>
      </c>
      <c r="S3355" s="11" t="s">
        <v>20146</v>
      </c>
      <c r="T3355" s="6"/>
      <c r="U3355" s="24" t="str">
        <f>HYPERLINK("https://media.infra-m.ru/2194/2194348/cover/2194348.jpg", "Обложка")</f>
        <v>Обложка</v>
      </c>
      <c r="V3355" s="24" t="str">
        <f>HYPERLINK("https://znanium.ru/catalog/product/1893924", "Ознакомиться")</f>
        <v>Ознакомиться</v>
      </c>
      <c r="W3355" s="8"/>
      <c r="X3355" s="6"/>
      <c r="Y3355" s="6"/>
      <c r="Z3355" s="6"/>
      <c r="AA3355" s="6" t="s">
        <v>122</v>
      </c>
      <c r="AB3355" s="8"/>
    </row>
    <row r="3356" spans="1:28" s="4" customFormat="1" ht="51.95" customHeight="1">
      <c r="A3356" s="5">
        <v>0</v>
      </c>
      <c r="B3356" s="6" t="s">
        <v>20147</v>
      </c>
      <c r="C3356" s="13">
        <v>1710</v>
      </c>
      <c r="D3356" s="8" t="s">
        <v>20148</v>
      </c>
      <c r="E3356" s="8" t="s">
        <v>20149</v>
      </c>
      <c r="F3356" s="8" t="s">
        <v>20150</v>
      </c>
      <c r="G3356" s="6" t="s">
        <v>52</v>
      </c>
      <c r="H3356" s="6" t="s">
        <v>53</v>
      </c>
      <c r="I3356" s="8" t="s">
        <v>116</v>
      </c>
      <c r="J3356" s="9">
        <v>1</v>
      </c>
      <c r="K3356" s="9">
        <v>335</v>
      </c>
      <c r="L3356" s="9">
        <v>2024</v>
      </c>
      <c r="M3356" s="8" t="s">
        <v>20151</v>
      </c>
      <c r="N3356" s="8" t="s">
        <v>79</v>
      </c>
      <c r="O3356" s="8" t="s">
        <v>174</v>
      </c>
      <c r="P3356" s="6" t="s">
        <v>43</v>
      </c>
      <c r="Q3356" s="8" t="s">
        <v>58</v>
      </c>
      <c r="R3356" s="10" t="s">
        <v>20152</v>
      </c>
      <c r="S3356" s="11"/>
      <c r="T3356" s="6"/>
      <c r="U3356" s="24" t="str">
        <f>HYPERLINK("https://media.infra-m.ru/2125/2125936/cover/2125936.jpg", "Обложка")</f>
        <v>Обложка</v>
      </c>
      <c r="V3356" s="24" t="str">
        <f>HYPERLINK("https://znanium.ru/catalog/product/2125936", "Ознакомиться")</f>
        <v>Ознакомиться</v>
      </c>
      <c r="W3356" s="8" t="s">
        <v>4815</v>
      </c>
      <c r="X3356" s="6" t="s">
        <v>785</v>
      </c>
      <c r="Y3356" s="6"/>
      <c r="Z3356" s="6"/>
      <c r="AA3356" s="6" t="s">
        <v>133</v>
      </c>
      <c r="AB3356" s="8"/>
    </row>
    <row r="3357" spans="1:28" s="4" customFormat="1" ht="42" customHeight="1">
      <c r="A3357" s="5">
        <v>0</v>
      </c>
      <c r="B3357" s="6" t="s">
        <v>20153</v>
      </c>
      <c r="C3357" s="13">
        <v>1360</v>
      </c>
      <c r="D3357" s="8" t="s">
        <v>20154</v>
      </c>
      <c r="E3357" s="8" t="s">
        <v>20155</v>
      </c>
      <c r="F3357" s="8" t="s">
        <v>4458</v>
      </c>
      <c r="G3357" s="6" t="s">
        <v>52</v>
      </c>
      <c r="H3357" s="6" t="s">
        <v>53</v>
      </c>
      <c r="I3357" s="8" t="s">
        <v>116</v>
      </c>
      <c r="J3357" s="9">
        <v>1</v>
      </c>
      <c r="K3357" s="9">
        <v>270</v>
      </c>
      <c r="L3357" s="9">
        <v>2025</v>
      </c>
      <c r="M3357" s="8" t="s">
        <v>20156</v>
      </c>
      <c r="N3357" s="8" t="s">
        <v>41</v>
      </c>
      <c r="O3357" s="8" t="s">
        <v>118</v>
      </c>
      <c r="P3357" s="6" t="s">
        <v>43</v>
      </c>
      <c r="Q3357" s="8" t="s">
        <v>279</v>
      </c>
      <c r="R3357" s="10" t="s">
        <v>20157</v>
      </c>
      <c r="S3357" s="11"/>
      <c r="T3357" s="6"/>
      <c r="U3357" s="24" t="str">
        <f>HYPERLINK("https://media.infra-m.ru/1014/1014645/cover/1014645.jpg", "Обложка")</f>
        <v>Обложка</v>
      </c>
      <c r="V3357" s="24" t="str">
        <f>HYPERLINK("https://znanium.ru/catalog/product/1014645", "Ознакомиться")</f>
        <v>Ознакомиться</v>
      </c>
      <c r="W3357" s="8" t="s">
        <v>462</v>
      </c>
      <c r="X3357" s="6" t="s">
        <v>548</v>
      </c>
      <c r="Y3357" s="6"/>
      <c r="Z3357" s="6"/>
      <c r="AA3357" s="6" t="s">
        <v>61</v>
      </c>
      <c r="AB3357" s="8"/>
    </row>
    <row r="3358" spans="1:28" s="4" customFormat="1" ht="51.95" customHeight="1">
      <c r="A3358" s="5">
        <v>0</v>
      </c>
      <c r="B3358" s="6" t="s">
        <v>20158</v>
      </c>
      <c r="C3358" s="13">
        <v>1640</v>
      </c>
      <c r="D3358" s="8" t="s">
        <v>20159</v>
      </c>
      <c r="E3358" s="8" t="s">
        <v>20160</v>
      </c>
      <c r="F3358" s="8" t="s">
        <v>20161</v>
      </c>
      <c r="G3358" s="6" t="s">
        <v>89</v>
      </c>
      <c r="H3358" s="6" t="s">
        <v>53</v>
      </c>
      <c r="I3358" s="8" t="s">
        <v>90</v>
      </c>
      <c r="J3358" s="9">
        <v>1</v>
      </c>
      <c r="K3358" s="9">
        <v>364</v>
      </c>
      <c r="L3358" s="9">
        <v>2023</v>
      </c>
      <c r="M3358" s="8" t="s">
        <v>20162</v>
      </c>
      <c r="N3358" s="8" t="s">
        <v>79</v>
      </c>
      <c r="O3358" s="8" t="s">
        <v>148</v>
      </c>
      <c r="P3358" s="6" t="s">
        <v>167</v>
      </c>
      <c r="Q3358" s="8" t="s">
        <v>44</v>
      </c>
      <c r="R3358" s="10" t="s">
        <v>3957</v>
      </c>
      <c r="S3358" s="11" t="s">
        <v>20163</v>
      </c>
      <c r="T3358" s="6" t="s">
        <v>299</v>
      </c>
      <c r="U3358" s="24" t="str">
        <f>HYPERLINK("https://media.infra-m.ru/1941/1941751/cover/1941751.jpg", "Обложка")</f>
        <v>Обложка</v>
      </c>
      <c r="V3358" s="24" t="str">
        <f>HYPERLINK("https://znanium.ru/catalog/product/2111845", "Ознакомиться")</f>
        <v>Ознакомиться</v>
      </c>
      <c r="W3358" s="8" t="s">
        <v>20164</v>
      </c>
      <c r="X3358" s="6"/>
      <c r="Y3358" s="6"/>
      <c r="Z3358" s="6"/>
      <c r="AA3358" s="6" t="s">
        <v>111</v>
      </c>
      <c r="AB3358" s="8"/>
    </row>
    <row r="3359" spans="1:28" s="4" customFormat="1" ht="42" customHeight="1">
      <c r="A3359" s="5">
        <v>0</v>
      </c>
      <c r="B3359" s="6" t="s">
        <v>20165</v>
      </c>
      <c r="C3359" s="13">
        <v>1890</v>
      </c>
      <c r="D3359" s="8" t="s">
        <v>20166</v>
      </c>
      <c r="E3359" s="8" t="s">
        <v>20167</v>
      </c>
      <c r="F3359" s="8" t="s">
        <v>20168</v>
      </c>
      <c r="G3359" s="6" t="s">
        <v>52</v>
      </c>
      <c r="H3359" s="6" t="s">
        <v>53</v>
      </c>
      <c r="I3359" s="8" t="s">
        <v>116</v>
      </c>
      <c r="J3359" s="9">
        <v>1</v>
      </c>
      <c r="K3359" s="9">
        <v>381</v>
      </c>
      <c r="L3359" s="9">
        <v>2024</v>
      </c>
      <c r="M3359" s="8" t="s">
        <v>20169</v>
      </c>
      <c r="N3359" s="8" t="s">
        <v>79</v>
      </c>
      <c r="O3359" s="8" t="s">
        <v>148</v>
      </c>
      <c r="P3359" s="6" t="s">
        <v>167</v>
      </c>
      <c r="Q3359" s="8" t="s">
        <v>58</v>
      </c>
      <c r="R3359" s="10" t="s">
        <v>3957</v>
      </c>
      <c r="S3359" s="11"/>
      <c r="T3359" s="6" t="s">
        <v>299</v>
      </c>
      <c r="U3359" s="24" t="str">
        <f>HYPERLINK("https://media.infra-m.ru/2111/2111845/cover/2111845.jpg", "Обложка")</f>
        <v>Обложка</v>
      </c>
      <c r="V3359" s="24" t="str">
        <f>HYPERLINK("https://znanium.ru/catalog/product/2111845", "Ознакомиться")</f>
        <v>Ознакомиться</v>
      </c>
      <c r="W3359" s="8" t="s">
        <v>20164</v>
      </c>
      <c r="X3359" s="6" t="s">
        <v>389</v>
      </c>
      <c r="Y3359" s="6"/>
      <c r="Z3359" s="6"/>
      <c r="AA3359" s="6" t="s">
        <v>105</v>
      </c>
      <c r="AB3359" s="8"/>
    </row>
    <row r="3360" spans="1:28" s="4" customFormat="1" ht="51.95" customHeight="1">
      <c r="A3360" s="5">
        <v>0</v>
      </c>
      <c r="B3360" s="6" t="s">
        <v>20170</v>
      </c>
      <c r="C3360" s="13">
        <v>1634.9</v>
      </c>
      <c r="D3360" s="8" t="s">
        <v>20171</v>
      </c>
      <c r="E3360" s="8" t="s">
        <v>20160</v>
      </c>
      <c r="F3360" s="8" t="s">
        <v>20161</v>
      </c>
      <c r="G3360" s="6" t="s">
        <v>52</v>
      </c>
      <c r="H3360" s="6" t="s">
        <v>53</v>
      </c>
      <c r="I3360" s="8" t="s">
        <v>100</v>
      </c>
      <c r="J3360" s="9">
        <v>1</v>
      </c>
      <c r="K3360" s="9">
        <v>364</v>
      </c>
      <c r="L3360" s="9">
        <v>2023</v>
      </c>
      <c r="M3360" s="8" t="s">
        <v>20172</v>
      </c>
      <c r="N3360" s="8" t="s">
        <v>79</v>
      </c>
      <c r="O3360" s="8" t="s">
        <v>148</v>
      </c>
      <c r="P3360" s="6" t="s">
        <v>167</v>
      </c>
      <c r="Q3360" s="8" t="s">
        <v>102</v>
      </c>
      <c r="R3360" s="10" t="s">
        <v>20173</v>
      </c>
      <c r="S3360" s="11" t="s">
        <v>20174</v>
      </c>
      <c r="T3360" s="6" t="s">
        <v>299</v>
      </c>
      <c r="U3360" s="24" t="str">
        <f>HYPERLINK("https://media.infra-m.ru/1965/1965763/cover/1965763.jpg", "Обложка")</f>
        <v>Обложка</v>
      </c>
      <c r="V3360" s="24" t="str">
        <f>HYPERLINK("https://znanium.ru/catalog/product/1010665", "Ознакомиться")</f>
        <v>Ознакомиться</v>
      </c>
      <c r="W3360" s="8" t="s">
        <v>20164</v>
      </c>
      <c r="X3360" s="6"/>
      <c r="Y3360" s="6"/>
      <c r="Z3360" s="6" t="s">
        <v>502</v>
      </c>
      <c r="AA3360" s="6" t="s">
        <v>793</v>
      </c>
      <c r="AB3360" s="8"/>
    </row>
    <row r="3361" spans="1:28" s="4" customFormat="1" ht="42" customHeight="1">
      <c r="A3361" s="5">
        <v>0</v>
      </c>
      <c r="B3361" s="6" t="s">
        <v>20175</v>
      </c>
      <c r="C3361" s="13">
        <v>1290</v>
      </c>
      <c r="D3361" s="8" t="s">
        <v>20176</v>
      </c>
      <c r="E3361" s="8" t="s">
        <v>20177</v>
      </c>
      <c r="F3361" s="8" t="s">
        <v>5002</v>
      </c>
      <c r="G3361" s="6" t="s">
        <v>52</v>
      </c>
      <c r="H3361" s="6" t="s">
        <v>53</v>
      </c>
      <c r="I3361" s="8" t="s">
        <v>116</v>
      </c>
      <c r="J3361" s="9">
        <v>1</v>
      </c>
      <c r="K3361" s="9">
        <v>244</v>
      </c>
      <c r="L3361" s="9">
        <v>2025</v>
      </c>
      <c r="M3361" s="8" t="s">
        <v>20178</v>
      </c>
      <c r="N3361" s="8" t="s">
        <v>41</v>
      </c>
      <c r="O3361" s="8" t="s">
        <v>1204</v>
      </c>
      <c r="P3361" s="6" t="s">
        <v>167</v>
      </c>
      <c r="Q3361" s="8" t="s">
        <v>58</v>
      </c>
      <c r="R3361" s="10" t="s">
        <v>20179</v>
      </c>
      <c r="S3361" s="11"/>
      <c r="T3361" s="6"/>
      <c r="U3361" s="24" t="str">
        <f>HYPERLINK("https://media.infra-m.ru/2167/2167455/cover/2167455.jpg", "Обложка")</f>
        <v>Обложка</v>
      </c>
      <c r="V3361" s="24" t="str">
        <f>HYPERLINK("https://znanium.ru/catalog/product/2167455", "Ознакомиться")</f>
        <v>Ознакомиться</v>
      </c>
      <c r="W3361" s="8" t="s">
        <v>2938</v>
      </c>
      <c r="X3361" s="6" t="s">
        <v>1476</v>
      </c>
      <c r="Y3361" s="6"/>
      <c r="Z3361" s="6"/>
      <c r="AA3361" s="6" t="s">
        <v>61</v>
      </c>
      <c r="AB3361" s="8"/>
    </row>
    <row r="3362" spans="1:28" s="4" customFormat="1" ht="51.95" customHeight="1">
      <c r="A3362" s="5">
        <v>0</v>
      </c>
      <c r="B3362" s="6" t="s">
        <v>20180</v>
      </c>
      <c r="C3362" s="7">
        <v>794</v>
      </c>
      <c r="D3362" s="8" t="s">
        <v>20181</v>
      </c>
      <c r="E3362" s="8" t="s">
        <v>20177</v>
      </c>
      <c r="F3362" s="8" t="s">
        <v>20182</v>
      </c>
      <c r="G3362" s="6" t="s">
        <v>52</v>
      </c>
      <c r="H3362" s="6" t="s">
        <v>53</v>
      </c>
      <c r="I3362" s="8" t="s">
        <v>90</v>
      </c>
      <c r="J3362" s="9">
        <v>1</v>
      </c>
      <c r="K3362" s="9">
        <v>152</v>
      </c>
      <c r="L3362" s="9">
        <v>2025</v>
      </c>
      <c r="M3362" s="8" t="s">
        <v>20183</v>
      </c>
      <c r="N3362" s="8" t="s">
        <v>41</v>
      </c>
      <c r="O3362" s="8" t="s">
        <v>1204</v>
      </c>
      <c r="P3362" s="6" t="s">
        <v>43</v>
      </c>
      <c r="Q3362" s="8" t="s">
        <v>44</v>
      </c>
      <c r="R3362" s="10" t="s">
        <v>20184</v>
      </c>
      <c r="S3362" s="11" t="s">
        <v>20185</v>
      </c>
      <c r="T3362" s="6"/>
      <c r="U3362" s="24" t="str">
        <f>HYPERLINK("https://media.infra-m.ru/2199/2199906/cover/2199906.jpg", "Обложка")</f>
        <v>Обложка</v>
      </c>
      <c r="V3362" s="24" t="str">
        <f>HYPERLINK("https://znanium.ru/catalog/product/1894892", "Ознакомиться")</f>
        <v>Ознакомиться</v>
      </c>
      <c r="W3362" s="8" t="s">
        <v>20186</v>
      </c>
      <c r="X3362" s="6"/>
      <c r="Y3362" s="6"/>
      <c r="Z3362" s="6"/>
      <c r="AA3362" s="6" t="s">
        <v>207</v>
      </c>
      <c r="AB3362" s="8"/>
    </row>
    <row r="3363" spans="1:28" s="4" customFormat="1" ht="51.95" customHeight="1">
      <c r="A3363" s="5">
        <v>0</v>
      </c>
      <c r="B3363" s="6" t="s">
        <v>20187</v>
      </c>
      <c r="C3363" s="13">
        <v>1794</v>
      </c>
      <c r="D3363" s="8" t="s">
        <v>20188</v>
      </c>
      <c r="E3363" s="8" t="s">
        <v>20189</v>
      </c>
      <c r="F3363" s="8" t="s">
        <v>20190</v>
      </c>
      <c r="G3363" s="6" t="s">
        <v>52</v>
      </c>
      <c r="H3363" s="6" t="s">
        <v>53</v>
      </c>
      <c r="I3363" s="8" t="s">
        <v>100</v>
      </c>
      <c r="J3363" s="9">
        <v>1</v>
      </c>
      <c r="K3363" s="9">
        <v>359</v>
      </c>
      <c r="L3363" s="9">
        <v>2025</v>
      </c>
      <c r="M3363" s="8" t="s">
        <v>20191</v>
      </c>
      <c r="N3363" s="8" t="s">
        <v>79</v>
      </c>
      <c r="O3363" s="8" t="s">
        <v>174</v>
      </c>
      <c r="P3363" s="6" t="s">
        <v>43</v>
      </c>
      <c r="Q3363" s="8" t="s">
        <v>102</v>
      </c>
      <c r="R3363" s="10" t="s">
        <v>20192</v>
      </c>
      <c r="S3363" s="11" t="s">
        <v>20193</v>
      </c>
      <c r="T3363" s="6"/>
      <c r="U3363" s="24" t="str">
        <f>HYPERLINK("https://media.infra-m.ru/2160/2160901/cover/2160901.jpg", "Обложка")</f>
        <v>Обложка</v>
      </c>
      <c r="V3363" s="24" t="str">
        <f>HYPERLINK("https://znanium.ru/catalog/product/1088341", "Ознакомиться")</f>
        <v>Ознакомиться</v>
      </c>
      <c r="W3363" s="8" t="s">
        <v>20194</v>
      </c>
      <c r="X3363" s="6"/>
      <c r="Y3363" s="6"/>
      <c r="Z3363" s="6" t="s">
        <v>104</v>
      </c>
      <c r="AA3363" s="6" t="s">
        <v>793</v>
      </c>
      <c r="AB3363" s="8"/>
    </row>
    <row r="3364" spans="1:28" s="4" customFormat="1" ht="51.95" customHeight="1">
      <c r="A3364" s="5">
        <v>0</v>
      </c>
      <c r="B3364" s="6" t="s">
        <v>20195</v>
      </c>
      <c r="C3364" s="13">
        <v>1694</v>
      </c>
      <c r="D3364" s="8" t="s">
        <v>20196</v>
      </c>
      <c r="E3364" s="8" t="s">
        <v>20189</v>
      </c>
      <c r="F3364" s="8" t="s">
        <v>20197</v>
      </c>
      <c r="G3364" s="6" t="s">
        <v>52</v>
      </c>
      <c r="H3364" s="6" t="s">
        <v>39</v>
      </c>
      <c r="I3364" s="8" t="s">
        <v>90</v>
      </c>
      <c r="J3364" s="9">
        <v>1</v>
      </c>
      <c r="K3364" s="9">
        <v>360</v>
      </c>
      <c r="L3364" s="9">
        <v>2024</v>
      </c>
      <c r="M3364" s="8" t="s">
        <v>20198</v>
      </c>
      <c r="N3364" s="8" t="s">
        <v>79</v>
      </c>
      <c r="O3364" s="8" t="s">
        <v>174</v>
      </c>
      <c r="P3364" s="6" t="s">
        <v>43</v>
      </c>
      <c r="Q3364" s="8" t="s">
        <v>44</v>
      </c>
      <c r="R3364" s="10" t="s">
        <v>20199</v>
      </c>
      <c r="S3364" s="11" t="s">
        <v>20200</v>
      </c>
      <c r="T3364" s="6"/>
      <c r="U3364" s="24" t="str">
        <f>HYPERLINK("https://media.infra-m.ru/2115/2115273/cover/2115273.jpg", "Обложка")</f>
        <v>Обложка</v>
      </c>
      <c r="V3364" s="24" t="str">
        <f>HYPERLINK("https://znanium.ru/catalog/product/1941747", "Ознакомиться")</f>
        <v>Ознакомиться</v>
      </c>
      <c r="W3364" s="8" t="s">
        <v>20194</v>
      </c>
      <c r="X3364" s="6"/>
      <c r="Y3364" s="6"/>
      <c r="Z3364" s="6"/>
      <c r="AA3364" s="6" t="s">
        <v>418</v>
      </c>
      <c r="AB3364" s="8"/>
    </row>
    <row r="3365" spans="1:28" s="4" customFormat="1" ht="51.95" customHeight="1">
      <c r="A3365" s="5">
        <v>0</v>
      </c>
      <c r="B3365" s="6" t="s">
        <v>20201</v>
      </c>
      <c r="C3365" s="7">
        <v>330</v>
      </c>
      <c r="D3365" s="8" t="s">
        <v>20202</v>
      </c>
      <c r="E3365" s="8" t="s">
        <v>20203</v>
      </c>
      <c r="F3365" s="8" t="s">
        <v>20204</v>
      </c>
      <c r="G3365" s="6" t="s">
        <v>38</v>
      </c>
      <c r="H3365" s="6" t="s">
        <v>184</v>
      </c>
      <c r="I3365" s="8" t="s">
        <v>90</v>
      </c>
      <c r="J3365" s="9">
        <v>1</v>
      </c>
      <c r="K3365" s="9">
        <v>60</v>
      </c>
      <c r="L3365" s="9">
        <v>2022</v>
      </c>
      <c r="M3365" s="8" t="s">
        <v>20205</v>
      </c>
      <c r="N3365" s="8" t="s">
        <v>41</v>
      </c>
      <c r="O3365" s="8" t="s">
        <v>118</v>
      </c>
      <c r="P3365" s="6" t="s">
        <v>43</v>
      </c>
      <c r="Q3365" s="8" t="s">
        <v>44</v>
      </c>
      <c r="R3365" s="10" t="s">
        <v>7844</v>
      </c>
      <c r="S3365" s="11"/>
      <c r="T3365" s="6"/>
      <c r="U3365" s="24" t="str">
        <f>HYPERLINK("https://media.infra-m.ru/1946/1946512/cover/1946512.jpg", "Обложка")</f>
        <v>Обложка</v>
      </c>
      <c r="V3365" s="24" t="str">
        <f>HYPERLINK("https://znanium.ru/catalog/product/1946512", "Ознакомиться")</f>
        <v>Ознакомиться</v>
      </c>
      <c r="W3365" s="8"/>
      <c r="X3365" s="6"/>
      <c r="Y3365" s="6"/>
      <c r="Z3365" s="6"/>
      <c r="AA3365" s="6" t="s">
        <v>111</v>
      </c>
      <c r="AB3365" s="8"/>
    </row>
    <row r="3366" spans="1:28" s="4" customFormat="1" ht="51.95" customHeight="1">
      <c r="A3366" s="5">
        <v>0</v>
      </c>
      <c r="B3366" s="6" t="s">
        <v>20206</v>
      </c>
      <c r="C3366" s="13">
        <v>1354</v>
      </c>
      <c r="D3366" s="8" t="s">
        <v>20207</v>
      </c>
      <c r="E3366" s="8" t="s">
        <v>20208</v>
      </c>
      <c r="F3366" s="8" t="s">
        <v>11038</v>
      </c>
      <c r="G3366" s="6" t="s">
        <v>89</v>
      </c>
      <c r="H3366" s="6" t="s">
        <v>649</v>
      </c>
      <c r="I3366" s="8" t="s">
        <v>185</v>
      </c>
      <c r="J3366" s="9">
        <v>1</v>
      </c>
      <c r="K3366" s="9">
        <v>271</v>
      </c>
      <c r="L3366" s="9">
        <v>2025</v>
      </c>
      <c r="M3366" s="8" t="s">
        <v>20209</v>
      </c>
      <c r="N3366" s="8" t="s">
        <v>41</v>
      </c>
      <c r="O3366" s="8" t="s">
        <v>1204</v>
      </c>
      <c r="P3366" s="6" t="s">
        <v>167</v>
      </c>
      <c r="Q3366" s="8" t="s">
        <v>102</v>
      </c>
      <c r="R3366" s="10" t="s">
        <v>20210</v>
      </c>
      <c r="S3366" s="11" t="s">
        <v>12862</v>
      </c>
      <c r="T3366" s="6"/>
      <c r="U3366" s="24" t="str">
        <f>HYPERLINK("https://media.infra-m.ru/2185/2185898/cover/2185898.jpg", "Обложка")</f>
        <v>Обложка</v>
      </c>
      <c r="V3366" s="24" t="str">
        <f>HYPERLINK("https://znanium.ru/catalog/product/1239538", "Ознакомиться")</f>
        <v>Ознакомиться</v>
      </c>
      <c r="W3366" s="8" t="s">
        <v>10326</v>
      </c>
      <c r="X3366" s="6"/>
      <c r="Y3366" s="6"/>
      <c r="Z3366" s="6"/>
      <c r="AA3366" s="6" t="s">
        <v>2193</v>
      </c>
      <c r="AB3366" s="8"/>
    </row>
    <row r="3367" spans="1:28" s="4" customFormat="1" ht="51.95" customHeight="1">
      <c r="A3367" s="5">
        <v>0</v>
      </c>
      <c r="B3367" s="6" t="s">
        <v>20211</v>
      </c>
      <c r="C3367" s="13">
        <v>1034</v>
      </c>
      <c r="D3367" s="8" t="s">
        <v>20212</v>
      </c>
      <c r="E3367" s="8" t="s">
        <v>20208</v>
      </c>
      <c r="F3367" s="8" t="s">
        <v>20213</v>
      </c>
      <c r="G3367" s="6" t="s">
        <v>52</v>
      </c>
      <c r="H3367" s="6" t="s">
        <v>39</v>
      </c>
      <c r="I3367" s="8"/>
      <c r="J3367" s="9">
        <v>1</v>
      </c>
      <c r="K3367" s="9">
        <v>224</v>
      </c>
      <c r="L3367" s="9">
        <v>2024</v>
      </c>
      <c r="M3367" s="8" t="s">
        <v>20214</v>
      </c>
      <c r="N3367" s="8" t="s">
        <v>41</v>
      </c>
      <c r="O3367" s="8" t="s">
        <v>1204</v>
      </c>
      <c r="P3367" s="6" t="s">
        <v>43</v>
      </c>
      <c r="Q3367" s="8" t="s">
        <v>102</v>
      </c>
      <c r="R3367" s="10" t="s">
        <v>20215</v>
      </c>
      <c r="S3367" s="11" t="s">
        <v>3075</v>
      </c>
      <c r="T3367" s="6"/>
      <c r="U3367" s="24" t="str">
        <f>HYPERLINK("https://media.infra-m.ru/2053/2053240/cover/2053240.jpg", "Обложка")</f>
        <v>Обложка</v>
      </c>
      <c r="V3367" s="24" t="str">
        <f>HYPERLINK("https://znanium.ru/catalog/product/1819050", "Ознакомиться")</f>
        <v>Ознакомиться</v>
      </c>
      <c r="W3367" s="8" t="s">
        <v>243</v>
      </c>
      <c r="X3367" s="6"/>
      <c r="Y3367" s="6"/>
      <c r="Z3367" s="6"/>
      <c r="AA3367" s="6" t="s">
        <v>2193</v>
      </c>
      <c r="AB3367" s="8"/>
    </row>
    <row r="3368" spans="1:28" s="4" customFormat="1" ht="51.95" customHeight="1">
      <c r="A3368" s="5">
        <v>0</v>
      </c>
      <c r="B3368" s="6" t="s">
        <v>20216</v>
      </c>
      <c r="C3368" s="13">
        <v>1334</v>
      </c>
      <c r="D3368" s="8" t="s">
        <v>20217</v>
      </c>
      <c r="E3368" s="8" t="s">
        <v>20218</v>
      </c>
      <c r="F3368" s="8" t="s">
        <v>20219</v>
      </c>
      <c r="G3368" s="6" t="s">
        <v>52</v>
      </c>
      <c r="H3368" s="6" t="s">
        <v>39</v>
      </c>
      <c r="I3368" s="8" t="s">
        <v>185</v>
      </c>
      <c r="J3368" s="9">
        <v>1</v>
      </c>
      <c r="K3368" s="9">
        <v>256</v>
      </c>
      <c r="L3368" s="9">
        <v>2025</v>
      </c>
      <c r="M3368" s="8" t="s">
        <v>20220</v>
      </c>
      <c r="N3368" s="8" t="s">
        <v>41</v>
      </c>
      <c r="O3368" s="8" t="s">
        <v>1204</v>
      </c>
      <c r="P3368" s="6" t="s">
        <v>43</v>
      </c>
      <c r="Q3368" s="8" t="s">
        <v>102</v>
      </c>
      <c r="R3368" s="10" t="s">
        <v>20221</v>
      </c>
      <c r="S3368" s="11" t="s">
        <v>6083</v>
      </c>
      <c r="T3368" s="6"/>
      <c r="U3368" s="24" t="str">
        <f>HYPERLINK("https://media.infra-m.ru/2193/2193178/cover/2193178.jpg", "Обложка")</f>
        <v>Обложка</v>
      </c>
      <c r="V3368" s="24" t="str">
        <f>HYPERLINK("https://znanium.ru/catalog/product/1001520", "Ознакомиться")</f>
        <v>Ознакомиться</v>
      </c>
      <c r="W3368" s="8" t="s">
        <v>243</v>
      </c>
      <c r="X3368" s="6"/>
      <c r="Y3368" s="6"/>
      <c r="Z3368" s="6"/>
      <c r="AA3368" s="6" t="s">
        <v>622</v>
      </c>
      <c r="AB3368" s="8"/>
    </row>
    <row r="3369" spans="1:28" s="4" customFormat="1" ht="51.95" customHeight="1">
      <c r="A3369" s="5">
        <v>0</v>
      </c>
      <c r="B3369" s="6" t="s">
        <v>20222</v>
      </c>
      <c r="C3369" s="7">
        <v>964</v>
      </c>
      <c r="D3369" s="8" t="s">
        <v>20223</v>
      </c>
      <c r="E3369" s="8" t="s">
        <v>20208</v>
      </c>
      <c r="F3369" s="8" t="s">
        <v>20224</v>
      </c>
      <c r="G3369" s="6" t="s">
        <v>89</v>
      </c>
      <c r="H3369" s="6" t="s">
        <v>53</v>
      </c>
      <c r="I3369" s="8" t="s">
        <v>100</v>
      </c>
      <c r="J3369" s="9">
        <v>1</v>
      </c>
      <c r="K3369" s="9">
        <v>204</v>
      </c>
      <c r="L3369" s="9">
        <v>2024</v>
      </c>
      <c r="M3369" s="8" t="s">
        <v>20225</v>
      </c>
      <c r="N3369" s="8" t="s">
        <v>41</v>
      </c>
      <c r="O3369" s="8" t="s">
        <v>1204</v>
      </c>
      <c r="P3369" s="6" t="s">
        <v>43</v>
      </c>
      <c r="Q3369" s="8" t="s">
        <v>102</v>
      </c>
      <c r="R3369" s="10" t="s">
        <v>20226</v>
      </c>
      <c r="S3369" s="11" t="s">
        <v>20227</v>
      </c>
      <c r="T3369" s="6"/>
      <c r="U3369" s="24" t="str">
        <f>HYPERLINK("https://media.infra-m.ru/2131/2131751/cover/2131751.jpg", "Обложка")</f>
        <v>Обложка</v>
      </c>
      <c r="V3369" s="24" t="str">
        <f>HYPERLINK("https://znanium.ru/catalog/product/1032374", "Ознакомиться")</f>
        <v>Ознакомиться</v>
      </c>
      <c r="W3369" s="8" t="s">
        <v>913</v>
      </c>
      <c r="X3369" s="6"/>
      <c r="Y3369" s="6"/>
      <c r="Z3369" s="6"/>
      <c r="AA3369" s="6" t="s">
        <v>160</v>
      </c>
      <c r="AB3369" s="8"/>
    </row>
    <row r="3370" spans="1:28" s="4" customFormat="1" ht="51.95" customHeight="1">
      <c r="A3370" s="5">
        <v>0</v>
      </c>
      <c r="B3370" s="6" t="s">
        <v>20228</v>
      </c>
      <c r="C3370" s="13">
        <v>1184</v>
      </c>
      <c r="D3370" s="8" t="s">
        <v>20229</v>
      </c>
      <c r="E3370" s="8" t="s">
        <v>20230</v>
      </c>
      <c r="F3370" s="8" t="s">
        <v>20231</v>
      </c>
      <c r="G3370" s="6" t="s">
        <v>52</v>
      </c>
      <c r="H3370" s="6" t="s">
        <v>53</v>
      </c>
      <c r="I3370" s="8" t="s">
        <v>90</v>
      </c>
      <c r="J3370" s="9">
        <v>1</v>
      </c>
      <c r="K3370" s="9">
        <v>261</v>
      </c>
      <c r="L3370" s="9">
        <v>2023</v>
      </c>
      <c r="M3370" s="8" t="s">
        <v>20232</v>
      </c>
      <c r="N3370" s="8" t="s">
        <v>41</v>
      </c>
      <c r="O3370" s="8" t="s">
        <v>118</v>
      </c>
      <c r="P3370" s="6" t="s">
        <v>43</v>
      </c>
      <c r="Q3370" s="8" t="s">
        <v>44</v>
      </c>
      <c r="R3370" s="10" t="s">
        <v>20233</v>
      </c>
      <c r="S3370" s="11" t="s">
        <v>20234</v>
      </c>
      <c r="T3370" s="6"/>
      <c r="U3370" s="24" t="str">
        <f>HYPERLINK("https://media.infra-m.ru/2006/2006092/cover/2006092.jpg", "Обложка")</f>
        <v>Обложка</v>
      </c>
      <c r="V3370" s="24" t="str">
        <f>HYPERLINK("https://znanium.ru/catalog/product/968235", "Ознакомиться")</f>
        <v>Ознакомиться</v>
      </c>
      <c r="W3370" s="8" t="s">
        <v>2938</v>
      </c>
      <c r="X3370" s="6"/>
      <c r="Y3370" s="6"/>
      <c r="Z3370" s="6"/>
      <c r="AA3370" s="6" t="s">
        <v>258</v>
      </c>
      <c r="AB3370" s="8"/>
    </row>
    <row r="3371" spans="1:28" s="4" customFormat="1" ht="51.95" customHeight="1">
      <c r="A3371" s="5">
        <v>0</v>
      </c>
      <c r="B3371" s="6" t="s">
        <v>20235</v>
      </c>
      <c r="C3371" s="13">
        <v>1984</v>
      </c>
      <c r="D3371" s="8" t="s">
        <v>20236</v>
      </c>
      <c r="E3371" s="8" t="s">
        <v>20237</v>
      </c>
      <c r="F3371" s="8" t="s">
        <v>20238</v>
      </c>
      <c r="G3371" s="6" t="s">
        <v>89</v>
      </c>
      <c r="H3371" s="6" t="s">
        <v>53</v>
      </c>
      <c r="I3371" s="8" t="s">
        <v>90</v>
      </c>
      <c r="J3371" s="9">
        <v>1</v>
      </c>
      <c r="K3371" s="9">
        <v>396</v>
      </c>
      <c r="L3371" s="9">
        <v>2025</v>
      </c>
      <c r="M3371" s="8" t="s">
        <v>20239</v>
      </c>
      <c r="N3371" s="8" t="s">
        <v>997</v>
      </c>
      <c r="O3371" s="8" t="s">
        <v>998</v>
      </c>
      <c r="P3371" s="6" t="s">
        <v>167</v>
      </c>
      <c r="Q3371" s="8" t="s">
        <v>44</v>
      </c>
      <c r="R3371" s="10" t="s">
        <v>1598</v>
      </c>
      <c r="S3371" s="11" t="s">
        <v>20240</v>
      </c>
      <c r="T3371" s="6"/>
      <c r="U3371" s="24" t="str">
        <f>HYPERLINK("https://media.infra-m.ru/2175/2175169/cover/2175169.jpg", "Обложка")</f>
        <v>Обложка</v>
      </c>
      <c r="V3371" s="24" t="str">
        <f>HYPERLINK("https://znanium.ru/catalog/product/1891843", "Ознакомиться")</f>
        <v>Ознакомиться</v>
      </c>
      <c r="W3371" s="8" t="s">
        <v>20241</v>
      </c>
      <c r="X3371" s="6"/>
      <c r="Y3371" s="6"/>
      <c r="Z3371" s="6"/>
      <c r="AA3371" s="6" t="s">
        <v>258</v>
      </c>
      <c r="AB3371" s="8"/>
    </row>
    <row r="3372" spans="1:28" s="4" customFormat="1" ht="51.95" customHeight="1">
      <c r="A3372" s="5">
        <v>0</v>
      </c>
      <c r="B3372" s="6" t="s">
        <v>20242</v>
      </c>
      <c r="C3372" s="13">
        <v>1980</v>
      </c>
      <c r="D3372" s="8" t="s">
        <v>20243</v>
      </c>
      <c r="E3372" s="8" t="s">
        <v>20237</v>
      </c>
      <c r="F3372" s="8" t="s">
        <v>20238</v>
      </c>
      <c r="G3372" s="6" t="s">
        <v>89</v>
      </c>
      <c r="H3372" s="6" t="s">
        <v>53</v>
      </c>
      <c r="I3372" s="8" t="s">
        <v>100</v>
      </c>
      <c r="J3372" s="9">
        <v>1</v>
      </c>
      <c r="K3372" s="9">
        <v>396</v>
      </c>
      <c r="L3372" s="9">
        <v>2025</v>
      </c>
      <c r="M3372" s="8" t="s">
        <v>20244</v>
      </c>
      <c r="N3372" s="8" t="s">
        <v>997</v>
      </c>
      <c r="O3372" s="8" t="s">
        <v>998</v>
      </c>
      <c r="P3372" s="6" t="s">
        <v>167</v>
      </c>
      <c r="Q3372" s="8" t="s">
        <v>102</v>
      </c>
      <c r="R3372" s="10" t="s">
        <v>20245</v>
      </c>
      <c r="S3372" s="11" t="s">
        <v>20246</v>
      </c>
      <c r="T3372" s="6"/>
      <c r="U3372" s="24" t="str">
        <f>HYPERLINK("https://media.infra-m.ru/2165/2165435/cover/2165435.jpg", "Обложка")</f>
        <v>Обложка</v>
      </c>
      <c r="V3372" s="24" t="str">
        <f>HYPERLINK("https://znanium.ru/catalog/product/2165435", "Ознакомиться")</f>
        <v>Ознакомиться</v>
      </c>
      <c r="W3372" s="8" t="s">
        <v>20241</v>
      </c>
      <c r="X3372" s="6"/>
      <c r="Y3372" s="6"/>
      <c r="Z3372" s="6" t="s">
        <v>104</v>
      </c>
      <c r="AA3372" s="6" t="s">
        <v>258</v>
      </c>
      <c r="AB3372" s="8"/>
    </row>
    <row r="3373" spans="1:28" s="4" customFormat="1" ht="44.1" customHeight="1">
      <c r="A3373" s="5">
        <v>0</v>
      </c>
      <c r="B3373" s="6" t="s">
        <v>20247</v>
      </c>
      <c r="C3373" s="7">
        <v>530</v>
      </c>
      <c r="D3373" s="8" t="s">
        <v>20248</v>
      </c>
      <c r="E3373" s="8" t="s">
        <v>20249</v>
      </c>
      <c r="F3373" s="8" t="s">
        <v>20250</v>
      </c>
      <c r="G3373" s="6" t="s">
        <v>38</v>
      </c>
      <c r="H3373" s="6" t="s">
        <v>53</v>
      </c>
      <c r="I3373" s="8" t="s">
        <v>782</v>
      </c>
      <c r="J3373" s="9">
        <v>1</v>
      </c>
      <c r="K3373" s="9">
        <v>111</v>
      </c>
      <c r="L3373" s="9">
        <v>2024</v>
      </c>
      <c r="M3373" s="8" t="s">
        <v>20251</v>
      </c>
      <c r="N3373" s="8" t="s">
        <v>68</v>
      </c>
      <c r="O3373" s="8" t="s">
        <v>69</v>
      </c>
      <c r="P3373" s="6" t="s">
        <v>43</v>
      </c>
      <c r="Q3373" s="8" t="s">
        <v>58</v>
      </c>
      <c r="R3373" s="10" t="s">
        <v>20252</v>
      </c>
      <c r="S3373" s="11"/>
      <c r="T3373" s="6"/>
      <c r="U3373" s="24" t="str">
        <f>HYPERLINK("https://media.infra-m.ru/2125/2125187/cover/2125187.jpg", "Обложка")</f>
        <v>Обложка</v>
      </c>
      <c r="V3373" s="12"/>
      <c r="W3373" s="8" t="s">
        <v>784</v>
      </c>
      <c r="X3373" s="6"/>
      <c r="Y3373" s="6"/>
      <c r="Z3373" s="6"/>
      <c r="AA3373" s="6" t="s">
        <v>133</v>
      </c>
      <c r="AB3373" s="8"/>
    </row>
    <row r="3374" spans="1:28" s="4" customFormat="1" ht="51.95" customHeight="1">
      <c r="A3374" s="5">
        <v>0</v>
      </c>
      <c r="B3374" s="6" t="s">
        <v>20253</v>
      </c>
      <c r="C3374" s="7">
        <v>994</v>
      </c>
      <c r="D3374" s="8" t="s">
        <v>20254</v>
      </c>
      <c r="E3374" s="8" t="s">
        <v>20255</v>
      </c>
      <c r="F3374" s="8" t="s">
        <v>6588</v>
      </c>
      <c r="G3374" s="6" t="s">
        <v>52</v>
      </c>
      <c r="H3374" s="6" t="s">
        <v>649</v>
      </c>
      <c r="I3374" s="8" t="s">
        <v>185</v>
      </c>
      <c r="J3374" s="9">
        <v>1</v>
      </c>
      <c r="K3374" s="9">
        <v>192</v>
      </c>
      <c r="L3374" s="9">
        <v>2025</v>
      </c>
      <c r="M3374" s="8" t="s">
        <v>20256</v>
      </c>
      <c r="N3374" s="8" t="s">
        <v>41</v>
      </c>
      <c r="O3374" s="8" t="s">
        <v>6182</v>
      </c>
      <c r="P3374" s="6" t="s">
        <v>43</v>
      </c>
      <c r="Q3374" s="8" t="s">
        <v>102</v>
      </c>
      <c r="R3374" s="10" t="s">
        <v>13398</v>
      </c>
      <c r="S3374" s="11" t="s">
        <v>20257</v>
      </c>
      <c r="T3374" s="6"/>
      <c r="U3374" s="24" t="str">
        <f>HYPERLINK("https://media.infra-m.ru/2187/2187041/cover/2187041.jpg", "Обложка")</f>
        <v>Обложка</v>
      </c>
      <c r="V3374" s="24" t="str">
        <f>HYPERLINK("https://znanium.ru/catalog/product/1819258", "Ознакомиться")</f>
        <v>Ознакомиться</v>
      </c>
      <c r="W3374" s="8" t="s">
        <v>71</v>
      </c>
      <c r="X3374" s="6"/>
      <c r="Y3374" s="6"/>
      <c r="Z3374" s="6"/>
      <c r="AA3374" s="6" t="s">
        <v>622</v>
      </c>
      <c r="AB3374" s="8"/>
    </row>
    <row r="3375" spans="1:28" s="4" customFormat="1" ht="42" customHeight="1">
      <c r="A3375" s="5">
        <v>0</v>
      </c>
      <c r="B3375" s="6" t="s">
        <v>20258</v>
      </c>
      <c r="C3375" s="7">
        <v>544.9</v>
      </c>
      <c r="D3375" s="8" t="s">
        <v>20259</v>
      </c>
      <c r="E3375" s="8" t="s">
        <v>20260</v>
      </c>
      <c r="F3375" s="8" t="s">
        <v>2355</v>
      </c>
      <c r="G3375" s="6" t="s">
        <v>38</v>
      </c>
      <c r="H3375" s="6" t="s">
        <v>53</v>
      </c>
      <c r="I3375" s="8" t="s">
        <v>90</v>
      </c>
      <c r="J3375" s="9">
        <v>1</v>
      </c>
      <c r="K3375" s="9">
        <v>120</v>
      </c>
      <c r="L3375" s="9">
        <v>2023</v>
      </c>
      <c r="M3375" s="8" t="s">
        <v>20261</v>
      </c>
      <c r="N3375" s="8" t="s">
        <v>413</v>
      </c>
      <c r="O3375" s="8" t="s">
        <v>1141</v>
      </c>
      <c r="P3375" s="6" t="s">
        <v>43</v>
      </c>
      <c r="Q3375" s="8" t="s">
        <v>44</v>
      </c>
      <c r="R3375" s="10" t="s">
        <v>20262</v>
      </c>
      <c r="S3375" s="11"/>
      <c r="T3375" s="6"/>
      <c r="U3375" s="24" t="str">
        <f>HYPERLINK("https://media.infra-m.ru/1911/1911769/cover/1911769.jpg", "Обложка")</f>
        <v>Обложка</v>
      </c>
      <c r="V3375" s="24" t="str">
        <f>HYPERLINK("https://znanium.ru/catalog/product/1408100", "Ознакомиться")</f>
        <v>Ознакомиться</v>
      </c>
      <c r="W3375" s="8" t="s">
        <v>1514</v>
      </c>
      <c r="X3375" s="6"/>
      <c r="Y3375" s="6"/>
      <c r="Z3375" s="6"/>
      <c r="AA3375" s="6" t="s">
        <v>701</v>
      </c>
      <c r="AB3375" s="8"/>
    </row>
    <row r="3376" spans="1:28" s="4" customFormat="1" ht="51.95" customHeight="1">
      <c r="A3376" s="5">
        <v>0</v>
      </c>
      <c r="B3376" s="6" t="s">
        <v>20263</v>
      </c>
      <c r="C3376" s="13">
        <v>2960</v>
      </c>
      <c r="D3376" s="8" t="s">
        <v>20264</v>
      </c>
      <c r="E3376" s="8" t="s">
        <v>20265</v>
      </c>
      <c r="F3376" s="8" t="s">
        <v>20266</v>
      </c>
      <c r="G3376" s="6" t="s">
        <v>52</v>
      </c>
      <c r="H3376" s="6" t="s">
        <v>674</v>
      </c>
      <c r="I3376" s="8"/>
      <c r="J3376" s="9">
        <v>1</v>
      </c>
      <c r="K3376" s="9">
        <v>592</v>
      </c>
      <c r="L3376" s="9">
        <v>2025</v>
      </c>
      <c r="M3376" s="8" t="s">
        <v>20267</v>
      </c>
      <c r="N3376" s="8" t="s">
        <v>41</v>
      </c>
      <c r="O3376" s="8" t="s">
        <v>676</v>
      </c>
      <c r="P3376" s="6" t="s">
        <v>43</v>
      </c>
      <c r="Q3376" s="8" t="s">
        <v>44</v>
      </c>
      <c r="R3376" s="10" t="s">
        <v>806</v>
      </c>
      <c r="S3376" s="11"/>
      <c r="T3376" s="6"/>
      <c r="U3376" s="24" t="str">
        <f>HYPERLINK("https://media.infra-m.ru/2163/2163652/cover/2163652.jpg", "Обложка")</f>
        <v>Обложка</v>
      </c>
      <c r="V3376" s="24" t="str">
        <f>HYPERLINK("https://znanium.ru/catalog/product/2163652", "Ознакомиться")</f>
        <v>Ознакомиться</v>
      </c>
      <c r="W3376" s="8" t="s">
        <v>784</v>
      </c>
      <c r="X3376" s="6"/>
      <c r="Y3376" s="6"/>
      <c r="Z3376" s="6"/>
      <c r="AA3376" s="6" t="s">
        <v>7663</v>
      </c>
      <c r="AB3376" s="8"/>
    </row>
    <row r="3377" spans="1:28" s="4" customFormat="1" ht="51.95" customHeight="1">
      <c r="A3377" s="5">
        <v>0</v>
      </c>
      <c r="B3377" s="6" t="s">
        <v>20268</v>
      </c>
      <c r="C3377" s="13">
        <v>2664</v>
      </c>
      <c r="D3377" s="8" t="s">
        <v>20269</v>
      </c>
      <c r="E3377" s="8" t="s">
        <v>20270</v>
      </c>
      <c r="F3377" s="8" t="s">
        <v>12156</v>
      </c>
      <c r="G3377" s="6" t="s">
        <v>52</v>
      </c>
      <c r="H3377" s="6" t="s">
        <v>53</v>
      </c>
      <c r="I3377" s="8" t="s">
        <v>165</v>
      </c>
      <c r="J3377" s="9">
        <v>1</v>
      </c>
      <c r="K3377" s="9">
        <v>533</v>
      </c>
      <c r="L3377" s="9">
        <v>2025</v>
      </c>
      <c r="M3377" s="8" t="s">
        <v>20271</v>
      </c>
      <c r="N3377" s="8" t="s">
        <v>56</v>
      </c>
      <c r="O3377" s="8" t="s">
        <v>57</v>
      </c>
      <c r="P3377" s="6" t="s">
        <v>43</v>
      </c>
      <c r="Q3377" s="8" t="s">
        <v>44</v>
      </c>
      <c r="R3377" s="10" t="s">
        <v>20272</v>
      </c>
      <c r="S3377" s="11"/>
      <c r="T3377" s="6"/>
      <c r="U3377" s="24" t="str">
        <f>HYPERLINK("https://media.infra-m.ru/2192/2192090/cover/2192090.jpg", "Обложка")</f>
        <v>Обложка</v>
      </c>
      <c r="V3377" s="24" t="str">
        <f>HYPERLINK("https://znanium.ru/catalog/product/2138101", "Ознакомиться")</f>
        <v>Ознакомиться</v>
      </c>
      <c r="W3377" s="8" t="s">
        <v>4293</v>
      </c>
      <c r="X3377" s="6"/>
      <c r="Y3377" s="6"/>
      <c r="Z3377" s="6"/>
      <c r="AA3377" s="6" t="s">
        <v>133</v>
      </c>
      <c r="AB3377" s="8"/>
    </row>
    <row r="3378" spans="1:28" s="4" customFormat="1" ht="51.95" customHeight="1">
      <c r="A3378" s="5">
        <v>0</v>
      </c>
      <c r="B3378" s="6" t="s">
        <v>20273</v>
      </c>
      <c r="C3378" s="13">
        <v>1850</v>
      </c>
      <c r="D3378" s="8" t="s">
        <v>20274</v>
      </c>
      <c r="E3378" s="8" t="s">
        <v>20275</v>
      </c>
      <c r="F3378" s="8" t="s">
        <v>658</v>
      </c>
      <c r="G3378" s="6" t="s">
        <v>89</v>
      </c>
      <c r="H3378" s="6" t="s">
        <v>649</v>
      </c>
      <c r="I3378" s="8" t="s">
        <v>100</v>
      </c>
      <c r="J3378" s="9">
        <v>1</v>
      </c>
      <c r="K3378" s="9">
        <v>368</v>
      </c>
      <c r="L3378" s="9">
        <v>2025</v>
      </c>
      <c r="M3378" s="8" t="s">
        <v>20276</v>
      </c>
      <c r="N3378" s="8" t="s">
        <v>79</v>
      </c>
      <c r="O3378" s="8" t="s">
        <v>570</v>
      </c>
      <c r="P3378" s="6" t="s">
        <v>43</v>
      </c>
      <c r="Q3378" s="8" t="s">
        <v>102</v>
      </c>
      <c r="R3378" s="10" t="s">
        <v>6527</v>
      </c>
      <c r="S3378" s="11" t="s">
        <v>661</v>
      </c>
      <c r="T3378" s="6"/>
      <c r="U3378" s="24" t="str">
        <f>HYPERLINK("https://media.infra-m.ru/2179/2179727/cover/2179727.jpg", "Обложка")</f>
        <v>Обложка</v>
      </c>
      <c r="V3378" s="24" t="str">
        <f>HYPERLINK("https://znanium.ru/catalog/product/2179727", "Ознакомиться")</f>
        <v>Ознакомиться</v>
      </c>
      <c r="W3378" s="8" t="s">
        <v>662</v>
      </c>
      <c r="X3378" s="6"/>
      <c r="Y3378" s="6"/>
      <c r="Z3378" s="6"/>
      <c r="AA3378" s="6" t="s">
        <v>614</v>
      </c>
      <c r="AB3378" s="8"/>
    </row>
    <row r="3379" spans="1:28" s="4" customFormat="1" ht="51.95" customHeight="1">
      <c r="A3379" s="5">
        <v>0</v>
      </c>
      <c r="B3379" s="6" t="s">
        <v>20277</v>
      </c>
      <c r="C3379" s="13">
        <v>1704</v>
      </c>
      <c r="D3379" s="8" t="s">
        <v>20278</v>
      </c>
      <c r="E3379" s="8" t="s">
        <v>20279</v>
      </c>
      <c r="F3379" s="8" t="s">
        <v>20280</v>
      </c>
      <c r="G3379" s="6" t="s">
        <v>52</v>
      </c>
      <c r="H3379" s="6" t="s">
        <v>53</v>
      </c>
      <c r="I3379" s="8" t="s">
        <v>90</v>
      </c>
      <c r="J3379" s="9">
        <v>1</v>
      </c>
      <c r="K3379" s="9">
        <v>340</v>
      </c>
      <c r="L3379" s="9">
        <v>2025</v>
      </c>
      <c r="M3379" s="8" t="s">
        <v>20281</v>
      </c>
      <c r="N3379" s="8" t="s">
        <v>413</v>
      </c>
      <c r="O3379" s="8" t="s">
        <v>1141</v>
      </c>
      <c r="P3379" s="6" t="s">
        <v>167</v>
      </c>
      <c r="Q3379" s="8" t="s">
        <v>44</v>
      </c>
      <c r="R3379" s="10" t="s">
        <v>168</v>
      </c>
      <c r="S3379" s="11" t="s">
        <v>20282</v>
      </c>
      <c r="T3379" s="6" t="s">
        <v>299</v>
      </c>
      <c r="U3379" s="24" t="str">
        <f>HYPERLINK("https://media.infra-m.ru/2179/2179235/cover/2179235.jpg", "Обложка")</f>
        <v>Обложка</v>
      </c>
      <c r="V3379" s="24" t="str">
        <f>HYPERLINK("https://znanium.ru/catalog/product/1844287", "Ознакомиться")</f>
        <v>Ознакомиться</v>
      </c>
      <c r="W3379" s="8" t="s">
        <v>4228</v>
      </c>
      <c r="X3379" s="6"/>
      <c r="Y3379" s="6"/>
      <c r="Z3379" s="6"/>
      <c r="AA3379" s="6" t="s">
        <v>494</v>
      </c>
      <c r="AB3379" s="8"/>
    </row>
    <row r="3380" spans="1:28" s="4" customFormat="1" ht="51.95" customHeight="1">
      <c r="A3380" s="5">
        <v>0</v>
      </c>
      <c r="B3380" s="6" t="s">
        <v>20283</v>
      </c>
      <c r="C3380" s="13">
        <v>1134.4000000000001</v>
      </c>
      <c r="D3380" s="8" t="s">
        <v>20284</v>
      </c>
      <c r="E3380" s="8" t="s">
        <v>20285</v>
      </c>
      <c r="F3380" s="8" t="s">
        <v>20286</v>
      </c>
      <c r="G3380" s="6" t="s">
        <v>38</v>
      </c>
      <c r="H3380" s="6" t="s">
        <v>674</v>
      </c>
      <c r="I3380" s="8"/>
      <c r="J3380" s="9">
        <v>1</v>
      </c>
      <c r="K3380" s="9">
        <v>240</v>
      </c>
      <c r="L3380" s="9">
        <v>2024</v>
      </c>
      <c r="M3380" s="8" t="s">
        <v>20287</v>
      </c>
      <c r="N3380" s="8" t="s">
        <v>41</v>
      </c>
      <c r="O3380" s="8" t="s">
        <v>676</v>
      </c>
      <c r="P3380" s="6" t="s">
        <v>43</v>
      </c>
      <c r="Q3380" s="8" t="s">
        <v>44</v>
      </c>
      <c r="R3380" s="10" t="s">
        <v>969</v>
      </c>
      <c r="S3380" s="11" t="s">
        <v>20288</v>
      </c>
      <c r="T3380" s="6"/>
      <c r="U3380" s="24" t="str">
        <f>HYPERLINK("https://media.infra-m.ru/2044/2044250/cover/2044250.jpg", "Обложка")</f>
        <v>Обложка</v>
      </c>
      <c r="V3380" s="24" t="str">
        <f>HYPERLINK("https://znanium.ru/catalog/product/2044250", "Ознакомиться")</f>
        <v>Ознакомиться</v>
      </c>
      <c r="W3380" s="8" t="s">
        <v>1293</v>
      </c>
      <c r="X3380" s="6"/>
      <c r="Y3380" s="6"/>
      <c r="Z3380" s="6"/>
      <c r="AA3380" s="6" t="s">
        <v>2644</v>
      </c>
      <c r="AB3380" s="8"/>
    </row>
    <row r="3381" spans="1:28" s="4" customFormat="1" ht="51.95" customHeight="1">
      <c r="A3381" s="5">
        <v>0</v>
      </c>
      <c r="B3381" s="6" t="s">
        <v>20289</v>
      </c>
      <c r="C3381" s="13">
        <v>1030</v>
      </c>
      <c r="D3381" s="8" t="s">
        <v>20290</v>
      </c>
      <c r="E3381" s="8" t="s">
        <v>20291</v>
      </c>
      <c r="F3381" s="8" t="s">
        <v>6562</v>
      </c>
      <c r="G3381" s="6" t="s">
        <v>89</v>
      </c>
      <c r="H3381" s="6" t="s">
        <v>53</v>
      </c>
      <c r="I3381" s="8" t="s">
        <v>116</v>
      </c>
      <c r="J3381" s="9">
        <v>1</v>
      </c>
      <c r="K3381" s="9">
        <v>206</v>
      </c>
      <c r="L3381" s="9">
        <v>2025</v>
      </c>
      <c r="M3381" s="8" t="s">
        <v>20292</v>
      </c>
      <c r="N3381" s="8" t="s">
        <v>79</v>
      </c>
      <c r="O3381" s="8" t="s">
        <v>80</v>
      </c>
      <c r="P3381" s="6" t="s">
        <v>43</v>
      </c>
      <c r="Q3381" s="8" t="s">
        <v>44</v>
      </c>
      <c r="R3381" s="10" t="s">
        <v>2546</v>
      </c>
      <c r="S3381" s="11" t="s">
        <v>20293</v>
      </c>
      <c r="T3381" s="6"/>
      <c r="U3381" s="24" t="str">
        <f>HYPERLINK("https://media.infra-m.ru/2166/2166200/cover/2166200.jpg", "Обложка")</f>
        <v>Обложка</v>
      </c>
      <c r="V3381" s="24" t="str">
        <f>HYPERLINK("https://znanium.ru/catalog/product/2166200", "Ознакомиться")</f>
        <v>Ознакомиться</v>
      </c>
      <c r="W3381" s="8" t="s">
        <v>450</v>
      </c>
      <c r="X3381" s="6"/>
      <c r="Y3381" s="6"/>
      <c r="Z3381" s="6"/>
      <c r="AA3381" s="6" t="s">
        <v>793</v>
      </c>
      <c r="AB3381" s="8"/>
    </row>
    <row r="3382" spans="1:28" s="4" customFormat="1" ht="51.95" customHeight="1">
      <c r="A3382" s="5">
        <v>0</v>
      </c>
      <c r="B3382" s="6" t="s">
        <v>20294</v>
      </c>
      <c r="C3382" s="13">
        <v>1260</v>
      </c>
      <c r="D3382" s="8" t="s">
        <v>20295</v>
      </c>
      <c r="E3382" s="8" t="s">
        <v>20296</v>
      </c>
      <c r="F3382" s="8" t="s">
        <v>20297</v>
      </c>
      <c r="G3382" s="6" t="s">
        <v>89</v>
      </c>
      <c r="H3382" s="6" t="s">
        <v>53</v>
      </c>
      <c r="I3382" s="8" t="s">
        <v>116</v>
      </c>
      <c r="J3382" s="9">
        <v>1</v>
      </c>
      <c r="K3382" s="9">
        <v>272</v>
      </c>
      <c r="L3382" s="9">
        <v>2024</v>
      </c>
      <c r="M3382" s="8" t="s">
        <v>20298</v>
      </c>
      <c r="N3382" s="8" t="s">
        <v>79</v>
      </c>
      <c r="O3382" s="8" t="s">
        <v>537</v>
      </c>
      <c r="P3382" s="6" t="s">
        <v>43</v>
      </c>
      <c r="Q3382" s="8" t="s">
        <v>44</v>
      </c>
      <c r="R3382" s="10" t="s">
        <v>4674</v>
      </c>
      <c r="S3382" s="11" t="s">
        <v>20299</v>
      </c>
      <c r="T3382" s="6"/>
      <c r="U3382" s="24" t="str">
        <f>HYPERLINK("https://media.infra-m.ru/2084/2084804/cover/2084804.jpg", "Обложка")</f>
        <v>Обложка</v>
      </c>
      <c r="V3382" s="24" t="str">
        <f>HYPERLINK("https://znanium.ru/catalog/product/2084804", "Ознакомиться")</f>
        <v>Ознакомиться</v>
      </c>
      <c r="W3382" s="8" t="s">
        <v>20300</v>
      </c>
      <c r="X3382" s="6"/>
      <c r="Y3382" s="6"/>
      <c r="Z3382" s="6"/>
      <c r="AA3382" s="6" t="s">
        <v>326</v>
      </c>
      <c r="AB3382" s="8"/>
    </row>
    <row r="3383" spans="1:28" s="4" customFormat="1" ht="51.95" customHeight="1">
      <c r="A3383" s="5">
        <v>0</v>
      </c>
      <c r="B3383" s="6" t="s">
        <v>20301</v>
      </c>
      <c r="C3383" s="7">
        <v>900</v>
      </c>
      <c r="D3383" s="8" t="s">
        <v>20302</v>
      </c>
      <c r="E3383" s="8" t="s">
        <v>20303</v>
      </c>
      <c r="F3383" s="8" t="s">
        <v>20304</v>
      </c>
      <c r="G3383" s="6" t="s">
        <v>89</v>
      </c>
      <c r="H3383" s="6" t="s">
        <v>39</v>
      </c>
      <c r="I3383" s="8" t="s">
        <v>100</v>
      </c>
      <c r="J3383" s="9">
        <v>1</v>
      </c>
      <c r="K3383" s="9">
        <v>194</v>
      </c>
      <c r="L3383" s="9">
        <v>2024</v>
      </c>
      <c r="M3383" s="8" t="s">
        <v>20305</v>
      </c>
      <c r="N3383" s="8" t="s">
        <v>79</v>
      </c>
      <c r="O3383" s="8" t="s">
        <v>80</v>
      </c>
      <c r="P3383" s="6" t="s">
        <v>43</v>
      </c>
      <c r="Q3383" s="8" t="s">
        <v>102</v>
      </c>
      <c r="R3383" s="10" t="s">
        <v>20306</v>
      </c>
      <c r="S3383" s="11" t="s">
        <v>20307</v>
      </c>
      <c r="T3383" s="6"/>
      <c r="U3383" s="24" t="str">
        <f>HYPERLINK("https://media.infra-m.ru/2120/2120767/cover/2120767.jpg", "Обложка")</f>
        <v>Обложка</v>
      </c>
      <c r="V3383" s="24" t="str">
        <f>HYPERLINK("https://znanium.ru/catalog/product/2120767", "Ознакомиться")</f>
        <v>Ознакомиться</v>
      </c>
      <c r="W3383" s="8" t="s">
        <v>20308</v>
      </c>
      <c r="X3383" s="6"/>
      <c r="Y3383" s="6"/>
      <c r="Z3383" s="6"/>
      <c r="AA3383" s="6" t="s">
        <v>95</v>
      </c>
      <c r="AB3383" s="8"/>
    </row>
    <row r="3384" spans="1:28" s="4" customFormat="1" ht="51.95" customHeight="1">
      <c r="A3384" s="5">
        <v>0</v>
      </c>
      <c r="B3384" s="6" t="s">
        <v>20309</v>
      </c>
      <c r="C3384" s="7">
        <v>464.9</v>
      </c>
      <c r="D3384" s="8" t="s">
        <v>20310</v>
      </c>
      <c r="E3384" s="8" t="s">
        <v>20311</v>
      </c>
      <c r="F3384" s="8" t="s">
        <v>20304</v>
      </c>
      <c r="G3384" s="6" t="s">
        <v>38</v>
      </c>
      <c r="H3384" s="6" t="s">
        <v>39</v>
      </c>
      <c r="I3384" s="8"/>
      <c r="J3384" s="9">
        <v>1</v>
      </c>
      <c r="K3384" s="9">
        <v>96</v>
      </c>
      <c r="L3384" s="9">
        <v>2021</v>
      </c>
      <c r="M3384" s="8" t="s">
        <v>20312</v>
      </c>
      <c r="N3384" s="8" t="s">
        <v>79</v>
      </c>
      <c r="O3384" s="8" t="s">
        <v>80</v>
      </c>
      <c r="P3384" s="6" t="s">
        <v>43</v>
      </c>
      <c r="Q3384" s="8" t="s">
        <v>102</v>
      </c>
      <c r="R3384" s="10" t="s">
        <v>20306</v>
      </c>
      <c r="S3384" s="11" t="s">
        <v>20313</v>
      </c>
      <c r="T3384" s="6"/>
      <c r="U3384" s="24" t="str">
        <f>HYPERLINK("https://media.infra-m.ru/1212/1212527/cover/1212527.jpg", "Обложка")</f>
        <v>Обложка</v>
      </c>
      <c r="V3384" s="24" t="str">
        <f>HYPERLINK("https://znanium.ru/catalog/product/2120767", "Ознакомиться")</f>
        <v>Ознакомиться</v>
      </c>
      <c r="W3384" s="8" t="s">
        <v>20308</v>
      </c>
      <c r="X3384" s="6"/>
      <c r="Y3384" s="6"/>
      <c r="Z3384" s="6"/>
      <c r="AA3384" s="6" t="s">
        <v>84</v>
      </c>
      <c r="AB3384" s="8"/>
    </row>
    <row r="3385" spans="1:28" s="4" customFormat="1" ht="51.95" customHeight="1">
      <c r="A3385" s="5">
        <v>0</v>
      </c>
      <c r="B3385" s="6" t="s">
        <v>20314</v>
      </c>
      <c r="C3385" s="13">
        <v>1764</v>
      </c>
      <c r="D3385" s="8" t="s">
        <v>20315</v>
      </c>
      <c r="E3385" s="8" t="s">
        <v>20316</v>
      </c>
      <c r="F3385" s="8" t="s">
        <v>20317</v>
      </c>
      <c r="G3385" s="6" t="s">
        <v>52</v>
      </c>
      <c r="H3385" s="6" t="s">
        <v>53</v>
      </c>
      <c r="I3385" s="8" t="s">
        <v>116</v>
      </c>
      <c r="J3385" s="9">
        <v>1</v>
      </c>
      <c r="K3385" s="9">
        <v>352</v>
      </c>
      <c r="L3385" s="9">
        <v>2025</v>
      </c>
      <c r="M3385" s="8" t="s">
        <v>20318</v>
      </c>
      <c r="N3385" s="8" t="s">
        <v>41</v>
      </c>
      <c r="O3385" s="8" t="s">
        <v>278</v>
      </c>
      <c r="P3385" s="6" t="s">
        <v>43</v>
      </c>
      <c r="Q3385" s="8" t="s">
        <v>44</v>
      </c>
      <c r="R3385" s="10" t="s">
        <v>6480</v>
      </c>
      <c r="S3385" s="11" t="s">
        <v>20319</v>
      </c>
      <c r="T3385" s="6"/>
      <c r="U3385" s="24" t="str">
        <f>HYPERLINK("https://media.infra-m.ru/2192/2192169/cover/2192169.jpg", "Обложка")</f>
        <v>Обложка</v>
      </c>
      <c r="V3385" s="24" t="str">
        <f>HYPERLINK("https://znanium.ru/catalog/product/1843578", "Ознакомиться")</f>
        <v>Ознакомиться</v>
      </c>
      <c r="W3385" s="8" t="s">
        <v>3010</v>
      </c>
      <c r="X3385" s="6"/>
      <c r="Y3385" s="6"/>
      <c r="Z3385" s="6"/>
      <c r="AA3385" s="6" t="s">
        <v>122</v>
      </c>
      <c r="AB3385" s="8"/>
    </row>
    <row r="3386" spans="1:28" s="4" customFormat="1" ht="51.95" customHeight="1">
      <c r="A3386" s="5">
        <v>0</v>
      </c>
      <c r="B3386" s="6" t="s">
        <v>20320</v>
      </c>
      <c r="C3386" s="7">
        <v>850</v>
      </c>
      <c r="D3386" s="8" t="s">
        <v>20321</v>
      </c>
      <c r="E3386" s="8" t="s">
        <v>20316</v>
      </c>
      <c r="F3386" s="8" t="s">
        <v>20322</v>
      </c>
      <c r="G3386" s="6" t="s">
        <v>89</v>
      </c>
      <c r="H3386" s="6" t="s">
        <v>53</v>
      </c>
      <c r="I3386" s="8" t="s">
        <v>90</v>
      </c>
      <c r="J3386" s="9">
        <v>1</v>
      </c>
      <c r="K3386" s="9">
        <v>189</v>
      </c>
      <c r="L3386" s="9">
        <v>2023</v>
      </c>
      <c r="M3386" s="8" t="s">
        <v>20323</v>
      </c>
      <c r="N3386" s="8" t="s">
        <v>41</v>
      </c>
      <c r="O3386" s="8" t="s">
        <v>278</v>
      </c>
      <c r="P3386" s="6" t="s">
        <v>43</v>
      </c>
      <c r="Q3386" s="8" t="s">
        <v>44</v>
      </c>
      <c r="R3386" s="10" t="s">
        <v>6480</v>
      </c>
      <c r="S3386" s="11" t="s">
        <v>20324</v>
      </c>
      <c r="T3386" s="6"/>
      <c r="U3386" s="24" t="str">
        <f>HYPERLINK("https://media.infra-m.ru/1930/1930711/cover/1930711.jpg", "Обложка")</f>
        <v>Обложка</v>
      </c>
      <c r="V3386" s="24" t="str">
        <f>HYPERLINK("https://znanium.ru/catalog/product/1930711", "Ознакомиться")</f>
        <v>Ознакомиться</v>
      </c>
      <c r="W3386" s="8" t="s">
        <v>8824</v>
      </c>
      <c r="X3386" s="6"/>
      <c r="Y3386" s="6"/>
      <c r="Z3386" s="6"/>
      <c r="AA3386" s="6" t="s">
        <v>84</v>
      </c>
      <c r="AB3386" s="8"/>
    </row>
    <row r="3387" spans="1:28" s="4" customFormat="1" ht="42" customHeight="1">
      <c r="A3387" s="5">
        <v>0</v>
      </c>
      <c r="B3387" s="6" t="s">
        <v>20325</v>
      </c>
      <c r="C3387" s="7">
        <v>664</v>
      </c>
      <c r="D3387" s="8" t="s">
        <v>20326</v>
      </c>
      <c r="E3387" s="8" t="s">
        <v>20327</v>
      </c>
      <c r="F3387" s="8" t="s">
        <v>12030</v>
      </c>
      <c r="G3387" s="6" t="s">
        <v>38</v>
      </c>
      <c r="H3387" s="6" t="s">
        <v>53</v>
      </c>
      <c r="I3387" s="8" t="s">
        <v>90</v>
      </c>
      <c r="J3387" s="9">
        <v>1</v>
      </c>
      <c r="K3387" s="9">
        <v>128</v>
      </c>
      <c r="L3387" s="9">
        <v>2025</v>
      </c>
      <c r="M3387" s="8" t="s">
        <v>20328</v>
      </c>
      <c r="N3387" s="8" t="s">
        <v>41</v>
      </c>
      <c r="O3387" s="8" t="s">
        <v>6182</v>
      </c>
      <c r="P3387" s="6" t="s">
        <v>167</v>
      </c>
      <c r="Q3387" s="8" t="s">
        <v>44</v>
      </c>
      <c r="R3387" s="10" t="s">
        <v>20329</v>
      </c>
      <c r="S3387" s="11"/>
      <c r="T3387" s="6"/>
      <c r="U3387" s="24" t="str">
        <f>HYPERLINK("https://media.infra-m.ru/2196/2196071/cover/2196071.jpg", "Обложка")</f>
        <v>Обложка</v>
      </c>
      <c r="V3387" s="24" t="str">
        <f>HYPERLINK("https://znanium.ru/catalog/product/1361806", "Ознакомиться")</f>
        <v>Ознакомиться</v>
      </c>
      <c r="W3387" s="8" t="s">
        <v>4228</v>
      </c>
      <c r="X3387" s="6"/>
      <c r="Y3387" s="6"/>
      <c r="Z3387" s="6"/>
      <c r="AA3387" s="6" t="s">
        <v>111</v>
      </c>
      <c r="AB3387" s="8"/>
    </row>
    <row r="3388" spans="1:28" s="4" customFormat="1" ht="51.95" customHeight="1">
      <c r="A3388" s="5">
        <v>0</v>
      </c>
      <c r="B3388" s="6" t="s">
        <v>20330</v>
      </c>
      <c r="C3388" s="13">
        <v>1024</v>
      </c>
      <c r="D3388" s="8" t="s">
        <v>20331</v>
      </c>
      <c r="E3388" s="8" t="s">
        <v>20332</v>
      </c>
      <c r="F3388" s="8" t="s">
        <v>20333</v>
      </c>
      <c r="G3388" s="6" t="s">
        <v>89</v>
      </c>
      <c r="H3388" s="6" t="s">
        <v>53</v>
      </c>
      <c r="I3388" s="8" t="s">
        <v>116</v>
      </c>
      <c r="J3388" s="9">
        <v>1</v>
      </c>
      <c r="K3388" s="9">
        <v>223</v>
      </c>
      <c r="L3388" s="9">
        <v>2024</v>
      </c>
      <c r="M3388" s="8" t="s">
        <v>20334</v>
      </c>
      <c r="N3388" s="8" t="s">
        <v>413</v>
      </c>
      <c r="O3388" s="8" t="s">
        <v>1141</v>
      </c>
      <c r="P3388" s="6" t="s">
        <v>43</v>
      </c>
      <c r="Q3388" s="8" t="s">
        <v>44</v>
      </c>
      <c r="R3388" s="10" t="s">
        <v>20335</v>
      </c>
      <c r="S3388" s="11" t="s">
        <v>20336</v>
      </c>
      <c r="T3388" s="6"/>
      <c r="U3388" s="24" t="str">
        <f>HYPERLINK("https://media.infra-m.ru/2131/2131536/cover/2131536.jpg", "Обложка")</f>
        <v>Обложка</v>
      </c>
      <c r="V3388" s="24" t="str">
        <f>HYPERLINK("https://znanium.ru/catalog/product/2131536", "Ознакомиться")</f>
        <v>Ознакомиться</v>
      </c>
      <c r="W3388" s="8" t="s">
        <v>6558</v>
      </c>
      <c r="X3388" s="6"/>
      <c r="Y3388" s="6"/>
      <c r="Z3388" s="6"/>
      <c r="AA3388" s="6" t="s">
        <v>418</v>
      </c>
      <c r="AB3388" s="8"/>
    </row>
    <row r="3389" spans="1:28" s="4" customFormat="1" ht="42" customHeight="1">
      <c r="A3389" s="5">
        <v>0</v>
      </c>
      <c r="B3389" s="6" t="s">
        <v>20337</v>
      </c>
      <c r="C3389" s="7">
        <v>984</v>
      </c>
      <c r="D3389" s="8" t="s">
        <v>20338</v>
      </c>
      <c r="E3389" s="8" t="s">
        <v>20339</v>
      </c>
      <c r="F3389" s="8" t="s">
        <v>20340</v>
      </c>
      <c r="G3389" s="6" t="s">
        <v>52</v>
      </c>
      <c r="H3389" s="6" t="s">
        <v>53</v>
      </c>
      <c r="I3389" s="8" t="s">
        <v>1325</v>
      </c>
      <c r="J3389" s="9">
        <v>1</v>
      </c>
      <c r="K3389" s="9">
        <v>197</v>
      </c>
      <c r="L3389" s="9">
        <v>2023</v>
      </c>
      <c r="M3389" s="8" t="s">
        <v>20341</v>
      </c>
      <c r="N3389" s="8" t="s">
        <v>79</v>
      </c>
      <c r="O3389" s="8" t="s">
        <v>148</v>
      </c>
      <c r="P3389" s="6" t="s">
        <v>43</v>
      </c>
      <c r="Q3389" s="8" t="s">
        <v>58</v>
      </c>
      <c r="R3389" s="10" t="s">
        <v>4010</v>
      </c>
      <c r="S3389" s="11"/>
      <c r="T3389" s="6"/>
      <c r="U3389" s="24" t="str">
        <f>HYPERLINK("https://media.infra-m.ru/2045/2045939/cover/2045939.jpg", "Обложка")</f>
        <v>Обложка</v>
      </c>
      <c r="V3389" s="24" t="str">
        <f>HYPERLINK("https://znanium.ru/catalog/product/1048706", "Ознакомиться")</f>
        <v>Ознакомиться</v>
      </c>
      <c r="W3389" s="8" t="s">
        <v>1329</v>
      </c>
      <c r="X3389" s="6"/>
      <c r="Y3389" s="6"/>
      <c r="Z3389" s="6"/>
      <c r="AA3389" s="6" t="s">
        <v>219</v>
      </c>
      <c r="AB3389" s="8"/>
    </row>
    <row r="3390" spans="1:28" s="4" customFormat="1" ht="51.95" customHeight="1">
      <c r="A3390" s="5">
        <v>0</v>
      </c>
      <c r="B3390" s="6" t="s">
        <v>20342</v>
      </c>
      <c r="C3390" s="13">
        <v>1144</v>
      </c>
      <c r="D3390" s="8" t="s">
        <v>20343</v>
      </c>
      <c r="E3390" s="8" t="s">
        <v>20344</v>
      </c>
      <c r="F3390" s="8" t="s">
        <v>20345</v>
      </c>
      <c r="G3390" s="6" t="s">
        <v>89</v>
      </c>
      <c r="H3390" s="6" t="s">
        <v>649</v>
      </c>
      <c r="I3390" s="8" t="s">
        <v>90</v>
      </c>
      <c r="J3390" s="9">
        <v>1</v>
      </c>
      <c r="K3390" s="9">
        <v>255</v>
      </c>
      <c r="L3390" s="9">
        <v>2023</v>
      </c>
      <c r="M3390" s="8" t="s">
        <v>20346</v>
      </c>
      <c r="N3390" s="8" t="s">
        <v>79</v>
      </c>
      <c r="O3390" s="8" t="s">
        <v>80</v>
      </c>
      <c r="P3390" s="6" t="s">
        <v>43</v>
      </c>
      <c r="Q3390" s="8" t="s">
        <v>44</v>
      </c>
      <c r="R3390" s="10" t="s">
        <v>20347</v>
      </c>
      <c r="S3390" s="11" t="s">
        <v>20348</v>
      </c>
      <c r="T3390" s="6"/>
      <c r="U3390" s="24" t="str">
        <f>HYPERLINK("https://media.infra-m.ru/1903/1903251/cover/1903251.jpg", "Обложка")</f>
        <v>Обложка</v>
      </c>
      <c r="V3390" s="24" t="str">
        <f>HYPERLINK("https://znanium.ru/catalog/product/1062374", "Ознакомиться")</f>
        <v>Ознакомиться</v>
      </c>
      <c r="W3390" s="8" t="s">
        <v>2573</v>
      </c>
      <c r="X3390" s="6"/>
      <c r="Y3390" s="6"/>
      <c r="Z3390" s="6"/>
      <c r="AA3390" s="6" t="s">
        <v>47</v>
      </c>
      <c r="AB3390" s="8"/>
    </row>
    <row r="3391" spans="1:28" s="4" customFormat="1" ht="51.95" customHeight="1">
      <c r="A3391" s="5">
        <v>0</v>
      </c>
      <c r="B3391" s="6" t="s">
        <v>20349</v>
      </c>
      <c r="C3391" s="13">
        <v>1454</v>
      </c>
      <c r="D3391" s="8" t="s">
        <v>20350</v>
      </c>
      <c r="E3391" s="8" t="s">
        <v>20351</v>
      </c>
      <c r="F3391" s="8" t="s">
        <v>20352</v>
      </c>
      <c r="G3391" s="6" t="s">
        <v>89</v>
      </c>
      <c r="H3391" s="6" t="s">
        <v>53</v>
      </c>
      <c r="I3391" s="8" t="s">
        <v>90</v>
      </c>
      <c r="J3391" s="9">
        <v>1</v>
      </c>
      <c r="K3391" s="9">
        <v>315</v>
      </c>
      <c r="L3391" s="9">
        <v>2024</v>
      </c>
      <c r="M3391" s="8" t="s">
        <v>20353</v>
      </c>
      <c r="N3391" s="8" t="s">
        <v>79</v>
      </c>
      <c r="O3391" s="8" t="s">
        <v>570</v>
      </c>
      <c r="P3391" s="6" t="s">
        <v>43</v>
      </c>
      <c r="Q3391" s="8" t="s">
        <v>58</v>
      </c>
      <c r="R3391" s="10" t="s">
        <v>5296</v>
      </c>
      <c r="S3391" s="11" t="s">
        <v>20354</v>
      </c>
      <c r="T3391" s="6"/>
      <c r="U3391" s="24" t="str">
        <f>HYPERLINK("https://media.infra-m.ru/2118/2118089/cover/2118089.jpg", "Обложка")</f>
        <v>Обложка</v>
      </c>
      <c r="V3391" s="24" t="str">
        <f>HYPERLINK("https://znanium.ru/catalog/product/2118089", "Ознакомиться")</f>
        <v>Ознакомиться</v>
      </c>
      <c r="W3391" s="8" t="s">
        <v>6489</v>
      </c>
      <c r="X3391" s="6"/>
      <c r="Y3391" s="6"/>
      <c r="Z3391" s="6"/>
      <c r="AA3391" s="6" t="s">
        <v>1259</v>
      </c>
      <c r="AB3391" s="8"/>
    </row>
    <row r="3392" spans="1:28" s="4" customFormat="1" ht="51.95" customHeight="1">
      <c r="A3392" s="5">
        <v>0</v>
      </c>
      <c r="B3392" s="6" t="s">
        <v>20355</v>
      </c>
      <c r="C3392" s="13">
        <v>1090</v>
      </c>
      <c r="D3392" s="8" t="s">
        <v>20356</v>
      </c>
      <c r="E3392" s="8" t="s">
        <v>20357</v>
      </c>
      <c r="F3392" s="8" t="s">
        <v>20358</v>
      </c>
      <c r="G3392" s="6" t="s">
        <v>89</v>
      </c>
      <c r="H3392" s="6" t="s">
        <v>53</v>
      </c>
      <c r="I3392" s="8" t="s">
        <v>100</v>
      </c>
      <c r="J3392" s="9">
        <v>1</v>
      </c>
      <c r="K3392" s="9">
        <v>320</v>
      </c>
      <c r="L3392" s="9">
        <v>2019</v>
      </c>
      <c r="M3392" s="8" t="s">
        <v>20359</v>
      </c>
      <c r="N3392" s="8" t="s">
        <v>79</v>
      </c>
      <c r="O3392" s="8" t="s">
        <v>570</v>
      </c>
      <c r="P3392" s="6" t="s">
        <v>43</v>
      </c>
      <c r="Q3392" s="8" t="s">
        <v>102</v>
      </c>
      <c r="R3392" s="10" t="s">
        <v>20360</v>
      </c>
      <c r="S3392" s="11" t="s">
        <v>20361</v>
      </c>
      <c r="T3392" s="6"/>
      <c r="U3392" s="24" t="str">
        <f>HYPERLINK("https://media.infra-m.ru/1023/1023805/cover/1023805.jpg", "Обложка")</f>
        <v>Обложка</v>
      </c>
      <c r="V3392" s="24" t="str">
        <f>HYPERLINK("https://znanium.ru/catalog/product/1023805", "Ознакомиться")</f>
        <v>Ознакомиться</v>
      </c>
      <c r="W3392" s="8" t="s">
        <v>6489</v>
      </c>
      <c r="X3392" s="6"/>
      <c r="Y3392" s="6"/>
      <c r="Z3392" s="6" t="s">
        <v>502</v>
      </c>
      <c r="AA3392" s="6" t="s">
        <v>258</v>
      </c>
      <c r="AB3392" s="8"/>
    </row>
    <row r="3393" spans="1:28" s="4" customFormat="1" ht="51.95" customHeight="1">
      <c r="A3393" s="5">
        <v>0</v>
      </c>
      <c r="B3393" s="6" t="s">
        <v>20362</v>
      </c>
      <c r="C3393" s="13">
        <v>1030</v>
      </c>
      <c r="D3393" s="8" t="s">
        <v>20363</v>
      </c>
      <c r="E3393" s="8" t="s">
        <v>20357</v>
      </c>
      <c r="F3393" s="8" t="s">
        <v>20364</v>
      </c>
      <c r="G3393" s="6" t="s">
        <v>89</v>
      </c>
      <c r="H3393" s="6" t="s">
        <v>39</v>
      </c>
      <c r="I3393" s="8" t="s">
        <v>116</v>
      </c>
      <c r="J3393" s="9">
        <v>1</v>
      </c>
      <c r="K3393" s="9">
        <v>320</v>
      </c>
      <c r="L3393" s="9">
        <v>2019</v>
      </c>
      <c r="M3393" s="8" t="s">
        <v>20365</v>
      </c>
      <c r="N3393" s="8" t="s">
        <v>79</v>
      </c>
      <c r="O3393" s="8" t="s">
        <v>570</v>
      </c>
      <c r="P3393" s="6" t="s">
        <v>43</v>
      </c>
      <c r="Q3393" s="8" t="s">
        <v>44</v>
      </c>
      <c r="R3393" s="10" t="s">
        <v>5296</v>
      </c>
      <c r="S3393" s="11" t="s">
        <v>20366</v>
      </c>
      <c r="T3393" s="6"/>
      <c r="U3393" s="24" t="str">
        <f>HYPERLINK("https://media.infra-m.ru/1020/1020700/cover/1020700.jpg", "Обложка")</f>
        <v>Обложка</v>
      </c>
      <c r="V3393" s="24" t="str">
        <f>HYPERLINK("https://znanium.ru/catalog/product/2118089", "Ознакомиться")</f>
        <v>Ознакомиться</v>
      </c>
      <c r="W3393" s="8" t="s">
        <v>6489</v>
      </c>
      <c r="X3393" s="6"/>
      <c r="Y3393" s="6"/>
      <c r="Z3393" s="6"/>
      <c r="AA3393" s="6" t="s">
        <v>84</v>
      </c>
      <c r="AB3393" s="8"/>
    </row>
    <row r="3394" spans="1:28" s="4" customFormat="1" ht="51.95" customHeight="1">
      <c r="A3394" s="5">
        <v>0</v>
      </c>
      <c r="B3394" s="6" t="s">
        <v>20367</v>
      </c>
      <c r="C3394" s="13">
        <v>1150</v>
      </c>
      <c r="D3394" s="8" t="s">
        <v>20368</v>
      </c>
      <c r="E3394" s="8" t="s">
        <v>20369</v>
      </c>
      <c r="F3394" s="8" t="s">
        <v>20370</v>
      </c>
      <c r="G3394" s="6" t="s">
        <v>52</v>
      </c>
      <c r="H3394" s="6" t="s">
        <v>674</v>
      </c>
      <c r="I3394" s="8"/>
      <c r="J3394" s="9">
        <v>1</v>
      </c>
      <c r="K3394" s="9">
        <v>224</v>
      </c>
      <c r="L3394" s="9">
        <v>2025</v>
      </c>
      <c r="M3394" s="8" t="s">
        <v>20371</v>
      </c>
      <c r="N3394" s="8" t="s">
        <v>41</v>
      </c>
      <c r="O3394" s="8" t="s">
        <v>1204</v>
      </c>
      <c r="P3394" s="6" t="s">
        <v>43</v>
      </c>
      <c r="Q3394" s="8" t="s">
        <v>44</v>
      </c>
      <c r="R3394" s="10" t="s">
        <v>20372</v>
      </c>
      <c r="S3394" s="11"/>
      <c r="T3394" s="6"/>
      <c r="U3394" s="24" t="str">
        <f>HYPERLINK("https://media.infra-m.ru/2180/2180408/cover/2180408.jpg", "Обложка")</f>
        <v>Обложка</v>
      </c>
      <c r="V3394" s="24" t="str">
        <f>HYPERLINK("https://znanium.ru/catalog/product/2180408", "Ознакомиться")</f>
        <v>Ознакомиться</v>
      </c>
      <c r="W3394" s="8" t="s">
        <v>792</v>
      </c>
      <c r="X3394" s="6" t="s">
        <v>2790</v>
      </c>
      <c r="Y3394" s="6"/>
      <c r="Z3394" s="6"/>
      <c r="AA3394" s="6" t="s">
        <v>61</v>
      </c>
      <c r="AB3394" s="8"/>
    </row>
    <row r="3395" spans="1:28" s="4" customFormat="1" ht="51.95" customHeight="1">
      <c r="A3395" s="5">
        <v>0</v>
      </c>
      <c r="B3395" s="6" t="s">
        <v>20373</v>
      </c>
      <c r="C3395" s="13">
        <v>2092</v>
      </c>
      <c r="D3395" s="8" t="s">
        <v>20374</v>
      </c>
      <c r="E3395" s="8" t="s">
        <v>20375</v>
      </c>
      <c r="F3395" s="8" t="s">
        <v>20376</v>
      </c>
      <c r="G3395" s="6" t="s">
        <v>89</v>
      </c>
      <c r="H3395" s="6" t="s">
        <v>53</v>
      </c>
      <c r="I3395" s="8" t="s">
        <v>116</v>
      </c>
      <c r="J3395" s="9">
        <v>1</v>
      </c>
      <c r="K3395" s="9">
        <v>262</v>
      </c>
      <c r="L3395" s="9">
        <v>2024</v>
      </c>
      <c r="M3395" s="8" t="s">
        <v>20377</v>
      </c>
      <c r="N3395" s="8" t="s">
        <v>79</v>
      </c>
      <c r="O3395" s="8" t="s">
        <v>396</v>
      </c>
      <c r="P3395" s="6" t="s">
        <v>167</v>
      </c>
      <c r="Q3395" s="8" t="s">
        <v>44</v>
      </c>
      <c r="R3395" s="10" t="s">
        <v>10796</v>
      </c>
      <c r="S3395" s="11" t="s">
        <v>20378</v>
      </c>
      <c r="T3395" s="6"/>
      <c r="U3395" s="24" t="str">
        <f>HYPERLINK("https://media.infra-m.ru/2073/2073476/cover/2073476.jpg", "Обложка")</f>
        <v>Обложка</v>
      </c>
      <c r="V3395" s="24" t="str">
        <f>HYPERLINK("https://znanium.ru/catalog/product/2073476", "Ознакомиться")</f>
        <v>Ознакомиться</v>
      </c>
      <c r="W3395" s="8" t="s">
        <v>1571</v>
      </c>
      <c r="X3395" s="6"/>
      <c r="Y3395" s="6"/>
      <c r="Z3395" s="6"/>
      <c r="AA3395" s="6" t="s">
        <v>95</v>
      </c>
      <c r="AB3395" s="8"/>
    </row>
    <row r="3396" spans="1:28" s="4" customFormat="1" ht="51.95" customHeight="1">
      <c r="A3396" s="5">
        <v>0</v>
      </c>
      <c r="B3396" s="6" t="s">
        <v>20379</v>
      </c>
      <c r="C3396" s="7">
        <v>904</v>
      </c>
      <c r="D3396" s="8" t="s">
        <v>20380</v>
      </c>
      <c r="E3396" s="8" t="s">
        <v>20381</v>
      </c>
      <c r="F3396" s="8" t="s">
        <v>20382</v>
      </c>
      <c r="G3396" s="6" t="s">
        <v>89</v>
      </c>
      <c r="H3396" s="6" t="s">
        <v>53</v>
      </c>
      <c r="I3396" s="8" t="s">
        <v>1325</v>
      </c>
      <c r="J3396" s="9">
        <v>1</v>
      </c>
      <c r="K3396" s="9">
        <v>176</v>
      </c>
      <c r="L3396" s="9">
        <v>2024</v>
      </c>
      <c r="M3396" s="8" t="s">
        <v>20383</v>
      </c>
      <c r="N3396" s="8" t="s">
        <v>79</v>
      </c>
      <c r="O3396" s="8" t="s">
        <v>570</v>
      </c>
      <c r="P3396" s="6" t="s">
        <v>43</v>
      </c>
      <c r="Q3396" s="8" t="s">
        <v>58</v>
      </c>
      <c r="R3396" s="10" t="s">
        <v>20384</v>
      </c>
      <c r="S3396" s="11" t="s">
        <v>20385</v>
      </c>
      <c r="T3396" s="6"/>
      <c r="U3396" s="24" t="str">
        <f>HYPERLINK("https://media.infra-m.ru/2142/2142526/cover/2142526.jpg", "Обложка")</f>
        <v>Обложка</v>
      </c>
      <c r="V3396" s="24" t="str">
        <f>HYPERLINK("https://znanium.ru/catalog/product/1902848", "Ознакомиться")</f>
        <v>Ознакомиться</v>
      </c>
      <c r="W3396" s="8" t="s">
        <v>1329</v>
      </c>
      <c r="X3396" s="6"/>
      <c r="Y3396" s="6"/>
      <c r="Z3396" s="6"/>
      <c r="AA3396" s="6" t="s">
        <v>258</v>
      </c>
      <c r="AB3396" s="8"/>
    </row>
    <row r="3397" spans="1:28" s="4" customFormat="1" ht="51.95" customHeight="1">
      <c r="A3397" s="5">
        <v>0</v>
      </c>
      <c r="B3397" s="6" t="s">
        <v>20386</v>
      </c>
      <c r="C3397" s="13">
        <v>1294</v>
      </c>
      <c r="D3397" s="8" t="s">
        <v>20387</v>
      </c>
      <c r="E3397" s="8" t="s">
        <v>20388</v>
      </c>
      <c r="F3397" s="8" t="s">
        <v>14128</v>
      </c>
      <c r="G3397" s="6" t="s">
        <v>52</v>
      </c>
      <c r="H3397" s="6" t="s">
        <v>77</v>
      </c>
      <c r="I3397" s="8"/>
      <c r="J3397" s="9">
        <v>1</v>
      </c>
      <c r="K3397" s="9">
        <v>280</v>
      </c>
      <c r="L3397" s="9">
        <v>2024</v>
      </c>
      <c r="M3397" s="8" t="s">
        <v>20389</v>
      </c>
      <c r="N3397" s="8" t="s">
        <v>41</v>
      </c>
      <c r="O3397" s="8" t="s">
        <v>118</v>
      </c>
      <c r="P3397" s="6" t="s">
        <v>43</v>
      </c>
      <c r="Q3397" s="8" t="s">
        <v>44</v>
      </c>
      <c r="R3397" s="10" t="s">
        <v>20390</v>
      </c>
      <c r="S3397" s="11" t="s">
        <v>20391</v>
      </c>
      <c r="T3397" s="6"/>
      <c r="U3397" s="24" t="str">
        <f>HYPERLINK("https://media.infra-m.ru/2130/2130477/cover/2130477.jpg", "Обложка")</f>
        <v>Обложка</v>
      </c>
      <c r="V3397" s="24" t="str">
        <f>HYPERLINK("https://znanium.ru/catalog/product/1240712", "Ознакомиться")</f>
        <v>Ознакомиться</v>
      </c>
      <c r="W3397" s="8" t="s">
        <v>4383</v>
      </c>
      <c r="X3397" s="6"/>
      <c r="Y3397" s="6"/>
      <c r="Z3397" s="6"/>
      <c r="AA3397" s="6" t="s">
        <v>111</v>
      </c>
      <c r="AB3397" s="8"/>
    </row>
    <row r="3398" spans="1:28" s="4" customFormat="1" ht="51.95" customHeight="1">
      <c r="A3398" s="5">
        <v>0</v>
      </c>
      <c r="B3398" s="6" t="s">
        <v>20392</v>
      </c>
      <c r="C3398" s="13">
        <v>1190</v>
      </c>
      <c r="D3398" s="8" t="s">
        <v>20393</v>
      </c>
      <c r="E3398" s="8" t="s">
        <v>20394</v>
      </c>
      <c r="F3398" s="8" t="s">
        <v>20395</v>
      </c>
      <c r="G3398" s="6" t="s">
        <v>89</v>
      </c>
      <c r="H3398" s="6" t="s">
        <v>53</v>
      </c>
      <c r="I3398" s="8" t="s">
        <v>1779</v>
      </c>
      <c r="J3398" s="9">
        <v>1</v>
      </c>
      <c r="K3398" s="9">
        <v>238</v>
      </c>
      <c r="L3398" s="9">
        <v>2025</v>
      </c>
      <c r="M3398" s="8" t="s">
        <v>20396</v>
      </c>
      <c r="N3398" s="8" t="s">
        <v>79</v>
      </c>
      <c r="O3398" s="8" t="s">
        <v>424</v>
      </c>
      <c r="P3398" s="6" t="s">
        <v>43</v>
      </c>
      <c r="Q3398" s="8" t="s">
        <v>44</v>
      </c>
      <c r="R3398" s="10" t="s">
        <v>5274</v>
      </c>
      <c r="S3398" s="11" t="s">
        <v>20397</v>
      </c>
      <c r="T3398" s="6"/>
      <c r="U3398" s="24" t="str">
        <f>HYPERLINK("https://media.infra-m.ru/2168/2168830/cover/2168830.jpg", "Обложка")</f>
        <v>Обложка</v>
      </c>
      <c r="V3398" s="24" t="str">
        <f>HYPERLINK("https://znanium.ru/catalog/product/2168830", "Ознакомиться")</f>
        <v>Ознакомиться</v>
      </c>
      <c r="W3398" s="8" t="s">
        <v>206</v>
      </c>
      <c r="X3398" s="6"/>
      <c r="Y3398" s="6"/>
      <c r="Z3398" s="6"/>
      <c r="AA3398" s="6" t="s">
        <v>258</v>
      </c>
      <c r="AB3398" s="8"/>
    </row>
    <row r="3399" spans="1:28" s="4" customFormat="1" ht="51.95" customHeight="1">
      <c r="A3399" s="5">
        <v>0</v>
      </c>
      <c r="B3399" s="6" t="s">
        <v>20398</v>
      </c>
      <c r="C3399" s="13">
        <v>1524</v>
      </c>
      <c r="D3399" s="8" t="s">
        <v>20399</v>
      </c>
      <c r="E3399" s="8" t="s">
        <v>20400</v>
      </c>
      <c r="F3399" s="8" t="s">
        <v>20401</v>
      </c>
      <c r="G3399" s="6" t="s">
        <v>52</v>
      </c>
      <c r="H3399" s="6" t="s">
        <v>649</v>
      </c>
      <c r="I3399" s="8" t="s">
        <v>100</v>
      </c>
      <c r="J3399" s="9">
        <v>1</v>
      </c>
      <c r="K3399" s="9">
        <v>336</v>
      </c>
      <c r="L3399" s="9">
        <v>2023</v>
      </c>
      <c r="M3399" s="8" t="s">
        <v>20402</v>
      </c>
      <c r="N3399" s="8" t="s">
        <v>79</v>
      </c>
      <c r="O3399" s="8" t="s">
        <v>537</v>
      </c>
      <c r="P3399" s="6" t="s">
        <v>43</v>
      </c>
      <c r="Q3399" s="8" t="s">
        <v>102</v>
      </c>
      <c r="R3399" s="10" t="s">
        <v>20403</v>
      </c>
      <c r="S3399" s="11"/>
      <c r="T3399" s="6"/>
      <c r="U3399" s="24" t="str">
        <f>HYPERLINK("https://media.infra-m.ru/2021/2021437/cover/2021437.jpg", "Обложка")</f>
        <v>Обложка</v>
      </c>
      <c r="V3399" s="24" t="str">
        <f>HYPERLINK("https://znanium.ru/catalog/product/961566", "Ознакомиться")</f>
        <v>Ознакомиться</v>
      </c>
      <c r="W3399" s="8" t="s">
        <v>9885</v>
      </c>
      <c r="X3399" s="6"/>
      <c r="Y3399" s="6"/>
      <c r="Z3399" s="6" t="s">
        <v>104</v>
      </c>
      <c r="AA3399" s="6" t="s">
        <v>219</v>
      </c>
      <c r="AB3399" s="8"/>
    </row>
    <row r="3400" spans="1:28" s="4" customFormat="1" ht="51.95" customHeight="1">
      <c r="A3400" s="5">
        <v>0</v>
      </c>
      <c r="B3400" s="6" t="s">
        <v>20404</v>
      </c>
      <c r="C3400" s="13">
        <v>1274.9000000000001</v>
      </c>
      <c r="D3400" s="8" t="s">
        <v>20405</v>
      </c>
      <c r="E3400" s="8" t="s">
        <v>20406</v>
      </c>
      <c r="F3400" s="8" t="s">
        <v>20401</v>
      </c>
      <c r="G3400" s="6" t="s">
        <v>89</v>
      </c>
      <c r="H3400" s="6" t="s">
        <v>649</v>
      </c>
      <c r="I3400" s="8" t="s">
        <v>116</v>
      </c>
      <c r="J3400" s="9">
        <v>1</v>
      </c>
      <c r="K3400" s="9">
        <v>336</v>
      </c>
      <c r="L3400" s="9">
        <v>2022</v>
      </c>
      <c r="M3400" s="8" t="s">
        <v>20407</v>
      </c>
      <c r="N3400" s="8" t="s">
        <v>79</v>
      </c>
      <c r="O3400" s="8" t="s">
        <v>537</v>
      </c>
      <c r="P3400" s="6" t="s">
        <v>43</v>
      </c>
      <c r="Q3400" s="8" t="s">
        <v>44</v>
      </c>
      <c r="R3400" s="10" t="s">
        <v>20408</v>
      </c>
      <c r="S3400" s="11" t="s">
        <v>20409</v>
      </c>
      <c r="T3400" s="6"/>
      <c r="U3400" s="24" t="str">
        <f>HYPERLINK("https://media.infra-m.ru/1832/1832365/cover/1832365.jpg", "Обложка")</f>
        <v>Обложка</v>
      </c>
      <c r="V3400" s="24" t="str">
        <f>HYPERLINK("https://znanium.ru/catalog/product/1832365", "Ознакомиться")</f>
        <v>Ознакомиться</v>
      </c>
      <c r="W3400" s="8" t="s">
        <v>9885</v>
      </c>
      <c r="X3400" s="6"/>
      <c r="Y3400" s="6"/>
      <c r="Z3400" s="6"/>
      <c r="AA3400" s="6" t="s">
        <v>1135</v>
      </c>
      <c r="AB3400" s="8"/>
    </row>
    <row r="3401" spans="1:28" s="4" customFormat="1" ht="51.95" customHeight="1">
      <c r="A3401" s="5">
        <v>0</v>
      </c>
      <c r="B3401" s="6" t="s">
        <v>20410</v>
      </c>
      <c r="C3401" s="13">
        <v>1684</v>
      </c>
      <c r="D3401" s="8" t="s">
        <v>20411</v>
      </c>
      <c r="E3401" s="8" t="s">
        <v>20406</v>
      </c>
      <c r="F3401" s="8" t="s">
        <v>20412</v>
      </c>
      <c r="G3401" s="6" t="s">
        <v>52</v>
      </c>
      <c r="H3401" s="6" t="s">
        <v>184</v>
      </c>
      <c r="I3401" s="8" t="s">
        <v>116</v>
      </c>
      <c r="J3401" s="9">
        <v>1</v>
      </c>
      <c r="K3401" s="9">
        <v>336</v>
      </c>
      <c r="L3401" s="9">
        <v>2025</v>
      </c>
      <c r="M3401" s="8" t="s">
        <v>20413</v>
      </c>
      <c r="N3401" s="8" t="s">
        <v>79</v>
      </c>
      <c r="O3401" s="8" t="s">
        <v>537</v>
      </c>
      <c r="P3401" s="6" t="s">
        <v>43</v>
      </c>
      <c r="Q3401" s="8" t="s">
        <v>44</v>
      </c>
      <c r="R3401" s="10" t="s">
        <v>20414</v>
      </c>
      <c r="S3401" s="11" t="s">
        <v>20415</v>
      </c>
      <c r="T3401" s="6"/>
      <c r="U3401" s="24" t="str">
        <f>HYPERLINK("https://media.infra-m.ru/2185/2185911/cover/2185911.jpg", "Обложка")</f>
        <v>Обложка</v>
      </c>
      <c r="V3401" s="24" t="str">
        <f>HYPERLINK("https://znanium.ru/catalog/product/1062396", "Ознакомиться")</f>
        <v>Ознакомиться</v>
      </c>
      <c r="W3401" s="8"/>
      <c r="X3401" s="6"/>
      <c r="Y3401" s="6"/>
      <c r="Z3401" s="6"/>
      <c r="AA3401" s="6" t="s">
        <v>622</v>
      </c>
      <c r="AB3401" s="8"/>
    </row>
    <row r="3402" spans="1:28" s="4" customFormat="1" ht="51.95" customHeight="1">
      <c r="A3402" s="5">
        <v>0</v>
      </c>
      <c r="B3402" s="6" t="s">
        <v>20416</v>
      </c>
      <c r="C3402" s="13">
        <v>2917</v>
      </c>
      <c r="D3402" s="8" t="s">
        <v>20417</v>
      </c>
      <c r="E3402" s="8" t="s">
        <v>20406</v>
      </c>
      <c r="F3402" s="8" t="s">
        <v>20418</v>
      </c>
      <c r="G3402" s="6" t="s">
        <v>52</v>
      </c>
      <c r="H3402" s="6" t="s">
        <v>649</v>
      </c>
      <c r="I3402" s="8" t="s">
        <v>116</v>
      </c>
      <c r="J3402" s="9">
        <v>1</v>
      </c>
      <c r="K3402" s="9">
        <v>448</v>
      </c>
      <c r="L3402" s="9">
        <v>2025</v>
      </c>
      <c r="M3402" s="8" t="s">
        <v>20419</v>
      </c>
      <c r="N3402" s="8" t="s">
        <v>79</v>
      </c>
      <c r="O3402" s="8" t="s">
        <v>537</v>
      </c>
      <c r="P3402" s="6" t="s">
        <v>43</v>
      </c>
      <c r="Q3402" s="8" t="s">
        <v>44</v>
      </c>
      <c r="R3402" s="10" t="s">
        <v>20420</v>
      </c>
      <c r="S3402" s="11" t="s">
        <v>20421</v>
      </c>
      <c r="T3402" s="6"/>
      <c r="U3402" s="24" t="str">
        <f>HYPERLINK("https://media.infra-m.ru/2188/2188745/cover/2188745.jpg", "Обложка")</f>
        <v>Обложка</v>
      </c>
      <c r="V3402" s="24" t="str">
        <f>HYPERLINK("https://znanium.ru/catalog/product/1998962", "Ознакомиться")</f>
        <v>Ознакомиться</v>
      </c>
      <c r="W3402" s="8" t="s">
        <v>9885</v>
      </c>
      <c r="X3402" s="6"/>
      <c r="Y3402" s="6"/>
      <c r="Z3402" s="6"/>
      <c r="AA3402" s="6" t="s">
        <v>72</v>
      </c>
      <c r="AB3402" s="8"/>
    </row>
    <row r="3403" spans="1:28" s="4" customFormat="1" ht="51.95" customHeight="1">
      <c r="A3403" s="5">
        <v>0</v>
      </c>
      <c r="B3403" s="6" t="s">
        <v>20422</v>
      </c>
      <c r="C3403" s="13">
        <v>2290</v>
      </c>
      <c r="D3403" s="8" t="s">
        <v>20423</v>
      </c>
      <c r="E3403" s="8" t="s">
        <v>20406</v>
      </c>
      <c r="F3403" s="8" t="s">
        <v>20424</v>
      </c>
      <c r="G3403" s="6" t="s">
        <v>89</v>
      </c>
      <c r="H3403" s="6" t="s">
        <v>649</v>
      </c>
      <c r="I3403" s="8" t="s">
        <v>100</v>
      </c>
      <c r="J3403" s="9">
        <v>1</v>
      </c>
      <c r="K3403" s="9">
        <v>448</v>
      </c>
      <c r="L3403" s="9">
        <v>2023</v>
      </c>
      <c r="M3403" s="8" t="s">
        <v>20425</v>
      </c>
      <c r="N3403" s="8" t="s">
        <v>79</v>
      </c>
      <c r="O3403" s="8" t="s">
        <v>537</v>
      </c>
      <c r="P3403" s="6" t="s">
        <v>43</v>
      </c>
      <c r="Q3403" s="8" t="s">
        <v>102</v>
      </c>
      <c r="R3403" s="10" t="s">
        <v>20426</v>
      </c>
      <c r="S3403" s="11" t="s">
        <v>20427</v>
      </c>
      <c r="T3403" s="6"/>
      <c r="U3403" s="24" t="str">
        <f>HYPERLINK("https://media.infra-m.ru/1979/1979055/cover/1979055.jpg", "Обложка")</f>
        <v>Обложка</v>
      </c>
      <c r="V3403" s="24" t="str">
        <f>HYPERLINK("https://znanium.ru/catalog/product/1979055", "Ознакомиться")</f>
        <v>Ознакомиться</v>
      </c>
      <c r="W3403" s="8" t="s">
        <v>9885</v>
      </c>
      <c r="X3403" s="6"/>
      <c r="Y3403" s="6"/>
      <c r="Z3403" s="6" t="s">
        <v>104</v>
      </c>
      <c r="AA3403" s="6" t="s">
        <v>219</v>
      </c>
      <c r="AB3403" s="8"/>
    </row>
    <row r="3404" spans="1:28" s="4" customFormat="1" ht="44.1" customHeight="1">
      <c r="A3404" s="5">
        <v>0</v>
      </c>
      <c r="B3404" s="6" t="s">
        <v>20428</v>
      </c>
      <c r="C3404" s="13">
        <v>2120</v>
      </c>
      <c r="D3404" s="8" t="s">
        <v>20429</v>
      </c>
      <c r="E3404" s="8" t="s">
        <v>20430</v>
      </c>
      <c r="F3404" s="8" t="s">
        <v>20431</v>
      </c>
      <c r="G3404" s="6" t="s">
        <v>52</v>
      </c>
      <c r="H3404" s="6" t="s">
        <v>184</v>
      </c>
      <c r="I3404" s="8" t="s">
        <v>20432</v>
      </c>
      <c r="J3404" s="9">
        <v>1</v>
      </c>
      <c r="K3404" s="9">
        <v>406</v>
      </c>
      <c r="L3404" s="9">
        <v>2025</v>
      </c>
      <c r="M3404" s="8" t="s">
        <v>20433</v>
      </c>
      <c r="N3404" s="8" t="s">
        <v>41</v>
      </c>
      <c r="O3404" s="8" t="s">
        <v>676</v>
      </c>
      <c r="P3404" s="6" t="s">
        <v>1046</v>
      </c>
      <c r="Q3404" s="8" t="s">
        <v>1047</v>
      </c>
      <c r="R3404" s="10" t="s">
        <v>20434</v>
      </c>
      <c r="S3404" s="11"/>
      <c r="T3404" s="6"/>
      <c r="U3404" s="24" t="str">
        <f>HYPERLINK("https://media.infra-m.ru/2192/2192590/cover/2192590.jpg", "Обложка")</f>
        <v>Обложка</v>
      </c>
      <c r="V3404" s="24" t="str">
        <f>HYPERLINK("https://znanium.ru/catalog/product/2192590", "Ознакомиться")</f>
        <v>Ознакомиться</v>
      </c>
      <c r="W3404" s="8" t="s">
        <v>20435</v>
      </c>
      <c r="X3404" s="6" t="s">
        <v>60</v>
      </c>
      <c r="Y3404" s="6"/>
      <c r="Z3404" s="6"/>
      <c r="AA3404" s="6" t="s">
        <v>61</v>
      </c>
      <c r="AB3404" s="8"/>
    </row>
    <row r="3405" spans="1:28" s="4" customFormat="1" ht="51.95" customHeight="1">
      <c r="A3405" s="5">
        <v>0</v>
      </c>
      <c r="B3405" s="6" t="s">
        <v>20436</v>
      </c>
      <c r="C3405" s="13">
        <v>1140</v>
      </c>
      <c r="D3405" s="8" t="s">
        <v>20437</v>
      </c>
      <c r="E3405" s="8" t="s">
        <v>20438</v>
      </c>
      <c r="F3405" s="8" t="s">
        <v>20439</v>
      </c>
      <c r="G3405" s="6" t="s">
        <v>89</v>
      </c>
      <c r="H3405" s="6" t="s">
        <v>53</v>
      </c>
      <c r="I3405" s="8" t="s">
        <v>90</v>
      </c>
      <c r="J3405" s="9">
        <v>1</v>
      </c>
      <c r="K3405" s="9">
        <v>246</v>
      </c>
      <c r="L3405" s="9">
        <v>2023</v>
      </c>
      <c r="M3405" s="8" t="s">
        <v>20440</v>
      </c>
      <c r="N3405" s="8" t="s">
        <v>79</v>
      </c>
      <c r="O3405" s="8" t="s">
        <v>396</v>
      </c>
      <c r="P3405" s="6" t="s">
        <v>43</v>
      </c>
      <c r="Q3405" s="8" t="s">
        <v>44</v>
      </c>
      <c r="R3405" s="10" t="s">
        <v>13197</v>
      </c>
      <c r="S3405" s="11" t="s">
        <v>20441</v>
      </c>
      <c r="T3405" s="6"/>
      <c r="U3405" s="24" t="str">
        <f>HYPERLINK("https://media.infra-m.ru/2126/2126481/cover/2126481.jpg", "Обложка")</f>
        <v>Обложка</v>
      </c>
      <c r="V3405" s="24" t="str">
        <f>HYPERLINK("https://znanium.ru/catalog/product/2126481", "Ознакомиться")</f>
        <v>Ознакомиться</v>
      </c>
      <c r="W3405" s="8" t="s">
        <v>71</v>
      </c>
      <c r="X3405" s="6"/>
      <c r="Y3405" s="6"/>
      <c r="Z3405" s="6"/>
      <c r="AA3405" s="6" t="s">
        <v>258</v>
      </c>
      <c r="AB3405" s="8"/>
    </row>
    <row r="3406" spans="1:28" s="4" customFormat="1" ht="51.95" customHeight="1">
      <c r="A3406" s="5">
        <v>0</v>
      </c>
      <c r="B3406" s="6" t="s">
        <v>20442</v>
      </c>
      <c r="C3406" s="13">
        <v>1560</v>
      </c>
      <c r="D3406" s="8" t="s">
        <v>20443</v>
      </c>
      <c r="E3406" s="8" t="s">
        <v>20444</v>
      </c>
      <c r="F3406" s="8" t="s">
        <v>20445</v>
      </c>
      <c r="G3406" s="6" t="s">
        <v>89</v>
      </c>
      <c r="H3406" s="6" t="s">
        <v>53</v>
      </c>
      <c r="I3406" s="8" t="s">
        <v>116</v>
      </c>
      <c r="J3406" s="9">
        <v>1</v>
      </c>
      <c r="K3406" s="9">
        <v>336</v>
      </c>
      <c r="L3406" s="9">
        <v>2024</v>
      </c>
      <c r="M3406" s="8" t="s">
        <v>20446</v>
      </c>
      <c r="N3406" s="8" t="s">
        <v>41</v>
      </c>
      <c r="O3406" s="8" t="s">
        <v>278</v>
      </c>
      <c r="P3406" s="6" t="s">
        <v>43</v>
      </c>
      <c r="Q3406" s="8" t="s">
        <v>44</v>
      </c>
      <c r="R3406" s="10" t="s">
        <v>20447</v>
      </c>
      <c r="S3406" s="11" t="s">
        <v>20448</v>
      </c>
      <c r="T3406" s="6"/>
      <c r="U3406" s="24" t="str">
        <f>HYPERLINK("https://media.infra-m.ru/2126/2126822/cover/2126822.jpg", "Обложка")</f>
        <v>Обложка</v>
      </c>
      <c r="V3406" s="24" t="str">
        <f>HYPERLINK("https://znanium.ru/catalog/product/2126822", "Ознакомиться")</f>
        <v>Ознакомиться</v>
      </c>
      <c r="W3406" s="8" t="s">
        <v>1635</v>
      </c>
      <c r="X3406" s="6"/>
      <c r="Y3406" s="6"/>
      <c r="Z3406" s="6"/>
      <c r="AA3406" s="6" t="s">
        <v>95</v>
      </c>
      <c r="AB3406" s="8"/>
    </row>
    <row r="3407" spans="1:28" s="4" customFormat="1" ht="51.95" customHeight="1">
      <c r="A3407" s="5">
        <v>0</v>
      </c>
      <c r="B3407" s="6" t="s">
        <v>20449</v>
      </c>
      <c r="C3407" s="13">
        <v>2440</v>
      </c>
      <c r="D3407" s="8" t="s">
        <v>20450</v>
      </c>
      <c r="E3407" s="8" t="s">
        <v>20451</v>
      </c>
      <c r="F3407" s="8" t="s">
        <v>11508</v>
      </c>
      <c r="G3407" s="6" t="s">
        <v>52</v>
      </c>
      <c r="H3407" s="6" t="s">
        <v>53</v>
      </c>
      <c r="I3407" s="8" t="s">
        <v>7025</v>
      </c>
      <c r="J3407" s="9">
        <v>1</v>
      </c>
      <c r="K3407" s="9">
        <v>487</v>
      </c>
      <c r="L3407" s="9">
        <v>2025</v>
      </c>
      <c r="M3407" s="8" t="s">
        <v>20452</v>
      </c>
      <c r="N3407" s="8" t="s">
        <v>79</v>
      </c>
      <c r="O3407" s="8" t="s">
        <v>396</v>
      </c>
      <c r="P3407" s="6" t="s">
        <v>167</v>
      </c>
      <c r="Q3407" s="8" t="s">
        <v>102</v>
      </c>
      <c r="R3407" s="10" t="s">
        <v>20453</v>
      </c>
      <c r="S3407" s="11" t="s">
        <v>20454</v>
      </c>
      <c r="T3407" s="6"/>
      <c r="U3407" s="24" t="str">
        <f>HYPERLINK("https://media.infra-m.ru/2171/2171238/cover/2171238.jpg", "Обложка")</f>
        <v>Обложка</v>
      </c>
      <c r="V3407" s="24" t="str">
        <f>HYPERLINK("https://znanium.ru/catalog/product/2171238", "Ознакомиться")</f>
        <v>Ознакомиться</v>
      </c>
      <c r="W3407" s="8" t="s">
        <v>784</v>
      </c>
      <c r="X3407" s="6"/>
      <c r="Y3407" s="6"/>
      <c r="Z3407" s="6" t="s">
        <v>104</v>
      </c>
      <c r="AA3407" s="6" t="s">
        <v>1374</v>
      </c>
      <c r="AB3407" s="8"/>
    </row>
    <row r="3408" spans="1:28" s="4" customFormat="1" ht="51.95" customHeight="1">
      <c r="A3408" s="5">
        <v>0</v>
      </c>
      <c r="B3408" s="6" t="s">
        <v>20455</v>
      </c>
      <c r="C3408" s="13">
        <v>1420</v>
      </c>
      <c r="D3408" s="8" t="s">
        <v>20456</v>
      </c>
      <c r="E3408" s="8" t="s">
        <v>20451</v>
      </c>
      <c r="F3408" s="8" t="s">
        <v>20457</v>
      </c>
      <c r="G3408" s="6" t="s">
        <v>52</v>
      </c>
      <c r="H3408" s="6" t="s">
        <v>53</v>
      </c>
      <c r="I3408" s="8" t="s">
        <v>90</v>
      </c>
      <c r="J3408" s="9">
        <v>10</v>
      </c>
      <c r="K3408" s="9">
        <v>487</v>
      </c>
      <c r="L3408" s="9">
        <v>2018</v>
      </c>
      <c r="M3408" s="8" t="s">
        <v>20458</v>
      </c>
      <c r="N3408" s="8" t="s">
        <v>79</v>
      </c>
      <c r="O3408" s="8" t="s">
        <v>396</v>
      </c>
      <c r="P3408" s="6" t="s">
        <v>167</v>
      </c>
      <c r="Q3408" s="8" t="s">
        <v>44</v>
      </c>
      <c r="R3408" s="10" t="s">
        <v>20459</v>
      </c>
      <c r="S3408" s="11" t="s">
        <v>20460</v>
      </c>
      <c r="T3408" s="6"/>
      <c r="U3408" s="24" t="str">
        <f>HYPERLINK("https://media.infra-m.ru/0914/0914488/cover/914488.jpg", "Обложка")</f>
        <v>Обложка</v>
      </c>
      <c r="V3408" s="24" t="str">
        <f>HYPERLINK("https://znanium.ru/catalog/product/914488", "Ознакомиться")</f>
        <v>Ознакомиться</v>
      </c>
      <c r="W3408" s="8" t="s">
        <v>784</v>
      </c>
      <c r="X3408" s="6"/>
      <c r="Y3408" s="6"/>
      <c r="Z3408" s="6"/>
      <c r="AA3408" s="6" t="s">
        <v>160</v>
      </c>
      <c r="AB3408" s="8"/>
    </row>
    <row r="3409" spans="1:28" s="4" customFormat="1" ht="51.95" customHeight="1">
      <c r="A3409" s="5">
        <v>0</v>
      </c>
      <c r="B3409" s="6" t="s">
        <v>20461</v>
      </c>
      <c r="C3409" s="13">
        <v>1564</v>
      </c>
      <c r="D3409" s="8" t="s">
        <v>20462</v>
      </c>
      <c r="E3409" s="8" t="s">
        <v>20463</v>
      </c>
      <c r="F3409" s="8" t="s">
        <v>20464</v>
      </c>
      <c r="G3409" s="6" t="s">
        <v>89</v>
      </c>
      <c r="H3409" s="6" t="s">
        <v>53</v>
      </c>
      <c r="I3409" s="8" t="s">
        <v>90</v>
      </c>
      <c r="J3409" s="9">
        <v>1</v>
      </c>
      <c r="K3409" s="9">
        <v>295</v>
      </c>
      <c r="L3409" s="9">
        <v>2025</v>
      </c>
      <c r="M3409" s="8" t="s">
        <v>20465</v>
      </c>
      <c r="N3409" s="8" t="s">
        <v>79</v>
      </c>
      <c r="O3409" s="8" t="s">
        <v>684</v>
      </c>
      <c r="P3409" s="6" t="s">
        <v>167</v>
      </c>
      <c r="Q3409" s="8" t="s">
        <v>44</v>
      </c>
      <c r="R3409" s="10" t="s">
        <v>5343</v>
      </c>
      <c r="S3409" s="11" t="s">
        <v>20466</v>
      </c>
      <c r="T3409" s="6"/>
      <c r="U3409" s="24" t="str">
        <f>HYPERLINK("https://media.infra-m.ru/2084/2084209/cover/2084209.jpg", "Обложка")</f>
        <v>Обложка</v>
      </c>
      <c r="V3409" s="24" t="str">
        <f>HYPERLINK("https://znanium.ru/catalog/product/1058537", "Ознакомиться")</f>
        <v>Ознакомиться</v>
      </c>
      <c r="W3409" s="8" t="s">
        <v>20467</v>
      </c>
      <c r="X3409" s="6"/>
      <c r="Y3409" s="6"/>
      <c r="Z3409" s="6"/>
      <c r="AA3409" s="6" t="s">
        <v>513</v>
      </c>
      <c r="AB3409" s="8"/>
    </row>
    <row r="3410" spans="1:28" s="4" customFormat="1" ht="51.95" customHeight="1">
      <c r="A3410" s="5">
        <v>0</v>
      </c>
      <c r="B3410" s="6" t="s">
        <v>20468</v>
      </c>
      <c r="C3410" s="13">
        <v>1534</v>
      </c>
      <c r="D3410" s="8" t="s">
        <v>20469</v>
      </c>
      <c r="E3410" s="8" t="s">
        <v>20463</v>
      </c>
      <c r="F3410" s="8" t="s">
        <v>20470</v>
      </c>
      <c r="G3410" s="6" t="s">
        <v>89</v>
      </c>
      <c r="H3410" s="6" t="s">
        <v>53</v>
      </c>
      <c r="I3410" s="8" t="s">
        <v>100</v>
      </c>
      <c r="J3410" s="9">
        <v>1</v>
      </c>
      <c r="K3410" s="9">
        <v>295</v>
      </c>
      <c r="L3410" s="9">
        <v>2025</v>
      </c>
      <c r="M3410" s="8" t="s">
        <v>20471</v>
      </c>
      <c r="N3410" s="8" t="s">
        <v>79</v>
      </c>
      <c r="O3410" s="8" t="s">
        <v>684</v>
      </c>
      <c r="P3410" s="6" t="s">
        <v>167</v>
      </c>
      <c r="Q3410" s="8" t="s">
        <v>102</v>
      </c>
      <c r="R3410" s="10" t="s">
        <v>20472</v>
      </c>
      <c r="S3410" s="11" t="s">
        <v>20473</v>
      </c>
      <c r="T3410" s="6"/>
      <c r="U3410" s="24" t="str">
        <f>HYPERLINK("https://media.infra-m.ru/2187/2187042/cover/2187042.jpg", "Обложка")</f>
        <v>Обложка</v>
      </c>
      <c r="V3410" s="24" t="str">
        <f>HYPERLINK("https://znanium.ru/catalog/product/2103199", "Ознакомиться")</f>
        <v>Ознакомиться</v>
      </c>
      <c r="W3410" s="8"/>
      <c r="X3410" s="6"/>
      <c r="Y3410" s="6"/>
      <c r="Z3410" s="6" t="s">
        <v>104</v>
      </c>
      <c r="AA3410" s="6" t="s">
        <v>513</v>
      </c>
      <c r="AB3410" s="8"/>
    </row>
    <row r="3411" spans="1:28" s="4" customFormat="1" ht="51.95" customHeight="1">
      <c r="A3411" s="5">
        <v>0</v>
      </c>
      <c r="B3411" s="6" t="s">
        <v>20474</v>
      </c>
      <c r="C3411" s="7">
        <v>550</v>
      </c>
      <c r="D3411" s="8" t="s">
        <v>20475</v>
      </c>
      <c r="E3411" s="8" t="s">
        <v>20476</v>
      </c>
      <c r="F3411" s="8" t="s">
        <v>20477</v>
      </c>
      <c r="G3411" s="6" t="s">
        <v>38</v>
      </c>
      <c r="H3411" s="6" t="s">
        <v>53</v>
      </c>
      <c r="I3411" s="8" t="s">
        <v>116</v>
      </c>
      <c r="J3411" s="9">
        <v>1</v>
      </c>
      <c r="K3411" s="9">
        <v>118</v>
      </c>
      <c r="L3411" s="9">
        <v>2024</v>
      </c>
      <c r="M3411" s="8" t="s">
        <v>20478</v>
      </c>
      <c r="N3411" s="8" t="s">
        <v>79</v>
      </c>
      <c r="O3411" s="8" t="s">
        <v>148</v>
      </c>
      <c r="P3411" s="6" t="s">
        <v>43</v>
      </c>
      <c r="Q3411" s="8" t="s">
        <v>44</v>
      </c>
      <c r="R3411" s="10" t="s">
        <v>20479</v>
      </c>
      <c r="S3411" s="11" t="s">
        <v>20480</v>
      </c>
      <c r="T3411" s="6"/>
      <c r="U3411" s="24" t="str">
        <f>HYPERLINK("https://media.infra-m.ru/2091/2091917/cover/2091917.jpg", "Обложка")</f>
        <v>Обложка</v>
      </c>
      <c r="V3411" s="24" t="str">
        <f>HYPERLINK("https://znanium.ru/catalog/product/2091917", "Ознакомиться")</f>
        <v>Ознакомиться</v>
      </c>
      <c r="W3411" s="8" t="s">
        <v>6558</v>
      </c>
      <c r="X3411" s="6"/>
      <c r="Y3411" s="6"/>
      <c r="Z3411" s="6"/>
      <c r="AA3411" s="6" t="s">
        <v>122</v>
      </c>
      <c r="AB3411" s="8"/>
    </row>
    <row r="3412" spans="1:28" s="4" customFormat="1" ht="51.95" customHeight="1">
      <c r="A3412" s="5">
        <v>0</v>
      </c>
      <c r="B3412" s="6" t="s">
        <v>20481</v>
      </c>
      <c r="C3412" s="13">
        <v>2244</v>
      </c>
      <c r="D3412" s="8" t="s">
        <v>20482</v>
      </c>
      <c r="E3412" s="8" t="s">
        <v>20483</v>
      </c>
      <c r="F3412" s="8" t="s">
        <v>20484</v>
      </c>
      <c r="G3412" s="6" t="s">
        <v>52</v>
      </c>
      <c r="H3412" s="6" t="s">
        <v>53</v>
      </c>
      <c r="I3412" s="8" t="s">
        <v>90</v>
      </c>
      <c r="J3412" s="9">
        <v>1</v>
      </c>
      <c r="K3412" s="9">
        <v>432</v>
      </c>
      <c r="L3412" s="9">
        <v>2025</v>
      </c>
      <c r="M3412" s="8" t="s">
        <v>20485</v>
      </c>
      <c r="N3412" s="8" t="s">
        <v>79</v>
      </c>
      <c r="O3412" s="8" t="s">
        <v>396</v>
      </c>
      <c r="P3412" s="6" t="s">
        <v>43</v>
      </c>
      <c r="Q3412" s="8" t="s">
        <v>44</v>
      </c>
      <c r="R3412" s="10" t="s">
        <v>20486</v>
      </c>
      <c r="S3412" s="11" t="s">
        <v>20487</v>
      </c>
      <c r="T3412" s="6"/>
      <c r="U3412" s="24" t="str">
        <f>HYPERLINK("https://media.infra-m.ru/2194/2194363/cover/2194363.jpg", "Обложка")</f>
        <v>Обложка</v>
      </c>
      <c r="V3412" s="24" t="str">
        <f>HYPERLINK("https://znanium.ru/catalog/product/1741366", "Ознакомиться")</f>
        <v>Ознакомиться</v>
      </c>
      <c r="W3412" s="8" t="s">
        <v>334</v>
      </c>
      <c r="X3412" s="6"/>
      <c r="Y3412" s="6"/>
      <c r="Z3412" s="6"/>
      <c r="AA3412" s="6" t="s">
        <v>84</v>
      </c>
      <c r="AB3412" s="8"/>
    </row>
    <row r="3413" spans="1:28" s="4" customFormat="1" ht="51.95" customHeight="1">
      <c r="A3413" s="5">
        <v>0</v>
      </c>
      <c r="B3413" s="6" t="s">
        <v>20488</v>
      </c>
      <c r="C3413" s="13">
        <v>1620</v>
      </c>
      <c r="D3413" s="8" t="s">
        <v>20489</v>
      </c>
      <c r="E3413" s="8" t="s">
        <v>20490</v>
      </c>
      <c r="F3413" s="8" t="s">
        <v>20491</v>
      </c>
      <c r="G3413" s="6" t="s">
        <v>89</v>
      </c>
      <c r="H3413" s="6" t="s">
        <v>53</v>
      </c>
      <c r="I3413" s="8" t="s">
        <v>276</v>
      </c>
      <c r="J3413" s="9">
        <v>1</v>
      </c>
      <c r="K3413" s="9">
        <v>352</v>
      </c>
      <c r="L3413" s="9">
        <v>2024</v>
      </c>
      <c r="M3413" s="8" t="s">
        <v>20492</v>
      </c>
      <c r="N3413" s="8" t="s">
        <v>79</v>
      </c>
      <c r="O3413" s="8" t="s">
        <v>570</v>
      </c>
      <c r="P3413" s="6" t="s">
        <v>43</v>
      </c>
      <c r="Q3413" s="8" t="s">
        <v>279</v>
      </c>
      <c r="R3413" s="10" t="s">
        <v>20493</v>
      </c>
      <c r="S3413" s="11" t="s">
        <v>20494</v>
      </c>
      <c r="T3413" s="6"/>
      <c r="U3413" s="24" t="str">
        <f>HYPERLINK("https://media.infra-m.ru/2094/2094505/cover/2094505.jpg", "Обложка")</f>
        <v>Обложка</v>
      </c>
      <c r="V3413" s="24" t="str">
        <f>HYPERLINK("https://znanium.ru/catalog/product/2094505", "Ознакомиться")</f>
        <v>Ознакомиться</v>
      </c>
      <c r="W3413" s="8" t="s">
        <v>20495</v>
      </c>
      <c r="X3413" s="6"/>
      <c r="Y3413" s="6"/>
      <c r="Z3413" s="6"/>
      <c r="AA3413" s="6" t="s">
        <v>160</v>
      </c>
      <c r="AB3413" s="8"/>
    </row>
    <row r="3414" spans="1:28" s="4" customFormat="1" ht="51.95" customHeight="1">
      <c r="A3414" s="5">
        <v>0</v>
      </c>
      <c r="B3414" s="6" t="s">
        <v>20496</v>
      </c>
      <c r="C3414" s="7">
        <v>980</v>
      </c>
      <c r="D3414" s="8" t="s">
        <v>20497</v>
      </c>
      <c r="E3414" s="8" t="s">
        <v>20498</v>
      </c>
      <c r="F3414" s="8" t="s">
        <v>20499</v>
      </c>
      <c r="G3414" s="6" t="s">
        <v>89</v>
      </c>
      <c r="H3414" s="6" t="s">
        <v>53</v>
      </c>
      <c r="I3414" s="8" t="s">
        <v>100</v>
      </c>
      <c r="J3414" s="9">
        <v>1</v>
      </c>
      <c r="K3414" s="9">
        <v>208</v>
      </c>
      <c r="L3414" s="9">
        <v>2024</v>
      </c>
      <c r="M3414" s="8" t="s">
        <v>20500</v>
      </c>
      <c r="N3414" s="8" t="s">
        <v>79</v>
      </c>
      <c r="O3414" s="8" t="s">
        <v>424</v>
      </c>
      <c r="P3414" s="6" t="s">
        <v>167</v>
      </c>
      <c r="Q3414" s="8" t="s">
        <v>102</v>
      </c>
      <c r="R3414" s="10" t="s">
        <v>20501</v>
      </c>
      <c r="S3414" s="11" t="s">
        <v>10987</v>
      </c>
      <c r="T3414" s="6"/>
      <c r="U3414" s="24" t="str">
        <f>HYPERLINK("https://media.infra-m.ru/2131/2131533/cover/2131533.jpg", "Обложка")</f>
        <v>Обложка</v>
      </c>
      <c r="V3414" s="24" t="str">
        <f>HYPERLINK("https://znanium.ru/catalog/product/2131533", "Ознакомиться")</f>
        <v>Ознакомиться</v>
      </c>
      <c r="W3414" s="8" t="s">
        <v>478</v>
      </c>
      <c r="X3414" s="6"/>
      <c r="Y3414" s="6"/>
      <c r="Z3414" s="6"/>
      <c r="AA3414" s="6" t="s">
        <v>3065</v>
      </c>
      <c r="AB3414" s="8"/>
    </row>
    <row r="3415" spans="1:28" s="4" customFormat="1" ht="51.95" customHeight="1">
      <c r="A3415" s="5">
        <v>0</v>
      </c>
      <c r="B3415" s="6" t="s">
        <v>20502</v>
      </c>
      <c r="C3415" s="13">
        <v>1994.9</v>
      </c>
      <c r="D3415" s="8" t="s">
        <v>20503</v>
      </c>
      <c r="E3415" s="8" t="s">
        <v>20504</v>
      </c>
      <c r="F3415" s="8" t="s">
        <v>20505</v>
      </c>
      <c r="G3415" s="6" t="s">
        <v>52</v>
      </c>
      <c r="H3415" s="6" t="s">
        <v>53</v>
      </c>
      <c r="I3415" s="8" t="s">
        <v>90</v>
      </c>
      <c r="J3415" s="9">
        <v>1</v>
      </c>
      <c r="K3415" s="9">
        <v>446</v>
      </c>
      <c r="L3415" s="9">
        <v>2023</v>
      </c>
      <c r="M3415" s="8" t="s">
        <v>20506</v>
      </c>
      <c r="N3415" s="8" t="s">
        <v>79</v>
      </c>
      <c r="O3415" s="8" t="s">
        <v>396</v>
      </c>
      <c r="P3415" s="6" t="s">
        <v>43</v>
      </c>
      <c r="Q3415" s="8" t="s">
        <v>44</v>
      </c>
      <c r="R3415" s="10" t="s">
        <v>20507</v>
      </c>
      <c r="S3415" s="11" t="s">
        <v>20508</v>
      </c>
      <c r="T3415" s="6"/>
      <c r="U3415" s="24" t="str">
        <f>HYPERLINK("https://media.infra-m.ru/1938/1938029/cover/1938029.jpg", "Обложка")</f>
        <v>Обложка</v>
      </c>
      <c r="V3415" s="24" t="str">
        <f>HYPERLINK("https://znanium.ru/catalog/product/1039342", "Ознакомиться")</f>
        <v>Ознакомиться</v>
      </c>
      <c r="W3415" s="8" t="s">
        <v>5825</v>
      </c>
      <c r="X3415" s="6"/>
      <c r="Y3415" s="6"/>
      <c r="Z3415" s="6"/>
      <c r="AA3415" s="6" t="s">
        <v>84</v>
      </c>
      <c r="AB3415" s="8"/>
    </row>
    <row r="3416" spans="1:28" s="4" customFormat="1" ht="51.95" customHeight="1">
      <c r="A3416" s="5">
        <v>0</v>
      </c>
      <c r="B3416" s="6" t="s">
        <v>20509</v>
      </c>
      <c r="C3416" s="13">
        <v>1324</v>
      </c>
      <c r="D3416" s="8" t="s">
        <v>20510</v>
      </c>
      <c r="E3416" s="8" t="s">
        <v>20511</v>
      </c>
      <c r="F3416" s="8" t="s">
        <v>20512</v>
      </c>
      <c r="G3416" s="6" t="s">
        <v>52</v>
      </c>
      <c r="H3416" s="6" t="s">
        <v>53</v>
      </c>
      <c r="I3416" s="8" t="s">
        <v>100</v>
      </c>
      <c r="J3416" s="9">
        <v>1</v>
      </c>
      <c r="K3416" s="9">
        <v>295</v>
      </c>
      <c r="L3416" s="9">
        <v>2023</v>
      </c>
      <c r="M3416" s="8" t="s">
        <v>20513</v>
      </c>
      <c r="N3416" s="8" t="s">
        <v>79</v>
      </c>
      <c r="O3416" s="8" t="s">
        <v>396</v>
      </c>
      <c r="P3416" s="6" t="s">
        <v>167</v>
      </c>
      <c r="Q3416" s="8" t="s">
        <v>102</v>
      </c>
      <c r="R3416" s="10" t="s">
        <v>20514</v>
      </c>
      <c r="S3416" s="11" t="s">
        <v>20515</v>
      </c>
      <c r="T3416" s="6"/>
      <c r="U3416" s="24" t="str">
        <f>HYPERLINK("https://media.infra-m.ru/1976/1976153/cover/1976153.jpg", "Обложка")</f>
        <v>Обложка</v>
      </c>
      <c r="V3416" s="24" t="str">
        <f>HYPERLINK("https://znanium.ru/catalog/product/1018415", "Ознакомиться")</f>
        <v>Ознакомиться</v>
      </c>
      <c r="W3416" s="8" t="s">
        <v>450</v>
      </c>
      <c r="X3416" s="6"/>
      <c r="Y3416" s="6"/>
      <c r="Z3416" s="6" t="s">
        <v>104</v>
      </c>
      <c r="AA3416" s="6" t="s">
        <v>258</v>
      </c>
      <c r="AB3416" s="8"/>
    </row>
    <row r="3417" spans="1:28" s="4" customFormat="1" ht="51.95" customHeight="1">
      <c r="A3417" s="5">
        <v>0</v>
      </c>
      <c r="B3417" s="6" t="s">
        <v>20516</v>
      </c>
      <c r="C3417" s="13">
        <v>1324.9</v>
      </c>
      <c r="D3417" s="8" t="s">
        <v>20517</v>
      </c>
      <c r="E3417" s="8" t="s">
        <v>20511</v>
      </c>
      <c r="F3417" s="8" t="s">
        <v>20512</v>
      </c>
      <c r="G3417" s="6" t="s">
        <v>52</v>
      </c>
      <c r="H3417" s="6" t="s">
        <v>53</v>
      </c>
      <c r="I3417" s="8" t="s">
        <v>90</v>
      </c>
      <c r="J3417" s="9">
        <v>1</v>
      </c>
      <c r="K3417" s="9">
        <v>295</v>
      </c>
      <c r="L3417" s="9">
        <v>2023</v>
      </c>
      <c r="M3417" s="8" t="s">
        <v>20518</v>
      </c>
      <c r="N3417" s="8" t="s">
        <v>79</v>
      </c>
      <c r="O3417" s="8" t="s">
        <v>396</v>
      </c>
      <c r="P3417" s="6" t="s">
        <v>167</v>
      </c>
      <c r="Q3417" s="8" t="s">
        <v>44</v>
      </c>
      <c r="R3417" s="10" t="s">
        <v>20519</v>
      </c>
      <c r="S3417" s="11" t="s">
        <v>20520</v>
      </c>
      <c r="T3417" s="6"/>
      <c r="U3417" s="24" t="str">
        <f>HYPERLINK("https://media.infra-m.ru/1913/1913705/cover/1913705.jpg", "Обложка")</f>
        <v>Обложка</v>
      </c>
      <c r="V3417" s="24" t="str">
        <f>HYPERLINK("https://znanium.ru/catalog/product/1037766", "Ознакомиться")</f>
        <v>Ознакомиться</v>
      </c>
      <c r="W3417" s="8" t="s">
        <v>450</v>
      </c>
      <c r="X3417" s="6"/>
      <c r="Y3417" s="6"/>
      <c r="Z3417" s="6"/>
      <c r="AA3417" s="6" t="s">
        <v>442</v>
      </c>
      <c r="AB3417" s="8"/>
    </row>
    <row r="3418" spans="1:28" s="4" customFormat="1" ht="51.95" customHeight="1">
      <c r="A3418" s="5">
        <v>0</v>
      </c>
      <c r="B3418" s="6" t="s">
        <v>20521</v>
      </c>
      <c r="C3418" s="13">
        <v>2980</v>
      </c>
      <c r="D3418" s="8" t="s">
        <v>20522</v>
      </c>
      <c r="E3418" s="8" t="s">
        <v>20523</v>
      </c>
      <c r="F3418" s="8" t="s">
        <v>20524</v>
      </c>
      <c r="G3418" s="6" t="s">
        <v>89</v>
      </c>
      <c r="H3418" s="6" t="s">
        <v>53</v>
      </c>
      <c r="I3418" s="8" t="s">
        <v>116</v>
      </c>
      <c r="J3418" s="9">
        <v>1</v>
      </c>
      <c r="K3418" s="9">
        <v>683</v>
      </c>
      <c r="L3418" s="9">
        <v>2020</v>
      </c>
      <c r="M3418" s="8" t="s">
        <v>20525</v>
      </c>
      <c r="N3418" s="8" t="s">
        <v>79</v>
      </c>
      <c r="O3418" s="8" t="s">
        <v>396</v>
      </c>
      <c r="P3418" s="6" t="s">
        <v>167</v>
      </c>
      <c r="Q3418" s="8" t="s">
        <v>44</v>
      </c>
      <c r="R3418" s="10" t="s">
        <v>7643</v>
      </c>
      <c r="S3418" s="11" t="s">
        <v>20526</v>
      </c>
      <c r="T3418" s="6" t="s">
        <v>299</v>
      </c>
      <c r="U3418" s="24" t="str">
        <f>HYPERLINK("https://media.infra-m.ru/1949/1949122/cover/1949122.jpg", "Обложка")</f>
        <v>Обложка</v>
      </c>
      <c r="V3418" s="24" t="str">
        <f>HYPERLINK("https://znanium.ru/catalog/product/1949122", "Ознакомиться")</f>
        <v>Ознакомиться</v>
      </c>
      <c r="W3418" s="8" t="s">
        <v>20527</v>
      </c>
      <c r="X3418" s="6"/>
      <c r="Y3418" s="6"/>
      <c r="Z3418" s="6"/>
      <c r="AA3418" s="6" t="s">
        <v>2001</v>
      </c>
      <c r="AB3418" s="8"/>
    </row>
    <row r="3419" spans="1:28" s="4" customFormat="1" ht="51.95" customHeight="1">
      <c r="A3419" s="5">
        <v>0</v>
      </c>
      <c r="B3419" s="6" t="s">
        <v>20528</v>
      </c>
      <c r="C3419" s="13">
        <v>1650</v>
      </c>
      <c r="D3419" s="8" t="s">
        <v>20529</v>
      </c>
      <c r="E3419" s="8" t="s">
        <v>20530</v>
      </c>
      <c r="F3419" s="8" t="s">
        <v>20531</v>
      </c>
      <c r="G3419" s="6" t="s">
        <v>89</v>
      </c>
      <c r="H3419" s="6" t="s">
        <v>53</v>
      </c>
      <c r="I3419" s="8" t="s">
        <v>116</v>
      </c>
      <c r="J3419" s="9">
        <v>1</v>
      </c>
      <c r="K3419" s="9">
        <v>330</v>
      </c>
      <c r="L3419" s="9">
        <v>2025</v>
      </c>
      <c r="M3419" s="8" t="s">
        <v>20532</v>
      </c>
      <c r="N3419" s="8" t="s">
        <v>79</v>
      </c>
      <c r="O3419" s="8" t="s">
        <v>396</v>
      </c>
      <c r="P3419" s="6" t="s">
        <v>43</v>
      </c>
      <c r="Q3419" s="8" t="s">
        <v>44</v>
      </c>
      <c r="R3419" s="10" t="s">
        <v>20533</v>
      </c>
      <c r="S3419" s="11" t="s">
        <v>13413</v>
      </c>
      <c r="T3419" s="6" t="s">
        <v>299</v>
      </c>
      <c r="U3419" s="24" t="str">
        <f>HYPERLINK("https://media.infra-m.ru/2182/2182627/cover/2182627.jpg", "Обложка")</f>
        <v>Обложка</v>
      </c>
      <c r="V3419" s="24" t="str">
        <f>HYPERLINK("https://znanium.ru/catalog/product/2182627", "Ознакомиться")</f>
        <v>Ознакомиться</v>
      </c>
      <c r="W3419" s="8" t="s">
        <v>4838</v>
      </c>
      <c r="X3419" s="6"/>
      <c r="Y3419" s="6"/>
      <c r="Z3419" s="6"/>
      <c r="AA3419" s="6" t="s">
        <v>160</v>
      </c>
      <c r="AB3419" s="8"/>
    </row>
    <row r="3420" spans="1:28" s="4" customFormat="1" ht="51.95" customHeight="1">
      <c r="A3420" s="5">
        <v>0</v>
      </c>
      <c r="B3420" s="6" t="s">
        <v>20534</v>
      </c>
      <c r="C3420" s="13">
        <v>1680</v>
      </c>
      <c r="D3420" s="8" t="s">
        <v>20535</v>
      </c>
      <c r="E3420" s="8" t="s">
        <v>20530</v>
      </c>
      <c r="F3420" s="8" t="s">
        <v>20531</v>
      </c>
      <c r="G3420" s="6" t="s">
        <v>89</v>
      </c>
      <c r="H3420" s="6" t="s">
        <v>53</v>
      </c>
      <c r="I3420" s="8" t="s">
        <v>100</v>
      </c>
      <c r="J3420" s="9">
        <v>1</v>
      </c>
      <c r="K3420" s="9">
        <v>330</v>
      </c>
      <c r="L3420" s="9">
        <v>2025</v>
      </c>
      <c r="M3420" s="8" t="s">
        <v>20536</v>
      </c>
      <c r="N3420" s="8" t="s">
        <v>79</v>
      </c>
      <c r="O3420" s="8" t="s">
        <v>396</v>
      </c>
      <c r="P3420" s="6" t="s">
        <v>43</v>
      </c>
      <c r="Q3420" s="8" t="s">
        <v>102</v>
      </c>
      <c r="R3420" s="10" t="s">
        <v>20514</v>
      </c>
      <c r="S3420" s="11" t="s">
        <v>20537</v>
      </c>
      <c r="T3420" s="6" t="s">
        <v>299</v>
      </c>
      <c r="U3420" s="24" t="str">
        <f>HYPERLINK("https://media.infra-m.ru/2184/2184895/cover/2184895.jpg", "Обложка")</f>
        <v>Обложка</v>
      </c>
      <c r="V3420" s="24" t="str">
        <f>HYPERLINK("https://znanium.ru/catalog/product/2184895", "Ознакомиться")</f>
        <v>Ознакомиться</v>
      </c>
      <c r="W3420" s="8" t="s">
        <v>4838</v>
      </c>
      <c r="X3420" s="6"/>
      <c r="Y3420" s="6"/>
      <c r="Z3420" s="6" t="s">
        <v>104</v>
      </c>
      <c r="AA3420" s="6" t="s">
        <v>95</v>
      </c>
      <c r="AB3420" s="8"/>
    </row>
    <row r="3421" spans="1:28" s="4" customFormat="1" ht="51.95" customHeight="1">
      <c r="A3421" s="5">
        <v>0</v>
      </c>
      <c r="B3421" s="6" t="s">
        <v>20538</v>
      </c>
      <c r="C3421" s="13">
        <v>1354</v>
      </c>
      <c r="D3421" s="8" t="s">
        <v>20539</v>
      </c>
      <c r="E3421" s="8" t="s">
        <v>20511</v>
      </c>
      <c r="F3421" s="8" t="s">
        <v>20540</v>
      </c>
      <c r="G3421" s="6" t="s">
        <v>89</v>
      </c>
      <c r="H3421" s="6" t="s">
        <v>53</v>
      </c>
      <c r="I3421" s="8" t="s">
        <v>90</v>
      </c>
      <c r="J3421" s="9">
        <v>1</v>
      </c>
      <c r="K3421" s="9">
        <v>271</v>
      </c>
      <c r="L3421" s="9">
        <v>2025</v>
      </c>
      <c r="M3421" s="8" t="s">
        <v>20541</v>
      </c>
      <c r="N3421" s="8" t="s">
        <v>79</v>
      </c>
      <c r="O3421" s="8" t="s">
        <v>396</v>
      </c>
      <c r="P3421" s="6" t="s">
        <v>43</v>
      </c>
      <c r="Q3421" s="8" t="s">
        <v>44</v>
      </c>
      <c r="R3421" s="10" t="s">
        <v>20542</v>
      </c>
      <c r="S3421" s="11"/>
      <c r="T3421" s="6"/>
      <c r="U3421" s="24" t="str">
        <f>HYPERLINK("https://media.infra-m.ru/2170/2170109/cover/2170109.jpg", "Обложка")</f>
        <v>Обложка</v>
      </c>
      <c r="V3421" s="24" t="str">
        <f>HYPERLINK("https://znanium.ru/catalog/product/1874272", "Ознакомиться")</f>
        <v>Ознакомиться</v>
      </c>
      <c r="W3421" s="8" t="s">
        <v>462</v>
      </c>
      <c r="X3421" s="6"/>
      <c r="Y3421" s="6"/>
      <c r="Z3421" s="6"/>
      <c r="AA3421" s="6" t="s">
        <v>207</v>
      </c>
      <c r="AB3421" s="8"/>
    </row>
    <row r="3422" spans="1:28" s="4" customFormat="1" ht="51.95" customHeight="1">
      <c r="A3422" s="5">
        <v>0</v>
      </c>
      <c r="B3422" s="6" t="s">
        <v>20543</v>
      </c>
      <c r="C3422" s="13">
        <v>1550</v>
      </c>
      <c r="D3422" s="8" t="s">
        <v>20544</v>
      </c>
      <c r="E3422" s="8" t="s">
        <v>20444</v>
      </c>
      <c r="F3422" s="8" t="s">
        <v>20445</v>
      </c>
      <c r="G3422" s="6" t="s">
        <v>89</v>
      </c>
      <c r="H3422" s="6" t="s">
        <v>53</v>
      </c>
      <c r="I3422" s="8" t="s">
        <v>100</v>
      </c>
      <c r="J3422" s="9">
        <v>1</v>
      </c>
      <c r="K3422" s="9">
        <v>336</v>
      </c>
      <c r="L3422" s="9">
        <v>2024</v>
      </c>
      <c r="M3422" s="8" t="s">
        <v>20545</v>
      </c>
      <c r="N3422" s="8" t="s">
        <v>41</v>
      </c>
      <c r="O3422" s="8" t="s">
        <v>278</v>
      </c>
      <c r="P3422" s="6" t="s">
        <v>43</v>
      </c>
      <c r="Q3422" s="8" t="s">
        <v>102</v>
      </c>
      <c r="R3422" s="10" t="s">
        <v>20546</v>
      </c>
      <c r="S3422" s="11" t="s">
        <v>20547</v>
      </c>
      <c r="T3422" s="6"/>
      <c r="U3422" s="24" t="str">
        <f>HYPERLINK("https://media.infra-m.ru/2079/2079940/cover/2079940.jpg", "Обложка")</f>
        <v>Обложка</v>
      </c>
      <c r="V3422" s="24" t="str">
        <f>HYPERLINK("https://znanium.ru/catalog/product/2079940", "Ознакомиться")</f>
        <v>Ознакомиться</v>
      </c>
      <c r="W3422" s="8" t="s">
        <v>1635</v>
      </c>
      <c r="X3422" s="6"/>
      <c r="Y3422" s="6"/>
      <c r="Z3422" s="6" t="s">
        <v>104</v>
      </c>
      <c r="AA3422" s="6" t="s">
        <v>513</v>
      </c>
      <c r="AB3422" s="8"/>
    </row>
    <row r="3423" spans="1:28" s="4" customFormat="1" ht="51.95" customHeight="1">
      <c r="A3423" s="5">
        <v>0</v>
      </c>
      <c r="B3423" s="6" t="s">
        <v>20548</v>
      </c>
      <c r="C3423" s="13">
        <v>1174</v>
      </c>
      <c r="D3423" s="8" t="s">
        <v>20549</v>
      </c>
      <c r="E3423" s="8" t="s">
        <v>20550</v>
      </c>
      <c r="F3423" s="8" t="s">
        <v>20551</v>
      </c>
      <c r="G3423" s="6" t="s">
        <v>89</v>
      </c>
      <c r="H3423" s="6" t="s">
        <v>53</v>
      </c>
      <c r="I3423" s="8" t="s">
        <v>90</v>
      </c>
      <c r="J3423" s="9">
        <v>1</v>
      </c>
      <c r="K3423" s="9">
        <v>235</v>
      </c>
      <c r="L3423" s="9">
        <v>2025</v>
      </c>
      <c r="M3423" s="8" t="s">
        <v>20552</v>
      </c>
      <c r="N3423" s="8" t="s">
        <v>79</v>
      </c>
      <c r="O3423" s="8" t="s">
        <v>396</v>
      </c>
      <c r="P3423" s="6" t="s">
        <v>43</v>
      </c>
      <c r="Q3423" s="8" t="s">
        <v>44</v>
      </c>
      <c r="R3423" s="10" t="s">
        <v>7643</v>
      </c>
      <c r="S3423" s="11" t="s">
        <v>10842</v>
      </c>
      <c r="T3423" s="6"/>
      <c r="U3423" s="24" t="str">
        <f>HYPERLINK("https://media.infra-m.ru/2179/2179102/cover/2179102.jpg", "Обложка")</f>
        <v>Обложка</v>
      </c>
      <c r="V3423" s="24" t="str">
        <f>HYPERLINK("https://znanium.ru/catalog/product/2124919", "Ознакомиться")</f>
        <v>Ознакомиться</v>
      </c>
      <c r="W3423" s="8" t="s">
        <v>462</v>
      </c>
      <c r="X3423" s="6"/>
      <c r="Y3423" s="6"/>
      <c r="Z3423" s="6"/>
      <c r="AA3423" s="6" t="s">
        <v>151</v>
      </c>
      <c r="AB3423" s="8"/>
    </row>
    <row r="3424" spans="1:28" s="4" customFormat="1" ht="51.95" customHeight="1">
      <c r="A3424" s="5">
        <v>0</v>
      </c>
      <c r="B3424" s="6" t="s">
        <v>20553</v>
      </c>
      <c r="C3424" s="13">
        <v>1184</v>
      </c>
      <c r="D3424" s="8" t="s">
        <v>20554</v>
      </c>
      <c r="E3424" s="8" t="s">
        <v>20550</v>
      </c>
      <c r="F3424" s="8" t="s">
        <v>20551</v>
      </c>
      <c r="G3424" s="6" t="s">
        <v>89</v>
      </c>
      <c r="H3424" s="6" t="s">
        <v>53</v>
      </c>
      <c r="I3424" s="8" t="s">
        <v>100</v>
      </c>
      <c r="J3424" s="9">
        <v>1</v>
      </c>
      <c r="K3424" s="9">
        <v>235</v>
      </c>
      <c r="L3424" s="9">
        <v>2025</v>
      </c>
      <c r="M3424" s="8" t="s">
        <v>20555</v>
      </c>
      <c r="N3424" s="8" t="s">
        <v>79</v>
      </c>
      <c r="O3424" s="8" t="s">
        <v>396</v>
      </c>
      <c r="P3424" s="6" t="s">
        <v>43</v>
      </c>
      <c r="Q3424" s="8" t="s">
        <v>102</v>
      </c>
      <c r="R3424" s="10" t="s">
        <v>20556</v>
      </c>
      <c r="S3424" s="11" t="s">
        <v>20557</v>
      </c>
      <c r="T3424" s="6"/>
      <c r="U3424" s="24" t="str">
        <f>HYPERLINK("https://media.infra-m.ru/2179/2179724/cover/2179724.jpg", "Обложка")</f>
        <v>Обложка</v>
      </c>
      <c r="V3424" s="24" t="str">
        <f>HYPERLINK("https://znanium.ru/catalog/product/2168928", "Ознакомиться")</f>
        <v>Ознакомиться</v>
      </c>
      <c r="W3424" s="8" t="s">
        <v>462</v>
      </c>
      <c r="X3424" s="6"/>
      <c r="Y3424" s="6"/>
      <c r="Z3424" s="6" t="s">
        <v>104</v>
      </c>
      <c r="AA3424" s="6" t="s">
        <v>258</v>
      </c>
      <c r="AB3424" s="8"/>
    </row>
    <row r="3425" spans="1:28" s="4" customFormat="1" ht="51.95" customHeight="1">
      <c r="A3425" s="5">
        <v>0</v>
      </c>
      <c r="B3425" s="6" t="s">
        <v>20558</v>
      </c>
      <c r="C3425" s="7">
        <v>754.9</v>
      </c>
      <c r="D3425" s="8" t="s">
        <v>20559</v>
      </c>
      <c r="E3425" s="8" t="s">
        <v>20560</v>
      </c>
      <c r="F3425" s="8" t="s">
        <v>20561</v>
      </c>
      <c r="G3425" s="6" t="s">
        <v>52</v>
      </c>
      <c r="H3425" s="6" t="s">
        <v>53</v>
      </c>
      <c r="I3425" s="8" t="s">
        <v>20562</v>
      </c>
      <c r="J3425" s="9">
        <v>1</v>
      </c>
      <c r="K3425" s="9">
        <v>168</v>
      </c>
      <c r="L3425" s="9">
        <v>2023</v>
      </c>
      <c r="M3425" s="8" t="s">
        <v>20563</v>
      </c>
      <c r="N3425" s="8" t="s">
        <v>79</v>
      </c>
      <c r="O3425" s="8" t="s">
        <v>396</v>
      </c>
      <c r="P3425" s="6" t="s">
        <v>43</v>
      </c>
      <c r="Q3425" s="8" t="s">
        <v>44</v>
      </c>
      <c r="R3425" s="10" t="s">
        <v>20564</v>
      </c>
      <c r="S3425" s="11" t="s">
        <v>20565</v>
      </c>
      <c r="T3425" s="6"/>
      <c r="U3425" s="24" t="str">
        <f>HYPERLINK("https://media.infra-m.ru/1976/1976143/cover/1976143.jpg", "Обложка")</f>
        <v>Обложка</v>
      </c>
      <c r="V3425" s="24" t="str">
        <f>HYPERLINK("https://znanium.ru/catalog/product/1027837", "Ознакомиться")</f>
        <v>Ознакомиться</v>
      </c>
      <c r="W3425" s="8" t="s">
        <v>20566</v>
      </c>
      <c r="X3425" s="6"/>
      <c r="Y3425" s="6"/>
      <c r="Z3425" s="6"/>
      <c r="AA3425" s="6" t="s">
        <v>793</v>
      </c>
      <c r="AB3425" s="8"/>
    </row>
    <row r="3426" spans="1:28" s="4" customFormat="1" ht="51.95" customHeight="1">
      <c r="A3426" s="5">
        <v>0</v>
      </c>
      <c r="B3426" s="6" t="s">
        <v>20567</v>
      </c>
      <c r="C3426" s="13">
        <v>1244.9000000000001</v>
      </c>
      <c r="D3426" s="8" t="s">
        <v>20568</v>
      </c>
      <c r="E3426" s="8" t="s">
        <v>20569</v>
      </c>
      <c r="F3426" s="8" t="s">
        <v>20570</v>
      </c>
      <c r="G3426" s="6" t="s">
        <v>89</v>
      </c>
      <c r="H3426" s="6" t="s">
        <v>53</v>
      </c>
      <c r="I3426" s="8" t="s">
        <v>90</v>
      </c>
      <c r="J3426" s="9">
        <v>1</v>
      </c>
      <c r="K3426" s="9">
        <v>271</v>
      </c>
      <c r="L3426" s="9">
        <v>2022</v>
      </c>
      <c r="M3426" s="8" t="s">
        <v>20571</v>
      </c>
      <c r="N3426" s="8" t="s">
        <v>79</v>
      </c>
      <c r="O3426" s="8" t="s">
        <v>396</v>
      </c>
      <c r="P3426" s="6" t="s">
        <v>43</v>
      </c>
      <c r="Q3426" s="8" t="s">
        <v>44</v>
      </c>
      <c r="R3426" s="10" t="s">
        <v>20572</v>
      </c>
      <c r="S3426" s="11" t="s">
        <v>20573</v>
      </c>
      <c r="T3426" s="6"/>
      <c r="U3426" s="24" t="str">
        <f>HYPERLINK("https://media.infra-m.ru/1949/1949100/cover/1949100.jpg", "Обложка")</f>
        <v>Обложка</v>
      </c>
      <c r="V3426" s="24" t="str">
        <f>HYPERLINK("https://znanium.ru/catalog/product/1913861", "Ознакомиться")</f>
        <v>Ознакомиться</v>
      </c>
      <c r="W3426" s="8" t="s">
        <v>462</v>
      </c>
      <c r="X3426" s="6"/>
      <c r="Y3426" s="6"/>
      <c r="Z3426" s="6"/>
      <c r="AA3426" s="6" t="s">
        <v>235</v>
      </c>
      <c r="AB3426" s="8"/>
    </row>
    <row r="3427" spans="1:28" s="4" customFormat="1" ht="51.95" customHeight="1">
      <c r="A3427" s="5">
        <v>0</v>
      </c>
      <c r="B3427" s="6" t="s">
        <v>20574</v>
      </c>
      <c r="C3427" s="13">
        <v>1020</v>
      </c>
      <c r="D3427" s="8" t="s">
        <v>20575</v>
      </c>
      <c r="E3427" s="8" t="s">
        <v>20576</v>
      </c>
      <c r="F3427" s="8" t="s">
        <v>20577</v>
      </c>
      <c r="G3427" s="6" t="s">
        <v>89</v>
      </c>
      <c r="H3427" s="6" t="s">
        <v>53</v>
      </c>
      <c r="I3427" s="8" t="s">
        <v>100</v>
      </c>
      <c r="J3427" s="9">
        <v>1</v>
      </c>
      <c r="K3427" s="9">
        <v>221</v>
      </c>
      <c r="L3427" s="9">
        <v>2023</v>
      </c>
      <c r="M3427" s="8" t="s">
        <v>20578</v>
      </c>
      <c r="N3427" s="8" t="s">
        <v>41</v>
      </c>
      <c r="O3427" s="8" t="s">
        <v>278</v>
      </c>
      <c r="P3427" s="6" t="s">
        <v>43</v>
      </c>
      <c r="Q3427" s="8" t="s">
        <v>102</v>
      </c>
      <c r="R3427" s="10" t="s">
        <v>20579</v>
      </c>
      <c r="S3427" s="11" t="s">
        <v>20580</v>
      </c>
      <c r="T3427" s="6"/>
      <c r="U3427" s="24" t="str">
        <f>HYPERLINK("https://media.infra-m.ru/1976/1976197/cover/1976197.jpg", "Обложка")</f>
        <v>Обложка</v>
      </c>
      <c r="V3427" s="24" t="str">
        <f>HYPERLINK("https://znanium.ru/catalog/product/1976197", "Ознакомиться")</f>
        <v>Ознакомиться</v>
      </c>
      <c r="W3427" s="8" t="s">
        <v>3226</v>
      </c>
      <c r="X3427" s="6"/>
      <c r="Y3427" s="6"/>
      <c r="Z3427" s="6"/>
      <c r="AA3427" s="6" t="s">
        <v>793</v>
      </c>
      <c r="AB3427" s="8" t="s">
        <v>2344</v>
      </c>
    </row>
    <row r="3428" spans="1:28" s="4" customFormat="1" ht="51.95" customHeight="1">
      <c r="A3428" s="5">
        <v>0</v>
      </c>
      <c r="B3428" s="6" t="s">
        <v>20581</v>
      </c>
      <c r="C3428" s="13">
        <v>1404</v>
      </c>
      <c r="D3428" s="8" t="s">
        <v>20582</v>
      </c>
      <c r="E3428" s="8" t="s">
        <v>20583</v>
      </c>
      <c r="F3428" s="8" t="s">
        <v>20584</v>
      </c>
      <c r="G3428" s="6" t="s">
        <v>89</v>
      </c>
      <c r="H3428" s="6" t="s">
        <v>53</v>
      </c>
      <c r="I3428" s="8" t="s">
        <v>90</v>
      </c>
      <c r="J3428" s="9">
        <v>1</v>
      </c>
      <c r="K3428" s="9">
        <v>280</v>
      </c>
      <c r="L3428" s="9">
        <v>2025</v>
      </c>
      <c r="M3428" s="8" t="s">
        <v>20585</v>
      </c>
      <c r="N3428" s="8" t="s">
        <v>79</v>
      </c>
      <c r="O3428" s="8" t="s">
        <v>174</v>
      </c>
      <c r="P3428" s="6" t="s">
        <v>43</v>
      </c>
      <c r="Q3428" s="8" t="s">
        <v>44</v>
      </c>
      <c r="R3428" s="10" t="s">
        <v>20586</v>
      </c>
      <c r="S3428" s="11" t="s">
        <v>20587</v>
      </c>
      <c r="T3428" s="6"/>
      <c r="U3428" s="24" t="str">
        <f>HYPERLINK("https://media.infra-m.ru/2181/2181551/cover/2181551.jpg", "Обложка")</f>
        <v>Обложка</v>
      </c>
      <c r="V3428" s="24" t="str">
        <f>HYPERLINK("https://znanium.ru/catalog/product/2175128", "Ознакомиться")</f>
        <v>Ознакомиться</v>
      </c>
      <c r="W3428" s="8"/>
      <c r="X3428" s="6"/>
      <c r="Y3428" s="6"/>
      <c r="Z3428" s="6"/>
      <c r="AA3428" s="6" t="s">
        <v>418</v>
      </c>
      <c r="AB3428" s="8"/>
    </row>
    <row r="3429" spans="1:28" s="4" customFormat="1" ht="51.95" customHeight="1">
      <c r="A3429" s="5">
        <v>0</v>
      </c>
      <c r="B3429" s="6" t="s">
        <v>20588</v>
      </c>
      <c r="C3429" s="7">
        <v>984.9</v>
      </c>
      <c r="D3429" s="8" t="s">
        <v>20589</v>
      </c>
      <c r="E3429" s="8" t="s">
        <v>20590</v>
      </c>
      <c r="F3429" s="8" t="s">
        <v>20591</v>
      </c>
      <c r="G3429" s="6" t="s">
        <v>52</v>
      </c>
      <c r="H3429" s="6" t="s">
        <v>53</v>
      </c>
      <c r="I3429" s="8" t="s">
        <v>90</v>
      </c>
      <c r="J3429" s="9">
        <v>1</v>
      </c>
      <c r="K3429" s="9">
        <v>336</v>
      </c>
      <c r="L3429" s="9">
        <v>2018</v>
      </c>
      <c r="M3429" s="8" t="s">
        <v>20592</v>
      </c>
      <c r="N3429" s="8" t="s">
        <v>79</v>
      </c>
      <c r="O3429" s="8" t="s">
        <v>424</v>
      </c>
      <c r="P3429" s="6" t="s">
        <v>167</v>
      </c>
      <c r="Q3429" s="8" t="s">
        <v>44</v>
      </c>
      <c r="R3429" s="10" t="s">
        <v>20593</v>
      </c>
      <c r="S3429" s="11" t="s">
        <v>20594</v>
      </c>
      <c r="T3429" s="6"/>
      <c r="U3429" s="24" t="str">
        <f>HYPERLINK("https://media.infra-m.ru/0920/0920552/cover/920552.jpg", "Обложка")</f>
        <v>Обложка</v>
      </c>
      <c r="V3429" s="24" t="str">
        <f>HYPERLINK("https://znanium.ru/catalog/product/2125018", "Ознакомиться")</f>
        <v>Ознакомиться</v>
      </c>
      <c r="W3429" s="8" t="s">
        <v>2938</v>
      </c>
      <c r="X3429" s="6"/>
      <c r="Y3429" s="6"/>
      <c r="Z3429" s="6"/>
      <c r="AA3429" s="6" t="s">
        <v>84</v>
      </c>
      <c r="AB3429" s="8"/>
    </row>
    <row r="3430" spans="1:28" s="4" customFormat="1" ht="51.95" customHeight="1">
      <c r="A3430" s="5">
        <v>0</v>
      </c>
      <c r="B3430" s="6" t="s">
        <v>20595</v>
      </c>
      <c r="C3430" s="13">
        <v>1514.9</v>
      </c>
      <c r="D3430" s="8" t="s">
        <v>20596</v>
      </c>
      <c r="E3430" s="8" t="s">
        <v>20590</v>
      </c>
      <c r="F3430" s="8" t="s">
        <v>20597</v>
      </c>
      <c r="G3430" s="6" t="s">
        <v>52</v>
      </c>
      <c r="H3430" s="6" t="s">
        <v>53</v>
      </c>
      <c r="I3430" s="8" t="s">
        <v>100</v>
      </c>
      <c r="J3430" s="9">
        <v>1</v>
      </c>
      <c r="K3430" s="9">
        <v>336</v>
      </c>
      <c r="L3430" s="9">
        <v>2023</v>
      </c>
      <c r="M3430" s="8" t="s">
        <v>20598</v>
      </c>
      <c r="N3430" s="8" t="s">
        <v>79</v>
      </c>
      <c r="O3430" s="8" t="s">
        <v>424</v>
      </c>
      <c r="P3430" s="6" t="s">
        <v>167</v>
      </c>
      <c r="Q3430" s="8" t="s">
        <v>102</v>
      </c>
      <c r="R3430" s="10" t="s">
        <v>20599</v>
      </c>
      <c r="S3430" s="11" t="s">
        <v>20600</v>
      </c>
      <c r="T3430" s="6"/>
      <c r="U3430" s="24" t="str">
        <f>HYPERLINK("https://media.infra-m.ru/2030/2030872/cover/2030872.jpg", "Обложка")</f>
        <v>Обложка</v>
      </c>
      <c r="V3430" s="24" t="str">
        <f>HYPERLINK("https://znanium.ru/catalog/product/1069050", "Ознакомиться")</f>
        <v>Ознакомиться</v>
      </c>
      <c r="W3430" s="8" t="s">
        <v>2938</v>
      </c>
      <c r="X3430" s="6"/>
      <c r="Y3430" s="6"/>
      <c r="Z3430" s="6" t="s">
        <v>104</v>
      </c>
      <c r="AA3430" s="6" t="s">
        <v>258</v>
      </c>
      <c r="AB3430" s="8"/>
    </row>
    <row r="3431" spans="1:28" s="4" customFormat="1" ht="51.95" customHeight="1">
      <c r="A3431" s="5">
        <v>0</v>
      </c>
      <c r="B3431" s="6" t="s">
        <v>20601</v>
      </c>
      <c r="C3431" s="13">
        <v>2834</v>
      </c>
      <c r="D3431" s="8" t="s">
        <v>20602</v>
      </c>
      <c r="E3431" s="8" t="s">
        <v>20603</v>
      </c>
      <c r="F3431" s="8" t="s">
        <v>20604</v>
      </c>
      <c r="G3431" s="6" t="s">
        <v>52</v>
      </c>
      <c r="H3431" s="6" t="s">
        <v>53</v>
      </c>
      <c r="I3431" s="8" t="s">
        <v>100</v>
      </c>
      <c r="J3431" s="9">
        <v>1</v>
      </c>
      <c r="K3431" s="9">
        <v>567</v>
      </c>
      <c r="L3431" s="9">
        <v>2025</v>
      </c>
      <c r="M3431" s="8" t="s">
        <v>20605</v>
      </c>
      <c r="N3431" s="8" t="s">
        <v>41</v>
      </c>
      <c r="O3431" s="8" t="s">
        <v>278</v>
      </c>
      <c r="P3431" s="6" t="s">
        <v>43</v>
      </c>
      <c r="Q3431" s="8" t="s">
        <v>102</v>
      </c>
      <c r="R3431" s="10" t="s">
        <v>2779</v>
      </c>
      <c r="S3431" s="11" t="s">
        <v>20606</v>
      </c>
      <c r="T3431" s="6"/>
      <c r="U3431" s="24" t="str">
        <f>HYPERLINK("https://media.infra-m.ru/2169/2169214/cover/2169214.jpg", "Обложка")</f>
        <v>Обложка</v>
      </c>
      <c r="V3431" s="24" t="str">
        <f>HYPERLINK("https://znanium.ru/catalog/product/2105785", "Ознакомиться")</f>
        <v>Ознакомиться</v>
      </c>
      <c r="W3431" s="8" t="s">
        <v>71</v>
      </c>
      <c r="X3431" s="6"/>
      <c r="Y3431" s="6"/>
      <c r="Z3431" s="6"/>
      <c r="AA3431" s="6" t="s">
        <v>219</v>
      </c>
      <c r="AB3431" s="8"/>
    </row>
    <row r="3432" spans="1:28" s="4" customFormat="1" ht="42" customHeight="1">
      <c r="A3432" s="5">
        <v>0</v>
      </c>
      <c r="B3432" s="6" t="s">
        <v>20607</v>
      </c>
      <c r="C3432" s="13">
        <v>1530</v>
      </c>
      <c r="D3432" s="8" t="s">
        <v>20608</v>
      </c>
      <c r="E3432" s="8" t="s">
        <v>20609</v>
      </c>
      <c r="F3432" s="8" t="s">
        <v>20610</v>
      </c>
      <c r="G3432" s="6" t="s">
        <v>89</v>
      </c>
      <c r="H3432" s="6" t="s">
        <v>53</v>
      </c>
      <c r="I3432" s="8" t="s">
        <v>100</v>
      </c>
      <c r="J3432" s="9">
        <v>1</v>
      </c>
      <c r="K3432" s="9">
        <v>306</v>
      </c>
      <c r="L3432" s="9">
        <v>2025</v>
      </c>
      <c r="M3432" s="8" t="s">
        <v>20611</v>
      </c>
      <c r="N3432" s="8" t="s">
        <v>41</v>
      </c>
      <c r="O3432" s="8" t="s">
        <v>278</v>
      </c>
      <c r="P3432" s="6" t="s">
        <v>167</v>
      </c>
      <c r="Q3432" s="8" t="s">
        <v>102</v>
      </c>
      <c r="R3432" s="10" t="s">
        <v>2326</v>
      </c>
      <c r="S3432" s="11"/>
      <c r="T3432" s="6"/>
      <c r="U3432" s="24" t="str">
        <f>HYPERLINK("https://media.infra-m.ru/2174/2174268/cover/2174268.jpg", "Обложка")</f>
        <v>Обложка</v>
      </c>
      <c r="V3432" s="24" t="str">
        <f>HYPERLINK("https://znanium.ru/catalog/product/2174268", "Ознакомиться")</f>
        <v>Ознакомиться</v>
      </c>
      <c r="W3432" s="8" t="s">
        <v>20612</v>
      </c>
      <c r="X3432" s="6"/>
      <c r="Y3432" s="6"/>
      <c r="Z3432" s="6"/>
      <c r="AA3432" s="6" t="s">
        <v>133</v>
      </c>
      <c r="AB3432" s="8"/>
    </row>
    <row r="3433" spans="1:28" s="4" customFormat="1" ht="42" customHeight="1">
      <c r="A3433" s="5">
        <v>0</v>
      </c>
      <c r="B3433" s="6" t="s">
        <v>20613</v>
      </c>
      <c r="C3433" s="13">
        <v>1320</v>
      </c>
      <c r="D3433" s="8" t="s">
        <v>20614</v>
      </c>
      <c r="E3433" s="8" t="s">
        <v>20615</v>
      </c>
      <c r="F3433" s="8" t="s">
        <v>20616</v>
      </c>
      <c r="G3433" s="6" t="s">
        <v>89</v>
      </c>
      <c r="H3433" s="6" t="s">
        <v>53</v>
      </c>
      <c r="I3433" s="8" t="s">
        <v>100</v>
      </c>
      <c r="J3433" s="9">
        <v>1</v>
      </c>
      <c r="K3433" s="9">
        <v>264</v>
      </c>
      <c r="L3433" s="9">
        <v>2025</v>
      </c>
      <c r="M3433" s="8" t="s">
        <v>20617</v>
      </c>
      <c r="N3433" s="8" t="s">
        <v>79</v>
      </c>
      <c r="O3433" s="8" t="s">
        <v>570</v>
      </c>
      <c r="P3433" s="6" t="s">
        <v>43</v>
      </c>
      <c r="Q3433" s="8" t="s">
        <v>102</v>
      </c>
      <c r="R3433" s="10" t="s">
        <v>20618</v>
      </c>
      <c r="S3433" s="11"/>
      <c r="T3433" s="6"/>
      <c r="U3433" s="24" t="str">
        <f>HYPERLINK("https://media.infra-m.ru/2163/2163030/cover/2163030.jpg", "Обложка")</f>
        <v>Обложка</v>
      </c>
      <c r="V3433" s="24" t="str">
        <f>HYPERLINK("https://znanium.ru/catalog/product/2163030", "Ознакомиться")</f>
        <v>Ознакомиться</v>
      </c>
      <c r="W3433" s="8" t="s">
        <v>8022</v>
      </c>
      <c r="X3433" s="6" t="s">
        <v>1049</v>
      </c>
      <c r="Y3433" s="6"/>
      <c r="Z3433" s="6" t="s">
        <v>104</v>
      </c>
      <c r="AA3433" s="6" t="s">
        <v>61</v>
      </c>
      <c r="AB3433" s="8"/>
    </row>
    <row r="3434" spans="1:28" s="4" customFormat="1" ht="51.95" customHeight="1">
      <c r="A3434" s="5">
        <v>0</v>
      </c>
      <c r="B3434" s="6" t="s">
        <v>20619</v>
      </c>
      <c r="C3434" s="13">
        <v>1470</v>
      </c>
      <c r="D3434" s="8" t="s">
        <v>20620</v>
      </c>
      <c r="E3434" s="8" t="s">
        <v>20621</v>
      </c>
      <c r="F3434" s="8" t="s">
        <v>20622</v>
      </c>
      <c r="G3434" s="6" t="s">
        <v>89</v>
      </c>
      <c r="H3434" s="6" t="s">
        <v>53</v>
      </c>
      <c r="I3434" s="8" t="s">
        <v>100</v>
      </c>
      <c r="J3434" s="9">
        <v>1</v>
      </c>
      <c r="K3434" s="9">
        <v>213</v>
      </c>
      <c r="L3434" s="9">
        <v>2025</v>
      </c>
      <c r="M3434" s="8" t="s">
        <v>20623</v>
      </c>
      <c r="N3434" s="8" t="s">
        <v>41</v>
      </c>
      <c r="O3434" s="8" t="s">
        <v>676</v>
      </c>
      <c r="P3434" s="6" t="s">
        <v>167</v>
      </c>
      <c r="Q3434" s="8" t="s">
        <v>102</v>
      </c>
      <c r="R3434" s="10" t="s">
        <v>256</v>
      </c>
      <c r="S3434" s="11" t="s">
        <v>17591</v>
      </c>
      <c r="T3434" s="6"/>
      <c r="U3434" s="24" t="str">
        <f>HYPERLINK("https://media.infra-m.ru/2200/2200968/cover/2200968.jpg", "Обложка")</f>
        <v>Обложка</v>
      </c>
      <c r="V3434" s="24" t="str">
        <f>HYPERLINK("https://znanium.ru/catalog/product/2200968", "Ознакомиться")</f>
        <v>Ознакомиться</v>
      </c>
      <c r="W3434" s="8" t="s">
        <v>20624</v>
      </c>
      <c r="X3434" s="6"/>
      <c r="Y3434" s="6"/>
      <c r="Z3434" s="6"/>
      <c r="AA3434" s="6" t="s">
        <v>207</v>
      </c>
      <c r="AB3434" s="8" t="s">
        <v>12026</v>
      </c>
    </row>
    <row r="3435" spans="1:28" s="4" customFormat="1" ht="42" customHeight="1">
      <c r="A3435" s="5">
        <v>0</v>
      </c>
      <c r="B3435" s="6" t="s">
        <v>20625</v>
      </c>
      <c r="C3435" s="13">
        <v>1744</v>
      </c>
      <c r="D3435" s="8" t="s">
        <v>20626</v>
      </c>
      <c r="E3435" s="8" t="s">
        <v>20627</v>
      </c>
      <c r="F3435" s="8" t="s">
        <v>20628</v>
      </c>
      <c r="G3435" s="6" t="s">
        <v>52</v>
      </c>
      <c r="H3435" s="6" t="s">
        <v>53</v>
      </c>
      <c r="I3435" s="8" t="s">
        <v>116</v>
      </c>
      <c r="J3435" s="9">
        <v>1</v>
      </c>
      <c r="K3435" s="9">
        <v>326</v>
      </c>
      <c r="L3435" s="9">
        <v>2025</v>
      </c>
      <c r="M3435" s="8" t="s">
        <v>20629</v>
      </c>
      <c r="N3435" s="8" t="s">
        <v>41</v>
      </c>
      <c r="O3435" s="8" t="s">
        <v>118</v>
      </c>
      <c r="P3435" s="6" t="s">
        <v>43</v>
      </c>
      <c r="Q3435" s="8" t="s">
        <v>44</v>
      </c>
      <c r="R3435" s="10" t="s">
        <v>1709</v>
      </c>
      <c r="S3435" s="11"/>
      <c r="T3435" s="6"/>
      <c r="U3435" s="24" t="str">
        <f>HYPERLINK("https://media.infra-m.ru/2188/2188410/cover/2188410.jpg", "Обложка")</f>
        <v>Обложка</v>
      </c>
      <c r="V3435" s="24" t="str">
        <f>HYPERLINK("https://znanium.ru/catalog/product/1487718", "Ознакомиться")</f>
        <v>Ознакомиться</v>
      </c>
      <c r="W3435" s="8" t="s">
        <v>2878</v>
      </c>
      <c r="X3435" s="6"/>
      <c r="Y3435" s="6"/>
      <c r="Z3435" s="6"/>
      <c r="AA3435" s="6" t="s">
        <v>207</v>
      </c>
      <c r="AB3435" s="8"/>
    </row>
    <row r="3436" spans="1:28" s="4" customFormat="1" ht="51.95" customHeight="1">
      <c r="A3436" s="5">
        <v>0</v>
      </c>
      <c r="B3436" s="6" t="s">
        <v>20630</v>
      </c>
      <c r="C3436" s="13">
        <v>1220</v>
      </c>
      <c r="D3436" s="8" t="s">
        <v>20631</v>
      </c>
      <c r="E3436" s="8" t="s">
        <v>20615</v>
      </c>
      <c r="F3436" s="8" t="s">
        <v>20616</v>
      </c>
      <c r="G3436" s="6" t="s">
        <v>89</v>
      </c>
      <c r="H3436" s="6" t="s">
        <v>53</v>
      </c>
      <c r="I3436" s="8" t="s">
        <v>116</v>
      </c>
      <c r="J3436" s="9">
        <v>1</v>
      </c>
      <c r="K3436" s="9">
        <v>264</v>
      </c>
      <c r="L3436" s="9">
        <v>2024</v>
      </c>
      <c r="M3436" s="8" t="s">
        <v>20632</v>
      </c>
      <c r="N3436" s="8" t="s">
        <v>79</v>
      </c>
      <c r="O3436" s="8" t="s">
        <v>570</v>
      </c>
      <c r="P3436" s="6" t="s">
        <v>43</v>
      </c>
      <c r="Q3436" s="8" t="s">
        <v>44</v>
      </c>
      <c r="R3436" s="10" t="s">
        <v>20633</v>
      </c>
      <c r="S3436" s="11" t="s">
        <v>20634</v>
      </c>
      <c r="T3436" s="6"/>
      <c r="U3436" s="24" t="str">
        <f>HYPERLINK("https://media.infra-m.ru/2125/2125182/cover/2125182.jpg", "Обложка")</f>
        <v>Обложка</v>
      </c>
      <c r="V3436" s="24" t="str">
        <f>HYPERLINK("https://znanium.ru/catalog/product/2125182", "Ознакомиться")</f>
        <v>Ознакомиться</v>
      </c>
      <c r="W3436" s="8" t="s">
        <v>8022</v>
      </c>
      <c r="X3436" s="6"/>
      <c r="Y3436" s="6"/>
      <c r="Z3436" s="6"/>
      <c r="AA3436" s="6" t="s">
        <v>111</v>
      </c>
      <c r="AB3436" s="8"/>
    </row>
    <row r="3437" spans="1:28" s="4" customFormat="1" ht="51.95" customHeight="1">
      <c r="A3437" s="5">
        <v>0</v>
      </c>
      <c r="B3437" s="6" t="s">
        <v>20635</v>
      </c>
      <c r="C3437" s="13">
        <v>2220</v>
      </c>
      <c r="D3437" s="8" t="s">
        <v>20636</v>
      </c>
      <c r="E3437" s="8" t="s">
        <v>20637</v>
      </c>
      <c r="F3437" s="8" t="s">
        <v>20638</v>
      </c>
      <c r="G3437" s="6" t="s">
        <v>52</v>
      </c>
      <c r="H3437" s="6" t="s">
        <v>53</v>
      </c>
      <c r="I3437" s="8" t="s">
        <v>116</v>
      </c>
      <c r="J3437" s="9">
        <v>1</v>
      </c>
      <c r="K3437" s="9">
        <v>440</v>
      </c>
      <c r="L3437" s="9">
        <v>2025</v>
      </c>
      <c r="M3437" s="8" t="s">
        <v>20639</v>
      </c>
      <c r="N3437" s="8" t="s">
        <v>41</v>
      </c>
      <c r="O3437" s="8" t="s">
        <v>118</v>
      </c>
      <c r="P3437" s="6" t="s">
        <v>167</v>
      </c>
      <c r="Q3437" s="8" t="s">
        <v>44</v>
      </c>
      <c r="R3437" s="10" t="s">
        <v>20640</v>
      </c>
      <c r="S3437" s="11" t="s">
        <v>20641</v>
      </c>
      <c r="T3437" s="6" t="s">
        <v>299</v>
      </c>
      <c r="U3437" s="24" t="str">
        <f>HYPERLINK("https://media.infra-m.ru/2184/2184949/cover/2184949.jpg", "Обложка")</f>
        <v>Обложка</v>
      </c>
      <c r="V3437" s="24" t="str">
        <f>HYPERLINK("https://znanium.ru/catalog/product/2184949", "Ознакомиться")</f>
        <v>Ознакомиться</v>
      </c>
      <c r="W3437" s="8" t="s">
        <v>1345</v>
      </c>
      <c r="X3437" s="6"/>
      <c r="Y3437" s="6"/>
      <c r="Z3437" s="6"/>
      <c r="AA3437" s="6" t="s">
        <v>644</v>
      </c>
      <c r="AB3437" s="8"/>
    </row>
    <row r="3438" spans="1:28" s="4" customFormat="1" ht="51.95" customHeight="1">
      <c r="A3438" s="5">
        <v>0</v>
      </c>
      <c r="B3438" s="6" t="s">
        <v>20642</v>
      </c>
      <c r="C3438" s="13">
        <v>1620</v>
      </c>
      <c r="D3438" s="8" t="s">
        <v>20643</v>
      </c>
      <c r="E3438" s="8" t="s">
        <v>20644</v>
      </c>
      <c r="F3438" s="8" t="s">
        <v>19387</v>
      </c>
      <c r="G3438" s="6" t="s">
        <v>89</v>
      </c>
      <c r="H3438" s="6" t="s">
        <v>53</v>
      </c>
      <c r="I3438" s="8" t="s">
        <v>116</v>
      </c>
      <c r="J3438" s="9">
        <v>1</v>
      </c>
      <c r="K3438" s="9">
        <v>352</v>
      </c>
      <c r="L3438" s="9">
        <v>2024</v>
      </c>
      <c r="M3438" s="8" t="s">
        <v>20645</v>
      </c>
      <c r="N3438" s="8" t="s">
        <v>41</v>
      </c>
      <c r="O3438" s="8" t="s">
        <v>118</v>
      </c>
      <c r="P3438" s="6" t="s">
        <v>43</v>
      </c>
      <c r="Q3438" s="8" t="s">
        <v>58</v>
      </c>
      <c r="R3438" s="10" t="s">
        <v>20646</v>
      </c>
      <c r="S3438" s="11" t="s">
        <v>20647</v>
      </c>
      <c r="T3438" s="6"/>
      <c r="U3438" s="24" t="str">
        <f>HYPERLINK("https://media.infra-m.ru/2113/2113856/cover/2113856.jpg", "Обложка")</f>
        <v>Обложка</v>
      </c>
      <c r="V3438" s="24" t="str">
        <f>HYPERLINK("https://znanium.ru/catalog/product/2113856", "Ознакомиться")</f>
        <v>Ознакомиться</v>
      </c>
      <c r="W3438" s="8" t="s">
        <v>15752</v>
      </c>
      <c r="X3438" s="6"/>
      <c r="Y3438" s="6"/>
      <c r="Z3438" s="6"/>
      <c r="AA3438" s="6" t="s">
        <v>244</v>
      </c>
      <c r="AB3438" s="8"/>
    </row>
    <row r="3439" spans="1:28" s="4" customFormat="1" ht="51.95" customHeight="1">
      <c r="A3439" s="5">
        <v>0</v>
      </c>
      <c r="B3439" s="6" t="s">
        <v>20648</v>
      </c>
      <c r="C3439" s="13">
        <v>1140</v>
      </c>
      <c r="D3439" s="8" t="s">
        <v>20649</v>
      </c>
      <c r="E3439" s="8" t="s">
        <v>20650</v>
      </c>
      <c r="F3439" s="8" t="s">
        <v>20651</v>
      </c>
      <c r="G3439" s="6" t="s">
        <v>89</v>
      </c>
      <c r="H3439" s="6" t="s">
        <v>53</v>
      </c>
      <c r="I3439" s="8" t="s">
        <v>116</v>
      </c>
      <c r="J3439" s="9">
        <v>1</v>
      </c>
      <c r="K3439" s="9">
        <v>248</v>
      </c>
      <c r="L3439" s="9">
        <v>2024</v>
      </c>
      <c r="M3439" s="8" t="s">
        <v>20652</v>
      </c>
      <c r="N3439" s="8" t="s">
        <v>41</v>
      </c>
      <c r="O3439" s="8" t="s">
        <v>118</v>
      </c>
      <c r="P3439" s="6" t="s">
        <v>43</v>
      </c>
      <c r="Q3439" s="8" t="s">
        <v>44</v>
      </c>
      <c r="R3439" s="10" t="s">
        <v>20653</v>
      </c>
      <c r="S3439" s="11" t="s">
        <v>20654</v>
      </c>
      <c r="T3439" s="6"/>
      <c r="U3439" s="24" t="str">
        <f>HYPERLINK("https://media.infra-m.ru/2036/2036547/cover/2036547.jpg", "Обложка")</f>
        <v>Обложка</v>
      </c>
      <c r="V3439" s="12"/>
      <c r="W3439" s="8" t="s">
        <v>4083</v>
      </c>
      <c r="X3439" s="6"/>
      <c r="Y3439" s="6"/>
      <c r="Z3439" s="6"/>
      <c r="AA3439" s="6" t="s">
        <v>326</v>
      </c>
      <c r="AB3439" s="8"/>
    </row>
    <row r="3440" spans="1:28" s="4" customFormat="1" ht="42" customHeight="1">
      <c r="A3440" s="5">
        <v>0</v>
      </c>
      <c r="B3440" s="6" t="s">
        <v>20655</v>
      </c>
      <c r="C3440" s="13">
        <v>1100</v>
      </c>
      <c r="D3440" s="8" t="s">
        <v>20656</v>
      </c>
      <c r="E3440" s="8" t="s">
        <v>20657</v>
      </c>
      <c r="F3440" s="8" t="s">
        <v>4113</v>
      </c>
      <c r="G3440" s="6" t="s">
        <v>52</v>
      </c>
      <c r="H3440" s="6" t="s">
        <v>53</v>
      </c>
      <c r="I3440" s="8" t="s">
        <v>116</v>
      </c>
      <c r="J3440" s="9">
        <v>1</v>
      </c>
      <c r="K3440" s="9">
        <v>220</v>
      </c>
      <c r="L3440" s="9">
        <v>2024</v>
      </c>
      <c r="M3440" s="8" t="s">
        <v>20658</v>
      </c>
      <c r="N3440" s="8" t="s">
        <v>41</v>
      </c>
      <c r="O3440" s="8" t="s">
        <v>118</v>
      </c>
      <c r="P3440" s="6" t="s">
        <v>43</v>
      </c>
      <c r="Q3440" s="8" t="s">
        <v>44</v>
      </c>
      <c r="R3440" s="10" t="s">
        <v>1319</v>
      </c>
      <c r="S3440" s="11"/>
      <c r="T3440" s="6"/>
      <c r="U3440" s="24" t="str">
        <f>HYPERLINK("https://media.infra-m.ru/1907/1907109/cover/1907109.jpg", "Обложка")</f>
        <v>Обложка</v>
      </c>
      <c r="V3440" s="24" t="str">
        <f>HYPERLINK("https://znanium.ru/catalog/product/1907109", "Ознакомиться")</f>
        <v>Ознакомиться</v>
      </c>
      <c r="W3440" s="8" t="s">
        <v>1345</v>
      </c>
      <c r="X3440" s="6" t="s">
        <v>3761</v>
      </c>
      <c r="Y3440" s="6"/>
      <c r="Z3440" s="6"/>
      <c r="AA3440" s="6" t="s">
        <v>133</v>
      </c>
      <c r="AB3440" s="8"/>
    </row>
    <row r="3441" spans="1:28" s="4" customFormat="1" ht="51.95" customHeight="1">
      <c r="A3441" s="5">
        <v>0</v>
      </c>
      <c r="B3441" s="6" t="s">
        <v>20659</v>
      </c>
      <c r="C3441" s="7">
        <v>864.9</v>
      </c>
      <c r="D3441" s="8" t="s">
        <v>20660</v>
      </c>
      <c r="E3441" s="8" t="s">
        <v>20661</v>
      </c>
      <c r="F3441" s="8" t="s">
        <v>20662</v>
      </c>
      <c r="G3441" s="6" t="s">
        <v>52</v>
      </c>
      <c r="H3441" s="6" t="s">
        <v>53</v>
      </c>
      <c r="I3441" s="8" t="s">
        <v>276</v>
      </c>
      <c r="J3441" s="9">
        <v>1</v>
      </c>
      <c r="K3441" s="9">
        <v>192</v>
      </c>
      <c r="L3441" s="9">
        <v>2023</v>
      </c>
      <c r="M3441" s="8" t="s">
        <v>20663</v>
      </c>
      <c r="N3441" s="8" t="s">
        <v>41</v>
      </c>
      <c r="O3441" s="8" t="s">
        <v>118</v>
      </c>
      <c r="P3441" s="6" t="s">
        <v>167</v>
      </c>
      <c r="Q3441" s="8" t="s">
        <v>279</v>
      </c>
      <c r="R3441" s="10" t="s">
        <v>1008</v>
      </c>
      <c r="S3441" s="11" t="s">
        <v>20664</v>
      </c>
      <c r="T3441" s="6"/>
      <c r="U3441" s="24" t="str">
        <f>HYPERLINK("https://media.infra-m.ru/2036/2036447/cover/2036447.jpg", "Обложка")</f>
        <v>Обложка</v>
      </c>
      <c r="V3441" s="24" t="str">
        <f>HYPERLINK("https://znanium.ru/catalog/product/1078233", "Ознакомиться")</f>
        <v>Ознакомиться</v>
      </c>
      <c r="W3441" s="8" t="s">
        <v>947</v>
      </c>
      <c r="X3441" s="6"/>
      <c r="Y3441" s="6"/>
      <c r="Z3441" s="6"/>
      <c r="AA3441" s="6" t="s">
        <v>793</v>
      </c>
      <c r="AB3441" s="8"/>
    </row>
    <row r="3442" spans="1:28" s="4" customFormat="1" ht="51.95" customHeight="1">
      <c r="A3442" s="5">
        <v>0</v>
      </c>
      <c r="B3442" s="6" t="s">
        <v>20665</v>
      </c>
      <c r="C3442" s="13">
        <v>1364</v>
      </c>
      <c r="D3442" s="8" t="s">
        <v>20666</v>
      </c>
      <c r="E3442" s="8" t="s">
        <v>20667</v>
      </c>
      <c r="F3442" s="8" t="s">
        <v>9730</v>
      </c>
      <c r="G3442" s="6" t="s">
        <v>52</v>
      </c>
      <c r="H3442" s="6" t="s">
        <v>53</v>
      </c>
      <c r="I3442" s="8" t="s">
        <v>90</v>
      </c>
      <c r="J3442" s="9">
        <v>1</v>
      </c>
      <c r="K3442" s="9">
        <v>302</v>
      </c>
      <c r="L3442" s="9">
        <v>2023</v>
      </c>
      <c r="M3442" s="8" t="s">
        <v>20668</v>
      </c>
      <c r="N3442" s="8" t="s">
        <v>41</v>
      </c>
      <c r="O3442" s="8" t="s">
        <v>118</v>
      </c>
      <c r="P3442" s="6" t="s">
        <v>167</v>
      </c>
      <c r="Q3442" s="8" t="s">
        <v>44</v>
      </c>
      <c r="R3442" s="10" t="s">
        <v>15769</v>
      </c>
      <c r="S3442" s="11" t="s">
        <v>20669</v>
      </c>
      <c r="T3442" s="6"/>
      <c r="U3442" s="24" t="str">
        <f>HYPERLINK("https://media.infra-m.ru/2021/2021474/cover/2021474.jpg", "Обложка")</f>
        <v>Обложка</v>
      </c>
      <c r="V3442" s="24" t="str">
        <f>HYPERLINK("https://znanium.ru/catalog/product/1009600", "Ознакомиться")</f>
        <v>Ознакомиться</v>
      </c>
      <c r="W3442" s="8" t="s">
        <v>8621</v>
      </c>
      <c r="X3442" s="6"/>
      <c r="Y3442" s="6"/>
      <c r="Z3442" s="6"/>
      <c r="AA3442" s="6" t="s">
        <v>258</v>
      </c>
      <c r="AB3442" s="8"/>
    </row>
    <row r="3443" spans="1:28" s="4" customFormat="1" ht="51.95" customHeight="1">
      <c r="A3443" s="5">
        <v>0</v>
      </c>
      <c r="B3443" s="6" t="s">
        <v>20670</v>
      </c>
      <c r="C3443" s="7">
        <v>934</v>
      </c>
      <c r="D3443" s="8" t="s">
        <v>20671</v>
      </c>
      <c r="E3443" s="8" t="s">
        <v>20672</v>
      </c>
      <c r="F3443" s="8" t="s">
        <v>20673</v>
      </c>
      <c r="G3443" s="6" t="s">
        <v>89</v>
      </c>
      <c r="H3443" s="6" t="s">
        <v>53</v>
      </c>
      <c r="I3443" s="8" t="s">
        <v>100</v>
      </c>
      <c r="J3443" s="9">
        <v>1</v>
      </c>
      <c r="K3443" s="9">
        <v>179</v>
      </c>
      <c r="L3443" s="9">
        <v>2025</v>
      </c>
      <c r="M3443" s="8" t="s">
        <v>20674</v>
      </c>
      <c r="N3443" s="8" t="s">
        <v>997</v>
      </c>
      <c r="O3443" s="8" t="s">
        <v>998</v>
      </c>
      <c r="P3443" s="6" t="s">
        <v>43</v>
      </c>
      <c r="Q3443" s="8" t="s">
        <v>102</v>
      </c>
      <c r="R3443" s="10" t="s">
        <v>20675</v>
      </c>
      <c r="S3443" s="11" t="s">
        <v>20676</v>
      </c>
      <c r="T3443" s="6" t="s">
        <v>299</v>
      </c>
      <c r="U3443" s="24" t="str">
        <f>HYPERLINK("https://media.infra-m.ru/2197/2197795/cover/2197795.jpg", "Обложка")</f>
        <v>Обложка</v>
      </c>
      <c r="V3443" s="24" t="str">
        <f>HYPERLINK("https://znanium.ru/catalog/product/1039173", "Ознакомиться")</f>
        <v>Ознакомиться</v>
      </c>
      <c r="W3443" s="8" t="s">
        <v>20677</v>
      </c>
      <c r="X3443" s="6"/>
      <c r="Y3443" s="6"/>
      <c r="Z3443" s="6"/>
      <c r="AA3443" s="6" t="s">
        <v>258</v>
      </c>
      <c r="AB3443" s="8"/>
    </row>
    <row r="3444" spans="1:28" s="4" customFormat="1" ht="51.95" customHeight="1">
      <c r="A3444" s="5">
        <v>0</v>
      </c>
      <c r="B3444" s="6" t="s">
        <v>20678</v>
      </c>
      <c r="C3444" s="13">
        <v>1064</v>
      </c>
      <c r="D3444" s="8" t="s">
        <v>20679</v>
      </c>
      <c r="E3444" s="8" t="s">
        <v>20680</v>
      </c>
      <c r="F3444" s="8" t="s">
        <v>20681</v>
      </c>
      <c r="G3444" s="6" t="s">
        <v>89</v>
      </c>
      <c r="H3444" s="6" t="s">
        <v>53</v>
      </c>
      <c r="I3444" s="8" t="s">
        <v>90</v>
      </c>
      <c r="J3444" s="9">
        <v>1</v>
      </c>
      <c r="K3444" s="9">
        <v>205</v>
      </c>
      <c r="L3444" s="9">
        <v>2025</v>
      </c>
      <c r="M3444" s="8" t="s">
        <v>20682</v>
      </c>
      <c r="N3444" s="8" t="s">
        <v>79</v>
      </c>
      <c r="O3444" s="8" t="s">
        <v>174</v>
      </c>
      <c r="P3444" s="6" t="s">
        <v>43</v>
      </c>
      <c r="Q3444" s="8" t="s">
        <v>44</v>
      </c>
      <c r="R3444" s="10" t="s">
        <v>20683</v>
      </c>
      <c r="S3444" s="11" t="s">
        <v>20684</v>
      </c>
      <c r="T3444" s="6"/>
      <c r="U3444" s="24" t="str">
        <f>HYPERLINK("https://media.infra-m.ru/2196/2196964/cover/2196964.jpg", "Обложка")</f>
        <v>Обложка</v>
      </c>
      <c r="V3444" s="24" t="str">
        <f>HYPERLINK("https://znanium.ru/catalog/product/1080998", "Ознакомиться")</f>
        <v>Ознакомиться</v>
      </c>
      <c r="W3444" s="8"/>
      <c r="X3444" s="6"/>
      <c r="Y3444" s="6"/>
      <c r="Z3444" s="6"/>
      <c r="AA3444" s="6" t="s">
        <v>47</v>
      </c>
      <c r="AB3444" s="8"/>
    </row>
    <row r="3445" spans="1:28" s="4" customFormat="1" ht="42" customHeight="1">
      <c r="A3445" s="5">
        <v>0</v>
      </c>
      <c r="B3445" s="6" t="s">
        <v>20685</v>
      </c>
      <c r="C3445" s="13">
        <v>1594</v>
      </c>
      <c r="D3445" s="8" t="s">
        <v>20686</v>
      </c>
      <c r="E3445" s="8" t="s">
        <v>20687</v>
      </c>
      <c r="F3445" s="8" t="s">
        <v>20688</v>
      </c>
      <c r="G3445" s="6" t="s">
        <v>89</v>
      </c>
      <c r="H3445" s="6" t="s">
        <v>53</v>
      </c>
      <c r="I3445" s="8" t="s">
        <v>90</v>
      </c>
      <c r="J3445" s="9">
        <v>1</v>
      </c>
      <c r="K3445" s="9">
        <v>320</v>
      </c>
      <c r="L3445" s="9">
        <v>2025</v>
      </c>
      <c r="M3445" s="8" t="s">
        <v>20689</v>
      </c>
      <c r="N3445" s="8" t="s">
        <v>79</v>
      </c>
      <c r="O3445" s="8" t="s">
        <v>684</v>
      </c>
      <c r="P3445" s="6" t="s">
        <v>167</v>
      </c>
      <c r="Q3445" s="8" t="s">
        <v>44</v>
      </c>
      <c r="R3445" s="10" t="s">
        <v>4408</v>
      </c>
      <c r="S3445" s="11"/>
      <c r="T3445" s="6"/>
      <c r="U3445" s="24" t="str">
        <f>HYPERLINK("https://media.infra-m.ru/2169/2169215/cover/2169215.jpg", "Обложка")</f>
        <v>Обложка</v>
      </c>
      <c r="V3445" s="24" t="str">
        <f>HYPERLINK("https://znanium.ru/catalog/product/2094497", "Ознакомиться")</f>
        <v>Ознакомиться</v>
      </c>
      <c r="W3445" s="8" t="s">
        <v>5635</v>
      </c>
      <c r="X3445" s="6"/>
      <c r="Y3445" s="6"/>
      <c r="Z3445" s="6"/>
      <c r="AA3445" s="6" t="s">
        <v>111</v>
      </c>
      <c r="AB3445" s="8"/>
    </row>
    <row r="3446" spans="1:28" s="4" customFormat="1" ht="51.95" customHeight="1">
      <c r="A3446" s="5">
        <v>0</v>
      </c>
      <c r="B3446" s="6" t="s">
        <v>20690</v>
      </c>
      <c r="C3446" s="7">
        <v>744</v>
      </c>
      <c r="D3446" s="8" t="s">
        <v>20691</v>
      </c>
      <c r="E3446" s="8" t="s">
        <v>20692</v>
      </c>
      <c r="F3446" s="8" t="s">
        <v>20693</v>
      </c>
      <c r="G3446" s="6" t="s">
        <v>38</v>
      </c>
      <c r="H3446" s="6" t="s">
        <v>53</v>
      </c>
      <c r="I3446" s="8" t="s">
        <v>116</v>
      </c>
      <c r="J3446" s="9">
        <v>1</v>
      </c>
      <c r="K3446" s="9">
        <v>159</v>
      </c>
      <c r="L3446" s="9">
        <v>2022</v>
      </c>
      <c r="M3446" s="8" t="s">
        <v>20694</v>
      </c>
      <c r="N3446" s="8" t="s">
        <v>56</v>
      </c>
      <c r="O3446" s="8" t="s">
        <v>4042</v>
      </c>
      <c r="P3446" s="6" t="s">
        <v>43</v>
      </c>
      <c r="Q3446" s="8" t="s">
        <v>44</v>
      </c>
      <c r="R3446" s="10" t="s">
        <v>20695</v>
      </c>
      <c r="S3446" s="11" t="s">
        <v>20696</v>
      </c>
      <c r="T3446" s="6"/>
      <c r="U3446" s="24" t="str">
        <f>HYPERLINK("https://media.infra-m.ru/2113/2113815/cover/2113815.jpg", "Обложка")</f>
        <v>Обложка</v>
      </c>
      <c r="V3446" s="24" t="str">
        <f>HYPERLINK("https://znanium.ru/catalog/product/2113812", "Ознакомиться")</f>
        <v>Ознакомиться</v>
      </c>
      <c r="W3446" s="8" t="s">
        <v>2392</v>
      </c>
      <c r="X3446" s="6"/>
      <c r="Y3446" s="6"/>
      <c r="Z3446" s="6"/>
      <c r="AA3446" s="6" t="s">
        <v>47</v>
      </c>
      <c r="AB3446" s="8"/>
    </row>
    <row r="3447" spans="1:28" s="4" customFormat="1" ht="51.95" customHeight="1">
      <c r="A3447" s="5">
        <v>0</v>
      </c>
      <c r="B3447" s="6" t="s">
        <v>20697</v>
      </c>
      <c r="C3447" s="13">
        <v>2504</v>
      </c>
      <c r="D3447" s="8" t="s">
        <v>20698</v>
      </c>
      <c r="E3447" s="8" t="s">
        <v>20699</v>
      </c>
      <c r="F3447" s="8" t="s">
        <v>20700</v>
      </c>
      <c r="G3447" s="6" t="s">
        <v>89</v>
      </c>
      <c r="H3447" s="6" t="s">
        <v>649</v>
      </c>
      <c r="I3447" s="8" t="s">
        <v>100</v>
      </c>
      <c r="J3447" s="9">
        <v>1</v>
      </c>
      <c r="K3447" s="9">
        <v>480</v>
      </c>
      <c r="L3447" s="9">
        <v>2025</v>
      </c>
      <c r="M3447" s="8" t="s">
        <v>20701</v>
      </c>
      <c r="N3447" s="8" t="s">
        <v>56</v>
      </c>
      <c r="O3447" s="8" t="s">
        <v>4042</v>
      </c>
      <c r="P3447" s="6" t="s">
        <v>167</v>
      </c>
      <c r="Q3447" s="8" t="s">
        <v>102</v>
      </c>
      <c r="R3447" s="10" t="s">
        <v>20702</v>
      </c>
      <c r="S3447" s="11" t="s">
        <v>12862</v>
      </c>
      <c r="T3447" s="6"/>
      <c r="U3447" s="24" t="str">
        <f>HYPERLINK("https://media.infra-m.ru/2185/2185912/cover/2185912.jpg", "Обложка")</f>
        <v>Обложка</v>
      </c>
      <c r="V3447" s="24" t="str">
        <f>HYPERLINK("https://znanium.ru/catalog/product/2149582", "Ознакомиться")</f>
        <v>Ознакомиться</v>
      </c>
      <c r="W3447" s="8" t="s">
        <v>12172</v>
      </c>
      <c r="X3447" s="6"/>
      <c r="Y3447" s="6"/>
      <c r="Z3447" s="6"/>
      <c r="AA3447" s="6" t="s">
        <v>555</v>
      </c>
      <c r="AB3447" s="8"/>
    </row>
    <row r="3448" spans="1:28" s="4" customFormat="1" ht="51.95" customHeight="1">
      <c r="A3448" s="5">
        <v>0</v>
      </c>
      <c r="B3448" s="6" t="s">
        <v>20703</v>
      </c>
      <c r="C3448" s="13">
        <v>1534</v>
      </c>
      <c r="D3448" s="8" t="s">
        <v>20704</v>
      </c>
      <c r="E3448" s="8" t="s">
        <v>20699</v>
      </c>
      <c r="F3448" s="8" t="s">
        <v>20705</v>
      </c>
      <c r="G3448" s="6" t="s">
        <v>52</v>
      </c>
      <c r="H3448" s="6" t="s">
        <v>53</v>
      </c>
      <c r="I3448" s="8" t="s">
        <v>100</v>
      </c>
      <c r="J3448" s="9">
        <v>1</v>
      </c>
      <c r="K3448" s="9">
        <v>307</v>
      </c>
      <c r="L3448" s="9">
        <v>2024</v>
      </c>
      <c r="M3448" s="8" t="s">
        <v>20706</v>
      </c>
      <c r="N3448" s="8" t="s">
        <v>56</v>
      </c>
      <c r="O3448" s="8" t="s">
        <v>4042</v>
      </c>
      <c r="P3448" s="6" t="s">
        <v>167</v>
      </c>
      <c r="Q3448" s="8" t="s">
        <v>102</v>
      </c>
      <c r="R3448" s="10" t="s">
        <v>20702</v>
      </c>
      <c r="S3448" s="11" t="s">
        <v>20707</v>
      </c>
      <c r="T3448" s="6"/>
      <c r="U3448" s="24" t="str">
        <f>HYPERLINK("https://media.infra-m.ru/2150/2150739/cover/2150739.jpg", "Обложка")</f>
        <v>Обложка</v>
      </c>
      <c r="V3448" s="24" t="str">
        <f>HYPERLINK("https://znanium.ru/catalog/product/1913196", "Ознакомиться")</f>
        <v>Ознакомиться</v>
      </c>
      <c r="W3448" s="8" t="s">
        <v>6124</v>
      </c>
      <c r="X3448" s="6"/>
      <c r="Y3448" s="6"/>
      <c r="Z3448" s="6"/>
      <c r="AA3448" s="6" t="s">
        <v>219</v>
      </c>
      <c r="AB3448" s="8"/>
    </row>
    <row r="3449" spans="1:28" s="4" customFormat="1" ht="51.95" customHeight="1">
      <c r="A3449" s="5">
        <v>0</v>
      </c>
      <c r="B3449" s="6" t="s">
        <v>20708</v>
      </c>
      <c r="C3449" s="13">
        <v>1334</v>
      </c>
      <c r="D3449" s="8" t="s">
        <v>20709</v>
      </c>
      <c r="E3449" s="8" t="s">
        <v>20699</v>
      </c>
      <c r="F3449" s="8" t="s">
        <v>20710</v>
      </c>
      <c r="G3449" s="6" t="s">
        <v>89</v>
      </c>
      <c r="H3449" s="6" t="s">
        <v>39</v>
      </c>
      <c r="I3449" s="8" t="s">
        <v>100</v>
      </c>
      <c r="J3449" s="9">
        <v>1</v>
      </c>
      <c r="K3449" s="9">
        <v>266</v>
      </c>
      <c r="L3449" s="9">
        <v>2024</v>
      </c>
      <c r="M3449" s="8" t="s">
        <v>20711</v>
      </c>
      <c r="N3449" s="8" t="s">
        <v>56</v>
      </c>
      <c r="O3449" s="8" t="s">
        <v>4042</v>
      </c>
      <c r="P3449" s="6" t="s">
        <v>175</v>
      </c>
      <c r="Q3449" s="8" t="s">
        <v>102</v>
      </c>
      <c r="R3449" s="10" t="s">
        <v>20702</v>
      </c>
      <c r="S3449" s="11" t="s">
        <v>20712</v>
      </c>
      <c r="T3449" s="6"/>
      <c r="U3449" s="24" t="str">
        <f>HYPERLINK("https://media.infra-m.ru/2157/2157879/cover/2157879.jpg", "Обложка")</f>
        <v>Обложка</v>
      </c>
      <c r="V3449" s="24" t="str">
        <f>HYPERLINK("https://znanium.ru/catalog/product/1850115", "Ознакомиться")</f>
        <v>Ознакомиться</v>
      </c>
      <c r="W3449" s="8" t="s">
        <v>18376</v>
      </c>
      <c r="X3449" s="6"/>
      <c r="Y3449" s="6"/>
      <c r="Z3449" s="6"/>
      <c r="AA3449" s="6" t="s">
        <v>442</v>
      </c>
      <c r="AB3449" s="8"/>
    </row>
    <row r="3450" spans="1:28" s="4" customFormat="1" ht="42" customHeight="1">
      <c r="A3450" s="5">
        <v>0</v>
      </c>
      <c r="B3450" s="6" t="s">
        <v>20713</v>
      </c>
      <c r="C3450" s="13">
        <v>1000</v>
      </c>
      <c r="D3450" s="8" t="s">
        <v>20714</v>
      </c>
      <c r="E3450" s="8" t="s">
        <v>20699</v>
      </c>
      <c r="F3450" s="8" t="s">
        <v>20715</v>
      </c>
      <c r="G3450" s="6" t="s">
        <v>52</v>
      </c>
      <c r="H3450" s="6" t="s">
        <v>53</v>
      </c>
      <c r="I3450" s="8" t="s">
        <v>100</v>
      </c>
      <c r="J3450" s="9">
        <v>1</v>
      </c>
      <c r="K3450" s="9">
        <v>197</v>
      </c>
      <c r="L3450" s="9">
        <v>2025</v>
      </c>
      <c r="M3450" s="8" t="s">
        <v>20716</v>
      </c>
      <c r="N3450" s="8" t="s">
        <v>56</v>
      </c>
      <c r="O3450" s="8" t="s">
        <v>4042</v>
      </c>
      <c r="P3450" s="6" t="s">
        <v>43</v>
      </c>
      <c r="Q3450" s="8" t="s">
        <v>102</v>
      </c>
      <c r="R3450" s="10" t="s">
        <v>20702</v>
      </c>
      <c r="S3450" s="11"/>
      <c r="T3450" s="6"/>
      <c r="U3450" s="24" t="str">
        <f>HYPERLINK("https://media.infra-m.ru/1907/1907643/cover/1907643.jpg", "Обложка")</f>
        <v>Обложка</v>
      </c>
      <c r="V3450" s="24" t="str">
        <f>HYPERLINK("https://znanium.ru/catalog/product/1907643", "Ознакомиться")</f>
        <v>Ознакомиться</v>
      </c>
      <c r="W3450" s="8" t="s">
        <v>20717</v>
      </c>
      <c r="X3450" s="6" t="s">
        <v>548</v>
      </c>
      <c r="Y3450" s="6"/>
      <c r="Z3450" s="6"/>
      <c r="AA3450" s="6" t="s">
        <v>61</v>
      </c>
      <c r="AB3450" s="8"/>
    </row>
    <row r="3451" spans="1:28" s="4" customFormat="1" ht="51.95" customHeight="1">
      <c r="A3451" s="5">
        <v>0</v>
      </c>
      <c r="B3451" s="6" t="s">
        <v>20718</v>
      </c>
      <c r="C3451" s="7">
        <v>770</v>
      </c>
      <c r="D3451" s="8" t="s">
        <v>20719</v>
      </c>
      <c r="E3451" s="8" t="s">
        <v>20699</v>
      </c>
      <c r="F3451" s="8" t="s">
        <v>20720</v>
      </c>
      <c r="G3451" s="6" t="s">
        <v>89</v>
      </c>
      <c r="H3451" s="6" t="s">
        <v>53</v>
      </c>
      <c r="I3451" s="8" t="s">
        <v>100</v>
      </c>
      <c r="J3451" s="9">
        <v>1</v>
      </c>
      <c r="K3451" s="9">
        <v>147</v>
      </c>
      <c r="L3451" s="9">
        <v>2025</v>
      </c>
      <c r="M3451" s="8" t="s">
        <v>20721</v>
      </c>
      <c r="N3451" s="8" t="s">
        <v>56</v>
      </c>
      <c r="O3451" s="8" t="s">
        <v>4042</v>
      </c>
      <c r="P3451" s="6" t="s">
        <v>43</v>
      </c>
      <c r="Q3451" s="8" t="s">
        <v>102</v>
      </c>
      <c r="R3451" s="10" t="s">
        <v>20702</v>
      </c>
      <c r="S3451" s="11" t="s">
        <v>2893</v>
      </c>
      <c r="T3451" s="6"/>
      <c r="U3451" s="24" t="str">
        <f>HYPERLINK("https://media.infra-m.ru/2186/2186859/cover/2186859.jpg", "Обложка")</f>
        <v>Обложка</v>
      </c>
      <c r="V3451" s="24" t="str">
        <f>HYPERLINK("https://znanium.ru/catalog/product/1926340", "Ознакомиться")</f>
        <v>Ознакомиться</v>
      </c>
      <c r="W3451" s="8" t="s">
        <v>1544</v>
      </c>
      <c r="X3451" s="6"/>
      <c r="Y3451" s="6"/>
      <c r="Z3451" s="6" t="s">
        <v>104</v>
      </c>
      <c r="AA3451" s="6" t="s">
        <v>258</v>
      </c>
      <c r="AB3451" s="8"/>
    </row>
    <row r="3452" spans="1:28" s="4" customFormat="1" ht="51.95" customHeight="1">
      <c r="A3452" s="5">
        <v>0</v>
      </c>
      <c r="B3452" s="6" t="s">
        <v>20722</v>
      </c>
      <c r="C3452" s="13">
        <v>1330</v>
      </c>
      <c r="D3452" s="8" t="s">
        <v>20723</v>
      </c>
      <c r="E3452" s="8" t="s">
        <v>20724</v>
      </c>
      <c r="F3452" s="8" t="s">
        <v>20725</v>
      </c>
      <c r="G3452" s="6" t="s">
        <v>89</v>
      </c>
      <c r="H3452" s="6" t="s">
        <v>39</v>
      </c>
      <c r="I3452" s="8" t="s">
        <v>100</v>
      </c>
      <c r="J3452" s="9">
        <v>1</v>
      </c>
      <c r="K3452" s="9">
        <v>288</v>
      </c>
      <c r="L3452" s="9">
        <v>2024</v>
      </c>
      <c r="M3452" s="8" t="s">
        <v>20726</v>
      </c>
      <c r="N3452" s="8" t="s">
        <v>56</v>
      </c>
      <c r="O3452" s="8" t="s">
        <v>4042</v>
      </c>
      <c r="P3452" s="6" t="s">
        <v>43</v>
      </c>
      <c r="Q3452" s="8" t="s">
        <v>102</v>
      </c>
      <c r="R3452" s="10" t="s">
        <v>20702</v>
      </c>
      <c r="S3452" s="11" t="s">
        <v>4951</v>
      </c>
      <c r="T3452" s="6"/>
      <c r="U3452" s="24" t="str">
        <f>HYPERLINK("https://media.infra-m.ru/2084/2084133/cover/2084133.jpg", "Обложка")</f>
        <v>Обложка</v>
      </c>
      <c r="V3452" s="24" t="str">
        <f>HYPERLINK("https://znanium.ru/catalog/product/2084133", "Ознакомиться")</f>
        <v>Ознакомиться</v>
      </c>
      <c r="W3452" s="8" t="s">
        <v>243</v>
      </c>
      <c r="X3452" s="6"/>
      <c r="Y3452" s="6"/>
      <c r="Z3452" s="6"/>
      <c r="AA3452" s="6" t="s">
        <v>244</v>
      </c>
      <c r="AB3452" s="8"/>
    </row>
    <row r="3453" spans="1:28" s="4" customFormat="1" ht="51.95" customHeight="1">
      <c r="A3453" s="5">
        <v>0</v>
      </c>
      <c r="B3453" s="6" t="s">
        <v>20727</v>
      </c>
      <c r="C3453" s="13">
        <v>1030</v>
      </c>
      <c r="D3453" s="8" t="s">
        <v>20728</v>
      </c>
      <c r="E3453" s="8" t="s">
        <v>20729</v>
      </c>
      <c r="F3453" s="8" t="s">
        <v>20730</v>
      </c>
      <c r="G3453" s="6" t="s">
        <v>89</v>
      </c>
      <c r="H3453" s="6" t="s">
        <v>53</v>
      </c>
      <c r="I3453" s="8" t="s">
        <v>212</v>
      </c>
      <c r="J3453" s="9">
        <v>1</v>
      </c>
      <c r="K3453" s="9">
        <v>228</v>
      </c>
      <c r="L3453" s="9">
        <v>2023</v>
      </c>
      <c r="M3453" s="8" t="s">
        <v>20731</v>
      </c>
      <c r="N3453" s="8" t="s">
        <v>41</v>
      </c>
      <c r="O3453" s="8" t="s">
        <v>118</v>
      </c>
      <c r="P3453" s="6" t="s">
        <v>43</v>
      </c>
      <c r="Q3453" s="8" t="s">
        <v>214</v>
      </c>
      <c r="R3453" s="10" t="s">
        <v>3664</v>
      </c>
      <c r="S3453" s="11" t="s">
        <v>20732</v>
      </c>
      <c r="T3453" s="6"/>
      <c r="U3453" s="24" t="str">
        <f>HYPERLINK("https://media.infra-m.ru/2021/2021459/cover/2021459.jpg", "Обложка")</f>
        <v>Обложка</v>
      </c>
      <c r="V3453" s="24" t="str">
        <f>HYPERLINK("https://znanium.ru/catalog/product/2021459", "Ознакомиться")</f>
        <v>Ознакомиться</v>
      </c>
      <c r="W3453" s="8" t="s">
        <v>5435</v>
      </c>
      <c r="X3453" s="6"/>
      <c r="Y3453" s="6"/>
      <c r="Z3453" s="6"/>
      <c r="AA3453" s="6" t="s">
        <v>258</v>
      </c>
      <c r="AB3453" s="8"/>
    </row>
    <row r="3454" spans="1:28" s="4" customFormat="1" ht="51.95" customHeight="1">
      <c r="A3454" s="5">
        <v>0</v>
      </c>
      <c r="B3454" s="6" t="s">
        <v>20733</v>
      </c>
      <c r="C3454" s="7">
        <v>764</v>
      </c>
      <c r="D3454" s="8" t="s">
        <v>20734</v>
      </c>
      <c r="E3454" s="8" t="s">
        <v>20735</v>
      </c>
      <c r="F3454" s="8" t="s">
        <v>20736</v>
      </c>
      <c r="G3454" s="6" t="s">
        <v>38</v>
      </c>
      <c r="H3454" s="6" t="s">
        <v>53</v>
      </c>
      <c r="I3454" s="8" t="s">
        <v>90</v>
      </c>
      <c r="J3454" s="9">
        <v>1</v>
      </c>
      <c r="K3454" s="9">
        <v>166</v>
      </c>
      <c r="L3454" s="9">
        <v>2024</v>
      </c>
      <c r="M3454" s="8" t="s">
        <v>20737</v>
      </c>
      <c r="N3454" s="8" t="s">
        <v>41</v>
      </c>
      <c r="O3454" s="8" t="s">
        <v>1007</v>
      </c>
      <c r="P3454" s="6" t="s">
        <v>43</v>
      </c>
      <c r="Q3454" s="8" t="s">
        <v>44</v>
      </c>
      <c r="R3454" s="10" t="s">
        <v>3403</v>
      </c>
      <c r="S3454" s="11" t="s">
        <v>20738</v>
      </c>
      <c r="T3454" s="6"/>
      <c r="U3454" s="24" t="str">
        <f>HYPERLINK("https://media.infra-m.ru/2084/2084526/cover/2084526.jpg", "Обложка")</f>
        <v>Обложка</v>
      </c>
      <c r="V3454" s="24" t="str">
        <f>HYPERLINK("https://znanium.ru/catalog/product/1361805", "Ознакомиться")</f>
        <v>Ознакомиться</v>
      </c>
      <c r="W3454" s="8" t="s">
        <v>947</v>
      </c>
      <c r="X3454" s="6"/>
      <c r="Y3454" s="6"/>
      <c r="Z3454" s="6"/>
      <c r="AA3454" s="6" t="s">
        <v>84</v>
      </c>
      <c r="AB3454" s="8"/>
    </row>
    <row r="3455" spans="1:28" s="4" customFormat="1" ht="42" customHeight="1">
      <c r="A3455" s="5">
        <v>0</v>
      </c>
      <c r="B3455" s="6" t="s">
        <v>20739</v>
      </c>
      <c r="C3455" s="13">
        <v>1020</v>
      </c>
      <c r="D3455" s="8" t="s">
        <v>20740</v>
      </c>
      <c r="E3455" s="8" t="s">
        <v>20741</v>
      </c>
      <c r="F3455" s="8" t="s">
        <v>17934</v>
      </c>
      <c r="G3455" s="6" t="s">
        <v>89</v>
      </c>
      <c r="H3455" s="6" t="s">
        <v>53</v>
      </c>
      <c r="I3455" s="8" t="s">
        <v>6088</v>
      </c>
      <c r="J3455" s="9">
        <v>1</v>
      </c>
      <c r="K3455" s="9">
        <v>192</v>
      </c>
      <c r="L3455" s="9">
        <v>2025</v>
      </c>
      <c r="M3455" s="8" t="s">
        <v>20742</v>
      </c>
      <c r="N3455" s="8" t="s">
        <v>41</v>
      </c>
      <c r="O3455" s="8" t="s">
        <v>1007</v>
      </c>
      <c r="P3455" s="6" t="s">
        <v>6090</v>
      </c>
      <c r="Q3455" s="8" t="s">
        <v>58</v>
      </c>
      <c r="R3455" s="10" t="s">
        <v>20743</v>
      </c>
      <c r="S3455" s="11"/>
      <c r="T3455" s="6"/>
      <c r="U3455" s="24" t="str">
        <f>HYPERLINK("https://media.infra-m.ru/2183/2183787/cover/2183787.jpg", "Обложка")</f>
        <v>Обложка</v>
      </c>
      <c r="V3455" s="24" t="str">
        <f>HYPERLINK("https://znanium.ru/catalog/product/2183787", "Ознакомиться")</f>
        <v>Ознакомиться</v>
      </c>
      <c r="W3455" s="8" t="s">
        <v>189</v>
      </c>
      <c r="X3455" s="6"/>
      <c r="Y3455" s="6"/>
      <c r="Z3455" s="6"/>
      <c r="AA3455" s="6" t="s">
        <v>61</v>
      </c>
      <c r="AB3455" s="8" t="s">
        <v>12397</v>
      </c>
    </row>
    <row r="3456" spans="1:28" s="4" customFormat="1" ht="42" customHeight="1">
      <c r="A3456" s="5">
        <v>0</v>
      </c>
      <c r="B3456" s="6" t="s">
        <v>20744</v>
      </c>
      <c r="C3456" s="13">
        <v>1260</v>
      </c>
      <c r="D3456" s="8" t="s">
        <v>20745</v>
      </c>
      <c r="E3456" s="8" t="s">
        <v>20741</v>
      </c>
      <c r="F3456" s="8" t="s">
        <v>2453</v>
      </c>
      <c r="G3456" s="6" t="s">
        <v>52</v>
      </c>
      <c r="H3456" s="6" t="s">
        <v>53</v>
      </c>
      <c r="I3456" s="8" t="s">
        <v>100</v>
      </c>
      <c r="J3456" s="9">
        <v>1</v>
      </c>
      <c r="K3456" s="9">
        <v>245</v>
      </c>
      <c r="L3456" s="9">
        <v>2025</v>
      </c>
      <c r="M3456" s="8" t="s">
        <v>20746</v>
      </c>
      <c r="N3456" s="8" t="s">
        <v>41</v>
      </c>
      <c r="O3456" s="8" t="s">
        <v>1007</v>
      </c>
      <c r="P3456" s="6" t="s">
        <v>167</v>
      </c>
      <c r="Q3456" s="8" t="s">
        <v>102</v>
      </c>
      <c r="R3456" s="10" t="s">
        <v>20747</v>
      </c>
      <c r="S3456" s="11"/>
      <c r="T3456" s="6"/>
      <c r="U3456" s="24" t="str">
        <f>HYPERLINK("https://media.infra-m.ru/2175/2175040/cover/2175040.jpg", "Обложка")</f>
        <v>Обложка</v>
      </c>
      <c r="V3456" s="24" t="str">
        <f>HYPERLINK("https://znanium.ru/catalog/product/2175040", "Ознакомиться")</f>
        <v>Ознакомиться</v>
      </c>
      <c r="W3456" s="8" t="s">
        <v>1233</v>
      </c>
      <c r="X3456" s="6" t="s">
        <v>785</v>
      </c>
      <c r="Y3456" s="6"/>
      <c r="Z3456" s="6" t="s">
        <v>104</v>
      </c>
      <c r="AA3456" s="6" t="s">
        <v>61</v>
      </c>
      <c r="AB3456" s="8"/>
    </row>
    <row r="3457" spans="1:28" s="4" customFormat="1" ht="51.95" customHeight="1">
      <c r="A3457" s="5">
        <v>0</v>
      </c>
      <c r="B3457" s="6" t="s">
        <v>20748</v>
      </c>
      <c r="C3457" s="13">
        <v>1200</v>
      </c>
      <c r="D3457" s="8" t="s">
        <v>20749</v>
      </c>
      <c r="E3457" s="8" t="s">
        <v>20741</v>
      </c>
      <c r="F3457" s="8" t="s">
        <v>2453</v>
      </c>
      <c r="G3457" s="6" t="s">
        <v>89</v>
      </c>
      <c r="H3457" s="6" t="s">
        <v>53</v>
      </c>
      <c r="I3457" s="8" t="s">
        <v>90</v>
      </c>
      <c r="J3457" s="9">
        <v>1</v>
      </c>
      <c r="K3457" s="9">
        <v>245</v>
      </c>
      <c r="L3457" s="9">
        <v>2023</v>
      </c>
      <c r="M3457" s="8" t="s">
        <v>20750</v>
      </c>
      <c r="N3457" s="8" t="s">
        <v>41</v>
      </c>
      <c r="O3457" s="8" t="s">
        <v>1007</v>
      </c>
      <c r="P3457" s="6" t="s">
        <v>167</v>
      </c>
      <c r="Q3457" s="8" t="s">
        <v>44</v>
      </c>
      <c r="R3457" s="10" t="s">
        <v>20751</v>
      </c>
      <c r="S3457" s="11" t="s">
        <v>20752</v>
      </c>
      <c r="T3457" s="6"/>
      <c r="U3457" s="24" t="str">
        <f>HYPERLINK("https://media.infra-m.ru/2119/2119556/cover/2119556.jpg", "Обложка")</f>
        <v>Обложка</v>
      </c>
      <c r="V3457" s="24" t="str">
        <f>HYPERLINK("https://znanium.ru/catalog/product/1859083", "Ознакомиться")</f>
        <v>Ознакомиться</v>
      </c>
      <c r="W3457" s="8" t="s">
        <v>1233</v>
      </c>
      <c r="X3457" s="6"/>
      <c r="Y3457" s="6"/>
      <c r="Z3457" s="6"/>
      <c r="AA3457" s="6" t="s">
        <v>207</v>
      </c>
      <c r="AB3457" s="8"/>
    </row>
    <row r="3458" spans="1:28" s="4" customFormat="1" ht="42" customHeight="1">
      <c r="A3458" s="5">
        <v>0</v>
      </c>
      <c r="B3458" s="6" t="s">
        <v>20753</v>
      </c>
      <c r="C3458" s="13">
        <v>1060</v>
      </c>
      <c r="D3458" s="8" t="s">
        <v>20754</v>
      </c>
      <c r="E3458" s="8" t="s">
        <v>20741</v>
      </c>
      <c r="F3458" s="8" t="s">
        <v>17934</v>
      </c>
      <c r="G3458" s="6" t="s">
        <v>52</v>
      </c>
      <c r="H3458" s="6" t="s">
        <v>53</v>
      </c>
      <c r="I3458" s="8" t="s">
        <v>2048</v>
      </c>
      <c r="J3458" s="9">
        <v>1</v>
      </c>
      <c r="K3458" s="9">
        <v>211</v>
      </c>
      <c r="L3458" s="9">
        <v>2024</v>
      </c>
      <c r="M3458" s="8" t="s">
        <v>20755</v>
      </c>
      <c r="N3458" s="8" t="s">
        <v>41</v>
      </c>
      <c r="O3458" s="8" t="s">
        <v>1007</v>
      </c>
      <c r="P3458" s="6" t="s">
        <v>43</v>
      </c>
      <c r="Q3458" s="8" t="s">
        <v>44</v>
      </c>
      <c r="R3458" s="10" t="s">
        <v>20743</v>
      </c>
      <c r="S3458" s="11"/>
      <c r="T3458" s="6"/>
      <c r="U3458" s="24" t="str">
        <f>HYPERLINK("https://media.infra-m.ru/2104/2104862/cover/2104862.jpg", "Обложка")</f>
        <v>Обложка</v>
      </c>
      <c r="V3458" s="24" t="str">
        <f>HYPERLINK("https://znanium.ru/catalog/product/2104862", "Ознакомиться")</f>
        <v>Ознакомиться</v>
      </c>
      <c r="W3458" s="8" t="s">
        <v>189</v>
      </c>
      <c r="X3458" s="6" t="s">
        <v>772</v>
      </c>
      <c r="Y3458" s="6"/>
      <c r="Z3458" s="6"/>
      <c r="AA3458" s="6" t="s">
        <v>133</v>
      </c>
      <c r="AB3458" s="8"/>
    </row>
    <row r="3459" spans="1:28" s="4" customFormat="1" ht="42" customHeight="1">
      <c r="A3459" s="5">
        <v>0</v>
      </c>
      <c r="B3459" s="6" t="s">
        <v>20756</v>
      </c>
      <c r="C3459" s="13">
        <v>1090</v>
      </c>
      <c r="D3459" s="8" t="s">
        <v>20757</v>
      </c>
      <c r="E3459" s="8" t="s">
        <v>20741</v>
      </c>
      <c r="F3459" s="8" t="s">
        <v>17934</v>
      </c>
      <c r="G3459" s="6" t="s">
        <v>52</v>
      </c>
      <c r="H3459" s="6" t="s">
        <v>53</v>
      </c>
      <c r="I3459" s="8" t="s">
        <v>100</v>
      </c>
      <c r="J3459" s="9">
        <v>1</v>
      </c>
      <c r="K3459" s="9">
        <v>211</v>
      </c>
      <c r="L3459" s="9">
        <v>2025</v>
      </c>
      <c r="M3459" s="8" t="s">
        <v>20758</v>
      </c>
      <c r="N3459" s="8" t="s">
        <v>41</v>
      </c>
      <c r="O3459" s="8" t="s">
        <v>1007</v>
      </c>
      <c r="P3459" s="6" t="s">
        <v>43</v>
      </c>
      <c r="Q3459" s="8" t="s">
        <v>102</v>
      </c>
      <c r="R3459" s="10" t="s">
        <v>20747</v>
      </c>
      <c r="S3459" s="11"/>
      <c r="T3459" s="6"/>
      <c r="U3459" s="24" t="str">
        <f>HYPERLINK("https://media.infra-m.ru/2163/2163648/cover/2163648.jpg", "Обложка")</f>
        <v>Обложка</v>
      </c>
      <c r="V3459" s="24" t="str">
        <f>HYPERLINK("https://znanium.ru/catalog/product/2163648", "Ознакомиться")</f>
        <v>Ознакомиться</v>
      </c>
      <c r="W3459" s="8" t="s">
        <v>189</v>
      </c>
      <c r="X3459" s="6" t="s">
        <v>785</v>
      </c>
      <c r="Y3459" s="6"/>
      <c r="Z3459" s="6" t="s">
        <v>104</v>
      </c>
      <c r="AA3459" s="6" t="s">
        <v>61</v>
      </c>
      <c r="AB3459" s="8"/>
    </row>
    <row r="3460" spans="1:28" s="4" customFormat="1" ht="51.95" customHeight="1">
      <c r="A3460" s="5">
        <v>0</v>
      </c>
      <c r="B3460" s="6" t="s">
        <v>20759</v>
      </c>
      <c r="C3460" s="13">
        <v>1294</v>
      </c>
      <c r="D3460" s="8" t="s">
        <v>20760</v>
      </c>
      <c r="E3460" s="8" t="s">
        <v>20741</v>
      </c>
      <c r="F3460" s="8" t="s">
        <v>20761</v>
      </c>
      <c r="G3460" s="6" t="s">
        <v>89</v>
      </c>
      <c r="H3460" s="6" t="s">
        <v>53</v>
      </c>
      <c r="I3460" s="8" t="s">
        <v>100</v>
      </c>
      <c r="J3460" s="9">
        <v>1</v>
      </c>
      <c r="K3460" s="9">
        <v>248</v>
      </c>
      <c r="L3460" s="9">
        <v>2025</v>
      </c>
      <c r="M3460" s="8" t="s">
        <v>20762</v>
      </c>
      <c r="N3460" s="8" t="s">
        <v>41</v>
      </c>
      <c r="O3460" s="8" t="s">
        <v>1007</v>
      </c>
      <c r="P3460" s="6" t="s">
        <v>43</v>
      </c>
      <c r="Q3460" s="8" t="s">
        <v>102</v>
      </c>
      <c r="R3460" s="10" t="s">
        <v>20747</v>
      </c>
      <c r="S3460" s="11" t="s">
        <v>20763</v>
      </c>
      <c r="T3460" s="6"/>
      <c r="U3460" s="24" t="str">
        <f>HYPERLINK("https://media.infra-m.ru/2199/2199286/cover/2199286.jpg", "Обложка")</f>
        <v>Обложка</v>
      </c>
      <c r="V3460" s="24" t="str">
        <f>HYPERLINK("https://znanium.ru/catalog/product/2163353", "Ознакомиться")</f>
        <v>Ознакомиться</v>
      </c>
      <c r="W3460" s="8" t="s">
        <v>2774</v>
      </c>
      <c r="X3460" s="6"/>
      <c r="Y3460" s="6"/>
      <c r="Z3460" s="6"/>
      <c r="AA3460" s="6" t="s">
        <v>235</v>
      </c>
      <c r="AB3460" s="8"/>
    </row>
    <row r="3461" spans="1:28" s="4" customFormat="1" ht="51.95" customHeight="1">
      <c r="A3461" s="5">
        <v>0</v>
      </c>
      <c r="B3461" s="6" t="s">
        <v>20764</v>
      </c>
      <c r="C3461" s="13">
        <v>1660</v>
      </c>
      <c r="D3461" s="8" t="s">
        <v>20765</v>
      </c>
      <c r="E3461" s="8" t="s">
        <v>20766</v>
      </c>
      <c r="F3461" s="8" t="s">
        <v>20767</v>
      </c>
      <c r="G3461" s="6" t="s">
        <v>89</v>
      </c>
      <c r="H3461" s="6" t="s">
        <v>53</v>
      </c>
      <c r="I3461" s="8" t="s">
        <v>116</v>
      </c>
      <c r="J3461" s="9">
        <v>1</v>
      </c>
      <c r="K3461" s="9">
        <v>331</v>
      </c>
      <c r="L3461" s="9">
        <v>2025</v>
      </c>
      <c r="M3461" s="8" t="s">
        <v>20768</v>
      </c>
      <c r="N3461" s="8" t="s">
        <v>79</v>
      </c>
      <c r="O3461" s="8" t="s">
        <v>396</v>
      </c>
      <c r="P3461" s="6" t="s">
        <v>167</v>
      </c>
      <c r="Q3461" s="8" t="s">
        <v>44</v>
      </c>
      <c r="R3461" s="10" t="s">
        <v>20769</v>
      </c>
      <c r="S3461" s="11" t="s">
        <v>20770</v>
      </c>
      <c r="T3461" s="6" t="s">
        <v>299</v>
      </c>
      <c r="U3461" s="24" t="str">
        <f>HYPERLINK("https://media.infra-m.ru/2163/2163739/cover/2163739.jpg", "Обложка")</f>
        <v>Обложка</v>
      </c>
      <c r="V3461" s="24" t="str">
        <f>HYPERLINK("https://znanium.ru/catalog/product/2163739", "Ознакомиться")</f>
        <v>Ознакомиться</v>
      </c>
      <c r="W3461" s="8" t="s">
        <v>450</v>
      </c>
      <c r="X3461" s="6"/>
      <c r="Y3461" s="6"/>
      <c r="Z3461" s="6"/>
      <c r="AA3461" s="6" t="s">
        <v>418</v>
      </c>
      <c r="AB3461" s="8"/>
    </row>
    <row r="3462" spans="1:28" s="4" customFormat="1" ht="51.95" customHeight="1">
      <c r="A3462" s="5">
        <v>0</v>
      </c>
      <c r="B3462" s="6" t="s">
        <v>20771</v>
      </c>
      <c r="C3462" s="13">
        <v>1350</v>
      </c>
      <c r="D3462" s="8" t="s">
        <v>20772</v>
      </c>
      <c r="E3462" s="8" t="s">
        <v>20773</v>
      </c>
      <c r="F3462" s="8" t="s">
        <v>6846</v>
      </c>
      <c r="G3462" s="6" t="s">
        <v>89</v>
      </c>
      <c r="H3462" s="6" t="s">
        <v>53</v>
      </c>
      <c r="I3462" s="8" t="s">
        <v>100</v>
      </c>
      <c r="J3462" s="9">
        <v>1</v>
      </c>
      <c r="K3462" s="9">
        <v>269</v>
      </c>
      <c r="L3462" s="9">
        <v>2025</v>
      </c>
      <c r="M3462" s="8" t="s">
        <v>20774</v>
      </c>
      <c r="N3462" s="8" t="s">
        <v>56</v>
      </c>
      <c r="O3462" s="8" t="s">
        <v>2183</v>
      </c>
      <c r="P3462" s="6" t="s">
        <v>43</v>
      </c>
      <c r="Q3462" s="8" t="s">
        <v>102</v>
      </c>
      <c r="R3462" s="10" t="s">
        <v>20775</v>
      </c>
      <c r="S3462" s="11" t="s">
        <v>20776</v>
      </c>
      <c r="T3462" s="6"/>
      <c r="U3462" s="24" t="str">
        <f>HYPERLINK("https://media.infra-m.ru/2178/2178932/cover/2178932.jpg", "Обложка")</f>
        <v>Обложка</v>
      </c>
      <c r="V3462" s="24" t="str">
        <f>HYPERLINK("https://znanium.ru/catalog/product/2178932", "Ознакомиться")</f>
        <v>Ознакомиться</v>
      </c>
      <c r="W3462" s="8" t="s">
        <v>3605</v>
      </c>
      <c r="X3462" s="6"/>
      <c r="Y3462" s="6"/>
      <c r="Z3462" s="6"/>
      <c r="AA3462" s="6" t="s">
        <v>207</v>
      </c>
      <c r="AB3462" s="8"/>
    </row>
    <row r="3463" spans="1:28" s="4" customFormat="1" ht="51.95" customHeight="1">
      <c r="A3463" s="5">
        <v>0</v>
      </c>
      <c r="B3463" s="6" t="s">
        <v>20777</v>
      </c>
      <c r="C3463" s="7">
        <v>990</v>
      </c>
      <c r="D3463" s="8" t="s">
        <v>20778</v>
      </c>
      <c r="E3463" s="8" t="s">
        <v>20779</v>
      </c>
      <c r="F3463" s="8" t="s">
        <v>20780</v>
      </c>
      <c r="G3463" s="6" t="s">
        <v>38</v>
      </c>
      <c r="H3463" s="6" t="s">
        <v>952</v>
      </c>
      <c r="I3463" s="8" t="s">
        <v>1171</v>
      </c>
      <c r="J3463" s="9">
        <v>1</v>
      </c>
      <c r="K3463" s="9">
        <v>268</v>
      </c>
      <c r="L3463" s="9">
        <v>2021</v>
      </c>
      <c r="M3463" s="8" t="s">
        <v>20781</v>
      </c>
      <c r="N3463" s="8" t="s">
        <v>41</v>
      </c>
      <c r="O3463" s="8" t="s">
        <v>1007</v>
      </c>
      <c r="P3463" s="6" t="s">
        <v>167</v>
      </c>
      <c r="Q3463" s="8" t="s">
        <v>44</v>
      </c>
      <c r="R3463" s="10" t="s">
        <v>12424</v>
      </c>
      <c r="S3463" s="11" t="s">
        <v>20782</v>
      </c>
      <c r="T3463" s="6"/>
      <c r="U3463" s="24" t="str">
        <f>HYPERLINK("https://media.infra-m.ru/1363/1363534/cover/1363534.jpg", "Обложка")</f>
        <v>Обложка</v>
      </c>
      <c r="V3463" s="24" t="str">
        <f>HYPERLINK("https://znanium.ru/catalog/product/1363534", "Ознакомиться")</f>
        <v>Ознакомиться</v>
      </c>
      <c r="W3463" s="8"/>
      <c r="X3463" s="6"/>
      <c r="Y3463" s="6"/>
      <c r="Z3463" s="6"/>
      <c r="AA3463" s="6" t="s">
        <v>326</v>
      </c>
      <c r="AB3463" s="8"/>
    </row>
    <row r="3464" spans="1:28" s="4" customFormat="1" ht="51.95" customHeight="1">
      <c r="A3464" s="5">
        <v>0</v>
      </c>
      <c r="B3464" s="6" t="s">
        <v>20783</v>
      </c>
      <c r="C3464" s="13">
        <v>1510</v>
      </c>
      <c r="D3464" s="8" t="s">
        <v>20784</v>
      </c>
      <c r="E3464" s="8" t="s">
        <v>20785</v>
      </c>
      <c r="F3464" s="8" t="s">
        <v>20604</v>
      </c>
      <c r="G3464" s="6" t="s">
        <v>52</v>
      </c>
      <c r="H3464" s="6" t="s">
        <v>53</v>
      </c>
      <c r="I3464" s="8" t="s">
        <v>100</v>
      </c>
      <c r="J3464" s="9">
        <v>1</v>
      </c>
      <c r="K3464" s="9">
        <v>328</v>
      </c>
      <c r="L3464" s="9">
        <v>2023</v>
      </c>
      <c r="M3464" s="8" t="s">
        <v>20786</v>
      </c>
      <c r="N3464" s="8" t="s">
        <v>41</v>
      </c>
      <c r="O3464" s="8" t="s">
        <v>278</v>
      </c>
      <c r="P3464" s="6" t="s">
        <v>43</v>
      </c>
      <c r="Q3464" s="8" t="s">
        <v>102</v>
      </c>
      <c r="R3464" s="10" t="s">
        <v>1801</v>
      </c>
      <c r="S3464" s="11" t="s">
        <v>20787</v>
      </c>
      <c r="T3464" s="6"/>
      <c r="U3464" s="24" t="str">
        <f>HYPERLINK("https://media.infra-m.ru/1072/1072197/cover/1072197.jpg", "Обложка")</f>
        <v>Обложка</v>
      </c>
      <c r="V3464" s="24" t="str">
        <f>HYPERLINK("https://znanium.ru/catalog/product/1072197", "Ознакомиться")</f>
        <v>Ознакомиться</v>
      </c>
      <c r="W3464" s="8" t="s">
        <v>71</v>
      </c>
      <c r="X3464" s="6"/>
      <c r="Y3464" s="6"/>
      <c r="Z3464" s="6"/>
      <c r="AA3464" s="6" t="s">
        <v>207</v>
      </c>
      <c r="AB3464" s="8"/>
    </row>
    <row r="3465" spans="1:28" s="4" customFormat="1" ht="51.95" customHeight="1">
      <c r="A3465" s="5">
        <v>0</v>
      </c>
      <c r="B3465" s="6" t="s">
        <v>20788</v>
      </c>
      <c r="C3465" s="13">
        <v>1874</v>
      </c>
      <c r="D3465" s="8" t="s">
        <v>20789</v>
      </c>
      <c r="E3465" s="8" t="s">
        <v>20790</v>
      </c>
      <c r="F3465" s="8" t="s">
        <v>20791</v>
      </c>
      <c r="G3465" s="6" t="s">
        <v>52</v>
      </c>
      <c r="H3465" s="6" t="s">
        <v>1738</v>
      </c>
      <c r="I3465" s="8" t="s">
        <v>1171</v>
      </c>
      <c r="J3465" s="9">
        <v>1</v>
      </c>
      <c r="K3465" s="9">
        <v>624</v>
      </c>
      <c r="L3465" s="9">
        <v>2024</v>
      </c>
      <c r="M3465" s="8" t="s">
        <v>20792</v>
      </c>
      <c r="N3465" s="8" t="s">
        <v>41</v>
      </c>
      <c r="O3465" s="8" t="s">
        <v>278</v>
      </c>
      <c r="P3465" s="6" t="s">
        <v>43</v>
      </c>
      <c r="Q3465" s="8" t="s">
        <v>44</v>
      </c>
      <c r="R3465" s="10" t="s">
        <v>9456</v>
      </c>
      <c r="S3465" s="11" t="s">
        <v>20793</v>
      </c>
      <c r="T3465" s="6"/>
      <c r="U3465" s="24" t="str">
        <f>HYPERLINK("https://media.infra-m.ru/2103/2103741/cover/2103741.jpg", "Обложка")</f>
        <v>Обложка</v>
      </c>
      <c r="V3465" s="24" t="str">
        <f>HYPERLINK("https://znanium.ru/catalog/product/1057217", "Ознакомиться")</f>
        <v>Ознакомиться</v>
      </c>
      <c r="W3465" s="8" t="s">
        <v>3570</v>
      </c>
      <c r="X3465" s="6"/>
      <c r="Y3465" s="6"/>
      <c r="Z3465" s="6"/>
      <c r="AA3465" s="6" t="s">
        <v>622</v>
      </c>
      <c r="AB3465" s="8"/>
    </row>
    <row r="3466" spans="1:28" s="4" customFormat="1" ht="51.95" customHeight="1">
      <c r="A3466" s="5">
        <v>0</v>
      </c>
      <c r="B3466" s="6" t="s">
        <v>20794</v>
      </c>
      <c r="C3466" s="13">
        <v>2060</v>
      </c>
      <c r="D3466" s="8" t="s">
        <v>20795</v>
      </c>
      <c r="E3466" s="8" t="s">
        <v>20796</v>
      </c>
      <c r="F3466" s="8" t="s">
        <v>20797</v>
      </c>
      <c r="G3466" s="6" t="s">
        <v>52</v>
      </c>
      <c r="H3466" s="6" t="s">
        <v>53</v>
      </c>
      <c r="I3466" s="8" t="s">
        <v>212</v>
      </c>
      <c r="J3466" s="9">
        <v>1</v>
      </c>
      <c r="K3466" s="9">
        <v>449</v>
      </c>
      <c r="L3466" s="9">
        <v>2023</v>
      </c>
      <c r="M3466" s="8" t="s">
        <v>20798</v>
      </c>
      <c r="N3466" s="8" t="s">
        <v>79</v>
      </c>
      <c r="O3466" s="8" t="s">
        <v>684</v>
      </c>
      <c r="P3466" s="6" t="s">
        <v>167</v>
      </c>
      <c r="Q3466" s="8" t="s">
        <v>214</v>
      </c>
      <c r="R3466" s="10" t="s">
        <v>4408</v>
      </c>
      <c r="S3466" s="11" t="s">
        <v>20799</v>
      </c>
      <c r="T3466" s="6"/>
      <c r="U3466" s="24" t="str">
        <f>HYPERLINK("https://media.infra-m.ru/1999/1999788/cover/1999788.jpg", "Обложка")</f>
        <v>Обложка</v>
      </c>
      <c r="V3466" s="24" t="str">
        <f>HYPERLINK("https://znanium.ru/catalog/product/1999788", "Ознакомиться")</f>
        <v>Ознакомиться</v>
      </c>
      <c r="W3466" s="8" t="s">
        <v>1587</v>
      </c>
      <c r="X3466" s="6"/>
      <c r="Y3466" s="6"/>
      <c r="Z3466" s="6"/>
      <c r="AA3466" s="6" t="s">
        <v>151</v>
      </c>
      <c r="AB3466" s="8"/>
    </row>
    <row r="3467" spans="1:28" s="4" customFormat="1" ht="51.95" customHeight="1">
      <c r="A3467" s="5">
        <v>0</v>
      </c>
      <c r="B3467" s="6" t="s">
        <v>20800</v>
      </c>
      <c r="C3467" s="13">
        <v>1510</v>
      </c>
      <c r="D3467" s="8" t="s">
        <v>20801</v>
      </c>
      <c r="E3467" s="8" t="s">
        <v>20802</v>
      </c>
      <c r="F3467" s="8" t="s">
        <v>10863</v>
      </c>
      <c r="G3467" s="6" t="s">
        <v>52</v>
      </c>
      <c r="H3467" s="6" t="s">
        <v>53</v>
      </c>
      <c r="I3467" s="8" t="s">
        <v>116</v>
      </c>
      <c r="J3467" s="9">
        <v>1</v>
      </c>
      <c r="K3467" s="9">
        <v>322</v>
      </c>
      <c r="L3467" s="9">
        <v>2024</v>
      </c>
      <c r="M3467" s="8" t="s">
        <v>20803</v>
      </c>
      <c r="N3467" s="8" t="s">
        <v>79</v>
      </c>
      <c r="O3467" s="8" t="s">
        <v>570</v>
      </c>
      <c r="P3467" s="6" t="s">
        <v>43</v>
      </c>
      <c r="Q3467" s="8" t="s">
        <v>58</v>
      </c>
      <c r="R3467" s="10" t="s">
        <v>20804</v>
      </c>
      <c r="S3467" s="11" t="s">
        <v>20805</v>
      </c>
      <c r="T3467" s="6"/>
      <c r="U3467" s="24" t="str">
        <f>HYPERLINK("https://media.infra-m.ru/1005/1005612/cover/1005612.jpg", "Обложка")</f>
        <v>Обложка</v>
      </c>
      <c r="V3467" s="24" t="str">
        <f>HYPERLINK("https://znanium.ru/catalog/product/1005612", "Ознакомиться")</f>
        <v>Ознакомиться</v>
      </c>
      <c r="W3467" s="8" t="s">
        <v>487</v>
      </c>
      <c r="X3467" s="6"/>
      <c r="Y3467" s="6"/>
      <c r="Z3467" s="6"/>
      <c r="AA3467" s="6" t="s">
        <v>133</v>
      </c>
      <c r="AB3467" s="8"/>
    </row>
    <row r="3468" spans="1:28" s="4" customFormat="1" ht="51.95" customHeight="1">
      <c r="A3468" s="5">
        <v>0</v>
      </c>
      <c r="B3468" s="6" t="s">
        <v>20806</v>
      </c>
      <c r="C3468" s="13">
        <v>1400</v>
      </c>
      <c r="D3468" s="8" t="s">
        <v>20807</v>
      </c>
      <c r="E3468" s="8" t="s">
        <v>20808</v>
      </c>
      <c r="F3468" s="8" t="s">
        <v>20809</v>
      </c>
      <c r="G3468" s="6" t="s">
        <v>89</v>
      </c>
      <c r="H3468" s="6" t="s">
        <v>53</v>
      </c>
      <c r="I3468" s="8" t="s">
        <v>116</v>
      </c>
      <c r="J3468" s="9">
        <v>1</v>
      </c>
      <c r="K3468" s="9">
        <v>304</v>
      </c>
      <c r="L3468" s="9">
        <v>2024</v>
      </c>
      <c r="M3468" s="8" t="s">
        <v>20810</v>
      </c>
      <c r="N3468" s="8" t="s">
        <v>56</v>
      </c>
      <c r="O3468" s="8" t="s">
        <v>2183</v>
      </c>
      <c r="P3468" s="6" t="s">
        <v>43</v>
      </c>
      <c r="Q3468" s="8" t="s">
        <v>58</v>
      </c>
      <c r="R3468" s="10" t="s">
        <v>20811</v>
      </c>
      <c r="S3468" s="11" t="s">
        <v>20812</v>
      </c>
      <c r="T3468" s="6"/>
      <c r="U3468" s="24" t="str">
        <f>HYPERLINK("https://media.infra-m.ru/2080/2080622/cover/2080622.jpg", "Обложка")</f>
        <v>Обложка</v>
      </c>
      <c r="V3468" s="24" t="str">
        <f>HYPERLINK("https://znanium.ru/catalog/product/2080622", "Ознакомиться")</f>
        <v>Ознакомиться</v>
      </c>
      <c r="W3468" s="8" t="s">
        <v>1571</v>
      </c>
      <c r="X3468" s="6"/>
      <c r="Y3468" s="6"/>
      <c r="Z3468" s="6"/>
      <c r="AA3468" s="6" t="s">
        <v>72</v>
      </c>
      <c r="AB3468" s="8"/>
    </row>
    <row r="3469" spans="1:28" s="4" customFormat="1" ht="51.95" customHeight="1">
      <c r="A3469" s="5">
        <v>0</v>
      </c>
      <c r="B3469" s="6" t="s">
        <v>20813</v>
      </c>
      <c r="C3469" s="13">
        <v>2594</v>
      </c>
      <c r="D3469" s="8" t="s">
        <v>20814</v>
      </c>
      <c r="E3469" s="8" t="s">
        <v>20815</v>
      </c>
      <c r="F3469" s="8" t="s">
        <v>19001</v>
      </c>
      <c r="G3469" s="6" t="s">
        <v>52</v>
      </c>
      <c r="H3469" s="6" t="s">
        <v>53</v>
      </c>
      <c r="I3469" s="8" t="s">
        <v>212</v>
      </c>
      <c r="J3469" s="9">
        <v>1</v>
      </c>
      <c r="K3469" s="9">
        <v>637</v>
      </c>
      <c r="L3469" s="9">
        <v>2025</v>
      </c>
      <c r="M3469" s="8" t="s">
        <v>20816</v>
      </c>
      <c r="N3469" s="8" t="s">
        <v>413</v>
      </c>
      <c r="O3469" s="8" t="s">
        <v>1584</v>
      </c>
      <c r="P3469" s="6" t="s">
        <v>167</v>
      </c>
      <c r="Q3469" s="8" t="s">
        <v>214</v>
      </c>
      <c r="R3469" s="10" t="s">
        <v>20817</v>
      </c>
      <c r="S3469" s="11" t="s">
        <v>20818</v>
      </c>
      <c r="T3469" s="6"/>
      <c r="U3469" s="24" t="str">
        <f>HYPERLINK("https://media.infra-m.ru/2194/2194432/cover/2194432.jpg", "Обложка")</f>
        <v>Обложка</v>
      </c>
      <c r="V3469" s="24" t="str">
        <f>HYPERLINK("https://znanium.ru/catalog/product/1510087", "Ознакомиться")</f>
        <v>Ознакомиться</v>
      </c>
      <c r="W3469" s="8" t="s">
        <v>19005</v>
      </c>
      <c r="X3469" s="6"/>
      <c r="Y3469" s="6"/>
      <c r="Z3469" s="6"/>
      <c r="AA3469" s="6" t="s">
        <v>442</v>
      </c>
      <c r="AB3469" s="8"/>
    </row>
    <row r="3470" spans="1:28" s="4" customFormat="1" ht="51.95" customHeight="1">
      <c r="A3470" s="5">
        <v>0</v>
      </c>
      <c r="B3470" s="6" t="s">
        <v>20819</v>
      </c>
      <c r="C3470" s="7">
        <v>720</v>
      </c>
      <c r="D3470" s="8" t="s">
        <v>20820</v>
      </c>
      <c r="E3470" s="8" t="s">
        <v>20821</v>
      </c>
      <c r="F3470" s="8" t="s">
        <v>20822</v>
      </c>
      <c r="G3470" s="6" t="s">
        <v>38</v>
      </c>
      <c r="H3470" s="6" t="s">
        <v>53</v>
      </c>
      <c r="I3470" s="8" t="s">
        <v>782</v>
      </c>
      <c r="J3470" s="9">
        <v>1</v>
      </c>
      <c r="K3470" s="9">
        <v>138</v>
      </c>
      <c r="L3470" s="9">
        <v>2025</v>
      </c>
      <c r="M3470" s="8" t="s">
        <v>20823</v>
      </c>
      <c r="N3470" s="8" t="s">
        <v>79</v>
      </c>
      <c r="O3470" s="8" t="s">
        <v>148</v>
      </c>
      <c r="P3470" s="6" t="s">
        <v>43</v>
      </c>
      <c r="Q3470" s="8" t="s">
        <v>44</v>
      </c>
      <c r="R3470" s="10" t="s">
        <v>20824</v>
      </c>
      <c r="S3470" s="11" t="s">
        <v>20825</v>
      </c>
      <c r="T3470" s="6"/>
      <c r="U3470" s="24" t="str">
        <f>HYPERLINK("https://media.infra-m.ru/2171/2171960/cover/2171960.jpg", "Обложка")</f>
        <v>Обложка</v>
      </c>
      <c r="V3470" s="12"/>
      <c r="W3470" s="8" t="s">
        <v>784</v>
      </c>
      <c r="X3470" s="6"/>
      <c r="Y3470" s="6"/>
      <c r="Z3470" s="6"/>
      <c r="AA3470" s="6" t="s">
        <v>151</v>
      </c>
      <c r="AB3470" s="8"/>
    </row>
    <row r="3471" spans="1:28" s="4" customFormat="1" ht="51.95" customHeight="1">
      <c r="A3471" s="5">
        <v>0</v>
      </c>
      <c r="B3471" s="6" t="s">
        <v>20826</v>
      </c>
      <c r="C3471" s="13">
        <v>1084.9000000000001</v>
      </c>
      <c r="D3471" s="8" t="s">
        <v>20827</v>
      </c>
      <c r="E3471" s="8" t="s">
        <v>20828</v>
      </c>
      <c r="F3471" s="8" t="s">
        <v>20829</v>
      </c>
      <c r="G3471" s="6" t="s">
        <v>38</v>
      </c>
      <c r="H3471" s="6" t="s">
        <v>39</v>
      </c>
      <c r="I3471" s="8" t="s">
        <v>90</v>
      </c>
      <c r="J3471" s="9">
        <v>1</v>
      </c>
      <c r="K3471" s="9">
        <v>240</v>
      </c>
      <c r="L3471" s="9">
        <v>2023</v>
      </c>
      <c r="M3471" s="8" t="s">
        <v>20830</v>
      </c>
      <c r="N3471" s="8" t="s">
        <v>413</v>
      </c>
      <c r="O3471" s="8" t="s">
        <v>414</v>
      </c>
      <c r="P3471" s="6" t="s">
        <v>43</v>
      </c>
      <c r="Q3471" s="8" t="s">
        <v>44</v>
      </c>
      <c r="R3471" s="10" t="s">
        <v>20831</v>
      </c>
      <c r="S3471" s="11" t="s">
        <v>20832</v>
      </c>
      <c r="T3471" s="6"/>
      <c r="U3471" s="24" t="str">
        <f>HYPERLINK("https://media.infra-m.ru/1894/1894513/cover/1894513.jpg", "Обложка")</f>
        <v>Обложка</v>
      </c>
      <c r="V3471" s="24" t="str">
        <f>HYPERLINK("https://znanium.ru/catalog/product/1894513", "Ознакомиться")</f>
        <v>Ознакомиться</v>
      </c>
      <c r="W3471" s="8" t="s">
        <v>10326</v>
      </c>
      <c r="X3471" s="6"/>
      <c r="Y3471" s="6"/>
      <c r="Z3471" s="6"/>
      <c r="AA3471" s="6" t="s">
        <v>111</v>
      </c>
      <c r="AB3471" s="8"/>
    </row>
    <row r="3472" spans="1:28" s="4" customFormat="1" ht="51.95" customHeight="1">
      <c r="A3472" s="5">
        <v>0</v>
      </c>
      <c r="B3472" s="6" t="s">
        <v>20833</v>
      </c>
      <c r="C3472" s="7">
        <v>920</v>
      </c>
      <c r="D3472" s="8" t="s">
        <v>20834</v>
      </c>
      <c r="E3472" s="8" t="s">
        <v>20835</v>
      </c>
      <c r="F3472" s="8" t="s">
        <v>20836</v>
      </c>
      <c r="G3472" s="6" t="s">
        <v>89</v>
      </c>
      <c r="H3472" s="6" t="s">
        <v>53</v>
      </c>
      <c r="I3472" s="8" t="s">
        <v>90</v>
      </c>
      <c r="J3472" s="9">
        <v>1</v>
      </c>
      <c r="K3472" s="9">
        <v>286</v>
      </c>
      <c r="L3472" s="9">
        <v>2019</v>
      </c>
      <c r="M3472" s="8" t="s">
        <v>20837</v>
      </c>
      <c r="N3472" s="8" t="s">
        <v>413</v>
      </c>
      <c r="O3472" s="8" t="s">
        <v>414</v>
      </c>
      <c r="P3472" s="6" t="s">
        <v>43</v>
      </c>
      <c r="Q3472" s="8" t="s">
        <v>44</v>
      </c>
      <c r="R3472" s="10"/>
      <c r="S3472" s="11" t="s">
        <v>4905</v>
      </c>
      <c r="T3472" s="6"/>
      <c r="U3472" s="24" t="str">
        <f>HYPERLINK("https://media.infra-m.ru/1018/1018786/cover/1018786.jpg", "Обложка")</f>
        <v>Обложка</v>
      </c>
      <c r="V3472" s="12"/>
      <c r="W3472" s="8" t="s">
        <v>71</v>
      </c>
      <c r="X3472" s="6"/>
      <c r="Y3472" s="6"/>
      <c r="Z3472" s="6"/>
      <c r="AA3472" s="6" t="s">
        <v>442</v>
      </c>
      <c r="AB3472" s="8"/>
    </row>
    <row r="3473" spans="1:28" s="4" customFormat="1" ht="51.95" customHeight="1">
      <c r="A3473" s="5">
        <v>0</v>
      </c>
      <c r="B3473" s="6" t="s">
        <v>20838</v>
      </c>
      <c r="C3473" s="13">
        <v>1994.9</v>
      </c>
      <c r="D3473" s="8" t="s">
        <v>20839</v>
      </c>
      <c r="E3473" s="8" t="s">
        <v>20840</v>
      </c>
      <c r="F3473" s="8" t="s">
        <v>20841</v>
      </c>
      <c r="G3473" s="6" t="s">
        <v>52</v>
      </c>
      <c r="H3473" s="6" t="s">
        <v>952</v>
      </c>
      <c r="I3473" s="8" t="s">
        <v>1171</v>
      </c>
      <c r="J3473" s="9">
        <v>1</v>
      </c>
      <c r="K3473" s="9">
        <v>640</v>
      </c>
      <c r="L3473" s="9">
        <v>2023</v>
      </c>
      <c r="M3473" s="8" t="s">
        <v>20842</v>
      </c>
      <c r="N3473" s="8" t="s">
        <v>413</v>
      </c>
      <c r="O3473" s="8" t="s">
        <v>414</v>
      </c>
      <c r="P3473" s="6" t="s">
        <v>167</v>
      </c>
      <c r="Q3473" s="8" t="s">
        <v>44</v>
      </c>
      <c r="R3473" s="10" t="s">
        <v>17398</v>
      </c>
      <c r="S3473" s="11" t="s">
        <v>20843</v>
      </c>
      <c r="T3473" s="6"/>
      <c r="U3473" s="24" t="str">
        <f>HYPERLINK("https://media.infra-m.ru/1930/1930668/cover/1930668.jpg", "Обложка")</f>
        <v>Обложка</v>
      </c>
      <c r="V3473" s="24" t="str">
        <f>HYPERLINK("https://znanium.ru/catalog/product/1930668", "Ознакомиться")</f>
        <v>Ознакомиться</v>
      </c>
      <c r="W3473" s="8" t="s">
        <v>4083</v>
      </c>
      <c r="X3473" s="6"/>
      <c r="Y3473" s="6"/>
      <c r="Z3473" s="6"/>
      <c r="AA3473" s="6" t="s">
        <v>2414</v>
      </c>
      <c r="AB3473" s="8"/>
    </row>
    <row r="3474" spans="1:28" s="4" customFormat="1" ht="51.95" customHeight="1">
      <c r="A3474" s="5">
        <v>0</v>
      </c>
      <c r="B3474" s="6" t="s">
        <v>20844</v>
      </c>
      <c r="C3474" s="13">
        <v>2830</v>
      </c>
      <c r="D3474" s="8" t="s">
        <v>20845</v>
      </c>
      <c r="E3474" s="8" t="s">
        <v>20846</v>
      </c>
      <c r="F3474" s="8" t="s">
        <v>20847</v>
      </c>
      <c r="G3474" s="6" t="s">
        <v>52</v>
      </c>
      <c r="H3474" s="6" t="s">
        <v>53</v>
      </c>
      <c r="I3474" s="8" t="s">
        <v>116</v>
      </c>
      <c r="J3474" s="9">
        <v>1</v>
      </c>
      <c r="K3474" s="9">
        <v>566</v>
      </c>
      <c r="L3474" s="9">
        <v>2025</v>
      </c>
      <c r="M3474" s="8" t="s">
        <v>20848</v>
      </c>
      <c r="N3474" s="8" t="s">
        <v>413</v>
      </c>
      <c r="O3474" s="8" t="s">
        <v>414</v>
      </c>
      <c r="P3474" s="6" t="s">
        <v>167</v>
      </c>
      <c r="Q3474" s="8" t="s">
        <v>58</v>
      </c>
      <c r="R3474" s="10" t="s">
        <v>20849</v>
      </c>
      <c r="S3474" s="11" t="s">
        <v>20850</v>
      </c>
      <c r="T3474" s="6" t="s">
        <v>299</v>
      </c>
      <c r="U3474" s="24" t="str">
        <f>HYPERLINK("https://media.infra-m.ru/2157/2157999/cover/2157999.jpg", "Обложка")</f>
        <v>Обложка</v>
      </c>
      <c r="V3474" s="24" t="str">
        <f>HYPERLINK("https://znanium.ru/catalog/product/2157999", "Ознакомиться")</f>
        <v>Ознакомиться</v>
      </c>
      <c r="W3474" s="8" t="s">
        <v>20851</v>
      </c>
      <c r="X3474" s="6"/>
      <c r="Y3474" s="6"/>
      <c r="Z3474" s="6"/>
      <c r="AA3474" s="6" t="s">
        <v>442</v>
      </c>
      <c r="AB3474" s="8" t="s">
        <v>271</v>
      </c>
    </row>
    <row r="3475" spans="1:28" s="4" customFormat="1" ht="51.95" customHeight="1">
      <c r="A3475" s="5">
        <v>0</v>
      </c>
      <c r="B3475" s="6" t="s">
        <v>20852</v>
      </c>
      <c r="C3475" s="13">
        <v>1150</v>
      </c>
      <c r="D3475" s="8" t="s">
        <v>20853</v>
      </c>
      <c r="E3475" s="8" t="s">
        <v>20854</v>
      </c>
      <c r="F3475" s="8" t="s">
        <v>1195</v>
      </c>
      <c r="G3475" s="6" t="s">
        <v>89</v>
      </c>
      <c r="H3475" s="6" t="s">
        <v>184</v>
      </c>
      <c r="I3475" s="8" t="s">
        <v>58</v>
      </c>
      <c r="J3475" s="9">
        <v>1</v>
      </c>
      <c r="K3475" s="9">
        <v>229</v>
      </c>
      <c r="L3475" s="9">
        <v>2025</v>
      </c>
      <c r="M3475" s="8" t="s">
        <v>20855</v>
      </c>
      <c r="N3475" s="8" t="s">
        <v>41</v>
      </c>
      <c r="O3475" s="8" t="s">
        <v>1007</v>
      </c>
      <c r="P3475" s="6" t="s">
        <v>167</v>
      </c>
      <c r="Q3475" s="8" t="s">
        <v>102</v>
      </c>
      <c r="R3475" s="10" t="s">
        <v>20856</v>
      </c>
      <c r="S3475" s="11"/>
      <c r="T3475" s="6"/>
      <c r="U3475" s="24" t="str">
        <f>HYPERLINK("https://media.infra-m.ru/2191/2191361/cover/2191361.jpg", "Обложка")</f>
        <v>Обложка</v>
      </c>
      <c r="V3475" s="24" t="str">
        <f>HYPERLINK("https://znanium.ru/catalog/product/2191361", "Ознакомиться")</f>
        <v>Ознакомиться</v>
      </c>
      <c r="W3475" s="8" t="s">
        <v>1198</v>
      </c>
      <c r="X3475" s="6"/>
      <c r="Y3475" s="6"/>
      <c r="Z3475" s="6"/>
      <c r="AA3475" s="6" t="s">
        <v>418</v>
      </c>
      <c r="AB3475" s="8"/>
    </row>
    <row r="3476" spans="1:28" s="4" customFormat="1" ht="51.95" customHeight="1">
      <c r="A3476" s="5">
        <v>0</v>
      </c>
      <c r="B3476" s="6" t="s">
        <v>20857</v>
      </c>
      <c r="C3476" s="13">
        <v>1374</v>
      </c>
      <c r="D3476" s="8" t="s">
        <v>20858</v>
      </c>
      <c r="E3476" s="8" t="s">
        <v>20859</v>
      </c>
      <c r="F3476" s="8" t="s">
        <v>20860</v>
      </c>
      <c r="G3476" s="6" t="s">
        <v>52</v>
      </c>
      <c r="H3476" s="6" t="s">
        <v>77</v>
      </c>
      <c r="I3476" s="8"/>
      <c r="J3476" s="9">
        <v>1</v>
      </c>
      <c r="K3476" s="9">
        <v>297</v>
      </c>
      <c r="L3476" s="9">
        <v>2024</v>
      </c>
      <c r="M3476" s="8" t="s">
        <v>20861</v>
      </c>
      <c r="N3476" s="8" t="s">
        <v>413</v>
      </c>
      <c r="O3476" s="8" t="s">
        <v>1141</v>
      </c>
      <c r="P3476" s="6" t="s">
        <v>43</v>
      </c>
      <c r="Q3476" s="8" t="s">
        <v>44</v>
      </c>
      <c r="R3476" s="10" t="s">
        <v>20862</v>
      </c>
      <c r="S3476" s="11" t="s">
        <v>17326</v>
      </c>
      <c r="T3476" s="6"/>
      <c r="U3476" s="24" t="str">
        <f>HYPERLINK("https://media.infra-m.ru/2061/2061193/cover/2061193.jpg", "Обложка")</f>
        <v>Обложка</v>
      </c>
      <c r="V3476" s="24" t="str">
        <f>HYPERLINK("https://znanium.ru/catalog/product/1072244", "Ознакомиться")</f>
        <v>Ознакомиться</v>
      </c>
      <c r="W3476" s="8" t="s">
        <v>2351</v>
      </c>
      <c r="X3476" s="6"/>
      <c r="Y3476" s="6"/>
      <c r="Z3476" s="6"/>
      <c r="AA3476" s="6" t="s">
        <v>622</v>
      </c>
      <c r="AB3476" s="8"/>
    </row>
    <row r="3477" spans="1:28" s="4" customFormat="1" ht="42" customHeight="1">
      <c r="A3477" s="5">
        <v>0</v>
      </c>
      <c r="B3477" s="6" t="s">
        <v>20863</v>
      </c>
      <c r="C3477" s="7">
        <v>980</v>
      </c>
      <c r="D3477" s="8" t="s">
        <v>20864</v>
      </c>
      <c r="E3477" s="8" t="s">
        <v>20865</v>
      </c>
      <c r="F3477" s="8" t="s">
        <v>20866</v>
      </c>
      <c r="G3477" s="6" t="s">
        <v>52</v>
      </c>
      <c r="H3477" s="6" t="s">
        <v>53</v>
      </c>
      <c r="I3477" s="8" t="s">
        <v>116</v>
      </c>
      <c r="J3477" s="9">
        <v>1</v>
      </c>
      <c r="K3477" s="9">
        <v>170</v>
      </c>
      <c r="L3477" s="9">
        <v>2025</v>
      </c>
      <c r="M3477" s="8" t="s">
        <v>20867</v>
      </c>
      <c r="N3477" s="8" t="s">
        <v>413</v>
      </c>
      <c r="O3477" s="8" t="s">
        <v>1141</v>
      </c>
      <c r="P3477" s="6" t="s">
        <v>43</v>
      </c>
      <c r="Q3477" s="8" t="s">
        <v>58</v>
      </c>
      <c r="R3477" s="10" t="s">
        <v>2461</v>
      </c>
      <c r="S3477" s="11"/>
      <c r="T3477" s="6" t="s">
        <v>299</v>
      </c>
      <c r="U3477" s="24" t="str">
        <f>HYPERLINK("https://media.infra-m.ru/2083/2083556/cover/2083556.jpg", "Обложка")</f>
        <v>Обложка</v>
      </c>
      <c r="V3477" s="24" t="str">
        <f>HYPERLINK("https://znanium.ru/catalog/product/2083556", "Ознакомиться")</f>
        <v>Ознакомиться</v>
      </c>
      <c r="W3477" s="8" t="s">
        <v>1198</v>
      </c>
      <c r="X3477" s="6" t="s">
        <v>785</v>
      </c>
      <c r="Y3477" s="6"/>
      <c r="Z3477" s="6"/>
      <c r="AA3477" s="6" t="s">
        <v>61</v>
      </c>
      <c r="AB3477" s="8"/>
    </row>
    <row r="3478" spans="1:28" s="4" customFormat="1" ht="51.95" customHeight="1">
      <c r="A3478" s="5">
        <v>0</v>
      </c>
      <c r="B3478" s="6" t="s">
        <v>20868</v>
      </c>
      <c r="C3478" s="13">
        <v>1324</v>
      </c>
      <c r="D3478" s="8" t="s">
        <v>20869</v>
      </c>
      <c r="E3478" s="8" t="s">
        <v>20870</v>
      </c>
      <c r="F3478" s="8" t="s">
        <v>20871</v>
      </c>
      <c r="G3478" s="6" t="s">
        <v>89</v>
      </c>
      <c r="H3478" s="6" t="s">
        <v>53</v>
      </c>
      <c r="I3478" s="8" t="s">
        <v>90</v>
      </c>
      <c r="J3478" s="9">
        <v>1</v>
      </c>
      <c r="K3478" s="9">
        <v>264</v>
      </c>
      <c r="L3478" s="9">
        <v>2025</v>
      </c>
      <c r="M3478" s="8" t="s">
        <v>20872</v>
      </c>
      <c r="N3478" s="8" t="s">
        <v>41</v>
      </c>
      <c r="O3478" s="8" t="s">
        <v>1007</v>
      </c>
      <c r="P3478" s="6" t="s">
        <v>43</v>
      </c>
      <c r="Q3478" s="8" t="s">
        <v>44</v>
      </c>
      <c r="R3478" s="10" t="s">
        <v>20873</v>
      </c>
      <c r="S3478" s="11" t="s">
        <v>20874</v>
      </c>
      <c r="T3478" s="6"/>
      <c r="U3478" s="24" t="str">
        <f>HYPERLINK("https://media.infra-m.ru/2178/2178713/cover/2178713.jpg", "Обложка")</f>
        <v>Обложка</v>
      </c>
      <c r="V3478" s="24" t="str">
        <f>HYPERLINK("https://znanium.ru/catalog/product/2131812", "Ознакомиться")</f>
        <v>Ознакомиться</v>
      </c>
      <c r="W3478" s="8" t="s">
        <v>947</v>
      </c>
      <c r="X3478" s="6"/>
      <c r="Y3478" s="6"/>
      <c r="Z3478" s="6"/>
      <c r="AA3478" s="6" t="s">
        <v>219</v>
      </c>
      <c r="AB3478" s="8"/>
    </row>
    <row r="3479" spans="1:28" s="4" customFormat="1" ht="51.95" customHeight="1">
      <c r="A3479" s="5">
        <v>0</v>
      </c>
      <c r="B3479" s="6" t="s">
        <v>20875</v>
      </c>
      <c r="C3479" s="13">
        <v>1600</v>
      </c>
      <c r="D3479" s="8" t="s">
        <v>20876</v>
      </c>
      <c r="E3479" s="8" t="s">
        <v>20877</v>
      </c>
      <c r="F3479" s="8" t="s">
        <v>20878</v>
      </c>
      <c r="G3479" s="6" t="s">
        <v>52</v>
      </c>
      <c r="H3479" s="6" t="s">
        <v>53</v>
      </c>
      <c r="I3479" s="8" t="s">
        <v>90</v>
      </c>
      <c r="J3479" s="9">
        <v>1</v>
      </c>
      <c r="K3479" s="9">
        <v>420</v>
      </c>
      <c r="L3479" s="9">
        <v>2022</v>
      </c>
      <c r="M3479" s="8" t="s">
        <v>20879</v>
      </c>
      <c r="N3479" s="8" t="s">
        <v>41</v>
      </c>
      <c r="O3479" s="8" t="s">
        <v>1007</v>
      </c>
      <c r="P3479" s="6" t="s">
        <v>43</v>
      </c>
      <c r="Q3479" s="8" t="s">
        <v>44</v>
      </c>
      <c r="R3479" s="10" t="s">
        <v>2461</v>
      </c>
      <c r="S3479" s="11" t="s">
        <v>20880</v>
      </c>
      <c r="T3479" s="6"/>
      <c r="U3479" s="24" t="str">
        <f>HYPERLINK("https://media.infra-m.ru/1138/1138877/cover/1138877.jpg", "Обложка")</f>
        <v>Обложка</v>
      </c>
      <c r="V3479" s="24" t="str">
        <f>HYPERLINK("https://znanium.ru/catalog/product/1138877", "Ознакомиться")</f>
        <v>Ознакомиться</v>
      </c>
      <c r="W3479" s="8" t="s">
        <v>2406</v>
      </c>
      <c r="X3479" s="6"/>
      <c r="Y3479" s="6"/>
      <c r="Z3479" s="6"/>
      <c r="AA3479" s="6" t="s">
        <v>235</v>
      </c>
      <c r="AB3479" s="8"/>
    </row>
    <row r="3480" spans="1:28" s="4" customFormat="1" ht="51.95" customHeight="1">
      <c r="A3480" s="5">
        <v>0</v>
      </c>
      <c r="B3480" s="6" t="s">
        <v>20881</v>
      </c>
      <c r="C3480" s="13">
        <v>1434</v>
      </c>
      <c r="D3480" s="8" t="s">
        <v>20882</v>
      </c>
      <c r="E3480" s="8" t="s">
        <v>20883</v>
      </c>
      <c r="F3480" s="8" t="s">
        <v>20884</v>
      </c>
      <c r="G3480" s="6" t="s">
        <v>89</v>
      </c>
      <c r="H3480" s="6" t="s">
        <v>649</v>
      </c>
      <c r="I3480" s="8" t="s">
        <v>100</v>
      </c>
      <c r="J3480" s="9">
        <v>1</v>
      </c>
      <c r="K3480" s="9">
        <v>287</v>
      </c>
      <c r="L3480" s="9">
        <v>2025</v>
      </c>
      <c r="M3480" s="8" t="s">
        <v>20885</v>
      </c>
      <c r="N3480" s="8" t="s">
        <v>41</v>
      </c>
      <c r="O3480" s="8" t="s">
        <v>1007</v>
      </c>
      <c r="P3480" s="6" t="s">
        <v>43</v>
      </c>
      <c r="Q3480" s="8" t="s">
        <v>102</v>
      </c>
      <c r="R3480" s="10" t="s">
        <v>16580</v>
      </c>
      <c r="S3480" s="11" t="s">
        <v>20886</v>
      </c>
      <c r="T3480" s="6"/>
      <c r="U3480" s="24" t="str">
        <f>HYPERLINK("https://media.infra-m.ru/2184/2184951/cover/2184951.jpg", "Обложка")</f>
        <v>Обложка</v>
      </c>
      <c r="V3480" s="24" t="str">
        <f>HYPERLINK("https://znanium.ru/catalog/product/2012564", "Ознакомиться")</f>
        <v>Ознакомиться</v>
      </c>
      <c r="W3480" s="8" t="s">
        <v>792</v>
      </c>
      <c r="X3480" s="6"/>
      <c r="Y3480" s="6"/>
      <c r="Z3480" s="6"/>
      <c r="AA3480" s="6" t="s">
        <v>5878</v>
      </c>
      <c r="AB3480" s="8"/>
    </row>
    <row r="3481" spans="1:28" s="4" customFormat="1" ht="51.95" customHeight="1">
      <c r="A3481" s="5">
        <v>0</v>
      </c>
      <c r="B3481" s="6" t="s">
        <v>20887</v>
      </c>
      <c r="C3481" s="13">
        <v>1240</v>
      </c>
      <c r="D3481" s="8" t="s">
        <v>20888</v>
      </c>
      <c r="E3481" s="8" t="s">
        <v>20889</v>
      </c>
      <c r="F3481" s="8" t="s">
        <v>20890</v>
      </c>
      <c r="G3481" s="6" t="s">
        <v>89</v>
      </c>
      <c r="H3481" s="6" t="s">
        <v>53</v>
      </c>
      <c r="I3481" s="8" t="s">
        <v>212</v>
      </c>
      <c r="J3481" s="9">
        <v>1</v>
      </c>
      <c r="K3481" s="9">
        <v>275</v>
      </c>
      <c r="L3481" s="9">
        <v>2023</v>
      </c>
      <c r="M3481" s="8" t="s">
        <v>20891</v>
      </c>
      <c r="N3481" s="8" t="s">
        <v>41</v>
      </c>
      <c r="O3481" s="8" t="s">
        <v>1007</v>
      </c>
      <c r="P3481" s="6" t="s">
        <v>167</v>
      </c>
      <c r="Q3481" s="8" t="s">
        <v>214</v>
      </c>
      <c r="R3481" s="10" t="s">
        <v>20892</v>
      </c>
      <c r="S3481" s="11" t="s">
        <v>20893</v>
      </c>
      <c r="T3481" s="6"/>
      <c r="U3481" s="24" t="str">
        <f>HYPERLINK("https://media.infra-m.ru/1930/1930720/cover/1930720.jpg", "Обложка")</f>
        <v>Обложка</v>
      </c>
      <c r="V3481" s="24" t="str">
        <f>HYPERLINK("https://znanium.ru/catalog/product/2131554", "Ознакомиться")</f>
        <v>Ознакомиться</v>
      </c>
      <c r="W3481" s="8" t="s">
        <v>9720</v>
      </c>
      <c r="X3481" s="6"/>
      <c r="Y3481" s="6"/>
      <c r="Z3481" s="6"/>
      <c r="AA3481" s="6" t="s">
        <v>442</v>
      </c>
      <c r="AB3481" s="8"/>
    </row>
    <row r="3482" spans="1:28" s="4" customFormat="1" ht="44.1" customHeight="1">
      <c r="A3482" s="5">
        <v>0</v>
      </c>
      <c r="B3482" s="6" t="s">
        <v>20894</v>
      </c>
      <c r="C3482" s="13">
        <v>1440</v>
      </c>
      <c r="D3482" s="8" t="s">
        <v>20895</v>
      </c>
      <c r="E3482" s="8" t="s">
        <v>20896</v>
      </c>
      <c r="F3482" s="8" t="s">
        <v>20890</v>
      </c>
      <c r="G3482" s="6" t="s">
        <v>52</v>
      </c>
      <c r="H3482" s="6" t="s">
        <v>53</v>
      </c>
      <c r="I3482" s="8" t="s">
        <v>116</v>
      </c>
      <c r="J3482" s="9">
        <v>1</v>
      </c>
      <c r="K3482" s="9">
        <v>287</v>
      </c>
      <c r="L3482" s="9">
        <v>2025</v>
      </c>
      <c r="M3482" s="8" t="s">
        <v>20897</v>
      </c>
      <c r="N3482" s="8" t="s">
        <v>41</v>
      </c>
      <c r="O3482" s="8" t="s">
        <v>1007</v>
      </c>
      <c r="P3482" s="6" t="s">
        <v>167</v>
      </c>
      <c r="Q3482" s="8" t="s">
        <v>214</v>
      </c>
      <c r="R3482" s="10" t="s">
        <v>20892</v>
      </c>
      <c r="S3482" s="11"/>
      <c r="T3482" s="6"/>
      <c r="U3482" s="24" t="str">
        <f>HYPERLINK("https://media.infra-m.ru/2131/2131554/cover/2131554.jpg", "Обложка")</f>
        <v>Обложка</v>
      </c>
      <c r="V3482" s="24" t="str">
        <f>HYPERLINK("https://znanium.ru/catalog/product/2131554", "Ознакомиться")</f>
        <v>Ознакомиться</v>
      </c>
      <c r="W3482" s="8" t="s">
        <v>9720</v>
      </c>
      <c r="X3482" s="6" t="s">
        <v>389</v>
      </c>
      <c r="Y3482" s="6"/>
      <c r="Z3482" s="6"/>
      <c r="AA3482" s="6" t="s">
        <v>549</v>
      </c>
      <c r="AB3482" s="8"/>
    </row>
    <row r="3483" spans="1:28" s="4" customFormat="1" ht="51.95" customHeight="1">
      <c r="A3483" s="5">
        <v>0</v>
      </c>
      <c r="B3483" s="6" t="s">
        <v>20898</v>
      </c>
      <c r="C3483" s="13">
        <v>1394</v>
      </c>
      <c r="D3483" s="8" t="s">
        <v>20899</v>
      </c>
      <c r="E3483" s="8" t="s">
        <v>20900</v>
      </c>
      <c r="F3483" s="8" t="s">
        <v>20901</v>
      </c>
      <c r="G3483" s="6" t="s">
        <v>38</v>
      </c>
      <c r="H3483" s="6" t="s">
        <v>39</v>
      </c>
      <c r="I3483" s="8" t="s">
        <v>185</v>
      </c>
      <c r="J3483" s="9">
        <v>1</v>
      </c>
      <c r="K3483" s="9">
        <v>269</v>
      </c>
      <c r="L3483" s="9">
        <v>2025</v>
      </c>
      <c r="M3483" s="8" t="s">
        <v>20902</v>
      </c>
      <c r="N3483" s="8" t="s">
        <v>41</v>
      </c>
      <c r="O3483" s="8" t="s">
        <v>1007</v>
      </c>
      <c r="P3483" s="6" t="s">
        <v>167</v>
      </c>
      <c r="Q3483" s="8" t="s">
        <v>102</v>
      </c>
      <c r="R3483" s="10" t="s">
        <v>20903</v>
      </c>
      <c r="S3483" s="11" t="s">
        <v>20904</v>
      </c>
      <c r="T3483" s="6"/>
      <c r="U3483" s="24" t="str">
        <f>HYPERLINK("https://media.infra-m.ru/2193/2193008/cover/2193008.jpg", "Обложка")</f>
        <v>Обложка</v>
      </c>
      <c r="V3483" s="24" t="str">
        <f>HYPERLINK("https://znanium.ru/catalog/product/1907307", "Ознакомиться")</f>
        <v>Ознакомиться</v>
      </c>
      <c r="W3483" s="8" t="s">
        <v>20905</v>
      </c>
      <c r="X3483" s="6"/>
      <c r="Y3483" s="6"/>
      <c r="Z3483" s="6"/>
      <c r="AA3483" s="6" t="s">
        <v>701</v>
      </c>
      <c r="AB3483" s="8"/>
    </row>
    <row r="3484" spans="1:28" s="4" customFormat="1" ht="51.95" customHeight="1">
      <c r="A3484" s="5">
        <v>0</v>
      </c>
      <c r="B3484" s="6" t="s">
        <v>20906</v>
      </c>
      <c r="C3484" s="13">
        <v>1370</v>
      </c>
      <c r="D3484" s="8" t="s">
        <v>20907</v>
      </c>
      <c r="E3484" s="8" t="s">
        <v>20908</v>
      </c>
      <c r="F3484" s="8" t="s">
        <v>20909</v>
      </c>
      <c r="G3484" s="6" t="s">
        <v>89</v>
      </c>
      <c r="H3484" s="6" t="s">
        <v>53</v>
      </c>
      <c r="I3484" s="8" t="s">
        <v>3356</v>
      </c>
      <c r="J3484" s="9">
        <v>1</v>
      </c>
      <c r="K3484" s="9">
        <v>273</v>
      </c>
      <c r="L3484" s="9">
        <v>2025</v>
      </c>
      <c r="M3484" s="8" t="s">
        <v>20910</v>
      </c>
      <c r="N3484" s="8" t="s">
        <v>79</v>
      </c>
      <c r="O3484" s="8" t="s">
        <v>396</v>
      </c>
      <c r="P3484" s="6" t="s">
        <v>43</v>
      </c>
      <c r="Q3484" s="8" t="s">
        <v>214</v>
      </c>
      <c r="R3484" s="10" t="s">
        <v>20911</v>
      </c>
      <c r="S3484" s="11" t="s">
        <v>15911</v>
      </c>
      <c r="T3484" s="6"/>
      <c r="U3484" s="24" t="str">
        <f>HYPERLINK("https://media.infra-m.ru/2174/2174940/cover/2174940.jpg", "Обложка")</f>
        <v>Обложка</v>
      </c>
      <c r="V3484" s="12"/>
      <c r="W3484" s="8" t="s">
        <v>784</v>
      </c>
      <c r="X3484" s="6"/>
      <c r="Y3484" s="6"/>
      <c r="Z3484" s="6"/>
      <c r="AA3484" s="6" t="s">
        <v>151</v>
      </c>
      <c r="AB3484" s="8"/>
    </row>
    <row r="3485" spans="1:28" s="4" customFormat="1" ht="51.95" customHeight="1">
      <c r="A3485" s="5">
        <v>0</v>
      </c>
      <c r="B3485" s="6" t="s">
        <v>20912</v>
      </c>
      <c r="C3485" s="13">
        <v>1340</v>
      </c>
      <c r="D3485" s="8" t="s">
        <v>20913</v>
      </c>
      <c r="E3485" s="8" t="s">
        <v>20914</v>
      </c>
      <c r="F3485" s="8" t="s">
        <v>20915</v>
      </c>
      <c r="G3485" s="6" t="s">
        <v>89</v>
      </c>
      <c r="H3485" s="6" t="s">
        <v>53</v>
      </c>
      <c r="I3485" s="8" t="s">
        <v>100</v>
      </c>
      <c r="J3485" s="9">
        <v>1</v>
      </c>
      <c r="K3485" s="9">
        <v>256</v>
      </c>
      <c r="L3485" s="9">
        <v>2025</v>
      </c>
      <c r="M3485" s="8" t="s">
        <v>20916</v>
      </c>
      <c r="N3485" s="8" t="s">
        <v>79</v>
      </c>
      <c r="O3485" s="8" t="s">
        <v>424</v>
      </c>
      <c r="P3485" s="6" t="s">
        <v>167</v>
      </c>
      <c r="Q3485" s="8" t="s">
        <v>102</v>
      </c>
      <c r="R3485" s="10" t="s">
        <v>13305</v>
      </c>
      <c r="S3485" s="11" t="s">
        <v>20917</v>
      </c>
      <c r="T3485" s="6"/>
      <c r="U3485" s="24" t="str">
        <f>HYPERLINK("https://media.infra-m.ru/2184/2184266/cover/2184266.jpg", "Обложка")</f>
        <v>Обложка</v>
      </c>
      <c r="V3485" s="24" t="str">
        <f>HYPERLINK("https://znanium.ru/catalog/product/2184266", "Ознакомиться")</f>
        <v>Ознакомиться</v>
      </c>
      <c r="W3485" s="8" t="s">
        <v>478</v>
      </c>
      <c r="X3485" s="6"/>
      <c r="Y3485" s="6"/>
      <c r="Z3485" s="6"/>
      <c r="AA3485" s="6" t="s">
        <v>3065</v>
      </c>
      <c r="AB3485" s="8"/>
    </row>
    <row r="3486" spans="1:28" s="4" customFormat="1" ht="42" customHeight="1">
      <c r="A3486" s="5">
        <v>0</v>
      </c>
      <c r="B3486" s="6" t="s">
        <v>20918</v>
      </c>
      <c r="C3486" s="13">
        <v>1930</v>
      </c>
      <c r="D3486" s="8" t="s">
        <v>20919</v>
      </c>
      <c r="E3486" s="8" t="s">
        <v>20920</v>
      </c>
      <c r="F3486" s="8" t="s">
        <v>20921</v>
      </c>
      <c r="G3486" s="6" t="s">
        <v>52</v>
      </c>
      <c r="H3486" s="6" t="s">
        <v>53</v>
      </c>
      <c r="I3486" s="8" t="s">
        <v>116</v>
      </c>
      <c r="J3486" s="9">
        <v>1</v>
      </c>
      <c r="K3486" s="9">
        <v>410</v>
      </c>
      <c r="L3486" s="9">
        <v>2024</v>
      </c>
      <c r="M3486" s="8" t="s">
        <v>20922</v>
      </c>
      <c r="N3486" s="8" t="s">
        <v>79</v>
      </c>
      <c r="O3486" s="8" t="s">
        <v>396</v>
      </c>
      <c r="P3486" s="6" t="s">
        <v>43</v>
      </c>
      <c r="Q3486" s="8" t="s">
        <v>58</v>
      </c>
      <c r="R3486" s="10" t="s">
        <v>20923</v>
      </c>
      <c r="S3486" s="11"/>
      <c r="T3486" s="6"/>
      <c r="U3486" s="24" t="str">
        <f>HYPERLINK("https://media.infra-m.ru/2125/2125174/cover/2125174.jpg", "Обложка")</f>
        <v>Обложка</v>
      </c>
      <c r="V3486" s="24" t="str">
        <f>HYPERLINK("https://znanium.ru/catalog/product/2125174", "Ознакомиться")</f>
        <v>Ознакомиться</v>
      </c>
      <c r="W3486" s="8" t="s">
        <v>71</v>
      </c>
      <c r="X3486" s="6"/>
      <c r="Y3486" s="6"/>
      <c r="Z3486" s="6"/>
      <c r="AA3486" s="6" t="s">
        <v>133</v>
      </c>
      <c r="AB3486" s="8"/>
    </row>
    <row r="3487" spans="1:28" s="4" customFormat="1" ht="51.95" customHeight="1">
      <c r="A3487" s="5">
        <v>0</v>
      </c>
      <c r="B3487" s="6" t="s">
        <v>20924</v>
      </c>
      <c r="C3487" s="13">
        <v>1930</v>
      </c>
      <c r="D3487" s="8" t="s">
        <v>20925</v>
      </c>
      <c r="E3487" s="8" t="s">
        <v>20920</v>
      </c>
      <c r="F3487" s="8" t="s">
        <v>20921</v>
      </c>
      <c r="G3487" s="6" t="s">
        <v>52</v>
      </c>
      <c r="H3487" s="6" t="s">
        <v>53</v>
      </c>
      <c r="I3487" s="8" t="s">
        <v>100</v>
      </c>
      <c r="J3487" s="9">
        <v>1</v>
      </c>
      <c r="K3487" s="9">
        <v>410</v>
      </c>
      <c r="L3487" s="9">
        <v>2024</v>
      </c>
      <c r="M3487" s="8" t="s">
        <v>20926</v>
      </c>
      <c r="N3487" s="8" t="s">
        <v>79</v>
      </c>
      <c r="O3487" s="8" t="s">
        <v>396</v>
      </c>
      <c r="P3487" s="6" t="s">
        <v>43</v>
      </c>
      <c r="Q3487" s="8" t="s">
        <v>102</v>
      </c>
      <c r="R3487" s="10" t="s">
        <v>20927</v>
      </c>
      <c r="S3487" s="11"/>
      <c r="T3487" s="6"/>
      <c r="U3487" s="24" t="str">
        <f>HYPERLINK("https://media.infra-m.ru/2147/2147816/cover/2147816.jpg", "Обложка")</f>
        <v>Обложка</v>
      </c>
      <c r="V3487" s="24" t="str">
        <f>HYPERLINK("https://znanium.ru/catalog/product/2196268", "Ознакомиться")</f>
        <v>Ознакомиться</v>
      </c>
      <c r="W3487" s="8" t="s">
        <v>71</v>
      </c>
      <c r="X3487" s="6" t="s">
        <v>3761</v>
      </c>
      <c r="Y3487" s="6"/>
      <c r="Z3487" s="6" t="s">
        <v>502</v>
      </c>
      <c r="AA3487" s="6" t="s">
        <v>133</v>
      </c>
      <c r="AB3487" s="8"/>
    </row>
    <row r="3488" spans="1:28" s="4" customFormat="1" ht="42" customHeight="1">
      <c r="A3488" s="5">
        <v>0</v>
      </c>
      <c r="B3488" s="6" t="s">
        <v>20928</v>
      </c>
      <c r="C3488" s="13">
        <v>1360</v>
      </c>
      <c r="D3488" s="8" t="s">
        <v>20929</v>
      </c>
      <c r="E3488" s="8" t="s">
        <v>20930</v>
      </c>
      <c r="F3488" s="8" t="s">
        <v>20931</v>
      </c>
      <c r="G3488" s="6" t="s">
        <v>89</v>
      </c>
      <c r="H3488" s="6" t="s">
        <v>438</v>
      </c>
      <c r="I3488" s="8"/>
      <c r="J3488" s="9">
        <v>1</v>
      </c>
      <c r="K3488" s="9">
        <v>286</v>
      </c>
      <c r="L3488" s="9">
        <v>2024</v>
      </c>
      <c r="M3488" s="8" t="s">
        <v>20932</v>
      </c>
      <c r="N3488" s="8" t="s">
        <v>79</v>
      </c>
      <c r="O3488" s="8" t="s">
        <v>396</v>
      </c>
      <c r="P3488" s="6" t="s">
        <v>167</v>
      </c>
      <c r="Q3488" s="8" t="s">
        <v>102</v>
      </c>
      <c r="R3488" s="10" t="s">
        <v>20933</v>
      </c>
      <c r="S3488" s="11"/>
      <c r="T3488" s="6"/>
      <c r="U3488" s="24" t="str">
        <f>HYPERLINK("https://media.infra-m.ru/2143/2143458/cover/2143458.jpg", "Обложка")</f>
        <v>Обложка</v>
      </c>
      <c r="V3488" s="24" t="str">
        <f>HYPERLINK("https://znanium.ru/catalog/product/1959236", "Ознакомиться")</f>
        <v>Ознакомиться</v>
      </c>
      <c r="W3488" s="8" t="s">
        <v>399</v>
      </c>
      <c r="X3488" s="6"/>
      <c r="Y3488" s="6"/>
      <c r="Z3488" s="6"/>
      <c r="AA3488" s="6" t="s">
        <v>442</v>
      </c>
      <c r="AB3488" s="8"/>
    </row>
    <row r="3489" spans="1:28" s="4" customFormat="1" ht="42" customHeight="1">
      <c r="A3489" s="5">
        <v>0</v>
      </c>
      <c r="B3489" s="6" t="s">
        <v>20934</v>
      </c>
      <c r="C3489" s="13">
        <v>1280</v>
      </c>
      <c r="D3489" s="8" t="s">
        <v>20935</v>
      </c>
      <c r="E3489" s="8" t="s">
        <v>20936</v>
      </c>
      <c r="F3489" s="8" t="s">
        <v>20937</v>
      </c>
      <c r="G3489" s="6" t="s">
        <v>52</v>
      </c>
      <c r="H3489" s="6" t="s">
        <v>53</v>
      </c>
      <c r="I3489" s="8" t="s">
        <v>712</v>
      </c>
      <c r="J3489" s="9">
        <v>1</v>
      </c>
      <c r="K3489" s="9">
        <v>253</v>
      </c>
      <c r="L3489" s="9">
        <v>2025</v>
      </c>
      <c r="M3489" s="8" t="s">
        <v>20938</v>
      </c>
      <c r="N3489" s="8" t="s">
        <v>79</v>
      </c>
      <c r="O3489" s="8" t="s">
        <v>148</v>
      </c>
      <c r="P3489" s="6" t="s">
        <v>43</v>
      </c>
      <c r="Q3489" s="8" t="s">
        <v>44</v>
      </c>
      <c r="R3489" s="10" t="s">
        <v>20586</v>
      </c>
      <c r="S3489" s="11"/>
      <c r="T3489" s="6"/>
      <c r="U3489" s="24" t="str">
        <f>HYPERLINK("https://media.infra-m.ru/2136/2136163/cover/2136163.jpg", "Обложка")</f>
        <v>Обложка</v>
      </c>
      <c r="V3489" s="24" t="str">
        <f>HYPERLINK("https://znanium.ru/catalog/product/2136163", "Ознакомиться")</f>
        <v>Ознакомиться</v>
      </c>
      <c r="W3489" s="8" t="s">
        <v>716</v>
      </c>
      <c r="X3489" s="6" t="s">
        <v>548</v>
      </c>
      <c r="Y3489" s="6"/>
      <c r="Z3489" s="6"/>
      <c r="AA3489" s="6" t="s">
        <v>61</v>
      </c>
      <c r="AB3489" s="8"/>
    </row>
    <row r="3490" spans="1:28" s="4" customFormat="1" ht="51.95" customHeight="1">
      <c r="A3490" s="5">
        <v>0</v>
      </c>
      <c r="B3490" s="6" t="s">
        <v>20939</v>
      </c>
      <c r="C3490" s="13">
        <v>1330</v>
      </c>
      <c r="D3490" s="8" t="s">
        <v>20940</v>
      </c>
      <c r="E3490" s="8" t="s">
        <v>20941</v>
      </c>
      <c r="F3490" s="8" t="s">
        <v>20942</v>
      </c>
      <c r="G3490" s="6" t="s">
        <v>52</v>
      </c>
      <c r="H3490" s="6" t="s">
        <v>53</v>
      </c>
      <c r="I3490" s="8" t="s">
        <v>116</v>
      </c>
      <c r="J3490" s="9">
        <v>1</v>
      </c>
      <c r="K3490" s="9">
        <v>254</v>
      </c>
      <c r="L3490" s="9">
        <v>2025</v>
      </c>
      <c r="M3490" s="8" t="s">
        <v>20943</v>
      </c>
      <c r="N3490" s="8" t="s">
        <v>56</v>
      </c>
      <c r="O3490" s="8" t="s">
        <v>4042</v>
      </c>
      <c r="P3490" s="6" t="s">
        <v>167</v>
      </c>
      <c r="Q3490" s="8" t="s">
        <v>44</v>
      </c>
      <c r="R3490" s="10" t="s">
        <v>20944</v>
      </c>
      <c r="S3490" s="11"/>
      <c r="T3490" s="6"/>
      <c r="U3490" s="24" t="str">
        <f>HYPERLINK("https://media.infra-m.ru/2198/2198242/cover/2198242.jpg", "Обложка")</f>
        <v>Обложка</v>
      </c>
      <c r="V3490" s="24" t="str">
        <f>HYPERLINK("https://znanium.ru/catalog/product/2198242", "Ознакомиться")</f>
        <v>Ознакомиться</v>
      </c>
      <c r="W3490" s="8" t="s">
        <v>243</v>
      </c>
      <c r="X3490" s="6" t="s">
        <v>60</v>
      </c>
      <c r="Y3490" s="6"/>
      <c r="Z3490" s="6"/>
      <c r="AA3490" s="6" t="s">
        <v>818</v>
      </c>
      <c r="AB3490" s="8"/>
    </row>
    <row r="3491" spans="1:28" s="4" customFormat="1" ht="51.95" customHeight="1">
      <c r="A3491" s="5">
        <v>0</v>
      </c>
      <c r="B3491" s="6" t="s">
        <v>20945</v>
      </c>
      <c r="C3491" s="13">
        <v>1340</v>
      </c>
      <c r="D3491" s="8" t="s">
        <v>20946</v>
      </c>
      <c r="E3491" s="8" t="s">
        <v>20941</v>
      </c>
      <c r="F3491" s="8" t="s">
        <v>20942</v>
      </c>
      <c r="G3491" s="6" t="s">
        <v>52</v>
      </c>
      <c r="H3491" s="6" t="s">
        <v>53</v>
      </c>
      <c r="I3491" s="8" t="s">
        <v>100</v>
      </c>
      <c r="J3491" s="9">
        <v>20</v>
      </c>
      <c r="K3491" s="9">
        <v>254</v>
      </c>
      <c r="L3491" s="9">
        <v>2025</v>
      </c>
      <c r="M3491" s="8" t="s">
        <v>20947</v>
      </c>
      <c r="N3491" s="8" t="s">
        <v>56</v>
      </c>
      <c r="O3491" s="8" t="s">
        <v>4042</v>
      </c>
      <c r="P3491" s="6" t="s">
        <v>167</v>
      </c>
      <c r="Q3491" s="8" t="s">
        <v>102</v>
      </c>
      <c r="R3491" s="10" t="s">
        <v>20948</v>
      </c>
      <c r="S3491" s="11" t="s">
        <v>2650</v>
      </c>
      <c r="T3491" s="6"/>
      <c r="U3491" s="24" t="str">
        <f>HYPERLINK("https://media.infra-m.ru/1251/1251641/cover/1251641.jpg", "Обложка")</f>
        <v>Обложка</v>
      </c>
      <c r="V3491" s="24" t="str">
        <f>HYPERLINK("https://znanium.ru/catalog/product/1251641", "Ознакомиться")</f>
        <v>Ознакомиться</v>
      </c>
      <c r="W3491" s="8" t="s">
        <v>243</v>
      </c>
      <c r="X3491" s="6" t="s">
        <v>389</v>
      </c>
      <c r="Y3491" s="6"/>
      <c r="Z3491" s="6"/>
      <c r="AA3491" s="6" t="s">
        <v>818</v>
      </c>
      <c r="AB3491" s="8"/>
    </row>
    <row r="3492" spans="1:28" s="4" customFormat="1" ht="51.95" customHeight="1">
      <c r="A3492" s="5">
        <v>0</v>
      </c>
      <c r="B3492" s="6" t="s">
        <v>20949</v>
      </c>
      <c r="C3492" s="13">
        <v>1364.9</v>
      </c>
      <c r="D3492" s="8" t="s">
        <v>20950</v>
      </c>
      <c r="E3492" s="8" t="s">
        <v>20951</v>
      </c>
      <c r="F3492" s="8" t="s">
        <v>20952</v>
      </c>
      <c r="G3492" s="6" t="s">
        <v>52</v>
      </c>
      <c r="H3492" s="6" t="s">
        <v>649</v>
      </c>
      <c r="I3492" s="8" t="s">
        <v>185</v>
      </c>
      <c r="J3492" s="9">
        <v>1</v>
      </c>
      <c r="K3492" s="9">
        <v>304</v>
      </c>
      <c r="L3492" s="9">
        <v>2023</v>
      </c>
      <c r="M3492" s="8" t="s">
        <v>20953</v>
      </c>
      <c r="N3492" s="8" t="s">
        <v>56</v>
      </c>
      <c r="O3492" s="8" t="s">
        <v>4042</v>
      </c>
      <c r="P3492" s="6" t="s">
        <v>167</v>
      </c>
      <c r="Q3492" s="8" t="s">
        <v>102</v>
      </c>
      <c r="R3492" s="10" t="s">
        <v>20954</v>
      </c>
      <c r="S3492" s="11" t="s">
        <v>2650</v>
      </c>
      <c r="T3492" s="6"/>
      <c r="U3492" s="24" t="str">
        <f>HYPERLINK("https://media.infra-m.ru/1900/1900720/cover/1900720.jpg", "Обложка")</f>
        <v>Обложка</v>
      </c>
      <c r="V3492" s="24" t="str">
        <f>HYPERLINK("https://znanium.ru/catalog/product/1818640", "Ознакомиться")</f>
        <v>Ознакомиться</v>
      </c>
      <c r="W3492" s="8" t="s">
        <v>12172</v>
      </c>
      <c r="X3492" s="6"/>
      <c r="Y3492" s="6"/>
      <c r="Z3492" s="6"/>
      <c r="AA3492" s="6" t="s">
        <v>555</v>
      </c>
      <c r="AB3492" s="8"/>
    </row>
    <row r="3493" spans="1:28" s="4" customFormat="1" ht="51.95" customHeight="1">
      <c r="A3493" s="5">
        <v>0</v>
      </c>
      <c r="B3493" s="6" t="s">
        <v>20955</v>
      </c>
      <c r="C3493" s="13">
        <v>2234</v>
      </c>
      <c r="D3493" s="8" t="s">
        <v>20956</v>
      </c>
      <c r="E3493" s="8" t="s">
        <v>20957</v>
      </c>
      <c r="F3493" s="8" t="s">
        <v>20958</v>
      </c>
      <c r="G3493" s="6" t="s">
        <v>52</v>
      </c>
      <c r="H3493" s="6" t="s">
        <v>674</v>
      </c>
      <c r="I3493" s="8"/>
      <c r="J3493" s="9">
        <v>1</v>
      </c>
      <c r="K3493" s="9">
        <v>448</v>
      </c>
      <c r="L3493" s="9">
        <v>2024</v>
      </c>
      <c r="M3493" s="8" t="s">
        <v>20959</v>
      </c>
      <c r="N3493" s="8" t="s">
        <v>41</v>
      </c>
      <c r="O3493" s="8" t="s">
        <v>676</v>
      </c>
      <c r="P3493" s="6" t="s">
        <v>167</v>
      </c>
      <c r="Q3493" s="8" t="s">
        <v>44</v>
      </c>
      <c r="R3493" s="10" t="s">
        <v>2736</v>
      </c>
      <c r="S3493" s="11"/>
      <c r="T3493" s="6"/>
      <c r="U3493" s="24" t="str">
        <f>HYPERLINK("https://media.infra-m.ru/2044/2044252/cover/2044252.jpg", "Обложка")</f>
        <v>Обложка</v>
      </c>
      <c r="V3493" s="24" t="str">
        <f>HYPERLINK("https://znanium.ru/catalog/product/1850696", "Ознакомиться")</f>
        <v>Ознакомиться</v>
      </c>
      <c r="W3493" s="8" t="s">
        <v>792</v>
      </c>
      <c r="X3493" s="6"/>
      <c r="Y3493" s="6"/>
      <c r="Z3493" s="6"/>
      <c r="AA3493" s="6" t="s">
        <v>2217</v>
      </c>
      <c r="AB3493" s="8"/>
    </row>
    <row r="3494" spans="1:28" s="4" customFormat="1" ht="42" customHeight="1">
      <c r="A3494" s="5">
        <v>0</v>
      </c>
      <c r="B3494" s="6" t="s">
        <v>20960</v>
      </c>
      <c r="C3494" s="13">
        <v>1114.9000000000001</v>
      </c>
      <c r="D3494" s="8" t="s">
        <v>20961</v>
      </c>
      <c r="E3494" s="8" t="s">
        <v>20962</v>
      </c>
      <c r="F3494" s="8" t="s">
        <v>20963</v>
      </c>
      <c r="G3494" s="6" t="s">
        <v>52</v>
      </c>
      <c r="H3494" s="6" t="s">
        <v>77</v>
      </c>
      <c r="I3494" s="8"/>
      <c r="J3494" s="9">
        <v>1</v>
      </c>
      <c r="K3494" s="9">
        <v>247</v>
      </c>
      <c r="L3494" s="9">
        <v>2023</v>
      </c>
      <c r="M3494" s="8" t="s">
        <v>20964</v>
      </c>
      <c r="N3494" s="8" t="s">
        <v>413</v>
      </c>
      <c r="O3494" s="8" t="s">
        <v>1141</v>
      </c>
      <c r="P3494" s="6" t="s">
        <v>43</v>
      </c>
      <c r="Q3494" s="8" t="s">
        <v>279</v>
      </c>
      <c r="R3494" s="10" t="s">
        <v>20965</v>
      </c>
      <c r="S3494" s="11"/>
      <c r="T3494" s="6"/>
      <c r="U3494" s="24" t="str">
        <f>HYPERLINK("https://media.infra-m.ru/1894/1894529/cover/1894529.jpg", "Обложка")</f>
        <v>Обложка</v>
      </c>
      <c r="V3494" s="24" t="str">
        <f>HYPERLINK("https://znanium.ru/catalog/product/1858556", "Ознакомиться")</f>
        <v>Ознакомиться</v>
      </c>
      <c r="W3494" s="8" t="s">
        <v>150</v>
      </c>
      <c r="X3494" s="6"/>
      <c r="Y3494" s="6"/>
      <c r="Z3494" s="6"/>
      <c r="AA3494" s="6" t="s">
        <v>111</v>
      </c>
      <c r="AB3494" s="8"/>
    </row>
    <row r="3495" spans="1:28" s="4" customFormat="1" ht="51.95" customHeight="1">
      <c r="A3495" s="5">
        <v>0</v>
      </c>
      <c r="B3495" s="6" t="s">
        <v>20966</v>
      </c>
      <c r="C3495" s="7">
        <v>754</v>
      </c>
      <c r="D3495" s="8" t="s">
        <v>20967</v>
      </c>
      <c r="E3495" s="8" t="s">
        <v>20968</v>
      </c>
      <c r="F3495" s="8" t="s">
        <v>20969</v>
      </c>
      <c r="G3495" s="6" t="s">
        <v>38</v>
      </c>
      <c r="H3495" s="6" t="s">
        <v>649</v>
      </c>
      <c r="I3495" s="8" t="s">
        <v>116</v>
      </c>
      <c r="J3495" s="9">
        <v>1</v>
      </c>
      <c r="K3495" s="9">
        <v>160</v>
      </c>
      <c r="L3495" s="9">
        <v>2024</v>
      </c>
      <c r="M3495" s="8" t="s">
        <v>20970</v>
      </c>
      <c r="N3495" s="8" t="s">
        <v>79</v>
      </c>
      <c r="O3495" s="8" t="s">
        <v>396</v>
      </c>
      <c r="P3495" s="6" t="s">
        <v>43</v>
      </c>
      <c r="Q3495" s="8" t="s">
        <v>44</v>
      </c>
      <c r="R3495" s="10" t="s">
        <v>20971</v>
      </c>
      <c r="S3495" s="11" t="s">
        <v>20972</v>
      </c>
      <c r="T3495" s="6"/>
      <c r="U3495" s="24" t="str">
        <f>HYPERLINK("https://media.infra-m.ru/2054/2054985/cover/2054985.jpg", "Обложка")</f>
        <v>Обложка</v>
      </c>
      <c r="V3495" s="12"/>
      <c r="W3495" s="8" t="s">
        <v>71</v>
      </c>
      <c r="X3495" s="6"/>
      <c r="Y3495" s="6"/>
      <c r="Z3495" s="6"/>
      <c r="AA3495" s="6" t="s">
        <v>555</v>
      </c>
      <c r="AB3495" s="8"/>
    </row>
    <row r="3496" spans="1:28" s="4" customFormat="1" ht="44.1" customHeight="1">
      <c r="A3496" s="5">
        <v>0</v>
      </c>
      <c r="B3496" s="6" t="s">
        <v>20973</v>
      </c>
      <c r="C3496" s="7">
        <v>810</v>
      </c>
      <c r="D3496" s="8" t="s">
        <v>20974</v>
      </c>
      <c r="E3496" s="8" t="s">
        <v>20975</v>
      </c>
      <c r="F3496" s="8" t="s">
        <v>20976</v>
      </c>
      <c r="G3496" s="6" t="s">
        <v>89</v>
      </c>
      <c r="H3496" s="6" t="s">
        <v>674</v>
      </c>
      <c r="I3496" s="8"/>
      <c r="J3496" s="9">
        <v>1</v>
      </c>
      <c r="K3496" s="9">
        <v>152</v>
      </c>
      <c r="L3496" s="9">
        <v>2024</v>
      </c>
      <c r="M3496" s="8" t="s">
        <v>20977</v>
      </c>
      <c r="N3496" s="8" t="s">
        <v>41</v>
      </c>
      <c r="O3496" s="8" t="s">
        <v>676</v>
      </c>
      <c r="P3496" s="6" t="s">
        <v>43</v>
      </c>
      <c r="Q3496" s="8" t="s">
        <v>44</v>
      </c>
      <c r="R3496" s="10" t="s">
        <v>8910</v>
      </c>
      <c r="S3496" s="11"/>
      <c r="T3496" s="6"/>
      <c r="U3496" s="24" t="str">
        <f>HYPERLINK("https://media.infra-m.ru/2132/2132304/cover/2132304.jpg", "Обложка")</f>
        <v>Обложка</v>
      </c>
      <c r="V3496" s="24" t="str">
        <f>HYPERLINK("https://znanium.ru/catalog/product/1845291", "Ознакомиться")</f>
        <v>Ознакомиться</v>
      </c>
      <c r="W3496" s="8" t="s">
        <v>15968</v>
      </c>
      <c r="X3496" s="6"/>
      <c r="Y3496" s="6"/>
      <c r="Z3496" s="6"/>
      <c r="AA3496" s="6" t="s">
        <v>235</v>
      </c>
      <c r="AB3496" s="8"/>
    </row>
    <row r="3497" spans="1:28" s="4" customFormat="1" ht="42" customHeight="1">
      <c r="A3497" s="5">
        <v>0</v>
      </c>
      <c r="B3497" s="6" t="s">
        <v>20978</v>
      </c>
      <c r="C3497" s="7">
        <v>880</v>
      </c>
      <c r="D3497" s="8" t="s">
        <v>20979</v>
      </c>
      <c r="E3497" s="8" t="s">
        <v>20980</v>
      </c>
      <c r="F3497" s="8" t="s">
        <v>20981</v>
      </c>
      <c r="G3497" s="6" t="s">
        <v>38</v>
      </c>
      <c r="H3497" s="6" t="s">
        <v>39</v>
      </c>
      <c r="I3497" s="8" t="s">
        <v>116</v>
      </c>
      <c r="J3497" s="9">
        <v>1</v>
      </c>
      <c r="K3497" s="9">
        <v>176</v>
      </c>
      <c r="L3497" s="9">
        <v>2024</v>
      </c>
      <c r="M3497" s="8" t="s">
        <v>20982</v>
      </c>
      <c r="N3497" s="8" t="s">
        <v>997</v>
      </c>
      <c r="O3497" s="8" t="s">
        <v>998</v>
      </c>
      <c r="P3497" s="6" t="s">
        <v>43</v>
      </c>
      <c r="Q3497" s="8" t="s">
        <v>44</v>
      </c>
      <c r="R3497" s="10" t="s">
        <v>6394</v>
      </c>
      <c r="S3497" s="11"/>
      <c r="T3497" s="6"/>
      <c r="U3497" s="24" t="str">
        <f>HYPERLINK("https://media.infra-m.ru/2170/2170873/cover/2170873.jpg", "Обложка")</f>
        <v>Обложка</v>
      </c>
      <c r="V3497" s="24" t="str">
        <f>HYPERLINK("https://znanium.ru/catalog/product/2170873", "Ознакомиться")</f>
        <v>Ознакомиться</v>
      </c>
      <c r="W3497" s="8" t="s">
        <v>6648</v>
      </c>
      <c r="X3497" s="6"/>
      <c r="Y3497" s="6"/>
      <c r="Z3497" s="6"/>
      <c r="AA3497" s="6" t="s">
        <v>418</v>
      </c>
      <c r="AB3497" s="8"/>
    </row>
    <row r="3498" spans="1:28" s="4" customFormat="1" ht="51.95" customHeight="1">
      <c r="A3498" s="5">
        <v>0</v>
      </c>
      <c r="B3498" s="6" t="s">
        <v>20983</v>
      </c>
      <c r="C3498" s="7">
        <v>930</v>
      </c>
      <c r="D3498" s="8" t="s">
        <v>20984</v>
      </c>
      <c r="E3498" s="8" t="s">
        <v>20985</v>
      </c>
      <c r="F3498" s="8" t="s">
        <v>720</v>
      </c>
      <c r="G3498" s="6" t="s">
        <v>89</v>
      </c>
      <c r="H3498" s="6" t="s">
        <v>53</v>
      </c>
      <c r="I3498" s="8" t="s">
        <v>100</v>
      </c>
      <c r="J3498" s="9">
        <v>1</v>
      </c>
      <c r="K3498" s="9">
        <v>202</v>
      </c>
      <c r="L3498" s="9">
        <v>2024</v>
      </c>
      <c r="M3498" s="8" t="s">
        <v>20986</v>
      </c>
      <c r="N3498" s="8" t="s">
        <v>79</v>
      </c>
      <c r="O3498" s="8" t="s">
        <v>684</v>
      </c>
      <c r="P3498" s="6" t="s">
        <v>43</v>
      </c>
      <c r="Q3498" s="8" t="s">
        <v>102</v>
      </c>
      <c r="R3498" s="10" t="s">
        <v>20987</v>
      </c>
      <c r="S3498" s="11" t="s">
        <v>692</v>
      </c>
      <c r="T3498" s="6"/>
      <c r="U3498" s="24" t="str">
        <f>HYPERLINK("https://media.infra-m.ru/2086/2086795/cover/2086795.jpg", "Обложка")</f>
        <v>Обложка</v>
      </c>
      <c r="V3498" s="24" t="str">
        <f>HYPERLINK("https://znanium.ru/catalog/product/2086795", "Ознакомиться")</f>
        <v>Ознакомиться</v>
      </c>
      <c r="W3498" s="8" t="s">
        <v>637</v>
      </c>
      <c r="X3498" s="6"/>
      <c r="Y3498" s="6"/>
      <c r="Z3498" s="6" t="s">
        <v>104</v>
      </c>
      <c r="AA3498" s="6" t="s">
        <v>258</v>
      </c>
      <c r="AB3498" s="8"/>
    </row>
    <row r="3499" spans="1:28" s="4" customFormat="1" ht="51.95" customHeight="1">
      <c r="A3499" s="5">
        <v>0</v>
      </c>
      <c r="B3499" s="6" t="s">
        <v>20988</v>
      </c>
      <c r="C3499" s="7">
        <v>930</v>
      </c>
      <c r="D3499" s="8" t="s">
        <v>20989</v>
      </c>
      <c r="E3499" s="8" t="s">
        <v>20985</v>
      </c>
      <c r="F3499" s="8" t="s">
        <v>720</v>
      </c>
      <c r="G3499" s="6" t="s">
        <v>89</v>
      </c>
      <c r="H3499" s="6" t="s">
        <v>53</v>
      </c>
      <c r="I3499" s="8" t="s">
        <v>116</v>
      </c>
      <c r="J3499" s="9">
        <v>1</v>
      </c>
      <c r="K3499" s="9">
        <v>202</v>
      </c>
      <c r="L3499" s="9">
        <v>2024</v>
      </c>
      <c r="M3499" s="8" t="s">
        <v>20990</v>
      </c>
      <c r="N3499" s="8" t="s">
        <v>79</v>
      </c>
      <c r="O3499" s="8" t="s">
        <v>684</v>
      </c>
      <c r="P3499" s="6" t="s">
        <v>43</v>
      </c>
      <c r="Q3499" s="8" t="s">
        <v>44</v>
      </c>
      <c r="R3499" s="10" t="s">
        <v>20991</v>
      </c>
      <c r="S3499" s="11" t="s">
        <v>20992</v>
      </c>
      <c r="T3499" s="6"/>
      <c r="U3499" s="24" t="str">
        <f>HYPERLINK("https://media.infra-m.ru/2084/2084501/cover/2084501.jpg", "Обложка")</f>
        <v>Обложка</v>
      </c>
      <c r="V3499" s="24" t="str">
        <f>HYPERLINK("https://znanium.ru/catalog/product/2084501", "Ознакомиться")</f>
        <v>Ознакомиться</v>
      </c>
      <c r="W3499" s="8" t="s">
        <v>637</v>
      </c>
      <c r="X3499" s="6"/>
      <c r="Y3499" s="6"/>
      <c r="Z3499" s="6"/>
      <c r="AA3499" s="6" t="s">
        <v>442</v>
      </c>
      <c r="AB3499" s="8"/>
    </row>
    <row r="3500" spans="1:28" s="4" customFormat="1" ht="51.95" customHeight="1">
      <c r="A3500" s="5">
        <v>0</v>
      </c>
      <c r="B3500" s="6" t="s">
        <v>20993</v>
      </c>
      <c r="C3500" s="7">
        <v>824</v>
      </c>
      <c r="D3500" s="8" t="s">
        <v>20994</v>
      </c>
      <c r="E3500" s="8" t="s">
        <v>20968</v>
      </c>
      <c r="F3500" s="8" t="s">
        <v>20995</v>
      </c>
      <c r="G3500" s="6" t="s">
        <v>89</v>
      </c>
      <c r="H3500" s="6" t="s">
        <v>649</v>
      </c>
      <c r="I3500" s="8" t="s">
        <v>100</v>
      </c>
      <c r="J3500" s="9">
        <v>1</v>
      </c>
      <c r="K3500" s="9">
        <v>160</v>
      </c>
      <c r="L3500" s="9">
        <v>2024</v>
      </c>
      <c r="M3500" s="8" t="s">
        <v>20996</v>
      </c>
      <c r="N3500" s="8" t="s">
        <v>79</v>
      </c>
      <c r="O3500" s="8" t="s">
        <v>396</v>
      </c>
      <c r="P3500" s="6" t="s">
        <v>43</v>
      </c>
      <c r="Q3500" s="8" t="s">
        <v>102</v>
      </c>
      <c r="R3500" s="10" t="s">
        <v>20997</v>
      </c>
      <c r="S3500" s="11" t="s">
        <v>20998</v>
      </c>
      <c r="T3500" s="6"/>
      <c r="U3500" s="24" t="str">
        <f>HYPERLINK("https://media.infra-m.ru/2133/2133934/cover/2133934.jpg", "Обложка")</f>
        <v>Обложка</v>
      </c>
      <c r="V3500" s="24" t="str">
        <f>HYPERLINK("https://znanium.ru/catalog/product/2086834", "Ознакомиться")</f>
        <v>Ознакомиться</v>
      </c>
      <c r="W3500" s="8" t="s">
        <v>71</v>
      </c>
      <c r="X3500" s="6"/>
      <c r="Y3500" s="6"/>
      <c r="Z3500" s="6" t="s">
        <v>104</v>
      </c>
      <c r="AA3500" s="6" t="s">
        <v>258</v>
      </c>
      <c r="AB3500" s="8"/>
    </row>
    <row r="3501" spans="1:28" s="4" customFormat="1" ht="51.95" customHeight="1">
      <c r="A3501" s="5">
        <v>0</v>
      </c>
      <c r="B3501" s="6" t="s">
        <v>20999</v>
      </c>
      <c r="C3501" s="7">
        <v>870</v>
      </c>
      <c r="D3501" s="8" t="s">
        <v>21000</v>
      </c>
      <c r="E3501" s="8" t="s">
        <v>21001</v>
      </c>
      <c r="F3501" s="8" t="s">
        <v>21002</v>
      </c>
      <c r="G3501" s="6" t="s">
        <v>89</v>
      </c>
      <c r="H3501" s="6" t="s">
        <v>53</v>
      </c>
      <c r="I3501" s="8" t="s">
        <v>100</v>
      </c>
      <c r="J3501" s="9">
        <v>1</v>
      </c>
      <c r="K3501" s="9">
        <v>167</v>
      </c>
      <c r="L3501" s="9">
        <v>2025</v>
      </c>
      <c r="M3501" s="8" t="s">
        <v>21003</v>
      </c>
      <c r="N3501" s="8" t="s">
        <v>41</v>
      </c>
      <c r="O3501" s="8" t="s">
        <v>1007</v>
      </c>
      <c r="P3501" s="6" t="s">
        <v>43</v>
      </c>
      <c r="Q3501" s="8" t="s">
        <v>102</v>
      </c>
      <c r="R3501" s="10" t="s">
        <v>19219</v>
      </c>
      <c r="S3501" s="11" t="s">
        <v>21004</v>
      </c>
      <c r="T3501" s="6"/>
      <c r="U3501" s="24" t="str">
        <f>HYPERLINK("https://media.infra-m.ru/2184/2184584/cover/2184584.jpg", "Обложка")</f>
        <v>Обложка</v>
      </c>
      <c r="V3501" s="24" t="str">
        <f>HYPERLINK("https://znanium.ru/catalog/product/1864109", "Ознакомиться")</f>
        <v>Ознакомиться</v>
      </c>
      <c r="W3501" s="8" t="s">
        <v>3412</v>
      </c>
      <c r="X3501" s="6"/>
      <c r="Y3501" s="6"/>
      <c r="Z3501" s="6"/>
      <c r="AA3501" s="6" t="s">
        <v>95</v>
      </c>
      <c r="AB3501" s="8" t="s">
        <v>2344</v>
      </c>
    </row>
    <row r="3502" spans="1:28" s="4" customFormat="1" ht="51.95" customHeight="1">
      <c r="A3502" s="5">
        <v>0</v>
      </c>
      <c r="B3502" s="6" t="s">
        <v>21005</v>
      </c>
      <c r="C3502" s="7">
        <v>924.9</v>
      </c>
      <c r="D3502" s="8" t="s">
        <v>21006</v>
      </c>
      <c r="E3502" s="8" t="s">
        <v>21007</v>
      </c>
      <c r="F3502" s="8" t="s">
        <v>3655</v>
      </c>
      <c r="G3502" s="6" t="s">
        <v>52</v>
      </c>
      <c r="H3502" s="6" t="s">
        <v>53</v>
      </c>
      <c r="I3502" s="8" t="s">
        <v>90</v>
      </c>
      <c r="J3502" s="9">
        <v>1</v>
      </c>
      <c r="K3502" s="9">
        <v>244</v>
      </c>
      <c r="L3502" s="9">
        <v>2022</v>
      </c>
      <c r="M3502" s="8" t="s">
        <v>21008</v>
      </c>
      <c r="N3502" s="8" t="s">
        <v>41</v>
      </c>
      <c r="O3502" s="8" t="s">
        <v>1007</v>
      </c>
      <c r="P3502" s="6" t="s">
        <v>43</v>
      </c>
      <c r="Q3502" s="8" t="s">
        <v>44</v>
      </c>
      <c r="R3502" s="10" t="s">
        <v>21009</v>
      </c>
      <c r="S3502" s="11" t="s">
        <v>21010</v>
      </c>
      <c r="T3502" s="6" t="s">
        <v>299</v>
      </c>
      <c r="U3502" s="24" t="str">
        <f>HYPERLINK("https://media.infra-m.ru/1844/1844827/cover/1844827.jpg", "Обложка")</f>
        <v>Обложка</v>
      </c>
      <c r="V3502" s="24" t="str">
        <f>HYPERLINK("https://znanium.ru/catalog/product/1065819", "Ознакомиться")</f>
        <v>Ознакомиться</v>
      </c>
      <c r="W3502" s="8" t="s">
        <v>450</v>
      </c>
      <c r="X3502" s="6"/>
      <c r="Y3502" s="6"/>
      <c r="Z3502" s="6"/>
      <c r="AA3502" s="6" t="s">
        <v>418</v>
      </c>
      <c r="AB3502" s="8"/>
    </row>
    <row r="3503" spans="1:28" s="4" customFormat="1" ht="42" customHeight="1">
      <c r="A3503" s="5">
        <v>0</v>
      </c>
      <c r="B3503" s="6" t="s">
        <v>21011</v>
      </c>
      <c r="C3503" s="7">
        <v>900</v>
      </c>
      <c r="D3503" s="8" t="s">
        <v>21012</v>
      </c>
      <c r="E3503" s="8" t="s">
        <v>21013</v>
      </c>
      <c r="F3503" s="8" t="s">
        <v>7931</v>
      </c>
      <c r="G3503" s="6" t="s">
        <v>52</v>
      </c>
      <c r="H3503" s="6" t="s">
        <v>53</v>
      </c>
      <c r="I3503" s="8" t="s">
        <v>116</v>
      </c>
      <c r="J3503" s="9">
        <v>1</v>
      </c>
      <c r="K3503" s="9">
        <v>167</v>
      </c>
      <c r="L3503" s="9">
        <v>2025</v>
      </c>
      <c r="M3503" s="8" t="s">
        <v>21014</v>
      </c>
      <c r="N3503" s="8" t="s">
        <v>41</v>
      </c>
      <c r="O3503" s="8" t="s">
        <v>1007</v>
      </c>
      <c r="P3503" s="6" t="s">
        <v>43</v>
      </c>
      <c r="Q3503" s="8" t="s">
        <v>58</v>
      </c>
      <c r="R3503" s="10" t="s">
        <v>9570</v>
      </c>
      <c r="S3503" s="11"/>
      <c r="T3503" s="6"/>
      <c r="U3503" s="24" t="str">
        <f>HYPERLINK("https://media.infra-m.ru/1242/1242225/cover/1242225.jpg", "Обложка")</f>
        <v>Обложка</v>
      </c>
      <c r="V3503" s="24" t="str">
        <f>HYPERLINK("https://znanium.ru/catalog/product/1242225", "Ознакомиться")</f>
        <v>Ознакомиться</v>
      </c>
      <c r="W3503" s="8" t="s">
        <v>2915</v>
      </c>
      <c r="X3503" s="6" t="s">
        <v>389</v>
      </c>
      <c r="Y3503" s="6"/>
      <c r="Z3503" s="6"/>
      <c r="AA3503" s="6" t="s">
        <v>61</v>
      </c>
      <c r="AB3503" s="8"/>
    </row>
    <row r="3504" spans="1:28" s="4" customFormat="1" ht="51.95" customHeight="1">
      <c r="A3504" s="5">
        <v>0</v>
      </c>
      <c r="B3504" s="6" t="s">
        <v>21015</v>
      </c>
      <c r="C3504" s="7">
        <v>894.9</v>
      </c>
      <c r="D3504" s="8" t="s">
        <v>21016</v>
      </c>
      <c r="E3504" s="8" t="s">
        <v>21017</v>
      </c>
      <c r="F3504" s="8" t="s">
        <v>21018</v>
      </c>
      <c r="G3504" s="6" t="s">
        <v>52</v>
      </c>
      <c r="H3504" s="6" t="s">
        <v>649</v>
      </c>
      <c r="I3504" s="8" t="s">
        <v>90</v>
      </c>
      <c r="J3504" s="9">
        <v>1</v>
      </c>
      <c r="K3504" s="9">
        <v>199</v>
      </c>
      <c r="L3504" s="9">
        <v>2023</v>
      </c>
      <c r="M3504" s="8" t="s">
        <v>21019</v>
      </c>
      <c r="N3504" s="8" t="s">
        <v>41</v>
      </c>
      <c r="O3504" s="8" t="s">
        <v>1007</v>
      </c>
      <c r="P3504" s="6" t="s">
        <v>43</v>
      </c>
      <c r="Q3504" s="8" t="s">
        <v>44</v>
      </c>
      <c r="R3504" s="10" t="s">
        <v>2461</v>
      </c>
      <c r="S3504" s="11" t="s">
        <v>21020</v>
      </c>
      <c r="T3504" s="6"/>
      <c r="U3504" s="24" t="str">
        <f>HYPERLINK("https://media.infra-m.ru/2005/2005178/cover/2005178.jpg", "Обложка")</f>
        <v>Обложка</v>
      </c>
      <c r="V3504" s="24" t="str">
        <f>HYPERLINK("https://znanium.ru/catalog/product/995644", "Ознакомиться")</f>
        <v>Ознакомиться</v>
      </c>
      <c r="W3504" s="8" t="s">
        <v>189</v>
      </c>
      <c r="X3504" s="6"/>
      <c r="Y3504" s="6"/>
      <c r="Z3504" s="6"/>
      <c r="AA3504" s="6" t="s">
        <v>793</v>
      </c>
      <c r="AB3504" s="8"/>
    </row>
    <row r="3505" spans="1:28" s="4" customFormat="1" ht="51.95" customHeight="1">
      <c r="A3505" s="5">
        <v>0</v>
      </c>
      <c r="B3505" s="6" t="s">
        <v>21021</v>
      </c>
      <c r="C3505" s="7">
        <v>564</v>
      </c>
      <c r="D3505" s="8" t="s">
        <v>21022</v>
      </c>
      <c r="E3505" s="8" t="s">
        <v>21023</v>
      </c>
      <c r="F3505" s="8" t="s">
        <v>21024</v>
      </c>
      <c r="G3505" s="6" t="s">
        <v>38</v>
      </c>
      <c r="H3505" s="6" t="s">
        <v>53</v>
      </c>
      <c r="I3505" s="8" t="s">
        <v>1622</v>
      </c>
      <c r="J3505" s="9">
        <v>1</v>
      </c>
      <c r="K3505" s="9">
        <v>107</v>
      </c>
      <c r="L3505" s="9">
        <v>2025</v>
      </c>
      <c r="M3505" s="8" t="s">
        <v>21025</v>
      </c>
      <c r="N3505" s="8" t="s">
        <v>79</v>
      </c>
      <c r="O3505" s="8" t="s">
        <v>174</v>
      </c>
      <c r="P3505" s="6" t="s">
        <v>3155</v>
      </c>
      <c r="Q3505" s="8" t="s">
        <v>18613</v>
      </c>
      <c r="R3505" s="10" t="s">
        <v>21026</v>
      </c>
      <c r="S3505" s="11"/>
      <c r="T3505" s="6"/>
      <c r="U3505" s="24" t="str">
        <f>HYPERLINK("https://media.infra-m.ru/2142/2142177/cover/2142177.jpg", "Обложка")</f>
        <v>Обложка</v>
      </c>
      <c r="V3505" s="24" t="str">
        <f>HYPERLINK("https://znanium.ru/catalog/product/1946513", "Ознакомиться")</f>
        <v>Ознакомиться</v>
      </c>
      <c r="W3505" s="8" t="s">
        <v>21027</v>
      </c>
      <c r="X3505" s="6"/>
      <c r="Y3505" s="6"/>
      <c r="Z3505" s="6"/>
      <c r="AA3505" s="6" t="s">
        <v>84</v>
      </c>
      <c r="AB3505" s="8"/>
    </row>
    <row r="3506" spans="1:28" s="4" customFormat="1" ht="51.95" customHeight="1">
      <c r="A3506" s="5">
        <v>0</v>
      </c>
      <c r="B3506" s="6" t="s">
        <v>21028</v>
      </c>
      <c r="C3506" s="13">
        <v>1179</v>
      </c>
      <c r="D3506" s="8" t="s">
        <v>21029</v>
      </c>
      <c r="E3506" s="8" t="s">
        <v>21030</v>
      </c>
      <c r="F3506" s="8" t="s">
        <v>21031</v>
      </c>
      <c r="G3506" s="6" t="s">
        <v>89</v>
      </c>
      <c r="H3506" s="6" t="s">
        <v>53</v>
      </c>
      <c r="I3506" s="8" t="s">
        <v>212</v>
      </c>
      <c r="J3506" s="9">
        <v>1</v>
      </c>
      <c r="K3506" s="9">
        <v>207</v>
      </c>
      <c r="L3506" s="9">
        <v>2023</v>
      </c>
      <c r="M3506" s="8" t="s">
        <v>21032</v>
      </c>
      <c r="N3506" s="8" t="s">
        <v>79</v>
      </c>
      <c r="O3506" s="8" t="s">
        <v>174</v>
      </c>
      <c r="P3506" s="6" t="s">
        <v>43</v>
      </c>
      <c r="Q3506" s="8" t="s">
        <v>214</v>
      </c>
      <c r="R3506" s="10" t="s">
        <v>21033</v>
      </c>
      <c r="S3506" s="11" t="s">
        <v>21034</v>
      </c>
      <c r="T3506" s="6"/>
      <c r="U3506" s="24" t="str">
        <f>HYPERLINK("https://media.infra-m.ru/2125/2125011/cover/2125011.jpg", "Обложка")</f>
        <v>Обложка</v>
      </c>
      <c r="V3506" s="24" t="str">
        <f>HYPERLINK("https://znanium.ru/catalog/product/2125011", "Ознакомиться")</f>
        <v>Ознакомиться</v>
      </c>
      <c r="W3506" s="8" t="s">
        <v>5475</v>
      </c>
      <c r="X3506" s="6"/>
      <c r="Y3506" s="6"/>
      <c r="Z3506" s="6"/>
      <c r="AA3506" s="6" t="s">
        <v>793</v>
      </c>
      <c r="AB3506" s="8" t="s">
        <v>840</v>
      </c>
    </row>
    <row r="3507" spans="1:28" s="4" customFormat="1" ht="51.95" customHeight="1">
      <c r="A3507" s="5">
        <v>0</v>
      </c>
      <c r="B3507" s="6" t="s">
        <v>21035</v>
      </c>
      <c r="C3507" s="13">
        <v>1990</v>
      </c>
      <c r="D3507" s="8" t="s">
        <v>21036</v>
      </c>
      <c r="E3507" s="8" t="s">
        <v>21037</v>
      </c>
      <c r="F3507" s="8" t="s">
        <v>21038</v>
      </c>
      <c r="G3507" s="6" t="s">
        <v>52</v>
      </c>
      <c r="H3507" s="6" t="s">
        <v>53</v>
      </c>
      <c r="I3507" s="8" t="s">
        <v>212</v>
      </c>
      <c r="J3507" s="9">
        <v>1</v>
      </c>
      <c r="K3507" s="9">
        <v>192</v>
      </c>
      <c r="L3507" s="9">
        <v>2020</v>
      </c>
      <c r="M3507" s="8" t="s">
        <v>21039</v>
      </c>
      <c r="N3507" s="8" t="s">
        <v>79</v>
      </c>
      <c r="O3507" s="8" t="s">
        <v>174</v>
      </c>
      <c r="P3507" s="6" t="s">
        <v>43</v>
      </c>
      <c r="Q3507" s="8" t="s">
        <v>214</v>
      </c>
      <c r="R3507" s="10" t="s">
        <v>21040</v>
      </c>
      <c r="S3507" s="11" t="s">
        <v>21034</v>
      </c>
      <c r="T3507" s="6"/>
      <c r="U3507" s="24" t="str">
        <f>HYPERLINK("https://media.infra-m.ru/0995/0995531/cover/995531.jpg", "Обложка")</f>
        <v>Обложка</v>
      </c>
      <c r="V3507" s="24" t="str">
        <f>HYPERLINK("https://znanium.ru/catalog/product/995531", "Ознакомиться")</f>
        <v>Ознакомиться</v>
      </c>
      <c r="W3507" s="8" t="s">
        <v>5475</v>
      </c>
      <c r="X3507" s="6"/>
      <c r="Y3507" s="6"/>
      <c r="Z3507" s="6"/>
      <c r="AA3507" s="6" t="s">
        <v>793</v>
      </c>
      <c r="AB3507" s="8"/>
    </row>
    <row r="3508" spans="1:28" s="4" customFormat="1" ht="51.95" customHeight="1">
      <c r="A3508" s="5">
        <v>0</v>
      </c>
      <c r="B3508" s="6" t="s">
        <v>21041</v>
      </c>
      <c r="C3508" s="7">
        <v>960</v>
      </c>
      <c r="D3508" s="8" t="s">
        <v>21042</v>
      </c>
      <c r="E3508" s="8" t="s">
        <v>21043</v>
      </c>
      <c r="F3508" s="8" t="s">
        <v>7150</v>
      </c>
      <c r="G3508" s="6" t="s">
        <v>52</v>
      </c>
      <c r="H3508" s="6" t="s">
        <v>53</v>
      </c>
      <c r="I3508" s="8" t="s">
        <v>100</v>
      </c>
      <c r="J3508" s="9">
        <v>1</v>
      </c>
      <c r="K3508" s="9">
        <v>198</v>
      </c>
      <c r="L3508" s="9">
        <v>2023</v>
      </c>
      <c r="M3508" s="8" t="s">
        <v>21044</v>
      </c>
      <c r="N3508" s="8" t="s">
        <v>41</v>
      </c>
      <c r="O3508" s="8" t="s">
        <v>676</v>
      </c>
      <c r="P3508" s="6" t="s">
        <v>43</v>
      </c>
      <c r="Q3508" s="8" t="s">
        <v>102</v>
      </c>
      <c r="R3508" s="10" t="s">
        <v>5775</v>
      </c>
      <c r="S3508" s="11" t="s">
        <v>21045</v>
      </c>
      <c r="T3508" s="6"/>
      <c r="U3508" s="24" t="str">
        <f>HYPERLINK("https://media.infra-m.ru/1866/1866814/cover/1866814.jpg", "Обложка")</f>
        <v>Обложка</v>
      </c>
      <c r="V3508" s="24" t="str">
        <f>HYPERLINK("https://znanium.ru/catalog/product/1866814", "Ознакомиться")</f>
        <v>Ознакомиться</v>
      </c>
      <c r="W3508" s="8" t="s">
        <v>1689</v>
      </c>
      <c r="X3508" s="6"/>
      <c r="Y3508" s="6"/>
      <c r="Z3508" s="6"/>
      <c r="AA3508" s="6" t="s">
        <v>207</v>
      </c>
      <c r="AB3508" s="8"/>
    </row>
    <row r="3509" spans="1:28" s="4" customFormat="1" ht="42" customHeight="1">
      <c r="A3509" s="5">
        <v>0</v>
      </c>
      <c r="B3509" s="6" t="s">
        <v>21046</v>
      </c>
      <c r="C3509" s="13">
        <v>1530</v>
      </c>
      <c r="D3509" s="8" t="s">
        <v>21047</v>
      </c>
      <c r="E3509" s="8" t="s">
        <v>21048</v>
      </c>
      <c r="F3509" s="8" t="s">
        <v>21049</v>
      </c>
      <c r="G3509" s="6" t="s">
        <v>52</v>
      </c>
      <c r="H3509" s="6" t="s">
        <v>53</v>
      </c>
      <c r="I3509" s="8" t="s">
        <v>223</v>
      </c>
      <c r="J3509" s="9">
        <v>1</v>
      </c>
      <c r="K3509" s="9">
        <v>306</v>
      </c>
      <c r="L3509" s="9">
        <v>2024</v>
      </c>
      <c r="M3509" s="8" t="s">
        <v>21050</v>
      </c>
      <c r="N3509" s="8" t="s">
        <v>41</v>
      </c>
      <c r="O3509" s="8" t="s">
        <v>1007</v>
      </c>
      <c r="P3509" s="6" t="s">
        <v>167</v>
      </c>
      <c r="Q3509" s="8" t="s">
        <v>102</v>
      </c>
      <c r="R3509" s="10" t="s">
        <v>1656</v>
      </c>
      <c r="S3509" s="11"/>
      <c r="T3509" s="6"/>
      <c r="U3509" s="24" t="str">
        <f>HYPERLINK("https://media.infra-m.ru/2023/2023030/cover/2023030.jpg", "Обложка")</f>
        <v>Обложка</v>
      </c>
      <c r="V3509" s="24" t="str">
        <f>HYPERLINK("https://znanium.ru/catalog/product/2023030", "Ознакомиться")</f>
        <v>Ознакомиться</v>
      </c>
      <c r="W3509" s="8" t="s">
        <v>83</v>
      </c>
      <c r="X3509" s="6" t="s">
        <v>772</v>
      </c>
      <c r="Y3509" s="6"/>
      <c r="Z3509" s="6"/>
      <c r="AA3509" s="6" t="s">
        <v>133</v>
      </c>
      <c r="AB3509" s="8" t="s">
        <v>1879</v>
      </c>
    </row>
    <row r="3510" spans="1:28" s="4" customFormat="1" ht="51.95" customHeight="1">
      <c r="A3510" s="5">
        <v>0</v>
      </c>
      <c r="B3510" s="6" t="s">
        <v>21051</v>
      </c>
      <c r="C3510" s="7">
        <v>754</v>
      </c>
      <c r="D3510" s="8" t="s">
        <v>21052</v>
      </c>
      <c r="E3510" s="8" t="s">
        <v>21053</v>
      </c>
      <c r="F3510" s="8" t="s">
        <v>21054</v>
      </c>
      <c r="G3510" s="6" t="s">
        <v>38</v>
      </c>
      <c r="H3510" s="6" t="s">
        <v>674</v>
      </c>
      <c r="I3510" s="8"/>
      <c r="J3510" s="9">
        <v>1</v>
      </c>
      <c r="K3510" s="9">
        <v>144</v>
      </c>
      <c r="L3510" s="9">
        <v>2025</v>
      </c>
      <c r="M3510" s="8" t="s">
        <v>21055</v>
      </c>
      <c r="N3510" s="8" t="s">
        <v>41</v>
      </c>
      <c r="O3510" s="8" t="s">
        <v>676</v>
      </c>
      <c r="P3510" s="6" t="s">
        <v>1046</v>
      </c>
      <c r="Q3510" s="8" t="s">
        <v>1674</v>
      </c>
      <c r="R3510" s="10" t="s">
        <v>21056</v>
      </c>
      <c r="S3510" s="11"/>
      <c r="T3510" s="6"/>
      <c r="U3510" s="24" t="str">
        <f>HYPERLINK("https://media.infra-m.ru/2192/2192442/cover/2192442.jpg", "Обложка")</f>
        <v>Обложка</v>
      </c>
      <c r="V3510" s="24" t="str">
        <f>HYPERLINK("https://znanium.ru/catalog/product/1874021", "Ознакомиться")</f>
        <v>Ознакомиться</v>
      </c>
      <c r="W3510" s="8" t="s">
        <v>678</v>
      </c>
      <c r="X3510" s="6"/>
      <c r="Y3510" s="6"/>
      <c r="Z3510" s="6"/>
      <c r="AA3510" s="6" t="s">
        <v>418</v>
      </c>
      <c r="AB3510" s="8"/>
    </row>
    <row r="3511" spans="1:28" s="4" customFormat="1" ht="51.95" customHeight="1">
      <c r="A3511" s="5">
        <v>0</v>
      </c>
      <c r="B3511" s="6" t="s">
        <v>21057</v>
      </c>
      <c r="C3511" s="7">
        <v>524</v>
      </c>
      <c r="D3511" s="8" t="s">
        <v>21058</v>
      </c>
      <c r="E3511" s="8" t="s">
        <v>21059</v>
      </c>
      <c r="F3511" s="8" t="s">
        <v>21060</v>
      </c>
      <c r="G3511" s="6" t="s">
        <v>38</v>
      </c>
      <c r="H3511" s="6" t="s">
        <v>674</v>
      </c>
      <c r="I3511" s="8"/>
      <c r="J3511" s="9">
        <v>1</v>
      </c>
      <c r="K3511" s="9">
        <v>112</v>
      </c>
      <c r="L3511" s="9">
        <v>2023</v>
      </c>
      <c r="M3511" s="8" t="s">
        <v>21061</v>
      </c>
      <c r="N3511" s="8" t="s">
        <v>41</v>
      </c>
      <c r="O3511" s="8" t="s">
        <v>676</v>
      </c>
      <c r="P3511" s="6" t="s">
        <v>43</v>
      </c>
      <c r="Q3511" s="8" t="s">
        <v>279</v>
      </c>
      <c r="R3511" s="10" t="s">
        <v>21062</v>
      </c>
      <c r="S3511" s="11"/>
      <c r="T3511" s="6"/>
      <c r="U3511" s="24" t="str">
        <f>HYPERLINK("https://media.infra-m.ru/2006/2006914/cover/2006914.jpg", "Обложка")</f>
        <v>Обложка</v>
      </c>
      <c r="V3511" s="24" t="str">
        <f>HYPERLINK("https://znanium.ru/catalog/product/2130190", "Ознакомиться")</f>
        <v>Ознакомиться</v>
      </c>
      <c r="W3511" s="8" t="s">
        <v>792</v>
      </c>
      <c r="X3511" s="6"/>
      <c r="Y3511" s="6"/>
      <c r="Z3511" s="6"/>
      <c r="AA3511" s="6" t="s">
        <v>151</v>
      </c>
      <c r="AB3511" s="8"/>
    </row>
    <row r="3512" spans="1:28" s="4" customFormat="1" ht="51.95" customHeight="1">
      <c r="A3512" s="5">
        <v>0</v>
      </c>
      <c r="B3512" s="6" t="s">
        <v>21063</v>
      </c>
      <c r="C3512" s="7">
        <v>650</v>
      </c>
      <c r="D3512" s="8" t="s">
        <v>21064</v>
      </c>
      <c r="E3512" s="8" t="s">
        <v>21065</v>
      </c>
      <c r="F3512" s="8" t="s">
        <v>21060</v>
      </c>
      <c r="G3512" s="6" t="s">
        <v>52</v>
      </c>
      <c r="H3512" s="6" t="s">
        <v>674</v>
      </c>
      <c r="I3512" s="8"/>
      <c r="J3512" s="9">
        <v>1</v>
      </c>
      <c r="K3512" s="9">
        <v>128</v>
      </c>
      <c r="L3512" s="9">
        <v>2024</v>
      </c>
      <c r="M3512" s="8" t="s">
        <v>21066</v>
      </c>
      <c r="N3512" s="8" t="s">
        <v>41</v>
      </c>
      <c r="O3512" s="8" t="s">
        <v>676</v>
      </c>
      <c r="P3512" s="6" t="s">
        <v>43</v>
      </c>
      <c r="Q3512" s="8" t="s">
        <v>279</v>
      </c>
      <c r="R3512" s="10" t="s">
        <v>21062</v>
      </c>
      <c r="S3512" s="11"/>
      <c r="T3512" s="6"/>
      <c r="U3512" s="24" t="str">
        <f>HYPERLINK("https://media.infra-m.ru/2130/2130190/cover/2130190.jpg", "Обложка")</f>
        <v>Обложка</v>
      </c>
      <c r="V3512" s="24" t="str">
        <f>HYPERLINK("https://znanium.ru/catalog/product/2130190", "Ознакомиться")</f>
        <v>Ознакомиться</v>
      </c>
      <c r="W3512" s="8" t="s">
        <v>792</v>
      </c>
      <c r="X3512" s="6"/>
      <c r="Y3512" s="6"/>
      <c r="Z3512" s="6"/>
      <c r="AA3512" s="6" t="s">
        <v>105</v>
      </c>
      <c r="AB3512" s="8"/>
    </row>
    <row r="3513" spans="1:28" s="4" customFormat="1" ht="42" customHeight="1">
      <c r="A3513" s="5">
        <v>0</v>
      </c>
      <c r="B3513" s="6" t="s">
        <v>21067</v>
      </c>
      <c r="C3513" s="7">
        <v>740</v>
      </c>
      <c r="D3513" s="8" t="s">
        <v>21068</v>
      </c>
      <c r="E3513" s="8" t="s">
        <v>21069</v>
      </c>
      <c r="F3513" s="8" t="s">
        <v>21070</v>
      </c>
      <c r="G3513" s="6" t="s">
        <v>38</v>
      </c>
      <c r="H3513" s="6" t="s">
        <v>674</v>
      </c>
      <c r="I3513" s="8"/>
      <c r="J3513" s="9">
        <v>1</v>
      </c>
      <c r="K3513" s="9">
        <v>144</v>
      </c>
      <c r="L3513" s="9">
        <v>2024</v>
      </c>
      <c r="M3513" s="8" t="s">
        <v>21071</v>
      </c>
      <c r="N3513" s="8" t="s">
        <v>41</v>
      </c>
      <c r="O3513" s="8" t="s">
        <v>4035</v>
      </c>
      <c r="P3513" s="6" t="s">
        <v>2134</v>
      </c>
      <c r="Q3513" s="8" t="s">
        <v>44</v>
      </c>
      <c r="R3513" s="10" t="s">
        <v>8923</v>
      </c>
      <c r="S3513" s="11"/>
      <c r="T3513" s="6"/>
      <c r="U3513" s="24" t="str">
        <f>HYPERLINK("https://media.infra-m.ru/2170/2170870/cover/2170870.jpg", "Обложка")</f>
        <v>Обложка</v>
      </c>
      <c r="V3513" s="24" t="str">
        <f>HYPERLINK("https://znanium.ru/catalog/product/2170870", "Ознакомиться")</f>
        <v>Ознакомиться</v>
      </c>
      <c r="W3513" s="8"/>
      <c r="X3513" s="6"/>
      <c r="Y3513" s="6"/>
      <c r="Z3513" s="6"/>
      <c r="AA3513" s="6" t="s">
        <v>442</v>
      </c>
      <c r="AB3513" s="8"/>
    </row>
    <row r="3514" spans="1:28" s="4" customFormat="1" ht="42" customHeight="1">
      <c r="A3514" s="5">
        <v>0</v>
      </c>
      <c r="B3514" s="6" t="s">
        <v>21072</v>
      </c>
      <c r="C3514" s="13">
        <v>1474</v>
      </c>
      <c r="D3514" s="8" t="s">
        <v>21073</v>
      </c>
      <c r="E3514" s="8" t="s">
        <v>21074</v>
      </c>
      <c r="F3514" s="8" t="s">
        <v>21075</v>
      </c>
      <c r="G3514" s="6" t="s">
        <v>52</v>
      </c>
      <c r="H3514" s="6" t="s">
        <v>39</v>
      </c>
      <c r="I3514" s="8" t="s">
        <v>116</v>
      </c>
      <c r="J3514" s="9">
        <v>1</v>
      </c>
      <c r="K3514" s="9">
        <v>320</v>
      </c>
      <c r="L3514" s="9">
        <v>2024</v>
      </c>
      <c r="M3514" s="8" t="s">
        <v>21076</v>
      </c>
      <c r="N3514" s="8" t="s">
        <v>41</v>
      </c>
      <c r="O3514" s="8" t="s">
        <v>4035</v>
      </c>
      <c r="P3514" s="6" t="s">
        <v>822</v>
      </c>
      <c r="Q3514" s="8" t="s">
        <v>44</v>
      </c>
      <c r="R3514" s="10" t="s">
        <v>8923</v>
      </c>
      <c r="S3514" s="11"/>
      <c r="T3514" s="6"/>
      <c r="U3514" s="24" t="str">
        <f>HYPERLINK("https://media.infra-m.ru/2017/2017244/cover/2017244.jpg", "Обложка")</f>
        <v>Обложка</v>
      </c>
      <c r="V3514" s="24" t="str">
        <f>HYPERLINK("https://znanium.ru/catalog/product/1841420", "Ознакомиться")</f>
        <v>Ознакомиться</v>
      </c>
      <c r="W3514" s="8" t="s">
        <v>4109</v>
      </c>
      <c r="X3514" s="6"/>
      <c r="Y3514" s="6"/>
      <c r="Z3514" s="6"/>
      <c r="AA3514" s="6" t="s">
        <v>72</v>
      </c>
      <c r="AB3514" s="8"/>
    </row>
    <row r="3515" spans="1:28" s="4" customFormat="1" ht="51.95" customHeight="1">
      <c r="A3515" s="5">
        <v>0</v>
      </c>
      <c r="B3515" s="6" t="s">
        <v>21077</v>
      </c>
      <c r="C3515" s="13">
        <v>2994</v>
      </c>
      <c r="D3515" s="8" t="s">
        <v>21078</v>
      </c>
      <c r="E3515" s="8" t="s">
        <v>21069</v>
      </c>
      <c r="F3515" s="8" t="s">
        <v>6094</v>
      </c>
      <c r="G3515" s="6" t="s">
        <v>52</v>
      </c>
      <c r="H3515" s="6" t="s">
        <v>66</v>
      </c>
      <c r="I3515" s="8" t="s">
        <v>116</v>
      </c>
      <c r="J3515" s="9">
        <v>1</v>
      </c>
      <c r="K3515" s="9">
        <v>639</v>
      </c>
      <c r="L3515" s="9">
        <v>2024</v>
      </c>
      <c r="M3515" s="8" t="s">
        <v>21079</v>
      </c>
      <c r="N3515" s="8" t="s">
        <v>41</v>
      </c>
      <c r="O3515" s="8" t="s">
        <v>4035</v>
      </c>
      <c r="P3515" s="6" t="s">
        <v>167</v>
      </c>
      <c r="Q3515" s="8" t="s">
        <v>44</v>
      </c>
      <c r="R3515" s="10" t="s">
        <v>8923</v>
      </c>
      <c r="S3515" s="11" t="s">
        <v>21080</v>
      </c>
      <c r="T3515" s="6"/>
      <c r="U3515" s="24" t="str">
        <f>HYPERLINK("https://media.infra-m.ru/2160/2160658/cover/2160658.jpg", "Обложка")</f>
        <v>Обложка</v>
      </c>
      <c r="V3515" s="24" t="str">
        <f>HYPERLINK("https://znanium.ru/catalog/product/2061430", "Ознакомиться")</f>
        <v>Ознакомиться</v>
      </c>
      <c r="W3515" s="8" t="s">
        <v>4343</v>
      </c>
      <c r="X3515" s="6"/>
      <c r="Y3515" s="6"/>
      <c r="Z3515" s="6"/>
      <c r="AA3515" s="6" t="s">
        <v>122</v>
      </c>
      <c r="AB3515" s="8"/>
    </row>
    <row r="3516" spans="1:28" s="4" customFormat="1" ht="51.95" customHeight="1">
      <c r="A3516" s="5">
        <v>0</v>
      </c>
      <c r="B3516" s="6" t="s">
        <v>21081</v>
      </c>
      <c r="C3516" s="13">
        <v>2504</v>
      </c>
      <c r="D3516" s="8" t="s">
        <v>21082</v>
      </c>
      <c r="E3516" s="8" t="s">
        <v>21069</v>
      </c>
      <c r="F3516" s="8" t="s">
        <v>6087</v>
      </c>
      <c r="G3516" s="6" t="s">
        <v>89</v>
      </c>
      <c r="H3516" s="6" t="s">
        <v>53</v>
      </c>
      <c r="I3516" s="8" t="s">
        <v>100</v>
      </c>
      <c r="J3516" s="9">
        <v>1</v>
      </c>
      <c r="K3516" s="9">
        <v>639</v>
      </c>
      <c r="L3516" s="9">
        <v>2024</v>
      </c>
      <c r="M3516" s="8" t="s">
        <v>21083</v>
      </c>
      <c r="N3516" s="8" t="s">
        <v>41</v>
      </c>
      <c r="O3516" s="8" t="s">
        <v>4035</v>
      </c>
      <c r="P3516" s="6" t="s">
        <v>167</v>
      </c>
      <c r="Q3516" s="8" t="s">
        <v>102</v>
      </c>
      <c r="R3516" s="10" t="s">
        <v>9631</v>
      </c>
      <c r="S3516" s="11" t="s">
        <v>21084</v>
      </c>
      <c r="T3516" s="6"/>
      <c r="U3516" s="24" t="str">
        <f>HYPERLINK("https://media.infra-m.ru/2139/2139065/cover/2139065.jpg", "Обложка")</f>
        <v>Обложка</v>
      </c>
      <c r="V3516" s="24" t="str">
        <f>HYPERLINK("https://znanium.ru/catalog/product/1922314", "Ознакомиться")</f>
        <v>Ознакомиться</v>
      </c>
      <c r="W3516" s="8" t="s">
        <v>4343</v>
      </c>
      <c r="X3516" s="6"/>
      <c r="Y3516" s="6"/>
      <c r="Z3516" s="6" t="s">
        <v>104</v>
      </c>
      <c r="AA3516" s="6" t="s">
        <v>151</v>
      </c>
      <c r="AB3516" s="8"/>
    </row>
    <row r="3517" spans="1:28" s="4" customFormat="1" ht="42" customHeight="1">
      <c r="A3517" s="5">
        <v>0</v>
      </c>
      <c r="B3517" s="6" t="s">
        <v>21085</v>
      </c>
      <c r="C3517" s="13">
        <v>2124</v>
      </c>
      <c r="D3517" s="8" t="s">
        <v>21086</v>
      </c>
      <c r="E3517" s="8" t="s">
        <v>21069</v>
      </c>
      <c r="F3517" s="8" t="s">
        <v>21087</v>
      </c>
      <c r="G3517" s="6" t="s">
        <v>52</v>
      </c>
      <c r="H3517" s="6" t="s">
        <v>66</v>
      </c>
      <c r="I3517" s="8" t="s">
        <v>116</v>
      </c>
      <c r="J3517" s="9">
        <v>1</v>
      </c>
      <c r="K3517" s="9">
        <v>462</v>
      </c>
      <c r="L3517" s="9">
        <v>2024</v>
      </c>
      <c r="M3517" s="8" t="s">
        <v>21088</v>
      </c>
      <c r="N3517" s="8" t="s">
        <v>41</v>
      </c>
      <c r="O3517" s="8" t="s">
        <v>4035</v>
      </c>
      <c r="P3517" s="6" t="s">
        <v>167</v>
      </c>
      <c r="Q3517" s="8" t="s">
        <v>44</v>
      </c>
      <c r="R3517" s="10" t="s">
        <v>8923</v>
      </c>
      <c r="S3517" s="11"/>
      <c r="T3517" s="6"/>
      <c r="U3517" s="24" t="str">
        <f>HYPERLINK("https://media.infra-m.ru/2102/2102696/cover/2102696.jpg", "Обложка")</f>
        <v>Обложка</v>
      </c>
      <c r="V3517" s="24" t="str">
        <f>HYPERLINK("https://znanium.ru/catalog/product/1194877", "Ознакомиться")</f>
        <v>Ознакомиться</v>
      </c>
      <c r="W3517" s="8" t="s">
        <v>2343</v>
      </c>
      <c r="X3517" s="6"/>
      <c r="Y3517" s="6"/>
      <c r="Z3517" s="6"/>
      <c r="AA3517" s="6" t="s">
        <v>72</v>
      </c>
      <c r="AB3517" s="8"/>
    </row>
    <row r="3518" spans="1:28" s="4" customFormat="1" ht="51.95" customHeight="1">
      <c r="A3518" s="5">
        <v>0</v>
      </c>
      <c r="B3518" s="6" t="s">
        <v>21089</v>
      </c>
      <c r="C3518" s="13">
        <v>2494</v>
      </c>
      <c r="D3518" s="8" t="s">
        <v>21090</v>
      </c>
      <c r="E3518" s="8" t="s">
        <v>21091</v>
      </c>
      <c r="F3518" s="8" t="s">
        <v>21092</v>
      </c>
      <c r="G3518" s="6" t="s">
        <v>89</v>
      </c>
      <c r="H3518" s="6" t="s">
        <v>53</v>
      </c>
      <c r="I3518" s="8" t="s">
        <v>100</v>
      </c>
      <c r="J3518" s="9">
        <v>1</v>
      </c>
      <c r="K3518" s="9">
        <v>480</v>
      </c>
      <c r="L3518" s="9">
        <v>2025</v>
      </c>
      <c r="M3518" s="8" t="s">
        <v>21093</v>
      </c>
      <c r="N3518" s="8" t="s">
        <v>79</v>
      </c>
      <c r="O3518" s="8" t="s">
        <v>424</v>
      </c>
      <c r="P3518" s="6" t="s">
        <v>167</v>
      </c>
      <c r="Q3518" s="8" t="s">
        <v>102</v>
      </c>
      <c r="R3518" s="10" t="s">
        <v>21094</v>
      </c>
      <c r="S3518" s="11" t="s">
        <v>591</v>
      </c>
      <c r="T3518" s="6"/>
      <c r="U3518" s="24" t="str">
        <f>HYPERLINK("https://media.infra-m.ru/2191/2191625/cover/2191625.jpg", "Обложка")</f>
        <v>Обложка</v>
      </c>
      <c r="V3518" s="24" t="str">
        <f>HYPERLINK("https://znanium.ru/catalog/product/2143708", "Ознакомиться")</f>
        <v>Ознакомиться</v>
      </c>
      <c r="W3518" s="8" t="s">
        <v>21095</v>
      </c>
      <c r="X3518" s="6"/>
      <c r="Y3518" s="6" t="s">
        <v>30</v>
      </c>
      <c r="Z3518" s="6"/>
      <c r="AA3518" s="6" t="s">
        <v>3065</v>
      </c>
      <c r="AB3518" s="8"/>
    </row>
    <row r="3519" spans="1:28" s="4" customFormat="1" ht="51.95" customHeight="1">
      <c r="A3519" s="5">
        <v>0</v>
      </c>
      <c r="B3519" s="6" t="s">
        <v>21096</v>
      </c>
      <c r="C3519" s="13">
        <v>2270</v>
      </c>
      <c r="D3519" s="8" t="s">
        <v>21097</v>
      </c>
      <c r="E3519" s="8" t="s">
        <v>21098</v>
      </c>
      <c r="F3519" s="8" t="s">
        <v>21099</v>
      </c>
      <c r="G3519" s="6" t="s">
        <v>52</v>
      </c>
      <c r="H3519" s="6" t="s">
        <v>53</v>
      </c>
      <c r="I3519" s="8" t="s">
        <v>212</v>
      </c>
      <c r="J3519" s="9">
        <v>1</v>
      </c>
      <c r="K3519" s="9">
        <v>504</v>
      </c>
      <c r="L3519" s="9">
        <v>2023</v>
      </c>
      <c r="M3519" s="8" t="s">
        <v>21100</v>
      </c>
      <c r="N3519" s="8" t="s">
        <v>79</v>
      </c>
      <c r="O3519" s="8" t="s">
        <v>148</v>
      </c>
      <c r="P3519" s="6" t="s">
        <v>43</v>
      </c>
      <c r="Q3519" s="8" t="s">
        <v>214</v>
      </c>
      <c r="R3519" s="10" t="s">
        <v>21101</v>
      </c>
      <c r="S3519" s="11" t="s">
        <v>21102</v>
      </c>
      <c r="T3519" s="6"/>
      <c r="U3519" s="24" t="str">
        <f>HYPERLINK("https://media.infra-m.ru/1995/1995377/cover/1995377.jpg", "Обложка")</f>
        <v>Обложка</v>
      </c>
      <c r="V3519" s="24" t="str">
        <f>HYPERLINK("https://znanium.ru/catalog/product/1995377", "Ознакомиться")</f>
        <v>Ознакомиться</v>
      </c>
      <c r="W3519" s="8" t="s">
        <v>21103</v>
      </c>
      <c r="X3519" s="6"/>
      <c r="Y3519" s="6"/>
      <c r="Z3519" s="6"/>
      <c r="AA3519" s="6" t="s">
        <v>258</v>
      </c>
      <c r="AB3519" s="8"/>
    </row>
    <row r="3520" spans="1:28" s="4" customFormat="1" ht="51.95" customHeight="1">
      <c r="A3520" s="5">
        <v>0</v>
      </c>
      <c r="B3520" s="6" t="s">
        <v>21104</v>
      </c>
      <c r="C3520" s="13">
        <v>1584.9</v>
      </c>
      <c r="D3520" s="8" t="s">
        <v>21105</v>
      </c>
      <c r="E3520" s="8" t="s">
        <v>21106</v>
      </c>
      <c r="F3520" s="8" t="s">
        <v>21107</v>
      </c>
      <c r="G3520" s="6" t="s">
        <v>52</v>
      </c>
      <c r="H3520" s="6" t="s">
        <v>53</v>
      </c>
      <c r="I3520" s="8" t="s">
        <v>276</v>
      </c>
      <c r="J3520" s="9">
        <v>1</v>
      </c>
      <c r="K3520" s="9">
        <v>352</v>
      </c>
      <c r="L3520" s="9">
        <v>2023</v>
      </c>
      <c r="M3520" s="8" t="s">
        <v>21108</v>
      </c>
      <c r="N3520" s="8" t="s">
        <v>41</v>
      </c>
      <c r="O3520" s="8" t="s">
        <v>1007</v>
      </c>
      <c r="P3520" s="6" t="s">
        <v>43</v>
      </c>
      <c r="Q3520" s="8" t="s">
        <v>279</v>
      </c>
      <c r="R3520" s="10" t="s">
        <v>21109</v>
      </c>
      <c r="S3520" s="11" t="s">
        <v>21110</v>
      </c>
      <c r="T3520" s="6"/>
      <c r="U3520" s="24" t="str">
        <f>HYPERLINK("https://media.infra-m.ru/1899/1899836/cover/1899836.jpg", "Обложка")</f>
        <v>Обложка</v>
      </c>
      <c r="V3520" s="24" t="str">
        <f>HYPERLINK("https://znanium.ru/catalog/product/1708653", "Ознакомиться")</f>
        <v>Ознакомиться</v>
      </c>
      <c r="W3520" s="8" t="s">
        <v>3282</v>
      </c>
      <c r="X3520" s="6"/>
      <c r="Y3520" s="6"/>
      <c r="Z3520" s="6"/>
      <c r="AA3520" s="6" t="s">
        <v>84</v>
      </c>
      <c r="AB3520" s="8"/>
    </row>
    <row r="3521" spans="1:28" s="4" customFormat="1" ht="51.95" customHeight="1">
      <c r="A3521" s="5">
        <v>0</v>
      </c>
      <c r="B3521" s="6" t="s">
        <v>21111</v>
      </c>
      <c r="C3521" s="13">
        <v>1184</v>
      </c>
      <c r="D3521" s="8" t="s">
        <v>21112</v>
      </c>
      <c r="E3521" s="8" t="s">
        <v>21113</v>
      </c>
      <c r="F3521" s="8" t="s">
        <v>797</v>
      </c>
      <c r="G3521" s="6" t="s">
        <v>52</v>
      </c>
      <c r="H3521" s="6" t="s">
        <v>77</v>
      </c>
      <c r="I3521" s="8"/>
      <c r="J3521" s="9">
        <v>1</v>
      </c>
      <c r="K3521" s="9">
        <v>253</v>
      </c>
      <c r="L3521" s="9">
        <v>2024</v>
      </c>
      <c r="M3521" s="8" t="s">
        <v>21114</v>
      </c>
      <c r="N3521" s="8" t="s">
        <v>41</v>
      </c>
      <c r="O3521" s="8" t="s">
        <v>676</v>
      </c>
      <c r="P3521" s="6" t="s">
        <v>43</v>
      </c>
      <c r="Q3521" s="8" t="s">
        <v>44</v>
      </c>
      <c r="R3521" s="10" t="s">
        <v>2736</v>
      </c>
      <c r="S3521" s="11"/>
      <c r="T3521" s="6"/>
      <c r="U3521" s="24" t="str">
        <f>HYPERLINK("https://media.infra-m.ru/2138/2138676/cover/2138676.jpg", "Обложка")</f>
        <v>Обложка</v>
      </c>
      <c r="V3521" s="24" t="str">
        <f>HYPERLINK("https://znanium.ru/catalog/product/2155802", "Ознакомиться")</f>
        <v>Ознакомиться</v>
      </c>
      <c r="W3521" s="8" t="s">
        <v>800</v>
      </c>
      <c r="X3521" s="6"/>
      <c r="Y3521" s="6"/>
      <c r="Z3521" s="6"/>
      <c r="AA3521" s="6" t="s">
        <v>111</v>
      </c>
      <c r="AB3521" s="8"/>
    </row>
    <row r="3522" spans="1:28" s="4" customFormat="1" ht="51.95" customHeight="1">
      <c r="A3522" s="5">
        <v>0</v>
      </c>
      <c r="B3522" s="6" t="s">
        <v>21115</v>
      </c>
      <c r="C3522" s="13">
        <v>1310</v>
      </c>
      <c r="D3522" s="8" t="s">
        <v>21116</v>
      </c>
      <c r="E3522" s="8" t="s">
        <v>21113</v>
      </c>
      <c r="F3522" s="8" t="s">
        <v>797</v>
      </c>
      <c r="G3522" s="6" t="s">
        <v>89</v>
      </c>
      <c r="H3522" s="6" t="s">
        <v>77</v>
      </c>
      <c r="I3522" s="8" t="s">
        <v>100</v>
      </c>
      <c r="J3522" s="9">
        <v>1</v>
      </c>
      <c r="K3522" s="9">
        <v>251</v>
      </c>
      <c r="L3522" s="9">
        <v>2025</v>
      </c>
      <c r="M3522" s="8" t="s">
        <v>21117</v>
      </c>
      <c r="N3522" s="8" t="s">
        <v>41</v>
      </c>
      <c r="O3522" s="8" t="s">
        <v>676</v>
      </c>
      <c r="P3522" s="6" t="s">
        <v>43</v>
      </c>
      <c r="Q3522" s="8" t="s">
        <v>102</v>
      </c>
      <c r="R3522" s="10" t="s">
        <v>11353</v>
      </c>
      <c r="S3522" s="11" t="s">
        <v>21118</v>
      </c>
      <c r="T3522" s="6"/>
      <c r="U3522" s="24" t="str">
        <f>HYPERLINK("https://media.infra-m.ru/2199/2199589/cover/2199589.jpg", "Обложка")</f>
        <v>Обложка</v>
      </c>
      <c r="V3522" s="24" t="str">
        <f>HYPERLINK("https://znanium.ru/catalog/product/2199589", "Ознакомиться")</f>
        <v>Ознакомиться</v>
      </c>
      <c r="W3522" s="8" t="s">
        <v>800</v>
      </c>
      <c r="X3522" s="6"/>
      <c r="Y3522" s="6"/>
      <c r="Z3522" s="6" t="s">
        <v>104</v>
      </c>
      <c r="AA3522" s="6" t="s">
        <v>258</v>
      </c>
      <c r="AB3522" s="8"/>
    </row>
    <row r="3523" spans="1:28" s="4" customFormat="1" ht="51.95" customHeight="1">
      <c r="A3523" s="5">
        <v>0</v>
      </c>
      <c r="B3523" s="6" t="s">
        <v>21119</v>
      </c>
      <c r="C3523" s="13">
        <v>1330</v>
      </c>
      <c r="D3523" s="8" t="s">
        <v>21120</v>
      </c>
      <c r="E3523" s="8" t="s">
        <v>21121</v>
      </c>
      <c r="F3523" s="8" t="s">
        <v>797</v>
      </c>
      <c r="G3523" s="6" t="s">
        <v>52</v>
      </c>
      <c r="H3523" s="6" t="s">
        <v>53</v>
      </c>
      <c r="I3523" s="8" t="s">
        <v>116</v>
      </c>
      <c r="J3523" s="9">
        <v>1</v>
      </c>
      <c r="K3523" s="9">
        <v>253</v>
      </c>
      <c r="L3523" s="9">
        <v>2025</v>
      </c>
      <c r="M3523" s="8" t="s">
        <v>21122</v>
      </c>
      <c r="N3523" s="8" t="s">
        <v>41</v>
      </c>
      <c r="O3523" s="8" t="s">
        <v>676</v>
      </c>
      <c r="P3523" s="6" t="s">
        <v>43</v>
      </c>
      <c r="Q3523" s="8" t="s">
        <v>44</v>
      </c>
      <c r="R3523" s="10" t="s">
        <v>2736</v>
      </c>
      <c r="S3523" s="11"/>
      <c r="T3523" s="6"/>
      <c r="U3523" s="24" t="str">
        <f>HYPERLINK("https://media.infra-m.ru/2155/2155802/cover/2155802.jpg", "Обложка")</f>
        <v>Обложка</v>
      </c>
      <c r="V3523" s="24" t="str">
        <f>HYPERLINK("https://znanium.ru/catalog/product/2155802", "Ознакомиться")</f>
        <v>Ознакомиться</v>
      </c>
      <c r="W3523" s="8" t="s">
        <v>800</v>
      </c>
      <c r="X3523" s="6" t="s">
        <v>2790</v>
      </c>
      <c r="Y3523" s="6"/>
      <c r="Z3523" s="6"/>
      <c r="AA3523" s="6" t="s">
        <v>549</v>
      </c>
      <c r="AB3523" s="8"/>
    </row>
    <row r="3524" spans="1:28" s="4" customFormat="1" ht="51.95" customHeight="1">
      <c r="A3524" s="5">
        <v>0</v>
      </c>
      <c r="B3524" s="6" t="s">
        <v>21123</v>
      </c>
      <c r="C3524" s="7">
        <v>944</v>
      </c>
      <c r="D3524" s="8" t="s">
        <v>21124</v>
      </c>
      <c r="E3524" s="8" t="s">
        <v>21125</v>
      </c>
      <c r="F3524" s="8" t="s">
        <v>3130</v>
      </c>
      <c r="G3524" s="6" t="s">
        <v>38</v>
      </c>
      <c r="H3524" s="6" t="s">
        <v>649</v>
      </c>
      <c r="I3524" s="8" t="s">
        <v>116</v>
      </c>
      <c r="J3524" s="9">
        <v>1</v>
      </c>
      <c r="K3524" s="9">
        <v>200</v>
      </c>
      <c r="L3524" s="9">
        <v>2023</v>
      </c>
      <c r="M3524" s="8" t="s">
        <v>21126</v>
      </c>
      <c r="N3524" s="8" t="s">
        <v>413</v>
      </c>
      <c r="O3524" s="8" t="s">
        <v>414</v>
      </c>
      <c r="P3524" s="6" t="s">
        <v>43</v>
      </c>
      <c r="Q3524" s="8" t="s">
        <v>44</v>
      </c>
      <c r="R3524" s="10" t="s">
        <v>21127</v>
      </c>
      <c r="S3524" s="11" t="s">
        <v>21128</v>
      </c>
      <c r="T3524" s="6"/>
      <c r="U3524" s="24" t="str">
        <f>HYPERLINK("https://media.infra-m.ru/2111/2111794/cover/2111794.jpg", "Обложка")</f>
        <v>Обложка</v>
      </c>
      <c r="V3524" s="24" t="str">
        <f>HYPERLINK("https://znanium.ru/catalog/product/2111793", "Ознакомиться")</f>
        <v>Ознакомиться</v>
      </c>
      <c r="W3524" s="8" t="s">
        <v>399</v>
      </c>
      <c r="X3524" s="6"/>
      <c r="Y3524" s="6"/>
      <c r="Z3524" s="6"/>
      <c r="AA3524" s="6" t="s">
        <v>418</v>
      </c>
      <c r="AB3524" s="8"/>
    </row>
    <row r="3525" spans="1:28" s="4" customFormat="1" ht="51.95" customHeight="1">
      <c r="A3525" s="5">
        <v>0</v>
      </c>
      <c r="B3525" s="6" t="s">
        <v>21129</v>
      </c>
      <c r="C3525" s="13">
        <v>1120</v>
      </c>
      <c r="D3525" s="8" t="s">
        <v>21130</v>
      </c>
      <c r="E3525" s="8" t="s">
        <v>21131</v>
      </c>
      <c r="F3525" s="8" t="s">
        <v>4576</v>
      </c>
      <c r="G3525" s="6" t="s">
        <v>89</v>
      </c>
      <c r="H3525" s="6" t="s">
        <v>53</v>
      </c>
      <c r="I3525" s="8" t="s">
        <v>100</v>
      </c>
      <c r="J3525" s="9">
        <v>1</v>
      </c>
      <c r="K3525" s="9">
        <v>248</v>
      </c>
      <c r="L3525" s="9">
        <v>2023</v>
      </c>
      <c r="M3525" s="8" t="s">
        <v>21132</v>
      </c>
      <c r="N3525" s="8" t="s">
        <v>413</v>
      </c>
      <c r="O3525" s="8" t="s">
        <v>414</v>
      </c>
      <c r="P3525" s="6" t="s">
        <v>43</v>
      </c>
      <c r="Q3525" s="8" t="s">
        <v>102</v>
      </c>
      <c r="R3525" s="10" t="s">
        <v>21133</v>
      </c>
      <c r="S3525" s="11" t="s">
        <v>21134</v>
      </c>
      <c r="T3525" s="6"/>
      <c r="U3525" s="24" t="str">
        <f>HYPERLINK("https://media.infra-m.ru/1900/1900925/cover/1900925.jpg", "Обложка")</f>
        <v>Обложка</v>
      </c>
      <c r="V3525" s="24" t="str">
        <f>HYPERLINK("https://znanium.ru/catalog/product/1900925", "Ознакомиться")</f>
        <v>Ознакомиться</v>
      </c>
      <c r="W3525" s="8" t="s">
        <v>2122</v>
      </c>
      <c r="X3525" s="6"/>
      <c r="Y3525" s="6"/>
      <c r="Z3525" s="6" t="s">
        <v>104</v>
      </c>
      <c r="AA3525" s="6" t="s">
        <v>258</v>
      </c>
      <c r="AB3525" s="8"/>
    </row>
    <row r="3526" spans="1:28" s="4" customFormat="1" ht="51.95" customHeight="1">
      <c r="A3526" s="5">
        <v>0</v>
      </c>
      <c r="B3526" s="6" t="s">
        <v>21135</v>
      </c>
      <c r="C3526" s="13">
        <v>1080</v>
      </c>
      <c r="D3526" s="8" t="s">
        <v>21136</v>
      </c>
      <c r="E3526" s="8" t="s">
        <v>21137</v>
      </c>
      <c r="F3526" s="8" t="s">
        <v>4576</v>
      </c>
      <c r="G3526" s="6" t="s">
        <v>52</v>
      </c>
      <c r="H3526" s="6" t="s">
        <v>53</v>
      </c>
      <c r="I3526" s="8" t="s">
        <v>116</v>
      </c>
      <c r="J3526" s="9">
        <v>1</v>
      </c>
      <c r="K3526" s="9">
        <v>226</v>
      </c>
      <c r="L3526" s="9">
        <v>2024</v>
      </c>
      <c r="M3526" s="8" t="s">
        <v>21138</v>
      </c>
      <c r="N3526" s="8" t="s">
        <v>413</v>
      </c>
      <c r="O3526" s="8" t="s">
        <v>414</v>
      </c>
      <c r="P3526" s="6" t="s">
        <v>43</v>
      </c>
      <c r="Q3526" s="8" t="s">
        <v>44</v>
      </c>
      <c r="R3526" s="10" t="s">
        <v>21139</v>
      </c>
      <c r="S3526" s="11"/>
      <c r="T3526" s="6"/>
      <c r="U3526" s="24" t="str">
        <f>HYPERLINK("https://media.infra-m.ru/1859/1859851/cover/1859851.jpg", "Обложка")</f>
        <v>Обложка</v>
      </c>
      <c r="V3526" s="24" t="str">
        <f>HYPERLINK("https://znanium.ru/catalog/product/1859851", "Ознакомиться")</f>
        <v>Ознакомиться</v>
      </c>
      <c r="W3526" s="8" t="s">
        <v>2122</v>
      </c>
      <c r="X3526" s="6"/>
      <c r="Y3526" s="6"/>
      <c r="Z3526" s="6"/>
      <c r="AA3526" s="6" t="s">
        <v>105</v>
      </c>
      <c r="AB3526" s="8"/>
    </row>
    <row r="3527" spans="1:28" s="4" customFormat="1" ht="51.95" customHeight="1">
      <c r="A3527" s="5">
        <v>0</v>
      </c>
      <c r="B3527" s="6" t="s">
        <v>21140</v>
      </c>
      <c r="C3527" s="7">
        <v>854.9</v>
      </c>
      <c r="D3527" s="8" t="s">
        <v>21141</v>
      </c>
      <c r="E3527" s="8" t="s">
        <v>21131</v>
      </c>
      <c r="F3527" s="8" t="s">
        <v>21142</v>
      </c>
      <c r="G3527" s="6" t="s">
        <v>52</v>
      </c>
      <c r="H3527" s="6" t="s">
        <v>39</v>
      </c>
      <c r="I3527" s="8" t="s">
        <v>90</v>
      </c>
      <c r="J3527" s="9">
        <v>1</v>
      </c>
      <c r="K3527" s="9">
        <v>248</v>
      </c>
      <c r="L3527" s="9">
        <v>2020</v>
      </c>
      <c r="M3527" s="8" t="s">
        <v>21143</v>
      </c>
      <c r="N3527" s="8" t="s">
        <v>413</v>
      </c>
      <c r="O3527" s="8" t="s">
        <v>414</v>
      </c>
      <c r="P3527" s="6" t="s">
        <v>43</v>
      </c>
      <c r="Q3527" s="8" t="s">
        <v>44</v>
      </c>
      <c r="R3527" s="10" t="s">
        <v>21139</v>
      </c>
      <c r="S3527" s="11" t="s">
        <v>21144</v>
      </c>
      <c r="T3527" s="6"/>
      <c r="U3527" s="24" t="str">
        <f>HYPERLINK("https://media.infra-m.ru/1118/1118431/cover/1118431.jpg", "Обложка")</f>
        <v>Обложка</v>
      </c>
      <c r="V3527" s="24" t="str">
        <f>HYPERLINK("https://znanium.ru/catalog/product/1859851", "Ознакомиться")</f>
        <v>Ознакомиться</v>
      </c>
      <c r="W3527" s="8" t="s">
        <v>2122</v>
      </c>
      <c r="X3527" s="6"/>
      <c r="Y3527" s="6"/>
      <c r="Z3527" s="6"/>
      <c r="AA3527" s="6" t="s">
        <v>47</v>
      </c>
      <c r="AB3527" s="8"/>
    </row>
    <row r="3528" spans="1:28" s="4" customFormat="1" ht="51.95" customHeight="1">
      <c r="A3528" s="5">
        <v>0</v>
      </c>
      <c r="B3528" s="6" t="s">
        <v>21145</v>
      </c>
      <c r="C3528" s="13">
        <v>1510</v>
      </c>
      <c r="D3528" s="8" t="s">
        <v>21146</v>
      </c>
      <c r="E3528" s="8" t="s">
        <v>21147</v>
      </c>
      <c r="F3528" s="8" t="s">
        <v>21148</v>
      </c>
      <c r="G3528" s="6" t="s">
        <v>89</v>
      </c>
      <c r="H3528" s="6" t="s">
        <v>53</v>
      </c>
      <c r="I3528" s="8" t="s">
        <v>100</v>
      </c>
      <c r="J3528" s="9">
        <v>1</v>
      </c>
      <c r="K3528" s="9">
        <v>328</v>
      </c>
      <c r="L3528" s="9">
        <v>2024</v>
      </c>
      <c r="M3528" s="8" t="s">
        <v>21149</v>
      </c>
      <c r="N3528" s="8" t="s">
        <v>79</v>
      </c>
      <c r="O3528" s="8" t="s">
        <v>174</v>
      </c>
      <c r="P3528" s="6" t="s">
        <v>167</v>
      </c>
      <c r="Q3528" s="8" t="s">
        <v>102</v>
      </c>
      <c r="R3528" s="10" t="s">
        <v>21150</v>
      </c>
      <c r="S3528" s="11" t="s">
        <v>21151</v>
      </c>
      <c r="T3528" s="6" t="s">
        <v>299</v>
      </c>
      <c r="U3528" s="24" t="str">
        <f>HYPERLINK("https://media.infra-m.ru/2130/2130984/cover/2130984.jpg", "Обложка")</f>
        <v>Обложка</v>
      </c>
      <c r="V3528" s="24" t="str">
        <f>HYPERLINK("https://znanium.ru/catalog/product/2130984", "Ознакомиться")</f>
        <v>Ознакомиться</v>
      </c>
      <c r="W3528" s="8" t="s">
        <v>21152</v>
      </c>
      <c r="X3528" s="6"/>
      <c r="Y3528" s="6"/>
      <c r="Z3528" s="6"/>
      <c r="AA3528" s="6" t="s">
        <v>442</v>
      </c>
      <c r="AB3528" s="8" t="s">
        <v>906</v>
      </c>
    </row>
    <row r="3529" spans="1:28" s="4" customFormat="1" ht="51.95" customHeight="1">
      <c r="A3529" s="5">
        <v>0</v>
      </c>
      <c r="B3529" s="6" t="s">
        <v>21153</v>
      </c>
      <c r="C3529" s="13">
        <v>1090</v>
      </c>
      <c r="D3529" s="8" t="s">
        <v>21154</v>
      </c>
      <c r="E3529" s="8" t="s">
        <v>21155</v>
      </c>
      <c r="F3529" s="8" t="s">
        <v>21156</v>
      </c>
      <c r="G3529" s="6" t="s">
        <v>52</v>
      </c>
      <c r="H3529" s="6" t="s">
        <v>53</v>
      </c>
      <c r="I3529" s="8" t="s">
        <v>712</v>
      </c>
      <c r="J3529" s="9">
        <v>1</v>
      </c>
      <c r="K3529" s="9">
        <v>232</v>
      </c>
      <c r="L3529" s="9">
        <v>2023</v>
      </c>
      <c r="M3529" s="8" t="s">
        <v>21157</v>
      </c>
      <c r="N3529" s="8" t="s">
        <v>79</v>
      </c>
      <c r="O3529" s="8" t="s">
        <v>684</v>
      </c>
      <c r="P3529" s="6" t="s">
        <v>43</v>
      </c>
      <c r="Q3529" s="8" t="s">
        <v>58</v>
      </c>
      <c r="R3529" s="10" t="s">
        <v>17373</v>
      </c>
      <c r="S3529" s="11" t="s">
        <v>21158</v>
      </c>
      <c r="T3529" s="6"/>
      <c r="U3529" s="24" t="str">
        <f>HYPERLINK("https://media.infra-m.ru/1959/1959225/cover/1959225.jpg", "Обложка")</f>
        <v>Обложка</v>
      </c>
      <c r="V3529" s="24" t="str">
        <f>HYPERLINK("https://znanium.ru/catalog/product/1959225", "Ознакомиться")</f>
        <v>Ознакомиться</v>
      </c>
      <c r="W3529" s="8" t="s">
        <v>716</v>
      </c>
      <c r="X3529" s="6"/>
      <c r="Y3529" s="6"/>
      <c r="Z3529" s="6"/>
      <c r="AA3529" s="6" t="s">
        <v>207</v>
      </c>
      <c r="AB3529" s="8"/>
    </row>
    <row r="3530" spans="1:28" s="4" customFormat="1" ht="51.95" customHeight="1">
      <c r="A3530" s="5">
        <v>0</v>
      </c>
      <c r="B3530" s="6" t="s">
        <v>21159</v>
      </c>
      <c r="C3530" s="7">
        <v>854</v>
      </c>
      <c r="D3530" s="8" t="s">
        <v>21160</v>
      </c>
      <c r="E3530" s="8" t="s">
        <v>21161</v>
      </c>
      <c r="F3530" s="8" t="s">
        <v>21162</v>
      </c>
      <c r="G3530" s="6" t="s">
        <v>89</v>
      </c>
      <c r="H3530" s="6" t="s">
        <v>53</v>
      </c>
      <c r="I3530" s="8" t="s">
        <v>100</v>
      </c>
      <c r="J3530" s="9">
        <v>1</v>
      </c>
      <c r="K3530" s="9">
        <v>169</v>
      </c>
      <c r="L3530" s="9">
        <v>2025</v>
      </c>
      <c r="M3530" s="8" t="s">
        <v>21163</v>
      </c>
      <c r="N3530" s="8" t="s">
        <v>41</v>
      </c>
      <c r="O3530" s="8" t="s">
        <v>676</v>
      </c>
      <c r="P3530" s="6" t="s">
        <v>43</v>
      </c>
      <c r="Q3530" s="8" t="s">
        <v>102</v>
      </c>
      <c r="R3530" s="10" t="s">
        <v>21164</v>
      </c>
      <c r="S3530" s="11" t="s">
        <v>21165</v>
      </c>
      <c r="T3530" s="6"/>
      <c r="U3530" s="24" t="str">
        <f>HYPERLINK("https://media.infra-m.ru/2170/2170470/cover/2170470.jpg", "Обложка")</f>
        <v>Обложка</v>
      </c>
      <c r="V3530" s="24" t="str">
        <f>HYPERLINK("https://znanium.ru/catalog/product/1817478", "Ознакомиться")</f>
        <v>Ознакомиться</v>
      </c>
      <c r="W3530" s="8" t="s">
        <v>71</v>
      </c>
      <c r="X3530" s="6"/>
      <c r="Y3530" s="6"/>
      <c r="Z3530" s="6"/>
      <c r="AA3530" s="6" t="s">
        <v>813</v>
      </c>
      <c r="AB3530" s="8"/>
    </row>
    <row r="3531" spans="1:28" s="4" customFormat="1" ht="51.95" customHeight="1">
      <c r="A3531" s="5">
        <v>0</v>
      </c>
      <c r="B3531" s="6" t="s">
        <v>21166</v>
      </c>
      <c r="C3531" s="7">
        <v>574</v>
      </c>
      <c r="D3531" s="8" t="s">
        <v>21167</v>
      </c>
      <c r="E3531" s="8" t="s">
        <v>21168</v>
      </c>
      <c r="F3531" s="8" t="s">
        <v>21162</v>
      </c>
      <c r="G3531" s="6" t="s">
        <v>38</v>
      </c>
      <c r="H3531" s="6" t="s">
        <v>649</v>
      </c>
      <c r="I3531" s="8" t="s">
        <v>100</v>
      </c>
      <c r="J3531" s="9">
        <v>1</v>
      </c>
      <c r="K3531" s="9">
        <v>125</v>
      </c>
      <c r="L3531" s="9">
        <v>2023</v>
      </c>
      <c r="M3531" s="8" t="s">
        <v>21169</v>
      </c>
      <c r="N3531" s="8" t="s">
        <v>41</v>
      </c>
      <c r="O3531" s="8" t="s">
        <v>676</v>
      </c>
      <c r="P3531" s="6" t="s">
        <v>43</v>
      </c>
      <c r="Q3531" s="8" t="s">
        <v>102</v>
      </c>
      <c r="R3531" s="10" t="s">
        <v>21164</v>
      </c>
      <c r="S3531" s="11" t="s">
        <v>21165</v>
      </c>
      <c r="T3531" s="6"/>
      <c r="U3531" s="24" t="str">
        <f>HYPERLINK("https://media.infra-m.ru/2124/2124785/cover/2124785.jpg", "Обложка")</f>
        <v>Обложка</v>
      </c>
      <c r="V3531" s="24" t="str">
        <f>HYPERLINK("https://znanium.ru/catalog/product/1817478", "Ознакомиться")</f>
        <v>Ознакомиться</v>
      </c>
      <c r="W3531" s="8" t="s">
        <v>71</v>
      </c>
      <c r="X3531" s="6"/>
      <c r="Y3531" s="6"/>
      <c r="Z3531" s="6"/>
      <c r="AA3531" s="6" t="s">
        <v>111</v>
      </c>
      <c r="AB3531" s="8"/>
    </row>
    <row r="3532" spans="1:28" s="4" customFormat="1" ht="42" customHeight="1">
      <c r="A3532" s="5">
        <v>0</v>
      </c>
      <c r="B3532" s="6" t="s">
        <v>21170</v>
      </c>
      <c r="C3532" s="7">
        <v>674</v>
      </c>
      <c r="D3532" s="8" t="s">
        <v>21171</v>
      </c>
      <c r="E3532" s="8" t="s">
        <v>21172</v>
      </c>
      <c r="F3532" s="8" t="s">
        <v>21173</v>
      </c>
      <c r="G3532" s="6" t="s">
        <v>52</v>
      </c>
      <c r="H3532" s="6" t="s">
        <v>53</v>
      </c>
      <c r="I3532" s="8" t="s">
        <v>100</v>
      </c>
      <c r="J3532" s="9">
        <v>1</v>
      </c>
      <c r="K3532" s="9">
        <v>129</v>
      </c>
      <c r="L3532" s="9">
        <v>2025</v>
      </c>
      <c r="M3532" s="8" t="s">
        <v>21174</v>
      </c>
      <c r="N3532" s="8" t="s">
        <v>41</v>
      </c>
      <c r="O3532" s="8" t="s">
        <v>676</v>
      </c>
      <c r="P3532" s="6" t="s">
        <v>43</v>
      </c>
      <c r="Q3532" s="8" t="s">
        <v>102</v>
      </c>
      <c r="R3532" s="10" t="s">
        <v>21175</v>
      </c>
      <c r="S3532" s="11"/>
      <c r="T3532" s="6"/>
      <c r="U3532" s="24" t="str">
        <f>HYPERLINK("https://media.infra-m.ru/2165/2165163/cover/2165163.jpg", "Обложка")</f>
        <v>Обложка</v>
      </c>
      <c r="V3532" s="24" t="str">
        <f>HYPERLINK("https://znanium.ru/catalog/product/2157388", "Ознакомиться")</f>
        <v>Ознакомиться</v>
      </c>
      <c r="W3532" s="8" t="s">
        <v>6838</v>
      </c>
      <c r="X3532" s="6"/>
      <c r="Y3532" s="6"/>
      <c r="Z3532" s="6"/>
      <c r="AA3532" s="6" t="s">
        <v>207</v>
      </c>
      <c r="AB3532" s="8"/>
    </row>
    <row r="3533" spans="1:28" s="4" customFormat="1" ht="51.95" customHeight="1">
      <c r="A3533" s="5">
        <v>0</v>
      </c>
      <c r="B3533" s="6" t="s">
        <v>21176</v>
      </c>
      <c r="C3533" s="13">
        <v>1200</v>
      </c>
      <c r="D3533" s="8" t="s">
        <v>21177</v>
      </c>
      <c r="E3533" s="8" t="s">
        <v>21178</v>
      </c>
      <c r="F3533" s="8" t="s">
        <v>21179</v>
      </c>
      <c r="G3533" s="6" t="s">
        <v>89</v>
      </c>
      <c r="H3533" s="6" t="s">
        <v>649</v>
      </c>
      <c r="I3533" s="8" t="s">
        <v>100</v>
      </c>
      <c r="J3533" s="9">
        <v>1</v>
      </c>
      <c r="K3533" s="9">
        <v>240</v>
      </c>
      <c r="L3533" s="9">
        <v>2025</v>
      </c>
      <c r="M3533" s="8" t="s">
        <v>21180</v>
      </c>
      <c r="N3533" s="8" t="s">
        <v>41</v>
      </c>
      <c r="O3533" s="8" t="s">
        <v>676</v>
      </c>
      <c r="P3533" s="6" t="s">
        <v>43</v>
      </c>
      <c r="Q3533" s="8" t="s">
        <v>102</v>
      </c>
      <c r="R3533" s="10" t="s">
        <v>21181</v>
      </c>
      <c r="S3533" s="11" t="s">
        <v>21182</v>
      </c>
      <c r="T3533" s="6"/>
      <c r="U3533" s="24" t="str">
        <f>HYPERLINK("https://media.infra-m.ru/2143/2143452/cover/2143452.jpg", "Обложка")</f>
        <v>Обложка</v>
      </c>
      <c r="V3533" s="24" t="str">
        <f>HYPERLINK("https://znanium.ru/catalog/product/2143452", "Ознакомиться")</f>
        <v>Ознакомиться</v>
      </c>
      <c r="W3533" s="8" t="s">
        <v>653</v>
      </c>
      <c r="X3533" s="6"/>
      <c r="Y3533" s="6"/>
      <c r="Z3533" s="6"/>
      <c r="AA3533" s="6" t="s">
        <v>654</v>
      </c>
      <c r="AB3533" s="8"/>
    </row>
    <row r="3534" spans="1:28" s="4" customFormat="1" ht="51.95" customHeight="1">
      <c r="A3534" s="5">
        <v>0</v>
      </c>
      <c r="B3534" s="6" t="s">
        <v>21183</v>
      </c>
      <c r="C3534" s="13">
        <v>2070</v>
      </c>
      <c r="D3534" s="8" t="s">
        <v>21184</v>
      </c>
      <c r="E3534" s="8" t="s">
        <v>21185</v>
      </c>
      <c r="F3534" s="8" t="s">
        <v>18836</v>
      </c>
      <c r="G3534" s="6" t="s">
        <v>52</v>
      </c>
      <c r="H3534" s="6" t="s">
        <v>53</v>
      </c>
      <c r="I3534" s="8" t="s">
        <v>1631</v>
      </c>
      <c r="J3534" s="9">
        <v>1</v>
      </c>
      <c r="K3534" s="9">
        <v>451</v>
      </c>
      <c r="L3534" s="9">
        <v>2023</v>
      </c>
      <c r="M3534" s="8" t="s">
        <v>21186</v>
      </c>
      <c r="N3534" s="8" t="s">
        <v>41</v>
      </c>
      <c r="O3534" s="8" t="s">
        <v>1007</v>
      </c>
      <c r="P3534" s="6" t="s">
        <v>43</v>
      </c>
      <c r="Q3534" s="8" t="s">
        <v>102</v>
      </c>
      <c r="R3534" s="10" t="s">
        <v>21187</v>
      </c>
      <c r="S3534" s="11" t="s">
        <v>21188</v>
      </c>
      <c r="T3534" s="6"/>
      <c r="U3534" s="24" t="str">
        <f>HYPERLINK("https://media.infra-m.ru/1908/1908971/cover/1908971.jpg", "Обложка")</f>
        <v>Обложка</v>
      </c>
      <c r="V3534" s="24" t="str">
        <f>HYPERLINK("https://znanium.ru/catalog/product/1908971", "Ознакомиться")</f>
        <v>Ознакомиться</v>
      </c>
      <c r="W3534" s="8" t="s">
        <v>716</v>
      </c>
      <c r="X3534" s="6"/>
      <c r="Y3534" s="6"/>
      <c r="Z3534" s="6"/>
      <c r="AA3534" s="6" t="s">
        <v>813</v>
      </c>
      <c r="AB3534" s="8"/>
    </row>
    <row r="3535" spans="1:28" s="4" customFormat="1" ht="51.95" customHeight="1">
      <c r="A3535" s="5">
        <v>0</v>
      </c>
      <c r="B3535" s="6" t="s">
        <v>21189</v>
      </c>
      <c r="C3535" s="7">
        <v>720</v>
      </c>
      <c r="D3535" s="8" t="s">
        <v>21190</v>
      </c>
      <c r="E3535" s="8" t="s">
        <v>21191</v>
      </c>
      <c r="F3535" s="8" t="s">
        <v>21192</v>
      </c>
      <c r="G3535" s="6" t="s">
        <v>38</v>
      </c>
      <c r="H3535" s="6" t="s">
        <v>39</v>
      </c>
      <c r="I3535" s="8" t="s">
        <v>116</v>
      </c>
      <c r="J3535" s="9">
        <v>1</v>
      </c>
      <c r="K3535" s="9">
        <v>143</v>
      </c>
      <c r="L3535" s="9">
        <v>2024</v>
      </c>
      <c r="M3535" s="8" t="s">
        <v>21193</v>
      </c>
      <c r="N3535" s="8" t="s">
        <v>41</v>
      </c>
      <c r="O3535" s="8" t="s">
        <v>676</v>
      </c>
      <c r="P3535" s="6" t="s">
        <v>43</v>
      </c>
      <c r="Q3535" s="8" t="s">
        <v>44</v>
      </c>
      <c r="R3535" s="10" t="s">
        <v>21194</v>
      </c>
      <c r="S3535" s="11" t="s">
        <v>21195</v>
      </c>
      <c r="T3535" s="6" t="s">
        <v>299</v>
      </c>
      <c r="U3535" s="24" t="str">
        <f>HYPERLINK("https://media.infra-m.ru/2125/2125145/cover/2125145.jpg", "Обложка")</f>
        <v>Обложка</v>
      </c>
      <c r="V3535" s="24" t="str">
        <f>HYPERLINK("https://znanium.ru/catalog/product/2125145", "Ознакомиться")</f>
        <v>Ознакомиться</v>
      </c>
      <c r="W3535" s="8" t="s">
        <v>487</v>
      </c>
      <c r="X3535" s="6"/>
      <c r="Y3535" s="6"/>
      <c r="Z3535" s="6"/>
      <c r="AA3535" s="6" t="s">
        <v>494</v>
      </c>
      <c r="AB3535" s="8"/>
    </row>
    <row r="3536" spans="1:28" s="4" customFormat="1" ht="51.95" customHeight="1">
      <c r="A3536" s="5">
        <v>0</v>
      </c>
      <c r="B3536" s="6" t="s">
        <v>21196</v>
      </c>
      <c r="C3536" s="13">
        <v>1104</v>
      </c>
      <c r="D3536" s="8" t="s">
        <v>21197</v>
      </c>
      <c r="E3536" s="8" t="s">
        <v>21198</v>
      </c>
      <c r="F3536" s="8" t="s">
        <v>21199</v>
      </c>
      <c r="G3536" s="6" t="s">
        <v>89</v>
      </c>
      <c r="H3536" s="6" t="s">
        <v>53</v>
      </c>
      <c r="I3536" s="8" t="s">
        <v>100</v>
      </c>
      <c r="J3536" s="9">
        <v>1</v>
      </c>
      <c r="K3536" s="9">
        <v>212</v>
      </c>
      <c r="L3536" s="9">
        <v>2025</v>
      </c>
      <c r="M3536" s="8" t="s">
        <v>21200</v>
      </c>
      <c r="N3536" s="8" t="s">
        <v>41</v>
      </c>
      <c r="O3536" s="8" t="s">
        <v>676</v>
      </c>
      <c r="P3536" s="6" t="s">
        <v>167</v>
      </c>
      <c r="Q3536" s="8" t="s">
        <v>102</v>
      </c>
      <c r="R3536" s="10" t="s">
        <v>21201</v>
      </c>
      <c r="S3536" s="11" t="s">
        <v>21202</v>
      </c>
      <c r="T3536" s="6"/>
      <c r="U3536" s="24" t="str">
        <f>HYPERLINK("https://media.infra-m.ru/2184/2184938/cover/2184938.jpg", "Обложка")</f>
        <v>Обложка</v>
      </c>
      <c r="V3536" s="24" t="str">
        <f>HYPERLINK("https://znanium.ru/catalog/product/2139314", "Ознакомиться")</f>
        <v>Ознакомиться</v>
      </c>
      <c r="W3536" s="8" t="s">
        <v>450</v>
      </c>
      <c r="X3536" s="6"/>
      <c r="Y3536" s="6"/>
      <c r="Z3536" s="6"/>
      <c r="AA3536" s="6" t="s">
        <v>1382</v>
      </c>
      <c r="AB3536" s="8"/>
    </row>
    <row r="3537" spans="1:28" s="4" customFormat="1" ht="51.95" customHeight="1">
      <c r="A3537" s="5">
        <v>0</v>
      </c>
      <c r="B3537" s="6" t="s">
        <v>21203</v>
      </c>
      <c r="C3537" s="13">
        <v>1064</v>
      </c>
      <c r="D3537" s="8" t="s">
        <v>21204</v>
      </c>
      <c r="E3537" s="8" t="s">
        <v>21198</v>
      </c>
      <c r="F3537" s="8" t="s">
        <v>21199</v>
      </c>
      <c r="G3537" s="6" t="s">
        <v>89</v>
      </c>
      <c r="H3537" s="6" t="s">
        <v>53</v>
      </c>
      <c r="I3537" s="8" t="s">
        <v>90</v>
      </c>
      <c r="J3537" s="9">
        <v>1</v>
      </c>
      <c r="K3537" s="9">
        <v>212</v>
      </c>
      <c r="L3537" s="9">
        <v>2025</v>
      </c>
      <c r="M3537" s="8" t="s">
        <v>21205</v>
      </c>
      <c r="N3537" s="8" t="s">
        <v>41</v>
      </c>
      <c r="O3537" s="8" t="s">
        <v>676</v>
      </c>
      <c r="P3537" s="6" t="s">
        <v>167</v>
      </c>
      <c r="Q3537" s="8" t="s">
        <v>44</v>
      </c>
      <c r="R3537" s="10" t="s">
        <v>21206</v>
      </c>
      <c r="S3537" s="11" t="s">
        <v>21207</v>
      </c>
      <c r="T3537" s="6"/>
      <c r="U3537" s="24" t="str">
        <f>HYPERLINK("https://media.infra-m.ru/2178/2178338/cover/2178338.jpg", "Обложка")</f>
        <v>Обложка</v>
      </c>
      <c r="V3537" s="24" t="str">
        <f>HYPERLINK("https://znanium.ru/catalog/product/2084656", "Ознакомиться")</f>
        <v>Ознакомиться</v>
      </c>
      <c r="W3537" s="8" t="s">
        <v>450</v>
      </c>
      <c r="X3537" s="6"/>
      <c r="Y3537" s="6"/>
      <c r="Z3537" s="6" t="s">
        <v>335</v>
      </c>
      <c r="AA3537" s="6" t="s">
        <v>1382</v>
      </c>
      <c r="AB3537" s="8"/>
    </row>
    <row r="3538" spans="1:28" s="4" customFormat="1" ht="51.95" customHeight="1">
      <c r="A3538" s="5">
        <v>0</v>
      </c>
      <c r="B3538" s="6" t="s">
        <v>21208</v>
      </c>
      <c r="C3538" s="13">
        <v>1020</v>
      </c>
      <c r="D3538" s="8" t="s">
        <v>21209</v>
      </c>
      <c r="E3538" s="8" t="s">
        <v>21210</v>
      </c>
      <c r="F3538" s="8" t="s">
        <v>21199</v>
      </c>
      <c r="G3538" s="6" t="s">
        <v>89</v>
      </c>
      <c r="H3538" s="6" t="s">
        <v>39</v>
      </c>
      <c r="I3538" s="8" t="s">
        <v>100</v>
      </c>
      <c r="J3538" s="9">
        <v>1</v>
      </c>
      <c r="K3538" s="9">
        <v>298</v>
      </c>
      <c r="L3538" s="9">
        <v>2020</v>
      </c>
      <c r="M3538" s="8" t="s">
        <v>21211</v>
      </c>
      <c r="N3538" s="8" t="s">
        <v>41</v>
      </c>
      <c r="O3538" s="8" t="s">
        <v>676</v>
      </c>
      <c r="P3538" s="6" t="s">
        <v>43</v>
      </c>
      <c r="Q3538" s="8" t="s">
        <v>102</v>
      </c>
      <c r="R3538" s="10" t="s">
        <v>21201</v>
      </c>
      <c r="S3538" s="11" t="s">
        <v>21212</v>
      </c>
      <c r="T3538" s="6"/>
      <c r="U3538" s="24" t="str">
        <f>HYPERLINK("https://media.infra-m.ru/1096/1096998/cover/1096998.jpg", "Обложка")</f>
        <v>Обложка</v>
      </c>
      <c r="V3538" s="24" t="str">
        <f>HYPERLINK("https://znanium.ru/catalog/product/2139314", "Ознакомиться")</f>
        <v>Ознакомиться</v>
      </c>
      <c r="W3538" s="8" t="s">
        <v>450</v>
      </c>
      <c r="X3538" s="6"/>
      <c r="Y3538" s="6"/>
      <c r="Z3538" s="6"/>
      <c r="AA3538" s="6" t="s">
        <v>326</v>
      </c>
      <c r="AB3538" s="8"/>
    </row>
    <row r="3539" spans="1:28" s="4" customFormat="1" ht="51.95" customHeight="1">
      <c r="A3539" s="5">
        <v>0</v>
      </c>
      <c r="B3539" s="6" t="s">
        <v>21213</v>
      </c>
      <c r="C3539" s="7">
        <v>740</v>
      </c>
      <c r="D3539" s="8" t="s">
        <v>21214</v>
      </c>
      <c r="E3539" s="8" t="s">
        <v>21215</v>
      </c>
      <c r="F3539" s="8" t="s">
        <v>1309</v>
      </c>
      <c r="G3539" s="6" t="s">
        <v>89</v>
      </c>
      <c r="H3539" s="6" t="s">
        <v>53</v>
      </c>
      <c r="I3539" s="8" t="s">
        <v>90</v>
      </c>
      <c r="J3539" s="9">
        <v>1</v>
      </c>
      <c r="K3539" s="9">
        <v>157</v>
      </c>
      <c r="L3539" s="9">
        <v>2023</v>
      </c>
      <c r="M3539" s="8" t="s">
        <v>21216</v>
      </c>
      <c r="N3539" s="8" t="s">
        <v>413</v>
      </c>
      <c r="O3539" s="8" t="s">
        <v>414</v>
      </c>
      <c r="P3539" s="6" t="s">
        <v>43</v>
      </c>
      <c r="Q3539" s="8" t="s">
        <v>44</v>
      </c>
      <c r="R3539" s="10" t="s">
        <v>1311</v>
      </c>
      <c r="S3539" s="11" t="s">
        <v>1312</v>
      </c>
      <c r="T3539" s="6"/>
      <c r="U3539" s="24" t="str">
        <f>HYPERLINK("https://media.infra-m.ru/1811/1811409/cover/1811409.jpg", "Обложка")</f>
        <v>Обложка</v>
      </c>
      <c r="V3539" s="24" t="str">
        <f>HYPERLINK("https://znanium.ru/catalog/product/1811409", "Ознакомиться")</f>
        <v>Ознакомиться</v>
      </c>
      <c r="W3539" s="8" t="s">
        <v>1313</v>
      </c>
      <c r="X3539" s="6"/>
      <c r="Y3539" s="6"/>
      <c r="Z3539" s="6"/>
      <c r="AA3539" s="6" t="s">
        <v>219</v>
      </c>
      <c r="AB3539" s="8"/>
    </row>
    <row r="3540" spans="1:28" s="4" customFormat="1" ht="51.95" customHeight="1">
      <c r="A3540" s="5">
        <v>0</v>
      </c>
      <c r="B3540" s="6" t="s">
        <v>21217</v>
      </c>
      <c r="C3540" s="7">
        <v>874</v>
      </c>
      <c r="D3540" s="8" t="s">
        <v>21218</v>
      </c>
      <c r="E3540" s="8" t="s">
        <v>21219</v>
      </c>
      <c r="F3540" s="8" t="s">
        <v>21220</v>
      </c>
      <c r="G3540" s="6" t="s">
        <v>52</v>
      </c>
      <c r="H3540" s="6" t="s">
        <v>53</v>
      </c>
      <c r="I3540" s="8" t="s">
        <v>1223</v>
      </c>
      <c r="J3540" s="9">
        <v>1</v>
      </c>
      <c r="K3540" s="9">
        <v>175</v>
      </c>
      <c r="L3540" s="9">
        <v>2025</v>
      </c>
      <c r="M3540" s="8" t="s">
        <v>21221</v>
      </c>
      <c r="N3540" s="8" t="s">
        <v>41</v>
      </c>
      <c r="O3540" s="8" t="s">
        <v>1007</v>
      </c>
      <c r="P3540" s="6" t="s">
        <v>43</v>
      </c>
      <c r="Q3540" s="8" t="s">
        <v>44</v>
      </c>
      <c r="R3540" s="10" t="s">
        <v>21222</v>
      </c>
      <c r="S3540" s="11" t="s">
        <v>21223</v>
      </c>
      <c r="T3540" s="6"/>
      <c r="U3540" s="24" t="str">
        <f>HYPERLINK("https://media.infra-m.ru/2187/2187816/cover/2187816.jpg", "Обложка")</f>
        <v>Обложка</v>
      </c>
      <c r="V3540" s="24" t="str">
        <f>HYPERLINK("https://znanium.ru/catalog/product/1926426", "Ознакомиться")</f>
        <v>Ознакомиться</v>
      </c>
      <c r="W3540" s="8" t="s">
        <v>21224</v>
      </c>
      <c r="X3540" s="6"/>
      <c r="Y3540" s="6"/>
      <c r="Z3540" s="6"/>
      <c r="AA3540" s="6" t="s">
        <v>235</v>
      </c>
      <c r="AB3540" s="8"/>
    </row>
    <row r="3541" spans="1:28" s="4" customFormat="1" ht="51.95" customHeight="1">
      <c r="A3541" s="5">
        <v>0</v>
      </c>
      <c r="B3541" s="6" t="s">
        <v>21225</v>
      </c>
      <c r="C3541" s="7">
        <v>940</v>
      </c>
      <c r="D3541" s="8" t="s">
        <v>21226</v>
      </c>
      <c r="E3541" s="8" t="s">
        <v>21227</v>
      </c>
      <c r="F3541" s="8" t="s">
        <v>21228</v>
      </c>
      <c r="G3541" s="6" t="s">
        <v>89</v>
      </c>
      <c r="H3541" s="6" t="s">
        <v>53</v>
      </c>
      <c r="I3541" s="8" t="s">
        <v>116</v>
      </c>
      <c r="J3541" s="9">
        <v>1</v>
      </c>
      <c r="K3541" s="9">
        <v>190</v>
      </c>
      <c r="L3541" s="9">
        <v>2024</v>
      </c>
      <c r="M3541" s="8" t="s">
        <v>21229</v>
      </c>
      <c r="N3541" s="8" t="s">
        <v>41</v>
      </c>
      <c r="O3541" s="8" t="s">
        <v>1007</v>
      </c>
      <c r="P3541" s="6" t="s">
        <v>43</v>
      </c>
      <c r="Q3541" s="8" t="s">
        <v>44</v>
      </c>
      <c r="R3541" s="10" t="s">
        <v>157</v>
      </c>
      <c r="S3541" s="11" t="s">
        <v>21230</v>
      </c>
      <c r="T3541" s="6"/>
      <c r="U3541" s="24" t="str">
        <f>HYPERLINK("https://media.infra-m.ru/2089/2089367/cover/2089367.jpg", "Обложка")</f>
        <v>Обложка</v>
      </c>
      <c r="V3541" s="24" t="str">
        <f>HYPERLINK("https://znanium.ru/catalog/product/2089367", "Ознакомиться")</f>
        <v>Ознакомиться</v>
      </c>
      <c r="W3541" s="8" t="s">
        <v>11271</v>
      </c>
      <c r="X3541" s="6"/>
      <c r="Y3541" s="6"/>
      <c r="Z3541" s="6"/>
      <c r="AA3541" s="6" t="s">
        <v>1259</v>
      </c>
      <c r="AB3541" s="8"/>
    </row>
    <row r="3542" spans="1:28" s="4" customFormat="1" ht="51.95" customHeight="1">
      <c r="A3542" s="5">
        <v>0</v>
      </c>
      <c r="B3542" s="6" t="s">
        <v>21231</v>
      </c>
      <c r="C3542" s="7">
        <v>914</v>
      </c>
      <c r="D3542" s="8" t="s">
        <v>21232</v>
      </c>
      <c r="E3542" s="8" t="s">
        <v>21233</v>
      </c>
      <c r="F3542" s="8" t="s">
        <v>21234</v>
      </c>
      <c r="G3542" s="6" t="s">
        <v>38</v>
      </c>
      <c r="H3542" s="6" t="s">
        <v>53</v>
      </c>
      <c r="I3542" s="8" t="s">
        <v>90</v>
      </c>
      <c r="J3542" s="9">
        <v>1</v>
      </c>
      <c r="K3542" s="9">
        <v>182</v>
      </c>
      <c r="L3542" s="9">
        <v>2025</v>
      </c>
      <c r="M3542" s="8" t="s">
        <v>21235</v>
      </c>
      <c r="N3542" s="8" t="s">
        <v>79</v>
      </c>
      <c r="O3542" s="8" t="s">
        <v>684</v>
      </c>
      <c r="P3542" s="6" t="s">
        <v>175</v>
      </c>
      <c r="Q3542" s="8" t="s">
        <v>44</v>
      </c>
      <c r="R3542" s="10" t="s">
        <v>15075</v>
      </c>
      <c r="S3542" s="11" t="s">
        <v>21236</v>
      </c>
      <c r="T3542" s="6"/>
      <c r="U3542" s="24" t="str">
        <f>HYPERLINK("https://media.infra-m.ru/2170/2170112/cover/2170112.jpg", "Обложка")</f>
        <v>Обложка</v>
      </c>
      <c r="V3542" s="24" t="str">
        <f>HYPERLINK("https://znanium.ru/catalog/product/2163200", "Ознакомиться")</f>
        <v>Ознакомиться</v>
      </c>
      <c r="W3542" s="8" t="s">
        <v>1635</v>
      </c>
      <c r="X3542" s="6"/>
      <c r="Y3542" s="6"/>
      <c r="Z3542" s="6"/>
      <c r="AA3542" s="6" t="s">
        <v>111</v>
      </c>
      <c r="AB3542" s="8"/>
    </row>
    <row r="3543" spans="1:28" s="4" customFormat="1" ht="51.95" customHeight="1">
      <c r="A3543" s="5">
        <v>0</v>
      </c>
      <c r="B3543" s="6" t="s">
        <v>21237</v>
      </c>
      <c r="C3543" s="7">
        <v>994</v>
      </c>
      <c r="D3543" s="8" t="s">
        <v>21238</v>
      </c>
      <c r="E3543" s="8" t="s">
        <v>21239</v>
      </c>
      <c r="F3543" s="8" t="s">
        <v>21240</v>
      </c>
      <c r="G3543" s="6" t="s">
        <v>89</v>
      </c>
      <c r="H3543" s="6" t="s">
        <v>53</v>
      </c>
      <c r="I3543" s="8" t="s">
        <v>276</v>
      </c>
      <c r="J3543" s="9">
        <v>1</v>
      </c>
      <c r="K3543" s="9">
        <v>220</v>
      </c>
      <c r="L3543" s="9">
        <v>2023</v>
      </c>
      <c r="M3543" s="8" t="s">
        <v>21241</v>
      </c>
      <c r="N3543" s="8" t="s">
        <v>997</v>
      </c>
      <c r="O3543" s="8" t="s">
        <v>998</v>
      </c>
      <c r="P3543" s="6" t="s">
        <v>43</v>
      </c>
      <c r="Q3543" s="8" t="s">
        <v>279</v>
      </c>
      <c r="R3543" s="10" t="s">
        <v>21242</v>
      </c>
      <c r="S3543" s="11" t="s">
        <v>21243</v>
      </c>
      <c r="T3543" s="6"/>
      <c r="U3543" s="24" t="str">
        <f>HYPERLINK("https://media.infra-m.ru/2002/2002644/cover/2002644.jpg", "Обложка")</f>
        <v>Обложка</v>
      </c>
      <c r="V3543" s="24" t="str">
        <f>HYPERLINK("https://znanium.ru/catalog/product/762235", "Ознакомиться")</f>
        <v>Ознакомиться</v>
      </c>
      <c r="W3543" s="8" t="s">
        <v>2154</v>
      </c>
      <c r="X3543" s="6"/>
      <c r="Y3543" s="6"/>
      <c r="Z3543" s="6"/>
      <c r="AA3543" s="6" t="s">
        <v>196</v>
      </c>
      <c r="AB3543" s="8"/>
    </row>
    <row r="3544" spans="1:28" s="4" customFormat="1" ht="51.95" customHeight="1">
      <c r="A3544" s="5">
        <v>0</v>
      </c>
      <c r="B3544" s="6" t="s">
        <v>21244</v>
      </c>
      <c r="C3544" s="13">
        <v>1994</v>
      </c>
      <c r="D3544" s="8" t="s">
        <v>21245</v>
      </c>
      <c r="E3544" s="8" t="s">
        <v>21246</v>
      </c>
      <c r="F3544" s="8" t="s">
        <v>21247</v>
      </c>
      <c r="G3544" s="6" t="s">
        <v>52</v>
      </c>
      <c r="H3544" s="6" t="s">
        <v>649</v>
      </c>
      <c r="I3544" s="8" t="s">
        <v>116</v>
      </c>
      <c r="J3544" s="9">
        <v>1</v>
      </c>
      <c r="K3544" s="9">
        <v>400</v>
      </c>
      <c r="L3544" s="9">
        <v>2025</v>
      </c>
      <c r="M3544" s="8" t="s">
        <v>21248</v>
      </c>
      <c r="N3544" s="8" t="s">
        <v>79</v>
      </c>
      <c r="O3544" s="8" t="s">
        <v>80</v>
      </c>
      <c r="P3544" s="6" t="s">
        <v>43</v>
      </c>
      <c r="Q3544" s="8" t="s">
        <v>44</v>
      </c>
      <c r="R3544" s="10" t="s">
        <v>21249</v>
      </c>
      <c r="S3544" s="11" t="s">
        <v>21250</v>
      </c>
      <c r="T3544" s="6"/>
      <c r="U3544" s="24" t="str">
        <f>HYPERLINK("https://media.infra-m.ru/2192/2192226/cover/2192226.jpg", "Обложка")</f>
        <v>Обложка</v>
      </c>
      <c r="V3544" s="24" t="str">
        <f>HYPERLINK("https://znanium.ru/catalog/product/1843633", "Ознакомиться")</f>
        <v>Ознакомиться</v>
      </c>
      <c r="W3544" s="8" t="s">
        <v>189</v>
      </c>
      <c r="X3544" s="6"/>
      <c r="Y3544" s="6"/>
      <c r="Z3544" s="6"/>
      <c r="AA3544" s="6" t="s">
        <v>122</v>
      </c>
      <c r="AB3544" s="8"/>
    </row>
    <row r="3545" spans="1:28" s="4" customFormat="1" ht="51.95" customHeight="1">
      <c r="A3545" s="5">
        <v>0</v>
      </c>
      <c r="B3545" s="6" t="s">
        <v>21251</v>
      </c>
      <c r="C3545" s="13">
        <v>1620</v>
      </c>
      <c r="D3545" s="8" t="s">
        <v>21252</v>
      </c>
      <c r="E3545" s="8" t="s">
        <v>21253</v>
      </c>
      <c r="F3545" s="8" t="s">
        <v>21254</v>
      </c>
      <c r="G3545" s="6" t="s">
        <v>89</v>
      </c>
      <c r="H3545" s="6" t="s">
        <v>53</v>
      </c>
      <c r="I3545" s="8" t="s">
        <v>165</v>
      </c>
      <c r="J3545" s="9">
        <v>1</v>
      </c>
      <c r="K3545" s="9">
        <v>324</v>
      </c>
      <c r="L3545" s="9">
        <v>2025</v>
      </c>
      <c r="M3545" s="8" t="s">
        <v>21255</v>
      </c>
      <c r="N3545" s="8" t="s">
        <v>41</v>
      </c>
      <c r="O3545" s="8" t="s">
        <v>1007</v>
      </c>
      <c r="P3545" s="6" t="s">
        <v>167</v>
      </c>
      <c r="Q3545" s="8" t="s">
        <v>44</v>
      </c>
      <c r="R3545" s="10" t="s">
        <v>1251</v>
      </c>
      <c r="S3545" s="11" t="s">
        <v>1285</v>
      </c>
      <c r="T3545" s="6"/>
      <c r="U3545" s="24" t="str">
        <f>HYPERLINK("https://media.infra-m.ru/2188/2188729/cover/2188729.jpg", "Обложка")</f>
        <v>Обложка</v>
      </c>
      <c r="V3545" s="24" t="str">
        <f>HYPERLINK("https://znanium.ru/catalog/product/2188729", "Ознакомиться")</f>
        <v>Ознакомиться</v>
      </c>
      <c r="W3545" s="8" t="s">
        <v>83</v>
      </c>
      <c r="X3545" s="6"/>
      <c r="Y3545" s="6"/>
      <c r="Z3545" s="6"/>
      <c r="AA3545" s="6" t="s">
        <v>326</v>
      </c>
      <c r="AB3545" s="8" t="s">
        <v>271</v>
      </c>
    </row>
    <row r="3546" spans="1:28" s="4" customFormat="1" ht="51.95" customHeight="1">
      <c r="A3546" s="5">
        <v>0</v>
      </c>
      <c r="B3546" s="6" t="s">
        <v>21256</v>
      </c>
      <c r="C3546" s="13">
        <v>1510</v>
      </c>
      <c r="D3546" s="8" t="s">
        <v>21257</v>
      </c>
      <c r="E3546" s="8" t="s">
        <v>21258</v>
      </c>
      <c r="F3546" s="8" t="s">
        <v>21259</v>
      </c>
      <c r="G3546" s="6" t="s">
        <v>89</v>
      </c>
      <c r="H3546" s="6" t="s">
        <v>53</v>
      </c>
      <c r="I3546" s="8" t="s">
        <v>116</v>
      </c>
      <c r="J3546" s="9">
        <v>1</v>
      </c>
      <c r="K3546" s="9">
        <v>320</v>
      </c>
      <c r="L3546" s="9">
        <v>2024</v>
      </c>
      <c r="M3546" s="8" t="s">
        <v>21260</v>
      </c>
      <c r="N3546" s="8" t="s">
        <v>41</v>
      </c>
      <c r="O3546" s="8" t="s">
        <v>1007</v>
      </c>
      <c r="P3546" s="6" t="s">
        <v>167</v>
      </c>
      <c r="Q3546" s="8" t="s">
        <v>44</v>
      </c>
      <c r="R3546" s="10" t="s">
        <v>1688</v>
      </c>
      <c r="S3546" s="11" t="s">
        <v>21261</v>
      </c>
      <c r="T3546" s="6"/>
      <c r="U3546" s="24" t="str">
        <f>HYPERLINK("https://media.infra-m.ru/2152/2152065/cover/2152065.jpg", "Обложка")</f>
        <v>Обложка</v>
      </c>
      <c r="V3546" s="24" t="str">
        <f>HYPERLINK("https://znanium.ru/catalog/product/2152065", "Ознакомиться")</f>
        <v>Ознакомиться</v>
      </c>
      <c r="W3546" s="8" t="s">
        <v>1689</v>
      </c>
      <c r="X3546" s="6"/>
      <c r="Y3546" s="6"/>
      <c r="Z3546" s="6"/>
      <c r="AA3546" s="6" t="s">
        <v>2657</v>
      </c>
      <c r="AB3546" s="8"/>
    </row>
    <row r="3547" spans="1:28" s="4" customFormat="1" ht="51.95" customHeight="1">
      <c r="A3547" s="5">
        <v>0</v>
      </c>
      <c r="B3547" s="6" t="s">
        <v>21262</v>
      </c>
      <c r="C3547" s="13">
        <v>1130</v>
      </c>
      <c r="D3547" s="8" t="s">
        <v>21263</v>
      </c>
      <c r="E3547" s="8" t="s">
        <v>21264</v>
      </c>
      <c r="F3547" s="8" t="s">
        <v>21259</v>
      </c>
      <c r="G3547" s="6" t="s">
        <v>89</v>
      </c>
      <c r="H3547" s="6" t="s">
        <v>53</v>
      </c>
      <c r="I3547" s="8" t="s">
        <v>90</v>
      </c>
      <c r="J3547" s="9">
        <v>1</v>
      </c>
      <c r="K3547" s="9">
        <v>352</v>
      </c>
      <c r="L3547" s="9">
        <v>2019</v>
      </c>
      <c r="M3547" s="8" t="s">
        <v>21265</v>
      </c>
      <c r="N3547" s="8" t="s">
        <v>41</v>
      </c>
      <c r="O3547" s="8" t="s">
        <v>1007</v>
      </c>
      <c r="P3547" s="6" t="s">
        <v>167</v>
      </c>
      <c r="Q3547" s="8" t="s">
        <v>44</v>
      </c>
      <c r="R3547" s="10" t="s">
        <v>1688</v>
      </c>
      <c r="S3547" s="11" t="s">
        <v>21266</v>
      </c>
      <c r="T3547" s="6"/>
      <c r="U3547" s="24" t="str">
        <f>HYPERLINK("https://media.infra-m.ru/1026/1026054/cover/1026054.jpg", "Обложка")</f>
        <v>Обложка</v>
      </c>
      <c r="V3547" s="24" t="str">
        <f>HYPERLINK("https://znanium.ru/catalog/product/2152065", "Ознакомиться")</f>
        <v>Ознакомиться</v>
      </c>
      <c r="W3547" s="8" t="s">
        <v>1689</v>
      </c>
      <c r="X3547" s="6"/>
      <c r="Y3547" s="6"/>
      <c r="Z3547" s="6"/>
      <c r="AA3547" s="6" t="s">
        <v>479</v>
      </c>
      <c r="AB3547" s="8"/>
    </row>
    <row r="3548" spans="1:28" s="4" customFormat="1" ht="51.95" customHeight="1">
      <c r="A3548" s="5">
        <v>0</v>
      </c>
      <c r="B3548" s="6" t="s">
        <v>21267</v>
      </c>
      <c r="C3548" s="7">
        <v>800</v>
      </c>
      <c r="D3548" s="8" t="s">
        <v>21268</v>
      </c>
      <c r="E3548" s="8" t="s">
        <v>21269</v>
      </c>
      <c r="F3548" s="8" t="s">
        <v>21270</v>
      </c>
      <c r="G3548" s="6" t="s">
        <v>89</v>
      </c>
      <c r="H3548" s="6" t="s">
        <v>53</v>
      </c>
      <c r="I3548" s="8" t="s">
        <v>2959</v>
      </c>
      <c r="J3548" s="9">
        <v>1</v>
      </c>
      <c r="K3548" s="9">
        <v>171</v>
      </c>
      <c r="L3548" s="9">
        <v>2023</v>
      </c>
      <c r="M3548" s="8" t="s">
        <v>21271</v>
      </c>
      <c r="N3548" s="8" t="s">
        <v>41</v>
      </c>
      <c r="O3548" s="8" t="s">
        <v>118</v>
      </c>
      <c r="P3548" s="6" t="s">
        <v>43</v>
      </c>
      <c r="Q3548" s="8" t="s">
        <v>279</v>
      </c>
      <c r="R3548" s="10" t="s">
        <v>21272</v>
      </c>
      <c r="S3548" s="11" t="s">
        <v>21273</v>
      </c>
      <c r="T3548" s="6" t="s">
        <v>299</v>
      </c>
      <c r="U3548" s="24" t="str">
        <f>HYPERLINK("https://media.infra-m.ru/1907/1907026/cover/1907026.jpg", "Обложка")</f>
        <v>Обложка</v>
      </c>
      <c r="V3548" s="24" t="str">
        <f>HYPERLINK("https://znanium.ru/catalog/product/1907026", "Ознакомиться")</f>
        <v>Ознакомиться</v>
      </c>
      <c r="W3548" s="8" t="s">
        <v>189</v>
      </c>
      <c r="X3548" s="6"/>
      <c r="Y3548" s="6"/>
      <c r="Z3548" s="6"/>
      <c r="AA3548" s="6" t="s">
        <v>326</v>
      </c>
      <c r="AB3548" s="8"/>
    </row>
    <row r="3549" spans="1:28" s="4" customFormat="1" ht="51.95" customHeight="1">
      <c r="A3549" s="5">
        <v>0</v>
      </c>
      <c r="B3549" s="6" t="s">
        <v>21274</v>
      </c>
      <c r="C3549" s="13">
        <v>1114</v>
      </c>
      <c r="D3549" s="8" t="s">
        <v>21275</v>
      </c>
      <c r="E3549" s="8" t="s">
        <v>21276</v>
      </c>
      <c r="F3549" s="8" t="s">
        <v>21277</v>
      </c>
      <c r="G3549" s="6" t="s">
        <v>89</v>
      </c>
      <c r="H3549" s="6" t="s">
        <v>53</v>
      </c>
      <c r="I3549" s="8" t="s">
        <v>90</v>
      </c>
      <c r="J3549" s="9">
        <v>1</v>
      </c>
      <c r="K3549" s="9">
        <v>223</v>
      </c>
      <c r="L3549" s="9">
        <v>2024</v>
      </c>
      <c r="M3549" s="8" t="s">
        <v>21278</v>
      </c>
      <c r="N3549" s="8" t="s">
        <v>41</v>
      </c>
      <c r="O3549" s="8" t="s">
        <v>676</v>
      </c>
      <c r="P3549" s="6" t="s">
        <v>43</v>
      </c>
      <c r="Q3549" s="8" t="s">
        <v>44</v>
      </c>
      <c r="R3549" s="10" t="s">
        <v>21279</v>
      </c>
      <c r="S3549" s="11" t="s">
        <v>21280</v>
      </c>
      <c r="T3549" s="6"/>
      <c r="U3549" s="24" t="str">
        <f>HYPERLINK("https://media.infra-m.ru/2157/2157926/cover/2157926.jpg", "Обложка")</f>
        <v>Обложка</v>
      </c>
      <c r="V3549" s="24" t="str">
        <f>HYPERLINK("https://znanium.ru/catalog/product/1859601", "Ознакомиться")</f>
        <v>Ознакомиться</v>
      </c>
      <c r="W3549" s="8" t="s">
        <v>3577</v>
      </c>
      <c r="X3549" s="6"/>
      <c r="Y3549" s="6"/>
      <c r="Z3549" s="6"/>
      <c r="AA3549" s="6" t="s">
        <v>151</v>
      </c>
      <c r="AB3549" s="8"/>
    </row>
    <row r="3550" spans="1:28" s="4" customFormat="1" ht="42" customHeight="1">
      <c r="A3550" s="5">
        <v>0</v>
      </c>
      <c r="B3550" s="6" t="s">
        <v>21281</v>
      </c>
      <c r="C3550" s="13">
        <v>1800</v>
      </c>
      <c r="D3550" s="8" t="s">
        <v>21282</v>
      </c>
      <c r="E3550" s="8" t="s">
        <v>21283</v>
      </c>
      <c r="F3550" s="8" t="s">
        <v>21284</v>
      </c>
      <c r="G3550" s="6" t="s">
        <v>89</v>
      </c>
      <c r="H3550" s="6" t="s">
        <v>53</v>
      </c>
      <c r="I3550" s="8" t="s">
        <v>165</v>
      </c>
      <c r="J3550" s="9">
        <v>1</v>
      </c>
      <c r="K3550" s="9">
        <v>359</v>
      </c>
      <c r="L3550" s="9">
        <v>2025</v>
      </c>
      <c r="M3550" s="8" t="s">
        <v>21285</v>
      </c>
      <c r="N3550" s="8" t="s">
        <v>41</v>
      </c>
      <c r="O3550" s="8" t="s">
        <v>1007</v>
      </c>
      <c r="P3550" s="6" t="s">
        <v>167</v>
      </c>
      <c r="Q3550" s="8" t="s">
        <v>58</v>
      </c>
      <c r="R3550" s="10" t="s">
        <v>21286</v>
      </c>
      <c r="S3550" s="11"/>
      <c r="T3550" s="6"/>
      <c r="U3550" s="24" t="str">
        <f>HYPERLINK("https://media.infra-m.ru/2157/2157927/cover/2157927.jpg", "Обложка")</f>
        <v>Обложка</v>
      </c>
      <c r="V3550" s="24" t="str">
        <f>HYPERLINK("https://znanium.ru/catalog/product/2157927", "Ознакомиться")</f>
        <v>Ознакомиться</v>
      </c>
      <c r="W3550" s="8" t="s">
        <v>83</v>
      </c>
      <c r="X3550" s="6"/>
      <c r="Y3550" s="6"/>
      <c r="Z3550" s="6"/>
      <c r="AA3550" s="6" t="s">
        <v>1374</v>
      </c>
      <c r="AB3550" s="8"/>
    </row>
    <row r="3551" spans="1:28" s="4" customFormat="1" ht="42" customHeight="1">
      <c r="A3551" s="5">
        <v>0</v>
      </c>
      <c r="B3551" s="6" t="s">
        <v>21287</v>
      </c>
      <c r="C3551" s="13">
        <v>1130</v>
      </c>
      <c r="D3551" s="8" t="s">
        <v>21288</v>
      </c>
      <c r="E3551" s="8" t="s">
        <v>21289</v>
      </c>
      <c r="F3551" s="8" t="s">
        <v>21284</v>
      </c>
      <c r="G3551" s="6" t="s">
        <v>89</v>
      </c>
      <c r="H3551" s="6" t="s">
        <v>53</v>
      </c>
      <c r="I3551" s="8" t="s">
        <v>1223</v>
      </c>
      <c r="J3551" s="9">
        <v>1</v>
      </c>
      <c r="K3551" s="9">
        <v>352</v>
      </c>
      <c r="L3551" s="9">
        <v>2019</v>
      </c>
      <c r="M3551" s="8" t="s">
        <v>21290</v>
      </c>
      <c r="N3551" s="8" t="s">
        <v>41</v>
      </c>
      <c r="O3551" s="8" t="s">
        <v>1007</v>
      </c>
      <c r="P3551" s="6" t="s">
        <v>167</v>
      </c>
      <c r="Q3551" s="8" t="s">
        <v>44</v>
      </c>
      <c r="R3551" s="10" t="s">
        <v>21286</v>
      </c>
      <c r="S3551" s="11"/>
      <c r="T3551" s="6"/>
      <c r="U3551" s="24" t="str">
        <f>HYPERLINK("https://media.infra-m.ru/1004/1004233/cover/1004233.jpg", "Обложка")</f>
        <v>Обложка</v>
      </c>
      <c r="V3551" s="24" t="str">
        <f>HYPERLINK("https://znanium.ru/catalog/product/2157927", "Ознакомиться")</f>
        <v>Ознакомиться</v>
      </c>
      <c r="W3551" s="8" t="s">
        <v>83</v>
      </c>
      <c r="X3551" s="6"/>
      <c r="Y3551" s="6"/>
      <c r="Z3551" s="6"/>
      <c r="AA3551" s="6" t="s">
        <v>151</v>
      </c>
      <c r="AB3551" s="8"/>
    </row>
    <row r="3552" spans="1:28" s="4" customFormat="1" ht="51.95" customHeight="1">
      <c r="A3552" s="5">
        <v>0</v>
      </c>
      <c r="B3552" s="6" t="s">
        <v>21291</v>
      </c>
      <c r="C3552" s="7">
        <v>734</v>
      </c>
      <c r="D3552" s="8" t="s">
        <v>21292</v>
      </c>
      <c r="E3552" s="8" t="s">
        <v>21289</v>
      </c>
      <c r="F3552" s="8" t="s">
        <v>21293</v>
      </c>
      <c r="G3552" s="6" t="s">
        <v>52</v>
      </c>
      <c r="H3552" s="6" t="s">
        <v>53</v>
      </c>
      <c r="I3552" s="8" t="s">
        <v>90</v>
      </c>
      <c r="J3552" s="9">
        <v>1</v>
      </c>
      <c r="K3552" s="9">
        <v>160</v>
      </c>
      <c r="L3552" s="9">
        <v>2024</v>
      </c>
      <c r="M3552" s="8" t="s">
        <v>21294</v>
      </c>
      <c r="N3552" s="8" t="s">
        <v>41</v>
      </c>
      <c r="O3552" s="8" t="s">
        <v>1007</v>
      </c>
      <c r="P3552" s="6" t="s">
        <v>43</v>
      </c>
      <c r="Q3552" s="8" t="s">
        <v>44</v>
      </c>
      <c r="R3552" s="10" t="s">
        <v>21295</v>
      </c>
      <c r="S3552" s="11" t="s">
        <v>21296</v>
      </c>
      <c r="T3552" s="6"/>
      <c r="U3552" s="24" t="str">
        <f>HYPERLINK("https://media.infra-m.ru/2125/2125184/cover/2125184.jpg", "Обложка")</f>
        <v>Обложка</v>
      </c>
      <c r="V3552" s="24" t="str">
        <f>HYPERLINK("https://znanium.ru/catalog/product/2125184", "Ознакомиться")</f>
        <v>Ознакомиться</v>
      </c>
      <c r="W3552" s="8" t="s">
        <v>2080</v>
      </c>
      <c r="X3552" s="6"/>
      <c r="Y3552" s="6"/>
      <c r="Z3552" s="6"/>
      <c r="AA3552" s="6" t="s">
        <v>47</v>
      </c>
      <c r="AB3552" s="8"/>
    </row>
    <row r="3553" spans="1:28" s="4" customFormat="1" ht="51.95" customHeight="1">
      <c r="A3553" s="5">
        <v>0</v>
      </c>
      <c r="B3553" s="6" t="s">
        <v>21297</v>
      </c>
      <c r="C3553" s="13">
        <v>1140</v>
      </c>
      <c r="D3553" s="8" t="s">
        <v>21298</v>
      </c>
      <c r="E3553" s="8" t="s">
        <v>21299</v>
      </c>
      <c r="F3553" s="8" t="s">
        <v>21300</v>
      </c>
      <c r="G3553" s="6" t="s">
        <v>89</v>
      </c>
      <c r="H3553" s="6" t="s">
        <v>53</v>
      </c>
      <c r="I3553" s="8" t="s">
        <v>276</v>
      </c>
      <c r="J3553" s="9">
        <v>1</v>
      </c>
      <c r="K3553" s="9">
        <v>253</v>
      </c>
      <c r="L3553" s="9">
        <v>2023</v>
      </c>
      <c r="M3553" s="8" t="s">
        <v>21301</v>
      </c>
      <c r="N3553" s="8" t="s">
        <v>41</v>
      </c>
      <c r="O3553" s="8" t="s">
        <v>1007</v>
      </c>
      <c r="P3553" s="6" t="s">
        <v>43</v>
      </c>
      <c r="Q3553" s="8" t="s">
        <v>279</v>
      </c>
      <c r="R3553" s="10" t="s">
        <v>1231</v>
      </c>
      <c r="S3553" s="11" t="s">
        <v>21302</v>
      </c>
      <c r="T3553" s="6"/>
      <c r="U3553" s="24" t="str">
        <f>HYPERLINK("https://media.infra-m.ru/1926/1926425/cover/1926425.jpg", "Обложка")</f>
        <v>Обложка</v>
      </c>
      <c r="V3553" s="24" t="str">
        <f>HYPERLINK("https://znanium.ru/catalog/product/1926425", "Ознакомиться")</f>
        <v>Ознакомиться</v>
      </c>
      <c r="W3553" s="8" t="s">
        <v>1358</v>
      </c>
      <c r="X3553" s="6"/>
      <c r="Y3553" s="6"/>
      <c r="Z3553" s="6"/>
      <c r="AA3553" s="6" t="s">
        <v>793</v>
      </c>
      <c r="AB3553" s="8"/>
    </row>
    <row r="3554" spans="1:28" s="4" customFormat="1" ht="51.95" customHeight="1">
      <c r="A3554" s="5">
        <v>0</v>
      </c>
      <c r="B3554" s="6" t="s">
        <v>21303</v>
      </c>
      <c r="C3554" s="13">
        <v>1394</v>
      </c>
      <c r="D3554" s="8" t="s">
        <v>21304</v>
      </c>
      <c r="E3554" s="8" t="s">
        <v>21305</v>
      </c>
      <c r="F3554" s="8" t="s">
        <v>21306</v>
      </c>
      <c r="G3554" s="6" t="s">
        <v>89</v>
      </c>
      <c r="H3554" s="6" t="s">
        <v>53</v>
      </c>
      <c r="I3554" s="8" t="s">
        <v>100</v>
      </c>
      <c r="J3554" s="9">
        <v>1</v>
      </c>
      <c r="K3554" s="9">
        <v>268</v>
      </c>
      <c r="L3554" s="9">
        <v>2025</v>
      </c>
      <c r="M3554" s="8" t="s">
        <v>21307</v>
      </c>
      <c r="N3554" s="8" t="s">
        <v>79</v>
      </c>
      <c r="O3554" s="8" t="s">
        <v>424</v>
      </c>
      <c r="P3554" s="6" t="s">
        <v>167</v>
      </c>
      <c r="Q3554" s="8" t="s">
        <v>102</v>
      </c>
      <c r="R3554" s="10" t="s">
        <v>21308</v>
      </c>
      <c r="S3554" s="11" t="s">
        <v>17060</v>
      </c>
      <c r="T3554" s="6"/>
      <c r="U3554" s="24" t="str">
        <f>HYPERLINK("https://media.infra-m.ru/2184/2184035/cover/2184035.jpg", "Обложка")</f>
        <v>Обложка</v>
      </c>
      <c r="V3554" s="24" t="str">
        <f>HYPERLINK("https://znanium.ru/catalog/product/1895090", "Ознакомиться")</f>
        <v>Ознакомиться</v>
      </c>
      <c r="W3554" s="8" t="s">
        <v>478</v>
      </c>
      <c r="X3554" s="6"/>
      <c r="Y3554" s="6"/>
      <c r="Z3554" s="6"/>
      <c r="AA3554" s="6" t="s">
        <v>3065</v>
      </c>
      <c r="AB3554" s="8"/>
    </row>
    <row r="3555" spans="1:28" s="4" customFormat="1" ht="51.95" customHeight="1">
      <c r="A3555" s="5">
        <v>0</v>
      </c>
      <c r="B3555" s="6" t="s">
        <v>21309</v>
      </c>
      <c r="C3555" s="13">
        <v>1084</v>
      </c>
      <c r="D3555" s="8" t="s">
        <v>21310</v>
      </c>
      <c r="E3555" s="8" t="s">
        <v>21311</v>
      </c>
      <c r="F3555" s="8" t="s">
        <v>21312</v>
      </c>
      <c r="G3555" s="6" t="s">
        <v>89</v>
      </c>
      <c r="H3555" s="6" t="s">
        <v>39</v>
      </c>
      <c r="I3555" s="8" t="s">
        <v>90</v>
      </c>
      <c r="J3555" s="9">
        <v>1</v>
      </c>
      <c r="K3555" s="9">
        <v>208</v>
      </c>
      <c r="L3555" s="9">
        <v>2025</v>
      </c>
      <c r="M3555" s="8" t="s">
        <v>21313</v>
      </c>
      <c r="N3555" s="8" t="s">
        <v>413</v>
      </c>
      <c r="O3555" s="8" t="s">
        <v>414</v>
      </c>
      <c r="P3555" s="6" t="s">
        <v>43</v>
      </c>
      <c r="Q3555" s="8" t="s">
        <v>44</v>
      </c>
      <c r="R3555" s="10" t="s">
        <v>7726</v>
      </c>
      <c r="S3555" s="11" t="s">
        <v>21314</v>
      </c>
      <c r="T3555" s="6"/>
      <c r="U3555" s="24" t="str">
        <f>HYPERLINK("https://media.infra-m.ru/2194/2194388/cover/2194388.jpg", "Обложка")</f>
        <v>Обложка</v>
      </c>
      <c r="V3555" s="24" t="str">
        <f>HYPERLINK("https://znanium.ru/catalog/product/1911208", "Ознакомиться")</f>
        <v>Ознакомиться</v>
      </c>
      <c r="W3555" s="8" t="s">
        <v>368</v>
      </c>
      <c r="X3555" s="6"/>
      <c r="Y3555" s="6"/>
      <c r="Z3555" s="6"/>
      <c r="AA3555" s="6" t="s">
        <v>111</v>
      </c>
      <c r="AB3555" s="8"/>
    </row>
    <row r="3556" spans="1:28" s="4" customFormat="1" ht="42" customHeight="1">
      <c r="A3556" s="5">
        <v>0</v>
      </c>
      <c r="B3556" s="6" t="s">
        <v>21315</v>
      </c>
      <c r="C3556" s="7">
        <v>324.89999999999998</v>
      </c>
      <c r="D3556" s="8" t="s">
        <v>21316</v>
      </c>
      <c r="E3556" s="8" t="s">
        <v>21317</v>
      </c>
      <c r="F3556" s="8" t="s">
        <v>3061</v>
      </c>
      <c r="G3556" s="6" t="s">
        <v>38</v>
      </c>
      <c r="H3556" s="6" t="s">
        <v>184</v>
      </c>
      <c r="I3556" s="8" t="s">
        <v>3267</v>
      </c>
      <c r="J3556" s="9">
        <v>1</v>
      </c>
      <c r="K3556" s="9">
        <v>111</v>
      </c>
      <c r="L3556" s="9">
        <v>2022</v>
      </c>
      <c r="M3556" s="8" t="s">
        <v>21318</v>
      </c>
      <c r="N3556" s="8" t="s">
        <v>41</v>
      </c>
      <c r="O3556" s="8" t="s">
        <v>1007</v>
      </c>
      <c r="P3556" s="6" t="s">
        <v>43</v>
      </c>
      <c r="Q3556" s="8" t="s">
        <v>44</v>
      </c>
      <c r="R3556" s="10" t="s">
        <v>1291</v>
      </c>
      <c r="S3556" s="11"/>
      <c r="T3556" s="6"/>
      <c r="U3556" s="24" t="str">
        <f>HYPERLINK("https://media.infra-m.ru/1839/1839703/cover/1839703.jpg", "Обложка")</f>
        <v>Обложка</v>
      </c>
      <c r="V3556" s="24" t="str">
        <f>HYPERLINK("https://znanium.ru/catalog/product/1839703", "Ознакомиться")</f>
        <v>Ознакомиться</v>
      </c>
      <c r="W3556" s="8"/>
      <c r="X3556" s="6"/>
      <c r="Y3556" s="6"/>
      <c r="Z3556" s="6"/>
      <c r="AA3556" s="6" t="s">
        <v>555</v>
      </c>
      <c r="AB3556" s="8"/>
    </row>
    <row r="3557" spans="1:28" s="4" customFormat="1" ht="51.95" customHeight="1">
      <c r="A3557" s="5">
        <v>0</v>
      </c>
      <c r="B3557" s="6" t="s">
        <v>21319</v>
      </c>
      <c r="C3557" s="13">
        <v>3120</v>
      </c>
      <c r="D3557" s="8" t="s">
        <v>21320</v>
      </c>
      <c r="E3557" s="8" t="s">
        <v>21321</v>
      </c>
      <c r="F3557" s="8" t="s">
        <v>21322</v>
      </c>
      <c r="G3557" s="6" t="s">
        <v>52</v>
      </c>
      <c r="H3557" s="6" t="s">
        <v>53</v>
      </c>
      <c r="I3557" s="8" t="s">
        <v>116</v>
      </c>
      <c r="J3557" s="9">
        <v>1</v>
      </c>
      <c r="K3557" s="9">
        <v>599</v>
      </c>
      <c r="L3557" s="9">
        <v>2025</v>
      </c>
      <c r="M3557" s="8" t="s">
        <v>21323</v>
      </c>
      <c r="N3557" s="8" t="s">
        <v>41</v>
      </c>
      <c r="O3557" s="8" t="s">
        <v>1007</v>
      </c>
      <c r="P3557" s="6" t="s">
        <v>167</v>
      </c>
      <c r="Q3557" s="8" t="s">
        <v>44</v>
      </c>
      <c r="R3557" s="10" t="s">
        <v>21324</v>
      </c>
      <c r="S3557" s="11"/>
      <c r="T3557" s="6"/>
      <c r="U3557" s="24" t="str">
        <f>HYPERLINK("https://media.infra-m.ru/2170/2170477/cover/2170477.jpg", "Обложка")</f>
        <v>Обложка</v>
      </c>
      <c r="V3557" s="24" t="str">
        <f>HYPERLINK("https://znanium.ru/catalog/product/2170477", "Ознакомиться")</f>
        <v>Ознакомиться</v>
      </c>
      <c r="W3557" s="8" t="s">
        <v>1345</v>
      </c>
      <c r="X3557" s="6" t="s">
        <v>60</v>
      </c>
      <c r="Y3557" s="6"/>
      <c r="Z3557" s="6"/>
      <c r="AA3557" s="6" t="s">
        <v>61</v>
      </c>
      <c r="AB3557" s="8"/>
    </row>
    <row r="3558" spans="1:28" s="4" customFormat="1" ht="51.95" customHeight="1">
      <c r="A3558" s="5">
        <v>0</v>
      </c>
      <c r="B3558" s="6" t="s">
        <v>21325</v>
      </c>
      <c r="C3558" s="13">
        <v>1110</v>
      </c>
      <c r="D3558" s="8" t="s">
        <v>21326</v>
      </c>
      <c r="E3558" s="8" t="s">
        <v>21327</v>
      </c>
      <c r="F3558" s="8" t="s">
        <v>21328</v>
      </c>
      <c r="G3558" s="6" t="s">
        <v>38</v>
      </c>
      <c r="H3558" s="6" t="s">
        <v>649</v>
      </c>
      <c r="I3558" s="8" t="s">
        <v>116</v>
      </c>
      <c r="J3558" s="9">
        <v>1</v>
      </c>
      <c r="K3558" s="9">
        <v>240</v>
      </c>
      <c r="L3558" s="9">
        <v>2023</v>
      </c>
      <c r="M3558" s="8" t="s">
        <v>21329</v>
      </c>
      <c r="N3558" s="8" t="s">
        <v>413</v>
      </c>
      <c r="O3558" s="8" t="s">
        <v>414</v>
      </c>
      <c r="P3558" s="6" t="s">
        <v>43</v>
      </c>
      <c r="Q3558" s="8" t="s">
        <v>44</v>
      </c>
      <c r="R3558" s="10" t="s">
        <v>21330</v>
      </c>
      <c r="S3558" s="11" t="s">
        <v>21128</v>
      </c>
      <c r="T3558" s="6"/>
      <c r="U3558" s="24" t="str">
        <f>HYPERLINK("https://media.infra-m.ru/2125/2125720/cover/2125720.jpg", "Обложка")</f>
        <v>Обложка</v>
      </c>
      <c r="V3558" s="24" t="str">
        <f>HYPERLINK("https://znanium.ru/catalog/product/2111933", "Ознакомиться")</f>
        <v>Ознакомиться</v>
      </c>
      <c r="W3558" s="8" t="s">
        <v>399</v>
      </c>
      <c r="X3558" s="6"/>
      <c r="Y3558" s="6"/>
      <c r="Z3558" s="6"/>
      <c r="AA3558" s="6" t="s">
        <v>442</v>
      </c>
      <c r="AB3558" s="8"/>
    </row>
    <row r="3559" spans="1:28" s="4" customFormat="1" ht="51.95" customHeight="1">
      <c r="A3559" s="5">
        <v>0</v>
      </c>
      <c r="B3559" s="6" t="s">
        <v>21331</v>
      </c>
      <c r="C3559" s="13">
        <v>1730</v>
      </c>
      <c r="D3559" s="8" t="s">
        <v>21332</v>
      </c>
      <c r="E3559" s="8" t="s">
        <v>21333</v>
      </c>
      <c r="F3559" s="8" t="s">
        <v>8178</v>
      </c>
      <c r="G3559" s="6" t="s">
        <v>89</v>
      </c>
      <c r="H3559" s="6" t="s">
        <v>53</v>
      </c>
      <c r="I3559" s="8" t="s">
        <v>100</v>
      </c>
      <c r="J3559" s="9">
        <v>1</v>
      </c>
      <c r="K3559" s="9">
        <v>334</v>
      </c>
      <c r="L3559" s="9">
        <v>2025</v>
      </c>
      <c r="M3559" s="8" t="s">
        <v>21334</v>
      </c>
      <c r="N3559" s="8" t="s">
        <v>79</v>
      </c>
      <c r="O3559" s="8" t="s">
        <v>80</v>
      </c>
      <c r="P3559" s="6" t="s">
        <v>43</v>
      </c>
      <c r="Q3559" s="8" t="s">
        <v>102</v>
      </c>
      <c r="R3559" s="10" t="s">
        <v>21335</v>
      </c>
      <c r="S3559" s="11" t="s">
        <v>21336</v>
      </c>
      <c r="T3559" s="6"/>
      <c r="U3559" s="24" t="str">
        <f>HYPERLINK("https://media.infra-m.ru/2187/2187013/cover/2187013.jpg", "Обложка")</f>
        <v>Обложка</v>
      </c>
      <c r="V3559" s="24" t="str">
        <f>HYPERLINK("https://znanium.ru/catalog/product/989598", "Ознакомиться")</f>
        <v>Ознакомиться</v>
      </c>
      <c r="W3559" s="8" t="s">
        <v>8182</v>
      </c>
      <c r="X3559" s="6"/>
      <c r="Y3559" s="6"/>
      <c r="Z3559" s="6"/>
      <c r="AA3559" s="6" t="s">
        <v>219</v>
      </c>
      <c r="AB3559" s="8"/>
    </row>
    <row r="3560" spans="1:28" s="4" customFormat="1" ht="51.95" customHeight="1">
      <c r="A3560" s="5">
        <v>0</v>
      </c>
      <c r="B3560" s="6" t="s">
        <v>21337</v>
      </c>
      <c r="C3560" s="13">
        <v>1240</v>
      </c>
      <c r="D3560" s="8" t="s">
        <v>21338</v>
      </c>
      <c r="E3560" s="8" t="s">
        <v>21339</v>
      </c>
      <c r="F3560" s="8" t="s">
        <v>21340</v>
      </c>
      <c r="G3560" s="6" t="s">
        <v>89</v>
      </c>
      <c r="H3560" s="6" t="s">
        <v>53</v>
      </c>
      <c r="I3560" s="8" t="s">
        <v>116</v>
      </c>
      <c r="J3560" s="9">
        <v>1</v>
      </c>
      <c r="K3560" s="9">
        <v>268</v>
      </c>
      <c r="L3560" s="9">
        <v>2024</v>
      </c>
      <c r="M3560" s="8" t="s">
        <v>21341</v>
      </c>
      <c r="N3560" s="8" t="s">
        <v>413</v>
      </c>
      <c r="O3560" s="8" t="s">
        <v>1584</v>
      </c>
      <c r="P3560" s="6" t="s">
        <v>167</v>
      </c>
      <c r="Q3560" s="8" t="s">
        <v>44</v>
      </c>
      <c r="R3560" s="10" t="s">
        <v>12090</v>
      </c>
      <c r="S3560" s="11" t="s">
        <v>21342</v>
      </c>
      <c r="T3560" s="6"/>
      <c r="U3560" s="24" t="str">
        <f>HYPERLINK("https://media.infra-m.ru/2130/2130643/cover/2130643.jpg", "Обложка")</f>
        <v>Обложка</v>
      </c>
      <c r="V3560" s="24" t="str">
        <f>HYPERLINK("https://znanium.ru/catalog/product/2130643", "Ознакомиться")</f>
        <v>Ознакомиться</v>
      </c>
      <c r="W3560" s="8" t="s">
        <v>5019</v>
      </c>
      <c r="X3560" s="6"/>
      <c r="Y3560" s="6"/>
      <c r="Z3560" s="6"/>
      <c r="AA3560" s="6" t="s">
        <v>160</v>
      </c>
      <c r="AB3560" s="8"/>
    </row>
    <row r="3561" spans="1:28" s="4" customFormat="1" ht="51.95" customHeight="1">
      <c r="A3561" s="5">
        <v>0</v>
      </c>
      <c r="B3561" s="6" t="s">
        <v>21343</v>
      </c>
      <c r="C3561" s="13">
        <v>2550</v>
      </c>
      <c r="D3561" s="8" t="s">
        <v>21344</v>
      </c>
      <c r="E3561" s="8" t="s">
        <v>21345</v>
      </c>
      <c r="F3561" s="8" t="s">
        <v>21346</v>
      </c>
      <c r="G3561" s="6" t="s">
        <v>52</v>
      </c>
      <c r="H3561" s="6" t="s">
        <v>53</v>
      </c>
      <c r="I3561" s="8" t="s">
        <v>116</v>
      </c>
      <c r="J3561" s="9">
        <v>1</v>
      </c>
      <c r="K3561" s="9">
        <v>490</v>
      </c>
      <c r="L3561" s="9">
        <v>2025</v>
      </c>
      <c r="M3561" s="8" t="s">
        <v>21347</v>
      </c>
      <c r="N3561" s="8" t="s">
        <v>413</v>
      </c>
      <c r="O3561" s="8" t="s">
        <v>414</v>
      </c>
      <c r="P3561" s="6" t="s">
        <v>167</v>
      </c>
      <c r="Q3561" s="8" t="s">
        <v>58</v>
      </c>
      <c r="R3561" s="10" t="s">
        <v>12090</v>
      </c>
      <c r="S3561" s="11" t="s">
        <v>21348</v>
      </c>
      <c r="T3561" s="6"/>
      <c r="U3561" s="24" t="str">
        <f>HYPERLINK("https://media.infra-m.ru/2198/2198392/cover/2198392.jpg", "Обложка")</f>
        <v>Обложка</v>
      </c>
      <c r="V3561" s="24" t="str">
        <f>HYPERLINK("https://znanium.ru/catalog/product/2198392", "Ознакомиться")</f>
        <v>Ознакомиться</v>
      </c>
      <c r="W3561" s="8" t="s">
        <v>5019</v>
      </c>
      <c r="X3561" s="6"/>
      <c r="Y3561" s="6"/>
      <c r="Z3561" s="6"/>
      <c r="AA3561" s="6" t="s">
        <v>10384</v>
      </c>
      <c r="AB3561" s="8"/>
    </row>
    <row r="3562" spans="1:28" s="4" customFormat="1" ht="51.95" customHeight="1">
      <c r="A3562" s="5">
        <v>0</v>
      </c>
      <c r="B3562" s="6" t="s">
        <v>21349</v>
      </c>
      <c r="C3562" s="7">
        <v>524</v>
      </c>
      <c r="D3562" s="8" t="s">
        <v>21350</v>
      </c>
      <c r="E3562" s="8" t="s">
        <v>21351</v>
      </c>
      <c r="F3562" s="8" t="s">
        <v>21352</v>
      </c>
      <c r="G3562" s="6" t="s">
        <v>38</v>
      </c>
      <c r="H3562" s="6" t="s">
        <v>438</v>
      </c>
      <c r="I3562" s="8" t="s">
        <v>90</v>
      </c>
      <c r="J3562" s="9">
        <v>1</v>
      </c>
      <c r="K3562" s="9">
        <v>96</v>
      </c>
      <c r="L3562" s="9">
        <v>2025</v>
      </c>
      <c r="M3562" s="8" t="s">
        <v>21353</v>
      </c>
      <c r="N3562" s="8" t="s">
        <v>79</v>
      </c>
      <c r="O3562" s="8" t="s">
        <v>684</v>
      </c>
      <c r="P3562" s="6" t="s">
        <v>167</v>
      </c>
      <c r="Q3562" s="8" t="s">
        <v>44</v>
      </c>
      <c r="R3562" s="10" t="s">
        <v>1591</v>
      </c>
      <c r="S3562" s="11" t="s">
        <v>21354</v>
      </c>
      <c r="T3562" s="6"/>
      <c r="U3562" s="24" t="str">
        <f>HYPERLINK("https://media.infra-m.ru/2168/2168387/cover/2168387.jpg", "Обложка")</f>
        <v>Обложка</v>
      </c>
      <c r="V3562" s="24" t="str">
        <f>HYPERLINK("https://znanium.ru/catalog/product/1027008", "Ознакомиться")</f>
        <v>Ознакомиться</v>
      </c>
      <c r="W3562" s="8" t="s">
        <v>7224</v>
      </c>
      <c r="X3562" s="6"/>
      <c r="Y3562" s="6"/>
      <c r="Z3562" s="6"/>
      <c r="AA3562" s="6" t="s">
        <v>84</v>
      </c>
      <c r="AB3562" s="8"/>
    </row>
    <row r="3563" spans="1:28" s="4" customFormat="1" ht="51.95" customHeight="1">
      <c r="A3563" s="5">
        <v>0</v>
      </c>
      <c r="B3563" s="6" t="s">
        <v>21355</v>
      </c>
      <c r="C3563" s="7">
        <v>870</v>
      </c>
      <c r="D3563" s="8" t="s">
        <v>21356</v>
      </c>
      <c r="E3563" s="8" t="s">
        <v>21357</v>
      </c>
      <c r="F3563" s="8" t="s">
        <v>21358</v>
      </c>
      <c r="G3563" s="6" t="s">
        <v>89</v>
      </c>
      <c r="H3563" s="6" t="s">
        <v>184</v>
      </c>
      <c r="I3563" s="8" t="s">
        <v>116</v>
      </c>
      <c r="J3563" s="9">
        <v>1</v>
      </c>
      <c r="K3563" s="9">
        <v>192</v>
      </c>
      <c r="L3563" s="9">
        <v>2023</v>
      </c>
      <c r="M3563" s="8" t="s">
        <v>21359</v>
      </c>
      <c r="N3563" s="8" t="s">
        <v>79</v>
      </c>
      <c r="O3563" s="8" t="s">
        <v>684</v>
      </c>
      <c r="P3563" s="6" t="s">
        <v>43</v>
      </c>
      <c r="Q3563" s="8" t="s">
        <v>58</v>
      </c>
      <c r="R3563" s="10" t="s">
        <v>21360</v>
      </c>
      <c r="S3563" s="11" t="s">
        <v>21361</v>
      </c>
      <c r="T3563" s="6"/>
      <c r="U3563" s="24" t="str">
        <f>HYPERLINK("https://media.infra-m.ru/2016/2016337/cover/2016337.jpg", "Обложка")</f>
        <v>Обложка</v>
      </c>
      <c r="V3563" s="24" t="str">
        <f>HYPERLINK("https://znanium.ru/catalog/product/2016337", "Ознакомиться")</f>
        <v>Ознакомиться</v>
      </c>
      <c r="W3563" s="8" t="s">
        <v>13522</v>
      </c>
      <c r="X3563" s="6"/>
      <c r="Y3563" s="6"/>
      <c r="Z3563" s="6"/>
      <c r="AA3563" s="6" t="s">
        <v>47</v>
      </c>
      <c r="AB3563" s="8"/>
    </row>
    <row r="3564" spans="1:28" s="4" customFormat="1" ht="51.95" customHeight="1">
      <c r="A3564" s="5">
        <v>0</v>
      </c>
      <c r="B3564" s="6" t="s">
        <v>21362</v>
      </c>
      <c r="C3564" s="13">
        <v>2150</v>
      </c>
      <c r="D3564" s="8" t="s">
        <v>21363</v>
      </c>
      <c r="E3564" s="8" t="s">
        <v>21364</v>
      </c>
      <c r="F3564" s="8" t="s">
        <v>21365</v>
      </c>
      <c r="G3564" s="6" t="s">
        <v>52</v>
      </c>
      <c r="H3564" s="6" t="s">
        <v>53</v>
      </c>
      <c r="I3564" s="8" t="s">
        <v>100</v>
      </c>
      <c r="J3564" s="9">
        <v>1</v>
      </c>
      <c r="K3564" s="9">
        <v>467</v>
      </c>
      <c r="L3564" s="9">
        <v>2024</v>
      </c>
      <c r="M3564" s="8" t="s">
        <v>21366</v>
      </c>
      <c r="N3564" s="8" t="s">
        <v>79</v>
      </c>
      <c r="O3564" s="8" t="s">
        <v>684</v>
      </c>
      <c r="P3564" s="6" t="s">
        <v>167</v>
      </c>
      <c r="Q3564" s="8" t="s">
        <v>102</v>
      </c>
      <c r="R3564" s="10" t="s">
        <v>21367</v>
      </c>
      <c r="S3564" s="11" t="s">
        <v>4397</v>
      </c>
      <c r="T3564" s="6" t="s">
        <v>299</v>
      </c>
      <c r="U3564" s="24" t="str">
        <f>HYPERLINK("https://media.infra-m.ru/2058/2058789/cover/2058789.jpg", "Обложка")</f>
        <v>Обложка</v>
      </c>
      <c r="V3564" s="24" t="str">
        <f>HYPERLINK("https://znanium.ru/catalog/product/2058789", "Ознакомиться")</f>
        <v>Ознакомиться</v>
      </c>
      <c r="W3564" s="8" t="s">
        <v>1635</v>
      </c>
      <c r="X3564" s="6"/>
      <c r="Y3564" s="6"/>
      <c r="Z3564" s="6" t="s">
        <v>104</v>
      </c>
      <c r="AA3564" s="6" t="s">
        <v>258</v>
      </c>
      <c r="AB3564" s="8" t="s">
        <v>2336</v>
      </c>
    </row>
    <row r="3565" spans="1:28" s="4" customFormat="1" ht="51.95" customHeight="1">
      <c r="A3565" s="5">
        <v>0</v>
      </c>
      <c r="B3565" s="6" t="s">
        <v>21368</v>
      </c>
      <c r="C3565" s="13">
        <v>2434</v>
      </c>
      <c r="D3565" s="8" t="s">
        <v>21369</v>
      </c>
      <c r="E3565" s="8" t="s">
        <v>21364</v>
      </c>
      <c r="F3565" s="8" t="s">
        <v>21365</v>
      </c>
      <c r="G3565" s="6" t="s">
        <v>89</v>
      </c>
      <c r="H3565" s="6" t="s">
        <v>53</v>
      </c>
      <c r="I3565" s="8" t="s">
        <v>90</v>
      </c>
      <c r="J3565" s="9">
        <v>1</v>
      </c>
      <c r="K3565" s="9">
        <v>467</v>
      </c>
      <c r="L3565" s="9">
        <v>2025</v>
      </c>
      <c r="M3565" s="8" t="s">
        <v>21370</v>
      </c>
      <c r="N3565" s="8" t="s">
        <v>79</v>
      </c>
      <c r="O3565" s="8" t="s">
        <v>684</v>
      </c>
      <c r="P3565" s="6" t="s">
        <v>167</v>
      </c>
      <c r="Q3565" s="8" t="s">
        <v>44</v>
      </c>
      <c r="R3565" s="10" t="s">
        <v>1617</v>
      </c>
      <c r="S3565" s="11" t="s">
        <v>21371</v>
      </c>
      <c r="T3565" s="6" t="s">
        <v>299</v>
      </c>
      <c r="U3565" s="24" t="str">
        <f>HYPERLINK("https://media.infra-m.ru/2196/2196892/cover/2196892.jpg", "Обложка")</f>
        <v>Обложка</v>
      </c>
      <c r="V3565" s="24" t="str">
        <f>HYPERLINK("https://znanium.ru/catalog/product/1880699", "Ознакомиться")</f>
        <v>Ознакомиться</v>
      </c>
      <c r="W3565" s="8" t="s">
        <v>1635</v>
      </c>
      <c r="X3565" s="6"/>
      <c r="Y3565" s="6"/>
      <c r="Z3565" s="6"/>
      <c r="AA3565" s="6" t="s">
        <v>111</v>
      </c>
      <c r="AB3565" s="8"/>
    </row>
    <row r="3566" spans="1:28" s="4" customFormat="1" ht="51.95" customHeight="1">
      <c r="A3566" s="5">
        <v>0</v>
      </c>
      <c r="B3566" s="6" t="s">
        <v>21372</v>
      </c>
      <c r="C3566" s="7">
        <v>584.9</v>
      </c>
      <c r="D3566" s="8" t="s">
        <v>21373</v>
      </c>
      <c r="E3566" s="8" t="s">
        <v>21374</v>
      </c>
      <c r="F3566" s="8" t="s">
        <v>21375</v>
      </c>
      <c r="G3566" s="6" t="s">
        <v>38</v>
      </c>
      <c r="H3566" s="6" t="s">
        <v>77</v>
      </c>
      <c r="I3566" s="8" t="s">
        <v>7953</v>
      </c>
      <c r="J3566" s="9">
        <v>1</v>
      </c>
      <c r="K3566" s="9">
        <v>166</v>
      </c>
      <c r="L3566" s="9">
        <v>2020</v>
      </c>
      <c r="M3566" s="8" t="s">
        <v>21376</v>
      </c>
      <c r="N3566" s="8" t="s">
        <v>413</v>
      </c>
      <c r="O3566" s="8" t="s">
        <v>1141</v>
      </c>
      <c r="P3566" s="6" t="s">
        <v>1046</v>
      </c>
      <c r="Q3566" s="8" t="s">
        <v>279</v>
      </c>
      <c r="R3566" s="10" t="s">
        <v>21377</v>
      </c>
      <c r="S3566" s="11"/>
      <c r="T3566" s="6"/>
      <c r="U3566" s="24" t="str">
        <f>HYPERLINK("https://media.infra-m.ru/1062/1062005/cover/1062005.jpg", "Обложка")</f>
        <v>Обложка</v>
      </c>
      <c r="V3566" s="24" t="str">
        <f>HYPERLINK("https://znanium.ru/catalog/product/1062005", "Ознакомиться")</f>
        <v>Ознакомиться</v>
      </c>
      <c r="W3566" s="8" t="s">
        <v>150</v>
      </c>
      <c r="X3566" s="6"/>
      <c r="Y3566" s="6"/>
      <c r="Z3566" s="6"/>
      <c r="AA3566" s="6" t="s">
        <v>418</v>
      </c>
      <c r="AB3566" s="8"/>
    </row>
    <row r="3567" spans="1:28" s="4" customFormat="1" ht="51.95" customHeight="1">
      <c r="A3567" s="5">
        <v>0</v>
      </c>
      <c r="B3567" s="6" t="s">
        <v>21378</v>
      </c>
      <c r="C3567" s="13">
        <v>1480</v>
      </c>
      <c r="D3567" s="8" t="s">
        <v>21379</v>
      </c>
      <c r="E3567" s="8" t="s">
        <v>21380</v>
      </c>
      <c r="F3567" s="8" t="s">
        <v>21381</v>
      </c>
      <c r="G3567" s="6" t="s">
        <v>52</v>
      </c>
      <c r="H3567" s="6" t="s">
        <v>674</v>
      </c>
      <c r="I3567" s="8"/>
      <c r="J3567" s="9">
        <v>1</v>
      </c>
      <c r="K3567" s="9">
        <v>320</v>
      </c>
      <c r="L3567" s="9">
        <v>2024</v>
      </c>
      <c r="M3567" s="8" t="s">
        <v>21382</v>
      </c>
      <c r="N3567" s="8" t="s">
        <v>41</v>
      </c>
      <c r="O3567" s="8" t="s">
        <v>676</v>
      </c>
      <c r="P3567" s="6" t="s">
        <v>43</v>
      </c>
      <c r="Q3567" s="8" t="s">
        <v>44</v>
      </c>
      <c r="R3567" s="10" t="s">
        <v>677</v>
      </c>
      <c r="S3567" s="11"/>
      <c r="T3567" s="6"/>
      <c r="U3567" s="24" t="str">
        <f>HYPERLINK("https://media.infra-m.ru/2104/2104327/cover/2104327.jpg", "Обложка")</f>
        <v>Обложка</v>
      </c>
      <c r="V3567" s="24" t="str">
        <f>HYPERLINK("https://znanium.ru/catalog/product/2104327", "Ознакомиться")</f>
        <v>Ознакомиться</v>
      </c>
      <c r="W3567" s="8" t="s">
        <v>808</v>
      </c>
      <c r="X3567" s="6"/>
      <c r="Y3567" s="6"/>
      <c r="Z3567" s="6"/>
      <c r="AA3567" s="6" t="s">
        <v>105</v>
      </c>
      <c r="AB3567" s="8"/>
    </row>
    <row r="3568" spans="1:28" s="4" customFormat="1" ht="51.95" customHeight="1">
      <c r="A3568" s="5">
        <v>0</v>
      </c>
      <c r="B3568" s="6" t="s">
        <v>21383</v>
      </c>
      <c r="C3568" s="13">
        <v>1100</v>
      </c>
      <c r="D3568" s="8" t="s">
        <v>21384</v>
      </c>
      <c r="E3568" s="8" t="s">
        <v>21385</v>
      </c>
      <c r="F3568" s="8" t="s">
        <v>21381</v>
      </c>
      <c r="G3568" s="6" t="s">
        <v>52</v>
      </c>
      <c r="H3568" s="6" t="s">
        <v>674</v>
      </c>
      <c r="I3568" s="8"/>
      <c r="J3568" s="9">
        <v>1</v>
      </c>
      <c r="K3568" s="9">
        <v>320</v>
      </c>
      <c r="L3568" s="9">
        <v>2020</v>
      </c>
      <c r="M3568" s="8" t="s">
        <v>21386</v>
      </c>
      <c r="N3568" s="8" t="s">
        <v>41</v>
      </c>
      <c r="O3568" s="8" t="s">
        <v>676</v>
      </c>
      <c r="P3568" s="6" t="s">
        <v>43</v>
      </c>
      <c r="Q3568" s="8" t="s">
        <v>44</v>
      </c>
      <c r="R3568" s="10" t="s">
        <v>677</v>
      </c>
      <c r="S3568" s="11"/>
      <c r="T3568" s="6"/>
      <c r="U3568" s="24" t="str">
        <f>HYPERLINK("https://media.infra-m.ru/1087/1087782/cover/1087782.jpg", "Обложка")</f>
        <v>Обложка</v>
      </c>
      <c r="V3568" s="24" t="str">
        <f>HYPERLINK("https://znanium.ru/catalog/product/2104327", "Ознакомиться")</f>
        <v>Ознакомиться</v>
      </c>
      <c r="W3568" s="8" t="s">
        <v>808</v>
      </c>
      <c r="X3568" s="6"/>
      <c r="Y3568" s="6"/>
      <c r="Z3568" s="6"/>
      <c r="AA3568" s="6" t="s">
        <v>793</v>
      </c>
      <c r="AB3568" s="8"/>
    </row>
    <row r="3569" spans="1:28" s="4" customFormat="1" ht="51.95" customHeight="1">
      <c r="A3569" s="5">
        <v>0</v>
      </c>
      <c r="B3569" s="6" t="s">
        <v>21387</v>
      </c>
      <c r="C3569" s="7">
        <v>770</v>
      </c>
      <c r="D3569" s="8" t="s">
        <v>21388</v>
      </c>
      <c r="E3569" s="8" t="s">
        <v>21389</v>
      </c>
      <c r="F3569" s="8" t="s">
        <v>21390</v>
      </c>
      <c r="G3569" s="6" t="s">
        <v>38</v>
      </c>
      <c r="H3569" s="6" t="s">
        <v>53</v>
      </c>
      <c r="I3569" s="8" t="s">
        <v>90</v>
      </c>
      <c r="J3569" s="9">
        <v>1</v>
      </c>
      <c r="K3569" s="9">
        <v>184</v>
      </c>
      <c r="L3569" s="9">
        <v>2022</v>
      </c>
      <c r="M3569" s="8" t="s">
        <v>21391</v>
      </c>
      <c r="N3569" s="8" t="s">
        <v>79</v>
      </c>
      <c r="O3569" s="8" t="s">
        <v>684</v>
      </c>
      <c r="P3569" s="6" t="s">
        <v>43</v>
      </c>
      <c r="Q3569" s="8" t="s">
        <v>44</v>
      </c>
      <c r="R3569" s="10" t="s">
        <v>4062</v>
      </c>
      <c r="S3569" s="11" t="s">
        <v>21392</v>
      </c>
      <c r="T3569" s="6"/>
      <c r="U3569" s="24" t="str">
        <f>HYPERLINK("https://media.infra-m.ru/1873/1873738/cover/1873738.jpg", "Обложка")</f>
        <v>Обложка</v>
      </c>
      <c r="V3569" s="24" t="str">
        <f>HYPERLINK("https://znanium.ru/catalog/product/1873738", "Ознакомиться")</f>
        <v>Ознакомиться</v>
      </c>
      <c r="W3569" s="8" t="s">
        <v>6450</v>
      </c>
      <c r="X3569" s="6"/>
      <c r="Y3569" s="6"/>
      <c r="Z3569" s="6"/>
      <c r="AA3569" s="6" t="s">
        <v>72</v>
      </c>
      <c r="AB3569" s="8"/>
    </row>
    <row r="3570" spans="1:28" s="4" customFormat="1" ht="51.95" customHeight="1">
      <c r="A3570" s="5">
        <v>0</v>
      </c>
      <c r="B3570" s="6" t="s">
        <v>21393</v>
      </c>
      <c r="C3570" s="13">
        <v>2054</v>
      </c>
      <c r="D3570" s="8" t="s">
        <v>21394</v>
      </c>
      <c r="E3570" s="8" t="s">
        <v>21395</v>
      </c>
      <c r="F3570" s="8" t="s">
        <v>21396</v>
      </c>
      <c r="G3570" s="6" t="s">
        <v>89</v>
      </c>
      <c r="H3570" s="6" t="s">
        <v>53</v>
      </c>
      <c r="I3570" s="8" t="s">
        <v>212</v>
      </c>
      <c r="J3570" s="9">
        <v>1</v>
      </c>
      <c r="K3570" s="9">
        <v>411</v>
      </c>
      <c r="L3570" s="9">
        <v>2025</v>
      </c>
      <c r="M3570" s="8" t="s">
        <v>21397</v>
      </c>
      <c r="N3570" s="8" t="s">
        <v>79</v>
      </c>
      <c r="O3570" s="8" t="s">
        <v>684</v>
      </c>
      <c r="P3570" s="6" t="s">
        <v>167</v>
      </c>
      <c r="Q3570" s="8" t="s">
        <v>214</v>
      </c>
      <c r="R3570" s="10" t="s">
        <v>1617</v>
      </c>
      <c r="S3570" s="11" t="s">
        <v>21398</v>
      </c>
      <c r="T3570" s="6" t="s">
        <v>299</v>
      </c>
      <c r="U3570" s="24" t="str">
        <f>HYPERLINK("https://media.infra-m.ru/2188/2188853/cover/2188853.jpg", "Обложка")</f>
        <v>Обложка</v>
      </c>
      <c r="V3570" s="24" t="str">
        <f>HYPERLINK("https://znanium.ru/catalog/product/1911771", "Ознакомиться")</f>
        <v>Ознакомиться</v>
      </c>
      <c r="W3570" s="8" t="s">
        <v>1635</v>
      </c>
      <c r="X3570" s="6"/>
      <c r="Y3570" s="6"/>
      <c r="Z3570" s="6"/>
      <c r="AA3570" s="6" t="s">
        <v>418</v>
      </c>
      <c r="AB3570" s="8"/>
    </row>
    <row r="3571" spans="1:28" s="4" customFormat="1" ht="51.95" customHeight="1">
      <c r="A3571" s="5">
        <v>0</v>
      </c>
      <c r="B3571" s="6" t="s">
        <v>21399</v>
      </c>
      <c r="C3571" s="13">
        <v>3094</v>
      </c>
      <c r="D3571" s="8" t="s">
        <v>21400</v>
      </c>
      <c r="E3571" s="8" t="s">
        <v>21395</v>
      </c>
      <c r="F3571" s="8" t="s">
        <v>21401</v>
      </c>
      <c r="G3571" s="6" t="s">
        <v>52</v>
      </c>
      <c r="H3571" s="6" t="s">
        <v>53</v>
      </c>
      <c r="I3571" s="8" t="s">
        <v>212</v>
      </c>
      <c r="J3571" s="9">
        <v>1</v>
      </c>
      <c r="K3571" s="9">
        <v>639</v>
      </c>
      <c r="L3571" s="9">
        <v>2025</v>
      </c>
      <c r="M3571" s="8" t="s">
        <v>21402</v>
      </c>
      <c r="N3571" s="8" t="s">
        <v>79</v>
      </c>
      <c r="O3571" s="8" t="s">
        <v>174</v>
      </c>
      <c r="P3571" s="6" t="s">
        <v>167</v>
      </c>
      <c r="Q3571" s="8" t="s">
        <v>214</v>
      </c>
      <c r="R3571" s="10" t="s">
        <v>21403</v>
      </c>
      <c r="S3571" s="11" t="s">
        <v>21404</v>
      </c>
      <c r="T3571" s="6" t="s">
        <v>299</v>
      </c>
      <c r="U3571" s="24" t="str">
        <f>HYPERLINK("https://media.infra-m.ru/2188/2188261/cover/2188261.jpg", "Обложка")</f>
        <v>Обложка</v>
      </c>
      <c r="V3571" s="24" t="str">
        <f>HYPERLINK("https://znanium.ru/catalog/product/2133569", "Ознакомиться")</f>
        <v>Ознакомиться</v>
      </c>
      <c r="W3571" s="8" t="s">
        <v>21405</v>
      </c>
      <c r="X3571" s="6"/>
      <c r="Y3571" s="6"/>
      <c r="Z3571" s="6"/>
      <c r="AA3571" s="6" t="s">
        <v>418</v>
      </c>
      <c r="AB3571" s="8"/>
    </row>
    <row r="3572" spans="1:28" s="4" customFormat="1" ht="44.1" customHeight="1">
      <c r="A3572" s="5">
        <v>0</v>
      </c>
      <c r="B3572" s="6" t="s">
        <v>21406</v>
      </c>
      <c r="C3572" s="13">
        <v>2260</v>
      </c>
      <c r="D3572" s="8" t="s">
        <v>21407</v>
      </c>
      <c r="E3572" s="8" t="s">
        <v>21408</v>
      </c>
      <c r="F3572" s="8" t="s">
        <v>21409</v>
      </c>
      <c r="G3572" s="6" t="s">
        <v>89</v>
      </c>
      <c r="H3572" s="6" t="s">
        <v>53</v>
      </c>
      <c r="I3572" s="8" t="s">
        <v>212</v>
      </c>
      <c r="J3572" s="9">
        <v>1</v>
      </c>
      <c r="K3572" s="9">
        <v>844</v>
      </c>
      <c r="L3572" s="9">
        <v>2023</v>
      </c>
      <c r="M3572" s="8" t="s">
        <v>21410</v>
      </c>
      <c r="N3572" s="8" t="s">
        <v>79</v>
      </c>
      <c r="O3572" s="8" t="s">
        <v>174</v>
      </c>
      <c r="P3572" s="6" t="s">
        <v>167</v>
      </c>
      <c r="Q3572" s="8" t="s">
        <v>214</v>
      </c>
      <c r="R3572" s="10" t="s">
        <v>21411</v>
      </c>
      <c r="S3572" s="11"/>
      <c r="T3572" s="6" t="s">
        <v>299</v>
      </c>
      <c r="U3572" s="24" t="str">
        <f>HYPERLINK("https://media.infra-m.ru/2024/2024038/cover/2024038.jpg", "Обложка")</f>
        <v>Обложка</v>
      </c>
      <c r="V3572" s="24" t="str">
        <f>HYPERLINK("https://znanium.ru/catalog/product/2024038", "Ознакомиться")</f>
        <v>Ознакомиться</v>
      </c>
      <c r="W3572" s="8" t="s">
        <v>1642</v>
      </c>
      <c r="X3572" s="6"/>
      <c r="Y3572" s="6"/>
      <c r="Z3572" s="6"/>
      <c r="AA3572" s="6" t="s">
        <v>793</v>
      </c>
      <c r="AB3572" s="8"/>
    </row>
    <row r="3573" spans="1:28" s="4" customFormat="1" ht="51.95" customHeight="1">
      <c r="A3573" s="5">
        <v>0</v>
      </c>
      <c r="B3573" s="6" t="s">
        <v>21412</v>
      </c>
      <c r="C3573" s="13">
        <v>1260</v>
      </c>
      <c r="D3573" s="8" t="s">
        <v>21413</v>
      </c>
      <c r="E3573" s="8" t="s">
        <v>21414</v>
      </c>
      <c r="F3573" s="8" t="s">
        <v>21415</v>
      </c>
      <c r="G3573" s="6" t="s">
        <v>52</v>
      </c>
      <c r="H3573" s="6" t="s">
        <v>53</v>
      </c>
      <c r="I3573" s="8" t="s">
        <v>17575</v>
      </c>
      <c r="J3573" s="9">
        <v>1</v>
      </c>
      <c r="K3573" s="9">
        <v>267</v>
      </c>
      <c r="L3573" s="9">
        <v>2024</v>
      </c>
      <c r="M3573" s="8" t="s">
        <v>21416</v>
      </c>
      <c r="N3573" s="8" t="s">
        <v>79</v>
      </c>
      <c r="O3573" s="8" t="s">
        <v>684</v>
      </c>
      <c r="P3573" s="6" t="s">
        <v>43</v>
      </c>
      <c r="Q3573" s="8" t="s">
        <v>58</v>
      </c>
      <c r="R3573" s="10" t="s">
        <v>6246</v>
      </c>
      <c r="S3573" s="11" t="s">
        <v>21417</v>
      </c>
      <c r="T3573" s="6"/>
      <c r="U3573" s="24" t="str">
        <f>HYPERLINK("https://media.infra-m.ru/2082/2082626/cover/2082626.jpg", "Обложка")</f>
        <v>Обложка</v>
      </c>
      <c r="V3573" s="24" t="str">
        <f>HYPERLINK("https://znanium.ru/catalog/product/2082626", "Ознакомиться")</f>
        <v>Ознакомиться</v>
      </c>
      <c r="W3573" s="8" t="s">
        <v>716</v>
      </c>
      <c r="X3573" s="6"/>
      <c r="Y3573" s="6"/>
      <c r="Z3573" s="6"/>
      <c r="AA3573" s="6" t="s">
        <v>133</v>
      </c>
      <c r="AB3573" s="8"/>
    </row>
    <row r="3574" spans="1:28" s="4" customFormat="1" ht="51.95" customHeight="1">
      <c r="A3574" s="5">
        <v>0</v>
      </c>
      <c r="B3574" s="6" t="s">
        <v>21418</v>
      </c>
      <c r="C3574" s="13">
        <v>1100</v>
      </c>
      <c r="D3574" s="8" t="s">
        <v>21419</v>
      </c>
      <c r="E3574" s="8" t="s">
        <v>21420</v>
      </c>
      <c r="F3574" s="8" t="s">
        <v>21421</v>
      </c>
      <c r="G3574" s="6" t="s">
        <v>89</v>
      </c>
      <c r="H3574" s="6" t="s">
        <v>53</v>
      </c>
      <c r="I3574" s="8" t="s">
        <v>116</v>
      </c>
      <c r="J3574" s="9">
        <v>1</v>
      </c>
      <c r="K3574" s="9">
        <v>219</v>
      </c>
      <c r="L3574" s="9">
        <v>2025</v>
      </c>
      <c r="M3574" s="8" t="s">
        <v>21422</v>
      </c>
      <c r="N3574" s="8" t="s">
        <v>56</v>
      </c>
      <c r="O3574" s="8" t="s">
        <v>741</v>
      </c>
      <c r="P3574" s="6" t="s">
        <v>43</v>
      </c>
      <c r="Q3574" s="8" t="s">
        <v>214</v>
      </c>
      <c r="R3574" s="10" t="s">
        <v>21423</v>
      </c>
      <c r="S3574" s="11" t="s">
        <v>21424</v>
      </c>
      <c r="T3574" s="6" t="s">
        <v>299</v>
      </c>
      <c r="U3574" s="24" t="str">
        <f>HYPERLINK("https://media.infra-m.ru/2180/2180462/cover/2180462.jpg", "Обложка")</f>
        <v>Обложка</v>
      </c>
      <c r="V3574" s="24" t="str">
        <f>HYPERLINK("https://znanium.ru/catalog/product/2180462", "Ознакомиться")</f>
        <v>Ознакомиться</v>
      </c>
      <c r="W3574" s="8" t="s">
        <v>808</v>
      </c>
      <c r="X3574" s="6"/>
      <c r="Y3574" s="6"/>
      <c r="Z3574" s="6"/>
      <c r="AA3574" s="6" t="s">
        <v>442</v>
      </c>
      <c r="AB3574" s="8"/>
    </row>
    <row r="3575" spans="1:28" s="4" customFormat="1" ht="51.95" customHeight="1">
      <c r="A3575" s="5">
        <v>0</v>
      </c>
      <c r="B3575" s="6" t="s">
        <v>21425</v>
      </c>
      <c r="C3575" s="13">
        <v>1160</v>
      </c>
      <c r="D3575" s="8" t="s">
        <v>21426</v>
      </c>
      <c r="E3575" s="8" t="s">
        <v>21427</v>
      </c>
      <c r="F3575" s="8" t="s">
        <v>21428</v>
      </c>
      <c r="G3575" s="6" t="s">
        <v>52</v>
      </c>
      <c r="H3575" s="6" t="s">
        <v>53</v>
      </c>
      <c r="I3575" s="8" t="s">
        <v>960</v>
      </c>
      <c r="J3575" s="9">
        <v>1</v>
      </c>
      <c r="K3575" s="9">
        <v>228</v>
      </c>
      <c r="L3575" s="9">
        <v>2025</v>
      </c>
      <c r="M3575" s="8" t="s">
        <v>21429</v>
      </c>
      <c r="N3575" s="8" t="s">
        <v>79</v>
      </c>
      <c r="O3575" s="8" t="s">
        <v>174</v>
      </c>
      <c r="P3575" s="6" t="s">
        <v>175</v>
      </c>
      <c r="Q3575" s="8" t="s">
        <v>214</v>
      </c>
      <c r="R3575" s="10" t="s">
        <v>21430</v>
      </c>
      <c r="S3575" s="11" t="s">
        <v>21431</v>
      </c>
      <c r="T3575" s="6"/>
      <c r="U3575" s="24" t="str">
        <f>HYPERLINK("https://media.infra-m.ru/2157/2157889/cover/2157889.jpg", "Обложка")</f>
        <v>Обложка</v>
      </c>
      <c r="V3575" s="24" t="str">
        <f>HYPERLINK("https://znanium.ru/catalog/product/2157889", "Ознакомиться")</f>
        <v>Ознакомиться</v>
      </c>
      <c r="W3575" s="8" t="s">
        <v>178</v>
      </c>
      <c r="X3575" s="6" t="s">
        <v>1049</v>
      </c>
      <c r="Y3575" s="6"/>
      <c r="Z3575" s="6"/>
      <c r="AA3575" s="6" t="s">
        <v>61</v>
      </c>
      <c r="AB3575" s="8"/>
    </row>
    <row r="3576" spans="1:28" s="4" customFormat="1" ht="42" customHeight="1">
      <c r="A3576" s="5">
        <v>0</v>
      </c>
      <c r="B3576" s="6" t="s">
        <v>21432</v>
      </c>
      <c r="C3576" s="13">
        <v>1790</v>
      </c>
      <c r="D3576" s="8" t="s">
        <v>21433</v>
      </c>
      <c r="E3576" s="8" t="s">
        <v>21434</v>
      </c>
      <c r="F3576" s="8" t="s">
        <v>21435</v>
      </c>
      <c r="G3576" s="6" t="s">
        <v>52</v>
      </c>
      <c r="H3576" s="6" t="s">
        <v>53</v>
      </c>
      <c r="I3576" s="8" t="s">
        <v>116</v>
      </c>
      <c r="J3576" s="9">
        <v>1</v>
      </c>
      <c r="K3576" s="9">
        <v>350</v>
      </c>
      <c r="L3576" s="9">
        <v>2025</v>
      </c>
      <c r="M3576" s="8" t="s">
        <v>21436</v>
      </c>
      <c r="N3576" s="8" t="s">
        <v>997</v>
      </c>
      <c r="O3576" s="8" t="s">
        <v>998</v>
      </c>
      <c r="P3576" s="6" t="s">
        <v>43</v>
      </c>
      <c r="Q3576" s="8" t="s">
        <v>58</v>
      </c>
      <c r="R3576" s="10" t="s">
        <v>6360</v>
      </c>
      <c r="S3576" s="11"/>
      <c r="T3576" s="6"/>
      <c r="U3576" s="24" t="str">
        <f>HYPERLINK("https://media.infra-m.ru/2144/2144381/cover/2144381.jpg", "Обложка")</f>
        <v>Обложка</v>
      </c>
      <c r="V3576" s="24" t="str">
        <f>HYPERLINK("https://znanium.ru/catalog/product/2144381", "Ознакомиться")</f>
        <v>Ознакомиться</v>
      </c>
      <c r="W3576" s="8" t="s">
        <v>2514</v>
      </c>
      <c r="X3576" s="6" t="s">
        <v>226</v>
      </c>
      <c r="Y3576" s="6"/>
      <c r="Z3576" s="6"/>
      <c r="AA3576" s="6" t="s">
        <v>61</v>
      </c>
      <c r="AB3576" s="8"/>
    </row>
    <row r="3577" spans="1:28" s="4" customFormat="1" ht="42" customHeight="1">
      <c r="A3577" s="5">
        <v>0</v>
      </c>
      <c r="B3577" s="6" t="s">
        <v>21437</v>
      </c>
      <c r="C3577" s="13">
        <v>2100</v>
      </c>
      <c r="D3577" s="8" t="s">
        <v>21438</v>
      </c>
      <c r="E3577" s="8" t="s">
        <v>21439</v>
      </c>
      <c r="F3577" s="8" t="s">
        <v>21440</v>
      </c>
      <c r="G3577" s="6" t="s">
        <v>52</v>
      </c>
      <c r="H3577" s="6" t="s">
        <v>53</v>
      </c>
      <c r="I3577" s="8" t="s">
        <v>116</v>
      </c>
      <c r="J3577" s="9">
        <v>1</v>
      </c>
      <c r="K3577" s="9">
        <v>417</v>
      </c>
      <c r="L3577" s="9">
        <v>2025</v>
      </c>
      <c r="M3577" s="8" t="s">
        <v>21441</v>
      </c>
      <c r="N3577" s="8" t="s">
        <v>997</v>
      </c>
      <c r="O3577" s="8" t="s">
        <v>998</v>
      </c>
      <c r="P3577" s="6" t="s">
        <v>167</v>
      </c>
      <c r="Q3577" s="8" t="s">
        <v>58</v>
      </c>
      <c r="R3577" s="10" t="s">
        <v>21442</v>
      </c>
      <c r="S3577" s="11"/>
      <c r="T3577" s="6"/>
      <c r="U3577" s="24" t="str">
        <f>HYPERLINK("https://media.infra-m.ru/2137/2137639/cover/2137639.jpg", "Обложка")</f>
        <v>Обложка</v>
      </c>
      <c r="V3577" s="24" t="str">
        <f>HYPERLINK("https://znanium.ru/catalog/product/2137639", "Ознакомиться")</f>
        <v>Ознакомиться</v>
      </c>
      <c r="W3577" s="8" t="s">
        <v>2514</v>
      </c>
      <c r="X3577" s="6" t="s">
        <v>132</v>
      </c>
      <c r="Y3577" s="6"/>
      <c r="Z3577" s="6"/>
      <c r="AA3577" s="6" t="s">
        <v>133</v>
      </c>
      <c r="AB3577" s="8" t="s">
        <v>21443</v>
      </c>
    </row>
    <row r="3578" spans="1:28" s="4" customFormat="1" ht="51.95" customHeight="1">
      <c r="A3578" s="5">
        <v>0</v>
      </c>
      <c r="B3578" s="6" t="s">
        <v>21444</v>
      </c>
      <c r="C3578" s="13">
        <v>2104</v>
      </c>
      <c r="D3578" s="8" t="s">
        <v>21445</v>
      </c>
      <c r="E3578" s="8" t="s">
        <v>21446</v>
      </c>
      <c r="F3578" s="8" t="s">
        <v>14535</v>
      </c>
      <c r="G3578" s="6" t="s">
        <v>52</v>
      </c>
      <c r="H3578" s="6" t="s">
        <v>53</v>
      </c>
      <c r="I3578" s="8" t="s">
        <v>116</v>
      </c>
      <c r="J3578" s="9">
        <v>1</v>
      </c>
      <c r="K3578" s="9">
        <v>405</v>
      </c>
      <c r="L3578" s="9">
        <v>2025</v>
      </c>
      <c r="M3578" s="8" t="s">
        <v>21447</v>
      </c>
      <c r="N3578" s="8" t="s">
        <v>997</v>
      </c>
      <c r="O3578" s="8" t="s">
        <v>998</v>
      </c>
      <c r="P3578" s="6" t="s">
        <v>167</v>
      </c>
      <c r="Q3578" s="8" t="s">
        <v>58</v>
      </c>
      <c r="R3578" s="10" t="s">
        <v>7105</v>
      </c>
      <c r="S3578" s="11" t="s">
        <v>21448</v>
      </c>
      <c r="T3578" s="6"/>
      <c r="U3578" s="24" t="str">
        <f>HYPERLINK("https://media.infra-m.ru/2196/2196905/cover/2196905.jpg", "Обложка")</f>
        <v>Обложка</v>
      </c>
      <c r="V3578" s="24" t="str">
        <f>HYPERLINK("https://znanium.ru/catalog/product/1912089", "Ознакомиться")</f>
        <v>Ознакомиться</v>
      </c>
      <c r="W3578" s="8" t="s">
        <v>14539</v>
      </c>
      <c r="X3578" s="6"/>
      <c r="Y3578" s="6"/>
      <c r="Z3578" s="6"/>
      <c r="AA3578" s="6" t="s">
        <v>326</v>
      </c>
      <c r="AB3578" s="8"/>
    </row>
    <row r="3579" spans="1:28" s="4" customFormat="1" ht="42" customHeight="1">
      <c r="A3579" s="5">
        <v>0</v>
      </c>
      <c r="B3579" s="6" t="s">
        <v>21449</v>
      </c>
      <c r="C3579" s="13">
        <v>1200</v>
      </c>
      <c r="D3579" s="8" t="s">
        <v>21450</v>
      </c>
      <c r="E3579" s="8" t="s">
        <v>21451</v>
      </c>
      <c r="F3579" s="8" t="s">
        <v>21452</v>
      </c>
      <c r="G3579" s="6" t="s">
        <v>52</v>
      </c>
      <c r="H3579" s="6" t="s">
        <v>53</v>
      </c>
      <c r="I3579" s="8" t="s">
        <v>127</v>
      </c>
      <c r="J3579" s="9">
        <v>1</v>
      </c>
      <c r="K3579" s="9">
        <v>227</v>
      </c>
      <c r="L3579" s="9">
        <v>2025</v>
      </c>
      <c r="M3579" s="8" t="s">
        <v>21453</v>
      </c>
      <c r="N3579" s="8" t="s">
        <v>997</v>
      </c>
      <c r="O3579" s="8" t="s">
        <v>998</v>
      </c>
      <c r="P3579" s="6" t="s">
        <v>43</v>
      </c>
      <c r="Q3579" s="8" t="s">
        <v>58</v>
      </c>
      <c r="R3579" s="10" t="s">
        <v>21454</v>
      </c>
      <c r="S3579" s="11"/>
      <c r="T3579" s="6"/>
      <c r="U3579" s="24" t="str">
        <f>HYPERLINK("https://media.infra-m.ru/2147/2147311/cover/2147311.jpg", "Обложка")</f>
        <v>Обложка</v>
      </c>
      <c r="V3579" s="24" t="str">
        <f>HYPERLINK("https://znanium.ru/catalog/product/2147311", "Ознакомиться")</f>
        <v>Ознакомиться</v>
      </c>
      <c r="W3579" s="8" t="s">
        <v>131</v>
      </c>
      <c r="X3579" s="6" t="s">
        <v>785</v>
      </c>
      <c r="Y3579" s="6"/>
      <c r="Z3579" s="6"/>
      <c r="AA3579" s="6" t="s">
        <v>61</v>
      </c>
      <c r="AB3579" s="8"/>
    </row>
    <row r="3580" spans="1:28" s="4" customFormat="1" ht="51.95" customHeight="1">
      <c r="A3580" s="5">
        <v>0</v>
      </c>
      <c r="B3580" s="6" t="s">
        <v>21455</v>
      </c>
      <c r="C3580" s="13">
        <v>1390</v>
      </c>
      <c r="D3580" s="8" t="s">
        <v>21456</v>
      </c>
      <c r="E3580" s="8" t="s">
        <v>21457</v>
      </c>
      <c r="F3580" s="8" t="s">
        <v>21458</v>
      </c>
      <c r="G3580" s="6" t="s">
        <v>89</v>
      </c>
      <c r="H3580" s="6" t="s">
        <v>53</v>
      </c>
      <c r="I3580" s="8" t="s">
        <v>116</v>
      </c>
      <c r="J3580" s="9">
        <v>1</v>
      </c>
      <c r="K3580" s="9">
        <v>257</v>
      </c>
      <c r="L3580" s="9">
        <v>2025</v>
      </c>
      <c r="M3580" s="8" t="s">
        <v>21459</v>
      </c>
      <c r="N3580" s="8" t="s">
        <v>997</v>
      </c>
      <c r="O3580" s="8" t="s">
        <v>998</v>
      </c>
      <c r="P3580" s="6" t="s">
        <v>167</v>
      </c>
      <c r="Q3580" s="8" t="s">
        <v>279</v>
      </c>
      <c r="R3580" s="10" t="s">
        <v>21460</v>
      </c>
      <c r="S3580" s="11"/>
      <c r="T3580" s="6"/>
      <c r="U3580" s="24" t="str">
        <f>HYPERLINK("https://media.infra-m.ru/2170/2170971/cover/2170971.jpg", "Обложка")</f>
        <v>Обложка</v>
      </c>
      <c r="V3580" s="24" t="str">
        <f>HYPERLINK("https://znanium.ru/catalog/product/2170971", "Ознакомиться")</f>
        <v>Ознакомиться</v>
      </c>
      <c r="W3580" s="8" t="s">
        <v>21461</v>
      </c>
      <c r="X3580" s="6" t="s">
        <v>60</v>
      </c>
      <c r="Y3580" s="6"/>
      <c r="Z3580" s="6"/>
      <c r="AA3580" s="6" t="s">
        <v>61</v>
      </c>
      <c r="AB3580" s="8"/>
    </row>
    <row r="3581" spans="1:28" s="4" customFormat="1" ht="51.95" customHeight="1">
      <c r="A3581" s="5">
        <v>0</v>
      </c>
      <c r="B3581" s="6" t="s">
        <v>21462</v>
      </c>
      <c r="C3581" s="7">
        <v>934</v>
      </c>
      <c r="D3581" s="8" t="s">
        <v>21463</v>
      </c>
      <c r="E3581" s="8" t="s">
        <v>21457</v>
      </c>
      <c r="F3581" s="8" t="s">
        <v>7790</v>
      </c>
      <c r="G3581" s="6" t="s">
        <v>38</v>
      </c>
      <c r="H3581" s="6" t="s">
        <v>53</v>
      </c>
      <c r="I3581" s="8" t="s">
        <v>276</v>
      </c>
      <c r="J3581" s="9">
        <v>1</v>
      </c>
      <c r="K3581" s="9">
        <v>187</v>
      </c>
      <c r="L3581" s="9">
        <v>2025</v>
      </c>
      <c r="M3581" s="8" t="s">
        <v>21464</v>
      </c>
      <c r="N3581" s="8" t="s">
        <v>997</v>
      </c>
      <c r="O3581" s="8" t="s">
        <v>998</v>
      </c>
      <c r="P3581" s="6" t="s">
        <v>167</v>
      </c>
      <c r="Q3581" s="8" t="s">
        <v>279</v>
      </c>
      <c r="R3581" s="10" t="s">
        <v>21465</v>
      </c>
      <c r="S3581" s="11" t="s">
        <v>21466</v>
      </c>
      <c r="T3581" s="6"/>
      <c r="U3581" s="24" t="str">
        <f>HYPERLINK("https://media.infra-m.ru/2118/2118732/cover/2118732.jpg", "Обложка")</f>
        <v>Обложка</v>
      </c>
      <c r="V3581" s="24" t="str">
        <f>HYPERLINK("https://znanium.ru/catalog/product/1900992", "Ознакомиться")</f>
        <v>Ознакомиться</v>
      </c>
      <c r="W3581" s="8" t="s">
        <v>7794</v>
      </c>
      <c r="X3581" s="6"/>
      <c r="Y3581" s="6"/>
      <c r="Z3581" s="6"/>
      <c r="AA3581" s="6" t="s">
        <v>442</v>
      </c>
      <c r="AB3581" s="8"/>
    </row>
    <row r="3582" spans="1:28" s="4" customFormat="1" ht="51.95" customHeight="1">
      <c r="A3582" s="5">
        <v>0</v>
      </c>
      <c r="B3582" s="6" t="s">
        <v>21467</v>
      </c>
      <c r="C3582" s="13">
        <v>1294</v>
      </c>
      <c r="D3582" s="8" t="s">
        <v>21468</v>
      </c>
      <c r="E3582" s="8" t="s">
        <v>21469</v>
      </c>
      <c r="F3582" s="8" t="s">
        <v>21470</v>
      </c>
      <c r="G3582" s="6" t="s">
        <v>89</v>
      </c>
      <c r="H3582" s="6" t="s">
        <v>53</v>
      </c>
      <c r="I3582" s="8" t="s">
        <v>100</v>
      </c>
      <c r="J3582" s="9">
        <v>1</v>
      </c>
      <c r="K3582" s="9">
        <v>258</v>
      </c>
      <c r="L3582" s="9">
        <v>2025</v>
      </c>
      <c r="M3582" s="8" t="s">
        <v>21471</v>
      </c>
      <c r="N3582" s="8" t="s">
        <v>997</v>
      </c>
      <c r="O3582" s="8" t="s">
        <v>998</v>
      </c>
      <c r="P3582" s="6" t="s">
        <v>43</v>
      </c>
      <c r="Q3582" s="8" t="s">
        <v>102</v>
      </c>
      <c r="R3582" s="10" t="s">
        <v>21472</v>
      </c>
      <c r="S3582" s="11" t="s">
        <v>19729</v>
      </c>
      <c r="T3582" s="6"/>
      <c r="U3582" s="24" t="str">
        <f>HYPERLINK("https://media.infra-m.ru/2184/2184930/cover/2184930.jpg", "Обложка")</f>
        <v>Обложка</v>
      </c>
      <c r="V3582" s="24" t="str">
        <f>HYPERLINK("https://znanium.ru/catalog/product/2184531", "Ознакомиться")</f>
        <v>Ознакомиться</v>
      </c>
      <c r="W3582" s="8" t="s">
        <v>2514</v>
      </c>
      <c r="X3582" s="6"/>
      <c r="Y3582" s="6"/>
      <c r="Z3582" s="6" t="s">
        <v>104</v>
      </c>
      <c r="AA3582" s="6" t="s">
        <v>793</v>
      </c>
      <c r="AB3582" s="8"/>
    </row>
    <row r="3583" spans="1:28" s="4" customFormat="1" ht="51.95" customHeight="1">
      <c r="A3583" s="5">
        <v>0</v>
      </c>
      <c r="B3583" s="6" t="s">
        <v>21473</v>
      </c>
      <c r="C3583" s="13">
        <v>1160</v>
      </c>
      <c r="D3583" s="8" t="s">
        <v>21474</v>
      </c>
      <c r="E3583" s="8" t="s">
        <v>21469</v>
      </c>
      <c r="F3583" s="8" t="s">
        <v>21475</v>
      </c>
      <c r="G3583" s="6" t="s">
        <v>89</v>
      </c>
      <c r="H3583" s="6" t="s">
        <v>53</v>
      </c>
      <c r="I3583" s="8" t="s">
        <v>90</v>
      </c>
      <c r="J3583" s="9">
        <v>1</v>
      </c>
      <c r="K3583" s="9">
        <v>258</v>
      </c>
      <c r="L3583" s="9">
        <v>2023</v>
      </c>
      <c r="M3583" s="8" t="s">
        <v>21476</v>
      </c>
      <c r="N3583" s="8" t="s">
        <v>997</v>
      </c>
      <c r="O3583" s="8" t="s">
        <v>998</v>
      </c>
      <c r="P3583" s="6" t="s">
        <v>43</v>
      </c>
      <c r="Q3583" s="8" t="s">
        <v>44</v>
      </c>
      <c r="R3583" s="10" t="s">
        <v>17606</v>
      </c>
      <c r="S3583" s="11" t="s">
        <v>14346</v>
      </c>
      <c r="T3583" s="6"/>
      <c r="U3583" s="24" t="str">
        <f>HYPERLINK("https://media.infra-m.ru/1914/1914102/cover/1914102.jpg", "Обложка")</f>
        <v>Обложка</v>
      </c>
      <c r="V3583" s="24" t="str">
        <f>HYPERLINK("https://znanium.ru/catalog/product/1914102", "Ознакомиться")</f>
        <v>Ознакомиться</v>
      </c>
      <c r="W3583" s="8" t="s">
        <v>2514</v>
      </c>
      <c r="X3583" s="6"/>
      <c r="Y3583" s="6"/>
      <c r="Z3583" s="6"/>
      <c r="AA3583" s="6" t="s">
        <v>442</v>
      </c>
      <c r="AB3583" s="8"/>
    </row>
    <row r="3584" spans="1:28" s="4" customFormat="1" ht="51.95" customHeight="1">
      <c r="A3584" s="5">
        <v>0</v>
      </c>
      <c r="B3584" s="6" t="s">
        <v>21477</v>
      </c>
      <c r="C3584" s="13">
        <v>1070</v>
      </c>
      <c r="D3584" s="8" t="s">
        <v>21478</v>
      </c>
      <c r="E3584" s="8" t="s">
        <v>21479</v>
      </c>
      <c r="F3584" s="8" t="s">
        <v>21475</v>
      </c>
      <c r="G3584" s="6" t="s">
        <v>89</v>
      </c>
      <c r="H3584" s="6" t="s">
        <v>53</v>
      </c>
      <c r="I3584" s="8" t="s">
        <v>100</v>
      </c>
      <c r="J3584" s="9">
        <v>1</v>
      </c>
      <c r="K3584" s="9">
        <v>216</v>
      </c>
      <c r="L3584" s="9">
        <v>2024</v>
      </c>
      <c r="M3584" s="8" t="s">
        <v>21480</v>
      </c>
      <c r="N3584" s="8" t="s">
        <v>997</v>
      </c>
      <c r="O3584" s="8" t="s">
        <v>998</v>
      </c>
      <c r="P3584" s="6" t="s">
        <v>167</v>
      </c>
      <c r="Q3584" s="8" t="s">
        <v>102</v>
      </c>
      <c r="R3584" s="10" t="s">
        <v>21481</v>
      </c>
      <c r="S3584" s="11" t="s">
        <v>8082</v>
      </c>
      <c r="T3584" s="6"/>
      <c r="U3584" s="24" t="str">
        <f>HYPERLINK("https://media.infra-m.ru/2170/2170393/cover/2170393.jpg", "Обложка")</f>
        <v>Обложка</v>
      </c>
      <c r="V3584" s="24" t="str">
        <f>HYPERLINK("https://znanium.ru/catalog/product/2170393", "Ознакомиться")</f>
        <v>Ознакомиться</v>
      </c>
      <c r="W3584" s="8" t="s">
        <v>2514</v>
      </c>
      <c r="X3584" s="6"/>
      <c r="Y3584" s="6"/>
      <c r="Z3584" s="6" t="s">
        <v>104</v>
      </c>
      <c r="AA3584" s="6" t="s">
        <v>258</v>
      </c>
      <c r="AB3584" s="8" t="s">
        <v>906</v>
      </c>
    </row>
    <row r="3585" spans="1:28" s="4" customFormat="1" ht="51.95" customHeight="1">
      <c r="A3585" s="5">
        <v>0</v>
      </c>
      <c r="B3585" s="6" t="s">
        <v>21482</v>
      </c>
      <c r="C3585" s="13">
        <v>1124</v>
      </c>
      <c r="D3585" s="8" t="s">
        <v>21483</v>
      </c>
      <c r="E3585" s="8" t="s">
        <v>21479</v>
      </c>
      <c r="F3585" s="8" t="s">
        <v>21470</v>
      </c>
      <c r="G3585" s="6" t="s">
        <v>89</v>
      </c>
      <c r="H3585" s="6" t="s">
        <v>53</v>
      </c>
      <c r="I3585" s="8" t="s">
        <v>90</v>
      </c>
      <c r="J3585" s="9">
        <v>1</v>
      </c>
      <c r="K3585" s="9">
        <v>216</v>
      </c>
      <c r="L3585" s="9">
        <v>2025</v>
      </c>
      <c r="M3585" s="8" t="s">
        <v>21484</v>
      </c>
      <c r="N3585" s="8" t="s">
        <v>997</v>
      </c>
      <c r="O3585" s="8" t="s">
        <v>998</v>
      </c>
      <c r="P3585" s="6" t="s">
        <v>167</v>
      </c>
      <c r="Q3585" s="8" t="s">
        <v>44</v>
      </c>
      <c r="R3585" s="10" t="s">
        <v>21485</v>
      </c>
      <c r="S3585" s="11" t="s">
        <v>1599</v>
      </c>
      <c r="T3585" s="6"/>
      <c r="U3585" s="24" t="str">
        <f>HYPERLINK("https://media.infra-m.ru/2163/2163777/cover/2163777.jpg", "Обложка")</f>
        <v>Обложка</v>
      </c>
      <c r="V3585" s="24" t="str">
        <f>HYPERLINK("https://znanium.ru/catalog/product/2001631", "Ознакомиться")</f>
        <v>Ознакомиться</v>
      </c>
      <c r="W3585" s="8" t="s">
        <v>2514</v>
      </c>
      <c r="X3585" s="6"/>
      <c r="Y3585" s="6"/>
      <c r="Z3585" s="6"/>
      <c r="AA3585" s="6" t="s">
        <v>442</v>
      </c>
      <c r="AB3585" s="8"/>
    </row>
    <row r="3586" spans="1:28" s="4" customFormat="1" ht="51.95" customHeight="1">
      <c r="A3586" s="5">
        <v>0</v>
      </c>
      <c r="B3586" s="6" t="s">
        <v>21486</v>
      </c>
      <c r="C3586" s="13">
        <v>1510</v>
      </c>
      <c r="D3586" s="8" t="s">
        <v>21487</v>
      </c>
      <c r="E3586" s="8" t="s">
        <v>21488</v>
      </c>
      <c r="F3586" s="8" t="s">
        <v>21489</v>
      </c>
      <c r="G3586" s="6" t="s">
        <v>89</v>
      </c>
      <c r="H3586" s="6" t="s">
        <v>77</v>
      </c>
      <c r="I3586" s="8" t="s">
        <v>21490</v>
      </c>
      <c r="J3586" s="9">
        <v>1</v>
      </c>
      <c r="K3586" s="9">
        <v>320</v>
      </c>
      <c r="L3586" s="9">
        <v>2024</v>
      </c>
      <c r="M3586" s="8" t="s">
        <v>21491</v>
      </c>
      <c r="N3586" s="8" t="s">
        <v>997</v>
      </c>
      <c r="O3586" s="8" t="s">
        <v>998</v>
      </c>
      <c r="P3586" s="6" t="s">
        <v>43</v>
      </c>
      <c r="Q3586" s="8" t="s">
        <v>279</v>
      </c>
      <c r="R3586" s="10" t="s">
        <v>21492</v>
      </c>
      <c r="S3586" s="11" t="s">
        <v>21493</v>
      </c>
      <c r="T3586" s="6" t="s">
        <v>299</v>
      </c>
      <c r="U3586" s="24" t="str">
        <f>HYPERLINK("https://media.infra-m.ru/2076/2076010/cover/2076010.jpg", "Обложка")</f>
        <v>Обложка</v>
      </c>
      <c r="V3586" s="24" t="str">
        <f>HYPERLINK("https://znanium.ru/catalog/product/2076010", "Ознакомиться")</f>
        <v>Ознакомиться</v>
      </c>
      <c r="W3586" s="8" t="s">
        <v>2122</v>
      </c>
      <c r="X3586" s="6"/>
      <c r="Y3586" s="6"/>
      <c r="Z3586" s="6"/>
      <c r="AA3586" s="6" t="s">
        <v>111</v>
      </c>
      <c r="AB3586" s="8"/>
    </row>
    <row r="3587" spans="1:28" s="4" customFormat="1" ht="42" customHeight="1">
      <c r="A3587" s="5">
        <v>0</v>
      </c>
      <c r="B3587" s="6" t="s">
        <v>21494</v>
      </c>
      <c r="C3587" s="13">
        <v>1920</v>
      </c>
      <c r="D3587" s="8" t="s">
        <v>21495</v>
      </c>
      <c r="E3587" s="8" t="s">
        <v>21496</v>
      </c>
      <c r="F3587" s="8" t="s">
        <v>21497</v>
      </c>
      <c r="G3587" s="6" t="s">
        <v>89</v>
      </c>
      <c r="H3587" s="6" t="s">
        <v>53</v>
      </c>
      <c r="I3587" s="8" t="s">
        <v>100</v>
      </c>
      <c r="J3587" s="9">
        <v>1</v>
      </c>
      <c r="K3587" s="9">
        <v>382</v>
      </c>
      <c r="L3587" s="9">
        <v>2025</v>
      </c>
      <c r="M3587" s="8" t="s">
        <v>21498</v>
      </c>
      <c r="N3587" s="8" t="s">
        <v>997</v>
      </c>
      <c r="O3587" s="8" t="s">
        <v>998</v>
      </c>
      <c r="P3587" s="6" t="s">
        <v>167</v>
      </c>
      <c r="Q3587" s="8" t="s">
        <v>102</v>
      </c>
      <c r="R3587" s="10" t="s">
        <v>21499</v>
      </c>
      <c r="S3587" s="11"/>
      <c r="T3587" s="6"/>
      <c r="U3587" s="24" t="str">
        <f>HYPERLINK("https://media.infra-m.ru/2168/2168926/cover/2168926.jpg", "Обложка")</f>
        <v>Обложка</v>
      </c>
      <c r="V3587" s="24" t="str">
        <f>HYPERLINK("https://znanium.ru/catalog/product/2168926", "Ознакомиться")</f>
        <v>Ознакомиться</v>
      </c>
      <c r="W3587" s="8" t="s">
        <v>2514</v>
      </c>
      <c r="X3587" s="6" t="s">
        <v>785</v>
      </c>
      <c r="Y3587" s="6"/>
      <c r="Z3587" s="6" t="s">
        <v>502</v>
      </c>
      <c r="AA3587" s="6" t="s">
        <v>61</v>
      </c>
      <c r="AB3587" s="8"/>
    </row>
    <row r="3588" spans="1:28" s="4" customFormat="1" ht="51.95" customHeight="1">
      <c r="A3588" s="5">
        <v>0</v>
      </c>
      <c r="B3588" s="6" t="s">
        <v>21500</v>
      </c>
      <c r="C3588" s="13">
        <v>1910</v>
      </c>
      <c r="D3588" s="8" t="s">
        <v>21501</v>
      </c>
      <c r="E3588" s="8" t="s">
        <v>21496</v>
      </c>
      <c r="F3588" s="8" t="s">
        <v>21497</v>
      </c>
      <c r="G3588" s="6" t="s">
        <v>89</v>
      </c>
      <c r="H3588" s="6" t="s">
        <v>53</v>
      </c>
      <c r="I3588" s="8" t="s">
        <v>116</v>
      </c>
      <c r="J3588" s="9">
        <v>1</v>
      </c>
      <c r="K3588" s="9">
        <v>382</v>
      </c>
      <c r="L3588" s="9">
        <v>2025</v>
      </c>
      <c r="M3588" s="8" t="s">
        <v>21502</v>
      </c>
      <c r="N3588" s="8" t="s">
        <v>997</v>
      </c>
      <c r="O3588" s="8" t="s">
        <v>998</v>
      </c>
      <c r="P3588" s="6" t="s">
        <v>167</v>
      </c>
      <c r="Q3588" s="8" t="s">
        <v>58</v>
      </c>
      <c r="R3588" s="10" t="s">
        <v>21503</v>
      </c>
      <c r="S3588" s="11" t="s">
        <v>21504</v>
      </c>
      <c r="T3588" s="6"/>
      <c r="U3588" s="24" t="str">
        <f>HYPERLINK("https://media.infra-m.ru/2161/2161374/cover/2161374.jpg", "Обложка")</f>
        <v>Обложка</v>
      </c>
      <c r="V3588" s="24" t="str">
        <f>HYPERLINK("https://znanium.ru/catalog/product/2161374", "Ознакомиться")</f>
        <v>Ознакомиться</v>
      </c>
      <c r="W3588" s="8" t="s">
        <v>2514</v>
      </c>
      <c r="X3588" s="6"/>
      <c r="Y3588" s="6"/>
      <c r="Z3588" s="6"/>
      <c r="AA3588" s="6" t="s">
        <v>207</v>
      </c>
      <c r="AB3588" s="8"/>
    </row>
    <row r="3589" spans="1:28" s="4" customFormat="1" ht="51.95" customHeight="1">
      <c r="A3589" s="5">
        <v>0</v>
      </c>
      <c r="B3589" s="6" t="s">
        <v>21505</v>
      </c>
      <c r="C3589" s="7">
        <v>750</v>
      </c>
      <c r="D3589" s="8" t="s">
        <v>21506</v>
      </c>
      <c r="E3589" s="8" t="s">
        <v>21507</v>
      </c>
      <c r="F3589" s="8" t="s">
        <v>21508</v>
      </c>
      <c r="G3589" s="6" t="s">
        <v>89</v>
      </c>
      <c r="H3589" s="6" t="s">
        <v>77</v>
      </c>
      <c r="I3589" s="8" t="s">
        <v>100</v>
      </c>
      <c r="J3589" s="9">
        <v>1</v>
      </c>
      <c r="K3589" s="9">
        <v>160</v>
      </c>
      <c r="L3589" s="9">
        <v>2024</v>
      </c>
      <c r="M3589" s="8" t="s">
        <v>21509</v>
      </c>
      <c r="N3589" s="8" t="s">
        <v>56</v>
      </c>
      <c r="O3589" s="8" t="s">
        <v>741</v>
      </c>
      <c r="P3589" s="6" t="s">
        <v>43</v>
      </c>
      <c r="Q3589" s="8" t="s">
        <v>102</v>
      </c>
      <c r="R3589" s="10" t="s">
        <v>21510</v>
      </c>
      <c r="S3589" s="11" t="s">
        <v>21511</v>
      </c>
      <c r="T3589" s="6"/>
      <c r="U3589" s="24" t="str">
        <f>HYPERLINK("https://media.infra-m.ru/2149/2149687/cover/2149687.jpg", "Обложка")</f>
        <v>Обложка</v>
      </c>
      <c r="V3589" s="24" t="str">
        <f>HYPERLINK("https://znanium.ru/catalog/product/2149687", "Ознакомиться")</f>
        <v>Ознакомиться</v>
      </c>
      <c r="W3589" s="8" t="s">
        <v>1505</v>
      </c>
      <c r="X3589" s="6"/>
      <c r="Y3589" s="6"/>
      <c r="Z3589" s="6" t="s">
        <v>104</v>
      </c>
      <c r="AA3589" s="6" t="s">
        <v>235</v>
      </c>
      <c r="AB3589" s="8"/>
    </row>
    <row r="3590" spans="1:28" s="4" customFormat="1" ht="51.95" customHeight="1">
      <c r="A3590" s="5">
        <v>0</v>
      </c>
      <c r="B3590" s="6" t="s">
        <v>21512</v>
      </c>
      <c r="C3590" s="7">
        <v>800</v>
      </c>
      <c r="D3590" s="8" t="s">
        <v>21513</v>
      </c>
      <c r="E3590" s="8" t="s">
        <v>21507</v>
      </c>
      <c r="F3590" s="8" t="s">
        <v>21508</v>
      </c>
      <c r="G3590" s="6" t="s">
        <v>38</v>
      </c>
      <c r="H3590" s="6" t="s">
        <v>77</v>
      </c>
      <c r="I3590" s="8" t="s">
        <v>21514</v>
      </c>
      <c r="J3590" s="9">
        <v>1</v>
      </c>
      <c r="K3590" s="9">
        <v>160</v>
      </c>
      <c r="L3590" s="9">
        <v>2025</v>
      </c>
      <c r="M3590" s="8" t="s">
        <v>21515</v>
      </c>
      <c r="N3590" s="8" t="s">
        <v>56</v>
      </c>
      <c r="O3590" s="8" t="s">
        <v>741</v>
      </c>
      <c r="P3590" s="6" t="s">
        <v>43</v>
      </c>
      <c r="Q3590" s="8" t="s">
        <v>44</v>
      </c>
      <c r="R3590" s="10" t="s">
        <v>21516</v>
      </c>
      <c r="S3590" s="11" t="s">
        <v>19361</v>
      </c>
      <c r="T3590" s="6"/>
      <c r="U3590" s="24" t="str">
        <f>HYPERLINK("https://media.infra-m.ru/2179/2179472/cover/2179472.jpg", "Обложка")</f>
        <v>Обложка</v>
      </c>
      <c r="V3590" s="24" t="str">
        <f>HYPERLINK("https://znanium.ru/catalog/product/2179472", "Ознакомиться")</f>
        <v>Ознакомиться</v>
      </c>
      <c r="W3590" s="8" t="s">
        <v>1505</v>
      </c>
      <c r="X3590" s="6"/>
      <c r="Y3590" s="6"/>
      <c r="Z3590" s="6"/>
      <c r="AA3590" s="6" t="s">
        <v>111</v>
      </c>
      <c r="AB3590" s="8"/>
    </row>
    <row r="3591" spans="1:28" s="4" customFormat="1" ht="51.95" customHeight="1">
      <c r="A3591" s="5">
        <v>0</v>
      </c>
      <c r="B3591" s="6" t="s">
        <v>21517</v>
      </c>
      <c r="C3591" s="13">
        <v>2190</v>
      </c>
      <c r="D3591" s="8" t="s">
        <v>21518</v>
      </c>
      <c r="E3591" s="8" t="s">
        <v>21519</v>
      </c>
      <c r="F3591" s="8" t="s">
        <v>21520</v>
      </c>
      <c r="G3591" s="6" t="s">
        <v>52</v>
      </c>
      <c r="H3591" s="6" t="s">
        <v>53</v>
      </c>
      <c r="I3591" s="8" t="s">
        <v>116</v>
      </c>
      <c r="J3591" s="9">
        <v>1</v>
      </c>
      <c r="K3591" s="9">
        <v>439</v>
      </c>
      <c r="L3591" s="9">
        <v>2025</v>
      </c>
      <c r="M3591" s="8" t="s">
        <v>21521</v>
      </c>
      <c r="N3591" s="8" t="s">
        <v>997</v>
      </c>
      <c r="O3591" s="8" t="s">
        <v>998</v>
      </c>
      <c r="P3591" s="6" t="s">
        <v>167</v>
      </c>
      <c r="Q3591" s="8" t="s">
        <v>44</v>
      </c>
      <c r="R3591" s="10" t="s">
        <v>21522</v>
      </c>
      <c r="S3591" s="11" t="s">
        <v>21523</v>
      </c>
      <c r="T3591" s="6"/>
      <c r="U3591" s="24" t="str">
        <f>HYPERLINK("https://media.infra-m.ru/2161/2161375/cover/2161375.jpg", "Обложка")</f>
        <v>Обложка</v>
      </c>
      <c r="V3591" s="24" t="str">
        <f>HYPERLINK("https://znanium.ru/catalog/product/2161375", "Ознакомиться")</f>
        <v>Ознакомиться</v>
      </c>
      <c r="W3591" s="8" t="s">
        <v>9173</v>
      </c>
      <c r="X3591" s="6"/>
      <c r="Y3591" s="6"/>
      <c r="Z3591" s="6"/>
      <c r="AA3591" s="6" t="s">
        <v>235</v>
      </c>
      <c r="AB3591" s="8"/>
    </row>
    <row r="3592" spans="1:28" s="4" customFormat="1" ht="51.95" customHeight="1">
      <c r="A3592" s="5">
        <v>0</v>
      </c>
      <c r="B3592" s="6" t="s">
        <v>21524</v>
      </c>
      <c r="C3592" s="13">
        <v>1684</v>
      </c>
      <c r="D3592" s="8" t="s">
        <v>21525</v>
      </c>
      <c r="E3592" s="8" t="s">
        <v>21519</v>
      </c>
      <c r="F3592" s="8" t="s">
        <v>21526</v>
      </c>
      <c r="G3592" s="6" t="s">
        <v>89</v>
      </c>
      <c r="H3592" s="6" t="s">
        <v>53</v>
      </c>
      <c r="I3592" s="8" t="s">
        <v>100</v>
      </c>
      <c r="J3592" s="9">
        <v>1</v>
      </c>
      <c r="K3592" s="9">
        <v>335</v>
      </c>
      <c r="L3592" s="9">
        <v>2025</v>
      </c>
      <c r="M3592" s="8" t="s">
        <v>21527</v>
      </c>
      <c r="N3592" s="8" t="s">
        <v>997</v>
      </c>
      <c r="O3592" s="8" t="s">
        <v>998</v>
      </c>
      <c r="P3592" s="6" t="s">
        <v>167</v>
      </c>
      <c r="Q3592" s="8" t="s">
        <v>102</v>
      </c>
      <c r="R3592" s="10" t="s">
        <v>7253</v>
      </c>
      <c r="S3592" s="11" t="s">
        <v>21528</v>
      </c>
      <c r="T3592" s="6"/>
      <c r="U3592" s="24" t="str">
        <f>HYPERLINK("https://media.infra-m.ru/2163/2163281/cover/2163281.jpg", "Обложка")</f>
        <v>Обложка</v>
      </c>
      <c r="V3592" s="24" t="str">
        <f>HYPERLINK("https://znanium.ru/catalog/product/2162232", "Ознакомиться")</f>
        <v>Ознакомиться</v>
      </c>
      <c r="W3592" s="8" t="s">
        <v>2514</v>
      </c>
      <c r="X3592" s="6"/>
      <c r="Y3592" s="6"/>
      <c r="Z3592" s="6" t="s">
        <v>104</v>
      </c>
      <c r="AA3592" s="6" t="s">
        <v>151</v>
      </c>
      <c r="AB3592" s="8"/>
    </row>
    <row r="3593" spans="1:28" s="4" customFormat="1" ht="51.95" customHeight="1">
      <c r="A3593" s="5">
        <v>0</v>
      </c>
      <c r="B3593" s="6" t="s">
        <v>21529</v>
      </c>
      <c r="C3593" s="13">
        <v>1580</v>
      </c>
      <c r="D3593" s="8" t="s">
        <v>21530</v>
      </c>
      <c r="E3593" s="8" t="s">
        <v>21519</v>
      </c>
      <c r="F3593" s="8" t="s">
        <v>21526</v>
      </c>
      <c r="G3593" s="6" t="s">
        <v>89</v>
      </c>
      <c r="H3593" s="6" t="s">
        <v>53</v>
      </c>
      <c r="I3593" s="8" t="s">
        <v>116</v>
      </c>
      <c r="J3593" s="9">
        <v>1</v>
      </c>
      <c r="K3593" s="9">
        <v>335</v>
      </c>
      <c r="L3593" s="9">
        <v>2024</v>
      </c>
      <c r="M3593" s="8" t="s">
        <v>21531</v>
      </c>
      <c r="N3593" s="8" t="s">
        <v>997</v>
      </c>
      <c r="O3593" s="8" t="s">
        <v>998</v>
      </c>
      <c r="P3593" s="6" t="s">
        <v>167</v>
      </c>
      <c r="Q3593" s="8" t="s">
        <v>44</v>
      </c>
      <c r="R3593" s="10" t="s">
        <v>14265</v>
      </c>
      <c r="S3593" s="11" t="s">
        <v>21532</v>
      </c>
      <c r="T3593" s="6"/>
      <c r="U3593" s="24" t="str">
        <f>HYPERLINK("https://media.infra-m.ru/2094/2094371/cover/2094371.jpg", "Обложка")</f>
        <v>Обложка</v>
      </c>
      <c r="V3593" s="24" t="str">
        <f>HYPERLINK("https://znanium.ru/catalog/product/2094371", "Ознакомиться")</f>
        <v>Ознакомиться</v>
      </c>
      <c r="W3593" s="8" t="s">
        <v>2514</v>
      </c>
      <c r="X3593" s="6"/>
      <c r="Y3593" s="6"/>
      <c r="Z3593" s="6"/>
      <c r="AA3593" s="6" t="s">
        <v>418</v>
      </c>
      <c r="AB3593" s="8"/>
    </row>
    <row r="3594" spans="1:28" s="4" customFormat="1" ht="51.95" customHeight="1">
      <c r="A3594" s="5">
        <v>0</v>
      </c>
      <c r="B3594" s="6" t="s">
        <v>21533</v>
      </c>
      <c r="C3594" s="7">
        <v>990</v>
      </c>
      <c r="D3594" s="8" t="s">
        <v>21534</v>
      </c>
      <c r="E3594" s="8" t="s">
        <v>21535</v>
      </c>
      <c r="F3594" s="8" t="s">
        <v>21536</v>
      </c>
      <c r="G3594" s="6" t="s">
        <v>52</v>
      </c>
      <c r="H3594" s="6" t="s">
        <v>53</v>
      </c>
      <c r="I3594" s="8" t="s">
        <v>90</v>
      </c>
      <c r="J3594" s="9">
        <v>1</v>
      </c>
      <c r="K3594" s="9">
        <v>206</v>
      </c>
      <c r="L3594" s="9">
        <v>2023</v>
      </c>
      <c r="M3594" s="8" t="s">
        <v>21537</v>
      </c>
      <c r="N3594" s="8" t="s">
        <v>997</v>
      </c>
      <c r="O3594" s="8" t="s">
        <v>998</v>
      </c>
      <c r="P3594" s="6" t="s">
        <v>43</v>
      </c>
      <c r="Q3594" s="8" t="s">
        <v>44</v>
      </c>
      <c r="R3594" s="10" t="s">
        <v>21538</v>
      </c>
      <c r="S3594" s="11" t="s">
        <v>21539</v>
      </c>
      <c r="T3594" s="6"/>
      <c r="U3594" s="24" t="str">
        <f>HYPERLINK("https://media.infra-m.ru/1845/1845986/cover/1845986.jpg", "Обложка")</f>
        <v>Обложка</v>
      </c>
      <c r="V3594" s="24" t="str">
        <f>HYPERLINK("https://znanium.ru/catalog/product/1845986", "Ознакомиться")</f>
        <v>Ознакомиться</v>
      </c>
      <c r="W3594" s="8" t="s">
        <v>6648</v>
      </c>
      <c r="X3594" s="6"/>
      <c r="Y3594" s="6"/>
      <c r="Z3594" s="6"/>
      <c r="AA3594" s="6" t="s">
        <v>813</v>
      </c>
      <c r="AB3594" s="8"/>
    </row>
    <row r="3595" spans="1:28" s="4" customFormat="1" ht="51.95" customHeight="1">
      <c r="A3595" s="5">
        <v>0</v>
      </c>
      <c r="B3595" s="6" t="s">
        <v>21540</v>
      </c>
      <c r="C3595" s="7">
        <v>550</v>
      </c>
      <c r="D3595" s="8" t="s">
        <v>21541</v>
      </c>
      <c r="E3595" s="8" t="s">
        <v>21542</v>
      </c>
      <c r="F3595" s="8" t="s">
        <v>21536</v>
      </c>
      <c r="G3595" s="6" t="s">
        <v>38</v>
      </c>
      <c r="H3595" s="6" t="s">
        <v>39</v>
      </c>
      <c r="I3595" s="8" t="s">
        <v>90</v>
      </c>
      <c r="J3595" s="9">
        <v>1</v>
      </c>
      <c r="K3595" s="9">
        <v>159</v>
      </c>
      <c r="L3595" s="9">
        <v>2020</v>
      </c>
      <c r="M3595" s="8" t="s">
        <v>21543</v>
      </c>
      <c r="N3595" s="8" t="s">
        <v>997</v>
      </c>
      <c r="O3595" s="8" t="s">
        <v>998</v>
      </c>
      <c r="P3595" s="6" t="s">
        <v>43</v>
      </c>
      <c r="Q3595" s="8" t="s">
        <v>44</v>
      </c>
      <c r="R3595" s="10" t="s">
        <v>21538</v>
      </c>
      <c r="S3595" s="11" t="s">
        <v>21544</v>
      </c>
      <c r="T3595" s="6"/>
      <c r="U3595" s="24" t="str">
        <f>HYPERLINK("https://media.infra-m.ru/1132/1132717/cover/1132717.jpg", "Обложка")</f>
        <v>Обложка</v>
      </c>
      <c r="V3595" s="24" t="str">
        <f>HYPERLINK("https://znanium.ru/catalog/product/1845986", "Ознакомиться")</f>
        <v>Ознакомиться</v>
      </c>
      <c r="W3595" s="8" t="s">
        <v>6648</v>
      </c>
      <c r="X3595" s="6"/>
      <c r="Y3595" s="6"/>
      <c r="Z3595" s="6"/>
      <c r="AA3595" s="6" t="s">
        <v>111</v>
      </c>
      <c r="AB3595" s="8"/>
    </row>
    <row r="3596" spans="1:28" s="4" customFormat="1" ht="44.1" customHeight="1">
      <c r="A3596" s="5">
        <v>0</v>
      </c>
      <c r="B3596" s="6" t="s">
        <v>21545</v>
      </c>
      <c r="C3596" s="13">
        <v>1310</v>
      </c>
      <c r="D3596" s="8" t="s">
        <v>21546</v>
      </c>
      <c r="E3596" s="8" t="s">
        <v>21547</v>
      </c>
      <c r="F3596" s="8" t="s">
        <v>21548</v>
      </c>
      <c r="G3596" s="6" t="s">
        <v>52</v>
      </c>
      <c r="H3596" s="6" t="s">
        <v>53</v>
      </c>
      <c r="I3596" s="8" t="s">
        <v>116</v>
      </c>
      <c r="J3596" s="9">
        <v>1</v>
      </c>
      <c r="K3596" s="9">
        <v>281</v>
      </c>
      <c r="L3596" s="9">
        <v>2023</v>
      </c>
      <c r="M3596" s="8" t="s">
        <v>21549</v>
      </c>
      <c r="N3596" s="8" t="s">
        <v>997</v>
      </c>
      <c r="O3596" s="8" t="s">
        <v>998</v>
      </c>
      <c r="P3596" s="6" t="s">
        <v>366</v>
      </c>
      <c r="Q3596" s="8" t="s">
        <v>58</v>
      </c>
      <c r="R3596" s="10" t="s">
        <v>21550</v>
      </c>
      <c r="S3596" s="11"/>
      <c r="T3596" s="6"/>
      <c r="U3596" s="24" t="str">
        <f>HYPERLINK("https://media.infra-m.ru/1020/1020825/cover/1020825.jpg", "Обложка")</f>
        <v>Обложка</v>
      </c>
      <c r="V3596" s="24" t="str">
        <f>HYPERLINK("https://znanium.ru/catalog/product/1020825", "Ознакомиться")</f>
        <v>Ознакомиться</v>
      </c>
      <c r="W3596" s="8" t="s">
        <v>17905</v>
      </c>
      <c r="X3596" s="6"/>
      <c r="Y3596" s="6"/>
      <c r="Z3596" s="6"/>
      <c r="AA3596" s="6" t="s">
        <v>207</v>
      </c>
      <c r="AB3596" s="8"/>
    </row>
    <row r="3597" spans="1:28" s="4" customFormat="1" ht="51.95" customHeight="1">
      <c r="A3597" s="5">
        <v>0</v>
      </c>
      <c r="B3597" s="6" t="s">
        <v>21551</v>
      </c>
      <c r="C3597" s="13">
        <v>1550</v>
      </c>
      <c r="D3597" s="8" t="s">
        <v>21552</v>
      </c>
      <c r="E3597" s="8" t="s">
        <v>21553</v>
      </c>
      <c r="F3597" s="8" t="s">
        <v>21554</v>
      </c>
      <c r="G3597" s="6" t="s">
        <v>52</v>
      </c>
      <c r="H3597" s="6" t="s">
        <v>53</v>
      </c>
      <c r="I3597" s="8" t="s">
        <v>116</v>
      </c>
      <c r="J3597" s="9">
        <v>1</v>
      </c>
      <c r="K3597" s="9">
        <v>334</v>
      </c>
      <c r="L3597" s="9">
        <v>2023</v>
      </c>
      <c r="M3597" s="8" t="s">
        <v>21555</v>
      </c>
      <c r="N3597" s="8" t="s">
        <v>997</v>
      </c>
      <c r="O3597" s="8" t="s">
        <v>998</v>
      </c>
      <c r="P3597" s="6" t="s">
        <v>43</v>
      </c>
      <c r="Q3597" s="8" t="s">
        <v>44</v>
      </c>
      <c r="R3597" s="10" t="s">
        <v>19715</v>
      </c>
      <c r="S3597" s="11" t="s">
        <v>21556</v>
      </c>
      <c r="T3597" s="6"/>
      <c r="U3597" s="24" t="str">
        <f>HYPERLINK("https://media.infra-m.ru/1242/1242229/cover/1242229.jpg", "Обложка")</f>
        <v>Обложка</v>
      </c>
      <c r="V3597" s="24" t="str">
        <f>HYPERLINK("https://znanium.ru/catalog/product/1242229", "Ознакомиться")</f>
        <v>Ознакомиться</v>
      </c>
      <c r="W3597" s="8" t="s">
        <v>9173</v>
      </c>
      <c r="X3597" s="6"/>
      <c r="Y3597" s="6"/>
      <c r="Z3597" s="6"/>
      <c r="AA3597" s="6" t="s">
        <v>207</v>
      </c>
      <c r="AB3597" s="8"/>
    </row>
    <row r="3598" spans="1:28" s="4" customFormat="1" ht="51.95" customHeight="1">
      <c r="A3598" s="5">
        <v>0</v>
      </c>
      <c r="B3598" s="6" t="s">
        <v>21557</v>
      </c>
      <c r="C3598" s="13">
        <v>2090</v>
      </c>
      <c r="D3598" s="8" t="s">
        <v>21558</v>
      </c>
      <c r="E3598" s="8" t="s">
        <v>21559</v>
      </c>
      <c r="F3598" s="8" t="s">
        <v>21560</v>
      </c>
      <c r="G3598" s="6" t="s">
        <v>89</v>
      </c>
      <c r="H3598" s="6" t="s">
        <v>53</v>
      </c>
      <c r="I3598" s="8" t="s">
        <v>116</v>
      </c>
      <c r="J3598" s="9">
        <v>1</v>
      </c>
      <c r="K3598" s="9">
        <v>462</v>
      </c>
      <c r="L3598" s="9">
        <v>2023</v>
      </c>
      <c r="M3598" s="8" t="s">
        <v>21561</v>
      </c>
      <c r="N3598" s="8" t="s">
        <v>997</v>
      </c>
      <c r="O3598" s="8" t="s">
        <v>998</v>
      </c>
      <c r="P3598" s="6" t="s">
        <v>167</v>
      </c>
      <c r="Q3598" s="8" t="s">
        <v>58</v>
      </c>
      <c r="R3598" s="10" t="s">
        <v>21562</v>
      </c>
      <c r="S3598" s="11" t="s">
        <v>21563</v>
      </c>
      <c r="T3598" s="6"/>
      <c r="U3598" s="24" t="str">
        <f>HYPERLINK("https://media.infra-m.ru/2011/2011482/cover/2011482.jpg", "Обложка")</f>
        <v>Обложка</v>
      </c>
      <c r="V3598" s="24" t="str">
        <f>HYPERLINK("https://znanium.ru/catalog/product/1514399", "Ознакомиться")</f>
        <v>Ознакомиться</v>
      </c>
      <c r="W3598" s="8"/>
      <c r="X3598" s="6"/>
      <c r="Y3598" s="6"/>
      <c r="Z3598" s="6"/>
      <c r="AA3598" s="6" t="s">
        <v>207</v>
      </c>
      <c r="AB3598" s="8"/>
    </row>
    <row r="3599" spans="1:28" s="4" customFormat="1" ht="51.95" customHeight="1">
      <c r="A3599" s="5">
        <v>0</v>
      </c>
      <c r="B3599" s="6" t="s">
        <v>21564</v>
      </c>
      <c r="C3599" s="13">
        <v>2120</v>
      </c>
      <c r="D3599" s="8" t="s">
        <v>21565</v>
      </c>
      <c r="E3599" s="8" t="s">
        <v>21566</v>
      </c>
      <c r="F3599" s="8" t="s">
        <v>21567</v>
      </c>
      <c r="G3599" s="6" t="s">
        <v>52</v>
      </c>
      <c r="H3599" s="6" t="s">
        <v>53</v>
      </c>
      <c r="I3599" s="8" t="s">
        <v>100</v>
      </c>
      <c r="J3599" s="9">
        <v>1</v>
      </c>
      <c r="K3599" s="9">
        <v>421</v>
      </c>
      <c r="L3599" s="9">
        <v>2025</v>
      </c>
      <c r="M3599" s="8" t="s">
        <v>21568</v>
      </c>
      <c r="N3599" s="8" t="s">
        <v>997</v>
      </c>
      <c r="O3599" s="8" t="s">
        <v>998</v>
      </c>
      <c r="P3599" s="6" t="s">
        <v>167</v>
      </c>
      <c r="Q3599" s="8" t="s">
        <v>102</v>
      </c>
      <c r="R3599" s="10" t="s">
        <v>4171</v>
      </c>
      <c r="S3599" s="11" t="s">
        <v>21569</v>
      </c>
      <c r="T3599" s="6"/>
      <c r="U3599" s="24" t="str">
        <f>HYPERLINK("https://media.infra-m.ru/2184/2184874/cover/2184874.jpg", "Обложка")</f>
        <v>Обложка</v>
      </c>
      <c r="V3599" s="24" t="str">
        <f>HYPERLINK("https://znanium.ru/catalog/product/2184874", "Ознакомиться")</f>
        <v>Ознакомиться</v>
      </c>
      <c r="W3599" s="8" t="s">
        <v>9173</v>
      </c>
      <c r="X3599" s="6"/>
      <c r="Y3599" s="6"/>
      <c r="Z3599" s="6" t="s">
        <v>502</v>
      </c>
      <c r="AA3599" s="6" t="s">
        <v>219</v>
      </c>
      <c r="AB3599" s="8"/>
    </row>
    <row r="3600" spans="1:28" s="4" customFormat="1" ht="51.95" customHeight="1">
      <c r="A3600" s="5">
        <v>0</v>
      </c>
      <c r="B3600" s="6" t="s">
        <v>21570</v>
      </c>
      <c r="C3600" s="13">
        <v>1950</v>
      </c>
      <c r="D3600" s="8" t="s">
        <v>21571</v>
      </c>
      <c r="E3600" s="8" t="s">
        <v>21566</v>
      </c>
      <c r="F3600" s="8" t="s">
        <v>21567</v>
      </c>
      <c r="G3600" s="6" t="s">
        <v>89</v>
      </c>
      <c r="H3600" s="6" t="s">
        <v>53</v>
      </c>
      <c r="I3600" s="8" t="s">
        <v>116</v>
      </c>
      <c r="J3600" s="9">
        <v>1</v>
      </c>
      <c r="K3600" s="9">
        <v>427</v>
      </c>
      <c r="L3600" s="9">
        <v>2023</v>
      </c>
      <c r="M3600" s="8" t="s">
        <v>21572</v>
      </c>
      <c r="N3600" s="8" t="s">
        <v>997</v>
      </c>
      <c r="O3600" s="8" t="s">
        <v>998</v>
      </c>
      <c r="P3600" s="6" t="s">
        <v>167</v>
      </c>
      <c r="Q3600" s="8" t="s">
        <v>58</v>
      </c>
      <c r="R3600" s="10" t="s">
        <v>19715</v>
      </c>
      <c r="S3600" s="11" t="s">
        <v>21573</v>
      </c>
      <c r="T3600" s="6"/>
      <c r="U3600" s="24" t="str">
        <f>HYPERLINK("https://media.infra-m.ru/2006/2006020/cover/2006020.jpg", "Обложка")</f>
        <v>Обложка</v>
      </c>
      <c r="V3600" s="24" t="str">
        <f>HYPERLINK("https://znanium.ru/catalog/product/2006020", "Ознакомиться")</f>
        <v>Ознакомиться</v>
      </c>
      <c r="W3600" s="8" t="s">
        <v>9173</v>
      </c>
      <c r="X3600" s="6"/>
      <c r="Y3600" s="6"/>
      <c r="Z3600" s="6"/>
      <c r="AA3600" s="6" t="s">
        <v>442</v>
      </c>
      <c r="AB3600" s="8"/>
    </row>
    <row r="3601" spans="1:28" s="4" customFormat="1" ht="51.95" customHeight="1">
      <c r="A3601" s="5">
        <v>0</v>
      </c>
      <c r="B3601" s="6" t="s">
        <v>21574</v>
      </c>
      <c r="C3601" s="13">
        <v>1514</v>
      </c>
      <c r="D3601" s="8" t="s">
        <v>21575</v>
      </c>
      <c r="E3601" s="8" t="s">
        <v>21566</v>
      </c>
      <c r="F3601" s="8" t="s">
        <v>21576</v>
      </c>
      <c r="G3601" s="6" t="s">
        <v>89</v>
      </c>
      <c r="H3601" s="6" t="s">
        <v>184</v>
      </c>
      <c r="I3601" s="8" t="s">
        <v>185</v>
      </c>
      <c r="J3601" s="9">
        <v>1</v>
      </c>
      <c r="K3601" s="9">
        <v>303</v>
      </c>
      <c r="L3601" s="9">
        <v>2025</v>
      </c>
      <c r="M3601" s="8" t="s">
        <v>21577</v>
      </c>
      <c r="N3601" s="8" t="s">
        <v>997</v>
      </c>
      <c r="O3601" s="8" t="s">
        <v>998</v>
      </c>
      <c r="P3601" s="6" t="s">
        <v>43</v>
      </c>
      <c r="Q3601" s="8" t="s">
        <v>102</v>
      </c>
      <c r="R3601" s="10" t="s">
        <v>4171</v>
      </c>
      <c r="S3601" s="11"/>
      <c r="T3601" s="6"/>
      <c r="U3601" s="24" t="str">
        <f>HYPERLINK("https://media.infra-m.ru/2184/2184884/cover/2184884.jpg", "Обложка")</f>
        <v>Обложка</v>
      </c>
      <c r="V3601" s="24" t="str">
        <f>HYPERLINK("https://znanium.ru/catalog/product/1960119", "Ознакомиться")</f>
        <v>Ознакомиться</v>
      </c>
      <c r="W3601" s="8" t="s">
        <v>9885</v>
      </c>
      <c r="X3601" s="6"/>
      <c r="Y3601" s="6"/>
      <c r="Z3601" s="6" t="s">
        <v>104</v>
      </c>
      <c r="AA3601" s="6" t="s">
        <v>793</v>
      </c>
      <c r="AB3601" s="8"/>
    </row>
    <row r="3602" spans="1:28" s="4" customFormat="1" ht="51.95" customHeight="1">
      <c r="A3602" s="5">
        <v>0</v>
      </c>
      <c r="B3602" s="6" t="s">
        <v>21578</v>
      </c>
      <c r="C3602" s="13">
        <v>1384</v>
      </c>
      <c r="D3602" s="8" t="s">
        <v>21579</v>
      </c>
      <c r="E3602" s="8" t="s">
        <v>21580</v>
      </c>
      <c r="F3602" s="8" t="s">
        <v>21576</v>
      </c>
      <c r="G3602" s="6" t="s">
        <v>52</v>
      </c>
      <c r="H3602" s="6" t="s">
        <v>184</v>
      </c>
      <c r="I3602" s="8" t="s">
        <v>90</v>
      </c>
      <c r="J3602" s="9">
        <v>1</v>
      </c>
      <c r="K3602" s="9">
        <v>303</v>
      </c>
      <c r="L3602" s="9">
        <v>2023</v>
      </c>
      <c r="M3602" s="8" t="s">
        <v>21581</v>
      </c>
      <c r="N3602" s="8" t="s">
        <v>997</v>
      </c>
      <c r="O3602" s="8" t="s">
        <v>998</v>
      </c>
      <c r="P3602" s="6" t="s">
        <v>43</v>
      </c>
      <c r="Q3602" s="8" t="s">
        <v>44</v>
      </c>
      <c r="R3602" s="10" t="s">
        <v>19715</v>
      </c>
      <c r="S3602" s="11"/>
      <c r="T3602" s="6"/>
      <c r="U3602" s="24" t="str">
        <f>HYPERLINK("https://media.infra-m.ru/1920/1920335/cover/1920335.jpg", "Обложка")</f>
        <v>Обложка</v>
      </c>
      <c r="V3602" s="24" t="str">
        <f>HYPERLINK("https://znanium.ru/catalog/product/1945275", "Ознакомиться")</f>
        <v>Ознакомиться</v>
      </c>
      <c r="W3602" s="8" t="s">
        <v>9885</v>
      </c>
      <c r="X3602" s="6"/>
      <c r="Y3602" s="6"/>
      <c r="Z3602" s="6"/>
      <c r="AA3602" s="6" t="s">
        <v>160</v>
      </c>
      <c r="AB3602" s="8"/>
    </row>
    <row r="3603" spans="1:28" s="4" customFormat="1" ht="51.95" customHeight="1">
      <c r="A3603" s="5">
        <v>0</v>
      </c>
      <c r="B3603" s="6" t="s">
        <v>21582</v>
      </c>
      <c r="C3603" s="13">
        <v>1304</v>
      </c>
      <c r="D3603" s="8" t="s">
        <v>21583</v>
      </c>
      <c r="E3603" s="8" t="s">
        <v>21584</v>
      </c>
      <c r="F3603" s="8" t="s">
        <v>21585</v>
      </c>
      <c r="G3603" s="6" t="s">
        <v>52</v>
      </c>
      <c r="H3603" s="6" t="s">
        <v>53</v>
      </c>
      <c r="I3603" s="8" t="s">
        <v>90</v>
      </c>
      <c r="J3603" s="9">
        <v>1</v>
      </c>
      <c r="K3603" s="9">
        <v>283</v>
      </c>
      <c r="L3603" s="9">
        <v>2023</v>
      </c>
      <c r="M3603" s="8" t="s">
        <v>21586</v>
      </c>
      <c r="N3603" s="8" t="s">
        <v>997</v>
      </c>
      <c r="O3603" s="8" t="s">
        <v>998</v>
      </c>
      <c r="P3603" s="6" t="s">
        <v>43</v>
      </c>
      <c r="Q3603" s="8" t="s">
        <v>44</v>
      </c>
      <c r="R3603" s="10" t="s">
        <v>9165</v>
      </c>
      <c r="S3603" s="11" t="s">
        <v>21587</v>
      </c>
      <c r="T3603" s="6" t="s">
        <v>299</v>
      </c>
      <c r="U3603" s="24" t="str">
        <f>HYPERLINK("https://media.infra-m.ru/1913/1913690/cover/1913690.jpg", "Обложка")</f>
        <v>Обложка</v>
      </c>
      <c r="V3603" s="24" t="str">
        <f>HYPERLINK("https://znanium.ru/catalog/product/1839699", "Ознакомиться")</f>
        <v>Ознакомиться</v>
      </c>
      <c r="W3603" s="8" t="s">
        <v>2559</v>
      </c>
      <c r="X3603" s="6"/>
      <c r="Y3603" s="6"/>
      <c r="Z3603" s="6"/>
      <c r="AA3603" s="6" t="s">
        <v>418</v>
      </c>
      <c r="AB3603" s="8"/>
    </row>
    <row r="3604" spans="1:28" s="4" customFormat="1" ht="42" customHeight="1">
      <c r="A3604" s="5">
        <v>0</v>
      </c>
      <c r="B3604" s="6" t="s">
        <v>21588</v>
      </c>
      <c r="C3604" s="7">
        <v>724</v>
      </c>
      <c r="D3604" s="8" t="s">
        <v>21589</v>
      </c>
      <c r="E3604" s="8" t="s">
        <v>21590</v>
      </c>
      <c r="F3604" s="8" t="s">
        <v>21591</v>
      </c>
      <c r="G3604" s="6" t="s">
        <v>38</v>
      </c>
      <c r="H3604" s="6" t="s">
        <v>39</v>
      </c>
      <c r="I3604" s="8" t="s">
        <v>116</v>
      </c>
      <c r="J3604" s="9">
        <v>1</v>
      </c>
      <c r="K3604" s="9">
        <v>144</v>
      </c>
      <c r="L3604" s="9">
        <v>2025</v>
      </c>
      <c r="M3604" s="8" t="s">
        <v>21592</v>
      </c>
      <c r="N3604" s="8" t="s">
        <v>41</v>
      </c>
      <c r="O3604" s="8" t="s">
        <v>42</v>
      </c>
      <c r="P3604" s="6" t="s">
        <v>43</v>
      </c>
      <c r="Q3604" s="8" t="s">
        <v>44</v>
      </c>
      <c r="R3604" s="10" t="s">
        <v>12833</v>
      </c>
      <c r="S3604" s="11"/>
      <c r="T3604" s="6"/>
      <c r="U3604" s="24" t="str">
        <f>HYPERLINK("https://media.infra-m.ru/2188/2188705/cover/2188705.jpg", "Обложка")</f>
        <v>Обложка</v>
      </c>
      <c r="V3604" s="12"/>
      <c r="W3604" s="8" t="s">
        <v>71</v>
      </c>
      <c r="X3604" s="6"/>
      <c r="Y3604" s="6"/>
      <c r="Z3604" s="6"/>
      <c r="AA3604" s="6" t="s">
        <v>2217</v>
      </c>
      <c r="AB3604" s="8"/>
    </row>
    <row r="3605" spans="1:28" s="4" customFormat="1" ht="51.95" customHeight="1">
      <c r="A3605" s="5">
        <v>0</v>
      </c>
      <c r="B3605" s="6" t="s">
        <v>21593</v>
      </c>
      <c r="C3605" s="13">
        <v>1914</v>
      </c>
      <c r="D3605" s="8" t="s">
        <v>21594</v>
      </c>
      <c r="E3605" s="8" t="s">
        <v>21595</v>
      </c>
      <c r="F3605" s="8" t="s">
        <v>4708</v>
      </c>
      <c r="G3605" s="6" t="s">
        <v>89</v>
      </c>
      <c r="H3605" s="6" t="s">
        <v>438</v>
      </c>
      <c r="I3605" s="8"/>
      <c r="J3605" s="9">
        <v>1</v>
      </c>
      <c r="K3605" s="9">
        <v>368</v>
      </c>
      <c r="L3605" s="9">
        <v>2025</v>
      </c>
      <c r="M3605" s="8" t="s">
        <v>21596</v>
      </c>
      <c r="N3605" s="8" t="s">
        <v>997</v>
      </c>
      <c r="O3605" s="8" t="s">
        <v>998</v>
      </c>
      <c r="P3605" s="6" t="s">
        <v>43</v>
      </c>
      <c r="Q3605" s="8" t="s">
        <v>44</v>
      </c>
      <c r="R3605" s="10" t="s">
        <v>21597</v>
      </c>
      <c r="S3605" s="11"/>
      <c r="T3605" s="6"/>
      <c r="U3605" s="24" t="str">
        <f>HYPERLINK("https://media.infra-m.ru/2192/2192216/cover/2192216.jpg", "Обложка")</f>
        <v>Обложка</v>
      </c>
      <c r="V3605" s="24" t="str">
        <f>HYPERLINK("https://znanium.ru/catalog/product/1940912", "Ознакомиться")</f>
        <v>Ознакомиться</v>
      </c>
      <c r="W3605" s="8" t="s">
        <v>320</v>
      </c>
      <c r="X3605" s="6"/>
      <c r="Y3605" s="6"/>
      <c r="Z3605" s="6"/>
      <c r="AA3605" s="6" t="s">
        <v>122</v>
      </c>
      <c r="AB3605" s="8"/>
    </row>
    <row r="3606" spans="1:28" s="4" customFormat="1" ht="44.1" customHeight="1">
      <c r="A3606" s="5">
        <v>0</v>
      </c>
      <c r="B3606" s="6" t="s">
        <v>21598</v>
      </c>
      <c r="C3606" s="7">
        <v>480</v>
      </c>
      <c r="D3606" s="8" t="s">
        <v>21599</v>
      </c>
      <c r="E3606" s="8" t="s">
        <v>21600</v>
      </c>
      <c r="F3606" s="8" t="s">
        <v>21601</v>
      </c>
      <c r="G3606" s="6" t="s">
        <v>38</v>
      </c>
      <c r="H3606" s="6" t="s">
        <v>184</v>
      </c>
      <c r="I3606" s="8" t="s">
        <v>13321</v>
      </c>
      <c r="J3606" s="9">
        <v>1</v>
      </c>
      <c r="K3606" s="9">
        <v>90</v>
      </c>
      <c r="L3606" s="9">
        <v>2020</v>
      </c>
      <c r="M3606" s="8" t="s">
        <v>21602</v>
      </c>
      <c r="N3606" s="8" t="s">
        <v>997</v>
      </c>
      <c r="O3606" s="8" t="s">
        <v>998</v>
      </c>
      <c r="P3606" s="6" t="s">
        <v>175</v>
      </c>
      <c r="Q3606" s="8" t="s">
        <v>44</v>
      </c>
      <c r="R3606" s="10" t="s">
        <v>21603</v>
      </c>
      <c r="S3606" s="11"/>
      <c r="T3606" s="6"/>
      <c r="U3606" s="24" t="str">
        <f>HYPERLINK("https://media.infra-m.ru/1946/1946495/cover/1946495.jpg", "Обложка")</f>
        <v>Обложка</v>
      </c>
      <c r="V3606" s="24" t="str">
        <f>HYPERLINK("https://znanium.ru/catalog/product/1920425", "Ознакомиться")</f>
        <v>Ознакомиться</v>
      </c>
      <c r="W3606" s="8" t="s">
        <v>16718</v>
      </c>
      <c r="X3606" s="6"/>
      <c r="Y3606" s="6"/>
      <c r="Z3606" s="6"/>
      <c r="AA3606" s="6" t="s">
        <v>151</v>
      </c>
      <c r="AB3606" s="8"/>
    </row>
    <row r="3607" spans="1:28" s="4" customFormat="1" ht="51.95" customHeight="1">
      <c r="A3607" s="5">
        <v>0</v>
      </c>
      <c r="B3607" s="6" t="s">
        <v>21604</v>
      </c>
      <c r="C3607" s="13">
        <v>2194</v>
      </c>
      <c r="D3607" s="8" t="s">
        <v>21605</v>
      </c>
      <c r="E3607" s="8" t="s">
        <v>21606</v>
      </c>
      <c r="F3607" s="8" t="s">
        <v>21607</v>
      </c>
      <c r="G3607" s="6" t="s">
        <v>52</v>
      </c>
      <c r="H3607" s="6" t="s">
        <v>39</v>
      </c>
      <c r="I3607" s="8" t="s">
        <v>90</v>
      </c>
      <c r="J3607" s="9">
        <v>1</v>
      </c>
      <c r="K3607" s="9">
        <v>496</v>
      </c>
      <c r="L3607" s="9">
        <v>2025</v>
      </c>
      <c r="M3607" s="8" t="s">
        <v>21608</v>
      </c>
      <c r="N3607" s="8" t="s">
        <v>997</v>
      </c>
      <c r="O3607" s="8" t="s">
        <v>998</v>
      </c>
      <c r="P3607" s="6" t="s">
        <v>43</v>
      </c>
      <c r="Q3607" s="8" t="s">
        <v>44</v>
      </c>
      <c r="R3607" s="10" t="s">
        <v>19715</v>
      </c>
      <c r="S3607" s="11"/>
      <c r="T3607" s="6"/>
      <c r="U3607" s="24" t="str">
        <f>HYPERLINK("https://media.infra-m.ru/2174/2174720/cover/2174720.jpg", "Обложка")</f>
        <v>Обложка</v>
      </c>
      <c r="V3607" s="12"/>
      <c r="W3607" s="8" t="s">
        <v>4215</v>
      </c>
      <c r="X3607" s="6"/>
      <c r="Y3607" s="6"/>
      <c r="Z3607" s="6"/>
      <c r="AA3607" s="6" t="s">
        <v>47</v>
      </c>
      <c r="AB3607" s="8"/>
    </row>
    <row r="3608" spans="1:28" s="4" customFormat="1" ht="51.95" customHeight="1">
      <c r="A3608" s="5">
        <v>0</v>
      </c>
      <c r="B3608" s="6" t="s">
        <v>21609</v>
      </c>
      <c r="C3608" s="13">
        <v>1900</v>
      </c>
      <c r="D3608" s="8" t="s">
        <v>21610</v>
      </c>
      <c r="E3608" s="8" t="s">
        <v>21611</v>
      </c>
      <c r="F3608" s="8" t="s">
        <v>21612</v>
      </c>
      <c r="G3608" s="6" t="s">
        <v>52</v>
      </c>
      <c r="H3608" s="6" t="s">
        <v>53</v>
      </c>
      <c r="I3608" s="8" t="s">
        <v>116</v>
      </c>
      <c r="J3608" s="9">
        <v>1</v>
      </c>
      <c r="K3608" s="9">
        <v>403</v>
      </c>
      <c r="L3608" s="9">
        <v>2024</v>
      </c>
      <c r="M3608" s="8" t="s">
        <v>21613</v>
      </c>
      <c r="N3608" s="8" t="s">
        <v>997</v>
      </c>
      <c r="O3608" s="8" t="s">
        <v>998</v>
      </c>
      <c r="P3608" s="6" t="s">
        <v>167</v>
      </c>
      <c r="Q3608" s="8" t="s">
        <v>44</v>
      </c>
      <c r="R3608" s="10" t="s">
        <v>21614</v>
      </c>
      <c r="S3608" s="11" t="s">
        <v>21615</v>
      </c>
      <c r="T3608" s="6"/>
      <c r="U3608" s="24" t="str">
        <f>HYPERLINK("https://media.infra-m.ru/2115/2115274/cover/2115274.jpg", "Обложка")</f>
        <v>Обложка</v>
      </c>
      <c r="V3608" s="24" t="str">
        <f>HYPERLINK("https://znanium.ru/catalog/product/2115274", "Ознакомиться")</f>
        <v>Ознакомиться</v>
      </c>
      <c r="W3608" s="8" t="s">
        <v>12849</v>
      </c>
      <c r="X3608" s="6"/>
      <c r="Y3608" s="6"/>
      <c r="Z3608" s="6"/>
      <c r="AA3608" s="6" t="s">
        <v>442</v>
      </c>
      <c r="AB3608" s="8"/>
    </row>
    <row r="3609" spans="1:28" s="4" customFormat="1" ht="51.95" customHeight="1">
      <c r="A3609" s="5">
        <v>0</v>
      </c>
      <c r="B3609" s="6" t="s">
        <v>21616</v>
      </c>
      <c r="C3609" s="13">
        <v>1040</v>
      </c>
      <c r="D3609" s="8" t="s">
        <v>21617</v>
      </c>
      <c r="E3609" s="8" t="s">
        <v>21618</v>
      </c>
      <c r="F3609" s="8" t="s">
        <v>21619</v>
      </c>
      <c r="G3609" s="6" t="s">
        <v>52</v>
      </c>
      <c r="H3609" s="6" t="s">
        <v>53</v>
      </c>
      <c r="I3609" s="8" t="s">
        <v>5586</v>
      </c>
      <c r="J3609" s="9">
        <v>1</v>
      </c>
      <c r="K3609" s="9">
        <v>186</v>
      </c>
      <c r="L3609" s="9">
        <v>2025</v>
      </c>
      <c r="M3609" s="8" t="s">
        <v>21620</v>
      </c>
      <c r="N3609" s="8" t="s">
        <v>997</v>
      </c>
      <c r="O3609" s="8" t="s">
        <v>998</v>
      </c>
      <c r="P3609" s="6" t="s">
        <v>5588</v>
      </c>
      <c r="Q3609" s="8" t="s">
        <v>58</v>
      </c>
      <c r="R3609" s="10" t="s">
        <v>21621</v>
      </c>
      <c r="S3609" s="11"/>
      <c r="T3609" s="6"/>
      <c r="U3609" s="24" t="str">
        <f>HYPERLINK("https://media.infra-m.ru/2157/2157181/cover/2157181.jpg", "Обложка")</f>
        <v>Обложка</v>
      </c>
      <c r="V3609" s="24" t="str">
        <f>HYPERLINK("https://znanium.ru/catalog/product/2157181", "Ознакомиться")</f>
        <v>Ознакомиться</v>
      </c>
      <c r="W3609" s="8" t="s">
        <v>2122</v>
      </c>
      <c r="X3609" s="6" t="s">
        <v>60</v>
      </c>
      <c r="Y3609" s="6"/>
      <c r="Z3609" s="6"/>
      <c r="AA3609" s="6" t="s">
        <v>61</v>
      </c>
      <c r="AB3609" s="8"/>
    </row>
    <row r="3610" spans="1:28" s="4" customFormat="1" ht="42" customHeight="1">
      <c r="A3610" s="5">
        <v>0</v>
      </c>
      <c r="B3610" s="6" t="s">
        <v>21622</v>
      </c>
      <c r="C3610" s="13">
        <v>1310</v>
      </c>
      <c r="D3610" s="8" t="s">
        <v>21623</v>
      </c>
      <c r="E3610" s="8" t="s">
        <v>21624</v>
      </c>
      <c r="F3610" s="8" t="s">
        <v>21625</v>
      </c>
      <c r="G3610" s="6" t="s">
        <v>89</v>
      </c>
      <c r="H3610" s="6" t="s">
        <v>53</v>
      </c>
      <c r="I3610" s="8" t="s">
        <v>100</v>
      </c>
      <c r="J3610" s="9">
        <v>1</v>
      </c>
      <c r="K3610" s="9">
        <v>261</v>
      </c>
      <c r="L3610" s="9">
        <v>2025</v>
      </c>
      <c r="M3610" s="8" t="s">
        <v>21626</v>
      </c>
      <c r="N3610" s="8" t="s">
        <v>997</v>
      </c>
      <c r="O3610" s="8" t="s">
        <v>998</v>
      </c>
      <c r="P3610" s="6" t="s">
        <v>175</v>
      </c>
      <c r="Q3610" s="8" t="s">
        <v>102</v>
      </c>
      <c r="R3610" s="10" t="s">
        <v>21627</v>
      </c>
      <c r="S3610" s="11"/>
      <c r="T3610" s="6"/>
      <c r="U3610" s="24" t="str">
        <f>HYPERLINK("https://media.infra-m.ru/2169/2169216/cover/2169216.jpg", "Обложка")</f>
        <v>Обложка</v>
      </c>
      <c r="V3610" s="24" t="str">
        <f>HYPERLINK("https://znanium.ru/catalog/product/2169216", "Ознакомиться")</f>
        <v>Ознакомиться</v>
      </c>
      <c r="W3610" s="8" t="s">
        <v>21628</v>
      </c>
      <c r="X3610" s="6"/>
      <c r="Y3610" s="6"/>
      <c r="Z3610" s="6"/>
      <c r="AA3610" s="6" t="s">
        <v>133</v>
      </c>
      <c r="AB3610" s="8"/>
    </row>
    <row r="3611" spans="1:28" s="4" customFormat="1" ht="51.95" customHeight="1">
      <c r="A3611" s="5">
        <v>0</v>
      </c>
      <c r="B3611" s="6" t="s">
        <v>21629</v>
      </c>
      <c r="C3611" s="7">
        <v>940</v>
      </c>
      <c r="D3611" s="8" t="s">
        <v>21630</v>
      </c>
      <c r="E3611" s="8" t="s">
        <v>21631</v>
      </c>
      <c r="F3611" s="8" t="s">
        <v>21632</v>
      </c>
      <c r="G3611" s="6" t="s">
        <v>52</v>
      </c>
      <c r="H3611" s="6" t="s">
        <v>53</v>
      </c>
      <c r="I3611" s="8" t="s">
        <v>4855</v>
      </c>
      <c r="J3611" s="9">
        <v>1</v>
      </c>
      <c r="K3611" s="9">
        <v>203</v>
      </c>
      <c r="L3611" s="9">
        <v>2023</v>
      </c>
      <c r="M3611" s="8" t="s">
        <v>21633</v>
      </c>
      <c r="N3611" s="8" t="s">
        <v>79</v>
      </c>
      <c r="O3611" s="8" t="s">
        <v>80</v>
      </c>
      <c r="P3611" s="6" t="s">
        <v>43</v>
      </c>
      <c r="Q3611" s="8" t="s">
        <v>44</v>
      </c>
      <c r="R3611" s="10" t="s">
        <v>21634</v>
      </c>
      <c r="S3611" s="11" t="s">
        <v>21635</v>
      </c>
      <c r="T3611" s="6"/>
      <c r="U3611" s="24" t="str">
        <f>HYPERLINK("https://media.infra-m.ru/1910/1910892/cover/1910892.jpg", "Обложка")</f>
        <v>Обложка</v>
      </c>
      <c r="V3611" s="12"/>
      <c r="W3611" s="8" t="s">
        <v>784</v>
      </c>
      <c r="X3611" s="6"/>
      <c r="Y3611" s="6"/>
      <c r="Z3611" s="6"/>
      <c r="AA3611" s="6" t="s">
        <v>813</v>
      </c>
      <c r="AB3611" s="8"/>
    </row>
    <row r="3612" spans="1:28" s="4" customFormat="1" ht="42" customHeight="1">
      <c r="A3612" s="5">
        <v>0</v>
      </c>
      <c r="B3612" s="6" t="s">
        <v>21636</v>
      </c>
      <c r="C3612" s="13">
        <v>2990</v>
      </c>
      <c r="D3612" s="8" t="s">
        <v>21637</v>
      </c>
      <c r="E3612" s="8" t="s">
        <v>21638</v>
      </c>
      <c r="F3612" s="8" t="s">
        <v>21639</v>
      </c>
      <c r="G3612" s="6" t="s">
        <v>52</v>
      </c>
      <c r="H3612" s="6" t="s">
        <v>53</v>
      </c>
      <c r="I3612" s="8" t="s">
        <v>212</v>
      </c>
      <c r="J3612" s="9">
        <v>1</v>
      </c>
      <c r="K3612" s="9">
        <v>1088</v>
      </c>
      <c r="L3612" s="9">
        <v>2024</v>
      </c>
      <c r="M3612" s="8" t="s">
        <v>21640</v>
      </c>
      <c r="N3612" s="8" t="s">
        <v>79</v>
      </c>
      <c r="O3612" s="8" t="s">
        <v>174</v>
      </c>
      <c r="P3612" s="6" t="s">
        <v>21641</v>
      </c>
      <c r="Q3612" s="8" t="s">
        <v>214</v>
      </c>
      <c r="R3612" s="10" t="s">
        <v>7345</v>
      </c>
      <c r="S3612" s="11"/>
      <c r="T3612" s="6"/>
      <c r="U3612" s="24" t="str">
        <f>HYPERLINK("https://media.infra-m.ru/2131/2131759/cover/2131759.jpg", "Обложка")</f>
        <v>Обложка</v>
      </c>
      <c r="V3612" s="24" t="str">
        <f>HYPERLINK("https://znanium.ru/catalog/product/2131759", "Ознакомиться")</f>
        <v>Ознакомиться</v>
      </c>
      <c r="W3612" s="8" t="s">
        <v>2392</v>
      </c>
      <c r="X3612" s="6"/>
      <c r="Y3612" s="6"/>
      <c r="Z3612" s="6"/>
      <c r="AA3612" s="6" t="s">
        <v>793</v>
      </c>
      <c r="AB3612" s="8" t="s">
        <v>11910</v>
      </c>
    </row>
    <row r="3613" spans="1:28" s="4" customFormat="1" ht="51.95" customHeight="1">
      <c r="A3613" s="5">
        <v>0</v>
      </c>
      <c r="B3613" s="6" t="s">
        <v>21642</v>
      </c>
      <c r="C3613" s="7">
        <v>994</v>
      </c>
      <c r="D3613" s="8" t="s">
        <v>21643</v>
      </c>
      <c r="E3613" s="8" t="s">
        <v>21644</v>
      </c>
      <c r="F3613" s="8" t="s">
        <v>21645</v>
      </c>
      <c r="G3613" s="6" t="s">
        <v>89</v>
      </c>
      <c r="H3613" s="6" t="s">
        <v>53</v>
      </c>
      <c r="I3613" s="8" t="s">
        <v>212</v>
      </c>
      <c r="J3613" s="9">
        <v>1</v>
      </c>
      <c r="K3613" s="9">
        <v>193</v>
      </c>
      <c r="L3613" s="9">
        <v>2025</v>
      </c>
      <c r="M3613" s="8" t="s">
        <v>21646</v>
      </c>
      <c r="N3613" s="8" t="s">
        <v>41</v>
      </c>
      <c r="O3613" s="8" t="s">
        <v>676</v>
      </c>
      <c r="P3613" s="6" t="s">
        <v>167</v>
      </c>
      <c r="Q3613" s="8" t="s">
        <v>214</v>
      </c>
      <c r="R3613" s="10" t="s">
        <v>215</v>
      </c>
      <c r="S3613" s="11" t="s">
        <v>21647</v>
      </c>
      <c r="T3613" s="6"/>
      <c r="U3613" s="24" t="str">
        <f>HYPERLINK("https://media.infra-m.ru/2124/2124762/cover/2124762.jpg", "Обложка")</f>
        <v>Обложка</v>
      </c>
      <c r="V3613" s="24" t="str">
        <f>HYPERLINK("https://znanium.ru/catalog/product/1893886", "Ознакомиться")</f>
        <v>Ознакомиться</v>
      </c>
      <c r="W3613" s="8" t="s">
        <v>3966</v>
      </c>
      <c r="X3613" s="6"/>
      <c r="Y3613" s="6"/>
      <c r="Z3613" s="6"/>
      <c r="AA3613" s="6" t="s">
        <v>207</v>
      </c>
      <c r="AB3613" s="8"/>
    </row>
    <row r="3614" spans="1:28" s="4" customFormat="1" ht="44.1" customHeight="1">
      <c r="A3614" s="5">
        <v>0</v>
      </c>
      <c r="B3614" s="6" t="s">
        <v>21648</v>
      </c>
      <c r="C3614" s="7">
        <v>640</v>
      </c>
      <c r="D3614" s="8" t="s">
        <v>21649</v>
      </c>
      <c r="E3614" s="8" t="s">
        <v>21650</v>
      </c>
      <c r="F3614" s="8" t="s">
        <v>21651</v>
      </c>
      <c r="G3614" s="6" t="s">
        <v>38</v>
      </c>
      <c r="H3614" s="6" t="s">
        <v>184</v>
      </c>
      <c r="I3614" s="8" t="s">
        <v>116</v>
      </c>
      <c r="J3614" s="9">
        <v>1</v>
      </c>
      <c r="K3614" s="9">
        <v>116</v>
      </c>
      <c r="L3614" s="9">
        <v>2025</v>
      </c>
      <c r="M3614" s="8" t="s">
        <v>21652</v>
      </c>
      <c r="N3614" s="8" t="s">
        <v>79</v>
      </c>
      <c r="O3614" s="8" t="s">
        <v>174</v>
      </c>
      <c r="P3614" s="6" t="s">
        <v>43</v>
      </c>
      <c r="Q3614" s="8" t="s">
        <v>58</v>
      </c>
      <c r="R3614" s="10" t="s">
        <v>21653</v>
      </c>
      <c r="S3614" s="11"/>
      <c r="T3614" s="6"/>
      <c r="U3614" s="24" t="str">
        <f>HYPERLINK("https://media.infra-m.ru/2170/2170237/cover/2170237.jpg", "Обложка")</f>
        <v>Обложка</v>
      </c>
      <c r="V3614" s="24" t="str">
        <f>HYPERLINK("https://znanium.ru/catalog/product/2170237", "Ознакомиться")</f>
        <v>Ознакомиться</v>
      </c>
      <c r="W3614" s="8" t="s">
        <v>21027</v>
      </c>
      <c r="X3614" s="6" t="s">
        <v>1049</v>
      </c>
      <c r="Y3614" s="6"/>
      <c r="Z3614" s="6"/>
      <c r="AA3614" s="6" t="s">
        <v>61</v>
      </c>
      <c r="AB3614" s="8"/>
    </row>
    <row r="3615" spans="1:28" s="4" customFormat="1" ht="51.95" customHeight="1">
      <c r="A3615" s="5">
        <v>0</v>
      </c>
      <c r="B3615" s="6" t="s">
        <v>21654</v>
      </c>
      <c r="C3615" s="13">
        <v>1872</v>
      </c>
      <c r="D3615" s="8" t="s">
        <v>21655</v>
      </c>
      <c r="E3615" s="8" t="s">
        <v>21656</v>
      </c>
      <c r="F3615" s="8" t="s">
        <v>11955</v>
      </c>
      <c r="G3615" s="6" t="s">
        <v>89</v>
      </c>
      <c r="H3615" s="6" t="s">
        <v>39</v>
      </c>
      <c r="I3615" s="8" t="s">
        <v>185</v>
      </c>
      <c r="J3615" s="9">
        <v>1</v>
      </c>
      <c r="K3615" s="9">
        <v>288</v>
      </c>
      <c r="L3615" s="9">
        <v>2025</v>
      </c>
      <c r="M3615" s="8" t="s">
        <v>21657</v>
      </c>
      <c r="N3615" s="8" t="s">
        <v>79</v>
      </c>
      <c r="O3615" s="8" t="s">
        <v>174</v>
      </c>
      <c r="P3615" s="6" t="s">
        <v>43</v>
      </c>
      <c r="Q3615" s="8" t="s">
        <v>102</v>
      </c>
      <c r="R3615" s="10" t="s">
        <v>21658</v>
      </c>
      <c r="S3615" s="11" t="s">
        <v>11958</v>
      </c>
      <c r="T3615" s="6"/>
      <c r="U3615" s="24" t="str">
        <f>HYPERLINK("https://media.infra-m.ru/2170/2170984/cover/2170984.jpg", "Обложка")</f>
        <v>Обложка</v>
      </c>
      <c r="V3615" s="24" t="str">
        <f>HYPERLINK("https://znanium.ru/catalog/product/2170984", "Ознакомиться")</f>
        <v>Ознакомиться</v>
      </c>
      <c r="W3615" s="8" t="s">
        <v>5284</v>
      </c>
      <c r="X3615" s="6"/>
      <c r="Y3615" s="6"/>
      <c r="Z3615" s="6"/>
      <c r="AA3615" s="6" t="s">
        <v>111</v>
      </c>
      <c r="AB3615" s="8"/>
    </row>
    <row r="3616" spans="1:28" s="4" customFormat="1" ht="51.95" customHeight="1">
      <c r="A3616" s="5">
        <v>0</v>
      </c>
      <c r="B3616" s="6" t="s">
        <v>21659</v>
      </c>
      <c r="C3616" s="13">
        <v>1580</v>
      </c>
      <c r="D3616" s="8" t="s">
        <v>21660</v>
      </c>
      <c r="E3616" s="8" t="s">
        <v>21661</v>
      </c>
      <c r="F3616" s="8" t="s">
        <v>21662</v>
      </c>
      <c r="G3616" s="6" t="s">
        <v>89</v>
      </c>
      <c r="H3616" s="6" t="s">
        <v>53</v>
      </c>
      <c r="I3616" s="8" t="s">
        <v>90</v>
      </c>
      <c r="J3616" s="9">
        <v>1</v>
      </c>
      <c r="K3616" s="9">
        <v>345</v>
      </c>
      <c r="L3616" s="9">
        <v>2023</v>
      </c>
      <c r="M3616" s="8" t="s">
        <v>21663</v>
      </c>
      <c r="N3616" s="8" t="s">
        <v>41</v>
      </c>
      <c r="O3616" s="8" t="s">
        <v>1007</v>
      </c>
      <c r="P3616" s="6" t="s">
        <v>167</v>
      </c>
      <c r="Q3616" s="8" t="s">
        <v>44</v>
      </c>
      <c r="R3616" s="10" t="s">
        <v>1008</v>
      </c>
      <c r="S3616" s="11" t="s">
        <v>1414</v>
      </c>
      <c r="T3616" s="6"/>
      <c r="U3616" s="24" t="str">
        <f>HYPERLINK("https://media.infra-m.ru/1907/1907366/cover/1907366.jpg", "Обложка")</f>
        <v>Обложка</v>
      </c>
      <c r="V3616" s="24" t="str">
        <f>HYPERLINK("https://znanium.ru/catalog/product/1907366", "Ознакомиться")</f>
        <v>Ознакомиться</v>
      </c>
      <c r="W3616" s="8" t="s">
        <v>1313</v>
      </c>
      <c r="X3616" s="6"/>
      <c r="Y3616" s="6"/>
      <c r="Z3616" s="6"/>
      <c r="AA3616" s="6" t="s">
        <v>219</v>
      </c>
      <c r="AB3616" s="8"/>
    </row>
    <row r="3617" spans="1:28" s="4" customFormat="1" ht="51.95" customHeight="1">
      <c r="A3617" s="5">
        <v>0</v>
      </c>
      <c r="B3617" s="6" t="s">
        <v>21664</v>
      </c>
      <c r="C3617" s="13">
        <v>1730</v>
      </c>
      <c r="D3617" s="8" t="s">
        <v>21665</v>
      </c>
      <c r="E3617" s="8" t="s">
        <v>21661</v>
      </c>
      <c r="F3617" s="8" t="s">
        <v>21662</v>
      </c>
      <c r="G3617" s="6" t="s">
        <v>89</v>
      </c>
      <c r="H3617" s="6" t="s">
        <v>53</v>
      </c>
      <c r="I3617" s="8" t="s">
        <v>100</v>
      </c>
      <c r="J3617" s="9">
        <v>1</v>
      </c>
      <c r="K3617" s="9">
        <v>345</v>
      </c>
      <c r="L3617" s="9">
        <v>2025</v>
      </c>
      <c r="M3617" s="8" t="s">
        <v>21666</v>
      </c>
      <c r="N3617" s="8" t="s">
        <v>41</v>
      </c>
      <c r="O3617" s="8" t="s">
        <v>1007</v>
      </c>
      <c r="P3617" s="6" t="s">
        <v>167</v>
      </c>
      <c r="Q3617" s="8" t="s">
        <v>102</v>
      </c>
      <c r="R3617" s="10" t="s">
        <v>21667</v>
      </c>
      <c r="S3617" s="11" t="s">
        <v>21668</v>
      </c>
      <c r="T3617" s="6"/>
      <c r="U3617" s="24" t="str">
        <f>HYPERLINK("https://media.infra-m.ru/2179/2179098/cover/2179098.jpg", "Обложка")</f>
        <v>Обложка</v>
      </c>
      <c r="V3617" s="24" t="str">
        <f>HYPERLINK("https://znanium.ru/catalog/product/2179098", "Ознакомиться")</f>
        <v>Ознакомиться</v>
      </c>
      <c r="W3617" s="8" t="s">
        <v>1313</v>
      </c>
      <c r="X3617" s="6"/>
      <c r="Y3617" s="6"/>
      <c r="Z3617" s="6" t="s">
        <v>104</v>
      </c>
      <c r="AA3617" s="6" t="s">
        <v>235</v>
      </c>
      <c r="AB3617" s="8"/>
    </row>
    <row r="3618" spans="1:28" s="4" customFormat="1" ht="42" customHeight="1">
      <c r="A3618" s="5">
        <v>0</v>
      </c>
      <c r="B3618" s="6" t="s">
        <v>21669</v>
      </c>
      <c r="C3618" s="7">
        <v>690</v>
      </c>
      <c r="D3618" s="8" t="s">
        <v>21670</v>
      </c>
      <c r="E3618" s="8" t="s">
        <v>21671</v>
      </c>
      <c r="F3618" s="8" t="s">
        <v>21672</v>
      </c>
      <c r="G3618" s="6" t="s">
        <v>89</v>
      </c>
      <c r="H3618" s="6" t="s">
        <v>53</v>
      </c>
      <c r="I3618" s="8" t="s">
        <v>4767</v>
      </c>
      <c r="J3618" s="9">
        <v>1</v>
      </c>
      <c r="K3618" s="9">
        <v>146</v>
      </c>
      <c r="L3618" s="9">
        <v>2024</v>
      </c>
      <c r="M3618" s="8" t="s">
        <v>21673</v>
      </c>
      <c r="N3618" s="8" t="s">
        <v>997</v>
      </c>
      <c r="O3618" s="8" t="s">
        <v>998</v>
      </c>
      <c r="P3618" s="6" t="s">
        <v>175</v>
      </c>
      <c r="Q3618" s="8" t="s">
        <v>44</v>
      </c>
      <c r="R3618" s="10" t="s">
        <v>14303</v>
      </c>
      <c r="S3618" s="11"/>
      <c r="T3618" s="6"/>
      <c r="U3618" s="24" t="str">
        <f>HYPERLINK("https://media.infra-m.ru/2083/2083429/cover/2083429.jpg", "Обложка")</f>
        <v>Обложка</v>
      </c>
      <c r="V3618" s="24" t="str">
        <f>HYPERLINK("https://znanium.ru/catalog/product/2083429", "Ознакомиться")</f>
        <v>Ознакомиться</v>
      </c>
      <c r="W3618" s="8" t="s">
        <v>7276</v>
      </c>
      <c r="X3618" s="6"/>
      <c r="Y3618" s="6"/>
      <c r="Z3618" s="6"/>
      <c r="AA3618" s="6" t="s">
        <v>258</v>
      </c>
      <c r="AB3618" s="8"/>
    </row>
    <row r="3619" spans="1:28" s="4" customFormat="1" ht="51.95" customHeight="1">
      <c r="A3619" s="5">
        <v>0</v>
      </c>
      <c r="B3619" s="6" t="s">
        <v>21674</v>
      </c>
      <c r="C3619" s="7">
        <v>990</v>
      </c>
      <c r="D3619" s="8" t="s">
        <v>21675</v>
      </c>
      <c r="E3619" s="8" t="s">
        <v>21676</v>
      </c>
      <c r="F3619" s="8" t="s">
        <v>21677</v>
      </c>
      <c r="G3619" s="6" t="s">
        <v>89</v>
      </c>
      <c r="H3619" s="6" t="s">
        <v>53</v>
      </c>
      <c r="I3619" s="8" t="s">
        <v>165</v>
      </c>
      <c r="J3619" s="9">
        <v>1</v>
      </c>
      <c r="K3619" s="9">
        <v>207</v>
      </c>
      <c r="L3619" s="9">
        <v>2024</v>
      </c>
      <c r="M3619" s="8" t="s">
        <v>21678</v>
      </c>
      <c r="N3619" s="8" t="s">
        <v>79</v>
      </c>
      <c r="O3619" s="8" t="s">
        <v>80</v>
      </c>
      <c r="P3619" s="6" t="s">
        <v>43</v>
      </c>
      <c r="Q3619" s="8" t="s">
        <v>58</v>
      </c>
      <c r="R3619" s="10" t="s">
        <v>21679</v>
      </c>
      <c r="S3619" s="11" t="s">
        <v>21680</v>
      </c>
      <c r="T3619" s="6"/>
      <c r="U3619" s="24" t="str">
        <f>HYPERLINK("https://media.infra-m.ru/2051/2051477/cover/2051477.jpg", "Обложка")</f>
        <v>Обложка</v>
      </c>
      <c r="V3619" s="24" t="str">
        <f>HYPERLINK("https://znanium.ru/catalog/product/2051477", "Ознакомиться")</f>
        <v>Ознакомиться</v>
      </c>
      <c r="W3619" s="8" t="s">
        <v>83</v>
      </c>
      <c r="X3619" s="6"/>
      <c r="Y3619" s="6"/>
      <c r="Z3619" s="6"/>
      <c r="AA3619" s="6" t="s">
        <v>219</v>
      </c>
      <c r="AB3619" s="8"/>
    </row>
    <row r="3620" spans="1:28" s="4" customFormat="1" ht="42" customHeight="1">
      <c r="A3620" s="5">
        <v>0</v>
      </c>
      <c r="B3620" s="6" t="s">
        <v>21681</v>
      </c>
      <c r="C3620" s="13">
        <v>2050</v>
      </c>
      <c r="D3620" s="8" t="s">
        <v>21682</v>
      </c>
      <c r="E3620" s="8" t="s">
        <v>21683</v>
      </c>
      <c r="F3620" s="8" t="s">
        <v>21684</v>
      </c>
      <c r="G3620" s="6" t="s">
        <v>52</v>
      </c>
      <c r="H3620" s="6" t="s">
        <v>53</v>
      </c>
      <c r="I3620" s="8" t="s">
        <v>100</v>
      </c>
      <c r="J3620" s="9">
        <v>1</v>
      </c>
      <c r="K3620" s="9">
        <v>404</v>
      </c>
      <c r="L3620" s="9">
        <v>2025</v>
      </c>
      <c r="M3620" s="8" t="s">
        <v>21685</v>
      </c>
      <c r="N3620" s="8" t="s">
        <v>79</v>
      </c>
      <c r="O3620" s="8" t="s">
        <v>684</v>
      </c>
      <c r="P3620" s="6" t="s">
        <v>43</v>
      </c>
      <c r="Q3620" s="8" t="s">
        <v>102</v>
      </c>
      <c r="R3620" s="10" t="s">
        <v>16991</v>
      </c>
      <c r="S3620" s="11"/>
      <c r="T3620" s="6"/>
      <c r="U3620" s="24" t="str">
        <f>HYPERLINK("https://media.infra-m.ru/2169/2169777/cover/2169777.jpg", "Обложка")</f>
        <v>Обложка</v>
      </c>
      <c r="V3620" s="24" t="str">
        <f>HYPERLINK("https://znanium.ru/catalog/product/2169777", "Ознакомиться")</f>
        <v>Ознакомиться</v>
      </c>
      <c r="W3620" s="8" t="s">
        <v>637</v>
      </c>
      <c r="X3620" s="6" t="s">
        <v>785</v>
      </c>
      <c r="Y3620" s="6"/>
      <c r="Z3620" s="6" t="s">
        <v>104</v>
      </c>
      <c r="AA3620" s="6" t="s">
        <v>61</v>
      </c>
      <c r="AB3620" s="8"/>
    </row>
    <row r="3621" spans="1:28" s="4" customFormat="1" ht="42" customHeight="1">
      <c r="A3621" s="5">
        <v>0</v>
      </c>
      <c r="B3621" s="6" t="s">
        <v>21686</v>
      </c>
      <c r="C3621" s="13">
        <v>1920</v>
      </c>
      <c r="D3621" s="8" t="s">
        <v>21687</v>
      </c>
      <c r="E3621" s="8" t="s">
        <v>21683</v>
      </c>
      <c r="F3621" s="8" t="s">
        <v>21684</v>
      </c>
      <c r="G3621" s="6" t="s">
        <v>52</v>
      </c>
      <c r="H3621" s="6" t="s">
        <v>53</v>
      </c>
      <c r="I3621" s="8" t="s">
        <v>116</v>
      </c>
      <c r="J3621" s="9">
        <v>1</v>
      </c>
      <c r="K3621" s="9">
        <v>404</v>
      </c>
      <c r="L3621" s="9">
        <v>2024</v>
      </c>
      <c r="M3621" s="8" t="s">
        <v>21688</v>
      </c>
      <c r="N3621" s="8" t="s">
        <v>79</v>
      </c>
      <c r="O3621" s="8" t="s">
        <v>684</v>
      </c>
      <c r="P3621" s="6" t="s">
        <v>43</v>
      </c>
      <c r="Q3621" s="8" t="s">
        <v>44</v>
      </c>
      <c r="R3621" s="10" t="s">
        <v>21689</v>
      </c>
      <c r="S3621" s="11"/>
      <c r="T3621" s="6"/>
      <c r="U3621" s="24" t="str">
        <f>HYPERLINK("https://media.infra-m.ru/1960/1960103/cover/1960103.jpg", "Обложка")</f>
        <v>Обложка</v>
      </c>
      <c r="V3621" s="24" t="str">
        <f>HYPERLINK("https://znanium.ru/catalog/product/1960103", "Ознакомиться")</f>
        <v>Ознакомиться</v>
      </c>
      <c r="W3621" s="8" t="s">
        <v>637</v>
      </c>
      <c r="X3621" s="6"/>
      <c r="Y3621" s="6"/>
      <c r="Z3621" s="6"/>
      <c r="AA3621" s="6" t="s">
        <v>133</v>
      </c>
      <c r="AB3621" s="8"/>
    </row>
    <row r="3622" spans="1:28" s="4" customFormat="1" ht="51.95" customHeight="1">
      <c r="A3622" s="5">
        <v>0</v>
      </c>
      <c r="B3622" s="6" t="s">
        <v>21690</v>
      </c>
      <c r="C3622" s="13">
        <v>1814</v>
      </c>
      <c r="D3622" s="8" t="s">
        <v>21691</v>
      </c>
      <c r="E3622" s="8" t="s">
        <v>21692</v>
      </c>
      <c r="F3622" s="8" t="s">
        <v>21693</v>
      </c>
      <c r="G3622" s="6" t="s">
        <v>52</v>
      </c>
      <c r="H3622" s="6" t="s">
        <v>53</v>
      </c>
      <c r="I3622" s="8" t="s">
        <v>21694</v>
      </c>
      <c r="J3622" s="9">
        <v>1</v>
      </c>
      <c r="K3622" s="9">
        <v>362</v>
      </c>
      <c r="L3622" s="9">
        <v>2025</v>
      </c>
      <c r="M3622" s="8" t="s">
        <v>21695</v>
      </c>
      <c r="N3622" s="8" t="s">
        <v>79</v>
      </c>
      <c r="O3622" s="8" t="s">
        <v>396</v>
      </c>
      <c r="P3622" s="6" t="s">
        <v>43</v>
      </c>
      <c r="Q3622" s="8" t="s">
        <v>44</v>
      </c>
      <c r="R3622" s="10" t="s">
        <v>21696</v>
      </c>
      <c r="S3622" s="11" t="s">
        <v>21697</v>
      </c>
      <c r="T3622" s="6"/>
      <c r="U3622" s="24" t="str">
        <f>HYPERLINK("https://media.infra-m.ru/2180/2180286/cover/2180286.jpg", "Обложка")</f>
        <v>Обложка</v>
      </c>
      <c r="V3622" s="24" t="str">
        <f>HYPERLINK("https://znanium.ru/catalog/product/2127943", "Ознакомиться")</f>
        <v>Ознакомиться</v>
      </c>
      <c r="W3622" s="8" t="s">
        <v>716</v>
      </c>
      <c r="X3622" s="6"/>
      <c r="Y3622" s="6"/>
      <c r="Z3622" s="6"/>
      <c r="AA3622" s="6" t="s">
        <v>207</v>
      </c>
      <c r="AB3622" s="8"/>
    </row>
    <row r="3623" spans="1:28" s="4" customFormat="1" ht="51.95" customHeight="1">
      <c r="A3623" s="5">
        <v>0</v>
      </c>
      <c r="B3623" s="6" t="s">
        <v>21698</v>
      </c>
      <c r="C3623" s="13">
        <v>1734</v>
      </c>
      <c r="D3623" s="8" t="s">
        <v>21699</v>
      </c>
      <c r="E3623" s="8" t="s">
        <v>21700</v>
      </c>
      <c r="F3623" s="8" t="s">
        <v>21701</v>
      </c>
      <c r="G3623" s="6" t="s">
        <v>89</v>
      </c>
      <c r="H3623" s="6" t="s">
        <v>53</v>
      </c>
      <c r="I3623" s="8" t="s">
        <v>90</v>
      </c>
      <c r="J3623" s="9">
        <v>1</v>
      </c>
      <c r="K3623" s="9">
        <v>347</v>
      </c>
      <c r="L3623" s="9">
        <v>2025</v>
      </c>
      <c r="M3623" s="8" t="s">
        <v>21702</v>
      </c>
      <c r="N3623" s="8" t="s">
        <v>79</v>
      </c>
      <c r="O3623" s="8" t="s">
        <v>396</v>
      </c>
      <c r="P3623" s="6" t="s">
        <v>43</v>
      </c>
      <c r="Q3623" s="8" t="s">
        <v>44</v>
      </c>
      <c r="R3623" s="10" t="s">
        <v>21703</v>
      </c>
      <c r="S3623" s="11" t="s">
        <v>15568</v>
      </c>
      <c r="T3623" s="6"/>
      <c r="U3623" s="24" t="str">
        <f>HYPERLINK("https://media.infra-m.ru/2168/2168868/cover/2168868.jpg", "Обложка")</f>
        <v>Обложка</v>
      </c>
      <c r="V3623" s="24" t="str">
        <f>HYPERLINK("https://znanium.ru/catalog/product/1741522", "Ознакомиться")</f>
        <v>Ознакомиться</v>
      </c>
      <c r="W3623" s="8" t="s">
        <v>1563</v>
      </c>
      <c r="X3623" s="6"/>
      <c r="Y3623" s="6"/>
      <c r="Z3623" s="6"/>
      <c r="AA3623" s="6" t="s">
        <v>196</v>
      </c>
      <c r="AB3623" s="8"/>
    </row>
    <row r="3624" spans="1:28" s="4" customFormat="1" ht="51.95" customHeight="1">
      <c r="A3624" s="5">
        <v>0</v>
      </c>
      <c r="B3624" s="6" t="s">
        <v>21704</v>
      </c>
      <c r="C3624" s="13">
        <v>1994</v>
      </c>
      <c r="D3624" s="8" t="s">
        <v>21705</v>
      </c>
      <c r="E3624" s="8" t="s">
        <v>21706</v>
      </c>
      <c r="F3624" s="8" t="s">
        <v>8281</v>
      </c>
      <c r="G3624" s="6" t="s">
        <v>52</v>
      </c>
      <c r="H3624" s="6" t="s">
        <v>39</v>
      </c>
      <c r="I3624" s="8" t="s">
        <v>185</v>
      </c>
      <c r="J3624" s="9">
        <v>1</v>
      </c>
      <c r="K3624" s="9">
        <v>432</v>
      </c>
      <c r="L3624" s="9">
        <v>2024</v>
      </c>
      <c r="M3624" s="8" t="s">
        <v>21707</v>
      </c>
      <c r="N3624" s="8" t="s">
        <v>79</v>
      </c>
      <c r="O3624" s="8" t="s">
        <v>80</v>
      </c>
      <c r="P3624" s="6" t="s">
        <v>43</v>
      </c>
      <c r="Q3624" s="8" t="s">
        <v>102</v>
      </c>
      <c r="R3624" s="10" t="s">
        <v>21708</v>
      </c>
      <c r="S3624" s="11" t="s">
        <v>3075</v>
      </c>
      <c r="T3624" s="6"/>
      <c r="U3624" s="24" t="str">
        <f>HYPERLINK("https://media.infra-m.ru/2117/2117629/cover/2117629.jpg", "Обложка")</f>
        <v>Обложка</v>
      </c>
      <c r="V3624" s="24" t="str">
        <f>HYPERLINK("https://znanium.ru/catalog/product/1778076", "Ознакомиться")</f>
        <v>Ознакомиться</v>
      </c>
      <c r="W3624" s="8" t="s">
        <v>243</v>
      </c>
      <c r="X3624" s="6"/>
      <c r="Y3624" s="6"/>
      <c r="Z3624" s="6"/>
      <c r="AA3624" s="6" t="s">
        <v>4952</v>
      </c>
      <c r="AB3624" s="8"/>
    </row>
    <row r="3625" spans="1:28" s="4" customFormat="1" ht="42" customHeight="1">
      <c r="A3625" s="5">
        <v>0</v>
      </c>
      <c r="B3625" s="6" t="s">
        <v>21709</v>
      </c>
      <c r="C3625" s="13">
        <v>1130</v>
      </c>
      <c r="D3625" s="8" t="s">
        <v>21710</v>
      </c>
      <c r="E3625" s="8" t="s">
        <v>21711</v>
      </c>
      <c r="F3625" s="8" t="s">
        <v>21712</v>
      </c>
      <c r="G3625" s="6" t="s">
        <v>89</v>
      </c>
      <c r="H3625" s="6" t="s">
        <v>952</v>
      </c>
      <c r="I3625" s="8"/>
      <c r="J3625" s="9">
        <v>1</v>
      </c>
      <c r="K3625" s="9">
        <v>240</v>
      </c>
      <c r="L3625" s="9">
        <v>2024</v>
      </c>
      <c r="M3625" s="8" t="s">
        <v>21713</v>
      </c>
      <c r="N3625" s="8" t="s">
        <v>41</v>
      </c>
      <c r="O3625" s="8" t="s">
        <v>1007</v>
      </c>
      <c r="P3625" s="6" t="s">
        <v>167</v>
      </c>
      <c r="Q3625" s="8" t="s">
        <v>44</v>
      </c>
      <c r="R3625" s="10" t="s">
        <v>2713</v>
      </c>
      <c r="S3625" s="11"/>
      <c r="T3625" s="6"/>
      <c r="U3625" s="24" t="str">
        <f>HYPERLINK("https://media.infra-m.ru/2141/2141040/cover/2141040.jpg", "Обложка")</f>
        <v>Обложка</v>
      </c>
      <c r="V3625" s="24" t="str">
        <f>HYPERLINK("https://znanium.ru/catalog/product/2141040", "Ознакомиться")</f>
        <v>Ознакомиться</v>
      </c>
      <c r="W3625" s="8" t="s">
        <v>189</v>
      </c>
      <c r="X3625" s="6"/>
      <c r="Y3625" s="6"/>
      <c r="Z3625" s="6"/>
      <c r="AA3625" s="6" t="s">
        <v>258</v>
      </c>
      <c r="AB3625" s="8"/>
    </row>
    <row r="3626" spans="1:28" s="4" customFormat="1" ht="51.95" customHeight="1">
      <c r="A3626" s="5">
        <v>0</v>
      </c>
      <c r="B3626" s="6" t="s">
        <v>21714</v>
      </c>
      <c r="C3626" s="7">
        <v>884.9</v>
      </c>
      <c r="D3626" s="8" t="s">
        <v>21715</v>
      </c>
      <c r="E3626" s="8" t="s">
        <v>21716</v>
      </c>
      <c r="F3626" s="8" t="s">
        <v>21717</v>
      </c>
      <c r="G3626" s="6" t="s">
        <v>52</v>
      </c>
      <c r="H3626" s="6" t="s">
        <v>66</v>
      </c>
      <c r="I3626" s="8" t="s">
        <v>116</v>
      </c>
      <c r="J3626" s="9">
        <v>1</v>
      </c>
      <c r="K3626" s="9">
        <v>304</v>
      </c>
      <c r="L3626" s="9">
        <v>2018</v>
      </c>
      <c r="M3626" s="8" t="s">
        <v>21718</v>
      </c>
      <c r="N3626" s="8" t="s">
        <v>41</v>
      </c>
      <c r="O3626" s="8" t="s">
        <v>118</v>
      </c>
      <c r="P3626" s="6" t="s">
        <v>187</v>
      </c>
      <c r="Q3626" s="8" t="s">
        <v>44</v>
      </c>
      <c r="R3626" s="10" t="s">
        <v>21719</v>
      </c>
      <c r="S3626" s="11" t="s">
        <v>21720</v>
      </c>
      <c r="T3626" s="6"/>
      <c r="U3626" s="24" t="str">
        <f>HYPERLINK("https://media.infra-m.ru/0911/0911341/cover/911341.jpg", "Обложка")</f>
        <v>Обложка</v>
      </c>
      <c r="V3626" s="24" t="str">
        <f>HYPERLINK("https://znanium.ru/catalog/product/1228817", "Ознакомиться")</f>
        <v>Ознакомиться</v>
      </c>
      <c r="W3626" s="8" t="s">
        <v>2080</v>
      </c>
      <c r="X3626" s="6"/>
      <c r="Y3626" s="6"/>
      <c r="Z3626" s="6"/>
      <c r="AA3626" s="6" t="s">
        <v>7663</v>
      </c>
      <c r="AB3626" s="8"/>
    </row>
    <row r="3627" spans="1:28" s="4" customFormat="1" ht="51.95" customHeight="1">
      <c r="A3627" s="5">
        <v>0</v>
      </c>
      <c r="B3627" s="6" t="s">
        <v>21721</v>
      </c>
      <c r="C3627" s="13">
        <v>1100</v>
      </c>
      <c r="D3627" s="8" t="s">
        <v>21722</v>
      </c>
      <c r="E3627" s="8" t="s">
        <v>21723</v>
      </c>
      <c r="F3627" s="8" t="s">
        <v>21724</v>
      </c>
      <c r="G3627" s="6" t="s">
        <v>89</v>
      </c>
      <c r="H3627" s="6" t="s">
        <v>53</v>
      </c>
      <c r="I3627" s="8" t="s">
        <v>90</v>
      </c>
      <c r="J3627" s="9">
        <v>1</v>
      </c>
      <c r="K3627" s="9">
        <v>306</v>
      </c>
      <c r="L3627" s="9">
        <v>2021</v>
      </c>
      <c r="M3627" s="8" t="s">
        <v>21725</v>
      </c>
      <c r="N3627" s="8" t="s">
        <v>41</v>
      </c>
      <c r="O3627" s="8" t="s">
        <v>118</v>
      </c>
      <c r="P3627" s="6" t="s">
        <v>187</v>
      </c>
      <c r="Q3627" s="8" t="s">
        <v>44</v>
      </c>
      <c r="R3627" s="10" t="s">
        <v>21719</v>
      </c>
      <c r="S3627" s="11"/>
      <c r="T3627" s="6"/>
      <c r="U3627" s="24" t="str">
        <f>HYPERLINK("https://media.infra-m.ru/1228/1228817/cover/1228817.jpg", "Обложка")</f>
        <v>Обложка</v>
      </c>
      <c r="V3627" s="24" t="str">
        <f>HYPERLINK("https://znanium.ru/catalog/product/1228817", "Ознакомиться")</f>
        <v>Ознакомиться</v>
      </c>
      <c r="W3627" s="8" t="s">
        <v>2080</v>
      </c>
      <c r="X3627" s="6"/>
      <c r="Y3627" s="6"/>
      <c r="Z3627" s="6"/>
      <c r="AA3627" s="6" t="s">
        <v>1402</v>
      </c>
      <c r="AB3627" s="8"/>
    </row>
    <row r="3628" spans="1:28" s="4" customFormat="1" ht="51.95" customHeight="1">
      <c r="A3628" s="5">
        <v>0</v>
      </c>
      <c r="B3628" s="6" t="s">
        <v>21726</v>
      </c>
      <c r="C3628" s="13">
        <v>1324.9</v>
      </c>
      <c r="D3628" s="8" t="s">
        <v>21727</v>
      </c>
      <c r="E3628" s="8" t="s">
        <v>21728</v>
      </c>
      <c r="F3628" s="8" t="s">
        <v>21729</v>
      </c>
      <c r="G3628" s="6" t="s">
        <v>52</v>
      </c>
      <c r="H3628" s="6" t="s">
        <v>53</v>
      </c>
      <c r="I3628" s="8" t="s">
        <v>90</v>
      </c>
      <c r="J3628" s="9">
        <v>1</v>
      </c>
      <c r="K3628" s="9">
        <v>590</v>
      </c>
      <c r="L3628" s="9">
        <v>2018</v>
      </c>
      <c r="M3628" s="8" t="s">
        <v>21730</v>
      </c>
      <c r="N3628" s="8" t="s">
        <v>41</v>
      </c>
      <c r="O3628" s="8" t="s">
        <v>118</v>
      </c>
      <c r="P3628" s="6" t="s">
        <v>167</v>
      </c>
      <c r="Q3628" s="8" t="s">
        <v>44</v>
      </c>
      <c r="R3628" s="10" t="s">
        <v>21731</v>
      </c>
      <c r="S3628" s="11" t="s">
        <v>21732</v>
      </c>
      <c r="T3628" s="6"/>
      <c r="U3628" s="24" t="str">
        <f>HYPERLINK("https://media.infra-m.ru/0944/0944320/cover/944320.jpg", "Обложка")</f>
        <v>Обложка</v>
      </c>
      <c r="V3628" s="24" t="str">
        <f>HYPERLINK("https://znanium.ru/catalog/product/1913252", "Ознакомиться")</f>
        <v>Ознакомиться</v>
      </c>
      <c r="W3628" s="8" t="s">
        <v>2080</v>
      </c>
      <c r="X3628" s="6"/>
      <c r="Y3628" s="6"/>
      <c r="Z3628" s="6"/>
      <c r="AA3628" s="6" t="s">
        <v>3501</v>
      </c>
      <c r="AB3628" s="8"/>
    </row>
    <row r="3629" spans="1:28" s="4" customFormat="1" ht="51.95" customHeight="1">
      <c r="A3629" s="5">
        <v>0</v>
      </c>
      <c r="B3629" s="6" t="s">
        <v>21733</v>
      </c>
      <c r="C3629" s="13">
        <v>2040</v>
      </c>
      <c r="D3629" s="8" t="s">
        <v>21734</v>
      </c>
      <c r="E3629" s="8" t="s">
        <v>21735</v>
      </c>
      <c r="F3629" s="8" t="s">
        <v>21729</v>
      </c>
      <c r="G3629" s="6" t="s">
        <v>89</v>
      </c>
      <c r="H3629" s="6" t="s">
        <v>53</v>
      </c>
      <c r="I3629" s="8" t="s">
        <v>90</v>
      </c>
      <c r="J3629" s="9">
        <v>1</v>
      </c>
      <c r="K3629" s="9">
        <v>453</v>
      </c>
      <c r="L3629" s="9">
        <v>2023</v>
      </c>
      <c r="M3629" s="8" t="s">
        <v>21736</v>
      </c>
      <c r="N3629" s="8" t="s">
        <v>41</v>
      </c>
      <c r="O3629" s="8" t="s">
        <v>118</v>
      </c>
      <c r="P3629" s="6" t="s">
        <v>167</v>
      </c>
      <c r="Q3629" s="8" t="s">
        <v>44</v>
      </c>
      <c r="R3629" s="10" t="s">
        <v>21731</v>
      </c>
      <c r="S3629" s="11" t="s">
        <v>21737</v>
      </c>
      <c r="T3629" s="6" t="s">
        <v>299</v>
      </c>
      <c r="U3629" s="24" t="str">
        <f>HYPERLINK("https://media.infra-m.ru/1913/1913252/cover/1913252.jpg", "Обложка")</f>
        <v>Обложка</v>
      </c>
      <c r="V3629" s="24" t="str">
        <f>HYPERLINK("https://znanium.ru/catalog/product/1913252", "Ознакомиться")</f>
        <v>Ознакомиться</v>
      </c>
      <c r="W3629" s="8" t="s">
        <v>2080</v>
      </c>
      <c r="X3629" s="6"/>
      <c r="Y3629" s="6"/>
      <c r="Z3629" s="6"/>
      <c r="AA3629" s="6" t="s">
        <v>898</v>
      </c>
      <c r="AB3629" s="8"/>
    </row>
    <row r="3630" spans="1:28" s="4" customFormat="1" ht="51.95" customHeight="1">
      <c r="A3630" s="5">
        <v>0</v>
      </c>
      <c r="B3630" s="6" t="s">
        <v>21738</v>
      </c>
      <c r="C3630" s="7">
        <v>770</v>
      </c>
      <c r="D3630" s="8" t="s">
        <v>21739</v>
      </c>
      <c r="E3630" s="8" t="s">
        <v>21740</v>
      </c>
      <c r="F3630" s="8" t="s">
        <v>21741</v>
      </c>
      <c r="G3630" s="6" t="s">
        <v>38</v>
      </c>
      <c r="H3630" s="6" t="s">
        <v>39</v>
      </c>
      <c r="I3630" s="8" t="s">
        <v>100</v>
      </c>
      <c r="J3630" s="9">
        <v>1</v>
      </c>
      <c r="K3630" s="9">
        <v>112</v>
      </c>
      <c r="L3630" s="9">
        <v>2025</v>
      </c>
      <c r="M3630" s="8" t="s">
        <v>21742</v>
      </c>
      <c r="N3630" s="8" t="s">
        <v>56</v>
      </c>
      <c r="O3630" s="8" t="s">
        <v>2183</v>
      </c>
      <c r="P3630" s="6" t="s">
        <v>43</v>
      </c>
      <c r="Q3630" s="8" t="s">
        <v>102</v>
      </c>
      <c r="R3630" s="10" t="s">
        <v>21743</v>
      </c>
      <c r="S3630" s="11" t="s">
        <v>21744</v>
      </c>
      <c r="T3630" s="6"/>
      <c r="U3630" s="24" t="str">
        <f>HYPERLINK("https://media.infra-m.ru/2170/2170277/cover/2170277.jpg", "Обложка")</f>
        <v>Обложка</v>
      </c>
      <c r="V3630" s="24" t="str">
        <f>HYPERLINK("https://znanium.ru/catalog/product/2170277", "Ознакомиться")</f>
        <v>Ознакомиться</v>
      </c>
      <c r="W3630" s="8" t="s">
        <v>21745</v>
      </c>
      <c r="X3630" s="6"/>
      <c r="Y3630" s="6"/>
      <c r="Z3630" s="6"/>
      <c r="AA3630" s="6" t="s">
        <v>1259</v>
      </c>
      <c r="AB3630" s="8" t="s">
        <v>2336</v>
      </c>
    </row>
    <row r="3631" spans="1:28" s="4" customFormat="1" ht="51.95" customHeight="1">
      <c r="A3631" s="5">
        <v>0</v>
      </c>
      <c r="B3631" s="6" t="s">
        <v>21746</v>
      </c>
      <c r="C3631" s="7">
        <v>500</v>
      </c>
      <c r="D3631" s="8" t="s">
        <v>21747</v>
      </c>
      <c r="E3631" s="8" t="s">
        <v>21748</v>
      </c>
      <c r="F3631" s="8" t="s">
        <v>21741</v>
      </c>
      <c r="G3631" s="6" t="s">
        <v>38</v>
      </c>
      <c r="H3631" s="6" t="s">
        <v>39</v>
      </c>
      <c r="I3631" s="8" t="s">
        <v>100</v>
      </c>
      <c r="J3631" s="9">
        <v>1</v>
      </c>
      <c r="K3631" s="9">
        <v>112</v>
      </c>
      <c r="L3631" s="9">
        <v>2018</v>
      </c>
      <c r="M3631" s="8" t="s">
        <v>21749</v>
      </c>
      <c r="N3631" s="8" t="s">
        <v>56</v>
      </c>
      <c r="O3631" s="8" t="s">
        <v>2183</v>
      </c>
      <c r="P3631" s="6" t="s">
        <v>43</v>
      </c>
      <c r="Q3631" s="8" t="s">
        <v>102</v>
      </c>
      <c r="R3631" s="10" t="s">
        <v>21743</v>
      </c>
      <c r="S3631" s="11" t="s">
        <v>21750</v>
      </c>
      <c r="T3631" s="6"/>
      <c r="U3631" s="24" t="str">
        <f>HYPERLINK("https://media.infra-m.ru/0958/0958278/cover/958278.jpg", "Обложка")</f>
        <v>Обложка</v>
      </c>
      <c r="V3631" s="24" t="str">
        <f>HYPERLINK("https://znanium.ru/catalog/product/2170277", "Ознакомиться")</f>
        <v>Ознакомиться</v>
      </c>
      <c r="W3631" s="8" t="s">
        <v>21745</v>
      </c>
      <c r="X3631" s="6"/>
      <c r="Y3631" s="6"/>
      <c r="Z3631" s="6"/>
      <c r="AA3631" s="6" t="s">
        <v>122</v>
      </c>
      <c r="AB3631" s="8" t="s">
        <v>2336</v>
      </c>
    </row>
    <row r="3632" spans="1:28" s="4" customFormat="1" ht="51.95" customHeight="1">
      <c r="A3632" s="5">
        <v>0</v>
      </c>
      <c r="B3632" s="6" t="s">
        <v>21751</v>
      </c>
      <c r="C3632" s="13">
        <v>1114</v>
      </c>
      <c r="D3632" s="8" t="s">
        <v>21752</v>
      </c>
      <c r="E3632" s="8" t="s">
        <v>21753</v>
      </c>
      <c r="F3632" s="8" t="s">
        <v>21754</v>
      </c>
      <c r="G3632" s="6" t="s">
        <v>89</v>
      </c>
      <c r="H3632" s="6" t="s">
        <v>53</v>
      </c>
      <c r="I3632" s="8" t="s">
        <v>276</v>
      </c>
      <c r="J3632" s="9">
        <v>1</v>
      </c>
      <c r="K3632" s="9">
        <v>221</v>
      </c>
      <c r="L3632" s="9">
        <v>2025</v>
      </c>
      <c r="M3632" s="8" t="s">
        <v>21755</v>
      </c>
      <c r="N3632" s="8" t="s">
        <v>413</v>
      </c>
      <c r="O3632" s="8" t="s">
        <v>414</v>
      </c>
      <c r="P3632" s="6" t="s">
        <v>167</v>
      </c>
      <c r="Q3632" s="8" t="s">
        <v>279</v>
      </c>
      <c r="R3632" s="10" t="s">
        <v>5140</v>
      </c>
      <c r="S3632" s="11" t="s">
        <v>21756</v>
      </c>
      <c r="T3632" s="6"/>
      <c r="U3632" s="24" t="str">
        <f>HYPERLINK("https://media.infra-m.ru/2164/2164006/cover/2164006.jpg", "Обложка")</f>
        <v>Обложка</v>
      </c>
      <c r="V3632" s="24" t="str">
        <f>HYPERLINK("https://znanium.ru/catalog/product/2152286", "Ознакомиться")</f>
        <v>Ознакомиться</v>
      </c>
      <c r="W3632" s="8" t="s">
        <v>5019</v>
      </c>
      <c r="X3632" s="6"/>
      <c r="Y3632" s="6"/>
      <c r="Z3632" s="6"/>
      <c r="AA3632" s="6" t="s">
        <v>122</v>
      </c>
      <c r="AB3632" s="8"/>
    </row>
    <row r="3633" spans="1:28" s="4" customFormat="1" ht="51.95" customHeight="1">
      <c r="A3633" s="5">
        <v>0</v>
      </c>
      <c r="B3633" s="6" t="s">
        <v>21757</v>
      </c>
      <c r="C3633" s="7">
        <v>540</v>
      </c>
      <c r="D3633" s="8" t="s">
        <v>21758</v>
      </c>
      <c r="E3633" s="8" t="s">
        <v>21759</v>
      </c>
      <c r="F3633" s="8" t="s">
        <v>21760</v>
      </c>
      <c r="G3633" s="6" t="s">
        <v>38</v>
      </c>
      <c r="H3633" s="6" t="s">
        <v>39</v>
      </c>
      <c r="I3633" s="8" t="s">
        <v>116</v>
      </c>
      <c r="J3633" s="9">
        <v>1</v>
      </c>
      <c r="K3633" s="9">
        <v>72</v>
      </c>
      <c r="L3633" s="9">
        <v>2025</v>
      </c>
      <c r="M3633" s="8" t="s">
        <v>21761</v>
      </c>
      <c r="N3633" s="8" t="s">
        <v>56</v>
      </c>
      <c r="O3633" s="8" t="s">
        <v>57</v>
      </c>
      <c r="P3633" s="6" t="s">
        <v>43</v>
      </c>
      <c r="Q3633" s="8" t="s">
        <v>58</v>
      </c>
      <c r="R3633" s="10" t="s">
        <v>21762</v>
      </c>
      <c r="S3633" s="11" t="s">
        <v>9412</v>
      </c>
      <c r="T3633" s="6"/>
      <c r="U3633" s="24" t="str">
        <f>HYPERLINK("https://media.infra-m.ru/2179/2179089/cover/2179089.jpg", "Обложка")</f>
        <v>Обложка</v>
      </c>
      <c r="V3633" s="24" t="str">
        <f>HYPERLINK("https://znanium.ru/catalog/product/2179089", "Ознакомиться")</f>
        <v>Ознакомиться</v>
      </c>
      <c r="W3633" s="8" t="s">
        <v>4815</v>
      </c>
      <c r="X3633" s="6"/>
      <c r="Y3633" s="6"/>
      <c r="Z3633" s="6"/>
      <c r="AA3633" s="6" t="s">
        <v>122</v>
      </c>
      <c r="AB3633" s="8"/>
    </row>
    <row r="3634" spans="1:28" s="4" customFormat="1" ht="42" customHeight="1">
      <c r="A3634" s="5">
        <v>0</v>
      </c>
      <c r="B3634" s="6" t="s">
        <v>21763</v>
      </c>
      <c r="C3634" s="7">
        <v>460</v>
      </c>
      <c r="D3634" s="8" t="s">
        <v>21764</v>
      </c>
      <c r="E3634" s="8" t="s">
        <v>21759</v>
      </c>
      <c r="F3634" s="8" t="s">
        <v>21760</v>
      </c>
      <c r="G3634" s="6" t="s">
        <v>38</v>
      </c>
      <c r="H3634" s="6" t="s">
        <v>39</v>
      </c>
      <c r="I3634" s="8" t="s">
        <v>100</v>
      </c>
      <c r="J3634" s="9">
        <v>1</v>
      </c>
      <c r="K3634" s="9">
        <v>72</v>
      </c>
      <c r="L3634" s="9">
        <v>2024</v>
      </c>
      <c r="M3634" s="8" t="s">
        <v>21765</v>
      </c>
      <c r="N3634" s="8" t="s">
        <v>56</v>
      </c>
      <c r="O3634" s="8" t="s">
        <v>57</v>
      </c>
      <c r="P3634" s="6" t="s">
        <v>43</v>
      </c>
      <c r="Q3634" s="8" t="s">
        <v>102</v>
      </c>
      <c r="R3634" s="10" t="s">
        <v>21766</v>
      </c>
      <c r="S3634" s="11"/>
      <c r="T3634" s="6"/>
      <c r="U3634" s="24" t="str">
        <f>HYPERLINK("https://media.infra-m.ru/1920/1920367/cover/1920367.jpg", "Обложка")</f>
        <v>Обложка</v>
      </c>
      <c r="V3634" s="24" t="str">
        <f>HYPERLINK("https://znanium.ru/catalog/product/1920367", "Ознакомиться")</f>
        <v>Ознакомиться</v>
      </c>
      <c r="W3634" s="8" t="s">
        <v>4815</v>
      </c>
      <c r="X3634" s="6"/>
      <c r="Y3634" s="6"/>
      <c r="Z3634" s="6" t="s">
        <v>502</v>
      </c>
      <c r="AA3634" s="6" t="s">
        <v>133</v>
      </c>
      <c r="AB3634" s="8"/>
    </row>
    <row r="3635" spans="1:28" s="4" customFormat="1" ht="51.95" customHeight="1">
      <c r="A3635" s="5">
        <v>0</v>
      </c>
      <c r="B3635" s="6" t="s">
        <v>21767</v>
      </c>
      <c r="C3635" s="7">
        <v>800</v>
      </c>
      <c r="D3635" s="8" t="s">
        <v>21768</v>
      </c>
      <c r="E3635" s="8" t="s">
        <v>21769</v>
      </c>
      <c r="F3635" s="8" t="s">
        <v>21770</v>
      </c>
      <c r="G3635" s="6" t="s">
        <v>89</v>
      </c>
      <c r="H3635" s="6" t="s">
        <v>53</v>
      </c>
      <c r="I3635" s="8" t="s">
        <v>90</v>
      </c>
      <c r="J3635" s="9">
        <v>1</v>
      </c>
      <c r="K3635" s="9">
        <v>163</v>
      </c>
      <c r="L3635" s="9">
        <v>2023</v>
      </c>
      <c r="M3635" s="8" t="s">
        <v>21771</v>
      </c>
      <c r="N3635" s="8" t="s">
        <v>79</v>
      </c>
      <c r="O3635" s="8" t="s">
        <v>396</v>
      </c>
      <c r="P3635" s="6" t="s">
        <v>43</v>
      </c>
      <c r="Q3635" s="8" t="s">
        <v>44</v>
      </c>
      <c r="R3635" s="10" t="s">
        <v>5574</v>
      </c>
      <c r="S3635" s="11" t="s">
        <v>21772</v>
      </c>
      <c r="T3635" s="6"/>
      <c r="U3635" s="24" t="str">
        <f>HYPERLINK("https://media.infra-m.ru/1911/1911144/cover/1911144.jpg", "Обложка")</f>
        <v>Обложка</v>
      </c>
      <c r="V3635" s="24" t="str">
        <f>HYPERLINK("https://znanium.ru/catalog/product/1911144", "Ознакомиться")</f>
        <v>Ознакомиться</v>
      </c>
      <c r="W3635" s="8" t="s">
        <v>3002</v>
      </c>
      <c r="X3635" s="6"/>
      <c r="Y3635" s="6"/>
      <c r="Z3635" s="6"/>
      <c r="AA3635" s="6" t="s">
        <v>793</v>
      </c>
      <c r="AB3635" s="8"/>
    </row>
    <row r="3636" spans="1:28" s="4" customFormat="1" ht="51.95" customHeight="1">
      <c r="A3636" s="5">
        <v>0</v>
      </c>
      <c r="B3636" s="6" t="s">
        <v>21773</v>
      </c>
      <c r="C3636" s="7">
        <v>820</v>
      </c>
      <c r="D3636" s="8" t="s">
        <v>21774</v>
      </c>
      <c r="E3636" s="8" t="s">
        <v>21769</v>
      </c>
      <c r="F3636" s="8" t="s">
        <v>21770</v>
      </c>
      <c r="G3636" s="6" t="s">
        <v>89</v>
      </c>
      <c r="H3636" s="6" t="s">
        <v>53</v>
      </c>
      <c r="I3636" s="8" t="s">
        <v>100</v>
      </c>
      <c r="J3636" s="9">
        <v>1</v>
      </c>
      <c r="K3636" s="9">
        <v>163</v>
      </c>
      <c r="L3636" s="9">
        <v>2025</v>
      </c>
      <c r="M3636" s="8" t="s">
        <v>21775</v>
      </c>
      <c r="N3636" s="8" t="s">
        <v>79</v>
      </c>
      <c r="O3636" s="8" t="s">
        <v>396</v>
      </c>
      <c r="P3636" s="6" t="s">
        <v>43</v>
      </c>
      <c r="Q3636" s="8" t="s">
        <v>102</v>
      </c>
      <c r="R3636" s="10" t="s">
        <v>21776</v>
      </c>
      <c r="S3636" s="11" t="s">
        <v>21777</v>
      </c>
      <c r="T3636" s="6"/>
      <c r="U3636" s="24" t="str">
        <f>HYPERLINK("https://media.infra-m.ru/2163/2163207/cover/2163207.jpg", "Обложка")</f>
        <v>Обложка</v>
      </c>
      <c r="V3636" s="24" t="str">
        <f>HYPERLINK("https://znanium.ru/catalog/product/2163207", "Ознакомиться")</f>
        <v>Ознакомиться</v>
      </c>
      <c r="W3636" s="8" t="s">
        <v>3002</v>
      </c>
      <c r="X3636" s="6"/>
      <c r="Y3636" s="6"/>
      <c r="Z3636" s="6" t="s">
        <v>104</v>
      </c>
      <c r="AA3636" s="6" t="s">
        <v>219</v>
      </c>
      <c r="AB3636" s="8"/>
    </row>
    <row r="3637" spans="1:28" s="4" customFormat="1" ht="51.95" customHeight="1">
      <c r="A3637" s="5">
        <v>0</v>
      </c>
      <c r="B3637" s="6" t="s">
        <v>21778</v>
      </c>
      <c r="C3637" s="13">
        <v>1590</v>
      </c>
      <c r="D3637" s="8" t="s">
        <v>21779</v>
      </c>
      <c r="E3637" s="8" t="s">
        <v>21780</v>
      </c>
      <c r="F3637" s="8" t="s">
        <v>21781</v>
      </c>
      <c r="G3637" s="6" t="s">
        <v>89</v>
      </c>
      <c r="H3637" s="6" t="s">
        <v>53</v>
      </c>
      <c r="I3637" s="8" t="s">
        <v>100</v>
      </c>
      <c r="J3637" s="9">
        <v>1</v>
      </c>
      <c r="K3637" s="9">
        <v>318</v>
      </c>
      <c r="L3637" s="9">
        <v>2025</v>
      </c>
      <c r="M3637" s="8" t="s">
        <v>21782</v>
      </c>
      <c r="N3637" s="8" t="s">
        <v>79</v>
      </c>
      <c r="O3637" s="8" t="s">
        <v>396</v>
      </c>
      <c r="P3637" s="6" t="s">
        <v>167</v>
      </c>
      <c r="Q3637" s="8" t="s">
        <v>102</v>
      </c>
      <c r="R3637" s="10" t="s">
        <v>21783</v>
      </c>
      <c r="S3637" s="11" t="s">
        <v>21784</v>
      </c>
      <c r="T3637" s="6" t="s">
        <v>299</v>
      </c>
      <c r="U3637" s="24" t="str">
        <f>HYPERLINK("https://media.infra-m.ru/2144/2144734/cover/2144734.jpg", "Обложка")</f>
        <v>Обложка</v>
      </c>
      <c r="V3637" s="24" t="str">
        <f>HYPERLINK("https://znanium.ru/catalog/product/2144734", "Ознакомиться")</f>
        <v>Ознакомиться</v>
      </c>
      <c r="W3637" s="8" t="s">
        <v>21785</v>
      </c>
      <c r="X3637" s="6"/>
      <c r="Y3637" s="6"/>
      <c r="Z3637" s="6" t="s">
        <v>104</v>
      </c>
      <c r="AA3637" s="6" t="s">
        <v>235</v>
      </c>
      <c r="AB3637" s="8"/>
    </row>
    <row r="3638" spans="1:28" s="4" customFormat="1" ht="51.95" customHeight="1">
      <c r="A3638" s="5">
        <v>0</v>
      </c>
      <c r="B3638" s="6" t="s">
        <v>21786</v>
      </c>
      <c r="C3638" s="13">
        <v>1584</v>
      </c>
      <c r="D3638" s="8" t="s">
        <v>21787</v>
      </c>
      <c r="E3638" s="8" t="s">
        <v>21780</v>
      </c>
      <c r="F3638" s="8" t="s">
        <v>21788</v>
      </c>
      <c r="G3638" s="6" t="s">
        <v>52</v>
      </c>
      <c r="H3638" s="6" t="s">
        <v>53</v>
      </c>
      <c r="I3638" s="8" t="s">
        <v>90</v>
      </c>
      <c r="J3638" s="9">
        <v>1</v>
      </c>
      <c r="K3638" s="9">
        <v>318</v>
      </c>
      <c r="L3638" s="9">
        <v>2025</v>
      </c>
      <c r="M3638" s="8" t="s">
        <v>21789</v>
      </c>
      <c r="N3638" s="8" t="s">
        <v>79</v>
      </c>
      <c r="O3638" s="8" t="s">
        <v>396</v>
      </c>
      <c r="P3638" s="6" t="s">
        <v>167</v>
      </c>
      <c r="Q3638" s="8" t="s">
        <v>44</v>
      </c>
      <c r="R3638" s="10" t="s">
        <v>21790</v>
      </c>
      <c r="S3638" s="11" t="s">
        <v>21791</v>
      </c>
      <c r="T3638" s="6"/>
      <c r="U3638" s="24" t="str">
        <f>HYPERLINK("https://media.infra-m.ru/2172/2172848/cover/2172848.jpg", "Обложка")</f>
        <v>Обложка</v>
      </c>
      <c r="V3638" s="24" t="str">
        <f>HYPERLINK("https://znanium.ru/catalog/product/1818223", "Ознакомиться")</f>
        <v>Ознакомиться</v>
      </c>
      <c r="W3638" s="8" t="s">
        <v>21785</v>
      </c>
      <c r="X3638" s="6"/>
      <c r="Y3638" s="6"/>
      <c r="Z3638" s="6"/>
      <c r="AA3638" s="6" t="s">
        <v>84</v>
      </c>
      <c r="AB3638" s="8"/>
    </row>
    <row r="3639" spans="1:28" s="4" customFormat="1" ht="51.95" customHeight="1">
      <c r="A3639" s="5">
        <v>0</v>
      </c>
      <c r="B3639" s="6" t="s">
        <v>21792</v>
      </c>
      <c r="C3639" s="13">
        <v>1350</v>
      </c>
      <c r="D3639" s="8" t="s">
        <v>21793</v>
      </c>
      <c r="E3639" s="8" t="s">
        <v>21794</v>
      </c>
      <c r="F3639" s="8" t="s">
        <v>21795</v>
      </c>
      <c r="G3639" s="6" t="s">
        <v>89</v>
      </c>
      <c r="H3639" s="6" t="s">
        <v>53</v>
      </c>
      <c r="I3639" s="8" t="s">
        <v>116</v>
      </c>
      <c r="J3639" s="9">
        <v>1</v>
      </c>
      <c r="K3639" s="9">
        <v>257</v>
      </c>
      <c r="L3639" s="9">
        <v>2025</v>
      </c>
      <c r="M3639" s="8" t="s">
        <v>21796</v>
      </c>
      <c r="N3639" s="8" t="s">
        <v>79</v>
      </c>
      <c r="O3639" s="8" t="s">
        <v>396</v>
      </c>
      <c r="P3639" s="6" t="s">
        <v>167</v>
      </c>
      <c r="Q3639" s="8" t="s">
        <v>279</v>
      </c>
      <c r="R3639" s="10" t="s">
        <v>21797</v>
      </c>
      <c r="S3639" s="11" t="s">
        <v>21798</v>
      </c>
      <c r="T3639" s="6"/>
      <c r="U3639" s="24" t="str">
        <f>HYPERLINK("https://media.infra-m.ru/2191/2191619/cover/2191619.jpg", "Обложка")</f>
        <v>Обложка</v>
      </c>
      <c r="V3639" s="24" t="str">
        <f>HYPERLINK("https://znanium.ru/catalog/product/2191619", "Ознакомиться")</f>
        <v>Ознакомиться</v>
      </c>
      <c r="W3639" s="8" t="s">
        <v>4383</v>
      </c>
      <c r="X3639" s="6"/>
      <c r="Y3639" s="6"/>
      <c r="Z3639" s="6"/>
      <c r="AA3639" s="6" t="s">
        <v>442</v>
      </c>
      <c r="AB3639" s="8"/>
    </row>
    <row r="3640" spans="1:28" s="4" customFormat="1" ht="51.95" customHeight="1">
      <c r="A3640" s="5">
        <v>0</v>
      </c>
      <c r="B3640" s="6" t="s">
        <v>21799</v>
      </c>
      <c r="C3640" s="7">
        <v>670</v>
      </c>
      <c r="D3640" s="8" t="s">
        <v>21800</v>
      </c>
      <c r="E3640" s="8" t="s">
        <v>21801</v>
      </c>
      <c r="F3640" s="8" t="s">
        <v>21802</v>
      </c>
      <c r="G3640" s="6" t="s">
        <v>38</v>
      </c>
      <c r="H3640" s="6" t="s">
        <v>53</v>
      </c>
      <c r="I3640" s="8" t="s">
        <v>116</v>
      </c>
      <c r="J3640" s="9">
        <v>1</v>
      </c>
      <c r="K3640" s="9">
        <v>143</v>
      </c>
      <c r="L3640" s="9">
        <v>2023</v>
      </c>
      <c r="M3640" s="8" t="s">
        <v>21803</v>
      </c>
      <c r="N3640" s="8" t="s">
        <v>79</v>
      </c>
      <c r="O3640" s="8" t="s">
        <v>396</v>
      </c>
      <c r="P3640" s="6" t="s">
        <v>167</v>
      </c>
      <c r="Q3640" s="8" t="s">
        <v>58</v>
      </c>
      <c r="R3640" s="10" t="s">
        <v>21804</v>
      </c>
      <c r="S3640" s="11" t="s">
        <v>21805</v>
      </c>
      <c r="T3640" s="6" t="s">
        <v>299</v>
      </c>
      <c r="U3640" s="24" t="str">
        <f>HYPERLINK("https://media.infra-m.ru/2031/2031744/cover/2031744.jpg", "Обложка")</f>
        <v>Обложка</v>
      </c>
      <c r="V3640" s="24" t="str">
        <f>HYPERLINK("https://znanium.ru/catalog/product/2031744", "Ознакомиться")</f>
        <v>Ознакомиться</v>
      </c>
      <c r="W3640" s="8" t="s">
        <v>2915</v>
      </c>
      <c r="X3640" s="6"/>
      <c r="Y3640" s="6"/>
      <c r="Z3640" s="6"/>
      <c r="AA3640" s="6" t="s">
        <v>442</v>
      </c>
      <c r="AB3640" s="8"/>
    </row>
    <row r="3641" spans="1:28" s="4" customFormat="1" ht="51.95" customHeight="1">
      <c r="A3641" s="5">
        <v>0</v>
      </c>
      <c r="B3641" s="6" t="s">
        <v>21806</v>
      </c>
      <c r="C3641" s="13">
        <v>1450</v>
      </c>
      <c r="D3641" s="8" t="s">
        <v>21807</v>
      </c>
      <c r="E3641" s="8" t="s">
        <v>21808</v>
      </c>
      <c r="F3641" s="8" t="s">
        <v>21809</v>
      </c>
      <c r="G3641" s="6" t="s">
        <v>89</v>
      </c>
      <c r="H3641" s="6" t="s">
        <v>53</v>
      </c>
      <c r="I3641" s="8" t="s">
        <v>116</v>
      </c>
      <c r="J3641" s="9">
        <v>1</v>
      </c>
      <c r="K3641" s="9">
        <v>290</v>
      </c>
      <c r="L3641" s="9">
        <v>2025</v>
      </c>
      <c r="M3641" s="8" t="s">
        <v>21810</v>
      </c>
      <c r="N3641" s="8" t="s">
        <v>68</v>
      </c>
      <c r="O3641" s="8" t="s">
        <v>69</v>
      </c>
      <c r="P3641" s="6" t="s">
        <v>167</v>
      </c>
      <c r="Q3641" s="8" t="s">
        <v>44</v>
      </c>
      <c r="R3641" s="10" t="s">
        <v>21811</v>
      </c>
      <c r="S3641" s="11" t="s">
        <v>21812</v>
      </c>
      <c r="T3641" s="6"/>
      <c r="U3641" s="24" t="str">
        <f>HYPERLINK("https://media.infra-m.ru/2175/2175265/cover/2175265.jpg", "Обложка")</f>
        <v>Обложка</v>
      </c>
      <c r="V3641" s="24" t="str">
        <f>HYPERLINK("https://znanium.ru/catalog/product/2175265", "Ознакомиться")</f>
        <v>Ознакомиться</v>
      </c>
      <c r="W3641" s="8" t="s">
        <v>21813</v>
      </c>
      <c r="X3641" s="6"/>
      <c r="Y3641" s="6"/>
      <c r="Z3641" s="6"/>
      <c r="AA3641" s="6" t="s">
        <v>418</v>
      </c>
      <c r="AB3641" s="8"/>
    </row>
    <row r="3642" spans="1:28" s="4" customFormat="1" ht="51.95" customHeight="1">
      <c r="A3642" s="5">
        <v>0</v>
      </c>
      <c r="B3642" s="6" t="s">
        <v>21814</v>
      </c>
      <c r="C3642" s="13">
        <v>1380</v>
      </c>
      <c r="D3642" s="8" t="s">
        <v>21815</v>
      </c>
      <c r="E3642" s="8" t="s">
        <v>21808</v>
      </c>
      <c r="F3642" s="8" t="s">
        <v>21809</v>
      </c>
      <c r="G3642" s="6" t="s">
        <v>89</v>
      </c>
      <c r="H3642" s="6" t="s">
        <v>53</v>
      </c>
      <c r="I3642" s="8" t="s">
        <v>100</v>
      </c>
      <c r="J3642" s="9">
        <v>1</v>
      </c>
      <c r="K3642" s="9">
        <v>290</v>
      </c>
      <c r="L3642" s="9">
        <v>2024</v>
      </c>
      <c r="M3642" s="8" t="s">
        <v>21816</v>
      </c>
      <c r="N3642" s="8" t="s">
        <v>68</v>
      </c>
      <c r="O3642" s="8" t="s">
        <v>69</v>
      </c>
      <c r="P3642" s="6" t="s">
        <v>167</v>
      </c>
      <c r="Q3642" s="8" t="s">
        <v>102</v>
      </c>
      <c r="R3642" s="10" t="s">
        <v>21817</v>
      </c>
      <c r="S3642" s="11" t="s">
        <v>21812</v>
      </c>
      <c r="T3642" s="6"/>
      <c r="U3642" s="24" t="str">
        <f>HYPERLINK("https://media.infra-m.ru/2151/2151176/cover/2151176.jpg", "Обложка")</f>
        <v>Обложка</v>
      </c>
      <c r="V3642" s="24" t="str">
        <f>HYPERLINK("https://znanium.ru/catalog/product/2151176", "Ознакомиться")</f>
        <v>Ознакомиться</v>
      </c>
      <c r="W3642" s="8" t="s">
        <v>21813</v>
      </c>
      <c r="X3642" s="6" t="s">
        <v>179</v>
      </c>
      <c r="Y3642" s="6"/>
      <c r="Z3642" s="6" t="s">
        <v>104</v>
      </c>
      <c r="AA3642" s="6" t="s">
        <v>133</v>
      </c>
      <c r="AB3642" s="8"/>
    </row>
    <row r="3643" spans="1:28" s="4" customFormat="1" ht="51.95" customHeight="1">
      <c r="A3643" s="5">
        <v>0</v>
      </c>
      <c r="B3643" s="6" t="s">
        <v>21818</v>
      </c>
      <c r="C3643" s="13">
        <v>2694</v>
      </c>
      <c r="D3643" s="8" t="s">
        <v>21819</v>
      </c>
      <c r="E3643" s="8" t="s">
        <v>21820</v>
      </c>
      <c r="F3643" s="8" t="s">
        <v>21821</v>
      </c>
      <c r="G3643" s="6" t="s">
        <v>52</v>
      </c>
      <c r="H3643" s="6" t="s">
        <v>53</v>
      </c>
      <c r="I3643" s="8" t="s">
        <v>90</v>
      </c>
      <c r="J3643" s="9">
        <v>1</v>
      </c>
      <c r="K3643" s="9">
        <v>601</v>
      </c>
      <c r="L3643" s="9">
        <v>2023</v>
      </c>
      <c r="M3643" s="8" t="s">
        <v>21822</v>
      </c>
      <c r="N3643" s="8" t="s">
        <v>79</v>
      </c>
      <c r="O3643" s="8" t="s">
        <v>396</v>
      </c>
      <c r="P3643" s="6" t="s">
        <v>43</v>
      </c>
      <c r="Q3643" s="8" t="s">
        <v>44</v>
      </c>
      <c r="R3643" s="10" t="s">
        <v>21823</v>
      </c>
      <c r="S3643" s="11" t="s">
        <v>21824</v>
      </c>
      <c r="T3643" s="6"/>
      <c r="U3643" s="24" t="str">
        <f>HYPERLINK("https://media.infra-m.ru/2006/2006911/cover/2006911.jpg", "Обложка")</f>
        <v>Обложка</v>
      </c>
      <c r="V3643" s="24" t="str">
        <f>HYPERLINK("https://znanium.ru/catalog/product/946118", "Ознакомиться")</f>
        <v>Ознакомиться</v>
      </c>
      <c r="W3643" s="8" t="s">
        <v>3002</v>
      </c>
      <c r="X3643" s="6"/>
      <c r="Y3643" s="6"/>
      <c r="Z3643" s="6"/>
      <c r="AA3643" s="6" t="s">
        <v>1374</v>
      </c>
      <c r="AB3643" s="8"/>
    </row>
    <row r="3644" spans="1:28" s="4" customFormat="1" ht="51.95" customHeight="1">
      <c r="A3644" s="5">
        <v>0</v>
      </c>
      <c r="B3644" s="6" t="s">
        <v>21825</v>
      </c>
      <c r="C3644" s="7">
        <v>904.9</v>
      </c>
      <c r="D3644" s="8" t="s">
        <v>21826</v>
      </c>
      <c r="E3644" s="8" t="s">
        <v>21827</v>
      </c>
      <c r="F3644" s="8" t="s">
        <v>21828</v>
      </c>
      <c r="G3644" s="6" t="s">
        <v>52</v>
      </c>
      <c r="H3644" s="6" t="s">
        <v>649</v>
      </c>
      <c r="I3644" s="8" t="s">
        <v>116</v>
      </c>
      <c r="J3644" s="9">
        <v>1</v>
      </c>
      <c r="K3644" s="9">
        <v>200</v>
      </c>
      <c r="L3644" s="9">
        <v>2023</v>
      </c>
      <c r="M3644" s="8" t="s">
        <v>21829</v>
      </c>
      <c r="N3644" s="8" t="s">
        <v>79</v>
      </c>
      <c r="O3644" s="8" t="s">
        <v>80</v>
      </c>
      <c r="P3644" s="6" t="s">
        <v>43</v>
      </c>
      <c r="Q3644" s="8" t="s">
        <v>279</v>
      </c>
      <c r="R3644" s="10" t="s">
        <v>21830</v>
      </c>
      <c r="S3644" s="11" t="s">
        <v>21831</v>
      </c>
      <c r="T3644" s="6"/>
      <c r="U3644" s="24" t="str">
        <f>HYPERLINK("https://media.infra-m.ru/1913/1913674/cover/1913674.jpg", "Обложка")</f>
        <v>Обложка</v>
      </c>
      <c r="V3644" s="24" t="str">
        <f>HYPERLINK("https://znanium.ru/catalog/product/966062", "Ознакомиться")</f>
        <v>Ознакомиться</v>
      </c>
      <c r="W3644" s="8" t="s">
        <v>8022</v>
      </c>
      <c r="X3644" s="6"/>
      <c r="Y3644" s="6"/>
      <c r="Z3644" s="6"/>
      <c r="AA3644" s="6" t="s">
        <v>442</v>
      </c>
      <c r="AB3644" s="8"/>
    </row>
    <row r="3645" spans="1:28" s="4" customFormat="1" ht="51.95" customHeight="1">
      <c r="A3645" s="5">
        <v>0</v>
      </c>
      <c r="B3645" s="6" t="s">
        <v>21832</v>
      </c>
      <c r="C3645" s="13">
        <v>1104</v>
      </c>
      <c r="D3645" s="8" t="s">
        <v>21833</v>
      </c>
      <c r="E3645" s="8" t="s">
        <v>21834</v>
      </c>
      <c r="F3645" s="8" t="s">
        <v>21835</v>
      </c>
      <c r="G3645" s="6" t="s">
        <v>52</v>
      </c>
      <c r="H3645" s="6" t="s">
        <v>53</v>
      </c>
      <c r="I3645" s="8" t="s">
        <v>90</v>
      </c>
      <c r="J3645" s="9">
        <v>1</v>
      </c>
      <c r="K3645" s="9">
        <v>240</v>
      </c>
      <c r="L3645" s="9">
        <v>2024</v>
      </c>
      <c r="M3645" s="8" t="s">
        <v>21836</v>
      </c>
      <c r="N3645" s="8" t="s">
        <v>41</v>
      </c>
      <c r="O3645" s="8" t="s">
        <v>1007</v>
      </c>
      <c r="P3645" s="6" t="s">
        <v>43</v>
      </c>
      <c r="Q3645" s="8" t="s">
        <v>44</v>
      </c>
      <c r="R3645" s="10" t="s">
        <v>21837</v>
      </c>
      <c r="S3645" s="11"/>
      <c r="T3645" s="6"/>
      <c r="U3645" s="24" t="str">
        <f>HYPERLINK("https://media.infra-m.ru/2126/2126310/cover/2126310.jpg", "Обложка")</f>
        <v>Обложка</v>
      </c>
      <c r="V3645" s="24" t="str">
        <f>HYPERLINK("https://znanium.ru/catalog/product/1226519", "Ознакомиться")</f>
        <v>Ознакомиться</v>
      </c>
      <c r="W3645" s="8" t="s">
        <v>5825</v>
      </c>
      <c r="X3645" s="6"/>
      <c r="Y3645" s="6"/>
      <c r="Z3645" s="6"/>
      <c r="AA3645" s="6" t="s">
        <v>377</v>
      </c>
      <c r="AB3645" s="8"/>
    </row>
    <row r="3646" spans="1:28" s="4" customFormat="1" ht="51.95" customHeight="1">
      <c r="A3646" s="5">
        <v>0</v>
      </c>
      <c r="B3646" s="6" t="s">
        <v>21838</v>
      </c>
      <c r="C3646" s="13">
        <v>1104</v>
      </c>
      <c r="D3646" s="8" t="s">
        <v>21839</v>
      </c>
      <c r="E3646" s="8" t="s">
        <v>21834</v>
      </c>
      <c r="F3646" s="8" t="s">
        <v>21840</v>
      </c>
      <c r="G3646" s="6" t="s">
        <v>89</v>
      </c>
      <c r="H3646" s="6" t="s">
        <v>53</v>
      </c>
      <c r="I3646" s="8" t="s">
        <v>100</v>
      </c>
      <c r="J3646" s="9">
        <v>1</v>
      </c>
      <c r="K3646" s="9">
        <v>240</v>
      </c>
      <c r="L3646" s="9">
        <v>2024</v>
      </c>
      <c r="M3646" s="8" t="s">
        <v>21841</v>
      </c>
      <c r="N3646" s="8" t="s">
        <v>41</v>
      </c>
      <c r="O3646" s="8" t="s">
        <v>1007</v>
      </c>
      <c r="P3646" s="6" t="s">
        <v>43</v>
      </c>
      <c r="Q3646" s="8" t="s">
        <v>102</v>
      </c>
      <c r="R3646" s="10" t="s">
        <v>21842</v>
      </c>
      <c r="S3646" s="11" t="s">
        <v>21843</v>
      </c>
      <c r="T3646" s="6"/>
      <c r="U3646" s="24" t="str">
        <f>HYPERLINK("https://media.infra-m.ru/2123/2123899/cover/2123899.jpg", "Обложка")</f>
        <v>Обложка</v>
      </c>
      <c r="V3646" s="24" t="str">
        <f>HYPERLINK("https://znanium.ru/catalog/product/1242061", "Ознакомиться")</f>
        <v>Ознакомиться</v>
      </c>
      <c r="W3646" s="8" t="s">
        <v>5825</v>
      </c>
      <c r="X3646" s="6"/>
      <c r="Y3646" s="6"/>
      <c r="Z3646" s="6" t="s">
        <v>104</v>
      </c>
      <c r="AA3646" s="6" t="s">
        <v>1259</v>
      </c>
      <c r="AB3646" s="8"/>
    </row>
    <row r="3647" spans="1:28" s="4" customFormat="1" ht="51.95" customHeight="1">
      <c r="A3647" s="5">
        <v>0</v>
      </c>
      <c r="B3647" s="6" t="s">
        <v>21844</v>
      </c>
      <c r="C3647" s="13">
        <v>1030</v>
      </c>
      <c r="D3647" s="8" t="s">
        <v>21845</v>
      </c>
      <c r="E3647" s="8" t="s">
        <v>21846</v>
      </c>
      <c r="F3647" s="8" t="s">
        <v>14388</v>
      </c>
      <c r="G3647" s="6" t="s">
        <v>89</v>
      </c>
      <c r="H3647" s="6" t="s">
        <v>53</v>
      </c>
      <c r="I3647" s="8" t="s">
        <v>116</v>
      </c>
      <c r="J3647" s="9">
        <v>1</v>
      </c>
      <c r="K3647" s="9">
        <v>224</v>
      </c>
      <c r="L3647" s="9">
        <v>2024</v>
      </c>
      <c r="M3647" s="8" t="s">
        <v>21847</v>
      </c>
      <c r="N3647" s="8" t="s">
        <v>79</v>
      </c>
      <c r="O3647" s="8" t="s">
        <v>396</v>
      </c>
      <c r="P3647" s="6" t="s">
        <v>43</v>
      </c>
      <c r="Q3647" s="8" t="s">
        <v>44</v>
      </c>
      <c r="R3647" s="10" t="s">
        <v>21848</v>
      </c>
      <c r="S3647" s="11" t="s">
        <v>21849</v>
      </c>
      <c r="T3647" s="6" t="s">
        <v>299</v>
      </c>
      <c r="U3647" s="24" t="str">
        <f>HYPERLINK("https://media.infra-m.ru/1020/1020701/cover/1020701.jpg", "Обложка")</f>
        <v>Обложка</v>
      </c>
      <c r="V3647" s="24" t="str">
        <f>HYPERLINK("https://znanium.ru/catalog/product/1020701", "Ознакомиться")</f>
        <v>Ознакомиться</v>
      </c>
      <c r="W3647" s="8" t="s">
        <v>1571</v>
      </c>
      <c r="X3647" s="6"/>
      <c r="Y3647" s="6"/>
      <c r="Z3647" s="6"/>
      <c r="AA3647" s="6" t="s">
        <v>442</v>
      </c>
      <c r="AB3647" s="8"/>
    </row>
    <row r="3648" spans="1:28" s="4" customFormat="1" ht="51.95" customHeight="1">
      <c r="A3648" s="5">
        <v>0</v>
      </c>
      <c r="B3648" s="6" t="s">
        <v>21850</v>
      </c>
      <c r="C3648" s="13">
        <v>1840</v>
      </c>
      <c r="D3648" s="8" t="s">
        <v>21851</v>
      </c>
      <c r="E3648" s="8" t="s">
        <v>21852</v>
      </c>
      <c r="F3648" s="8" t="s">
        <v>21853</v>
      </c>
      <c r="G3648" s="6" t="s">
        <v>89</v>
      </c>
      <c r="H3648" s="6" t="s">
        <v>53</v>
      </c>
      <c r="I3648" s="8" t="s">
        <v>116</v>
      </c>
      <c r="J3648" s="9">
        <v>1</v>
      </c>
      <c r="K3648" s="9">
        <v>400</v>
      </c>
      <c r="L3648" s="9">
        <v>2024</v>
      </c>
      <c r="M3648" s="8" t="s">
        <v>21854</v>
      </c>
      <c r="N3648" s="8" t="s">
        <v>41</v>
      </c>
      <c r="O3648" s="8" t="s">
        <v>1007</v>
      </c>
      <c r="P3648" s="6" t="s">
        <v>43</v>
      </c>
      <c r="Q3648" s="8" t="s">
        <v>44</v>
      </c>
      <c r="R3648" s="10" t="s">
        <v>21855</v>
      </c>
      <c r="S3648" s="11" t="s">
        <v>21856</v>
      </c>
      <c r="T3648" s="6" t="s">
        <v>299</v>
      </c>
      <c r="U3648" s="24" t="str">
        <f>HYPERLINK("https://media.infra-m.ru/2023/2023114/cover/2023114.jpg", "Обложка")</f>
        <v>Обложка</v>
      </c>
      <c r="V3648" s="24" t="str">
        <f>HYPERLINK("https://znanium.ru/catalog/product/2023114", "Ознакомиться")</f>
        <v>Ознакомиться</v>
      </c>
      <c r="W3648" s="8" t="s">
        <v>3226</v>
      </c>
      <c r="X3648" s="6"/>
      <c r="Y3648" s="6"/>
      <c r="Z3648" s="6"/>
      <c r="AA3648" s="6" t="s">
        <v>84</v>
      </c>
      <c r="AB3648" s="8"/>
    </row>
    <row r="3649" spans="1:28" s="4" customFormat="1" ht="51.95" customHeight="1">
      <c r="A3649" s="5">
        <v>0</v>
      </c>
      <c r="B3649" s="6" t="s">
        <v>21857</v>
      </c>
      <c r="C3649" s="13">
        <v>1474</v>
      </c>
      <c r="D3649" s="8" t="s">
        <v>21858</v>
      </c>
      <c r="E3649" s="8" t="s">
        <v>21859</v>
      </c>
      <c r="F3649" s="8" t="s">
        <v>21860</v>
      </c>
      <c r="G3649" s="6" t="s">
        <v>52</v>
      </c>
      <c r="H3649" s="6" t="s">
        <v>53</v>
      </c>
      <c r="I3649" s="8" t="s">
        <v>90</v>
      </c>
      <c r="J3649" s="9">
        <v>1</v>
      </c>
      <c r="K3649" s="9">
        <v>320</v>
      </c>
      <c r="L3649" s="9">
        <v>2024</v>
      </c>
      <c r="M3649" s="8" t="s">
        <v>21861</v>
      </c>
      <c r="N3649" s="8" t="s">
        <v>41</v>
      </c>
      <c r="O3649" s="8" t="s">
        <v>1007</v>
      </c>
      <c r="P3649" s="6" t="s">
        <v>43</v>
      </c>
      <c r="Q3649" s="8" t="s">
        <v>44</v>
      </c>
      <c r="R3649" s="10" t="s">
        <v>21862</v>
      </c>
      <c r="S3649" s="11" t="s">
        <v>21863</v>
      </c>
      <c r="T3649" s="6" t="s">
        <v>299</v>
      </c>
      <c r="U3649" s="24" t="str">
        <f>HYPERLINK("https://media.infra-m.ru/2118/2118162/cover/2118162.jpg", "Обложка")</f>
        <v>Обложка</v>
      </c>
      <c r="V3649" s="24" t="str">
        <f>HYPERLINK("https://znanium.ru/catalog/product/2118162", "Ознакомиться")</f>
        <v>Ознакомиться</v>
      </c>
      <c r="W3649" s="8" t="s">
        <v>1076</v>
      </c>
      <c r="X3649" s="6"/>
      <c r="Y3649" s="6"/>
      <c r="Z3649" s="6"/>
      <c r="AA3649" s="6" t="s">
        <v>47</v>
      </c>
      <c r="AB3649" s="8"/>
    </row>
    <row r="3650" spans="1:28" s="4" customFormat="1" ht="51.95" customHeight="1">
      <c r="A3650" s="5">
        <v>0</v>
      </c>
      <c r="B3650" s="6" t="s">
        <v>21864</v>
      </c>
      <c r="C3650" s="7">
        <v>714</v>
      </c>
      <c r="D3650" s="8" t="s">
        <v>21865</v>
      </c>
      <c r="E3650" s="8" t="s">
        <v>21866</v>
      </c>
      <c r="F3650" s="8" t="s">
        <v>21867</v>
      </c>
      <c r="G3650" s="6" t="s">
        <v>38</v>
      </c>
      <c r="H3650" s="6" t="s">
        <v>53</v>
      </c>
      <c r="I3650" s="8" t="s">
        <v>90</v>
      </c>
      <c r="J3650" s="9">
        <v>1</v>
      </c>
      <c r="K3650" s="9">
        <v>156</v>
      </c>
      <c r="L3650" s="9">
        <v>2024</v>
      </c>
      <c r="M3650" s="8" t="s">
        <v>21868</v>
      </c>
      <c r="N3650" s="8" t="s">
        <v>41</v>
      </c>
      <c r="O3650" s="8" t="s">
        <v>118</v>
      </c>
      <c r="P3650" s="6" t="s">
        <v>43</v>
      </c>
      <c r="Q3650" s="8" t="s">
        <v>44</v>
      </c>
      <c r="R3650" s="10" t="s">
        <v>21869</v>
      </c>
      <c r="S3650" s="11" t="s">
        <v>120</v>
      </c>
      <c r="T3650" s="6"/>
      <c r="U3650" s="24" t="str">
        <f>HYPERLINK("https://media.infra-m.ru/2102/2102709/cover/2102709.jpg", "Обложка")</f>
        <v>Обложка</v>
      </c>
      <c r="V3650" s="24" t="str">
        <f>HYPERLINK("https://znanium.ru/catalog/product/2102709", "Ознакомиться")</f>
        <v>Ознакомиться</v>
      </c>
      <c r="W3650" s="8" t="s">
        <v>21870</v>
      </c>
      <c r="X3650" s="6"/>
      <c r="Y3650" s="6"/>
      <c r="Z3650" s="6"/>
      <c r="AA3650" s="6" t="s">
        <v>418</v>
      </c>
      <c r="AB3650" s="8"/>
    </row>
    <row r="3651" spans="1:28" s="4" customFormat="1" ht="51.95" customHeight="1">
      <c r="A3651" s="5">
        <v>0</v>
      </c>
      <c r="B3651" s="6" t="s">
        <v>21871</v>
      </c>
      <c r="C3651" s="13">
        <v>2130</v>
      </c>
      <c r="D3651" s="8" t="s">
        <v>21872</v>
      </c>
      <c r="E3651" s="8" t="s">
        <v>21873</v>
      </c>
      <c r="F3651" s="8" t="s">
        <v>21874</v>
      </c>
      <c r="G3651" s="6" t="s">
        <v>52</v>
      </c>
      <c r="H3651" s="6" t="s">
        <v>53</v>
      </c>
      <c r="I3651" s="8" t="s">
        <v>116</v>
      </c>
      <c r="J3651" s="9">
        <v>1</v>
      </c>
      <c r="K3651" s="9">
        <v>425</v>
      </c>
      <c r="L3651" s="9">
        <v>2025</v>
      </c>
      <c r="M3651" s="8" t="s">
        <v>21875</v>
      </c>
      <c r="N3651" s="8" t="s">
        <v>41</v>
      </c>
      <c r="O3651" s="8" t="s">
        <v>118</v>
      </c>
      <c r="P3651" s="6" t="s">
        <v>167</v>
      </c>
      <c r="Q3651" s="8" t="s">
        <v>44</v>
      </c>
      <c r="R3651" s="10" t="s">
        <v>21876</v>
      </c>
      <c r="S3651" s="11" t="s">
        <v>21877</v>
      </c>
      <c r="T3651" s="6" t="s">
        <v>299</v>
      </c>
      <c r="U3651" s="24" t="str">
        <f>HYPERLINK("https://media.infra-m.ru/2186/2186209/cover/2186209.jpg", "Обложка")</f>
        <v>Обложка</v>
      </c>
      <c r="V3651" s="24" t="str">
        <f>HYPERLINK("https://znanium.ru/catalog/product/2186209", "Ознакомиться")</f>
        <v>Ознакомиться</v>
      </c>
      <c r="W3651" s="8" t="s">
        <v>189</v>
      </c>
      <c r="X3651" s="6"/>
      <c r="Y3651" s="6"/>
      <c r="Z3651" s="6"/>
      <c r="AA3651" s="6" t="s">
        <v>47</v>
      </c>
      <c r="AB3651" s="8"/>
    </row>
    <row r="3652" spans="1:28" s="4" customFormat="1" ht="51.95" customHeight="1">
      <c r="A3652" s="5">
        <v>0</v>
      </c>
      <c r="B3652" s="6" t="s">
        <v>21878</v>
      </c>
      <c r="C3652" s="13">
        <v>2060</v>
      </c>
      <c r="D3652" s="8" t="s">
        <v>21879</v>
      </c>
      <c r="E3652" s="8" t="s">
        <v>21880</v>
      </c>
      <c r="F3652" s="8" t="s">
        <v>18020</v>
      </c>
      <c r="G3652" s="6" t="s">
        <v>52</v>
      </c>
      <c r="H3652" s="6" t="s">
        <v>53</v>
      </c>
      <c r="I3652" s="8" t="s">
        <v>90</v>
      </c>
      <c r="J3652" s="9">
        <v>1</v>
      </c>
      <c r="K3652" s="9">
        <v>411</v>
      </c>
      <c r="L3652" s="9">
        <v>2025</v>
      </c>
      <c r="M3652" s="8" t="s">
        <v>21881</v>
      </c>
      <c r="N3652" s="8" t="s">
        <v>41</v>
      </c>
      <c r="O3652" s="8" t="s">
        <v>118</v>
      </c>
      <c r="P3652" s="6" t="s">
        <v>167</v>
      </c>
      <c r="Q3652" s="8" t="s">
        <v>44</v>
      </c>
      <c r="R3652" s="10" t="s">
        <v>7913</v>
      </c>
      <c r="S3652" s="11" t="s">
        <v>21882</v>
      </c>
      <c r="T3652" s="6"/>
      <c r="U3652" s="24" t="str">
        <f>HYPERLINK("https://media.infra-m.ru/2185/2185639/cover/2185639.jpg", "Обложка")</f>
        <v>Обложка</v>
      </c>
      <c r="V3652" s="24" t="str">
        <f>HYPERLINK("https://znanium.ru/catalog/product/2126624", "Ознакомиться")</f>
        <v>Ознакомиться</v>
      </c>
      <c r="W3652" s="8" t="s">
        <v>1563</v>
      </c>
      <c r="X3652" s="6"/>
      <c r="Y3652" s="6"/>
      <c r="Z3652" s="6"/>
      <c r="AA3652" s="6" t="s">
        <v>11454</v>
      </c>
      <c r="AB3652" s="8"/>
    </row>
    <row r="3653" spans="1:28" s="4" customFormat="1" ht="51.95" customHeight="1">
      <c r="A3653" s="5">
        <v>0</v>
      </c>
      <c r="B3653" s="6" t="s">
        <v>21883</v>
      </c>
      <c r="C3653" s="7">
        <v>884</v>
      </c>
      <c r="D3653" s="8" t="s">
        <v>21884</v>
      </c>
      <c r="E3653" s="8" t="s">
        <v>21885</v>
      </c>
      <c r="F3653" s="8" t="s">
        <v>21886</v>
      </c>
      <c r="G3653" s="6" t="s">
        <v>38</v>
      </c>
      <c r="H3653" s="6" t="s">
        <v>184</v>
      </c>
      <c r="I3653" s="8" t="s">
        <v>276</v>
      </c>
      <c r="J3653" s="9">
        <v>1</v>
      </c>
      <c r="K3653" s="9">
        <v>176</v>
      </c>
      <c r="L3653" s="9">
        <v>2024</v>
      </c>
      <c r="M3653" s="8" t="s">
        <v>21887</v>
      </c>
      <c r="N3653" s="8" t="s">
        <v>79</v>
      </c>
      <c r="O3653" s="8" t="s">
        <v>424</v>
      </c>
      <c r="P3653" s="6" t="s">
        <v>167</v>
      </c>
      <c r="Q3653" s="8" t="s">
        <v>279</v>
      </c>
      <c r="R3653" s="10" t="s">
        <v>21888</v>
      </c>
      <c r="S3653" s="11" t="s">
        <v>21889</v>
      </c>
      <c r="T3653" s="6" t="s">
        <v>299</v>
      </c>
      <c r="U3653" s="24" t="str">
        <f>HYPERLINK("https://media.infra-m.ru/2156/2156082/cover/2156082.jpg", "Обложка")</f>
        <v>Обложка</v>
      </c>
      <c r="V3653" s="24" t="str">
        <f>HYPERLINK("https://znanium.ru/catalog/product/1937178", "Ознакомиться")</f>
        <v>Ознакомиться</v>
      </c>
      <c r="W3653" s="8" t="s">
        <v>470</v>
      </c>
      <c r="X3653" s="6"/>
      <c r="Y3653" s="6"/>
      <c r="Z3653" s="6"/>
      <c r="AA3653" s="6" t="s">
        <v>377</v>
      </c>
      <c r="AB3653" s="8"/>
    </row>
    <row r="3654" spans="1:28" s="4" customFormat="1" ht="51.95" customHeight="1">
      <c r="A3654" s="5">
        <v>0</v>
      </c>
      <c r="B3654" s="6" t="s">
        <v>21890</v>
      </c>
      <c r="C3654" s="13">
        <v>1690</v>
      </c>
      <c r="D3654" s="8" t="s">
        <v>21891</v>
      </c>
      <c r="E3654" s="8" t="s">
        <v>21892</v>
      </c>
      <c r="F3654" s="8" t="s">
        <v>1341</v>
      </c>
      <c r="G3654" s="6" t="s">
        <v>89</v>
      </c>
      <c r="H3654" s="6" t="s">
        <v>53</v>
      </c>
      <c r="I3654" s="8" t="s">
        <v>116</v>
      </c>
      <c r="J3654" s="9">
        <v>1</v>
      </c>
      <c r="K3654" s="9">
        <v>338</v>
      </c>
      <c r="L3654" s="9">
        <v>2025</v>
      </c>
      <c r="M3654" s="8" t="s">
        <v>21893</v>
      </c>
      <c r="N3654" s="8" t="s">
        <v>41</v>
      </c>
      <c r="O3654" s="8" t="s">
        <v>1007</v>
      </c>
      <c r="P3654" s="6" t="s">
        <v>167</v>
      </c>
      <c r="Q3654" s="8" t="s">
        <v>44</v>
      </c>
      <c r="R3654" s="10" t="s">
        <v>157</v>
      </c>
      <c r="S3654" s="11" t="s">
        <v>21894</v>
      </c>
      <c r="T3654" s="6"/>
      <c r="U3654" s="24" t="str">
        <f>HYPERLINK("https://media.infra-m.ru/2178/2178825/cover/2178825.jpg", "Обложка")</f>
        <v>Обложка</v>
      </c>
      <c r="V3654" s="24" t="str">
        <f>HYPERLINK("https://znanium.ru/catalog/product/2178825", "Ознакомиться")</f>
        <v>Ознакомиться</v>
      </c>
      <c r="W3654" s="8" t="s">
        <v>1345</v>
      </c>
      <c r="X3654" s="6"/>
      <c r="Y3654" s="6"/>
      <c r="Z3654" s="6"/>
      <c r="AA3654" s="6" t="s">
        <v>235</v>
      </c>
      <c r="AB3654" s="8"/>
    </row>
    <row r="3655" spans="1:28" s="4" customFormat="1" ht="51.95" customHeight="1">
      <c r="A3655" s="5">
        <v>0</v>
      </c>
      <c r="B3655" s="6" t="s">
        <v>21895</v>
      </c>
      <c r="C3655" s="13">
        <v>2420</v>
      </c>
      <c r="D3655" s="8" t="s">
        <v>21896</v>
      </c>
      <c r="E3655" s="8" t="s">
        <v>21897</v>
      </c>
      <c r="F3655" s="8" t="s">
        <v>8178</v>
      </c>
      <c r="G3655" s="6" t="s">
        <v>52</v>
      </c>
      <c r="H3655" s="6" t="s">
        <v>53</v>
      </c>
      <c r="I3655" s="8" t="s">
        <v>100</v>
      </c>
      <c r="J3655" s="9">
        <v>1</v>
      </c>
      <c r="K3655" s="9">
        <v>484</v>
      </c>
      <c r="L3655" s="9">
        <v>2025</v>
      </c>
      <c r="M3655" s="8" t="s">
        <v>21898</v>
      </c>
      <c r="N3655" s="8" t="s">
        <v>41</v>
      </c>
      <c r="O3655" s="8" t="s">
        <v>118</v>
      </c>
      <c r="P3655" s="6" t="s">
        <v>43</v>
      </c>
      <c r="Q3655" s="8" t="s">
        <v>102</v>
      </c>
      <c r="R3655" s="10" t="s">
        <v>21899</v>
      </c>
      <c r="S3655" s="11"/>
      <c r="T3655" s="6"/>
      <c r="U3655" s="24" t="str">
        <f>HYPERLINK("https://media.infra-m.ru/2092/2092351/cover/2092351.jpg", "Обложка")</f>
        <v>Обложка</v>
      </c>
      <c r="V3655" s="24" t="str">
        <f>HYPERLINK("https://znanium.ru/catalog/product/2092351", "Ознакомиться")</f>
        <v>Ознакомиться</v>
      </c>
      <c r="W3655" s="8" t="s">
        <v>8182</v>
      </c>
      <c r="X3655" s="6" t="s">
        <v>785</v>
      </c>
      <c r="Y3655" s="6"/>
      <c r="Z3655" s="6"/>
      <c r="AA3655" s="6" t="s">
        <v>61</v>
      </c>
      <c r="AB3655" s="8"/>
    </row>
    <row r="3656" spans="1:28" s="4" customFormat="1" ht="51.95" customHeight="1">
      <c r="A3656" s="5">
        <v>0</v>
      </c>
      <c r="B3656" s="6" t="s">
        <v>21900</v>
      </c>
      <c r="C3656" s="7">
        <v>694</v>
      </c>
      <c r="D3656" s="8" t="s">
        <v>21901</v>
      </c>
      <c r="E3656" s="8" t="s">
        <v>21902</v>
      </c>
      <c r="F3656" s="8" t="s">
        <v>21903</v>
      </c>
      <c r="G3656" s="6" t="s">
        <v>89</v>
      </c>
      <c r="H3656" s="6" t="s">
        <v>53</v>
      </c>
      <c r="I3656" s="8" t="s">
        <v>90</v>
      </c>
      <c r="J3656" s="9">
        <v>1</v>
      </c>
      <c r="K3656" s="9">
        <v>133</v>
      </c>
      <c r="L3656" s="9">
        <v>2025</v>
      </c>
      <c r="M3656" s="8" t="s">
        <v>21904</v>
      </c>
      <c r="N3656" s="8" t="s">
        <v>79</v>
      </c>
      <c r="O3656" s="8" t="s">
        <v>424</v>
      </c>
      <c r="P3656" s="6" t="s">
        <v>43</v>
      </c>
      <c r="Q3656" s="8" t="s">
        <v>44</v>
      </c>
      <c r="R3656" s="10" t="s">
        <v>4598</v>
      </c>
      <c r="S3656" s="11" t="s">
        <v>21905</v>
      </c>
      <c r="T3656" s="6"/>
      <c r="U3656" s="24" t="str">
        <f>HYPERLINK("https://media.infra-m.ru/2188/2188723/cover/2188723.jpg", "Обложка")</f>
        <v>Обложка</v>
      </c>
      <c r="V3656" s="24" t="str">
        <f>HYPERLINK("https://znanium.ru/catalog/product/2126630", "Ознакомиться")</f>
        <v>Ознакомиться</v>
      </c>
      <c r="W3656" s="8" t="s">
        <v>977</v>
      </c>
      <c r="X3656" s="6"/>
      <c r="Y3656" s="6"/>
      <c r="Z3656" s="6"/>
      <c r="AA3656" s="6" t="s">
        <v>622</v>
      </c>
      <c r="AB3656" s="8"/>
    </row>
    <row r="3657" spans="1:28" s="4" customFormat="1" ht="42" customHeight="1">
      <c r="A3657" s="5">
        <v>0</v>
      </c>
      <c r="B3657" s="6" t="s">
        <v>21906</v>
      </c>
      <c r="C3657" s="13">
        <v>1580</v>
      </c>
      <c r="D3657" s="8" t="s">
        <v>21907</v>
      </c>
      <c r="E3657" s="8" t="s">
        <v>21908</v>
      </c>
      <c r="F3657" s="8" t="s">
        <v>21909</v>
      </c>
      <c r="G3657" s="6" t="s">
        <v>52</v>
      </c>
      <c r="H3657" s="6" t="s">
        <v>53</v>
      </c>
      <c r="I3657" s="8" t="s">
        <v>116</v>
      </c>
      <c r="J3657" s="9">
        <v>1</v>
      </c>
      <c r="K3657" s="9">
        <v>329</v>
      </c>
      <c r="L3657" s="9">
        <v>2025</v>
      </c>
      <c r="M3657" s="8" t="s">
        <v>21910</v>
      </c>
      <c r="N3657" s="8" t="s">
        <v>41</v>
      </c>
      <c r="O3657" s="8" t="s">
        <v>1007</v>
      </c>
      <c r="P3657" s="6" t="s">
        <v>43</v>
      </c>
      <c r="Q3657" s="8" t="s">
        <v>58</v>
      </c>
      <c r="R3657" s="10" t="s">
        <v>2461</v>
      </c>
      <c r="S3657" s="11"/>
      <c r="T3657" s="6"/>
      <c r="U3657" s="24" t="str">
        <f>HYPERLINK("https://media.infra-m.ru/2052/2052402/cover/2052402.jpg", "Обложка")</f>
        <v>Обложка</v>
      </c>
      <c r="V3657" s="24" t="str">
        <f>HYPERLINK("https://znanium.ru/catalog/product/2052402", "Ознакомиться")</f>
        <v>Ознакомиться</v>
      </c>
      <c r="W3657" s="8" t="s">
        <v>1293</v>
      </c>
      <c r="X3657" s="6" t="s">
        <v>389</v>
      </c>
      <c r="Y3657" s="6"/>
      <c r="Z3657" s="6"/>
      <c r="AA3657" s="6" t="s">
        <v>61</v>
      </c>
      <c r="AB3657" s="8"/>
    </row>
    <row r="3658" spans="1:28" s="4" customFormat="1" ht="42" customHeight="1">
      <c r="A3658" s="5">
        <v>0</v>
      </c>
      <c r="B3658" s="6" t="s">
        <v>21911</v>
      </c>
      <c r="C3658" s="13">
        <v>1040</v>
      </c>
      <c r="D3658" s="8" t="s">
        <v>21912</v>
      </c>
      <c r="E3658" s="8" t="s">
        <v>21913</v>
      </c>
      <c r="F3658" s="8" t="s">
        <v>21914</v>
      </c>
      <c r="G3658" s="6" t="s">
        <v>52</v>
      </c>
      <c r="H3658" s="6" t="s">
        <v>53</v>
      </c>
      <c r="I3658" s="8" t="s">
        <v>14079</v>
      </c>
      <c r="J3658" s="9">
        <v>1</v>
      </c>
      <c r="K3658" s="9">
        <v>196</v>
      </c>
      <c r="L3658" s="9">
        <v>2025</v>
      </c>
      <c r="M3658" s="8" t="s">
        <v>21915</v>
      </c>
      <c r="N3658" s="8" t="s">
        <v>79</v>
      </c>
      <c r="O3658" s="8" t="s">
        <v>424</v>
      </c>
      <c r="P3658" s="6" t="s">
        <v>397</v>
      </c>
      <c r="Q3658" s="8" t="s">
        <v>58</v>
      </c>
      <c r="R3658" s="10" t="s">
        <v>21916</v>
      </c>
      <c r="S3658" s="11"/>
      <c r="T3658" s="6"/>
      <c r="U3658" s="24" t="str">
        <f>HYPERLINK("https://media.infra-m.ru/2173/2173835/cover/2173835.jpg", "Обложка")</f>
        <v>Обложка</v>
      </c>
      <c r="V3658" s="24" t="str">
        <f>HYPERLINK("https://znanium.ru/catalog/product/2173835", "Ознакомиться")</f>
        <v>Ознакомиться</v>
      </c>
      <c r="W3658" s="8" t="s">
        <v>1144</v>
      </c>
      <c r="X3658" s="6" t="s">
        <v>2790</v>
      </c>
      <c r="Y3658" s="6"/>
      <c r="Z3658" s="6"/>
      <c r="AA3658" s="6" t="s">
        <v>61</v>
      </c>
      <c r="AB3658" s="8"/>
    </row>
    <row r="3659" spans="1:28" s="4" customFormat="1" ht="51.95" customHeight="1">
      <c r="A3659" s="5">
        <v>0</v>
      </c>
      <c r="B3659" s="6" t="s">
        <v>21917</v>
      </c>
      <c r="C3659" s="13">
        <v>1300</v>
      </c>
      <c r="D3659" s="8" t="s">
        <v>21918</v>
      </c>
      <c r="E3659" s="8" t="s">
        <v>21919</v>
      </c>
      <c r="F3659" s="8" t="s">
        <v>21914</v>
      </c>
      <c r="G3659" s="6" t="s">
        <v>52</v>
      </c>
      <c r="H3659" s="6" t="s">
        <v>53</v>
      </c>
      <c r="I3659" s="8" t="s">
        <v>14079</v>
      </c>
      <c r="J3659" s="9">
        <v>1</v>
      </c>
      <c r="K3659" s="9">
        <v>285</v>
      </c>
      <c r="L3659" s="9">
        <v>2023</v>
      </c>
      <c r="M3659" s="8" t="s">
        <v>21920</v>
      </c>
      <c r="N3659" s="8" t="s">
        <v>79</v>
      </c>
      <c r="O3659" s="8" t="s">
        <v>424</v>
      </c>
      <c r="P3659" s="6" t="s">
        <v>397</v>
      </c>
      <c r="Q3659" s="8" t="s">
        <v>58</v>
      </c>
      <c r="R3659" s="10" t="s">
        <v>21921</v>
      </c>
      <c r="S3659" s="11"/>
      <c r="T3659" s="6"/>
      <c r="U3659" s="24" t="str">
        <f>HYPERLINK("https://media.infra-m.ru/1918/1918490/cover/1918490.jpg", "Обложка")</f>
        <v>Обложка</v>
      </c>
      <c r="V3659" s="24" t="str">
        <f>HYPERLINK("https://znanium.ru/catalog/product/1918490", "Ознакомиться")</f>
        <v>Ознакомиться</v>
      </c>
      <c r="W3659" s="8" t="s">
        <v>1144</v>
      </c>
      <c r="X3659" s="6"/>
      <c r="Y3659" s="6"/>
      <c r="Z3659" s="6"/>
      <c r="AA3659" s="6" t="s">
        <v>207</v>
      </c>
      <c r="AB3659" s="8"/>
    </row>
    <row r="3660" spans="1:28" s="4" customFormat="1" ht="44.1" customHeight="1">
      <c r="A3660" s="5">
        <v>0</v>
      </c>
      <c r="B3660" s="6" t="s">
        <v>21922</v>
      </c>
      <c r="C3660" s="7">
        <v>810</v>
      </c>
      <c r="D3660" s="8" t="s">
        <v>21923</v>
      </c>
      <c r="E3660" s="8" t="s">
        <v>21924</v>
      </c>
      <c r="F3660" s="8" t="s">
        <v>21914</v>
      </c>
      <c r="G3660" s="6" t="s">
        <v>52</v>
      </c>
      <c r="H3660" s="6" t="s">
        <v>53</v>
      </c>
      <c r="I3660" s="8"/>
      <c r="J3660" s="9">
        <v>1</v>
      </c>
      <c r="K3660" s="9">
        <v>178</v>
      </c>
      <c r="L3660" s="9">
        <v>2023</v>
      </c>
      <c r="M3660" s="8" t="s">
        <v>21925</v>
      </c>
      <c r="N3660" s="8" t="s">
        <v>79</v>
      </c>
      <c r="O3660" s="8" t="s">
        <v>424</v>
      </c>
      <c r="P3660" s="6" t="s">
        <v>397</v>
      </c>
      <c r="Q3660" s="8" t="s">
        <v>58</v>
      </c>
      <c r="R3660" s="10" t="s">
        <v>21926</v>
      </c>
      <c r="S3660" s="11"/>
      <c r="T3660" s="6"/>
      <c r="U3660" s="24" t="str">
        <f>HYPERLINK("https://media.infra-m.ru/1939/1939108/cover/1939108.jpg", "Обложка")</f>
        <v>Обложка</v>
      </c>
      <c r="V3660" s="24" t="str">
        <f>HYPERLINK("https://znanium.ru/catalog/product/1939108", "Ознакомиться")</f>
        <v>Ознакомиться</v>
      </c>
      <c r="W3660" s="8" t="s">
        <v>1144</v>
      </c>
      <c r="X3660" s="6"/>
      <c r="Y3660" s="6"/>
      <c r="Z3660" s="6"/>
      <c r="AA3660" s="6" t="s">
        <v>207</v>
      </c>
      <c r="AB3660" s="8"/>
    </row>
    <row r="3661" spans="1:28" s="4" customFormat="1" ht="51.95" customHeight="1">
      <c r="A3661" s="5">
        <v>0</v>
      </c>
      <c r="B3661" s="6" t="s">
        <v>21927</v>
      </c>
      <c r="C3661" s="13">
        <v>1090</v>
      </c>
      <c r="D3661" s="8" t="s">
        <v>21928</v>
      </c>
      <c r="E3661" s="8" t="s">
        <v>21929</v>
      </c>
      <c r="F3661" s="8" t="s">
        <v>21914</v>
      </c>
      <c r="G3661" s="6" t="s">
        <v>89</v>
      </c>
      <c r="H3661" s="6" t="s">
        <v>53</v>
      </c>
      <c r="I3661" s="8" t="s">
        <v>14079</v>
      </c>
      <c r="J3661" s="9">
        <v>1</v>
      </c>
      <c r="K3661" s="9">
        <v>238</v>
      </c>
      <c r="L3661" s="9">
        <v>2024</v>
      </c>
      <c r="M3661" s="8" t="s">
        <v>21930</v>
      </c>
      <c r="N3661" s="8" t="s">
        <v>79</v>
      </c>
      <c r="O3661" s="8" t="s">
        <v>424</v>
      </c>
      <c r="P3661" s="6" t="s">
        <v>397</v>
      </c>
      <c r="Q3661" s="8" t="s">
        <v>58</v>
      </c>
      <c r="R3661" s="10" t="s">
        <v>21931</v>
      </c>
      <c r="S3661" s="11"/>
      <c r="T3661" s="6"/>
      <c r="U3661" s="24" t="str">
        <f>HYPERLINK("https://media.infra-m.ru/1921/1921397/cover/1921397.jpg", "Обложка")</f>
        <v>Обложка</v>
      </c>
      <c r="V3661" s="24" t="str">
        <f>HYPERLINK("https://znanium.ru/catalog/product/1843565", "Ознакомиться")</f>
        <v>Ознакомиться</v>
      </c>
      <c r="W3661" s="8" t="s">
        <v>1144</v>
      </c>
      <c r="X3661" s="6"/>
      <c r="Y3661" s="6"/>
      <c r="Z3661" s="6"/>
      <c r="AA3661" s="6" t="s">
        <v>258</v>
      </c>
      <c r="AB3661" s="8"/>
    </row>
    <row r="3662" spans="1:28" s="4" customFormat="1" ht="51.95" customHeight="1">
      <c r="A3662" s="5">
        <v>0</v>
      </c>
      <c r="B3662" s="6" t="s">
        <v>21932</v>
      </c>
      <c r="C3662" s="13">
        <v>1550</v>
      </c>
      <c r="D3662" s="8" t="s">
        <v>21933</v>
      </c>
      <c r="E3662" s="8" t="s">
        <v>21934</v>
      </c>
      <c r="F3662" s="8" t="s">
        <v>12633</v>
      </c>
      <c r="G3662" s="6" t="s">
        <v>89</v>
      </c>
      <c r="H3662" s="6" t="s">
        <v>53</v>
      </c>
      <c r="I3662" s="8" t="s">
        <v>90</v>
      </c>
      <c r="J3662" s="9">
        <v>1</v>
      </c>
      <c r="K3662" s="9">
        <v>345</v>
      </c>
      <c r="L3662" s="9">
        <v>2023</v>
      </c>
      <c r="M3662" s="8" t="s">
        <v>21935</v>
      </c>
      <c r="N3662" s="8" t="s">
        <v>41</v>
      </c>
      <c r="O3662" s="8" t="s">
        <v>278</v>
      </c>
      <c r="P3662" s="6" t="s">
        <v>167</v>
      </c>
      <c r="Q3662" s="8" t="s">
        <v>44</v>
      </c>
      <c r="R3662" s="10" t="s">
        <v>21936</v>
      </c>
      <c r="S3662" s="11" t="s">
        <v>21937</v>
      </c>
      <c r="T3662" s="6" t="s">
        <v>299</v>
      </c>
      <c r="U3662" s="24" t="str">
        <f>HYPERLINK("https://media.infra-m.ru/1933/1933143/cover/1933143.jpg", "Обложка")</f>
        <v>Обложка</v>
      </c>
      <c r="V3662" s="24" t="str">
        <f>HYPERLINK("https://znanium.ru/catalog/product/1933143", "Ознакомиться")</f>
        <v>Ознакомиться</v>
      </c>
      <c r="W3662" s="8" t="s">
        <v>1076</v>
      </c>
      <c r="X3662" s="6"/>
      <c r="Y3662" s="6"/>
      <c r="Z3662" s="6"/>
      <c r="AA3662" s="6" t="s">
        <v>1259</v>
      </c>
      <c r="AB3662" s="8"/>
    </row>
    <row r="3663" spans="1:28" s="4" customFormat="1" ht="51.95" customHeight="1">
      <c r="A3663" s="5">
        <v>0</v>
      </c>
      <c r="B3663" s="6" t="s">
        <v>21938</v>
      </c>
      <c r="C3663" s="13">
        <v>1474</v>
      </c>
      <c r="D3663" s="8" t="s">
        <v>21939</v>
      </c>
      <c r="E3663" s="8" t="s">
        <v>21940</v>
      </c>
      <c r="F3663" s="8" t="s">
        <v>21941</v>
      </c>
      <c r="G3663" s="6" t="s">
        <v>52</v>
      </c>
      <c r="H3663" s="6" t="s">
        <v>77</v>
      </c>
      <c r="I3663" s="8"/>
      <c r="J3663" s="9">
        <v>1</v>
      </c>
      <c r="K3663" s="9">
        <v>320</v>
      </c>
      <c r="L3663" s="9">
        <v>2024</v>
      </c>
      <c r="M3663" s="8" t="s">
        <v>21942</v>
      </c>
      <c r="N3663" s="8" t="s">
        <v>41</v>
      </c>
      <c r="O3663" s="8" t="s">
        <v>278</v>
      </c>
      <c r="P3663" s="6" t="s">
        <v>43</v>
      </c>
      <c r="Q3663" s="8" t="s">
        <v>44</v>
      </c>
      <c r="R3663" s="10" t="s">
        <v>21943</v>
      </c>
      <c r="S3663" s="11" t="s">
        <v>21944</v>
      </c>
      <c r="T3663" s="6" t="s">
        <v>299</v>
      </c>
      <c r="U3663" s="24" t="str">
        <f>HYPERLINK("https://media.infra-m.ru/2059/2059575/cover/2059575.jpg", "Обложка")</f>
        <v>Обложка</v>
      </c>
      <c r="V3663" s="24" t="str">
        <f>HYPERLINK("https://znanium.ru/catalog/product/1853536", "Ознакомиться")</f>
        <v>Ознакомиться</v>
      </c>
      <c r="W3663" s="8" t="s">
        <v>83</v>
      </c>
      <c r="X3663" s="6"/>
      <c r="Y3663" s="6"/>
      <c r="Z3663" s="6"/>
      <c r="AA3663" s="6" t="s">
        <v>111</v>
      </c>
      <c r="AB3663" s="8"/>
    </row>
    <row r="3664" spans="1:28" s="4" customFormat="1" ht="51.95" customHeight="1">
      <c r="A3664" s="5">
        <v>0</v>
      </c>
      <c r="B3664" s="6" t="s">
        <v>21945</v>
      </c>
      <c r="C3664" s="7">
        <v>744.9</v>
      </c>
      <c r="D3664" s="8" t="s">
        <v>21946</v>
      </c>
      <c r="E3664" s="8" t="s">
        <v>21940</v>
      </c>
      <c r="F3664" s="8" t="s">
        <v>12633</v>
      </c>
      <c r="G3664" s="6" t="s">
        <v>38</v>
      </c>
      <c r="H3664" s="6" t="s">
        <v>53</v>
      </c>
      <c r="I3664" s="8" t="s">
        <v>90</v>
      </c>
      <c r="J3664" s="9">
        <v>1</v>
      </c>
      <c r="K3664" s="9">
        <v>248</v>
      </c>
      <c r="L3664" s="9">
        <v>2019</v>
      </c>
      <c r="M3664" s="8" t="s">
        <v>21947</v>
      </c>
      <c r="N3664" s="8" t="s">
        <v>41</v>
      </c>
      <c r="O3664" s="8" t="s">
        <v>118</v>
      </c>
      <c r="P3664" s="6" t="s">
        <v>43</v>
      </c>
      <c r="Q3664" s="8" t="s">
        <v>44</v>
      </c>
      <c r="R3664" s="10" t="s">
        <v>21936</v>
      </c>
      <c r="S3664" s="11" t="s">
        <v>21948</v>
      </c>
      <c r="T3664" s="6" t="s">
        <v>299</v>
      </c>
      <c r="U3664" s="24" t="str">
        <f>HYPERLINK("https://media.infra-m.ru/1001/1001329/cover/1001329.jpg", "Обложка")</f>
        <v>Обложка</v>
      </c>
      <c r="V3664" s="24" t="str">
        <f>HYPERLINK("https://znanium.ru/catalog/product/1933143", "Ознакомиться")</f>
        <v>Ознакомиться</v>
      </c>
      <c r="W3664" s="8" t="s">
        <v>1076</v>
      </c>
      <c r="X3664" s="6"/>
      <c r="Y3664" s="6"/>
      <c r="Z3664" s="6"/>
      <c r="AA3664" s="6" t="s">
        <v>84</v>
      </c>
      <c r="AB3664" s="8"/>
    </row>
    <row r="3665" spans="1:28" s="4" customFormat="1" ht="51.95" customHeight="1">
      <c r="A3665" s="5">
        <v>0</v>
      </c>
      <c r="B3665" s="6" t="s">
        <v>21949</v>
      </c>
      <c r="C3665" s="7">
        <v>884</v>
      </c>
      <c r="D3665" s="8" t="s">
        <v>21950</v>
      </c>
      <c r="E3665" s="8" t="s">
        <v>21940</v>
      </c>
      <c r="F3665" s="8" t="s">
        <v>21951</v>
      </c>
      <c r="G3665" s="6" t="s">
        <v>89</v>
      </c>
      <c r="H3665" s="6" t="s">
        <v>53</v>
      </c>
      <c r="I3665" s="8" t="s">
        <v>116</v>
      </c>
      <c r="J3665" s="9">
        <v>1</v>
      </c>
      <c r="K3665" s="9">
        <v>192</v>
      </c>
      <c r="L3665" s="9">
        <v>2024</v>
      </c>
      <c r="M3665" s="8" t="s">
        <v>21952</v>
      </c>
      <c r="N3665" s="8" t="s">
        <v>41</v>
      </c>
      <c r="O3665" s="8" t="s">
        <v>278</v>
      </c>
      <c r="P3665" s="6" t="s">
        <v>43</v>
      </c>
      <c r="Q3665" s="8" t="s">
        <v>44</v>
      </c>
      <c r="R3665" s="10" t="s">
        <v>8490</v>
      </c>
      <c r="S3665" s="11" t="s">
        <v>120</v>
      </c>
      <c r="T3665" s="6"/>
      <c r="U3665" s="24" t="str">
        <f>HYPERLINK("https://media.infra-m.ru/2079/2079164/cover/2079164.jpg", "Обложка")</f>
        <v>Обложка</v>
      </c>
      <c r="V3665" s="24" t="str">
        <f>HYPERLINK("https://znanium.ru/catalog/product/2079164", "Ознакомиться")</f>
        <v>Ознакомиться</v>
      </c>
      <c r="W3665" s="8" t="s">
        <v>784</v>
      </c>
      <c r="X3665" s="6"/>
      <c r="Y3665" s="6"/>
      <c r="Z3665" s="6"/>
      <c r="AA3665" s="6" t="s">
        <v>72</v>
      </c>
      <c r="AB3665" s="8"/>
    </row>
    <row r="3666" spans="1:28" s="4" customFormat="1" ht="44.1" customHeight="1">
      <c r="A3666" s="5">
        <v>0</v>
      </c>
      <c r="B3666" s="6" t="s">
        <v>21953</v>
      </c>
      <c r="C3666" s="13">
        <v>1280</v>
      </c>
      <c r="D3666" s="8" t="s">
        <v>21954</v>
      </c>
      <c r="E3666" s="8" t="s">
        <v>21955</v>
      </c>
      <c r="F3666" s="8" t="s">
        <v>21956</v>
      </c>
      <c r="G3666" s="6" t="s">
        <v>52</v>
      </c>
      <c r="H3666" s="6" t="s">
        <v>53</v>
      </c>
      <c r="I3666" s="8" t="s">
        <v>116</v>
      </c>
      <c r="J3666" s="9">
        <v>1</v>
      </c>
      <c r="K3666" s="9">
        <v>244</v>
      </c>
      <c r="L3666" s="9">
        <v>2025</v>
      </c>
      <c r="M3666" s="8" t="s">
        <v>21957</v>
      </c>
      <c r="N3666" s="8" t="s">
        <v>41</v>
      </c>
      <c r="O3666" s="8" t="s">
        <v>1007</v>
      </c>
      <c r="P3666" s="6" t="s">
        <v>43</v>
      </c>
      <c r="Q3666" s="8" t="s">
        <v>44</v>
      </c>
      <c r="R3666" s="10" t="s">
        <v>21958</v>
      </c>
      <c r="S3666" s="11"/>
      <c r="T3666" s="6"/>
      <c r="U3666" s="24" t="str">
        <f>HYPERLINK("https://media.infra-m.ru/2139/2139203/cover/2139203.jpg", "Обложка")</f>
        <v>Обложка</v>
      </c>
      <c r="V3666" s="24" t="str">
        <f>HYPERLINK("https://znanium.ru/catalog/product/2139203", "Ознакомиться")</f>
        <v>Ознакомиться</v>
      </c>
      <c r="W3666" s="8" t="s">
        <v>2915</v>
      </c>
      <c r="X3666" s="6" t="s">
        <v>2790</v>
      </c>
      <c r="Y3666" s="6"/>
      <c r="Z3666" s="6"/>
      <c r="AA3666" s="6" t="s">
        <v>61</v>
      </c>
      <c r="AB3666" s="8"/>
    </row>
    <row r="3667" spans="1:28" s="4" customFormat="1" ht="42" customHeight="1">
      <c r="A3667" s="5">
        <v>0</v>
      </c>
      <c r="B3667" s="6" t="s">
        <v>21959</v>
      </c>
      <c r="C3667" s="13">
        <v>1130</v>
      </c>
      <c r="D3667" s="8" t="s">
        <v>21960</v>
      </c>
      <c r="E3667" s="8" t="s">
        <v>21961</v>
      </c>
      <c r="F3667" s="8" t="s">
        <v>6372</v>
      </c>
      <c r="G3667" s="6" t="s">
        <v>89</v>
      </c>
      <c r="H3667" s="6" t="s">
        <v>53</v>
      </c>
      <c r="I3667" s="8" t="s">
        <v>127</v>
      </c>
      <c r="J3667" s="9">
        <v>1</v>
      </c>
      <c r="K3667" s="9">
        <v>197</v>
      </c>
      <c r="L3667" s="9">
        <v>2025</v>
      </c>
      <c r="M3667" s="8" t="s">
        <v>21962</v>
      </c>
      <c r="N3667" s="8" t="s">
        <v>41</v>
      </c>
      <c r="O3667" s="8" t="s">
        <v>129</v>
      </c>
      <c r="P3667" s="6" t="s">
        <v>43</v>
      </c>
      <c r="Q3667" s="8" t="s">
        <v>58</v>
      </c>
      <c r="R3667" s="10" t="s">
        <v>21963</v>
      </c>
      <c r="S3667" s="11"/>
      <c r="T3667" s="6"/>
      <c r="U3667" s="24" t="str">
        <f>HYPERLINK("https://media.infra-m.ru/2198/2198389/cover/2198389.jpg", "Обложка")</f>
        <v>Обложка</v>
      </c>
      <c r="V3667" s="24" t="str">
        <f>HYPERLINK("https://znanium.ru/catalog/product/2139166", "Ознакомиться")</f>
        <v>Ознакомиться</v>
      </c>
      <c r="W3667" s="8" t="s">
        <v>131</v>
      </c>
      <c r="X3667" s="6"/>
      <c r="Y3667" s="6"/>
      <c r="Z3667" s="6"/>
      <c r="AA3667" s="6" t="s">
        <v>61</v>
      </c>
      <c r="AB3667" s="8" t="s">
        <v>7908</v>
      </c>
    </row>
    <row r="3668" spans="1:28" s="4" customFormat="1" ht="42" customHeight="1">
      <c r="A3668" s="5">
        <v>0</v>
      </c>
      <c r="B3668" s="6" t="s">
        <v>21964</v>
      </c>
      <c r="C3668" s="7">
        <v>880</v>
      </c>
      <c r="D3668" s="8" t="s">
        <v>21965</v>
      </c>
      <c r="E3668" s="8" t="s">
        <v>21966</v>
      </c>
      <c r="F3668" s="8" t="s">
        <v>21967</v>
      </c>
      <c r="G3668" s="6" t="s">
        <v>89</v>
      </c>
      <c r="H3668" s="6" t="s">
        <v>438</v>
      </c>
      <c r="I3668" s="8"/>
      <c r="J3668" s="9">
        <v>1</v>
      </c>
      <c r="K3668" s="9">
        <v>184</v>
      </c>
      <c r="L3668" s="9">
        <v>2023</v>
      </c>
      <c r="M3668" s="8" t="s">
        <v>21968</v>
      </c>
      <c r="N3668" s="8" t="s">
        <v>79</v>
      </c>
      <c r="O3668" s="8" t="s">
        <v>80</v>
      </c>
      <c r="P3668" s="6" t="s">
        <v>43</v>
      </c>
      <c r="Q3668" s="8" t="s">
        <v>44</v>
      </c>
      <c r="R3668" s="10" t="s">
        <v>21969</v>
      </c>
      <c r="S3668" s="11"/>
      <c r="T3668" s="6"/>
      <c r="U3668" s="24" t="str">
        <f>HYPERLINK("https://media.infra-m.ru/1916/1916387/cover/1916387.jpg", "Обложка")</f>
        <v>Обложка</v>
      </c>
      <c r="V3668" s="24" t="str">
        <f>HYPERLINK("https://znanium.ru/catalog/product/1916387", "Ознакомиться")</f>
        <v>Ознакомиться</v>
      </c>
      <c r="W3668" s="8" t="s">
        <v>1175</v>
      </c>
      <c r="X3668" s="6"/>
      <c r="Y3668" s="6"/>
      <c r="Z3668" s="6"/>
      <c r="AA3668" s="6" t="s">
        <v>442</v>
      </c>
      <c r="AB3668" s="8"/>
    </row>
    <row r="3669" spans="1:28" s="4" customFormat="1" ht="51.95" customHeight="1">
      <c r="A3669" s="5">
        <v>0</v>
      </c>
      <c r="B3669" s="6" t="s">
        <v>21970</v>
      </c>
      <c r="C3669" s="7">
        <v>650</v>
      </c>
      <c r="D3669" s="8" t="s">
        <v>21971</v>
      </c>
      <c r="E3669" s="8" t="s">
        <v>21972</v>
      </c>
      <c r="F3669" s="8" t="s">
        <v>21973</v>
      </c>
      <c r="G3669" s="6" t="s">
        <v>38</v>
      </c>
      <c r="H3669" s="6" t="s">
        <v>53</v>
      </c>
      <c r="I3669" s="8" t="s">
        <v>560</v>
      </c>
      <c r="J3669" s="9">
        <v>1</v>
      </c>
      <c r="K3669" s="9">
        <v>124</v>
      </c>
      <c r="L3669" s="9">
        <v>2025</v>
      </c>
      <c r="M3669" s="8" t="s">
        <v>21974</v>
      </c>
      <c r="N3669" s="8" t="s">
        <v>41</v>
      </c>
      <c r="O3669" s="8" t="s">
        <v>129</v>
      </c>
      <c r="P3669" s="6" t="s">
        <v>43</v>
      </c>
      <c r="Q3669" s="8" t="s">
        <v>58</v>
      </c>
      <c r="R3669" s="10" t="s">
        <v>21975</v>
      </c>
      <c r="S3669" s="11" t="s">
        <v>21976</v>
      </c>
      <c r="T3669" s="6"/>
      <c r="U3669" s="24" t="str">
        <f>HYPERLINK("https://media.infra-m.ru/2174/2174079/cover/2174079.jpg", "Обложка")</f>
        <v>Обложка</v>
      </c>
      <c r="V3669" s="24" t="str">
        <f>HYPERLINK("https://znanium.ru/catalog/product/2174079", "Ознакомиться")</f>
        <v>Ознакомиться</v>
      </c>
      <c r="W3669" s="8" t="s">
        <v>564</v>
      </c>
      <c r="X3669" s="6"/>
      <c r="Y3669" s="6"/>
      <c r="Z3669" s="6"/>
      <c r="AA3669" s="6" t="s">
        <v>258</v>
      </c>
      <c r="AB3669" s="8"/>
    </row>
    <row r="3670" spans="1:28" s="4" customFormat="1" ht="42" customHeight="1">
      <c r="A3670" s="5">
        <v>0</v>
      </c>
      <c r="B3670" s="6" t="s">
        <v>21977</v>
      </c>
      <c r="C3670" s="7">
        <v>764</v>
      </c>
      <c r="D3670" s="8" t="s">
        <v>21978</v>
      </c>
      <c r="E3670" s="8" t="s">
        <v>21979</v>
      </c>
      <c r="F3670" s="8" t="s">
        <v>21980</v>
      </c>
      <c r="G3670" s="6" t="s">
        <v>38</v>
      </c>
      <c r="H3670" s="6" t="s">
        <v>77</v>
      </c>
      <c r="I3670" s="8" t="s">
        <v>77</v>
      </c>
      <c r="J3670" s="9">
        <v>1</v>
      </c>
      <c r="K3670" s="9">
        <v>160</v>
      </c>
      <c r="L3670" s="9">
        <v>2024</v>
      </c>
      <c r="M3670" s="8" t="s">
        <v>21981</v>
      </c>
      <c r="N3670" s="8" t="s">
        <v>41</v>
      </c>
      <c r="O3670" s="8" t="s">
        <v>42</v>
      </c>
      <c r="P3670" s="6" t="s">
        <v>7733</v>
      </c>
      <c r="Q3670" s="8" t="s">
        <v>44</v>
      </c>
      <c r="R3670" s="10" t="s">
        <v>21982</v>
      </c>
      <c r="S3670" s="11"/>
      <c r="T3670" s="6"/>
      <c r="U3670" s="24" t="str">
        <f>HYPERLINK("https://media.infra-m.ru/2156/2156795/cover/2156795.jpg", "Обложка")</f>
        <v>Обложка</v>
      </c>
      <c r="V3670" s="24" t="str">
        <f>HYPERLINK("https://znanium.ru/catalog/product/2079695", "Ознакомиться")</f>
        <v>Ознакомиться</v>
      </c>
      <c r="W3670" s="8" t="s">
        <v>83</v>
      </c>
      <c r="X3670" s="6"/>
      <c r="Y3670" s="6"/>
      <c r="Z3670" s="6"/>
      <c r="AA3670" s="6" t="s">
        <v>160</v>
      </c>
      <c r="AB3670" s="8"/>
    </row>
    <row r="3671" spans="1:28" s="4" customFormat="1" ht="51.95" customHeight="1">
      <c r="A3671" s="5">
        <v>0</v>
      </c>
      <c r="B3671" s="6" t="s">
        <v>21983</v>
      </c>
      <c r="C3671" s="13">
        <v>1180</v>
      </c>
      <c r="D3671" s="8" t="s">
        <v>21984</v>
      </c>
      <c r="E3671" s="8" t="s">
        <v>21985</v>
      </c>
      <c r="F3671" s="8" t="s">
        <v>6372</v>
      </c>
      <c r="G3671" s="6" t="s">
        <v>89</v>
      </c>
      <c r="H3671" s="6" t="s">
        <v>53</v>
      </c>
      <c r="I3671" s="8" t="s">
        <v>127</v>
      </c>
      <c r="J3671" s="9">
        <v>1</v>
      </c>
      <c r="K3671" s="9">
        <v>235</v>
      </c>
      <c r="L3671" s="9">
        <v>2025</v>
      </c>
      <c r="M3671" s="8" t="s">
        <v>21986</v>
      </c>
      <c r="N3671" s="8" t="s">
        <v>41</v>
      </c>
      <c r="O3671" s="8" t="s">
        <v>676</v>
      </c>
      <c r="P3671" s="6" t="s">
        <v>43</v>
      </c>
      <c r="Q3671" s="8" t="s">
        <v>44</v>
      </c>
      <c r="R3671" s="10" t="s">
        <v>21987</v>
      </c>
      <c r="S3671" s="11"/>
      <c r="T3671" s="6"/>
      <c r="U3671" s="24" t="str">
        <f>HYPERLINK("https://media.infra-m.ru/2186/2186153/cover/2186153.jpg", "Обложка")</f>
        <v>Обложка</v>
      </c>
      <c r="V3671" s="24" t="str">
        <f>HYPERLINK("https://znanium.ru/catalog/product/2145827", "Ознакомиться")</f>
        <v>Ознакомиться</v>
      </c>
      <c r="W3671" s="8" t="s">
        <v>131</v>
      </c>
      <c r="X3671" s="6"/>
      <c r="Y3671" s="6"/>
      <c r="Z3671" s="6"/>
      <c r="AA3671" s="6" t="s">
        <v>61</v>
      </c>
      <c r="AB3671" s="8"/>
    </row>
    <row r="3672" spans="1:28" s="4" customFormat="1" ht="51.95" customHeight="1">
      <c r="A3672" s="5">
        <v>0</v>
      </c>
      <c r="B3672" s="6" t="s">
        <v>21988</v>
      </c>
      <c r="C3672" s="7">
        <v>900</v>
      </c>
      <c r="D3672" s="8" t="s">
        <v>21989</v>
      </c>
      <c r="E3672" s="8" t="s">
        <v>21990</v>
      </c>
      <c r="F3672" s="8" t="s">
        <v>21991</v>
      </c>
      <c r="G3672" s="6" t="s">
        <v>89</v>
      </c>
      <c r="H3672" s="6" t="s">
        <v>53</v>
      </c>
      <c r="I3672" s="8" t="s">
        <v>212</v>
      </c>
      <c r="J3672" s="9">
        <v>1</v>
      </c>
      <c r="K3672" s="9">
        <v>185</v>
      </c>
      <c r="L3672" s="9">
        <v>2024</v>
      </c>
      <c r="M3672" s="8" t="s">
        <v>21992</v>
      </c>
      <c r="N3672" s="8" t="s">
        <v>41</v>
      </c>
      <c r="O3672" s="8" t="s">
        <v>676</v>
      </c>
      <c r="P3672" s="6" t="s">
        <v>43</v>
      </c>
      <c r="Q3672" s="8" t="s">
        <v>214</v>
      </c>
      <c r="R3672" s="10" t="s">
        <v>21993</v>
      </c>
      <c r="S3672" s="11" t="s">
        <v>21994</v>
      </c>
      <c r="T3672" s="6"/>
      <c r="U3672" s="24" t="str">
        <f>HYPERLINK("https://media.infra-m.ru/2121/2121605/cover/2121605.jpg", "Обложка")</f>
        <v>Обложка</v>
      </c>
      <c r="V3672" s="24" t="str">
        <f>HYPERLINK("https://znanium.ru/catalog/product/2121605", "Ознакомиться")</f>
        <v>Ознакомиться</v>
      </c>
      <c r="W3672" s="8" t="s">
        <v>21995</v>
      </c>
      <c r="X3672" s="6"/>
      <c r="Y3672" s="6"/>
      <c r="Z3672" s="6"/>
      <c r="AA3672" s="6" t="s">
        <v>235</v>
      </c>
      <c r="AB3672" s="8"/>
    </row>
    <row r="3673" spans="1:28" s="4" customFormat="1" ht="51.95" customHeight="1">
      <c r="A3673" s="5">
        <v>0</v>
      </c>
      <c r="B3673" s="6" t="s">
        <v>21996</v>
      </c>
      <c r="C3673" s="7">
        <v>960</v>
      </c>
      <c r="D3673" s="8" t="s">
        <v>21997</v>
      </c>
      <c r="E3673" s="8" t="s">
        <v>21990</v>
      </c>
      <c r="F3673" s="8" t="s">
        <v>21991</v>
      </c>
      <c r="G3673" s="6" t="s">
        <v>89</v>
      </c>
      <c r="H3673" s="6" t="s">
        <v>53</v>
      </c>
      <c r="I3673" s="8" t="s">
        <v>100</v>
      </c>
      <c r="J3673" s="9">
        <v>1</v>
      </c>
      <c r="K3673" s="9">
        <v>185</v>
      </c>
      <c r="L3673" s="9">
        <v>2025</v>
      </c>
      <c r="M3673" s="8" t="s">
        <v>21998</v>
      </c>
      <c r="N3673" s="8" t="s">
        <v>41</v>
      </c>
      <c r="O3673" s="8" t="s">
        <v>676</v>
      </c>
      <c r="P3673" s="6" t="s">
        <v>43</v>
      </c>
      <c r="Q3673" s="8" t="s">
        <v>102</v>
      </c>
      <c r="R3673" s="10" t="s">
        <v>11353</v>
      </c>
      <c r="S3673" s="11" t="s">
        <v>21999</v>
      </c>
      <c r="T3673" s="6"/>
      <c r="U3673" s="24" t="str">
        <f>HYPERLINK("https://media.infra-m.ru/2143/2143935/cover/2143935.jpg", "Обложка")</f>
        <v>Обложка</v>
      </c>
      <c r="V3673" s="24" t="str">
        <f>HYPERLINK("https://znanium.ru/catalog/product/2143935", "Ознакомиться")</f>
        <v>Ознакомиться</v>
      </c>
      <c r="W3673" s="8" t="s">
        <v>21995</v>
      </c>
      <c r="X3673" s="6"/>
      <c r="Y3673" s="6"/>
      <c r="Z3673" s="6" t="s">
        <v>2565</v>
      </c>
      <c r="AA3673" s="6" t="s">
        <v>235</v>
      </c>
      <c r="AB3673" s="8"/>
    </row>
    <row r="3674" spans="1:28" s="4" customFormat="1" ht="42" customHeight="1">
      <c r="A3674" s="5">
        <v>0</v>
      </c>
      <c r="B3674" s="6" t="s">
        <v>22000</v>
      </c>
      <c r="C3674" s="13">
        <v>1430</v>
      </c>
      <c r="D3674" s="8" t="s">
        <v>22001</v>
      </c>
      <c r="E3674" s="8" t="s">
        <v>22002</v>
      </c>
      <c r="F3674" s="8" t="s">
        <v>22003</v>
      </c>
      <c r="G3674" s="6" t="s">
        <v>52</v>
      </c>
      <c r="H3674" s="6" t="s">
        <v>53</v>
      </c>
      <c r="I3674" s="8" t="s">
        <v>782</v>
      </c>
      <c r="J3674" s="9">
        <v>1</v>
      </c>
      <c r="K3674" s="9">
        <v>302</v>
      </c>
      <c r="L3674" s="9">
        <v>2024</v>
      </c>
      <c r="M3674" s="8" t="s">
        <v>22004</v>
      </c>
      <c r="N3674" s="8" t="s">
        <v>79</v>
      </c>
      <c r="O3674" s="8" t="s">
        <v>396</v>
      </c>
      <c r="P3674" s="6" t="s">
        <v>43</v>
      </c>
      <c r="Q3674" s="8" t="s">
        <v>214</v>
      </c>
      <c r="R3674" s="10" t="s">
        <v>5237</v>
      </c>
      <c r="S3674" s="11"/>
      <c r="T3674" s="6"/>
      <c r="U3674" s="24" t="str">
        <f>HYPERLINK("https://media.infra-m.ru/2125/2125180/cover/2125180.jpg", "Обложка")</f>
        <v>Обложка</v>
      </c>
      <c r="V3674" s="12"/>
      <c r="W3674" s="8" t="s">
        <v>784</v>
      </c>
      <c r="X3674" s="6"/>
      <c r="Y3674" s="6"/>
      <c r="Z3674" s="6"/>
      <c r="AA3674" s="6" t="s">
        <v>105</v>
      </c>
      <c r="AB3674" s="8"/>
    </row>
    <row r="3675" spans="1:28" s="4" customFormat="1" ht="51.95" customHeight="1">
      <c r="A3675" s="5">
        <v>0</v>
      </c>
      <c r="B3675" s="6" t="s">
        <v>22005</v>
      </c>
      <c r="C3675" s="7">
        <v>584</v>
      </c>
      <c r="D3675" s="8" t="s">
        <v>22006</v>
      </c>
      <c r="E3675" s="8" t="s">
        <v>22007</v>
      </c>
      <c r="F3675" s="8" t="s">
        <v>19523</v>
      </c>
      <c r="G3675" s="6" t="s">
        <v>38</v>
      </c>
      <c r="H3675" s="6" t="s">
        <v>53</v>
      </c>
      <c r="I3675" s="8" t="s">
        <v>90</v>
      </c>
      <c r="J3675" s="9">
        <v>1</v>
      </c>
      <c r="K3675" s="9">
        <v>117</v>
      </c>
      <c r="L3675" s="9">
        <v>2024</v>
      </c>
      <c r="M3675" s="8" t="s">
        <v>22008</v>
      </c>
      <c r="N3675" s="8" t="s">
        <v>79</v>
      </c>
      <c r="O3675" s="8" t="s">
        <v>396</v>
      </c>
      <c r="P3675" s="6" t="s">
        <v>43</v>
      </c>
      <c r="Q3675" s="8" t="s">
        <v>44</v>
      </c>
      <c r="R3675" s="10" t="s">
        <v>22009</v>
      </c>
      <c r="S3675" s="11" t="s">
        <v>22010</v>
      </c>
      <c r="T3675" s="6"/>
      <c r="U3675" s="24" t="str">
        <f>HYPERLINK("https://media.infra-m.ru/2134/2134481/cover/2134481.jpg", "Обложка")</f>
        <v>Обложка</v>
      </c>
      <c r="V3675" s="24" t="str">
        <f>HYPERLINK("https://znanium.ru/catalog/product/1910581", "Ознакомиться")</f>
        <v>Ознакомиться</v>
      </c>
      <c r="W3675" s="8" t="s">
        <v>19527</v>
      </c>
      <c r="X3675" s="6"/>
      <c r="Y3675" s="6"/>
      <c r="Z3675" s="6"/>
      <c r="AA3675" s="6" t="s">
        <v>84</v>
      </c>
      <c r="AB3675" s="8"/>
    </row>
    <row r="3676" spans="1:28" s="4" customFormat="1" ht="51.95" customHeight="1">
      <c r="A3676" s="5">
        <v>0</v>
      </c>
      <c r="B3676" s="6" t="s">
        <v>22011</v>
      </c>
      <c r="C3676" s="13">
        <v>1490</v>
      </c>
      <c r="D3676" s="8" t="s">
        <v>22012</v>
      </c>
      <c r="E3676" s="8" t="s">
        <v>22013</v>
      </c>
      <c r="F3676" s="8" t="s">
        <v>22014</v>
      </c>
      <c r="G3676" s="6" t="s">
        <v>52</v>
      </c>
      <c r="H3676" s="6" t="s">
        <v>53</v>
      </c>
      <c r="I3676" s="8" t="s">
        <v>276</v>
      </c>
      <c r="J3676" s="9">
        <v>1</v>
      </c>
      <c r="K3676" s="9">
        <v>296</v>
      </c>
      <c r="L3676" s="9">
        <v>2022</v>
      </c>
      <c r="M3676" s="8" t="s">
        <v>22015</v>
      </c>
      <c r="N3676" s="8" t="s">
        <v>413</v>
      </c>
      <c r="O3676" s="8" t="s">
        <v>414</v>
      </c>
      <c r="P3676" s="6" t="s">
        <v>167</v>
      </c>
      <c r="Q3676" s="8" t="s">
        <v>279</v>
      </c>
      <c r="R3676" s="10" t="s">
        <v>22016</v>
      </c>
      <c r="S3676" s="11" t="s">
        <v>22017</v>
      </c>
      <c r="T3676" s="6"/>
      <c r="U3676" s="24" t="str">
        <f>HYPERLINK("https://media.infra-m.ru/1225/1225035/cover/1225035.jpg", "Обложка")</f>
        <v>Обложка</v>
      </c>
      <c r="V3676" s="24" t="str">
        <f>HYPERLINK("https://znanium.ru/catalog/product/1225035", "Ознакомиться")</f>
        <v>Ознакомиться</v>
      </c>
      <c r="W3676" s="8" t="s">
        <v>5142</v>
      </c>
      <c r="X3676" s="6"/>
      <c r="Y3676" s="6"/>
      <c r="Z3676" s="6"/>
      <c r="AA3676" s="6" t="s">
        <v>235</v>
      </c>
      <c r="AB3676" s="8"/>
    </row>
    <row r="3677" spans="1:28" s="4" customFormat="1" ht="42" customHeight="1">
      <c r="A3677" s="5">
        <v>0</v>
      </c>
      <c r="B3677" s="6" t="s">
        <v>22018</v>
      </c>
      <c r="C3677" s="7">
        <v>930</v>
      </c>
      <c r="D3677" s="8" t="s">
        <v>22019</v>
      </c>
      <c r="E3677" s="8" t="s">
        <v>22020</v>
      </c>
      <c r="F3677" s="8" t="s">
        <v>22021</v>
      </c>
      <c r="G3677" s="6" t="s">
        <v>52</v>
      </c>
      <c r="H3677" s="6" t="s">
        <v>53</v>
      </c>
      <c r="I3677" s="8" t="s">
        <v>782</v>
      </c>
      <c r="J3677" s="9">
        <v>1</v>
      </c>
      <c r="K3677" s="9">
        <v>196</v>
      </c>
      <c r="L3677" s="9">
        <v>2024</v>
      </c>
      <c r="M3677" s="8" t="s">
        <v>22022</v>
      </c>
      <c r="N3677" s="8" t="s">
        <v>41</v>
      </c>
      <c r="O3677" s="8" t="s">
        <v>129</v>
      </c>
      <c r="P3677" s="6" t="s">
        <v>43</v>
      </c>
      <c r="Q3677" s="8" t="s">
        <v>58</v>
      </c>
      <c r="R3677" s="10" t="s">
        <v>22023</v>
      </c>
      <c r="S3677" s="11"/>
      <c r="T3677" s="6"/>
      <c r="U3677" s="24" t="str">
        <f>HYPERLINK("https://media.infra-m.ru/2130/2130479/cover/2130479.jpg", "Обложка")</f>
        <v>Обложка</v>
      </c>
      <c r="V3677" s="12"/>
      <c r="W3677" s="8" t="s">
        <v>22024</v>
      </c>
      <c r="X3677" s="6"/>
      <c r="Y3677" s="6"/>
      <c r="Z3677" s="6"/>
      <c r="AA3677" s="6" t="s">
        <v>133</v>
      </c>
      <c r="AB3677" s="8"/>
    </row>
    <row r="3678" spans="1:28" s="4" customFormat="1" ht="51.95" customHeight="1">
      <c r="A3678" s="5">
        <v>0</v>
      </c>
      <c r="B3678" s="6" t="s">
        <v>22025</v>
      </c>
      <c r="C3678" s="7">
        <v>664</v>
      </c>
      <c r="D3678" s="8" t="s">
        <v>22026</v>
      </c>
      <c r="E3678" s="8" t="s">
        <v>22027</v>
      </c>
      <c r="F3678" s="8" t="s">
        <v>22028</v>
      </c>
      <c r="G3678" s="6" t="s">
        <v>52</v>
      </c>
      <c r="H3678" s="6" t="s">
        <v>1738</v>
      </c>
      <c r="I3678" s="8" t="s">
        <v>3955</v>
      </c>
      <c r="J3678" s="9">
        <v>1</v>
      </c>
      <c r="K3678" s="9">
        <v>144</v>
      </c>
      <c r="L3678" s="9">
        <v>2023</v>
      </c>
      <c r="M3678" s="8" t="s">
        <v>22029</v>
      </c>
      <c r="N3678" s="8" t="s">
        <v>79</v>
      </c>
      <c r="O3678" s="8" t="s">
        <v>148</v>
      </c>
      <c r="P3678" s="6" t="s">
        <v>43</v>
      </c>
      <c r="Q3678" s="8" t="s">
        <v>279</v>
      </c>
      <c r="R3678" s="10" t="s">
        <v>22030</v>
      </c>
      <c r="S3678" s="11"/>
      <c r="T3678" s="6"/>
      <c r="U3678" s="24" t="str">
        <f>HYPERLINK("https://media.infra-m.ru/2074/2074388/cover/2074388.jpg", "Обложка")</f>
        <v>Обложка</v>
      </c>
      <c r="V3678" s="24" t="str">
        <f>HYPERLINK("https://znanium.ru/catalog/product/1008363", "Ознакомиться")</f>
        <v>Ознакомиться</v>
      </c>
      <c r="W3678" s="8" t="s">
        <v>1514</v>
      </c>
      <c r="X3678" s="6"/>
      <c r="Y3678" s="6"/>
      <c r="Z3678" s="6"/>
      <c r="AA3678" s="6" t="s">
        <v>47</v>
      </c>
      <c r="AB3678" s="8"/>
    </row>
    <row r="3679" spans="1:28" s="4" customFormat="1" ht="51.95" customHeight="1">
      <c r="A3679" s="5">
        <v>0</v>
      </c>
      <c r="B3679" s="6" t="s">
        <v>22031</v>
      </c>
      <c r="C3679" s="13">
        <v>2794.9</v>
      </c>
      <c r="D3679" s="8" t="s">
        <v>22032</v>
      </c>
      <c r="E3679" s="8" t="s">
        <v>22033</v>
      </c>
      <c r="F3679" s="8" t="s">
        <v>22034</v>
      </c>
      <c r="G3679" s="6" t="s">
        <v>89</v>
      </c>
      <c r="H3679" s="6" t="s">
        <v>39</v>
      </c>
      <c r="I3679" s="8" t="s">
        <v>212</v>
      </c>
      <c r="J3679" s="9">
        <v>1</v>
      </c>
      <c r="K3679" s="9">
        <v>623</v>
      </c>
      <c r="L3679" s="9">
        <v>2023</v>
      </c>
      <c r="M3679" s="8" t="s">
        <v>22035</v>
      </c>
      <c r="N3679" s="8" t="s">
        <v>79</v>
      </c>
      <c r="O3679" s="8" t="s">
        <v>174</v>
      </c>
      <c r="P3679" s="6" t="s">
        <v>175</v>
      </c>
      <c r="Q3679" s="8" t="s">
        <v>214</v>
      </c>
      <c r="R3679" s="10" t="s">
        <v>1134</v>
      </c>
      <c r="S3679" s="11" t="s">
        <v>22036</v>
      </c>
      <c r="T3679" s="6"/>
      <c r="U3679" s="24" t="str">
        <f>HYPERLINK("https://media.infra-m.ru/1916/1916059/cover/1916059.jpg", "Обложка")</f>
        <v>Обложка</v>
      </c>
      <c r="V3679" s="24" t="str">
        <f>HYPERLINK("https://znanium.ru/catalog/product/1912989", "Ознакомиться")</f>
        <v>Ознакомиться</v>
      </c>
      <c r="W3679" s="8" t="s">
        <v>5284</v>
      </c>
      <c r="X3679" s="6"/>
      <c r="Y3679" s="6"/>
      <c r="Z3679" s="6"/>
      <c r="AA3679" s="6" t="s">
        <v>442</v>
      </c>
      <c r="AB3679" s="8"/>
    </row>
    <row r="3680" spans="1:28" s="4" customFormat="1" ht="51.95" customHeight="1">
      <c r="A3680" s="5">
        <v>0</v>
      </c>
      <c r="B3680" s="6" t="s">
        <v>22037</v>
      </c>
      <c r="C3680" s="13">
        <v>2950</v>
      </c>
      <c r="D3680" s="8" t="s">
        <v>22038</v>
      </c>
      <c r="E3680" s="8" t="s">
        <v>22039</v>
      </c>
      <c r="F3680" s="8" t="s">
        <v>22034</v>
      </c>
      <c r="G3680" s="6" t="s">
        <v>52</v>
      </c>
      <c r="H3680" s="6" t="s">
        <v>39</v>
      </c>
      <c r="I3680" s="8" t="s">
        <v>212</v>
      </c>
      <c r="J3680" s="9">
        <v>1</v>
      </c>
      <c r="K3680" s="9">
        <v>628</v>
      </c>
      <c r="L3680" s="9">
        <v>2024</v>
      </c>
      <c r="M3680" s="8" t="s">
        <v>22040</v>
      </c>
      <c r="N3680" s="8" t="s">
        <v>79</v>
      </c>
      <c r="O3680" s="8" t="s">
        <v>174</v>
      </c>
      <c r="P3680" s="6" t="s">
        <v>175</v>
      </c>
      <c r="Q3680" s="8" t="s">
        <v>214</v>
      </c>
      <c r="R3680" s="10" t="s">
        <v>1134</v>
      </c>
      <c r="S3680" s="11" t="s">
        <v>22041</v>
      </c>
      <c r="T3680" s="6"/>
      <c r="U3680" s="24" t="str">
        <f>HYPERLINK("https://media.infra-m.ru/2133/2133575/cover/2133575.jpg", "Обложка")</f>
        <v>Обложка</v>
      </c>
      <c r="V3680" s="24" t="str">
        <f>HYPERLINK("https://znanium.ru/catalog/product/2133575", "Ознакомиться")</f>
        <v>Ознакомиться</v>
      </c>
      <c r="W3680" s="8" t="s">
        <v>5284</v>
      </c>
      <c r="X3680" s="6"/>
      <c r="Y3680" s="6"/>
      <c r="Z3680" s="6"/>
      <c r="AA3680" s="6" t="s">
        <v>151</v>
      </c>
      <c r="AB3680" s="8"/>
    </row>
    <row r="3681" spans="1:28" s="4" customFormat="1" ht="51.95" customHeight="1">
      <c r="A3681" s="5">
        <v>0</v>
      </c>
      <c r="B3681" s="6" t="s">
        <v>22042</v>
      </c>
      <c r="C3681" s="13">
        <v>1994</v>
      </c>
      <c r="D3681" s="8" t="s">
        <v>22043</v>
      </c>
      <c r="E3681" s="8" t="s">
        <v>22044</v>
      </c>
      <c r="F3681" s="8" t="s">
        <v>22045</v>
      </c>
      <c r="G3681" s="6" t="s">
        <v>52</v>
      </c>
      <c r="H3681" s="6" t="s">
        <v>39</v>
      </c>
      <c r="I3681" s="8" t="s">
        <v>90</v>
      </c>
      <c r="J3681" s="9">
        <v>1</v>
      </c>
      <c r="K3681" s="9">
        <v>400</v>
      </c>
      <c r="L3681" s="9">
        <v>2025</v>
      </c>
      <c r="M3681" s="8" t="s">
        <v>22046</v>
      </c>
      <c r="N3681" s="8" t="s">
        <v>79</v>
      </c>
      <c r="O3681" s="8" t="s">
        <v>148</v>
      </c>
      <c r="P3681" s="6" t="s">
        <v>43</v>
      </c>
      <c r="Q3681" s="8" t="s">
        <v>44</v>
      </c>
      <c r="R3681" s="10" t="s">
        <v>22047</v>
      </c>
      <c r="S3681" s="11" t="s">
        <v>22048</v>
      </c>
      <c r="T3681" s="6"/>
      <c r="U3681" s="24" t="str">
        <f>HYPERLINK("https://media.infra-m.ru/2179/2179106/cover/2179106.jpg", "Обложка")</f>
        <v>Обложка</v>
      </c>
      <c r="V3681" s="24" t="str">
        <f>HYPERLINK("https://znanium.ru/catalog/product/497601", "Ознакомиться")</f>
        <v>Ознакомиться</v>
      </c>
      <c r="W3681" s="8" t="s">
        <v>450</v>
      </c>
      <c r="X3681" s="6"/>
      <c r="Y3681" s="6"/>
      <c r="Z3681" s="6"/>
      <c r="AA3681" s="6" t="s">
        <v>84</v>
      </c>
      <c r="AB3681" s="8"/>
    </row>
    <row r="3682" spans="1:28" s="4" customFormat="1" ht="51.95" customHeight="1">
      <c r="A3682" s="5">
        <v>0</v>
      </c>
      <c r="B3682" s="6" t="s">
        <v>22049</v>
      </c>
      <c r="C3682" s="7">
        <v>424.9</v>
      </c>
      <c r="D3682" s="8" t="s">
        <v>22050</v>
      </c>
      <c r="E3682" s="8" t="s">
        <v>22051</v>
      </c>
      <c r="F3682" s="8" t="s">
        <v>22052</v>
      </c>
      <c r="G3682" s="6" t="s">
        <v>38</v>
      </c>
      <c r="H3682" s="6" t="s">
        <v>77</v>
      </c>
      <c r="I3682" s="8" t="s">
        <v>22053</v>
      </c>
      <c r="J3682" s="9">
        <v>1</v>
      </c>
      <c r="K3682" s="9">
        <v>126</v>
      </c>
      <c r="L3682" s="9">
        <v>2019</v>
      </c>
      <c r="M3682" s="8" t="s">
        <v>22054</v>
      </c>
      <c r="N3682" s="8" t="s">
        <v>41</v>
      </c>
      <c r="O3682" s="8" t="s">
        <v>1204</v>
      </c>
      <c r="P3682" s="6" t="s">
        <v>1046</v>
      </c>
      <c r="Q3682" s="8" t="s">
        <v>279</v>
      </c>
      <c r="R3682" s="10" t="s">
        <v>22055</v>
      </c>
      <c r="S3682" s="11"/>
      <c r="T3682" s="6"/>
      <c r="U3682" s="12"/>
      <c r="V3682" s="24" t="str">
        <f>HYPERLINK("https://znanium.ru/catalog/product/1919481", "Ознакомиться")</f>
        <v>Ознакомиться</v>
      </c>
      <c r="W3682" s="8" t="s">
        <v>83</v>
      </c>
      <c r="X3682" s="6"/>
      <c r="Y3682" s="6"/>
      <c r="Z3682" s="6"/>
      <c r="AA3682" s="6" t="s">
        <v>111</v>
      </c>
      <c r="AB3682" s="8"/>
    </row>
    <row r="3683" spans="1:28" s="4" customFormat="1" ht="51.95" customHeight="1">
      <c r="A3683" s="5">
        <v>0</v>
      </c>
      <c r="B3683" s="6" t="s">
        <v>22056</v>
      </c>
      <c r="C3683" s="7">
        <v>590</v>
      </c>
      <c r="D3683" s="8" t="s">
        <v>22057</v>
      </c>
      <c r="E3683" s="8" t="s">
        <v>22058</v>
      </c>
      <c r="F3683" s="8" t="s">
        <v>22059</v>
      </c>
      <c r="G3683" s="6" t="s">
        <v>52</v>
      </c>
      <c r="H3683" s="6" t="s">
        <v>77</v>
      </c>
      <c r="I3683" s="8"/>
      <c r="J3683" s="9">
        <v>1</v>
      </c>
      <c r="K3683" s="9">
        <v>203</v>
      </c>
      <c r="L3683" s="9">
        <v>2017</v>
      </c>
      <c r="M3683" s="8" t="s">
        <v>22060</v>
      </c>
      <c r="N3683" s="8" t="s">
        <v>41</v>
      </c>
      <c r="O3683" s="8" t="s">
        <v>1204</v>
      </c>
      <c r="P3683" s="6" t="s">
        <v>1046</v>
      </c>
      <c r="Q3683" s="8" t="s">
        <v>1047</v>
      </c>
      <c r="R3683" s="10" t="s">
        <v>22061</v>
      </c>
      <c r="S3683" s="11"/>
      <c r="T3683" s="6"/>
      <c r="U3683" s="24" t="str">
        <f>HYPERLINK("https://media.infra-m.ru/0966/0966594/cover/966594.jpg", "Обложка")</f>
        <v>Обложка</v>
      </c>
      <c r="V3683" s="24" t="str">
        <f>HYPERLINK("https://znanium.ru/catalog/product/916098", "Ознакомиться")</f>
        <v>Ознакомиться</v>
      </c>
      <c r="W3683" s="8" t="s">
        <v>7320</v>
      </c>
      <c r="X3683" s="6"/>
      <c r="Y3683" s="6"/>
      <c r="Z3683" s="6"/>
      <c r="AA3683" s="6" t="s">
        <v>442</v>
      </c>
      <c r="AB3683" s="8"/>
    </row>
    <row r="3684" spans="1:28" s="4" customFormat="1" ht="51.95" customHeight="1">
      <c r="A3684" s="5">
        <v>0</v>
      </c>
      <c r="B3684" s="6" t="s">
        <v>22062</v>
      </c>
      <c r="C3684" s="13">
        <v>1800</v>
      </c>
      <c r="D3684" s="8" t="s">
        <v>22063</v>
      </c>
      <c r="E3684" s="8" t="s">
        <v>22064</v>
      </c>
      <c r="F3684" s="8" t="s">
        <v>9344</v>
      </c>
      <c r="G3684" s="6" t="s">
        <v>89</v>
      </c>
      <c r="H3684" s="6" t="s">
        <v>674</v>
      </c>
      <c r="I3684" s="8"/>
      <c r="J3684" s="9">
        <v>1</v>
      </c>
      <c r="K3684" s="9">
        <v>384</v>
      </c>
      <c r="L3684" s="9">
        <v>2024</v>
      </c>
      <c r="M3684" s="8" t="s">
        <v>22065</v>
      </c>
      <c r="N3684" s="8" t="s">
        <v>41</v>
      </c>
      <c r="O3684" s="8" t="s">
        <v>1204</v>
      </c>
      <c r="P3684" s="6" t="s">
        <v>167</v>
      </c>
      <c r="Q3684" s="8" t="s">
        <v>44</v>
      </c>
      <c r="R3684" s="10" t="s">
        <v>22066</v>
      </c>
      <c r="S3684" s="11"/>
      <c r="T3684" s="6"/>
      <c r="U3684" s="24" t="str">
        <f>HYPERLINK("https://media.infra-m.ru/2110/2110910/cover/2110910.jpg", "Обложка")</f>
        <v>Обложка</v>
      </c>
      <c r="V3684" s="24" t="str">
        <f>HYPERLINK("https://znanium.ru/catalog/product/2110910", "Ознакомиться")</f>
        <v>Ознакомиться</v>
      </c>
      <c r="W3684" s="8" t="s">
        <v>189</v>
      </c>
      <c r="X3684" s="6"/>
      <c r="Y3684" s="6"/>
      <c r="Z3684" s="6"/>
      <c r="AA3684" s="6" t="s">
        <v>2001</v>
      </c>
      <c r="AB3684" s="8"/>
    </row>
    <row r="3685" spans="1:28" s="4" customFormat="1" ht="51.95" customHeight="1">
      <c r="A3685" s="5">
        <v>0</v>
      </c>
      <c r="B3685" s="6" t="s">
        <v>22067</v>
      </c>
      <c r="C3685" s="13">
        <v>2024</v>
      </c>
      <c r="D3685" s="8" t="s">
        <v>22068</v>
      </c>
      <c r="E3685" s="8" t="s">
        <v>22069</v>
      </c>
      <c r="F3685" s="8" t="s">
        <v>11038</v>
      </c>
      <c r="G3685" s="6" t="s">
        <v>89</v>
      </c>
      <c r="H3685" s="6" t="s">
        <v>53</v>
      </c>
      <c r="I3685" s="8" t="s">
        <v>90</v>
      </c>
      <c r="J3685" s="9">
        <v>1</v>
      </c>
      <c r="K3685" s="9">
        <v>403</v>
      </c>
      <c r="L3685" s="9">
        <v>2025</v>
      </c>
      <c r="M3685" s="8" t="s">
        <v>22070</v>
      </c>
      <c r="N3685" s="8" t="s">
        <v>41</v>
      </c>
      <c r="O3685" s="8" t="s">
        <v>1204</v>
      </c>
      <c r="P3685" s="6" t="s">
        <v>43</v>
      </c>
      <c r="Q3685" s="8" t="s">
        <v>44</v>
      </c>
      <c r="R3685" s="10" t="s">
        <v>9126</v>
      </c>
      <c r="S3685" s="11" t="s">
        <v>22071</v>
      </c>
      <c r="T3685" s="6"/>
      <c r="U3685" s="24" t="str">
        <f>HYPERLINK("https://media.infra-m.ru/2188/2188205/cover/2188205.jpg", "Обложка")</f>
        <v>Обложка</v>
      </c>
      <c r="V3685" s="24" t="str">
        <f>HYPERLINK("https://znanium.ru/catalog/product/1011084", "Ознакомиться")</f>
        <v>Ознакомиться</v>
      </c>
      <c r="W3685" s="8" t="s">
        <v>10326</v>
      </c>
      <c r="X3685" s="6"/>
      <c r="Y3685" s="6"/>
      <c r="Z3685" s="6"/>
      <c r="AA3685" s="6" t="s">
        <v>513</v>
      </c>
      <c r="AB3685" s="8"/>
    </row>
    <row r="3686" spans="1:28" s="4" customFormat="1" ht="51.95" customHeight="1">
      <c r="A3686" s="5">
        <v>0</v>
      </c>
      <c r="B3686" s="6" t="s">
        <v>22072</v>
      </c>
      <c r="C3686" s="13">
        <v>1384.9</v>
      </c>
      <c r="D3686" s="8" t="s">
        <v>22073</v>
      </c>
      <c r="E3686" s="8" t="s">
        <v>22074</v>
      </c>
      <c r="F3686" s="8" t="s">
        <v>19265</v>
      </c>
      <c r="G3686" s="6" t="s">
        <v>52</v>
      </c>
      <c r="H3686" s="6" t="s">
        <v>649</v>
      </c>
      <c r="I3686" s="8" t="s">
        <v>116</v>
      </c>
      <c r="J3686" s="9">
        <v>1</v>
      </c>
      <c r="K3686" s="9">
        <v>432</v>
      </c>
      <c r="L3686" s="9">
        <v>2019</v>
      </c>
      <c r="M3686" s="8" t="s">
        <v>22075</v>
      </c>
      <c r="N3686" s="8" t="s">
        <v>41</v>
      </c>
      <c r="O3686" s="8" t="s">
        <v>1204</v>
      </c>
      <c r="P3686" s="6" t="s">
        <v>43</v>
      </c>
      <c r="Q3686" s="8" t="s">
        <v>44</v>
      </c>
      <c r="R3686" s="10" t="s">
        <v>9126</v>
      </c>
      <c r="S3686" s="11" t="s">
        <v>22076</v>
      </c>
      <c r="T3686" s="6"/>
      <c r="U3686" s="24" t="str">
        <f>HYPERLINK("https://media.infra-m.ru/0987/0987920/cover/987920.jpg", "Обложка")</f>
        <v>Обложка</v>
      </c>
      <c r="V3686" s="24" t="str">
        <f>HYPERLINK("https://znanium.ru/catalog/product/1011084", "Ознакомиться")</f>
        <v>Ознакомиться</v>
      </c>
      <c r="W3686" s="8" t="s">
        <v>10326</v>
      </c>
      <c r="X3686" s="6"/>
      <c r="Y3686" s="6"/>
      <c r="Z3686" s="6"/>
      <c r="AA3686" s="6" t="s">
        <v>654</v>
      </c>
      <c r="AB3686" s="8"/>
    </row>
    <row r="3687" spans="1:28" s="4" customFormat="1" ht="51.95" customHeight="1">
      <c r="A3687" s="5">
        <v>0</v>
      </c>
      <c r="B3687" s="6" t="s">
        <v>22077</v>
      </c>
      <c r="C3687" s="13">
        <v>1360</v>
      </c>
      <c r="D3687" s="8" t="s">
        <v>22078</v>
      </c>
      <c r="E3687" s="8" t="s">
        <v>22079</v>
      </c>
      <c r="F3687" s="8" t="s">
        <v>22080</v>
      </c>
      <c r="G3687" s="6" t="s">
        <v>52</v>
      </c>
      <c r="H3687" s="6" t="s">
        <v>53</v>
      </c>
      <c r="I3687" s="8" t="s">
        <v>165</v>
      </c>
      <c r="J3687" s="9">
        <v>1</v>
      </c>
      <c r="K3687" s="9">
        <v>266</v>
      </c>
      <c r="L3687" s="9">
        <v>2024</v>
      </c>
      <c r="M3687" s="8" t="s">
        <v>22081</v>
      </c>
      <c r="N3687" s="8" t="s">
        <v>41</v>
      </c>
      <c r="O3687" s="8" t="s">
        <v>1204</v>
      </c>
      <c r="P3687" s="6" t="s">
        <v>167</v>
      </c>
      <c r="Q3687" s="8" t="s">
        <v>58</v>
      </c>
      <c r="R3687" s="10" t="s">
        <v>22082</v>
      </c>
      <c r="S3687" s="11"/>
      <c r="T3687" s="6"/>
      <c r="U3687" s="24" t="str">
        <f>HYPERLINK("https://media.infra-m.ru/2132/2132118/cover/2132118.jpg", "Обложка")</f>
        <v>Обложка</v>
      </c>
      <c r="V3687" s="24" t="str">
        <f>HYPERLINK("https://znanium.ru/catalog/product/2132118", "Ознакомиться")</f>
        <v>Ознакомиться</v>
      </c>
      <c r="W3687" s="8" t="s">
        <v>83</v>
      </c>
      <c r="X3687" s="6" t="s">
        <v>785</v>
      </c>
      <c r="Y3687" s="6"/>
      <c r="Z3687" s="6"/>
      <c r="AA3687" s="6" t="s">
        <v>133</v>
      </c>
      <c r="AB3687" s="8"/>
    </row>
    <row r="3688" spans="1:28" s="4" customFormat="1" ht="51.95" customHeight="1">
      <c r="A3688" s="5">
        <v>0</v>
      </c>
      <c r="B3688" s="6" t="s">
        <v>22083</v>
      </c>
      <c r="C3688" s="13">
        <v>1684</v>
      </c>
      <c r="D3688" s="8" t="s">
        <v>22084</v>
      </c>
      <c r="E3688" s="8" t="s">
        <v>22079</v>
      </c>
      <c r="F3688" s="8" t="s">
        <v>19265</v>
      </c>
      <c r="G3688" s="6" t="s">
        <v>52</v>
      </c>
      <c r="H3688" s="6" t="s">
        <v>649</v>
      </c>
      <c r="I3688" s="8" t="s">
        <v>116</v>
      </c>
      <c r="J3688" s="9">
        <v>1</v>
      </c>
      <c r="K3688" s="9">
        <v>336</v>
      </c>
      <c r="L3688" s="9">
        <v>2025</v>
      </c>
      <c r="M3688" s="8" t="s">
        <v>22085</v>
      </c>
      <c r="N3688" s="8" t="s">
        <v>41</v>
      </c>
      <c r="O3688" s="8" t="s">
        <v>1204</v>
      </c>
      <c r="P3688" s="6" t="s">
        <v>43</v>
      </c>
      <c r="Q3688" s="8" t="s">
        <v>44</v>
      </c>
      <c r="R3688" s="10" t="s">
        <v>22086</v>
      </c>
      <c r="S3688" s="11"/>
      <c r="T3688" s="6"/>
      <c r="U3688" s="24" t="str">
        <f>HYPERLINK("https://media.infra-m.ru/2174/2174442/cover/2174442.jpg", "Обложка")</f>
        <v>Обложка</v>
      </c>
      <c r="V3688" s="24" t="str">
        <f>HYPERLINK("https://znanium.ru/catalog/product/1176851", "Ознакомиться")</f>
        <v>Ознакомиться</v>
      </c>
      <c r="W3688" s="8" t="s">
        <v>10326</v>
      </c>
      <c r="X3688" s="6"/>
      <c r="Y3688" s="6"/>
      <c r="Z3688" s="6"/>
      <c r="AA3688" s="6" t="s">
        <v>122</v>
      </c>
      <c r="AB3688" s="8"/>
    </row>
    <row r="3689" spans="1:28" s="4" customFormat="1" ht="51.95" customHeight="1">
      <c r="A3689" s="5">
        <v>0</v>
      </c>
      <c r="B3689" s="6" t="s">
        <v>22087</v>
      </c>
      <c r="C3689" s="13">
        <v>3290</v>
      </c>
      <c r="D3689" s="8" t="s">
        <v>22088</v>
      </c>
      <c r="E3689" s="8" t="s">
        <v>22089</v>
      </c>
      <c r="F3689" s="8" t="s">
        <v>267</v>
      </c>
      <c r="G3689" s="6" t="s">
        <v>52</v>
      </c>
      <c r="H3689" s="6" t="s">
        <v>53</v>
      </c>
      <c r="I3689" s="8" t="s">
        <v>116</v>
      </c>
      <c r="J3689" s="9">
        <v>1</v>
      </c>
      <c r="K3689" s="9">
        <v>659</v>
      </c>
      <c r="L3689" s="9">
        <v>2025</v>
      </c>
      <c r="M3689" s="8" t="s">
        <v>22090</v>
      </c>
      <c r="N3689" s="8" t="s">
        <v>41</v>
      </c>
      <c r="O3689" s="8" t="s">
        <v>1204</v>
      </c>
      <c r="P3689" s="6" t="s">
        <v>167</v>
      </c>
      <c r="Q3689" s="8" t="s">
        <v>44</v>
      </c>
      <c r="R3689" s="10" t="s">
        <v>22091</v>
      </c>
      <c r="S3689" s="11" t="s">
        <v>22092</v>
      </c>
      <c r="T3689" s="6"/>
      <c r="U3689" s="24" t="str">
        <f>HYPERLINK("https://media.infra-m.ru/2172/2172560/cover/2172560.jpg", "Обложка")</f>
        <v>Обложка</v>
      </c>
      <c r="V3689" s="24" t="str">
        <f>HYPERLINK("https://znanium.ru/catalog/product/2172560", "Ознакомиться")</f>
        <v>Ознакомиться</v>
      </c>
      <c r="W3689" s="8" t="s">
        <v>189</v>
      </c>
      <c r="X3689" s="6"/>
      <c r="Y3689" s="6"/>
      <c r="Z3689" s="6"/>
      <c r="AA3689" s="6" t="s">
        <v>235</v>
      </c>
      <c r="AB3689" s="8" t="s">
        <v>8790</v>
      </c>
    </row>
    <row r="3690" spans="1:28" s="4" customFormat="1" ht="51.95" customHeight="1">
      <c r="A3690" s="5">
        <v>0</v>
      </c>
      <c r="B3690" s="6" t="s">
        <v>22093</v>
      </c>
      <c r="C3690" s="7">
        <v>460</v>
      </c>
      <c r="D3690" s="8" t="s">
        <v>22094</v>
      </c>
      <c r="E3690" s="8" t="s">
        <v>22095</v>
      </c>
      <c r="F3690" s="8" t="s">
        <v>22096</v>
      </c>
      <c r="G3690" s="6" t="s">
        <v>38</v>
      </c>
      <c r="H3690" s="6" t="s">
        <v>53</v>
      </c>
      <c r="I3690" s="8" t="s">
        <v>116</v>
      </c>
      <c r="J3690" s="9">
        <v>1</v>
      </c>
      <c r="K3690" s="9">
        <v>98</v>
      </c>
      <c r="L3690" s="9">
        <v>2024</v>
      </c>
      <c r="M3690" s="8" t="s">
        <v>22097</v>
      </c>
      <c r="N3690" s="8" t="s">
        <v>41</v>
      </c>
      <c r="O3690" s="8" t="s">
        <v>1204</v>
      </c>
      <c r="P3690" s="6" t="s">
        <v>43</v>
      </c>
      <c r="Q3690" s="8" t="s">
        <v>58</v>
      </c>
      <c r="R3690" s="10" t="s">
        <v>22098</v>
      </c>
      <c r="S3690" s="11"/>
      <c r="T3690" s="6"/>
      <c r="U3690" s="24" t="str">
        <f>HYPERLINK("https://media.infra-m.ru/2084/2084489/cover/2084489.jpg", "Обложка")</f>
        <v>Обложка</v>
      </c>
      <c r="V3690" s="24" t="str">
        <f>HYPERLINK("https://znanium.ru/catalog/product/2084489", "Ознакомиться")</f>
        <v>Ознакомиться</v>
      </c>
      <c r="W3690" s="8" t="s">
        <v>1064</v>
      </c>
      <c r="X3690" s="6"/>
      <c r="Y3690" s="6"/>
      <c r="Z3690" s="6"/>
      <c r="AA3690" s="6" t="s">
        <v>442</v>
      </c>
      <c r="AB3690" s="8"/>
    </row>
    <row r="3691" spans="1:28" s="4" customFormat="1" ht="51.95" customHeight="1">
      <c r="A3691" s="5">
        <v>0</v>
      </c>
      <c r="B3691" s="6" t="s">
        <v>22099</v>
      </c>
      <c r="C3691" s="7">
        <v>960</v>
      </c>
      <c r="D3691" s="8" t="s">
        <v>22100</v>
      </c>
      <c r="E3691" s="8" t="s">
        <v>22101</v>
      </c>
      <c r="F3691" s="8" t="s">
        <v>22102</v>
      </c>
      <c r="G3691" s="6" t="s">
        <v>89</v>
      </c>
      <c r="H3691" s="6" t="s">
        <v>53</v>
      </c>
      <c r="I3691" s="8" t="s">
        <v>1779</v>
      </c>
      <c r="J3691" s="9">
        <v>1</v>
      </c>
      <c r="K3691" s="9">
        <v>208</v>
      </c>
      <c r="L3691" s="9">
        <v>2024</v>
      </c>
      <c r="M3691" s="8" t="s">
        <v>22103</v>
      </c>
      <c r="N3691" s="8" t="s">
        <v>41</v>
      </c>
      <c r="O3691" s="8" t="s">
        <v>1204</v>
      </c>
      <c r="P3691" s="6" t="s">
        <v>43</v>
      </c>
      <c r="Q3691" s="8" t="s">
        <v>44</v>
      </c>
      <c r="R3691" s="10" t="s">
        <v>22104</v>
      </c>
      <c r="S3691" s="11" t="s">
        <v>22105</v>
      </c>
      <c r="T3691" s="6"/>
      <c r="U3691" s="24" t="str">
        <f>HYPERLINK("https://media.infra-m.ru/2110/2110939/cover/2110939.jpg", "Обложка")</f>
        <v>Обложка</v>
      </c>
      <c r="V3691" s="24" t="str">
        <f>HYPERLINK("https://znanium.ru/catalog/product/2110939", "Ознакомиться")</f>
        <v>Ознакомиться</v>
      </c>
      <c r="W3691" s="8" t="s">
        <v>206</v>
      </c>
      <c r="X3691" s="6"/>
      <c r="Y3691" s="6"/>
      <c r="Z3691" s="6"/>
      <c r="AA3691" s="6" t="s">
        <v>793</v>
      </c>
      <c r="AB3691" s="8"/>
    </row>
    <row r="3692" spans="1:28" s="4" customFormat="1" ht="51.95" customHeight="1">
      <c r="A3692" s="5">
        <v>0</v>
      </c>
      <c r="B3692" s="6" t="s">
        <v>22106</v>
      </c>
      <c r="C3692" s="7">
        <v>964</v>
      </c>
      <c r="D3692" s="8" t="s">
        <v>22107</v>
      </c>
      <c r="E3692" s="8" t="s">
        <v>22108</v>
      </c>
      <c r="F3692" s="8" t="s">
        <v>8683</v>
      </c>
      <c r="G3692" s="6" t="s">
        <v>89</v>
      </c>
      <c r="H3692" s="6" t="s">
        <v>53</v>
      </c>
      <c r="I3692" s="8" t="s">
        <v>90</v>
      </c>
      <c r="J3692" s="9">
        <v>1</v>
      </c>
      <c r="K3692" s="9">
        <v>209</v>
      </c>
      <c r="L3692" s="9">
        <v>2024</v>
      </c>
      <c r="M3692" s="8" t="s">
        <v>22109</v>
      </c>
      <c r="N3692" s="8" t="s">
        <v>41</v>
      </c>
      <c r="O3692" s="8" t="s">
        <v>1204</v>
      </c>
      <c r="P3692" s="6" t="s">
        <v>43</v>
      </c>
      <c r="Q3692" s="8" t="s">
        <v>44</v>
      </c>
      <c r="R3692" s="10" t="s">
        <v>22110</v>
      </c>
      <c r="S3692" s="11" t="s">
        <v>22111</v>
      </c>
      <c r="T3692" s="6"/>
      <c r="U3692" s="24" t="str">
        <f>HYPERLINK("https://media.infra-m.ru/2002/2002595/cover/2002595.jpg", "Обложка")</f>
        <v>Обложка</v>
      </c>
      <c r="V3692" s="24" t="str">
        <f>HYPERLINK("https://znanium.ru/catalog/product/988358", "Ознакомиться")</f>
        <v>Ознакомиться</v>
      </c>
      <c r="W3692" s="8" t="s">
        <v>354</v>
      </c>
      <c r="X3692" s="6"/>
      <c r="Y3692" s="6"/>
      <c r="Z3692" s="6"/>
      <c r="AA3692" s="6" t="s">
        <v>442</v>
      </c>
      <c r="AB3692" s="8" t="s">
        <v>840</v>
      </c>
    </row>
    <row r="3693" spans="1:28" s="4" customFormat="1" ht="42" customHeight="1">
      <c r="A3693" s="5">
        <v>0</v>
      </c>
      <c r="B3693" s="6" t="s">
        <v>22112</v>
      </c>
      <c r="C3693" s="13">
        <v>1364</v>
      </c>
      <c r="D3693" s="8" t="s">
        <v>22113</v>
      </c>
      <c r="E3693" s="8" t="s">
        <v>22114</v>
      </c>
      <c r="F3693" s="8" t="s">
        <v>22115</v>
      </c>
      <c r="G3693" s="6" t="s">
        <v>89</v>
      </c>
      <c r="H3693" s="6" t="s">
        <v>184</v>
      </c>
      <c r="I3693" s="8" t="s">
        <v>90</v>
      </c>
      <c r="J3693" s="9">
        <v>1</v>
      </c>
      <c r="K3693" s="9">
        <v>274</v>
      </c>
      <c r="L3693" s="9">
        <v>2025</v>
      </c>
      <c r="M3693" s="8" t="s">
        <v>22116</v>
      </c>
      <c r="N3693" s="8" t="s">
        <v>41</v>
      </c>
      <c r="O3693" s="8" t="s">
        <v>1204</v>
      </c>
      <c r="P3693" s="6" t="s">
        <v>43</v>
      </c>
      <c r="Q3693" s="8" t="s">
        <v>44</v>
      </c>
      <c r="R3693" s="10" t="s">
        <v>22117</v>
      </c>
      <c r="S3693" s="11"/>
      <c r="T3693" s="6"/>
      <c r="U3693" s="24" t="str">
        <f>HYPERLINK("https://media.infra-m.ru/2171/2171175/cover/2171175.jpg", "Обложка")</f>
        <v>Обложка</v>
      </c>
      <c r="V3693" s="24" t="str">
        <f>HYPERLINK("https://znanium.ru/catalog/product/2129568", "Ознакомиться")</f>
        <v>Ознакомиться</v>
      </c>
      <c r="W3693" s="8"/>
      <c r="X3693" s="6"/>
      <c r="Y3693" s="6"/>
      <c r="Z3693" s="6"/>
      <c r="AA3693" s="6" t="s">
        <v>151</v>
      </c>
      <c r="AB3693" s="8"/>
    </row>
    <row r="3694" spans="1:28" s="4" customFormat="1" ht="51.95" customHeight="1">
      <c r="A3694" s="5">
        <v>0</v>
      </c>
      <c r="B3694" s="6" t="s">
        <v>22118</v>
      </c>
      <c r="C3694" s="13">
        <v>1320</v>
      </c>
      <c r="D3694" s="8" t="s">
        <v>22119</v>
      </c>
      <c r="E3694" s="8" t="s">
        <v>22120</v>
      </c>
      <c r="F3694" s="8" t="s">
        <v>22121</v>
      </c>
      <c r="G3694" s="6" t="s">
        <v>89</v>
      </c>
      <c r="H3694" s="6" t="s">
        <v>184</v>
      </c>
      <c r="I3694" s="8" t="s">
        <v>116</v>
      </c>
      <c r="J3694" s="9">
        <v>1</v>
      </c>
      <c r="K3694" s="9">
        <v>288</v>
      </c>
      <c r="L3694" s="9">
        <v>2024</v>
      </c>
      <c r="M3694" s="8" t="s">
        <v>22122</v>
      </c>
      <c r="N3694" s="8" t="s">
        <v>41</v>
      </c>
      <c r="O3694" s="8" t="s">
        <v>1204</v>
      </c>
      <c r="P3694" s="6" t="s">
        <v>167</v>
      </c>
      <c r="Q3694" s="8" t="s">
        <v>44</v>
      </c>
      <c r="R3694" s="10" t="s">
        <v>22117</v>
      </c>
      <c r="S3694" s="11" t="s">
        <v>22123</v>
      </c>
      <c r="T3694" s="6"/>
      <c r="U3694" s="24" t="str">
        <f>HYPERLINK("https://media.infra-m.ru/2103/2103697/cover/2103697.jpg", "Обложка")</f>
        <v>Обложка</v>
      </c>
      <c r="V3694" s="24" t="str">
        <f>HYPERLINK("https://znanium.ru/catalog/product/2103697", "Ознакомиться")</f>
        <v>Ознакомиться</v>
      </c>
      <c r="W3694" s="8" t="s">
        <v>637</v>
      </c>
      <c r="X3694" s="6"/>
      <c r="Y3694" s="6"/>
      <c r="Z3694" s="6"/>
      <c r="AA3694" s="6" t="s">
        <v>122</v>
      </c>
      <c r="AB3694" s="8"/>
    </row>
    <row r="3695" spans="1:28" s="4" customFormat="1" ht="51.95" customHeight="1">
      <c r="A3695" s="5">
        <v>0</v>
      </c>
      <c r="B3695" s="6" t="s">
        <v>22124</v>
      </c>
      <c r="C3695" s="13">
        <v>2564</v>
      </c>
      <c r="D3695" s="8" t="s">
        <v>22125</v>
      </c>
      <c r="E3695" s="8" t="s">
        <v>22126</v>
      </c>
      <c r="F3695" s="8" t="s">
        <v>22127</v>
      </c>
      <c r="G3695" s="6" t="s">
        <v>89</v>
      </c>
      <c r="H3695" s="6" t="s">
        <v>1094</v>
      </c>
      <c r="I3695" s="8"/>
      <c r="J3695" s="9">
        <v>1</v>
      </c>
      <c r="K3695" s="9">
        <v>512</v>
      </c>
      <c r="L3695" s="9">
        <v>2025</v>
      </c>
      <c r="M3695" s="8" t="s">
        <v>22128</v>
      </c>
      <c r="N3695" s="8" t="s">
        <v>41</v>
      </c>
      <c r="O3695" s="8" t="s">
        <v>1204</v>
      </c>
      <c r="P3695" s="6" t="s">
        <v>167</v>
      </c>
      <c r="Q3695" s="8" t="s">
        <v>44</v>
      </c>
      <c r="R3695" s="10" t="s">
        <v>1205</v>
      </c>
      <c r="S3695" s="11" t="s">
        <v>22129</v>
      </c>
      <c r="T3695" s="6"/>
      <c r="U3695" s="24" t="str">
        <f>HYPERLINK("https://media.infra-m.ru/2184/2184947/cover/2184947.jpg", "Обложка")</f>
        <v>Обложка</v>
      </c>
      <c r="V3695" s="24" t="str">
        <f>HYPERLINK("https://znanium.ru/catalog/product/2184947", "Ознакомиться")</f>
        <v>Ознакомиться</v>
      </c>
      <c r="W3695" s="8" t="s">
        <v>808</v>
      </c>
      <c r="X3695" s="6"/>
      <c r="Y3695" s="6"/>
      <c r="Z3695" s="6"/>
      <c r="AA3695" s="6" t="s">
        <v>663</v>
      </c>
      <c r="AB3695" s="8"/>
    </row>
    <row r="3696" spans="1:28" s="4" customFormat="1" ht="51.95" customHeight="1">
      <c r="A3696" s="5">
        <v>0</v>
      </c>
      <c r="B3696" s="6" t="s">
        <v>22130</v>
      </c>
      <c r="C3696" s="13">
        <v>1994</v>
      </c>
      <c r="D3696" s="8" t="s">
        <v>22131</v>
      </c>
      <c r="E3696" s="8" t="s">
        <v>22120</v>
      </c>
      <c r="F3696" s="8" t="s">
        <v>22132</v>
      </c>
      <c r="G3696" s="6" t="s">
        <v>52</v>
      </c>
      <c r="H3696" s="6" t="s">
        <v>53</v>
      </c>
      <c r="I3696" s="8" t="s">
        <v>90</v>
      </c>
      <c r="J3696" s="9">
        <v>1</v>
      </c>
      <c r="K3696" s="9">
        <v>384</v>
      </c>
      <c r="L3696" s="9">
        <v>2025</v>
      </c>
      <c r="M3696" s="8" t="s">
        <v>22133</v>
      </c>
      <c r="N3696" s="8" t="s">
        <v>41</v>
      </c>
      <c r="O3696" s="8" t="s">
        <v>1204</v>
      </c>
      <c r="P3696" s="6" t="s">
        <v>167</v>
      </c>
      <c r="Q3696" s="8" t="s">
        <v>44</v>
      </c>
      <c r="R3696" s="10" t="s">
        <v>22117</v>
      </c>
      <c r="S3696" s="11" t="s">
        <v>22134</v>
      </c>
      <c r="T3696" s="6"/>
      <c r="U3696" s="24" t="str">
        <f>HYPERLINK("https://media.infra-m.ru/2185/2185323/cover/2185323.jpg", "Обложка")</f>
        <v>Обложка</v>
      </c>
      <c r="V3696" s="24" t="str">
        <f>HYPERLINK("https://znanium.ru/catalog/product/1913864", "Ознакомиться")</f>
        <v>Ознакомиться</v>
      </c>
      <c r="W3696" s="8" t="s">
        <v>22135</v>
      </c>
      <c r="X3696" s="6"/>
      <c r="Y3696" s="6"/>
      <c r="Z3696" s="6"/>
      <c r="AA3696" s="6" t="s">
        <v>122</v>
      </c>
      <c r="AB3696" s="8"/>
    </row>
    <row r="3697" spans="1:28" s="4" customFormat="1" ht="51.95" customHeight="1">
      <c r="A3697" s="5">
        <v>0</v>
      </c>
      <c r="B3697" s="6" t="s">
        <v>22136</v>
      </c>
      <c r="C3697" s="13">
        <v>1730</v>
      </c>
      <c r="D3697" s="8" t="s">
        <v>22137</v>
      </c>
      <c r="E3697" s="8" t="s">
        <v>22120</v>
      </c>
      <c r="F3697" s="8" t="s">
        <v>22138</v>
      </c>
      <c r="G3697" s="6" t="s">
        <v>89</v>
      </c>
      <c r="H3697" s="6" t="s">
        <v>53</v>
      </c>
      <c r="I3697" s="8" t="s">
        <v>212</v>
      </c>
      <c r="J3697" s="9">
        <v>1</v>
      </c>
      <c r="K3697" s="9">
        <v>384</v>
      </c>
      <c r="L3697" s="9">
        <v>2021</v>
      </c>
      <c r="M3697" s="8" t="s">
        <v>22139</v>
      </c>
      <c r="N3697" s="8" t="s">
        <v>41</v>
      </c>
      <c r="O3697" s="8" t="s">
        <v>1204</v>
      </c>
      <c r="P3697" s="6" t="s">
        <v>167</v>
      </c>
      <c r="Q3697" s="8" t="s">
        <v>214</v>
      </c>
      <c r="R3697" s="10" t="s">
        <v>22140</v>
      </c>
      <c r="S3697" s="11" t="s">
        <v>22134</v>
      </c>
      <c r="T3697" s="6"/>
      <c r="U3697" s="24" t="str">
        <f>HYPERLINK("https://media.infra-m.ru/1950/1950296/cover/1950296.jpg", "Обложка")</f>
        <v>Обложка</v>
      </c>
      <c r="V3697" s="24" t="str">
        <f>HYPERLINK("https://znanium.ru/catalog/product/1178787", "Ознакомиться")</f>
        <v>Ознакомиться</v>
      </c>
      <c r="W3697" s="8" t="s">
        <v>22135</v>
      </c>
      <c r="X3697" s="6"/>
      <c r="Y3697" s="6"/>
      <c r="Z3697" s="6" t="s">
        <v>218</v>
      </c>
      <c r="AA3697" s="6" t="s">
        <v>219</v>
      </c>
      <c r="AB3697" s="8"/>
    </row>
    <row r="3698" spans="1:28" s="4" customFormat="1" ht="42" customHeight="1">
      <c r="A3698" s="5">
        <v>0</v>
      </c>
      <c r="B3698" s="6" t="s">
        <v>22141</v>
      </c>
      <c r="C3698" s="13">
        <v>1964</v>
      </c>
      <c r="D3698" s="8" t="s">
        <v>22142</v>
      </c>
      <c r="E3698" s="8" t="s">
        <v>22126</v>
      </c>
      <c r="F3698" s="8" t="s">
        <v>22143</v>
      </c>
      <c r="G3698" s="6" t="s">
        <v>52</v>
      </c>
      <c r="H3698" s="6" t="s">
        <v>952</v>
      </c>
      <c r="I3698" s="8"/>
      <c r="J3698" s="9">
        <v>1</v>
      </c>
      <c r="K3698" s="9">
        <v>336</v>
      </c>
      <c r="L3698" s="9">
        <v>2023</v>
      </c>
      <c r="M3698" s="8" t="s">
        <v>22144</v>
      </c>
      <c r="N3698" s="8" t="s">
        <v>41</v>
      </c>
      <c r="O3698" s="8" t="s">
        <v>1204</v>
      </c>
      <c r="P3698" s="6" t="s">
        <v>167</v>
      </c>
      <c r="Q3698" s="8" t="s">
        <v>44</v>
      </c>
      <c r="R3698" s="10" t="s">
        <v>22117</v>
      </c>
      <c r="S3698" s="11"/>
      <c r="T3698" s="6"/>
      <c r="U3698" s="24" t="str">
        <f>HYPERLINK("https://media.infra-m.ru/1906/1906798/cover/1906798.jpg", "Обложка")</f>
        <v>Обложка</v>
      </c>
      <c r="V3698" s="24" t="str">
        <f>HYPERLINK("https://znanium.ru/catalog/product/1063698", "Ознакомиться")</f>
        <v>Ознакомиться</v>
      </c>
      <c r="W3698" s="8" t="s">
        <v>189</v>
      </c>
      <c r="X3698" s="6"/>
      <c r="Y3698" s="6"/>
      <c r="Z3698" s="6"/>
      <c r="AA3698" s="6" t="s">
        <v>1461</v>
      </c>
      <c r="AB3698" s="8"/>
    </row>
    <row r="3699" spans="1:28" s="4" customFormat="1" ht="51.95" customHeight="1">
      <c r="A3699" s="5">
        <v>0</v>
      </c>
      <c r="B3699" s="6" t="s">
        <v>22145</v>
      </c>
      <c r="C3699" s="13">
        <v>2150</v>
      </c>
      <c r="D3699" s="8" t="s">
        <v>22146</v>
      </c>
      <c r="E3699" s="8" t="s">
        <v>22126</v>
      </c>
      <c r="F3699" s="8" t="s">
        <v>22147</v>
      </c>
      <c r="G3699" s="6" t="s">
        <v>52</v>
      </c>
      <c r="H3699" s="6" t="s">
        <v>53</v>
      </c>
      <c r="I3699" s="8" t="s">
        <v>165</v>
      </c>
      <c r="J3699" s="9">
        <v>1</v>
      </c>
      <c r="K3699" s="9">
        <v>414</v>
      </c>
      <c r="L3699" s="9">
        <v>2025</v>
      </c>
      <c r="M3699" s="8" t="s">
        <v>22148</v>
      </c>
      <c r="N3699" s="8" t="s">
        <v>41</v>
      </c>
      <c r="O3699" s="8" t="s">
        <v>1204</v>
      </c>
      <c r="P3699" s="6" t="s">
        <v>167</v>
      </c>
      <c r="Q3699" s="8" t="s">
        <v>44</v>
      </c>
      <c r="R3699" s="10" t="s">
        <v>22117</v>
      </c>
      <c r="S3699" s="11" t="s">
        <v>22149</v>
      </c>
      <c r="T3699" s="6"/>
      <c r="U3699" s="24" t="str">
        <f>HYPERLINK("https://media.infra-m.ru/2161/2161940/cover/2161940.jpg", "Обложка")</f>
        <v>Обложка</v>
      </c>
      <c r="V3699" s="24" t="str">
        <f>HYPERLINK("https://znanium.ru/catalog/product/2161940", "Ознакомиться")</f>
        <v>Ознакомиться</v>
      </c>
      <c r="W3699" s="8" t="s">
        <v>83</v>
      </c>
      <c r="X3699" s="6"/>
      <c r="Y3699" s="6"/>
      <c r="Z3699" s="6"/>
      <c r="AA3699" s="6" t="s">
        <v>1374</v>
      </c>
      <c r="AB3699" s="8"/>
    </row>
    <row r="3700" spans="1:28" s="4" customFormat="1" ht="51.95" customHeight="1">
      <c r="A3700" s="5">
        <v>0</v>
      </c>
      <c r="B3700" s="6" t="s">
        <v>22150</v>
      </c>
      <c r="C3700" s="13">
        <v>2154</v>
      </c>
      <c r="D3700" s="8" t="s">
        <v>22151</v>
      </c>
      <c r="E3700" s="8" t="s">
        <v>22126</v>
      </c>
      <c r="F3700" s="8" t="s">
        <v>22147</v>
      </c>
      <c r="G3700" s="6" t="s">
        <v>89</v>
      </c>
      <c r="H3700" s="6" t="s">
        <v>53</v>
      </c>
      <c r="I3700" s="8" t="s">
        <v>212</v>
      </c>
      <c r="J3700" s="9">
        <v>1</v>
      </c>
      <c r="K3700" s="9">
        <v>414</v>
      </c>
      <c r="L3700" s="9">
        <v>2025</v>
      </c>
      <c r="M3700" s="8" t="s">
        <v>22152</v>
      </c>
      <c r="N3700" s="8" t="s">
        <v>41</v>
      </c>
      <c r="O3700" s="8" t="s">
        <v>1204</v>
      </c>
      <c r="P3700" s="6" t="s">
        <v>167</v>
      </c>
      <c r="Q3700" s="8" t="s">
        <v>214</v>
      </c>
      <c r="R3700" s="10" t="s">
        <v>22153</v>
      </c>
      <c r="S3700" s="11" t="s">
        <v>22154</v>
      </c>
      <c r="T3700" s="6"/>
      <c r="U3700" s="24" t="str">
        <f>HYPERLINK("https://media.infra-m.ru/2163/2163849/cover/2163849.jpg", "Обложка")</f>
        <v>Обложка</v>
      </c>
      <c r="V3700" s="24" t="str">
        <f>HYPERLINK("https://znanium.ru/catalog/product/2163187", "Ознакомиться")</f>
        <v>Ознакомиться</v>
      </c>
      <c r="W3700" s="8" t="s">
        <v>83</v>
      </c>
      <c r="X3700" s="6"/>
      <c r="Y3700" s="6"/>
      <c r="Z3700" s="6" t="s">
        <v>218</v>
      </c>
      <c r="AA3700" s="6" t="s">
        <v>95</v>
      </c>
      <c r="AB3700" s="8"/>
    </row>
    <row r="3701" spans="1:28" s="4" customFormat="1" ht="51.95" customHeight="1">
      <c r="A3701" s="5">
        <v>0</v>
      </c>
      <c r="B3701" s="6" t="s">
        <v>22155</v>
      </c>
      <c r="C3701" s="13">
        <v>1100</v>
      </c>
      <c r="D3701" s="8" t="s">
        <v>22156</v>
      </c>
      <c r="E3701" s="8" t="s">
        <v>22120</v>
      </c>
      <c r="F3701" s="8" t="s">
        <v>22147</v>
      </c>
      <c r="G3701" s="6" t="s">
        <v>89</v>
      </c>
      <c r="H3701" s="6" t="s">
        <v>53</v>
      </c>
      <c r="I3701" s="8" t="s">
        <v>1223</v>
      </c>
      <c r="J3701" s="9">
        <v>1</v>
      </c>
      <c r="K3701" s="9">
        <v>366</v>
      </c>
      <c r="L3701" s="9">
        <v>2018</v>
      </c>
      <c r="M3701" s="8" t="s">
        <v>22157</v>
      </c>
      <c r="N3701" s="8" t="s">
        <v>41</v>
      </c>
      <c r="O3701" s="8" t="s">
        <v>1204</v>
      </c>
      <c r="P3701" s="6" t="s">
        <v>167</v>
      </c>
      <c r="Q3701" s="8" t="s">
        <v>44</v>
      </c>
      <c r="R3701" s="10" t="s">
        <v>22117</v>
      </c>
      <c r="S3701" s="11" t="s">
        <v>22158</v>
      </c>
      <c r="T3701" s="6"/>
      <c r="U3701" s="24" t="str">
        <f>HYPERLINK("https://media.infra-m.ru/0949/0949699/cover/949699.jpg", "Обложка")</f>
        <v>Обложка</v>
      </c>
      <c r="V3701" s="24" t="str">
        <f>HYPERLINK("https://znanium.ru/catalog/product/2161940", "Ознакомиться")</f>
        <v>Ознакомиться</v>
      </c>
      <c r="W3701" s="8" t="s">
        <v>83</v>
      </c>
      <c r="X3701" s="6"/>
      <c r="Y3701" s="6"/>
      <c r="Z3701" s="6"/>
      <c r="AA3701" s="6" t="s">
        <v>151</v>
      </c>
      <c r="AB3701" s="8"/>
    </row>
    <row r="3702" spans="1:28" s="4" customFormat="1" ht="51.95" customHeight="1">
      <c r="A3702" s="5">
        <v>0</v>
      </c>
      <c r="B3702" s="6" t="s">
        <v>22159</v>
      </c>
      <c r="C3702" s="13">
        <v>1844</v>
      </c>
      <c r="D3702" s="8" t="s">
        <v>22160</v>
      </c>
      <c r="E3702" s="8" t="s">
        <v>22120</v>
      </c>
      <c r="F3702" s="8" t="s">
        <v>19265</v>
      </c>
      <c r="G3702" s="6" t="s">
        <v>89</v>
      </c>
      <c r="H3702" s="6" t="s">
        <v>53</v>
      </c>
      <c r="I3702" s="8" t="s">
        <v>116</v>
      </c>
      <c r="J3702" s="9">
        <v>1</v>
      </c>
      <c r="K3702" s="9">
        <v>368</v>
      </c>
      <c r="L3702" s="9">
        <v>2025</v>
      </c>
      <c r="M3702" s="8" t="s">
        <v>22161</v>
      </c>
      <c r="N3702" s="8" t="s">
        <v>41</v>
      </c>
      <c r="O3702" s="8" t="s">
        <v>1204</v>
      </c>
      <c r="P3702" s="6" t="s">
        <v>43</v>
      </c>
      <c r="Q3702" s="8" t="s">
        <v>58</v>
      </c>
      <c r="R3702" s="10" t="s">
        <v>22117</v>
      </c>
      <c r="S3702" s="11" t="s">
        <v>22162</v>
      </c>
      <c r="T3702" s="6"/>
      <c r="U3702" s="24" t="str">
        <f>HYPERLINK("https://media.infra-m.ru/2188/2188212/cover/2188212.jpg", "Обложка")</f>
        <v>Обложка</v>
      </c>
      <c r="V3702" s="24" t="str">
        <f>HYPERLINK("https://znanium.ru/catalog/product/2002579", "Ознакомиться")</f>
        <v>Ознакомиться</v>
      </c>
      <c r="W3702" s="8" t="s">
        <v>10326</v>
      </c>
      <c r="X3702" s="6"/>
      <c r="Y3702" s="6"/>
      <c r="Z3702" s="6"/>
      <c r="AA3702" s="6" t="s">
        <v>2217</v>
      </c>
      <c r="AB3702" s="8"/>
    </row>
    <row r="3703" spans="1:28" s="4" customFormat="1" ht="51.95" customHeight="1">
      <c r="A3703" s="5">
        <v>0</v>
      </c>
      <c r="B3703" s="6" t="s">
        <v>22163</v>
      </c>
      <c r="C3703" s="13">
        <v>1420</v>
      </c>
      <c r="D3703" s="8" t="s">
        <v>22164</v>
      </c>
      <c r="E3703" s="8" t="s">
        <v>22165</v>
      </c>
      <c r="F3703" s="8" t="s">
        <v>22166</v>
      </c>
      <c r="G3703" s="6" t="s">
        <v>89</v>
      </c>
      <c r="H3703" s="6" t="s">
        <v>53</v>
      </c>
      <c r="I3703" s="8" t="s">
        <v>116</v>
      </c>
      <c r="J3703" s="9">
        <v>1</v>
      </c>
      <c r="K3703" s="9">
        <v>315</v>
      </c>
      <c r="L3703" s="9">
        <v>2023</v>
      </c>
      <c r="M3703" s="8" t="s">
        <v>22167</v>
      </c>
      <c r="N3703" s="8" t="s">
        <v>79</v>
      </c>
      <c r="O3703" s="8" t="s">
        <v>396</v>
      </c>
      <c r="P3703" s="6" t="s">
        <v>43</v>
      </c>
      <c r="Q3703" s="8" t="s">
        <v>58</v>
      </c>
      <c r="R3703" s="10" t="s">
        <v>22168</v>
      </c>
      <c r="S3703" s="11" t="s">
        <v>22169</v>
      </c>
      <c r="T3703" s="6"/>
      <c r="U3703" s="24" t="str">
        <f>HYPERLINK("https://media.infra-m.ru/2017/2017308/cover/2017308.jpg", "Обложка")</f>
        <v>Обложка</v>
      </c>
      <c r="V3703" s="24" t="str">
        <f>HYPERLINK("https://znanium.ru/catalog/product/1877102", "Ознакомиться")</f>
        <v>Ознакомиться</v>
      </c>
      <c r="W3703" s="8" t="s">
        <v>450</v>
      </c>
      <c r="X3703" s="6"/>
      <c r="Y3703" s="6"/>
      <c r="Z3703" s="6"/>
      <c r="AA3703" s="6" t="s">
        <v>219</v>
      </c>
      <c r="AB3703" s="8"/>
    </row>
    <row r="3704" spans="1:28" s="4" customFormat="1" ht="42" customHeight="1">
      <c r="A3704" s="5">
        <v>0</v>
      </c>
      <c r="B3704" s="6" t="s">
        <v>22170</v>
      </c>
      <c r="C3704" s="13">
        <v>1600</v>
      </c>
      <c r="D3704" s="8" t="s">
        <v>22171</v>
      </c>
      <c r="E3704" s="8" t="s">
        <v>22172</v>
      </c>
      <c r="F3704" s="8" t="s">
        <v>22173</v>
      </c>
      <c r="G3704" s="6" t="s">
        <v>52</v>
      </c>
      <c r="H3704" s="6" t="s">
        <v>53</v>
      </c>
      <c r="I3704" s="8" t="s">
        <v>116</v>
      </c>
      <c r="J3704" s="9">
        <v>1</v>
      </c>
      <c r="K3704" s="9">
        <v>300</v>
      </c>
      <c r="L3704" s="9">
        <v>2025</v>
      </c>
      <c r="M3704" s="8" t="s">
        <v>22174</v>
      </c>
      <c r="N3704" s="8" t="s">
        <v>79</v>
      </c>
      <c r="O3704" s="8" t="s">
        <v>148</v>
      </c>
      <c r="P3704" s="6" t="s">
        <v>43</v>
      </c>
      <c r="Q3704" s="8" t="s">
        <v>58</v>
      </c>
      <c r="R3704" s="10" t="s">
        <v>22175</v>
      </c>
      <c r="S3704" s="11"/>
      <c r="T3704" s="6"/>
      <c r="U3704" s="24" t="str">
        <f>HYPERLINK("https://media.infra-m.ru/1995/1995198/cover/1995198.jpg", "Обложка")</f>
        <v>Обложка</v>
      </c>
      <c r="V3704" s="24" t="str">
        <f>HYPERLINK("https://znanium.ru/catalog/product/1995198", "Ознакомиться")</f>
        <v>Ознакомиться</v>
      </c>
      <c r="W3704" s="8" t="s">
        <v>5371</v>
      </c>
      <c r="X3704" s="6" t="s">
        <v>1049</v>
      </c>
      <c r="Y3704" s="6"/>
      <c r="Z3704" s="6"/>
      <c r="AA3704" s="6" t="s">
        <v>61</v>
      </c>
      <c r="AB3704" s="8"/>
    </row>
    <row r="3705" spans="1:28" s="4" customFormat="1" ht="42" customHeight="1">
      <c r="A3705" s="5">
        <v>0</v>
      </c>
      <c r="B3705" s="6" t="s">
        <v>22176</v>
      </c>
      <c r="C3705" s="13">
        <v>1880</v>
      </c>
      <c r="D3705" s="8" t="s">
        <v>22177</v>
      </c>
      <c r="E3705" s="8" t="s">
        <v>22178</v>
      </c>
      <c r="F3705" s="8" t="s">
        <v>22179</v>
      </c>
      <c r="G3705" s="6" t="s">
        <v>89</v>
      </c>
      <c r="H3705" s="6" t="s">
        <v>53</v>
      </c>
      <c r="I3705" s="8" t="s">
        <v>116</v>
      </c>
      <c r="J3705" s="9">
        <v>1</v>
      </c>
      <c r="K3705" s="9">
        <v>400</v>
      </c>
      <c r="L3705" s="9">
        <v>2025</v>
      </c>
      <c r="M3705" s="8" t="s">
        <v>22180</v>
      </c>
      <c r="N3705" s="8" t="s">
        <v>413</v>
      </c>
      <c r="O3705" s="8" t="s">
        <v>1528</v>
      </c>
      <c r="P3705" s="6" t="s">
        <v>43</v>
      </c>
      <c r="Q3705" s="8" t="s">
        <v>44</v>
      </c>
      <c r="R3705" s="10" t="s">
        <v>22181</v>
      </c>
      <c r="S3705" s="11"/>
      <c r="T3705" s="6"/>
      <c r="U3705" s="24" t="str">
        <f>HYPERLINK("https://media.infra-m.ru/2156/2156148/cover/2156148.jpg", "Обложка")</f>
        <v>Обложка</v>
      </c>
      <c r="V3705" s="24" t="str">
        <f>HYPERLINK("https://znanium.ru/catalog/product/2156148", "Ознакомиться")</f>
        <v>Ознакомиться</v>
      </c>
      <c r="W3705" s="8" t="s">
        <v>1544</v>
      </c>
      <c r="X3705" s="6"/>
      <c r="Y3705" s="6"/>
      <c r="Z3705" s="6"/>
      <c r="AA3705" s="6" t="s">
        <v>47</v>
      </c>
      <c r="AB3705" s="8"/>
    </row>
    <row r="3706" spans="1:28" s="4" customFormat="1" ht="51.95" customHeight="1">
      <c r="A3706" s="5">
        <v>0</v>
      </c>
      <c r="B3706" s="6" t="s">
        <v>22182</v>
      </c>
      <c r="C3706" s="13">
        <v>1914</v>
      </c>
      <c r="D3706" s="8" t="s">
        <v>22183</v>
      </c>
      <c r="E3706" s="8" t="s">
        <v>22184</v>
      </c>
      <c r="F3706" s="8" t="s">
        <v>22185</v>
      </c>
      <c r="G3706" s="6" t="s">
        <v>89</v>
      </c>
      <c r="H3706" s="6" t="s">
        <v>39</v>
      </c>
      <c r="I3706" s="8" t="s">
        <v>90</v>
      </c>
      <c r="J3706" s="9">
        <v>1</v>
      </c>
      <c r="K3706" s="9">
        <v>383</v>
      </c>
      <c r="L3706" s="9">
        <v>2025</v>
      </c>
      <c r="M3706" s="8" t="s">
        <v>22186</v>
      </c>
      <c r="N3706" s="8" t="s">
        <v>79</v>
      </c>
      <c r="O3706" s="8" t="s">
        <v>396</v>
      </c>
      <c r="P3706" s="6" t="s">
        <v>43</v>
      </c>
      <c r="Q3706" s="8" t="s">
        <v>44</v>
      </c>
      <c r="R3706" s="10" t="s">
        <v>6409</v>
      </c>
      <c r="S3706" s="11" t="s">
        <v>22187</v>
      </c>
      <c r="T3706" s="6"/>
      <c r="U3706" s="24" t="str">
        <f>HYPERLINK("https://media.infra-m.ru/2185/2185003/cover/2185003.jpg", "Обложка")</f>
        <v>Обложка</v>
      </c>
      <c r="V3706" s="24" t="str">
        <f>HYPERLINK("https://znanium.ru/catalog/product/1186715", "Ознакомиться")</f>
        <v>Ознакомиться</v>
      </c>
      <c r="W3706" s="8" t="s">
        <v>71</v>
      </c>
      <c r="X3706" s="6"/>
      <c r="Y3706" s="6"/>
      <c r="Z3706" s="6"/>
      <c r="AA3706" s="6" t="s">
        <v>111</v>
      </c>
      <c r="AB3706" s="8"/>
    </row>
    <row r="3707" spans="1:28" s="4" customFormat="1" ht="51.95" customHeight="1">
      <c r="A3707" s="5">
        <v>0</v>
      </c>
      <c r="B3707" s="6" t="s">
        <v>22188</v>
      </c>
      <c r="C3707" s="13">
        <v>1080</v>
      </c>
      <c r="D3707" s="8" t="s">
        <v>22189</v>
      </c>
      <c r="E3707" s="8" t="s">
        <v>22190</v>
      </c>
      <c r="F3707" s="8" t="s">
        <v>22191</v>
      </c>
      <c r="G3707" s="6" t="s">
        <v>89</v>
      </c>
      <c r="H3707" s="6" t="s">
        <v>53</v>
      </c>
      <c r="I3707" s="8" t="s">
        <v>90</v>
      </c>
      <c r="J3707" s="9">
        <v>1</v>
      </c>
      <c r="K3707" s="9">
        <v>198</v>
      </c>
      <c r="L3707" s="9">
        <v>2023</v>
      </c>
      <c r="M3707" s="8" t="s">
        <v>22192</v>
      </c>
      <c r="N3707" s="8" t="s">
        <v>79</v>
      </c>
      <c r="O3707" s="8" t="s">
        <v>537</v>
      </c>
      <c r="P3707" s="6" t="s">
        <v>43</v>
      </c>
      <c r="Q3707" s="8" t="s">
        <v>44</v>
      </c>
      <c r="R3707" s="10" t="s">
        <v>440</v>
      </c>
      <c r="S3707" s="11" t="s">
        <v>22193</v>
      </c>
      <c r="T3707" s="6"/>
      <c r="U3707" s="24" t="str">
        <f>HYPERLINK("https://media.infra-m.ru/2126/2126894/cover/2126894.jpg", "Обложка")</f>
        <v>Обложка</v>
      </c>
      <c r="V3707" s="24" t="str">
        <f>HYPERLINK("https://znanium.ru/catalog/product/2126894", "Ознакомиться")</f>
        <v>Ознакомиться</v>
      </c>
      <c r="W3707" s="8"/>
      <c r="X3707" s="6"/>
      <c r="Y3707" s="6"/>
      <c r="Z3707" s="6"/>
      <c r="AA3707" s="6" t="s">
        <v>207</v>
      </c>
      <c r="AB3707" s="8"/>
    </row>
    <row r="3708" spans="1:28" s="4" customFormat="1" ht="51.95" customHeight="1">
      <c r="A3708" s="5">
        <v>0</v>
      </c>
      <c r="B3708" s="6" t="s">
        <v>22194</v>
      </c>
      <c r="C3708" s="13">
        <v>1240</v>
      </c>
      <c r="D3708" s="8" t="s">
        <v>22195</v>
      </c>
      <c r="E3708" s="8" t="s">
        <v>22196</v>
      </c>
      <c r="F3708" s="8" t="s">
        <v>22197</v>
      </c>
      <c r="G3708" s="6" t="s">
        <v>52</v>
      </c>
      <c r="H3708" s="6" t="s">
        <v>53</v>
      </c>
      <c r="I3708" s="8" t="s">
        <v>712</v>
      </c>
      <c r="J3708" s="9">
        <v>1</v>
      </c>
      <c r="K3708" s="9">
        <v>263</v>
      </c>
      <c r="L3708" s="9">
        <v>2024</v>
      </c>
      <c r="M3708" s="8" t="s">
        <v>22198</v>
      </c>
      <c r="N3708" s="8" t="s">
        <v>79</v>
      </c>
      <c r="O3708" s="8" t="s">
        <v>684</v>
      </c>
      <c r="P3708" s="6" t="s">
        <v>43</v>
      </c>
      <c r="Q3708" s="8" t="s">
        <v>44</v>
      </c>
      <c r="R3708" s="10" t="s">
        <v>22199</v>
      </c>
      <c r="S3708" s="11" t="s">
        <v>22200</v>
      </c>
      <c r="T3708" s="6"/>
      <c r="U3708" s="24" t="str">
        <f>HYPERLINK("https://media.infra-m.ru/2131/2131370/cover/2131370.jpg", "Обложка")</f>
        <v>Обложка</v>
      </c>
      <c r="V3708" s="24" t="str">
        <f>HYPERLINK("https://znanium.ru/catalog/product/2131370", "Ознакомиться")</f>
        <v>Ознакомиться</v>
      </c>
      <c r="W3708" s="8" t="s">
        <v>716</v>
      </c>
      <c r="X3708" s="6"/>
      <c r="Y3708" s="6"/>
      <c r="Z3708" s="6"/>
      <c r="AA3708" s="6" t="s">
        <v>133</v>
      </c>
      <c r="AB3708" s="8"/>
    </row>
    <row r="3709" spans="1:28" s="4" customFormat="1" ht="51.95" customHeight="1">
      <c r="A3709" s="5">
        <v>0</v>
      </c>
      <c r="B3709" s="6" t="s">
        <v>22201</v>
      </c>
      <c r="C3709" s="13">
        <v>1590</v>
      </c>
      <c r="D3709" s="8" t="s">
        <v>22202</v>
      </c>
      <c r="E3709" s="8" t="s">
        <v>22203</v>
      </c>
      <c r="F3709" s="8" t="s">
        <v>22204</v>
      </c>
      <c r="G3709" s="6" t="s">
        <v>89</v>
      </c>
      <c r="H3709" s="6" t="s">
        <v>53</v>
      </c>
      <c r="I3709" s="8" t="s">
        <v>90</v>
      </c>
      <c r="J3709" s="9">
        <v>1</v>
      </c>
      <c r="K3709" s="9">
        <v>352</v>
      </c>
      <c r="L3709" s="9">
        <v>2023</v>
      </c>
      <c r="M3709" s="8" t="s">
        <v>22205</v>
      </c>
      <c r="N3709" s="8" t="s">
        <v>79</v>
      </c>
      <c r="O3709" s="8" t="s">
        <v>684</v>
      </c>
      <c r="P3709" s="6" t="s">
        <v>167</v>
      </c>
      <c r="Q3709" s="8" t="s">
        <v>44</v>
      </c>
      <c r="R3709" s="10" t="s">
        <v>22206</v>
      </c>
      <c r="S3709" s="11" t="s">
        <v>22207</v>
      </c>
      <c r="T3709" s="6"/>
      <c r="U3709" s="24" t="str">
        <f>HYPERLINK("https://media.infra-m.ru/1941/1941763/cover/1941763.jpg", "Обложка")</f>
        <v>Обложка</v>
      </c>
      <c r="V3709" s="24" t="str">
        <f>HYPERLINK("https://znanium.ru/catalog/product/1941763", "Ознакомиться")</f>
        <v>Ознакомиться</v>
      </c>
      <c r="W3709" s="8" t="s">
        <v>637</v>
      </c>
      <c r="X3709" s="6"/>
      <c r="Y3709" s="6"/>
      <c r="Z3709" s="6"/>
      <c r="AA3709" s="6" t="s">
        <v>47</v>
      </c>
      <c r="AB3709" s="8"/>
    </row>
    <row r="3710" spans="1:28" s="4" customFormat="1" ht="51.95" customHeight="1">
      <c r="A3710" s="5">
        <v>0</v>
      </c>
      <c r="B3710" s="6" t="s">
        <v>22208</v>
      </c>
      <c r="C3710" s="13">
        <v>1280</v>
      </c>
      <c r="D3710" s="8" t="s">
        <v>22209</v>
      </c>
      <c r="E3710" s="8" t="s">
        <v>22210</v>
      </c>
      <c r="F3710" s="8" t="s">
        <v>22211</v>
      </c>
      <c r="G3710" s="6" t="s">
        <v>89</v>
      </c>
      <c r="H3710" s="6" t="s">
        <v>53</v>
      </c>
      <c r="I3710" s="8" t="s">
        <v>116</v>
      </c>
      <c r="J3710" s="9">
        <v>1</v>
      </c>
      <c r="K3710" s="9">
        <v>256</v>
      </c>
      <c r="L3710" s="9">
        <v>2025</v>
      </c>
      <c r="M3710" s="8" t="s">
        <v>22212</v>
      </c>
      <c r="N3710" s="8" t="s">
        <v>79</v>
      </c>
      <c r="O3710" s="8" t="s">
        <v>684</v>
      </c>
      <c r="P3710" s="6" t="s">
        <v>43</v>
      </c>
      <c r="Q3710" s="8" t="s">
        <v>44</v>
      </c>
      <c r="R3710" s="10" t="s">
        <v>22213</v>
      </c>
      <c r="S3710" s="11" t="s">
        <v>22214</v>
      </c>
      <c r="T3710" s="6" t="s">
        <v>299</v>
      </c>
      <c r="U3710" s="24" t="str">
        <f>HYPERLINK("https://media.infra-m.ru/2180/2180234/cover/2180234.jpg", "Обложка")</f>
        <v>Обложка</v>
      </c>
      <c r="V3710" s="24" t="str">
        <f>HYPERLINK("https://znanium.ru/catalog/product/2180234", "Ознакомиться")</f>
        <v>Ознакомиться</v>
      </c>
      <c r="W3710" s="8" t="s">
        <v>637</v>
      </c>
      <c r="X3710" s="6"/>
      <c r="Y3710" s="6"/>
      <c r="Z3710" s="6"/>
      <c r="AA3710" s="6" t="s">
        <v>84</v>
      </c>
      <c r="AB3710" s="8"/>
    </row>
    <row r="3711" spans="1:28" s="4" customFormat="1" ht="51.95" customHeight="1">
      <c r="A3711" s="5">
        <v>0</v>
      </c>
      <c r="B3711" s="6" t="s">
        <v>22215</v>
      </c>
      <c r="C3711" s="13">
        <v>1080</v>
      </c>
      <c r="D3711" s="8" t="s">
        <v>22216</v>
      </c>
      <c r="E3711" s="8" t="s">
        <v>22210</v>
      </c>
      <c r="F3711" s="8" t="s">
        <v>22217</v>
      </c>
      <c r="G3711" s="6" t="s">
        <v>52</v>
      </c>
      <c r="H3711" s="6" t="s">
        <v>53</v>
      </c>
      <c r="I3711" s="8" t="s">
        <v>712</v>
      </c>
      <c r="J3711" s="9">
        <v>1</v>
      </c>
      <c r="K3711" s="9">
        <v>215</v>
      </c>
      <c r="L3711" s="9">
        <v>2024</v>
      </c>
      <c r="M3711" s="8" t="s">
        <v>22218</v>
      </c>
      <c r="N3711" s="8" t="s">
        <v>79</v>
      </c>
      <c r="O3711" s="8" t="s">
        <v>684</v>
      </c>
      <c r="P3711" s="6" t="s">
        <v>43</v>
      </c>
      <c r="Q3711" s="8" t="s">
        <v>58</v>
      </c>
      <c r="R3711" s="10" t="s">
        <v>22219</v>
      </c>
      <c r="S3711" s="11" t="s">
        <v>22220</v>
      </c>
      <c r="T3711" s="6"/>
      <c r="U3711" s="24" t="str">
        <f>HYPERLINK("https://media.infra-m.ru/2127/2127016/cover/2127016.jpg", "Обложка")</f>
        <v>Обложка</v>
      </c>
      <c r="V3711" s="24" t="str">
        <f>HYPERLINK("https://znanium.ru/catalog/product/2127016", "Ознакомиться")</f>
        <v>Ознакомиться</v>
      </c>
      <c r="W3711" s="8" t="s">
        <v>716</v>
      </c>
      <c r="X3711" s="6"/>
      <c r="Y3711" s="6"/>
      <c r="Z3711" s="6"/>
      <c r="AA3711" s="6" t="s">
        <v>133</v>
      </c>
      <c r="AB3711" s="8"/>
    </row>
    <row r="3712" spans="1:28" s="4" customFormat="1" ht="51.95" customHeight="1">
      <c r="A3712" s="5">
        <v>0</v>
      </c>
      <c r="B3712" s="6" t="s">
        <v>22221</v>
      </c>
      <c r="C3712" s="13">
        <v>1650</v>
      </c>
      <c r="D3712" s="8" t="s">
        <v>22222</v>
      </c>
      <c r="E3712" s="8" t="s">
        <v>22223</v>
      </c>
      <c r="F3712" s="8" t="s">
        <v>22224</v>
      </c>
      <c r="G3712" s="6" t="s">
        <v>89</v>
      </c>
      <c r="H3712" s="6" t="s">
        <v>53</v>
      </c>
      <c r="I3712" s="8" t="s">
        <v>90</v>
      </c>
      <c r="J3712" s="9">
        <v>1</v>
      </c>
      <c r="K3712" s="9">
        <v>365</v>
      </c>
      <c r="L3712" s="9">
        <v>2023</v>
      </c>
      <c r="M3712" s="8" t="s">
        <v>22225</v>
      </c>
      <c r="N3712" s="8" t="s">
        <v>79</v>
      </c>
      <c r="O3712" s="8" t="s">
        <v>684</v>
      </c>
      <c r="P3712" s="6" t="s">
        <v>43</v>
      </c>
      <c r="Q3712" s="8" t="s">
        <v>44</v>
      </c>
      <c r="R3712" s="10" t="s">
        <v>22226</v>
      </c>
      <c r="S3712" s="11" t="s">
        <v>22227</v>
      </c>
      <c r="T3712" s="6"/>
      <c r="U3712" s="24" t="str">
        <f>HYPERLINK("https://media.infra-m.ru/1991/1991054/cover/1991054.jpg", "Обложка")</f>
        <v>Обложка</v>
      </c>
      <c r="V3712" s="24" t="str">
        <f>HYPERLINK("https://znanium.ru/catalog/product/1991054", "Ознакомиться")</f>
        <v>Ознакомиться</v>
      </c>
      <c r="W3712" s="8" t="s">
        <v>637</v>
      </c>
      <c r="X3712" s="6"/>
      <c r="Y3712" s="6"/>
      <c r="Z3712" s="6"/>
      <c r="AA3712" s="6" t="s">
        <v>418</v>
      </c>
      <c r="AB3712" s="8"/>
    </row>
    <row r="3713" spans="1:28" s="4" customFormat="1" ht="51.95" customHeight="1">
      <c r="A3713" s="5">
        <v>0</v>
      </c>
      <c r="B3713" s="6" t="s">
        <v>22228</v>
      </c>
      <c r="C3713" s="7">
        <v>874.9</v>
      </c>
      <c r="D3713" s="8" t="s">
        <v>22229</v>
      </c>
      <c r="E3713" s="8" t="s">
        <v>22230</v>
      </c>
      <c r="F3713" s="8" t="s">
        <v>22231</v>
      </c>
      <c r="G3713" s="6" t="s">
        <v>52</v>
      </c>
      <c r="H3713" s="6" t="s">
        <v>53</v>
      </c>
      <c r="I3713" s="8" t="s">
        <v>90</v>
      </c>
      <c r="J3713" s="9">
        <v>1</v>
      </c>
      <c r="K3713" s="9">
        <v>400</v>
      </c>
      <c r="L3713" s="9">
        <v>2016</v>
      </c>
      <c r="M3713" s="8" t="s">
        <v>22232</v>
      </c>
      <c r="N3713" s="8" t="s">
        <v>79</v>
      </c>
      <c r="O3713" s="8" t="s">
        <v>684</v>
      </c>
      <c r="P3713" s="6" t="s">
        <v>43</v>
      </c>
      <c r="Q3713" s="8" t="s">
        <v>44</v>
      </c>
      <c r="R3713" s="10" t="s">
        <v>22233</v>
      </c>
      <c r="S3713" s="11" t="s">
        <v>22234</v>
      </c>
      <c r="T3713" s="6"/>
      <c r="U3713" s="24" t="str">
        <f>HYPERLINK("https://media.infra-m.ru/0558/0558483/cover/558483.jpg", "Обложка")</f>
        <v>Обложка</v>
      </c>
      <c r="V3713" s="24" t="str">
        <f>HYPERLINK("https://znanium.ru/catalog/product/558483", "Ознакомиться")</f>
        <v>Ознакомиться</v>
      </c>
      <c r="W3713" s="8" t="s">
        <v>71</v>
      </c>
      <c r="X3713" s="6"/>
      <c r="Y3713" s="6"/>
      <c r="Z3713" s="6"/>
      <c r="AA3713" s="6" t="s">
        <v>407</v>
      </c>
      <c r="AB3713" s="8"/>
    </row>
    <row r="3714" spans="1:28" s="4" customFormat="1" ht="51.95" customHeight="1">
      <c r="A3714" s="5">
        <v>0</v>
      </c>
      <c r="B3714" s="6" t="s">
        <v>22235</v>
      </c>
      <c r="C3714" s="13">
        <v>2504</v>
      </c>
      <c r="D3714" s="8" t="s">
        <v>22236</v>
      </c>
      <c r="E3714" s="8" t="s">
        <v>22237</v>
      </c>
      <c r="F3714" s="8" t="s">
        <v>22238</v>
      </c>
      <c r="G3714" s="6" t="s">
        <v>89</v>
      </c>
      <c r="H3714" s="6" t="s">
        <v>674</v>
      </c>
      <c r="I3714" s="8"/>
      <c r="J3714" s="9">
        <v>1</v>
      </c>
      <c r="K3714" s="9">
        <v>512</v>
      </c>
      <c r="L3714" s="9">
        <v>2025</v>
      </c>
      <c r="M3714" s="8" t="s">
        <v>22239</v>
      </c>
      <c r="N3714" s="8" t="s">
        <v>41</v>
      </c>
      <c r="O3714" s="8" t="s">
        <v>676</v>
      </c>
      <c r="P3714" s="6" t="s">
        <v>167</v>
      </c>
      <c r="Q3714" s="8" t="s">
        <v>44</v>
      </c>
      <c r="R3714" s="10" t="s">
        <v>22240</v>
      </c>
      <c r="S3714" s="11"/>
      <c r="T3714" s="6"/>
      <c r="U3714" s="24" t="str">
        <f>HYPERLINK("https://media.infra-m.ru/2192/2192337/cover/2192337.jpg", "Обложка")</f>
        <v>Обложка</v>
      </c>
      <c r="V3714" s="24" t="str">
        <f>HYPERLINK("https://znanium.ru/catalog/product/1818483", "Ознакомиться")</f>
        <v>Ознакомиться</v>
      </c>
      <c r="W3714" s="8" t="s">
        <v>678</v>
      </c>
      <c r="X3714" s="6"/>
      <c r="Y3714" s="6"/>
      <c r="Z3714" s="6"/>
      <c r="AA3714" s="6" t="s">
        <v>701</v>
      </c>
      <c r="AB3714" s="8"/>
    </row>
    <row r="3715" spans="1:28" s="4" customFormat="1" ht="51.95" customHeight="1">
      <c r="A3715" s="5">
        <v>0</v>
      </c>
      <c r="B3715" s="6" t="s">
        <v>22241</v>
      </c>
      <c r="C3715" s="7">
        <v>690</v>
      </c>
      <c r="D3715" s="8" t="s">
        <v>22242</v>
      </c>
      <c r="E3715" s="8" t="s">
        <v>22243</v>
      </c>
      <c r="F3715" s="8" t="s">
        <v>13649</v>
      </c>
      <c r="G3715" s="6" t="s">
        <v>89</v>
      </c>
      <c r="H3715" s="6" t="s">
        <v>184</v>
      </c>
      <c r="I3715" s="8" t="s">
        <v>90</v>
      </c>
      <c r="J3715" s="9">
        <v>1</v>
      </c>
      <c r="K3715" s="9">
        <v>175</v>
      </c>
      <c r="L3715" s="9">
        <v>2021</v>
      </c>
      <c r="M3715" s="8" t="s">
        <v>22244</v>
      </c>
      <c r="N3715" s="8" t="s">
        <v>41</v>
      </c>
      <c r="O3715" s="8" t="s">
        <v>676</v>
      </c>
      <c r="P3715" s="6" t="s">
        <v>43</v>
      </c>
      <c r="Q3715" s="8" t="s">
        <v>44</v>
      </c>
      <c r="R3715" s="10" t="s">
        <v>7216</v>
      </c>
      <c r="S3715" s="11" t="s">
        <v>13655</v>
      </c>
      <c r="T3715" s="6"/>
      <c r="U3715" s="24" t="str">
        <f>HYPERLINK("https://media.infra-m.ru/1639/1639816/cover/1639816.jpg", "Обложка")</f>
        <v>Обложка</v>
      </c>
      <c r="V3715" s="24" t="str">
        <f>HYPERLINK("https://znanium.ru/catalog/product/1993590", "Ознакомиться")</f>
        <v>Ознакомиться</v>
      </c>
      <c r="W3715" s="8" t="s">
        <v>2422</v>
      </c>
      <c r="X3715" s="6"/>
      <c r="Y3715" s="6"/>
      <c r="Z3715" s="6"/>
      <c r="AA3715" s="6" t="s">
        <v>160</v>
      </c>
      <c r="AB3715" s="8"/>
    </row>
    <row r="3716" spans="1:28" s="4" customFormat="1" ht="51.95" customHeight="1">
      <c r="A3716" s="5">
        <v>0</v>
      </c>
      <c r="B3716" s="6" t="s">
        <v>22245</v>
      </c>
      <c r="C3716" s="7">
        <v>884</v>
      </c>
      <c r="D3716" s="8" t="s">
        <v>22246</v>
      </c>
      <c r="E3716" s="8" t="s">
        <v>22237</v>
      </c>
      <c r="F3716" s="8" t="s">
        <v>13649</v>
      </c>
      <c r="G3716" s="6" t="s">
        <v>89</v>
      </c>
      <c r="H3716" s="6" t="s">
        <v>184</v>
      </c>
      <c r="I3716" s="8" t="s">
        <v>116</v>
      </c>
      <c r="J3716" s="9">
        <v>1</v>
      </c>
      <c r="K3716" s="9">
        <v>176</v>
      </c>
      <c r="L3716" s="9">
        <v>2024</v>
      </c>
      <c r="M3716" s="8" t="s">
        <v>22247</v>
      </c>
      <c r="N3716" s="8" t="s">
        <v>41</v>
      </c>
      <c r="O3716" s="8" t="s">
        <v>676</v>
      </c>
      <c r="P3716" s="6" t="s">
        <v>43</v>
      </c>
      <c r="Q3716" s="8" t="s">
        <v>44</v>
      </c>
      <c r="R3716" s="10" t="s">
        <v>7216</v>
      </c>
      <c r="S3716" s="11"/>
      <c r="T3716" s="6"/>
      <c r="U3716" s="24" t="str">
        <f>HYPERLINK("https://media.infra-m.ru/2079/2079333/cover/2079333.jpg", "Обложка")</f>
        <v>Обложка</v>
      </c>
      <c r="V3716" s="24" t="str">
        <f>HYPERLINK("https://znanium.ru/catalog/product/1993590", "Ознакомиться")</f>
        <v>Ознакомиться</v>
      </c>
      <c r="W3716" s="8" t="s">
        <v>2422</v>
      </c>
      <c r="X3716" s="6"/>
      <c r="Y3716" s="6"/>
      <c r="Z3716" s="6"/>
      <c r="AA3716" s="6" t="s">
        <v>2086</v>
      </c>
      <c r="AB3716" s="8"/>
    </row>
    <row r="3717" spans="1:28" s="4" customFormat="1" ht="44.1" customHeight="1">
      <c r="A3717" s="5">
        <v>0</v>
      </c>
      <c r="B3717" s="6" t="s">
        <v>22248</v>
      </c>
      <c r="C3717" s="13">
        <v>1560</v>
      </c>
      <c r="D3717" s="8" t="s">
        <v>22249</v>
      </c>
      <c r="E3717" s="8" t="s">
        <v>22250</v>
      </c>
      <c r="F3717" s="8" t="s">
        <v>5829</v>
      </c>
      <c r="G3717" s="6" t="s">
        <v>52</v>
      </c>
      <c r="H3717" s="6" t="s">
        <v>53</v>
      </c>
      <c r="I3717" s="8" t="s">
        <v>116</v>
      </c>
      <c r="J3717" s="9">
        <v>1</v>
      </c>
      <c r="K3717" s="9">
        <v>292</v>
      </c>
      <c r="L3717" s="9">
        <v>2025</v>
      </c>
      <c r="M3717" s="8" t="s">
        <v>22251</v>
      </c>
      <c r="N3717" s="8" t="s">
        <v>56</v>
      </c>
      <c r="O3717" s="8" t="s">
        <v>2183</v>
      </c>
      <c r="P3717" s="6" t="s">
        <v>43</v>
      </c>
      <c r="Q3717" s="8" t="s">
        <v>58</v>
      </c>
      <c r="R3717" s="10" t="s">
        <v>22252</v>
      </c>
      <c r="S3717" s="11"/>
      <c r="T3717" s="6"/>
      <c r="U3717" s="24" t="str">
        <f>HYPERLINK("https://media.infra-m.ru/2023/2023027/cover/2023027.jpg", "Обложка")</f>
        <v>Обложка</v>
      </c>
      <c r="V3717" s="24" t="str">
        <f>HYPERLINK("https://znanium.ru/catalog/product/2023027", "Ознакомиться")</f>
        <v>Ознакомиться</v>
      </c>
      <c r="W3717" s="8" t="s">
        <v>5825</v>
      </c>
      <c r="X3717" s="6" t="s">
        <v>1049</v>
      </c>
      <c r="Y3717" s="6"/>
      <c r="Z3717" s="6"/>
      <c r="AA3717" s="6" t="s">
        <v>61</v>
      </c>
      <c r="AB3717" s="8"/>
    </row>
    <row r="3718" spans="1:28" s="4" customFormat="1" ht="51.95" customHeight="1">
      <c r="A3718" s="5">
        <v>0</v>
      </c>
      <c r="B3718" s="6" t="s">
        <v>22253</v>
      </c>
      <c r="C3718" s="7">
        <v>353</v>
      </c>
      <c r="D3718" s="8" t="s">
        <v>22254</v>
      </c>
      <c r="E3718" s="8" t="s">
        <v>22255</v>
      </c>
      <c r="F3718" s="8" t="s">
        <v>6633</v>
      </c>
      <c r="G3718" s="6" t="s">
        <v>38</v>
      </c>
      <c r="H3718" s="6" t="s">
        <v>184</v>
      </c>
      <c r="I3718" s="8"/>
      <c r="J3718" s="9">
        <v>1</v>
      </c>
      <c r="K3718" s="9">
        <v>98</v>
      </c>
      <c r="L3718" s="9">
        <v>2024</v>
      </c>
      <c r="M3718" s="8" t="s">
        <v>22256</v>
      </c>
      <c r="N3718" s="8" t="s">
        <v>56</v>
      </c>
      <c r="O3718" s="8" t="s">
        <v>57</v>
      </c>
      <c r="P3718" s="6" t="s">
        <v>366</v>
      </c>
      <c r="Q3718" s="8" t="s">
        <v>102</v>
      </c>
      <c r="R3718" s="10" t="s">
        <v>22257</v>
      </c>
      <c r="S3718" s="11"/>
      <c r="T3718" s="6"/>
      <c r="U3718" s="24" t="str">
        <f>HYPERLINK("https://media.infra-m.ru/2093/2093939/cover/2093939.jpg", "Обложка")</f>
        <v>Обложка</v>
      </c>
      <c r="V3718" s="24" t="str">
        <f>HYPERLINK("https://znanium.ru/catalog/product/2166415", "Ознакомиться")</f>
        <v>Ознакомиться</v>
      </c>
      <c r="W3718" s="8"/>
      <c r="X3718" s="6"/>
      <c r="Y3718" s="6"/>
      <c r="Z3718" s="6"/>
      <c r="AA3718" s="6" t="s">
        <v>1374</v>
      </c>
      <c r="AB3718" s="8"/>
    </row>
    <row r="3719" spans="1:28" s="4" customFormat="1" ht="51.95" customHeight="1">
      <c r="A3719" s="5">
        <v>0</v>
      </c>
      <c r="B3719" s="6" t="s">
        <v>22258</v>
      </c>
      <c r="C3719" s="7">
        <v>164.9</v>
      </c>
      <c r="D3719" s="8" t="s">
        <v>22259</v>
      </c>
      <c r="E3719" s="8" t="s">
        <v>22260</v>
      </c>
      <c r="F3719" s="8"/>
      <c r="G3719" s="6" t="s">
        <v>38</v>
      </c>
      <c r="H3719" s="6" t="s">
        <v>184</v>
      </c>
      <c r="I3719" s="8"/>
      <c r="J3719" s="9">
        <v>1</v>
      </c>
      <c r="K3719" s="9">
        <v>96</v>
      </c>
      <c r="L3719" s="9">
        <v>2018</v>
      </c>
      <c r="M3719" s="8" t="s">
        <v>22261</v>
      </c>
      <c r="N3719" s="8" t="s">
        <v>56</v>
      </c>
      <c r="O3719" s="8" t="s">
        <v>57</v>
      </c>
      <c r="P3719" s="6" t="s">
        <v>366</v>
      </c>
      <c r="Q3719" s="8" t="s">
        <v>102</v>
      </c>
      <c r="R3719" s="10" t="s">
        <v>22257</v>
      </c>
      <c r="S3719" s="11"/>
      <c r="T3719" s="6"/>
      <c r="U3719" s="24" t="str">
        <f>HYPERLINK("https://media.infra-m.ru/0946/0946444/cover/946444.jpg", "Обложка")</f>
        <v>Обложка</v>
      </c>
      <c r="V3719" s="24" t="str">
        <f>HYPERLINK("https://znanium.ru/catalog/product/2166415", "Ознакомиться")</f>
        <v>Ознакомиться</v>
      </c>
      <c r="W3719" s="8"/>
      <c r="X3719" s="6"/>
      <c r="Y3719" s="6"/>
      <c r="Z3719" s="6"/>
      <c r="AA3719" s="6" t="s">
        <v>614</v>
      </c>
      <c r="AB3719" s="8"/>
    </row>
    <row r="3720" spans="1:28" s="4" customFormat="1" ht="42" customHeight="1">
      <c r="A3720" s="5">
        <v>0</v>
      </c>
      <c r="B3720" s="6" t="s">
        <v>22262</v>
      </c>
      <c r="C3720" s="13">
        <v>2492</v>
      </c>
      <c r="D3720" s="8" t="s">
        <v>22263</v>
      </c>
      <c r="E3720" s="8" t="s">
        <v>22264</v>
      </c>
      <c r="F3720" s="8" t="s">
        <v>22265</v>
      </c>
      <c r="G3720" s="6" t="s">
        <v>52</v>
      </c>
      <c r="H3720" s="6" t="s">
        <v>53</v>
      </c>
      <c r="I3720" s="8" t="s">
        <v>116</v>
      </c>
      <c r="J3720" s="9">
        <v>1</v>
      </c>
      <c r="K3720" s="9">
        <v>416</v>
      </c>
      <c r="L3720" s="9">
        <v>2024</v>
      </c>
      <c r="M3720" s="8" t="s">
        <v>22266</v>
      </c>
      <c r="N3720" s="8" t="s">
        <v>41</v>
      </c>
      <c r="O3720" s="8" t="s">
        <v>118</v>
      </c>
      <c r="P3720" s="6" t="s">
        <v>43</v>
      </c>
      <c r="Q3720" s="8" t="s">
        <v>58</v>
      </c>
      <c r="R3720" s="10" t="s">
        <v>16836</v>
      </c>
      <c r="S3720" s="11"/>
      <c r="T3720" s="6"/>
      <c r="U3720" s="24" t="str">
        <f>HYPERLINK("https://media.infra-m.ru/2067/2067395/cover/2067395.jpg", "Обложка")</f>
        <v>Обложка</v>
      </c>
      <c r="V3720" s="12"/>
      <c r="W3720" s="8" t="s">
        <v>71</v>
      </c>
      <c r="X3720" s="6"/>
      <c r="Y3720" s="6"/>
      <c r="Z3720" s="6"/>
      <c r="AA3720" s="6" t="s">
        <v>84</v>
      </c>
      <c r="AB3720" s="8"/>
    </row>
    <row r="3721" spans="1:28" s="4" customFormat="1" ht="51.95" customHeight="1">
      <c r="A3721" s="5">
        <v>0</v>
      </c>
      <c r="B3721" s="6" t="s">
        <v>22267</v>
      </c>
      <c r="C3721" s="13">
        <v>1090</v>
      </c>
      <c r="D3721" s="8" t="s">
        <v>22268</v>
      </c>
      <c r="E3721" s="8" t="s">
        <v>22269</v>
      </c>
      <c r="F3721" s="8" t="s">
        <v>22270</v>
      </c>
      <c r="G3721" s="6" t="s">
        <v>89</v>
      </c>
      <c r="H3721" s="6" t="s">
        <v>674</v>
      </c>
      <c r="I3721" s="8"/>
      <c r="J3721" s="9">
        <v>1</v>
      </c>
      <c r="K3721" s="9">
        <v>288</v>
      </c>
      <c r="L3721" s="9">
        <v>2022</v>
      </c>
      <c r="M3721" s="8" t="s">
        <v>22271</v>
      </c>
      <c r="N3721" s="8" t="s">
        <v>41</v>
      </c>
      <c r="O3721" s="8" t="s">
        <v>676</v>
      </c>
      <c r="P3721" s="6" t="s">
        <v>43</v>
      </c>
      <c r="Q3721" s="8" t="s">
        <v>44</v>
      </c>
      <c r="R3721" s="10" t="s">
        <v>2736</v>
      </c>
      <c r="S3721" s="11"/>
      <c r="T3721" s="6"/>
      <c r="U3721" s="24" t="str">
        <f>HYPERLINK("https://media.infra-m.ru/1862/1862643/cover/1862643.jpg", "Обложка")</f>
        <v>Обложка</v>
      </c>
      <c r="V3721" s="24" t="str">
        <f>HYPERLINK("https://znanium.ru/catalog/product/1862643", "Ознакомиться")</f>
        <v>Ознакомиться</v>
      </c>
      <c r="W3721" s="8" t="s">
        <v>3282</v>
      </c>
      <c r="X3721" s="6"/>
      <c r="Y3721" s="6"/>
      <c r="Z3721" s="6"/>
      <c r="AA3721" s="6" t="s">
        <v>160</v>
      </c>
      <c r="AB3721" s="8"/>
    </row>
    <row r="3722" spans="1:28" s="4" customFormat="1" ht="42" customHeight="1">
      <c r="A3722" s="5">
        <v>0</v>
      </c>
      <c r="B3722" s="6" t="s">
        <v>22272</v>
      </c>
      <c r="C3722" s="13">
        <v>1770</v>
      </c>
      <c r="D3722" s="8" t="s">
        <v>22273</v>
      </c>
      <c r="E3722" s="8" t="s">
        <v>22274</v>
      </c>
      <c r="F3722" s="8" t="s">
        <v>22275</v>
      </c>
      <c r="G3722" s="6" t="s">
        <v>89</v>
      </c>
      <c r="H3722" s="6" t="s">
        <v>53</v>
      </c>
      <c r="I3722" s="8" t="s">
        <v>116</v>
      </c>
      <c r="J3722" s="9">
        <v>1</v>
      </c>
      <c r="K3722" s="9">
        <v>340</v>
      </c>
      <c r="L3722" s="9">
        <v>2025</v>
      </c>
      <c r="M3722" s="8" t="s">
        <v>22276</v>
      </c>
      <c r="N3722" s="8" t="s">
        <v>41</v>
      </c>
      <c r="O3722" s="8" t="s">
        <v>676</v>
      </c>
      <c r="P3722" s="6" t="s">
        <v>43</v>
      </c>
      <c r="Q3722" s="8" t="s">
        <v>44</v>
      </c>
      <c r="R3722" s="10" t="s">
        <v>22277</v>
      </c>
      <c r="S3722" s="11"/>
      <c r="T3722" s="6"/>
      <c r="U3722" s="24" t="str">
        <f>HYPERLINK("https://media.infra-m.ru/2193/2193161/cover/2193161.jpg", "Обложка")</f>
        <v>Обложка</v>
      </c>
      <c r="V3722" s="24" t="str">
        <f>HYPERLINK("https://znanium.ru/catalog/product/2193161", "Ознакомиться")</f>
        <v>Ознакомиться</v>
      </c>
      <c r="W3722" s="8" t="s">
        <v>354</v>
      </c>
      <c r="X3722" s="6"/>
      <c r="Y3722" s="6"/>
      <c r="Z3722" s="6"/>
      <c r="AA3722" s="6" t="s">
        <v>813</v>
      </c>
      <c r="AB3722" s="8"/>
    </row>
    <row r="3723" spans="1:28" s="4" customFormat="1" ht="42" customHeight="1">
      <c r="A3723" s="5">
        <v>0</v>
      </c>
      <c r="B3723" s="6" t="s">
        <v>22278</v>
      </c>
      <c r="C3723" s="13">
        <v>1210</v>
      </c>
      <c r="D3723" s="8" t="s">
        <v>22279</v>
      </c>
      <c r="E3723" s="8" t="s">
        <v>22280</v>
      </c>
      <c r="F3723" s="8" t="s">
        <v>22281</v>
      </c>
      <c r="G3723" s="6" t="s">
        <v>89</v>
      </c>
      <c r="H3723" s="6" t="s">
        <v>674</v>
      </c>
      <c r="I3723" s="8"/>
      <c r="J3723" s="9">
        <v>1</v>
      </c>
      <c r="K3723" s="9">
        <v>256</v>
      </c>
      <c r="L3723" s="9">
        <v>2024</v>
      </c>
      <c r="M3723" s="8" t="s">
        <v>22282</v>
      </c>
      <c r="N3723" s="8" t="s">
        <v>41</v>
      </c>
      <c r="O3723" s="8" t="s">
        <v>676</v>
      </c>
      <c r="P3723" s="6" t="s">
        <v>167</v>
      </c>
      <c r="Q3723" s="8" t="s">
        <v>279</v>
      </c>
      <c r="R3723" s="10" t="s">
        <v>22283</v>
      </c>
      <c r="S3723" s="11"/>
      <c r="T3723" s="6"/>
      <c r="U3723" s="24" t="str">
        <f>HYPERLINK("https://media.infra-m.ru/2085/2085941/cover/2085941.jpg", "Обложка")</f>
        <v>Обложка</v>
      </c>
      <c r="V3723" s="24" t="str">
        <f>HYPERLINK("https://znanium.ru/catalog/product/2085941", "Ознакомиться")</f>
        <v>Ознакомиться</v>
      </c>
      <c r="W3723" s="8" t="s">
        <v>22284</v>
      </c>
      <c r="X3723" s="6"/>
      <c r="Y3723" s="6"/>
      <c r="Z3723" s="6"/>
      <c r="AA3723" s="6" t="s">
        <v>418</v>
      </c>
      <c r="AB3723" s="8"/>
    </row>
    <row r="3724" spans="1:28" s="4" customFormat="1" ht="51.95" customHeight="1">
      <c r="A3724" s="5">
        <v>0</v>
      </c>
      <c r="B3724" s="6" t="s">
        <v>22285</v>
      </c>
      <c r="C3724" s="13">
        <v>2464</v>
      </c>
      <c r="D3724" s="8" t="s">
        <v>22286</v>
      </c>
      <c r="E3724" s="8" t="s">
        <v>22287</v>
      </c>
      <c r="F3724" s="8" t="s">
        <v>22288</v>
      </c>
      <c r="G3724" s="6" t="s">
        <v>89</v>
      </c>
      <c r="H3724" s="6" t="s">
        <v>53</v>
      </c>
      <c r="I3724" s="8" t="s">
        <v>1223</v>
      </c>
      <c r="J3724" s="9">
        <v>1</v>
      </c>
      <c r="K3724" s="9">
        <v>548</v>
      </c>
      <c r="L3724" s="9">
        <v>2023</v>
      </c>
      <c r="M3724" s="8" t="s">
        <v>22289</v>
      </c>
      <c r="N3724" s="8" t="s">
        <v>41</v>
      </c>
      <c r="O3724" s="8" t="s">
        <v>676</v>
      </c>
      <c r="P3724" s="6" t="s">
        <v>167</v>
      </c>
      <c r="Q3724" s="8" t="s">
        <v>44</v>
      </c>
      <c r="R3724" s="10" t="s">
        <v>677</v>
      </c>
      <c r="S3724" s="11" t="s">
        <v>22290</v>
      </c>
      <c r="T3724" s="6"/>
      <c r="U3724" s="24" t="str">
        <f>HYPERLINK("https://media.infra-m.ru/1974/1974376/cover/1974376.jpg", "Обложка")</f>
        <v>Обложка</v>
      </c>
      <c r="V3724" s="24" t="str">
        <f>HYPERLINK("https://znanium.ru/catalog/product/1974376", "Ознакомиться")</f>
        <v>Ознакомиться</v>
      </c>
      <c r="W3724" s="8" t="s">
        <v>83</v>
      </c>
      <c r="X3724" s="6"/>
      <c r="Y3724" s="6"/>
      <c r="Z3724" s="6"/>
      <c r="AA3724" s="6" t="s">
        <v>258</v>
      </c>
      <c r="AB3724" s="8"/>
    </row>
    <row r="3725" spans="1:28" s="4" customFormat="1" ht="51.95" customHeight="1">
      <c r="A3725" s="5">
        <v>0</v>
      </c>
      <c r="B3725" s="6" t="s">
        <v>22291</v>
      </c>
      <c r="C3725" s="13">
        <v>1070</v>
      </c>
      <c r="D3725" s="8" t="s">
        <v>22292</v>
      </c>
      <c r="E3725" s="8" t="s">
        <v>22293</v>
      </c>
      <c r="F3725" s="8" t="s">
        <v>22294</v>
      </c>
      <c r="G3725" s="6" t="s">
        <v>89</v>
      </c>
      <c r="H3725" s="6" t="s">
        <v>53</v>
      </c>
      <c r="I3725" s="8" t="s">
        <v>165</v>
      </c>
      <c r="J3725" s="9">
        <v>1</v>
      </c>
      <c r="K3725" s="9">
        <v>232</v>
      </c>
      <c r="L3725" s="9">
        <v>2023</v>
      </c>
      <c r="M3725" s="8" t="s">
        <v>22295</v>
      </c>
      <c r="N3725" s="8" t="s">
        <v>41</v>
      </c>
      <c r="O3725" s="8" t="s">
        <v>676</v>
      </c>
      <c r="P3725" s="6" t="s">
        <v>167</v>
      </c>
      <c r="Q3725" s="8" t="s">
        <v>58</v>
      </c>
      <c r="R3725" s="10" t="s">
        <v>806</v>
      </c>
      <c r="S3725" s="11"/>
      <c r="T3725" s="6"/>
      <c r="U3725" s="24" t="str">
        <f>HYPERLINK("https://media.infra-m.ru/2020/2020590/cover/2020590.jpg", "Обложка")</f>
        <v>Обложка</v>
      </c>
      <c r="V3725" s="24" t="str">
        <f>HYPERLINK("https://znanium.ru/catalog/product/2020590", "Ознакомиться")</f>
        <v>Ознакомиться</v>
      </c>
      <c r="W3725" s="8" t="s">
        <v>83</v>
      </c>
      <c r="X3725" s="6"/>
      <c r="Y3725" s="6"/>
      <c r="Z3725" s="6"/>
      <c r="AA3725" s="6" t="s">
        <v>258</v>
      </c>
      <c r="AB3725" s="8"/>
    </row>
    <row r="3726" spans="1:28" s="4" customFormat="1" ht="51.95" customHeight="1">
      <c r="A3726" s="5">
        <v>0</v>
      </c>
      <c r="B3726" s="6" t="s">
        <v>22296</v>
      </c>
      <c r="C3726" s="7">
        <v>900</v>
      </c>
      <c r="D3726" s="8" t="s">
        <v>22297</v>
      </c>
      <c r="E3726" s="8" t="s">
        <v>22298</v>
      </c>
      <c r="F3726" s="8" t="s">
        <v>22299</v>
      </c>
      <c r="G3726" s="6" t="s">
        <v>89</v>
      </c>
      <c r="H3726" s="6" t="s">
        <v>184</v>
      </c>
      <c r="I3726" s="8" t="s">
        <v>13321</v>
      </c>
      <c r="J3726" s="9">
        <v>1</v>
      </c>
      <c r="K3726" s="9">
        <v>194</v>
      </c>
      <c r="L3726" s="9">
        <v>2023</v>
      </c>
      <c r="M3726" s="8" t="s">
        <v>22300</v>
      </c>
      <c r="N3726" s="8" t="s">
        <v>41</v>
      </c>
      <c r="O3726" s="8" t="s">
        <v>676</v>
      </c>
      <c r="P3726" s="6" t="s">
        <v>43</v>
      </c>
      <c r="Q3726" s="8" t="s">
        <v>44</v>
      </c>
      <c r="R3726" s="10" t="s">
        <v>11333</v>
      </c>
      <c r="S3726" s="11" t="s">
        <v>22301</v>
      </c>
      <c r="T3726" s="6"/>
      <c r="U3726" s="24" t="str">
        <f>HYPERLINK("https://media.infra-m.ru/1974/1974375/cover/1974375.jpg", "Обложка")</f>
        <v>Обложка</v>
      </c>
      <c r="V3726" s="24" t="str">
        <f>HYPERLINK("https://znanium.ru/catalog/product/1974375", "Ознакомиться")</f>
        <v>Ознакомиться</v>
      </c>
      <c r="W3726" s="8" t="s">
        <v>5204</v>
      </c>
      <c r="X3726" s="6"/>
      <c r="Y3726" s="6"/>
      <c r="Z3726" s="6"/>
      <c r="AA3726" s="6" t="s">
        <v>6283</v>
      </c>
      <c r="AB3726" s="8"/>
    </row>
    <row r="3727" spans="1:28" s="4" customFormat="1" ht="51.95" customHeight="1">
      <c r="A3727" s="5">
        <v>0</v>
      </c>
      <c r="B3727" s="6" t="s">
        <v>22302</v>
      </c>
      <c r="C3727" s="7">
        <v>560</v>
      </c>
      <c r="D3727" s="8" t="s">
        <v>22303</v>
      </c>
      <c r="E3727" s="8" t="s">
        <v>22304</v>
      </c>
      <c r="F3727" s="8" t="s">
        <v>22299</v>
      </c>
      <c r="G3727" s="6" t="s">
        <v>52</v>
      </c>
      <c r="H3727" s="6" t="s">
        <v>184</v>
      </c>
      <c r="I3727" s="8" t="s">
        <v>116</v>
      </c>
      <c r="J3727" s="9">
        <v>1</v>
      </c>
      <c r="K3727" s="9">
        <v>163</v>
      </c>
      <c r="L3727" s="9">
        <v>2018</v>
      </c>
      <c r="M3727" s="8" t="s">
        <v>22305</v>
      </c>
      <c r="N3727" s="8" t="s">
        <v>41</v>
      </c>
      <c r="O3727" s="8" t="s">
        <v>676</v>
      </c>
      <c r="P3727" s="6" t="s">
        <v>43</v>
      </c>
      <c r="Q3727" s="8" t="s">
        <v>44</v>
      </c>
      <c r="R3727" s="10" t="s">
        <v>11333</v>
      </c>
      <c r="S3727" s="11" t="s">
        <v>22301</v>
      </c>
      <c r="T3727" s="6"/>
      <c r="U3727" s="24" t="str">
        <f>HYPERLINK("https://media.infra-m.ru/1088/1088228/cover/1088228.jpg", "Обложка")</f>
        <v>Обложка</v>
      </c>
      <c r="V3727" s="24" t="str">
        <f>HYPERLINK("https://znanium.ru/catalog/product/1974375", "Ознакомиться")</f>
        <v>Ознакомиться</v>
      </c>
      <c r="W3727" s="8" t="s">
        <v>5204</v>
      </c>
      <c r="X3727" s="6"/>
      <c r="Y3727" s="6"/>
      <c r="Z3727" s="6"/>
      <c r="AA3727" s="6" t="s">
        <v>2001</v>
      </c>
      <c r="AB3727" s="8"/>
    </row>
    <row r="3728" spans="1:28" s="4" customFormat="1" ht="42" customHeight="1">
      <c r="A3728" s="5">
        <v>0</v>
      </c>
      <c r="B3728" s="6" t="s">
        <v>22306</v>
      </c>
      <c r="C3728" s="13">
        <v>1454.9</v>
      </c>
      <c r="D3728" s="8" t="s">
        <v>22307</v>
      </c>
      <c r="E3728" s="8" t="s">
        <v>22308</v>
      </c>
      <c r="F3728" s="8" t="s">
        <v>22309</v>
      </c>
      <c r="G3728" s="6" t="s">
        <v>52</v>
      </c>
      <c r="H3728" s="6" t="s">
        <v>674</v>
      </c>
      <c r="I3728" s="8"/>
      <c r="J3728" s="9">
        <v>1</v>
      </c>
      <c r="K3728" s="9">
        <v>384</v>
      </c>
      <c r="L3728" s="9">
        <v>2022</v>
      </c>
      <c r="M3728" s="8" t="s">
        <v>22310</v>
      </c>
      <c r="N3728" s="8" t="s">
        <v>41</v>
      </c>
      <c r="O3728" s="8" t="s">
        <v>676</v>
      </c>
      <c r="P3728" s="6" t="s">
        <v>167</v>
      </c>
      <c r="Q3728" s="8" t="s">
        <v>44</v>
      </c>
      <c r="R3728" s="10" t="s">
        <v>7312</v>
      </c>
      <c r="S3728" s="11"/>
      <c r="T3728" s="6"/>
      <c r="U3728" s="24" t="str">
        <f>HYPERLINK("https://media.infra-m.ru/1852/1852230/cover/1852230.jpg", "Обложка")</f>
        <v>Обложка</v>
      </c>
      <c r="V3728" s="24" t="str">
        <f>HYPERLINK("https://znanium.ru/catalog/product/1852230", "Ознакомиться")</f>
        <v>Ознакомиться</v>
      </c>
      <c r="W3728" s="8" t="s">
        <v>678</v>
      </c>
      <c r="X3728" s="6"/>
      <c r="Y3728" s="6"/>
      <c r="Z3728" s="6"/>
      <c r="AA3728" s="6" t="s">
        <v>418</v>
      </c>
      <c r="AB3728" s="8"/>
    </row>
    <row r="3729" spans="1:28" s="4" customFormat="1" ht="51.95" customHeight="1">
      <c r="A3729" s="5">
        <v>0</v>
      </c>
      <c r="B3729" s="6" t="s">
        <v>22311</v>
      </c>
      <c r="C3729" s="7">
        <v>914</v>
      </c>
      <c r="D3729" s="8" t="s">
        <v>22312</v>
      </c>
      <c r="E3729" s="8" t="s">
        <v>22313</v>
      </c>
      <c r="F3729" s="8" t="s">
        <v>22314</v>
      </c>
      <c r="G3729" s="6" t="s">
        <v>89</v>
      </c>
      <c r="H3729" s="6" t="s">
        <v>53</v>
      </c>
      <c r="I3729" s="8" t="s">
        <v>100</v>
      </c>
      <c r="J3729" s="9">
        <v>1</v>
      </c>
      <c r="K3729" s="9">
        <v>175</v>
      </c>
      <c r="L3729" s="9">
        <v>2025</v>
      </c>
      <c r="M3729" s="8" t="s">
        <v>22315</v>
      </c>
      <c r="N3729" s="8" t="s">
        <v>41</v>
      </c>
      <c r="O3729" s="8" t="s">
        <v>676</v>
      </c>
      <c r="P3729" s="6" t="s">
        <v>43</v>
      </c>
      <c r="Q3729" s="8" t="s">
        <v>102</v>
      </c>
      <c r="R3729" s="10" t="s">
        <v>22316</v>
      </c>
      <c r="S3729" s="11" t="s">
        <v>22317</v>
      </c>
      <c r="T3729" s="6"/>
      <c r="U3729" s="24" t="str">
        <f>HYPERLINK("https://media.infra-m.ru/2197/2197863/cover/2197863.jpg", "Обложка")</f>
        <v>Обложка</v>
      </c>
      <c r="V3729" s="24" t="str">
        <f>HYPERLINK("https://znanium.ru/catalog/product/2167697", "Ознакомиться")</f>
        <v>Ознакомиться</v>
      </c>
      <c r="W3729" s="8" t="s">
        <v>852</v>
      </c>
      <c r="X3729" s="6"/>
      <c r="Y3729" s="6"/>
      <c r="Z3729" s="6"/>
      <c r="AA3729" s="6" t="s">
        <v>793</v>
      </c>
      <c r="AB3729" s="8" t="s">
        <v>2336</v>
      </c>
    </row>
    <row r="3730" spans="1:28" s="4" customFormat="1" ht="51.95" customHeight="1">
      <c r="A3730" s="5">
        <v>0</v>
      </c>
      <c r="B3730" s="6" t="s">
        <v>22318</v>
      </c>
      <c r="C3730" s="13">
        <v>1930</v>
      </c>
      <c r="D3730" s="8" t="s">
        <v>22319</v>
      </c>
      <c r="E3730" s="8" t="s">
        <v>22320</v>
      </c>
      <c r="F3730" s="8" t="s">
        <v>22321</v>
      </c>
      <c r="G3730" s="6" t="s">
        <v>89</v>
      </c>
      <c r="H3730" s="6" t="s">
        <v>53</v>
      </c>
      <c r="I3730" s="8" t="s">
        <v>100</v>
      </c>
      <c r="J3730" s="9">
        <v>1</v>
      </c>
      <c r="K3730" s="9">
        <v>386</v>
      </c>
      <c r="L3730" s="9">
        <v>2025</v>
      </c>
      <c r="M3730" s="8" t="s">
        <v>22322</v>
      </c>
      <c r="N3730" s="8" t="s">
        <v>41</v>
      </c>
      <c r="O3730" s="8" t="s">
        <v>676</v>
      </c>
      <c r="P3730" s="6" t="s">
        <v>167</v>
      </c>
      <c r="Q3730" s="8" t="s">
        <v>102</v>
      </c>
      <c r="R3730" s="10" t="s">
        <v>22323</v>
      </c>
      <c r="S3730" s="11" t="s">
        <v>22324</v>
      </c>
      <c r="T3730" s="6"/>
      <c r="U3730" s="24" t="str">
        <f>HYPERLINK("https://media.infra-m.ru/2152/2152108/cover/2152108.jpg", "Обложка")</f>
        <v>Обложка</v>
      </c>
      <c r="V3730" s="24" t="str">
        <f>HYPERLINK("https://znanium.ru/catalog/product/2152108", "Ознакомиться")</f>
        <v>Ознакомиться</v>
      </c>
      <c r="W3730" s="8" t="s">
        <v>8022</v>
      </c>
      <c r="X3730" s="6"/>
      <c r="Y3730" s="6"/>
      <c r="Z3730" s="6"/>
      <c r="AA3730" s="6" t="s">
        <v>258</v>
      </c>
      <c r="AB3730" s="8"/>
    </row>
    <row r="3731" spans="1:28" s="4" customFormat="1" ht="51.95" customHeight="1">
      <c r="A3731" s="5">
        <v>0</v>
      </c>
      <c r="B3731" s="6" t="s">
        <v>22325</v>
      </c>
      <c r="C3731" s="13">
        <v>2884</v>
      </c>
      <c r="D3731" s="8" t="s">
        <v>22326</v>
      </c>
      <c r="E3731" s="8" t="s">
        <v>22327</v>
      </c>
      <c r="F3731" s="8" t="s">
        <v>22328</v>
      </c>
      <c r="G3731" s="6" t="s">
        <v>52</v>
      </c>
      <c r="H3731" s="6" t="s">
        <v>674</v>
      </c>
      <c r="I3731" s="8" t="s">
        <v>100</v>
      </c>
      <c r="J3731" s="9">
        <v>1</v>
      </c>
      <c r="K3731" s="9">
        <v>576</v>
      </c>
      <c r="L3731" s="9">
        <v>2025</v>
      </c>
      <c r="M3731" s="8" t="s">
        <v>22329</v>
      </c>
      <c r="N3731" s="8" t="s">
        <v>41</v>
      </c>
      <c r="O3731" s="8" t="s">
        <v>676</v>
      </c>
      <c r="P3731" s="6" t="s">
        <v>167</v>
      </c>
      <c r="Q3731" s="8" t="s">
        <v>102</v>
      </c>
      <c r="R3731" s="10" t="s">
        <v>19767</v>
      </c>
      <c r="S3731" s="11" t="s">
        <v>22330</v>
      </c>
      <c r="T3731" s="6"/>
      <c r="U3731" s="24" t="str">
        <f>HYPERLINK("https://media.infra-m.ru/2169/2169375/cover/2169375.jpg", "Обложка")</f>
        <v>Обложка</v>
      </c>
      <c r="V3731" s="24" t="str">
        <f>HYPERLINK("https://znanium.ru/catalog/product/1876648", "Ознакомиться")</f>
        <v>Ознакомиться</v>
      </c>
      <c r="W3731" s="8" t="s">
        <v>22331</v>
      </c>
      <c r="X3731" s="6"/>
      <c r="Y3731" s="6"/>
      <c r="Z3731" s="6" t="s">
        <v>104</v>
      </c>
      <c r="AA3731" s="6" t="s">
        <v>813</v>
      </c>
      <c r="AB3731" s="8"/>
    </row>
    <row r="3732" spans="1:28" s="4" customFormat="1" ht="51.95" customHeight="1">
      <c r="A3732" s="5">
        <v>0</v>
      </c>
      <c r="B3732" s="6" t="s">
        <v>22332</v>
      </c>
      <c r="C3732" s="13">
        <v>1304.9000000000001</v>
      </c>
      <c r="D3732" s="8" t="s">
        <v>22333</v>
      </c>
      <c r="E3732" s="8" t="s">
        <v>22320</v>
      </c>
      <c r="F3732" s="8" t="s">
        <v>22328</v>
      </c>
      <c r="G3732" s="6" t="s">
        <v>52</v>
      </c>
      <c r="H3732" s="6" t="s">
        <v>674</v>
      </c>
      <c r="I3732" s="8"/>
      <c r="J3732" s="9">
        <v>1</v>
      </c>
      <c r="K3732" s="9">
        <v>384</v>
      </c>
      <c r="L3732" s="9">
        <v>2019</v>
      </c>
      <c r="M3732" s="8" t="s">
        <v>22334</v>
      </c>
      <c r="N3732" s="8" t="s">
        <v>41</v>
      </c>
      <c r="O3732" s="8" t="s">
        <v>676</v>
      </c>
      <c r="P3732" s="6" t="s">
        <v>167</v>
      </c>
      <c r="Q3732" s="8" t="s">
        <v>44</v>
      </c>
      <c r="R3732" s="10" t="s">
        <v>22335</v>
      </c>
      <c r="S3732" s="11" t="s">
        <v>22330</v>
      </c>
      <c r="T3732" s="6"/>
      <c r="U3732" s="24" t="str">
        <f>HYPERLINK("https://media.infra-m.ru/1081/1081407/cover/1081407.jpg", "Обложка")</f>
        <v>Обложка</v>
      </c>
      <c r="V3732" s="24" t="str">
        <f>HYPERLINK("https://znanium.ru/catalog/product/1876691", "Ознакомиться")</f>
        <v>Ознакомиться</v>
      </c>
      <c r="W3732" s="8" t="s">
        <v>22331</v>
      </c>
      <c r="X3732" s="6"/>
      <c r="Y3732" s="6"/>
      <c r="Z3732" s="6"/>
      <c r="AA3732" s="6" t="s">
        <v>418</v>
      </c>
      <c r="AB3732" s="8"/>
    </row>
    <row r="3733" spans="1:28" s="4" customFormat="1" ht="51.95" customHeight="1">
      <c r="A3733" s="5">
        <v>0</v>
      </c>
      <c r="B3733" s="6" t="s">
        <v>22336</v>
      </c>
      <c r="C3733" s="13">
        <v>1230</v>
      </c>
      <c r="D3733" s="8" t="s">
        <v>22337</v>
      </c>
      <c r="E3733" s="8" t="s">
        <v>22320</v>
      </c>
      <c r="F3733" s="8" t="s">
        <v>22328</v>
      </c>
      <c r="G3733" s="6" t="s">
        <v>89</v>
      </c>
      <c r="H3733" s="6" t="s">
        <v>674</v>
      </c>
      <c r="I3733" s="8" t="s">
        <v>100</v>
      </c>
      <c r="J3733" s="9">
        <v>1</v>
      </c>
      <c r="K3733" s="9">
        <v>384</v>
      </c>
      <c r="L3733" s="9">
        <v>2019</v>
      </c>
      <c r="M3733" s="8" t="s">
        <v>22338</v>
      </c>
      <c r="N3733" s="8" t="s">
        <v>41</v>
      </c>
      <c r="O3733" s="8" t="s">
        <v>676</v>
      </c>
      <c r="P3733" s="6" t="s">
        <v>167</v>
      </c>
      <c r="Q3733" s="8" t="s">
        <v>102</v>
      </c>
      <c r="R3733" s="10" t="s">
        <v>19767</v>
      </c>
      <c r="S3733" s="11" t="s">
        <v>22330</v>
      </c>
      <c r="T3733" s="6"/>
      <c r="U3733" s="24" t="str">
        <f>HYPERLINK("https://media.infra-m.ru/1020/1020226/cover/1020226.jpg", "Обложка")</f>
        <v>Обложка</v>
      </c>
      <c r="V3733" s="24" t="str">
        <f>HYPERLINK("https://znanium.ru/catalog/product/1876648", "Ознакомиться")</f>
        <v>Ознакомиться</v>
      </c>
      <c r="W3733" s="8" t="s">
        <v>22331</v>
      </c>
      <c r="X3733" s="6"/>
      <c r="Y3733" s="6"/>
      <c r="Z3733" s="6" t="s">
        <v>104</v>
      </c>
      <c r="AA3733" s="6" t="s">
        <v>258</v>
      </c>
      <c r="AB3733" s="8"/>
    </row>
    <row r="3734" spans="1:28" s="4" customFormat="1" ht="51.95" customHeight="1">
      <c r="A3734" s="5">
        <v>0</v>
      </c>
      <c r="B3734" s="6" t="s">
        <v>22339</v>
      </c>
      <c r="C3734" s="13">
        <v>2599.9</v>
      </c>
      <c r="D3734" s="8" t="s">
        <v>22340</v>
      </c>
      <c r="E3734" s="8" t="s">
        <v>22327</v>
      </c>
      <c r="F3734" s="8" t="s">
        <v>22328</v>
      </c>
      <c r="G3734" s="6" t="s">
        <v>52</v>
      </c>
      <c r="H3734" s="6" t="s">
        <v>674</v>
      </c>
      <c r="I3734" s="8"/>
      <c r="J3734" s="9">
        <v>1</v>
      </c>
      <c r="K3734" s="9">
        <v>576</v>
      </c>
      <c r="L3734" s="9">
        <v>2023</v>
      </c>
      <c r="M3734" s="8" t="s">
        <v>22341</v>
      </c>
      <c r="N3734" s="8" t="s">
        <v>41</v>
      </c>
      <c r="O3734" s="8" t="s">
        <v>676</v>
      </c>
      <c r="P3734" s="6" t="s">
        <v>167</v>
      </c>
      <c r="Q3734" s="8" t="s">
        <v>44</v>
      </c>
      <c r="R3734" s="10" t="s">
        <v>22335</v>
      </c>
      <c r="S3734" s="11" t="s">
        <v>22330</v>
      </c>
      <c r="T3734" s="6"/>
      <c r="U3734" s="24" t="str">
        <f>HYPERLINK("https://media.infra-m.ru/1876/1876691/cover/1876691.jpg", "Обложка")</f>
        <v>Обложка</v>
      </c>
      <c r="V3734" s="24" t="str">
        <f>HYPERLINK("https://znanium.ru/catalog/product/1876691", "Ознакомиться")</f>
        <v>Ознакомиться</v>
      </c>
      <c r="W3734" s="8" t="s">
        <v>22331</v>
      </c>
      <c r="X3734" s="6"/>
      <c r="Y3734" s="6"/>
      <c r="Z3734" s="6"/>
      <c r="AA3734" s="6" t="s">
        <v>813</v>
      </c>
      <c r="AB3734" s="8"/>
    </row>
    <row r="3735" spans="1:28" s="4" customFormat="1" ht="51.95" customHeight="1">
      <c r="A3735" s="5">
        <v>0</v>
      </c>
      <c r="B3735" s="6" t="s">
        <v>22342</v>
      </c>
      <c r="C3735" s="13">
        <v>1730</v>
      </c>
      <c r="D3735" s="8" t="s">
        <v>22343</v>
      </c>
      <c r="E3735" s="8" t="s">
        <v>22344</v>
      </c>
      <c r="F3735" s="8" t="s">
        <v>5534</v>
      </c>
      <c r="G3735" s="6" t="s">
        <v>89</v>
      </c>
      <c r="H3735" s="6" t="s">
        <v>674</v>
      </c>
      <c r="I3735" s="8"/>
      <c r="J3735" s="9">
        <v>1</v>
      </c>
      <c r="K3735" s="9">
        <v>384</v>
      </c>
      <c r="L3735" s="9">
        <v>2023</v>
      </c>
      <c r="M3735" s="8" t="s">
        <v>22345</v>
      </c>
      <c r="N3735" s="8" t="s">
        <v>41</v>
      </c>
      <c r="O3735" s="8" t="s">
        <v>676</v>
      </c>
      <c r="P3735" s="6" t="s">
        <v>43</v>
      </c>
      <c r="Q3735" s="8" t="s">
        <v>44</v>
      </c>
      <c r="R3735" s="10" t="s">
        <v>806</v>
      </c>
      <c r="S3735" s="11"/>
      <c r="T3735" s="6" t="s">
        <v>299</v>
      </c>
      <c r="U3735" s="24" t="str">
        <f>HYPERLINK("https://media.infra-m.ru/1913/1913680/cover/1913680.jpg", "Обложка")</f>
        <v>Обложка</v>
      </c>
      <c r="V3735" s="24" t="str">
        <f>HYPERLINK("https://znanium.ru/catalog/product/1913680", "Ознакомиться")</f>
        <v>Ознакомиться</v>
      </c>
      <c r="W3735" s="8" t="s">
        <v>347</v>
      </c>
      <c r="X3735" s="6"/>
      <c r="Y3735" s="6"/>
      <c r="Z3735" s="6"/>
      <c r="AA3735" s="6" t="s">
        <v>111</v>
      </c>
      <c r="AB3735" s="8"/>
    </row>
    <row r="3736" spans="1:28" s="4" customFormat="1" ht="51.95" customHeight="1">
      <c r="A3736" s="5">
        <v>0</v>
      </c>
      <c r="B3736" s="6" t="s">
        <v>22346</v>
      </c>
      <c r="C3736" s="13">
        <v>1650</v>
      </c>
      <c r="D3736" s="8" t="s">
        <v>22347</v>
      </c>
      <c r="E3736" s="8" t="s">
        <v>22348</v>
      </c>
      <c r="F3736" s="8" t="s">
        <v>21421</v>
      </c>
      <c r="G3736" s="6" t="s">
        <v>89</v>
      </c>
      <c r="H3736" s="6" t="s">
        <v>53</v>
      </c>
      <c r="I3736" s="8" t="s">
        <v>116</v>
      </c>
      <c r="J3736" s="9">
        <v>1</v>
      </c>
      <c r="K3736" s="9">
        <v>329</v>
      </c>
      <c r="L3736" s="9">
        <v>2025</v>
      </c>
      <c r="M3736" s="8" t="s">
        <v>22349</v>
      </c>
      <c r="N3736" s="8" t="s">
        <v>41</v>
      </c>
      <c r="O3736" s="8" t="s">
        <v>676</v>
      </c>
      <c r="P3736" s="6" t="s">
        <v>43</v>
      </c>
      <c r="Q3736" s="8" t="s">
        <v>214</v>
      </c>
      <c r="R3736" s="10" t="s">
        <v>22350</v>
      </c>
      <c r="S3736" s="11" t="s">
        <v>22351</v>
      </c>
      <c r="T3736" s="6" t="s">
        <v>299</v>
      </c>
      <c r="U3736" s="24" t="str">
        <f>HYPERLINK("https://media.infra-m.ru/2163/2163183/cover/2163183.jpg", "Обложка")</f>
        <v>Обложка</v>
      </c>
      <c r="V3736" s="24" t="str">
        <f>HYPERLINK("https://znanium.ru/catalog/product/2163183", "Ознакомиться")</f>
        <v>Ознакомиться</v>
      </c>
      <c r="W3736" s="8" t="s">
        <v>808</v>
      </c>
      <c r="X3736" s="6"/>
      <c r="Y3736" s="6"/>
      <c r="Z3736" s="6"/>
      <c r="AA3736" s="6" t="s">
        <v>258</v>
      </c>
      <c r="AB3736" s="8"/>
    </row>
    <row r="3737" spans="1:28" s="4" customFormat="1" ht="44.1" customHeight="1">
      <c r="A3737" s="5">
        <v>0</v>
      </c>
      <c r="B3737" s="6" t="s">
        <v>22352</v>
      </c>
      <c r="C3737" s="13">
        <v>2750</v>
      </c>
      <c r="D3737" s="8" t="s">
        <v>22353</v>
      </c>
      <c r="E3737" s="8" t="s">
        <v>22354</v>
      </c>
      <c r="F3737" s="8" t="s">
        <v>22355</v>
      </c>
      <c r="G3737" s="6" t="s">
        <v>52</v>
      </c>
      <c r="H3737" s="6" t="s">
        <v>674</v>
      </c>
      <c r="I3737" s="8"/>
      <c r="J3737" s="9">
        <v>1</v>
      </c>
      <c r="K3737" s="9">
        <v>592</v>
      </c>
      <c r="L3737" s="9">
        <v>2025</v>
      </c>
      <c r="M3737" s="8" t="s">
        <v>22356</v>
      </c>
      <c r="N3737" s="8" t="s">
        <v>41</v>
      </c>
      <c r="O3737" s="8" t="s">
        <v>676</v>
      </c>
      <c r="P3737" s="6" t="s">
        <v>167</v>
      </c>
      <c r="Q3737" s="8" t="s">
        <v>58</v>
      </c>
      <c r="R3737" s="10" t="s">
        <v>22357</v>
      </c>
      <c r="S3737" s="11"/>
      <c r="T3737" s="6"/>
      <c r="U3737" s="24" t="str">
        <f>HYPERLINK("https://media.infra-m.ru/2188/2188379/cover/2188379.jpg", "Обложка")</f>
        <v>Обложка</v>
      </c>
      <c r="V3737" s="24" t="str">
        <f>HYPERLINK("https://znanium.ru/catalog/product/2188379", "Ознакомиться")</f>
        <v>Ознакомиться</v>
      </c>
      <c r="W3737" s="8" t="s">
        <v>792</v>
      </c>
      <c r="X3737" s="6"/>
      <c r="Y3737" s="6"/>
      <c r="Z3737" s="6"/>
      <c r="AA3737" s="6" t="s">
        <v>133</v>
      </c>
      <c r="AB3737" s="8"/>
    </row>
    <row r="3738" spans="1:28" s="4" customFormat="1" ht="51.95" customHeight="1">
      <c r="A3738" s="5">
        <v>0</v>
      </c>
      <c r="B3738" s="6" t="s">
        <v>22358</v>
      </c>
      <c r="C3738" s="7">
        <v>444.9</v>
      </c>
      <c r="D3738" s="8" t="s">
        <v>22359</v>
      </c>
      <c r="E3738" s="8" t="s">
        <v>22360</v>
      </c>
      <c r="F3738" s="8" t="s">
        <v>22361</v>
      </c>
      <c r="G3738" s="6" t="s">
        <v>38</v>
      </c>
      <c r="H3738" s="6" t="s">
        <v>674</v>
      </c>
      <c r="I3738" s="8"/>
      <c r="J3738" s="9">
        <v>1</v>
      </c>
      <c r="K3738" s="9">
        <v>208</v>
      </c>
      <c r="L3738" s="9">
        <v>2017</v>
      </c>
      <c r="M3738" s="8" t="s">
        <v>22362</v>
      </c>
      <c r="N3738" s="8" t="s">
        <v>41</v>
      </c>
      <c r="O3738" s="8" t="s">
        <v>676</v>
      </c>
      <c r="P3738" s="6" t="s">
        <v>937</v>
      </c>
      <c r="Q3738" s="8" t="s">
        <v>44</v>
      </c>
      <c r="R3738" s="10" t="s">
        <v>11333</v>
      </c>
      <c r="S3738" s="11" t="s">
        <v>22363</v>
      </c>
      <c r="T3738" s="6"/>
      <c r="U3738" s="24" t="str">
        <f>HYPERLINK("https://media.infra-m.ru/0851/0851542/cover/851542.jpg", "Обложка")</f>
        <v>Обложка</v>
      </c>
      <c r="V3738" s="24" t="str">
        <f>HYPERLINK("https://znanium.ru/catalog/product/2045923", "Ознакомиться")</f>
        <v>Ознакомиться</v>
      </c>
      <c r="W3738" s="8" t="s">
        <v>22364</v>
      </c>
      <c r="X3738" s="6"/>
      <c r="Y3738" s="6"/>
      <c r="Z3738" s="6"/>
      <c r="AA3738" s="6" t="s">
        <v>47</v>
      </c>
      <c r="AB3738" s="8"/>
    </row>
    <row r="3739" spans="1:28" s="4" customFormat="1" ht="51.95" customHeight="1">
      <c r="A3739" s="5">
        <v>0</v>
      </c>
      <c r="B3739" s="6" t="s">
        <v>22365</v>
      </c>
      <c r="C3739" s="13">
        <v>1124</v>
      </c>
      <c r="D3739" s="8" t="s">
        <v>22366</v>
      </c>
      <c r="E3739" s="8" t="s">
        <v>22367</v>
      </c>
      <c r="F3739" s="8" t="s">
        <v>22361</v>
      </c>
      <c r="G3739" s="6" t="s">
        <v>52</v>
      </c>
      <c r="H3739" s="6" t="s">
        <v>674</v>
      </c>
      <c r="I3739" s="8"/>
      <c r="J3739" s="9">
        <v>1</v>
      </c>
      <c r="K3739" s="9">
        <v>224</v>
      </c>
      <c r="L3739" s="9">
        <v>2025</v>
      </c>
      <c r="M3739" s="8" t="s">
        <v>22368</v>
      </c>
      <c r="N3739" s="8" t="s">
        <v>41</v>
      </c>
      <c r="O3739" s="8" t="s">
        <v>676</v>
      </c>
      <c r="P3739" s="6" t="s">
        <v>937</v>
      </c>
      <c r="Q3739" s="8" t="s">
        <v>44</v>
      </c>
      <c r="R3739" s="10" t="s">
        <v>11333</v>
      </c>
      <c r="S3739" s="11" t="s">
        <v>22363</v>
      </c>
      <c r="T3739" s="6"/>
      <c r="U3739" s="24" t="str">
        <f>HYPERLINK("https://media.infra-m.ru/2169/2169358/cover/2169358.jpg", "Обложка")</f>
        <v>Обложка</v>
      </c>
      <c r="V3739" s="24" t="str">
        <f>HYPERLINK("https://znanium.ru/catalog/product/2045923", "Ознакомиться")</f>
        <v>Ознакомиться</v>
      </c>
      <c r="W3739" s="8" t="s">
        <v>22364</v>
      </c>
      <c r="X3739" s="6"/>
      <c r="Y3739" s="6"/>
      <c r="Z3739" s="6"/>
      <c r="AA3739" s="6" t="s">
        <v>95</v>
      </c>
      <c r="AB3739" s="8"/>
    </row>
    <row r="3740" spans="1:28" s="4" customFormat="1" ht="51.95" customHeight="1">
      <c r="A3740" s="5">
        <v>0</v>
      </c>
      <c r="B3740" s="6" t="s">
        <v>22369</v>
      </c>
      <c r="C3740" s="13">
        <v>1990</v>
      </c>
      <c r="D3740" s="8" t="s">
        <v>22370</v>
      </c>
      <c r="E3740" s="8" t="s">
        <v>22371</v>
      </c>
      <c r="F3740" s="8" t="s">
        <v>8965</v>
      </c>
      <c r="G3740" s="6" t="s">
        <v>52</v>
      </c>
      <c r="H3740" s="6" t="s">
        <v>184</v>
      </c>
      <c r="I3740" s="8" t="s">
        <v>185</v>
      </c>
      <c r="J3740" s="9">
        <v>1</v>
      </c>
      <c r="K3740" s="9">
        <v>435</v>
      </c>
      <c r="L3740" s="9">
        <v>2023</v>
      </c>
      <c r="M3740" s="8" t="s">
        <v>22372</v>
      </c>
      <c r="N3740" s="8" t="s">
        <v>41</v>
      </c>
      <c r="O3740" s="8" t="s">
        <v>676</v>
      </c>
      <c r="P3740" s="6" t="s">
        <v>167</v>
      </c>
      <c r="Q3740" s="8" t="s">
        <v>44</v>
      </c>
      <c r="R3740" s="10" t="s">
        <v>22373</v>
      </c>
      <c r="S3740" s="11"/>
      <c r="T3740" s="6"/>
      <c r="U3740" s="24" t="str">
        <f>HYPERLINK("https://media.infra-m.ru/1916/1916381/cover/1916381.jpg", "Обложка")</f>
        <v>Обложка</v>
      </c>
      <c r="V3740" s="12"/>
      <c r="W3740" s="8" t="s">
        <v>2343</v>
      </c>
      <c r="X3740" s="6"/>
      <c r="Y3740" s="6"/>
      <c r="Z3740" s="6"/>
      <c r="AA3740" s="6" t="s">
        <v>235</v>
      </c>
      <c r="AB3740" s="8"/>
    </row>
    <row r="3741" spans="1:28" s="4" customFormat="1" ht="51.95" customHeight="1">
      <c r="A3741" s="5">
        <v>0</v>
      </c>
      <c r="B3741" s="6" t="s">
        <v>22374</v>
      </c>
      <c r="C3741" s="13">
        <v>1564.9</v>
      </c>
      <c r="D3741" s="8" t="s">
        <v>22375</v>
      </c>
      <c r="E3741" s="8" t="s">
        <v>22376</v>
      </c>
      <c r="F3741" s="8" t="s">
        <v>22377</v>
      </c>
      <c r="G3741" s="6" t="s">
        <v>52</v>
      </c>
      <c r="H3741" s="6" t="s">
        <v>184</v>
      </c>
      <c r="I3741" s="8" t="s">
        <v>90</v>
      </c>
      <c r="J3741" s="9">
        <v>1</v>
      </c>
      <c r="K3741" s="9">
        <v>422</v>
      </c>
      <c r="L3741" s="9">
        <v>2021</v>
      </c>
      <c r="M3741" s="8" t="s">
        <v>22378</v>
      </c>
      <c r="N3741" s="8" t="s">
        <v>41</v>
      </c>
      <c r="O3741" s="8" t="s">
        <v>676</v>
      </c>
      <c r="P3741" s="6" t="s">
        <v>167</v>
      </c>
      <c r="Q3741" s="8" t="s">
        <v>44</v>
      </c>
      <c r="R3741" s="10" t="s">
        <v>19772</v>
      </c>
      <c r="S3741" s="11" t="s">
        <v>22379</v>
      </c>
      <c r="T3741" s="6"/>
      <c r="U3741" s="24" t="str">
        <f>HYPERLINK("https://media.infra-m.ru/1663/1663731/cover/1663731.jpg", "Обложка")</f>
        <v>Обложка</v>
      </c>
      <c r="V3741" s="24" t="str">
        <f>HYPERLINK("https://znanium.ru/catalog/product/1939057", "Ознакомиться")</f>
        <v>Ознакомиться</v>
      </c>
      <c r="W3741" s="8" t="s">
        <v>234</v>
      </c>
      <c r="X3741" s="6"/>
      <c r="Y3741" s="6"/>
      <c r="Z3741" s="6"/>
      <c r="AA3741" s="6" t="s">
        <v>2001</v>
      </c>
      <c r="AB3741" s="8"/>
    </row>
    <row r="3742" spans="1:28" s="4" customFormat="1" ht="51.95" customHeight="1">
      <c r="A3742" s="5">
        <v>0</v>
      </c>
      <c r="B3742" s="6" t="s">
        <v>22380</v>
      </c>
      <c r="C3742" s="13">
        <v>1890</v>
      </c>
      <c r="D3742" s="8" t="s">
        <v>22381</v>
      </c>
      <c r="E3742" s="8" t="s">
        <v>22382</v>
      </c>
      <c r="F3742" s="8" t="s">
        <v>22377</v>
      </c>
      <c r="G3742" s="6" t="s">
        <v>89</v>
      </c>
      <c r="H3742" s="6" t="s">
        <v>184</v>
      </c>
      <c r="I3742" s="8" t="s">
        <v>90</v>
      </c>
      <c r="J3742" s="9">
        <v>1</v>
      </c>
      <c r="K3742" s="9">
        <v>421</v>
      </c>
      <c r="L3742" s="9">
        <v>2023</v>
      </c>
      <c r="M3742" s="8" t="s">
        <v>22383</v>
      </c>
      <c r="N3742" s="8" t="s">
        <v>41</v>
      </c>
      <c r="O3742" s="8" t="s">
        <v>676</v>
      </c>
      <c r="P3742" s="6" t="s">
        <v>167</v>
      </c>
      <c r="Q3742" s="8" t="s">
        <v>44</v>
      </c>
      <c r="R3742" s="10" t="s">
        <v>19772</v>
      </c>
      <c r="S3742" s="11" t="s">
        <v>22379</v>
      </c>
      <c r="T3742" s="6"/>
      <c r="U3742" s="24" t="str">
        <f>HYPERLINK("https://media.infra-m.ru/1939/1939057/cover/1939057.jpg", "Обложка")</f>
        <v>Обложка</v>
      </c>
      <c r="V3742" s="24" t="str">
        <f>HYPERLINK("https://znanium.ru/catalog/product/1939057", "Ознакомиться")</f>
        <v>Ознакомиться</v>
      </c>
      <c r="W3742" s="8" t="s">
        <v>234</v>
      </c>
      <c r="X3742" s="6"/>
      <c r="Y3742" s="6"/>
      <c r="Z3742" s="6"/>
      <c r="AA3742" s="6" t="s">
        <v>3922</v>
      </c>
      <c r="AB3742" s="8"/>
    </row>
    <row r="3743" spans="1:28" s="4" customFormat="1" ht="51.95" customHeight="1">
      <c r="A3743" s="5">
        <v>0</v>
      </c>
      <c r="B3743" s="6" t="s">
        <v>22384</v>
      </c>
      <c r="C3743" s="13">
        <v>1930</v>
      </c>
      <c r="D3743" s="8" t="s">
        <v>22385</v>
      </c>
      <c r="E3743" s="8" t="s">
        <v>22371</v>
      </c>
      <c r="F3743" s="8" t="s">
        <v>22386</v>
      </c>
      <c r="G3743" s="6" t="s">
        <v>89</v>
      </c>
      <c r="H3743" s="6" t="s">
        <v>53</v>
      </c>
      <c r="I3743" s="8" t="s">
        <v>90</v>
      </c>
      <c r="J3743" s="9">
        <v>1</v>
      </c>
      <c r="K3743" s="9">
        <v>428</v>
      </c>
      <c r="L3743" s="9">
        <v>2023</v>
      </c>
      <c r="M3743" s="8" t="s">
        <v>22387</v>
      </c>
      <c r="N3743" s="8" t="s">
        <v>41</v>
      </c>
      <c r="O3743" s="8" t="s">
        <v>676</v>
      </c>
      <c r="P3743" s="6" t="s">
        <v>167</v>
      </c>
      <c r="Q3743" s="8" t="s">
        <v>44</v>
      </c>
      <c r="R3743" s="10" t="s">
        <v>22388</v>
      </c>
      <c r="S3743" s="11" t="s">
        <v>22389</v>
      </c>
      <c r="T3743" s="6"/>
      <c r="U3743" s="24" t="str">
        <f>HYPERLINK("https://media.infra-m.ru/1930/1930683/cover/1930683.jpg", "Обложка")</f>
        <v>Обложка</v>
      </c>
      <c r="V3743" s="24" t="str">
        <f>HYPERLINK("https://znanium.ru/catalog/product/1930683", "Ознакомиться")</f>
        <v>Ознакомиться</v>
      </c>
      <c r="W3743" s="8" t="s">
        <v>6076</v>
      </c>
      <c r="X3743" s="6"/>
      <c r="Y3743" s="6"/>
      <c r="Z3743" s="6"/>
      <c r="AA3743" s="6" t="s">
        <v>219</v>
      </c>
      <c r="AB3743" s="8"/>
    </row>
    <row r="3744" spans="1:28" s="4" customFormat="1" ht="51.95" customHeight="1">
      <c r="A3744" s="5">
        <v>0</v>
      </c>
      <c r="B3744" s="6" t="s">
        <v>22390</v>
      </c>
      <c r="C3744" s="13">
        <v>2224</v>
      </c>
      <c r="D3744" s="8" t="s">
        <v>22391</v>
      </c>
      <c r="E3744" s="8" t="s">
        <v>22371</v>
      </c>
      <c r="F3744" s="8" t="s">
        <v>22386</v>
      </c>
      <c r="G3744" s="6" t="s">
        <v>52</v>
      </c>
      <c r="H3744" s="6" t="s">
        <v>53</v>
      </c>
      <c r="I3744" s="8" t="s">
        <v>100</v>
      </c>
      <c r="J3744" s="9">
        <v>1</v>
      </c>
      <c r="K3744" s="9">
        <v>428</v>
      </c>
      <c r="L3744" s="9">
        <v>2025</v>
      </c>
      <c r="M3744" s="8" t="s">
        <v>22392</v>
      </c>
      <c r="N3744" s="8" t="s">
        <v>41</v>
      </c>
      <c r="O3744" s="8" t="s">
        <v>676</v>
      </c>
      <c r="P3744" s="6" t="s">
        <v>167</v>
      </c>
      <c r="Q3744" s="8" t="s">
        <v>102</v>
      </c>
      <c r="R3744" s="10" t="s">
        <v>9143</v>
      </c>
      <c r="S3744" s="11" t="s">
        <v>22393</v>
      </c>
      <c r="T3744" s="6"/>
      <c r="U3744" s="24" t="str">
        <f>HYPERLINK("https://media.infra-m.ru/2143/2143554/cover/2143554.jpg", "Обложка")</f>
        <v>Обложка</v>
      </c>
      <c r="V3744" s="24" t="str">
        <f>HYPERLINK("https://znanium.ru/catalog/product/1816810", "Ознакомиться")</f>
        <v>Ознакомиться</v>
      </c>
      <c r="W3744" s="8" t="s">
        <v>6076</v>
      </c>
      <c r="X3744" s="6"/>
      <c r="Y3744" s="6"/>
      <c r="Z3744" s="6" t="s">
        <v>104</v>
      </c>
      <c r="AA3744" s="6" t="s">
        <v>235</v>
      </c>
      <c r="AB3744" s="8"/>
    </row>
    <row r="3745" spans="1:28" s="4" customFormat="1" ht="51.95" customHeight="1">
      <c r="A3745" s="5">
        <v>0</v>
      </c>
      <c r="B3745" s="6" t="s">
        <v>22394</v>
      </c>
      <c r="C3745" s="13">
        <v>1000</v>
      </c>
      <c r="D3745" s="8" t="s">
        <v>22395</v>
      </c>
      <c r="E3745" s="8" t="s">
        <v>22396</v>
      </c>
      <c r="F3745" s="8" t="s">
        <v>22397</v>
      </c>
      <c r="G3745" s="6" t="s">
        <v>89</v>
      </c>
      <c r="H3745" s="6" t="s">
        <v>184</v>
      </c>
      <c r="I3745" s="8" t="s">
        <v>185</v>
      </c>
      <c r="J3745" s="9">
        <v>1</v>
      </c>
      <c r="K3745" s="9">
        <v>221</v>
      </c>
      <c r="L3745" s="9">
        <v>2022</v>
      </c>
      <c r="M3745" s="8" t="s">
        <v>22398</v>
      </c>
      <c r="N3745" s="8" t="s">
        <v>41</v>
      </c>
      <c r="O3745" s="8" t="s">
        <v>676</v>
      </c>
      <c r="P3745" s="6" t="s">
        <v>167</v>
      </c>
      <c r="Q3745" s="8" t="s">
        <v>102</v>
      </c>
      <c r="R3745" s="10" t="s">
        <v>19767</v>
      </c>
      <c r="S3745" s="11" t="s">
        <v>242</v>
      </c>
      <c r="T3745" s="6"/>
      <c r="U3745" s="24" t="str">
        <f>HYPERLINK("https://media.infra-m.ru/1920/1920494/cover/1920494.jpg", "Обложка")</f>
        <v>Обложка</v>
      </c>
      <c r="V3745" s="24" t="str">
        <f>HYPERLINK("https://znanium.ru/catalog/product/2085098", "Ознакомиться")</f>
        <v>Ознакомиться</v>
      </c>
      <c r="W3745" s="8" t="s">
        <v>22399</v>
      </c>
      <c r="X3745" s="6"/>
      <c r="Y3745" s="6"/>
      <c r="Z3745" s="6"/>
      <c r="AA3745" s="6" t="s">
        <v>5763</v>
      </c>
      <c r="AB3745" s="8"/>
    </row>
    <row r="3746" spans="1:28" s="4" customFormat="1" ht="51.95" customHeight="1">
      <c r="A3746" s="5">
        <v>0</v>
      </c>
      <c r="B3746" s="6" t="s">
        <v>22400</v>
      </c>
      <c r="C3746" s="13">
        <v>1144</v>
      </c>
      <c r="D3746" s="8" t="s">
        <v>22401</v>
      </c>
      <c r="E3746" s="8" t="s">
        <v>22402</v>
      </c>
      <c r="F3746" s="8" t="s">
        <v>22397</v>
      </c>
      <c r="G3746" s="6" t="s">
        <v>89</v>
      </c>
      <c r="H3746" s="6" t="s">
        <v>184</v>
      </c>
      <c r="I3746" s="8" t="s">
        <v>185</v>
      </c>
      <c r="J3746" s="9">
        <v>1</v>
      </c>
      <c r="K3746" s="9">
        <v>212</v>
      </c>
      <c r="L3746" s="9">
        <v>2025</v>
      </c>
      <c r="M3746" s="8" t="s">
        <v>22403</v>
      </c>
      <c r="N3746" s="8" t="s">
        <v>41</v>
      </c>
      <c r="O3746" s="8" t="s">
        <v>676</v>
      </c>
      <c r="P3746" s="6" t="s">
        <v>167</v>
      </c>
      <c r="Q3746" s="8" t="s">
        <v>102</v>
      </c>
      <c r="R3746" s="10" t="s">
        <v>19767</v>
      </c>
      <c r="S3746" s="11" t="s">
        <v>242</v>
      </c>
      <c r="T3746" s="6"/>
      <c r="U3746" s="24" t="str">
        <f>HYPERLINK("https://media.infra-m.ru/2192/2192093/cover/2192093.jpg", "Обложка")</f>
        <v>Обложка</v>
      </c>
      <c r="V3746" s="24" t="str">
        <f>HYPERLINK("https://znanium.ru/catalog/product/2085098", "Ознакомиться")</f>
        <v>Ознакомиться</v>
      </c>
      <c r="W3746" s="8" t="s">
        <v>22399</v>
      </c>
      <c r="X3746" s="6"/>
      <c r="Y3746" s="6"/>
      <c r="Z3746" s="6"/>
      <c r="AA3746" s="6" t="s">
        <v>7125</v>
      </c>
      <c r="AB3746" s="8"/>
    </row>
    <row r="3747" spans="1:28" s="4" customFormat="1" ht="42" customHeight="1">
      <c r="A3747" s="5">
        <v>0</v>
      </c>
      <c r="B3747" s="6" t="s">
        <v>22404</v>
      </c>
      <c r="C3747" s="7">
        <v>984.9</v>
      </c>
      <c r="D3747" s="8" t="s">
        <v>22405</v>
      </c>
      <c r="E3747" s="8" t="s">
        <v>22406</v>
      </c>
      <c r="F3747" s="8" t="s">
        <v>22407</v>
      </c>
      <c r="G3747" s="6" t="s">
        <v>52</v>
      </c>
      <c r="H3747" s="6" t="s">
        <v>184</v>
      </c>
      <c r="I3747" s="8" t="s">
        <v>90</v>
      </c>
      <c r="J3747" s="9">
        <v>1</v>
      </c>
      <c r="K3747" s="9">
        <v>267</v>
      </c>
      <c r="L3747" s="9">
        <v>2021</v>
      </c>
      <c r="M3747" s="8" t="s">
        <v>22408</v>
      </c>
      <c r="N3747" s="8" t="s">
        <v>41</v>
      </c>
      <c r="O3747" s="8" t="s">
        <v>1204</v>
      </c>
      <c r="P3747" s="6" t="s">
        <v>43</v>
      </c>
      <c r="Q3747" s="8" t="s">
        <v>44</v>
      </c>
      <c r="R3747" s="10" t="s">
        <v>4214</v>
      </c>
      <c r="S3747" s="11"/>
      <c r="T3747" s="6"/>
      <c r="U3747" s="24" t="str">
        <f>HYPERLINK("https://media.infra-m.ru/1481/1481541/cover/1481541.jpg", "Обложка")</f>
        <v>Обложка</v>
      </c>
      <c r="V3747" s="24" t="str">
        <f>HYPERLINK("https://znanium.ru/catalog/product/1481541", "Ознакомиться")</f>
        <v>Ознакомиться</v>
      </c>
      <c r="W3747" s="8" t="s">
        <v>913</v>
      </c>
      <c r="X3747" s="6"/>
      <c r="Y3747" s="6"/>
      <c r="Z3747" s="6"/>
      <c r="AA3747" s="6" t="s">
        <v>418</v>
      </c>
      <c r="AB3747" s="8"/>
    </row>
    <row r="3748" spans="1:28" s="4" customFormat="1" ht="42" customHeight="1">
      <c r="A3748" s="5">
        <v>0</v>
      </c>
      <c r="B3748" s="6" t="s">
        <v>22409</v>
      </c>
      <c r="C3748" s="13">
        <v>1050</v>
      </c>
      <c r="D3748" s="8" t="s">
        <v>22410</v>
      </c>
      <c r="E3748" s="8" t="s">
        <v>22411</v>
      </c>
      <c r="F3748" s="8" t="s">
        <v>22412</v>
      </c>
      <c r="G3748" s="6" t="s">
        <v>52</v>
      </c>
      <c r="H3748" s="6" t="s">
        <v>184</v>
      </c>
      <c r="I3748" s="8" t="s">
        <v>90</v>
      </c>
      <c r="J3748" s="9">
        <v>1</v>
      </c>
      <c r="K3748" s="9">
        <v>299</v>
      </c>
      <c r="L3748" s="9">
        <v>2020</v>
      </c>
      <c r="M3748" s="8" t="s">
        <v>22413</v>
      </c>
      <c r="N3748" s="8" t="s">
        <v>41</v>
      </c>
      <c r="O3748" s="8" t="s">
        <v>118</v>
      </c>
      <c r="P3748" s="6" t="s">
        <v>43</v>
      </c>
      <c r="Q3748" s="8" t="s">
        <v>44</v>
      </c>
      <c r="R3748" s="10" t="s">
        <v>7543</v>
      </c>
      <c r="S3748" s="11"/>
      <c r="T3748" s="6"/>
      <c r="U3748" s="24" t="str">
        <f>HYPERLINK("https://media.infra-m.ru/0982/0982341/cover/982341.jpg", "Обложка")</f>
        <v>Обложка</v>
      </c>
      <c r="V3748" s="24" t="str">
        <f>HYPERLINK("https://znanium.ru/catalog/product/1069173", "Ознакомиться")</f>
        <v>Ознакомиться</v>
      </c>
      <c r="W3748" s="8" t="s">
        <v>22414</v>
      </c>
      <c r="X3748" s="6"/>
      <c r="Y3748" s="6"/>
      <c r="Z3748" s="6"/>
      <c r="AA3748" s="6" t="s">
        <v>442</v>
      </c>
      <c r="AB3748" s="8"/>
    </row>
    <row r="3749" spans="1:28" s="4" customFormat="1" ht="51.95" customHeight="1">
      <c r="A3749" s="5">
        <v>0</v>
      </c>
      <c r="B3749" s="6" t="s">
        <v>22415</v>
      </c>
      <c r="C3749" s="7">
        <v>874.9</v>
      </c>
      <c r="D3749" s="8" t="s">
        <v>22416</v>
      </c>
      <c r="E3749" s="8" t="s">
        <v>22417</v>
      </c>
      <c r="F3749" s="8" t="s">
        <v>7150</v>
      </c>
      <c r="G3749" s="6" t="s">
        <v>89</v>
      </c>
      <c r="H3749" s="6" t="s">
        <v>53</v>
      </c>
      <c r="I3749" s="8" t="s">
        <v>116</v>
      </c>
      <c r="J3749" s="9">
        <v>1</v>
      </c>
      <c r="K3749" s="9">
        <v>187</v>
      </c>
      <c r="L3749" s="9">
        <v>2022</v>
      </c>
      <c r="M3749" s="8" t="s">
        <v>22418</v>
      </c>
      <c r="N3749" s="8" t="s">
        <v>41</v>
      </c>
      <c r="O3749" s="8" t="s">
        <v>676</v>
      </c>
      <c r="P3749" s="6" t="s">
        <v>43</v>
      </c>
      <c r="Q3749" s="8" t="s">
        <v>58</v>
      </c>
      <c r="R3749" s="10" t="s">
        <v>7193</v>
      </c>
      <c r="S3749" s="11" t="s">
        <v>22419</v>
      </c>
      <c r="T3749" s="6"/>
      <c r="U3749" s="24" t="str">
        <f>HYPERLINK("https://media.infra-m.ru/2048/2048897/cover/2048897.jpg", "Обложка")</f>
        <v>Обложка</v>
      </c>
      <c r="V3749" s="24" t="str">
        <f>HYPERLINK("https://znanium.ru/catalog/product/2038342", "Ознакомиться")</f>
        <v>Ознакомиться</v>
      </c>
      <c r="W3749" s="8" t="s">
        <v>1689</v>
      </c>
      <c r="X3749" s="6"/>
      <c r="Y3749" s="6"/>
      <c r="Z3749" s="6"/>
      <c r="AA3749" s="6" t="s">
        <v>235</v>
      </c>
      <c r="AB3749" s="8"/>
    </row>
    <row r="3750" spans="1:28" s="4" customFormat="1" ht="51.95" customHeight="1">
      <c r="A3750" s="5">
        <v>0</v>
      </c>
      <c r="B3750" s="6" t="s">
        <v>22420</v>
      </c>
      <c r="C3750" s="7">
        <v>960</v>
      </c>
      <c r="D3750" s="8" t="s">
        <v>22421</v>
      </c>
      <c r="E3750" s="8" t="s">
        <v>22422</v>
      </c>
      <c r="F3750" s="8" t="s">
        <v>22423</v>
      </c>
      <c r="G3750" s="6" t="s">
        <v>89</v>
      </c>
      <c r="H3750" s="6" t="s">
        <v>674</v>
      </c>
      <c r="I3750" s="8"/>
      <c r="J3750" s="9">
        <v>1</v>
      </c>
      <c r="K3750" s="9">
        <v>192</v>
      </c>
      <c r="L3750" s="9">
        <v>2025</v>
      </c>
      <c r="M3750" s="8" t="s">
        <v>22424</v>
      </c>
      <c r="N3750" s="8" t="s">
        <v>41</v>
      </c>
      <c r="O3750" s="8" t="s">
        <v>676</v>
      </c>
      <c r="P3750" s="6" t="s">
        <v>43</v>
      </c>
      <c r="Q3750" s="8" t="s">
        <v>279</v>
      </c>
      <c r="R3750" s="10" t="s">
        <v>22425</v>
      </c>
      <c r="S3750" s="11"/>
      <c r="T3750" s="6"/>
      <c r="U3750" s="24" t="str">
        <f>HYPERLINK("https://media.infra-m.ru/2169/2169156/cover/2169156.jpg", "Обложка")</f>
        <v>Обложка</v>
      </c>
      <c r="V3750" s="24" t="str">
        <f>HYPERLINK("https://znanium.ru/catalog/product/2169156", "Ознакомиться")</f>
        <v>Ознакомиться</v>
      </c>
      <c r="W3750" s="8" t="s">
        <v>792</v>
      </c>
      <c r="X3750" s="6"/>
      <c r="Y3750" s="6"/>
      <c r="Z3750" s="6"/>
      <c r="AA3750" s="6" t="s">
        <v>151</v>
      </c>
      <c r="AB3750" s="8"/>
    </row>
    <row r="3751" spans="1:28" s="4" customFormat="1" ht="51.95" customHeight="1">
      <c r="A3751" s="5">
        <v>0</v>
      </c>
      <c r="B3751" s="6" t="s">
        <v>22426</v>
      </c>
      <c r="C3751" s="13">
        <v>1824</v>
      </c>
      <c r="D3751" s="8" t="s">
        <v>22427</v>
      </c>
      <c r="E3751" s="8" t="s">
        <v>22428</v>
      </c>
      <c r="F3751" s="8" t="s">
        <v>22429</v>
      </c>
      <c r="G3751" s="6" t="s">
        <v>89</v>
      </c>
      <c r="H3751" s="6" t="s">
        <v>649</v>
      </c>
      <c r="I3751" s="8" t="s">
        <v>100</v>
      </c>
      <c r="J3751" s="9">
        <v>1</v>
      </c>
      <c r="K3751" s="9">
        <v>364</v>
      </c>
      <c r="L3751" s="9">
        <v>2025</v>
      </c>
      <c r="M3751" s="8" t="s">
        <v>22430</v>
      </c>
      <c r="N3751" s="8" t="s">
        <v>41</v>
      </c>
      <c r="O3751" s="8" t="s">
        <v>676</v>
      </c>
      <c r="P3751" s="6" t="s">
        <v>167</v>
      </c>
      <c r="Q3751" s="8" t="s">
        <v>102</v>
      </c>
      <c r="R3751" s="10" t="s">
        <v>19767</v>
      </c>
      <c r="S3751" s="11" t="s">
        <v>22431</v>
      </c>
      <c r="T3751" s="6"/>
      <c r="U3751" s="24" t="str">
        <f>HYPERLINK("https://media.infra-m.ru/2175/2175136/cover/2175136.jpg", "Обложка")</f>
        <v>Обложка</v>
      </c>
      <c r="V3751" s="24" t="str">
        <f>HYPERLINK("https://znanium.ru/catalog/product/1865357", "Ознакомиться")</f>
        <v>Ознакомиться</v>
      </c>
      <c r="W3751" s="8" t="s">
        <v>7139</v>
      </c>
      <c r="X3751" s="6"/>
      <c r="Y3751" s="6"/>
      <c r="Z3751" s="6"/>
      <c r="AA3751" s="6" t="s">
        <v>1259</v>
      </c>
      <c r="AB3751" s="8"/>
    </row>
    <row r="3752" spans="1:28" s="4" customFormat="1" ht="44.1" customHeight="1">
      <c r="A3752" s="5">
        <v>0</v>
      </c>
      <c r="B3752" s="6" t="s">
        <v>22432</v>
      </c>
      <c r="C3752" s="7">
        <v>884</v>
      </c>
      <c r="D3752" s="8" t="s">
        <v>22433</v>
      </c>
      <c r="E3752" s="8" t="s">
        <v>22434</v>
      </c>
      <c r="F3752" s="8" t="s">
        <v>8965</v>
      </c>
      <c r="G3752" s="6" t="s">
        <v>52</v>
      </c>
      <c r="H3752" s="6" t="s">
        <v>184</v>
      </c>
      <c r="I3752" s="8" t="s">
        <v>185</v>
      </c>
      <c r="J3752" s="9">
        <v>1</v>
      </c>
      <c r="K3752" s="9">
        <v>177</v>
      </c>
      <c r="L3752" s="9">
        <v>2025</v>
      </c>
      <c r="M3752" s="8" t="s">
        <v>22435</v>
      </c>
      <c r="N3752" s="8" t="s">
        <v>41</v>
      </c>
      <c r="O3752" s="8" t="s">
        <v>676</v>
      </c>
      <c r="P3752" s="6" t="s">
        <v>167</v>
      </c>
      <c r="Q3752" s="8" t="s">
        <v>102</v>
      </c>
      <c r="R3752" s="10" t="s">
        <v>22436</v>
      </c>
      <c r="S3752" s="11"/>
      <c r="T3752" s="6"/>
      <c r="U3752" s="24" t="str">
        <f>HYPERLINK("https://media.infra-m.ru/2161/2161041/cover/2161041.jpg", "Обложка")</f>
        <v>Обложка</v>
      </c>
      <c r="V3752" s="24" t="str">
        <f>HYPERLINK("https://znanium.ru/catalog/product/1461283", "Ознакомиться")</f>
        <v>Ознакомиться</v>
      </c>
      <c r="W3752" s="8" t="s">
        <v>2343</v>
      </c>
      <c r="X3752" s="6"/>
      <c r="Y3752" s="6"/>
      <c r="Z3752" s="6" t="s">
        <v>104</v>
      </c>
      <c r="AA3752" s="6" t="s">
        <v>219</v>
      </c>
      <c r="AB3752" s="8"/>
    </row>
    <row r="3753" spans="1:28" s="4" customFormat="1" ht="51.95" customHeight="1">
      <c r="A3753" s="5">
        <v>0</v>
      </c>
      <c r="B3753" s="6" t="s">
        <v>22437</v>
      </c>
      <c r="C3753" s="13">
        <v>1400</v>
      </c>
      <c r="D3753" s="8" t="s">
        <v>22438</v>
      </c>
      <c r="E3753" s="8" t="s">
        <v>22434</v>
      </c>
      <c r="F3753" s="8" t="s">
        <v>8965</v>
      </c>
      <c r="G3753" s="6" t="s">
        <v>89</v>
      </c>
      <c r="H3753" s="6" t="s">
        <v>184</v>
      </c>
      <c r="I3753" s="8" t="s">
        <v>116</v>
      </c>
      <c r="J3753" s="9">
        <v>1</v>
      </c>
      <c r="K3753" s="9">
        <v>311</v>
      </c>
      <c r="L3753" s="9">
        <v>2023</v>
      </c>
      <c r="M3753" s="8" t="s">
        <v>22439</v>
      </c>
      <c r="N3753" s="8" t="s">
        <v>41</v>
      </c>
      <c r="O3753" s="8" t="s">
        <v>676</v>
      </c>
      <c r="P3753" s="6" t="s">
        <v>167</v>
      </c>
      <c r="Q3753" s="8" t="s">
        <v>44</v>
      </c>
      <c r="R3753" s="10" t="s">
        <v>22440</v>
      </c>
      <c r="S3753" s="11"/>
      <c r="T3753" s="6"/>
      <c r="U3753" s="24" t="str">
        <f>HYPERLINK("https://media.infra-m.ru/1916/1916398/cover/1916398.jpg", "Обложка")</f>
        <v>Обложка</v>
      </c>
      <c r="V3753" s="24" t="str">
        <f>HYPERLINK("https://znanium.ru/catalog/product/1916398", "Ознакомиться")</f>
        <v>Ознакомиться</v>
      </c>
      <c r="W3753" s="8" t="s">
        <v>2343</v>
      </c>
      <c r="X3753" s="6"/>
      <c r="Y3753" s="6"/>
      <c r="Z3753" s="6"/>
      <c r="AA3753" s="6" t="s">
        <v>219</v>
      </c>
      <c r="AB3753" s="8"/>
    </row>
    <row r="3754" spans="1:28" s="4" customFormat="1" ht="42" customHeight="1">
      <c r="A3754" s="5">
        <v>0</v>
      </c>
      <c r="B3754" s="6" t="s">
        <v>22441</v>
      </c>
      <c r="C3754" s="7">
        <v>594</v>
      </c>
      <c r="D3754" s="8" t="s">
        <v>22442</v>
      </c>
      <c r="E3754" s="8" t="s">
        <v>22443</v>
      </c>
      <c r="F3754" s="8" t="s">
        <v>20219</v>
      </c>
      <c r="G3754" s="6" t="s">
        <v>38</v>
      </c>
      <c r="H3754" s="6" t="s">
        <v>39</v>
      </c>
      <c r="I3754" s="8" t="s">
        <v>185</v>
      </c>
      <c r="J3754" s="9">
        <v>1</v>
      </c>
      <c r="K3754" s="9">
        <v>128</v>
      </c>
      <c r="L3754" s="9">
        <v>2024</v>
      </c>
      <c r="M3754" s="8" t="s">
        <v>22444</v>
      </c>
      <c r="N3754" s="8" t="s">
        <v>41</v>
      </c>
      <c r="O3754" s="8" t="s">
        <v>676</v>
      </c>
      <c r="P3754" s="6" t="s">
        <v>21514</v>
      </c>
      <c r="Q3754" s="8" t="s">
        <v>102</v>
      </c>
      <c r="R3754" s="10" t="s">
        <v>19767</v>
      </c>
      <c r="S3754" s="11"/>
      <c r="T3754" s="6"/>
      <c r="U3754" s="24" t="str">
        <f>HYPERLINK("https://media.infra-m.ru/2056/2056804/cover/2056804.jpg", "Обложка")</f>
        <v>Обложка</v>
      </c>
      <c r="V3754" s="24" t="str">
        <f>HYPERLINK("https://znanium.ru/catalog/product/1834716", "Ознакомиться")</f>
        <v>Ознакомиться</v>
      </c>
      <c r="W3754" s="8" t="s">
        <v>243</v>
      </c>
      <c r="X3754" s="6"/>
      <c r="Y3754" s="6"/>
      <c r="Z3754" s="6"/>
      <c r="AA3754" s="6" t="s">
        <v>701</v>
      </c>
      <c r="AB3754" s="8"/>
    </row>
    <row r="3755" spans="1:28" s="4" customFormat="1" ht="44.1" customHeight="1">
      <c r="A3755" s="5">
        <v>0</v>
      </c>
      <c r="B3755" s="6" t="s">
        <v>22445</v>
      </c>
      <c r="C3755" s="7">
        <v>454.9</v>
      </c>
      <c r="D3755" s="8" t="s">
        <v>22446</v>
      </c>
      <c r="E3755" s="8" t="s">
        <v>22428</v>
      </c>
      <c r="F3755" s="8" t="s">
        <v>22447</v>
      </c>
      <c r="G3755" s="6" t="s">
        <v>38</v>
      </c>
      <c r="H3755" s="6" t="s">
        <v>184</v>
      </c>
      <c r="I3755" s="8" t="s">
        <v>185</v>
      </c>
      <c r="J3755" s="9">
        <v>1</v>
      </c>
      <c r="K3755" s="9">
        <v>203</v>
      </c>
      <c r="L3755" s="9">
        <v>2020</v>
      </c>
      <c r="M3755" s="8" t="s">
        <v>22448</v>
      </c>
      <c r="N3755" s="8" t="s">
        <v>41</v>
      </c>
      <c r="O3755" s="8" t="s">
        <v>676</v>
      </c>
      <c r="P3755" s="6" t="s">
        <v>43</v>
      </c>
      <c r="Q3755" s="8" t="s">
        <v>102</v>
      </c>
      <c r="R3755" s="10" t="s">
        <v>22449</v>
      </c>
      <c r="S3755" s="11"/>
      <c r="T3755" s="6"/>
      <c r="U3755" s="24" t="str">
        <f>HYPERLINK("https://media.infra-m.ru/1015/1015080/cover/1015080.jpg", "Обложка")</f>
        <v>Обложка</v>
      </c>
      <c r="V3755" s="24" t="str">
        <f>HYPERLINK("https://znanium.ru/catalog/product/1015080", "Ознакомиться")</f>
        <v>Ознакомиться</v>
      </c>
      <c r="W3755" s="8" t="s">
        <v>22399</v>
      </c>
      <c r="X3755" s="6"/>
      <c r="Y3755" s="6" t="s">
        <v>30</v>
      </c>
      <c r="Z3755" s="6"/>
      <c r="AA3755" s="6" t="s">
        <v>160</v>
      </c>
      <c r="AB3755" s="8"/>
    </row>
    <row r="3756" spans="1:28" s="4" customFormat="1" ht="51.95" customHeight="1">
      <c r="A3756" s="5">
        <v>0</v>
      </c>
      <c r="B3756" s="6" t="s">
        <v>22450</v>
      </c>
      <c r="C3756" s="13">
        <v>1130</v>
      </c>
      <c r="D3756" s="8" t="s">
        <v>22451</v>
      </c>
      <c r="E3756" s="8" t="s">
        <v>22434</v>
      </c>
      <c r="F3756" s="8" t="s">
        <v>22452</v>
      </c>
      <c r="G3756" s="6" t="s">
        <v>89</v>
      </c>
      <c r="H3756" s="6" t="s">
        <v>649</v>
      </c>
      <c r="I3756" s="8" t="s">
        <v>100</v>
      </c>
      <c r="J3756" s="9">
        <v>1</v>
      </c>
      <c r="K3756" s="9">
        <v>333</v>
      </c>
      <c r="L3756" s="9">
        <v>2019</v>
      </c>
      <c r="M3756" s="8" t="s">
        <v>22453</v>
      </c>
      <c r="N3756" s="8" t="s">
        <v>41</v>
      </c>
      <c r="O3756" s="8" t="s">
        <v>676</v>
      </c>
      <c r="P3756" s="6" t="s">
        <v>167</v>
      </c>
      <c r="Q3756" s="8" t="s">
        <v>102</v>
      </c>
      <c r="R3756" s="10" t="s">
        <v>19767</v>
      </c>
      <c r="S3756" s="11" t="s">
        <v>22454</v>
      </c>
      <c r="T3756" s="6"/>
      <c r="U3756" s="24" t="str">
        <f>HYPERLINK("https://media.infra-m.ru/1003/1003313/cover/1003313.jpg", "Обложка")</f>
        <v>Обложка</v>
      </c>
      <c r="V3756" s="24" t="str">
        <f>HYPERLINK("https://znanium.ru/catalog/product/1865357", "Ознакомиться")</f>
        <v>Ознакомиться</v>
      </c>
      <c r="W3756" s="8" t="s">
        <v>7139</v>
      </c>
      <c r="X3756" s="6"/>
      <c r="Y3756" s="6"/>
      <c r="Z3756" s="6"/>
      <c r="AA3756" s="6" t="s">
        <v>2217</v>
      </c>
      <c r="AB3756" s="8"/>
    </row>
    <row r="3757" spans="1:28" s="4" customFormat="1" ht="51.95" customHeight="1">
      <c r="A3757" s="5">
        <v>0</v>
      </c>
      <c r="B3757" s="6" t="s">
        <v>22455</v>
      </c>
      <c r="C3757" s="13">
        <v>1200</v>
      </c>
      <c r="D3757" s="8" t="s">
        <v>22456</v>
      </c>
      <c r="E3757" s="8" t="s">
        <v>22434</v>
      </c>
      <c r="F3757" s="8" t="s">
        <v>22457</v>
      </c>
      <c r="G3757" s="6" t="s">
        <v>89</v>
      </c>
      <c r="H3757" s="6" t="s">
        <v>649</v>
      </c>
      <c r="I3757" s="8" t="s">
        <v>100</v>
      </c>
      <c r="J3757" s="9">
        <v>1</v>
      </c>
      <c r="K3757" s="9">
        <v>239</v>
      </c>
      <c r="L3757" s="9">
        <v>2024</v>
      </c>
      <c r="M3757" s="8" t="s">
        <v>22458</v>
      </c>
      <c r="N3757" s="8" t="s">
        <v>41</v>
      </c>
      <c r="O3757" s="8" t="s">
        <v>676</v>
      </c>
      <c r="P3757" s="6" t="s">
        <v>167</v>
      </c>
      <c r="Q3757" s="8" t="s">
        <v>102</v>
      </c>
      <c r="R3757" s="10" t="s">
        <v>19767</v>
      </c>
      <c r="S3757" s="11" t="s">
        <v>22459</v>
      </c>
      <c r="T3757" s="6"/>
      <c r="U3757" s="24" t="str">
        <f>HYPERLINK("https://media.infra-m.ru/2156/2156791/cover/2156791.jpg", "Обложка")</f>
        <v>Обложка</v>
      </c>
      <c r="V3757" s="24" t="str">
        <f>HYPERLINK("https://znanium.ru/catalog/product/2156791", "Ознакомиться")</f>
        <v>Ознакомиться</v>
      </c>
      <c r="W3757" s="8" t="s">
        <v>450</v>
      </c>
      <c r="X3757" s="6"/>
      <c r="Y3757" s="6"/>
      <c r="Z3757" s="6"/>
      <c r="AA3757" s="6" t="s">
        <v>122</v>
      </c>
      <c r="AB3757" s="8"/>
    </row>
    <row r="3758" spans="1:28" s="4" customFormat="1" ht="51.95" customHeight="1">
      <c r="A3758" s="5">
        <v>0</v>
      </c>
      <c r="B3758" s="6" t="s">
        <v>22460</v>
      </c>
      <c r="C3758" s="13">
        <v>1290</v>
      </c>
      <c r="D3758" s="8" t="s">
        <v>22461</v>
      </c>
      <c r="E3758" s="8" t="s">
        <v>22406</v>
      </c>
      <c r="F3758" s="8" t="s">
        <v>9211</v>
      </c>
      <c r="G3758" s="6" t="s">
        <v>89</v>
      </c>
      <c r="H3758" s="6" t="s">
        <v>53</v>
      </c>
      <c r="I3758" s="8" t="s">
        <v>90</v>
      </c>
      <c r="J3758" s="9">
        <v>1</v>
      </c>
      <c r="K3758" s="9">
        <v>289</v>
      </c>
      <c r="L3758" s="9">
        <v>2023</v>
      </c>
      <c r="M3758" s="8" t="s">
        <v>22462</v>
      </c>
      <c r="N3758" s="8" t="s">
        <v>41</v>
      </c>
      <c r="O3758" s="8" t="s">
        <v>676</v>
      </c>
      <c r="P3758" s="6" t="s">
        <v>167</v>
      </c>
      <c r="Q3758" s="8" t="s">
        <v>44</v>
      </c>
      <c r="R3758" s="10" t="s">
        <v>22463</v>
      </c>
      <c r="S3758" s="11" t="s">
        <v>22464</v>
      </c>
      <c r="T3758" s="6" t="s">
        <v>299</v>
      </c>
      <c r="U3758" s="24" t="str">
        <f>HYPERLINK("https://media.infra-m.ru/1861/1861158/cover/1861158.jpg", "Обложка")</f>
        <v>Обложка</v>
      </c>
      <c r="V3758" s="24" t="str">
        <f>HYPERLINK("https://znanium.ru/catalog/product/1861158", "Ознакомиться")</f>
        <v>Ознакомиться</v>
      </c>
      <c r="W3758" s="8" t="s">
        <v>354</v>
      </c>
      <c r="X3758" s="6"/>
      <c r="Y3758" s="6"/>
      <c r="Z3758" s="6"/>
      <c r="AA3758" s="6" t="s">
        <v>418</v>
      </c>
      <c r="AB3758" s="8"/>
    </row>
    <row r="3759" spans="1:28" s="4" customFormat="1" ht="51.95" customHeight="1">
      <c r="A3759" s="5">
        <v>0</v>
      </c>
      <c r="B3759" s="6" t="s">
        <v>22465</v>
      </c>
      <c r="C3759" s="13">
        <v>1220</v>
      </c>
      <c r="D3759" s="8" t="s">
        <v>22466</v>
      </c>
      <c r="E3759" s="8" t="s">
        <v>22406</v>
      </c>
      <c r="F3759" s="8" t="s">
        <v>9211</v>
      </c>
      <c r="G3759" s="6" t="s">
        <v>89</v>
      </c>
      <c r="H3759" s="6" t="s">
        <v>53</v>
      </c>
      <c r="I3759" s="8" t="s">
        <v>100</v>
      </c>
      <c r="J3759" s="9">
        <v>1</v>
      </c>
      <c r="K3759" s="9">
        <v>289</v>
      </c>
      <c r="L3759" s="9">
        <v>2022</v>
      </c>
      <c r="M3759" s="8" t="s">
        <v>22467</v>
      </c>
      <c r="N3759" s="8" t="s">
        <v>41</v>
      </c>
      <c r="O3759" s="8" t="s">
        <v>676</v>
      </c>
      <c r="P3759" s="6" t="s">
        <v>167</v>
      </c>
      <c r="Q3759" s="8" t="s">
        <v>102</v>
      </c>
      <c r="R3759" s="10" t="s">
        <v>22316</v>
      </c>
      <c r="S3759" s="11" t="s">
        <v>22468</v>
      </c>
      <c r="T3759" s="6" t="s">
        <v>299</v>
      </c>
      <c r="U3759" s="24" t="str">
        <f>HYPERLINK("https://media.infra-m.ru/1872/1872294/cover/1872294.jpg", "Обложка")</f>
        <v>Обложка</v>
      </c>
      <c r="V3759" s="12"/>
      <c r="W3759" s="8" t="s">
        <v>354</v>
      </c>
      <c r="X3759" s="6"/>
      <c r="Y3759" s="6"/>
      <c r="Z3759" s="6" t="s">
        <v>104</v>
      </c>
      <c r="AA3759" s="6" t="s">
        <v>235</v>
      </c>
      <c r="AB3759" s="8"/>
    </row>
    <row r="3760" spans="1:28" s="4" customFormat="1" ht="51.95" customHeight="1">
      <c r="A3760" s="5">
        <v>0</v>
      </c>
      <c r="B3760" s="6" t="s">
        <v>22469</v>
      </c>
      <c r="C3760" s="7">
        <v>690</v>
      </c>
      <c r="D3760" s="8" t="s">
        <v>22470</v>
      </c>
      <c r="E3760" s="8" t="s">
        <v>22471</v>
      </c>
      <c r="F3760" s="8" t="s">
        <v>22472</v>
      </c>
      <c r="G3760" s="6" t="s">
        <v>52</v>
      </c>
      <c r="H3760" s="6" t="s">
        <v>674</v>
      </c>
      <c r="I3760" s="8"/>
      <c r="J3760" s="9">
        <v>1</v>
      </c>
      <c r="K3760" s="9">
        <v>144</v>
      </c>
      <c r="L3760" s="9">
        <v>2024</v>
      </c>
      <c r="M3760" s="8" t="s">
        <v>22473</v>
      </c>
      <c r="N3760" s="8" t="s">
        <v>41</v>
      </c>
      <c r="O3760" s="8" t="s">
        <v>676</v>
      </c>
      <c r="P3760" s="6" t="s">
        <v>43</v>
      </c>
      <c r="Q3760" s="8" t="s">
        <v>279</v>
      </c>
      <c r="R3760" s="10" t="s">
        <v>22474</v>
      </c>
      <c r="S3760" s="11"/>
      <c r="T3760" s="6"/>
      <c r="U3760" s="24" t="str">
        <f>HYPERLINK("https://media.infra-m.ru/2082/2082404/cover/2082404.jpg", "Обложка")</f>
        <v>Обложка</v>
      </c>
      <c r="V3760" s="24" t="str">
        <f>HYPERLINK("https://znanium.ru/catalog/product/2082404", "Ознакомиться")</f>
        <v>Ознакомиться</v>
      </c>
      <c r="W3760" s="8" t="s">
        <v>792</v>
      </c>
      <c r="X3760" s="6"/>
      <c r="Y3760" s="6"/>
      <c r="Z3760" s="6"/>
      <c r="AA3760" s="6" t="s">
        <v>105</v>
      </c>
      <c r="AB3760" s="8"/>
    </row>
    <row r="3761" spans="1:28" s="4" customFormat="1" ht="51.95" customHeight="1">
      <c r="A3761" s="5">
        <v>0</v>
      </c>
      <c r="B3761" s="6" t="s">
        <v>22475</v>
      </c>
      <c r="C3761" s="7">
        <v>884</v>
      </c>
      <c r="D3761" s="8" t="s">
        <v>22476</v>
      </c>
      <c r="E3761" s="8" t="s">
        <v>22477</v>
      </c>
      <c r="F3761" s="8" t="s">
        <v>22478</v>
      </c>
      <c r="G3761" s="6" t="s">
        <v>52</v>
      </c>
      <c r="H3761" s="6" t="s">
        <v>674</v>
      </c>
      <c r="I3761" s="8"/>
      <c r="J3761" s="9">
        <v>1</v>
      </c>
      <c r="K3761" s="9">
        <v>192</v>
      </c>
      <c r="L3761" s="9">
        <v>2024</v>
      </c>
      <c r="M3761" s="8" t="s">
        <v>22479</v>
      </c>
      <c r="N3761" s="8" t="s">
        <v>41</v>
      </c>
      <c r="O3761" s="8" t="s">
        <v>676</v>
      </c>
      <c r="P3761" s="6" t="s">
        <v>43</v>
      </c>
      <c r="Q3761" s="8" t="s">
        <v>44</v>
      </c>
      <c r="R3761" s="10" t="s">
        <v>22480</v>
      </c>
      <c r="S3761" s="11"/>
      <c r="T3761" s="6"/>
      <c r="U3761" s="24" t="str">
        <f>HYPERLINK("https://media.infra-m.ru/2087/2087290/cover/2087290.jpg", "Обложка")</f>
        <v>Обложка</v>
      </c>
      <c r="V3761" s="24" t="str">
        <f>HYPERLINK("https://znanium.ru/catalog/product/1897302", "Ознакомиться")</f>
        <v>Ознакомиться</v>
      </c>
      <c r="W3761" s="8" t="s">
        <v>2988</v>
      </c>
      <c r="X3761" s="6"/>
      <c r="Y3761" s="6"/>
      <c r="Z3761" s="6"/>
      <c r="AA3761" s="6" t="s">
        <v>874</v>
      </c>
      <c r="AB3761" s="8"/>
    </row>
    <row r="3762" spans="1:28" s="4" customFormat="1" ht="42" customHeight="1">
      <c r="A3762" s="5">
        <v>0</v>
      </c>
      <c r="B3762" s="6" t="s">
        <v>22481</v>
      </c>
      <c r="C3762" s="13">
        <v>1380</v>
      </c>
      <c r="D3762" s="8" t="s">
        <v>22482</v>
      </c>
      <c r="E3762" s="8" t="s">
        <v>22483</v>
      </c>
      <c r="F3762" s="8" t="s">
        <v>22412</v>
      </c>
      <c r="G3762" s="6" t="s">
        <v>52</v>
      </c>
      <c r="H3762" s="6" t="s">
        <v>184</v>
      </c>
      <c r="I3762" s="8" t="s">
        <v>116</v>
      </c>
      <c r="J3762" s="9">
        <v>1</v>
      </c>
      <c r="K3762" s="9">
        <v>279</v>
      </c>
      <c r="L3762" s="9">
        <v>2024</v>
      </c>
      <c r="M3762" s="8" t="s">
        <v>22484</v>
      </c>
      <c r="N3762" s="8" t="s">
        <v>41</v>
      </c>
      <c r="O3762" s="8" t="s">
        <v>118</v>
      </c>
      <c r="P3762" s="6" t="s">
        <v>43</v>
      </c>
      <c r="Q3762" s="8" t="s">
        <v>58</v>
      </c>
      <c r="R3762" s="10" t="s">
        <v>7543</v>
      </c>
      <c r="S3762" s="11"/>
      <c r="T3762" s="6"/>
      <c r="U3762" s="24" t="str">
        <f>HYPERLINK("https://media.infra-m.ru/1069/1069173/cover/1069173.jpg", "Обложка")</f>
        <v>Обложка</v>
      </c>
      <c r="V3762" s="24" t="str">
        <f>HYPERLINK("https://znanium.ru/catalog/product/1069173", "Ознакомиться")</f>
        <v>Ознакомиться</v>
      </c>
      <c r="W3762" s="8" t="s">
        <v>22414</v>
      </c>
      <c r="X3762" s="6"/>
      <c r="Y3762" s="6"/>
      <c r="Z3762" s="6"/>
      <c r="AA3762" s="6" t="s">
        <v>105</v>
      </c>
      <c r="AB3762" s="8"/>
    </row>
    <row r="3763" spans="1:28" s="4" customFormat="1" ht="51.95" customHeight="1">
      <c r="A3763" s="5">
        <v>0</v>
      </c>
      <c r="B3763" s="6" t="s">
        <v>22485</v>
      </c>
      <c r="C3763" s="7">
        <v>614.9</v>
      </c>
      <c r="D3763" s="8" t="s">
        <v>22486</v>
      </c>
      <c r="E3763" s="8" t="s">
        <v>22487</v>
      </c>
      <c r="F3763" s="8" t="s">
        <v>22478</v>
      </c>
      <c r="G3763" s="6" t="s">
        <v>52</v>
      </c>
      <c r="H3763" s="6" t="s">
        <v>674</v>
      </c>
      <c r="I3763" s="8"/>
      <c r="J3763" s="9">
        <v>1</v>
      </c>
      <c r="K3763" s="9">
        <v>192</v>
      </c>
      <c r="L3763" s="9">
        <v>2018</v>
      </c>
      <c r="M3763" s="8" t="s">
        <v>22488</v>
      </c>
      <c r="N3763" s="8" t="s">
        <v>41</v>
      </c>
      <c r="O3763" s="8" t="s">
        <v>676</v>
      </c>
      <c r="P3763" s="6" t="s">
        <v>43</v>
      </c>
      <c r="Q3763" s="8" t="s">
        <v>44</v>
      </c>
      <c r="R3763" s="10" t="s">
        <v>22480</v>
      </c>
      <c r="S3763" s="11"/>
      <c r="T3763" s="6"/>
      <c r="U3763" s="24" t="str">
        <f>HYPERLINK("https://media.infra-m.ru/0858/0858762/cover/858762.jpg", "Обложка")</f>
        <v>Обложка</v>
      </c>
      <c r="V3763" s="24" t="str">
        <f>HYPERLINK("https://znanium.ru/catalog/product/1897302", "Ознакомиться")</f>
        <v>Ознакомиться</v>
      </c>
      <c r="W3763" s="8" t="s">
        <v>2988</v>
      </c>
      <c r="X3763" s="6"/>
      <c r="Y3763" s="6"/>
      <c r="Z3763" s="6"/>
      <c r="AA3763" s="6" t="s">
        <v>479</v>
      </c>
      <c r="AB3763" s="8"/>
    </row>
    <row r="3764" spans="1:28" s="4" customFormat="1" ht="51.95" customHeight="1">
      <c r="A3764" s="5">
        <v>0</v>
      </c>
      <c r="B3764" s="6" t="s">
        <v>22489</v>
      </c>
      <c r="C3764" s="7">
        <v>434.9</v>
      </c>
      <c r="D3764" s="8" t="s">
        <v>22490</v>
      </c>
      <c r="E3764" s="8" t="s">
        <v>22491</v>
      </c>
      <c r="F3764" s="8" t="s">
        <v>2725</v>
      </c>
      <c r="G3764" s="6" t="s">
        <v>38</v>
      </c>
      <c r="H3764" s="6" t="s">
        <v>674</v>
      </c>
      <c r="I3764" s="8"/>
      <c r="J3764" s="9">
        <v>1</v>
      </c>
      <c r="K3764" s="9">
        <v>128</v>
      </c>
      <c r="L3764" s="9">
        <v>2020</v>
      </c>
      <c r="M3764" s="8" t="s">
        <v>22492</v>
      </c>
      <c r="N3764" s="8" t="s">
        <v>41</v>
      </c>
      <c r="O3764" s="8" t="s">
        <v>676</v>
      </c>
      <c r="P3764" s="6" t="s">
        <v>43</v>
      </c>
      <c r="Q3764" s="8" t="s">
        <v>279</v>
      </c>
      <c r="R3764" s="10" t="s">
        <v>22474</v>
      </c>
      <c r="S3764" s="11"/>
      <c r="T3764" s="6"/>
      <c r="U3764" s="24" t="str">
        <f>HYPERLINK("https://media.infra-m.ru/1044/1044597/cover/1044597.jpg", "Обложка")</f>
        <v>Обложка</v>
      </c>
      <c r="V3764" s="24" t="str">
        <f>HYPERLINK("https://znanium.ru/catalog/product/2082404", "Ознакомиться")</f>
        <v>Ознакомиться</v>
      </c>
      <c r="W3764" s="8" t="s">
        <v>792</v>
      </c>
      <c r="X3764" s="6"/>
      <c r="Y3764" s="6"/>
      <c r="Z3764" s="6"/>
      <c r="AA3764" s="6" t="s">
        <v>151</v>
      </c>
      <c r="AB3764" s="8"/>
    </row>
    <row r="3765" spans="1:28" s="4" customFormat="1" ht="51.95" customHeight="1">
      <c r="A3765" s="5">
        <v>0</v>
      </c>
      <c r="B3765" s="6" t="s">
        <v>22493</v>
      </c>
      <c r="C3765" s="13">
        <v>1024.9000000000001</v>
      </c>
      <c r="D3765" s="8" t="s">
        <v>22494</v>
      </c>
      <c r="E3765" s="8" t="s">
        <v>22495</v>
      </c>
      <c r="F3765" s="8" t="s">
        <v>22496</v>
      </c>
      <c r="G3765" s="6" t="s">
        <v>52</v>
      </c>
      <c r="H3765" s="6" t="s">
        <v>1094</v>
      </c>
      <c r="I3765" s="8"/>
      <c r="J3765" s="9">
        <v>1</v>
      </c>
      <c r="K3765" s="9">
        <v>320</v>
      </c>
      <c r="L3765" s="9">
        <v>2019</v>
      </c>
      <c r="M3765" s="8"/>
      <c r="N3765" s="8" t="s">
        <v>41</v>
      </c>
      <c r="O3765" s="8" t="s">
        <v>676</v>
      </c>
      <c r="P3765" s="6" t="s">
        <v>167</v>
      </c>
      <c r="Q3765" s="8" t="s">
        <v>279</v>
      </c>
      <c r="R3765" s="10" t="s">
        <v>22497</v>
      </c>
      <c r="S3765" s="11"/>
      <c r="T3765" s="6"/>
      <c r="U3765" s="24" t="str">
        <f>HYPERLINK("https://media.infra-m.ru/1011/1011095/cover/1011095.jpg", "Обложка")</f>
        <v>Обложка</v>
      </c>
      <c r="V3765" s="24" t="str">
        <f>HYPERLINK("https://znanium.ru/catalog/product/2049691", "Ознакомиться")</f>
        <v>Ознакомиться</v>
      </c>
      <c r="W3765" s="8" t="s">
        <v>792</v>
      </c>
      <c r="X3765" s="6"/>
      <c r="Y3765" s="6"/>
      <c r="Z3765" s="6"/>
      <c r="AA3765" s="6" t="s">
        <v>418</v>
      </c>
      <c r="AB3765" s="8"/>
    </row>
    <row r="3766" spans="1:28" s="4" customFormat="1" ht="51.95" customHeight="1">
      <c r="A3766" s="5">
        <v>0</v>
      </c>
      <c r="B3766" s="6" t="s">
        <v>22498</v>
      </c>
      <c r="C3766" s="13">
        <v>1580</v>
      </c>
      <c r="D3766" s="8" t="s">
        <v>22499</v>
      </c>
      <c r="E3766" s="8" t="s">
        <v>22500</v>
      </c>
      <c r="F3766" s="8" t="s">
        <v>22496</v>
      </c>
      <c r="G3766" s="6" t="s">
        <v>89</v>
      </c>
      <c r="H3766" s="6" t="s">
        <v>674</v>
      </c>
      <c r="I3766" s="8"/>
      <c r="J3766" s="9">
        <v>1</v>
      </c>
      <c r="K3766" s="9">
        <v>336</v>
      </c>
      <c r="L3766" s="9">
        <v>2024</v>
      </c>
      <c r="M3766" s="8" t="s">
        <v>22501</v>
      </c>
      <c r="N3766" s="8" t="s">
        <v>41</v>
      </c>
      <c r="O3766" s="8" t="s">
        <v>676</v>
      </c>
      <c r="P3766" s="6" t="s">
        <v>167</v>
      </c>
      <c r="Q3766" s="8" t="s">
        <v>279</v>
      </c>
      <c r="R3766" s="10" t="s">
        <v>22497</v>
      </c>
      <c r="S3766" s="11"/>
      <c r="T3766" s="6"/>
      <c r="U3766" s="24" t="str">
        <f>HYPERLINK("https://media.infra-m.ru/2049/2049691/cover/2049691.jpg", "Обложка")</f>
        <v>Обложка</v>
      </c>
      <c r="V3766" s="24" t="str">
        <f>HYPERLINK("https://znanium.ru/catalog/product/2049691", "Ознакомиться")</f>
        <v>Ознакомиться</v>
      </c>
      <c r="W3766" s="8" t="s">
        <v>792</v>
      </c>
      <c r="X3766" s="6"/>
      <c r="Y3766" s="6"/>
      <c r="Z3766" s="6"/>
      <c r="AA3766" s="6" t="s">
        <v>105</v>
      </c>
      <c r="AB3766" s="8"/>
    </row>
    <row r="3767" spans="1:28" s="4" customFormat="1" ht="42" customHeight="1">
      <c r="A3767" s="5">
        <v>0</v>
      </c>
      <c r="B3767" s="6" t="s">
        <v>22502</v>
      </c>
      <c r="C3767" s="7">
        <v>974</v>
      </c>
      <c r="D3767" s="8" t="s">
        <v>22503</v>
      </c>
      <c r="E3767" s="8" t="s">
        <v>22504</v>
      </c>
      <c r="F3767" s="8" t="s">
        <v>22505</v>
      </c>
      <c r="G3767" s="6" t="s">
        <v>89</v>
      </c>
      <c r="H3767" s="6" t="s">
        <v>674</v>
      </c>
      <c r="I3767" s="8"/>
      <c r="J3767" s="9">
        <v>1</v>
      </c>
      <c r="K3767" s="9">
        <v>208</v>
      </c>
      <c r="L3767" s="9">
        <v>2024</v>
      </c>
      <c r="M3767" s="8" t="s">
        <v>22506</v>
      </c>
      <c r="N3767" s="8" t="s">
        <v>41</v>
      </c>
      <c r="O3767" s="8" t="s">
        <v>676</v>
      </c>
      <c r="P3767" s="6" t="s">
        <v>167</v>
      </c>
      <c r="Q3767" s="8" t="s">
        <v>279</v>
      </c>
      <c r="R3767" s="10" t="s">
        <v>990</v>
      </c>
      <c r="S3767" s="11"/>
      <c r="T3767" s="6"/>
      <c r="U3767" s="24" t="str">
        <f>HYPERLINK("https://media.infra-m.ru/2141/2141775/cover/2141775.jpg", "Обложка")</f>
        <v>Обложка</v>
      </c>
      <c r="V3767" s="24" t="str">
        <f>HYPERLINK("https://znanium.ru/catalog/product/1856390", "Ознакомиться")</f>
        <v>Ознакомиться</v>
      </c>
      <c r="W3767" s="8" t="s">
        <v>792</v>
      </c>
      <c r="X3767" s="6"/>
      <c r="Y3767" s="6"/>
      <c r="Z3767" s="6"/>
      <c r="AA3767" s="6" t="s">
        <v>513</v>
      </c>
      <c r="AB3767" s="8"/>
    </row>
    <row r="3768" spans="1:28" s="4" customFormat="1" ht="42" customHeight="1">
      <c r="A3768" s="5">
        <v>0</v>
      </c>
      <c r="B3768" s="6" t="s">
        <v>22507</v>
      </c>
      <c r="C3768" s="7">
        <v>790</v>
      </c>
      <c r="D3768" s="8" t="s">
        <v>22508</v>
      </c>
      <c r="E3768" s="8" t="s">
        <v>22509</v>
      </c>
      <c r="F3768" s="8" t="s">
        <v>22505</v>
      </c>
      <c r="G3768" s="6" t="s">
        <v>52</v>
      </c>
      <c r="H3768" s="6" t="s">
        <v>674</v>
      </c>
      <c r="I3768" s="8"/>
      <c r="J3768" s="9">
        <v>1</v>
      </c>
      <c r="K3768" s="9">
        <v>208</v>
      </c>
      <c r="L3768" s="9">
        <v>2020</v>
      </c>
      <c r="M3768" s="8" t="s">
        <v>22510</v>
      </c>
      <c r="N3768" s="8" t="s">
        <v>41</v>
      </c>
      <c r="O3768" s="8" t="s">
        <v>676</v>
      </c>
      <c r="P3768" s="6" t="s">
        <v>167</v>
      </c>
      <c r="Q3768" s="8" t="s">
        <v>279</v>
      </c>
      <c r="R3768" s="10" t="s">
        <v>990</v>
      </c>
      <c r="S3768" s="11"/>
      <c r="T3768" s="6"/>
      <c r="U3768" s="24" t="str">
        <f>HYPERLINK("https://media.infra-m.ru/1087/1087549/cover/1087549.jpg", "Обложка")</f>
        <v>Обложка</v>
      </c>
      <c r="V3768" s="24" t="str">
        <f>HYPERLINK("https://znanium.ru/catalog/product/1856390", "Ознакомиться")</f>
        <v>Ознакомиться</v>
      </c>
      <c r="W3768" s="8" t="s">
        <v>792</v>
      </c>
      <c r="X3768" s="6"/>
      <c r="Y3768" s="6"/>
      <c r="Z3768" s="6"/>
      <c r="AA3768" s="6" t="s">
        <v>258</v>
      </c>
      <c r="AB3768" s="8"/>
    </row>
    <row r="3769" spans="1:28" s="4" customFormat="1" ht="51.95" customHeight="1">
      <c r="A3769" s="5">
        <v>0</v>
      </c>
      <c r="B3769" s="6" t="s">
        <v>22511</v>
      </c>
      <c r="C3769" s="13">
        <v>1244</v>
      </c>
      <c r="D3769" s="8" t="s">
        <v>22512</v>
      </c>
      <c r="E3769" s="8" t="s">
        <v>22513</v>
      </c>
      <c r="F3769" s="8" t="s">
        <v>2744</v>
      </c>
      <c r="G3769" s="6" t="s">
        <v>52</v>
      </c>
      <c r="H3769" s="6" t="s">
        <v>674</v>
      </c>
      <c r="I3769" s="8"/>
      <c r="J3769" s="9">
        <v>1</v>
      </c>
      <c r="K3769" s="9">
        <v>248</v>
      </c>
      <c r="L3769" s="9">
        <v>2025</v>
      </c>
      <c r="M3769" s="8" t="s">
        <v>22514</v>
      </c>
      <c r="N3769" s="8" t="s">
        <v>41</v>
      </c>
      <c r="O3769" s="8" t="s">
        <v>676</v>
      </c>
      <c r="P3769" s="6" t="s">
        <v>167</v>
      </c>
      <c r="Q3769" s="8" t="s">
        <v>279</v>
      </c>
      <c r="R3769" s="10" t="s">
        <v>22515</v>
      </c>
      <c r="S3769" s="11"/>
      <c r="T3769" s="6"/>
      <c r="U3769" s="24" t="str">
        <f>HYPERLINK("https://media.infra-m.ru/2169/2169361/cover/2169361.jpg", "Обложка")</f>
        <v>Обложка</v>
      </c>
      <c r="V3769" s="24" t="str">
        <f>HYPERLINK("https://znanium.ru/catalog/product/1905572", "Ознакомиться")</f>
        <v>Ознакомиться</v>
      </c>
      <c r="W3769" s="8" t="s">
        <v>792</v>
      </c>
      <c r="X3769" s="6"/>
      <c r="Y3769" s="6"/>
      <c r="Z3769" s="6"/>
      <c r="AA3769" s="6" t="s">
        <v>207</v>
      </c>
      <c r="AB3769" s="8"/>
    </row>
    <row r="3770" spans="1:28" s="4" customFormat="1" ht="51.95" customHeight="1">
      <c r="A3770" s="5">
        <v>0</v>
      </c>
      <c r="B3770" s="6" t="s">
        <v>22516</v>
      </c>
      <c r="C3770" s="13">
        <v>1120</v>
      </c>
      <c r="D3770" s="8" t="s">
        <v>22517</v>
      </c>
      <c r="E3770" s="8" t="s">
        <v>22518</v>
      </c>
      <c r="F3770" s="8" t="s">
        <v>7150</v>
      </c>
      <c r="G3770" s="6" t="s">
        <v>52</v>
      </c>
      <c r="H3770" s="6" t="s">
        <v>53</v>
      </c>
      <c r="I3770" s="8" t="s">
        <v>100</v>
      </c>
      <c r="J3770" s="9">
        <v>1</v>
      </c>
      <c r="K3770" s="9">
        <v>236</v>
      </c>
      <c r="L3770" s="9">
        <v>2023</v>
      </c>
      <c r="M3770" s="8" t="s">
        <v>22519</v>
      </c>
      <c r="N3770" s="8" t="s">
        <v>41</v>
      </c>
      <c r="O3770" s="8" t="s">
        <v>676</v>
      </c>
      <c r="P3770" s="6" t="s">
        <v>43</v>
      </c>
      <c r="Q3770" s="8" t="s">
        <v>102</v>
      </c>
      <c r="R3770" s="10" t="s">
        <v>5775</v>
      </c>
      <c r="S3770" s="11" t="s">
        <v>22520</v>
      </c>
      <c r="T3770" s="6"/>
      <c r="U3770" s="24" t="str">
        <f>HYPERLINK("https://media.infra-m.ru/1860/1860974/cover/1860974.jpg", "Обложка")</f>
        <v>Обложка</v>
      </c>
      <c r="V3770" s="24" t="str">
        <f>HYPERLINK("https://znanium.ru/catalog/product/1860974", "Ознакомиться")</f>
        <v>Ознакомиться</v>
      </c>
      <c r="W3770" s="8" t="s">
        <v>1689</v>
      </c>
      <c r="X3770" s="6"/>
      <c r="Y3770" s="6"/>
      <c r="Z3770" s="6"/>
      <c r="AA3770" s="6" t="s">
        <v>207</v>
      </c>
      <c r="AB3770" s="8"/>
    </row>
    <row r="3771" spans="1:28" s="4" customFormat="1" ht="51.95" customHeight="1">
      <c r="A3771" s="5">
        <v>0</v>
      </c>
      <c r="B3771" s="6" t="s">
        <v>22521</v>
      </c>
      <c r="C3771" s="7">
        <v>989.9</v>
      </c>
      <c r="D3771" s="8" t="s">
        <v>22522</v>
      </c>
      <c r="E3771" s="8" t="s">
        <v>22523</v>
      </c>
      <c r="F3771" s="8" t="s">
        <v>22524</v>
      </c>
      <c r="G3771" s="6" t="s">
        <v>52</v>
      </c>
      <c r="H3771" s="6" t="s">
        <v>674</v>
      </c>
      <c r="I3771" s="8"/>
      <c r="J3771" s="9">
        <v>1</v>
      </c>
      <c r="K3771" s="9">
        <v>284</v>
      </c>
      <c r="L3771" s="9">
        <v>2019</v>
      </c>
      <c r="M3771" s="8" t="s">
        <v>22525</v>
      </c>
      <c r="N3771" s="8" t="s">
        <v>41</v>
      </c>
      <c r="O3771" s="8" t="s">
        <v>676</v>
      </c>
      <c r="P3771" s="6" t="s">
        <v>167</v>
      </c>
      <c r="Q3771" s="8" t="s">
        <v>279</v>
      </c>
      <c r="R3771" s="10" t="s">
        <v>22526</v>
      </c>
      <c r="S3771" s="11"/>
      <c r="T3771" s="6"/>
      <c r="U3771" s="24" t="str">
        <f>HYPERLINK("https://media.infra-m.ru/0999/0999981/cover/999981.jpg", "Обложка")</f>
        <v>Обложка</v>
      </c>
      <c r="V3771" s="24" t="str">
        <f>HYPERLINK("https://znanium.ru/catalog/product/987803", "Ознакомиться")</f>
        <v>Ознакомиться</v>
      </c>
      <c r="W3771" s="8" t="s">
        <v>3282</v>
      </c>
      <c r="X3771" s="6"/>
      <c r="Y3771" s="6"/>
      <c r="Z3771" s="6"/>
      <c r="AA3771" s="6" t="s">
        <v>258</v>
      </c>
      <c r="AB3771" s="8"/>
    </row>
    <row r="3772" spans="1:28" s="4" customFormat="1" ht="51.95" customHeight="1">
      <c r="A3772" s="5">
        <v>0</v>
      </c>
      <c r="B3772" s="6" t="s">
        <v>22527</v>
      </c>
      <c r="C3772" s="7">
        <v>540</v>
      </c>
      <c r="D3772" s="8" t="s">
        <v>22528</v>
      </c>
      <c r="E3772" s="8" t="s">
        <v>22529</v>
      </c>
      <c r="F3772" s="8" t="s">
        <v>22530</v>
      </c>
      <c r="G3772" s="6" t="s">
        <v>38</v>
      </c>
      <c r="H3772" s="6" t="s">
        <v>674</v>
      </c>
      <c r="I3772" s="8"/>
      <c r="J3772" s="9">
        <v>1</v>
      </c>
      <c r="K3772" s="9">
        <v>96</v>
      </c>
      <c r="L3772" s="9">
        <v>2025</v>
      </c>
      <c r="M3772" s="8" t="s">
        <v>22531</v>
      </c>
      <c r="N3772" s="8" t="s">
        <v>41</v>
      </c>
      <c r="O3772" s="8" t="s">
        <v>676</v>
      </c>
      <c r="P3772" s="6" t="s">
        <v>43</v>
      </c>
      <c r="Q3772" s="8" t="s">
        <v>18613</v>
      </c>
      <c r="R3772" s="10" t="s">
        <v>22532</v>
      </c>
      <c r="S3772" s="11"/>
      <c r="T3772" s="6"/>
      <c r="U3772" s="24" t="str">
        <f>HYPERLINK("https://media.infra-m.ru/2162/2162001/cover/2162001.jpg", "Обложка")</f>
        <v>Обложка</v>
      </c>
      <c r="V3772" s="24" t="str">
        <f>HYPERLINK("https://znanium.ru/catalog/product/2162001", "Ознакомиться")</f>
        <v>Ознакомиться</v>
      </c>
      <c r="W3772" s="8" t="s">
        <v>1626</v>
      </c>
      <c r="X3772" s="6" t="s">
        <v>1049</v>
      </c>
      <c r="Y3772" s="6"/>
      <c r="Z3772" s="6"/>
      <c r="AA3772" s="6" t="s">
        <v>61</v>
      </c>
      <c r="AB3772" s="8"/>
    </row>
    <row r="3773" spans="1:28" s="4" customFormat="1" ht="42" customHeight="1">
      <c r="A3773" s="5">
        <v>0</v>
      </c>
      <c r="B3773" s="6" t="s">
        <v>22533</v>
      </c>
      <c r="C3773" s="13">
        <v>1470</v>
      </c>
      <c r="D3773" s="8" t="s">
        <v>22534</v>
      </c>
      <c r="E3773" s="8" t="s">
        <v>22535</v>
      </c>
      <c r="F3773" s="8" t="s">
        <v>22536</v>
      </c>
      <c r="G3773" s="6" t="s">
        <v>52</v>
      </c>
      <c r="H3773" s="6" t="s">
        <v>53</v>
      </c>
      <c r="I3773" s="8" t="s">
        <v>212</v>
      </c>
      <c r="J3773" s="9">
        <v>1</v>
      </c>
      <c r="K3773" s="9">
        <v>298</v>
      </c>
      <c r="L3773" s="9">
        <v>2024</v>
      </c>
      <c r="M3773" s="8" t="s">
        <v>22537</v>
      </c>
      <c r="N3773" s="8" t="s">
        <v>41</v>
      </c>
      <c r="O3773" s="8" t="s">
        <v>676</v>
      </c>
      <c r="P3773" s="6" t="s">
        <v>167</v>
      </c>
      <c r="Q3773" s="8" t="s">
        <v>214</v>
      </c>
      <c r="R3773" s="10" t="s">
        <v>22538</v>
      </c>
      <c r="S3773" s="11"/>
      <c r="T3773" s="6"/>
      <c r="U3773" s="24" t="str">
        <f>HYPERLINK("https://media.infra-m.ru/1900/1900590/cover/1900590.jpg", "Обложка")</f>
        <v>Обложка</v>
      </c>
      <c r="V3773" s="24" t="str">
        <f>HYPERLINK("https://znanium.ru/catalog/product/1900590", "Ознакомиться")</f>
        <v>Ознакомиться</v>
      </c>
      <c r="W3773" s="8" t="s">
        <v>4024</v>
      </c>
      <c r="X3773" s="6"/>
      <c r="Y3773" s="6"/>
      <c r="Z3773" s="6"/>
      <c r="AA3773" s="6" t="s">
        <v>133</v>
      </c>
      <c r="AB3773" s="8"/>
    </row>
    <row r="3774" spans="1:28" s="4" customFormat="1" ht="42" customHeight="1">
      <c r="A3774" s="5">
        <v>0</v>
      </c>
      <c r="B3774" s="6" t="s">
        <v>22539</v>
      </c>
      <c r="C3774" s="7">
        <v>760</v>
      </c>
      <c r="D3774" s="8" t="s">
        <v>22540</v>
      </c>
      <c r="E3774" s="8" t="s">
        <v>22541</v>
      </c>
      <c r="F3774" s="8" t="s">
        <v>22542</v>
      </c>
      <c r="G3774" s="6" t="s">
        <v>52</v>
      </c>
      <c r="H3774" s="6" t="s">
        <v>53</v>
      </c>
      <c r="I3774" s="8" t="s">
        <v>116</v>
      </c>
      <c r="J3774" s="9">
        <v>1</v>
      </c>
      <c r="K3774" s="9">
        <v>156</v>
      </c>
      <c r="L3774" s="9">
        <v>2024</v>
      </c>
      <c r="M3774" s="8" t="s">
        <v>22543</v>
      </c>
      <c r="N3774" s="8" t="s">
        <v>41</v>
      </c>
      <c r="O3774" s="8" t="s">
        <v>676</v>
      </c>
      <c r="P3774" s="6" t="s">
        <v>43</v>
      </c>
      <c r="Q3774" s="8" t="s">
        <v>58</v>
      </c>
      <c r="R3774" s="10" t="s">
        <v>770</v>
      </c>
      <c r="S3774" s="11"/>
      <c r="T3774" s="6"/>
      <c r="U3774" s="24" t="str">
        <f>HYPERLINK("https://media.infra-m.ru/2098/2098988/cover/2098988.jpg", "Обложка")</f>
        <v>Обложка</v>
      </c>
      <c r="V3774" s="24" t="str">
        <f>HYPERLINK("https://znanium.ru/catalog/product/2098988", "Ознакомиться")</f>
        <v>Ознакомиться</v>
      </c>
      <c r="W3774" s="8" t="s">
        <v>22544</v>
      </c>
      <c r="X3774" s="6" t="s">
        <v>389</v>
      </c>
      <c r="Y3774" s="6"/>
      <c r="Z3774" s="6"/>
      <c r="AA3774" s="6" t="s">
        <v>133</v>
      </c>
      <c r="AB3774" s="8"/>
    </row>
    <row r="3775" spans="1:28" s="4" customFormat="1" ht="51.95" customHeight="1">
      <c r="A3775" s="5">
        <v>0</v>
      </c>
      <c r="B3775" s="6" t="s">
        <v>22545</v>
      </c>
      <c r="C3775" s="13">
        <v>1040</v>
      </c>
      <c r="D3775" s="8" t="s">
        <v>22546</v>
      </c>
      <c r="E3775" s="8" t="s">
        <v>22547</v>
      </c>
      <c r="F3775" s="8" t="s">
        <v>17653</v>
      </c>
      <c r="G3775" s="6" t="s">
        <v>89</v>
      </c>
      <c r="H3775" s="6" t="s">
        <v>674</v>
      </c>
      <c r="I3775" s="8"/>
      <c r="J3775" s="9">
        <v>1</v>
      </c>
      <c r="K3775" s="9">
        <v>208</v>
      </c>
      <c r="L3775" s="9">
        <v>2025</v>
      </c>
      <c r="M3775" s="8" t="s">
        <v>22548</v>
      </c>
      <c r="N3775" s="8" t="s">
        <v>41</v>
      </c>
      <c r="O3775" s="8" t="s">
        <v>676</v>
      </c>
      <c r="P3775" s="6" t="s">
        <v>43</v>
      </c>
      <c r="Q3775" s="8" t="s">
        <v>44</v>
      </c>
      <c r="R3775" s="10" t="s">
        <v>806</v>
      </c>
      <c r="S3775" s="11" t="s">
        <v>22549</v>
      </c>
      <c r="T3775" s="6"/>
      <c r="U3775" s="24" t="str">
        <f>HYPERLINK("https://media.infra-m.ru/2163/2163655/cover/2163655.jpg", "Обложка")</f>
        <v>Обложка</v>
      </c>
      <c r="V3775" s="24" t="str">
        <f>HYPERLINK("https://znanium.ru/catalog/product/2197386", "Ознакомиться")</f>
        <v>Ознакомиться</v>
      </c>
      <c r="W3775" s="8" t="s">
        <v>17655</v>
      </c>
      <c r="X3775" s="6"/>
      <c r="Y3775" s="6"/>
      <c r="Z3775" s="6"/>
      <c r="AA3775" s="6" t="s">
        <v>5769</v>
      </c>
      <c r="AB3775" s="8"/>
    </row>
    <row r="3776" spans="1:28" s="4" customFormat="1" ht="51.95" customHeight="1">
      <c r="A3776" s="5">
        <v>0</v>
      </c>
      <c r="B3776" s="6" t="s">
        <v>22550</v>
      </c>
      <c r="C3776" s="7">
        <v>670</v>
      </c>
      <c r="D3776" s="8" t="s">
        <v>22551</v>
      </c>
      <c r="E3776" s="8" t="s">
        <v>22552</v>
      </c>
      <c r="F3776" s="8" t="s">
        <v>17653</v>
      </c>
      <c r="G3776" s="6" t="s">
        <v>38</v>
      </c>
      <c r="H3776" s="6" t="s">
        <v>674</v>
      </c>
      <c r="I3776" s="8"/>
      <c r="J3776" s="9">
        <v>1</v>
      </c>
      <c r="K3776" s="9">
        <v>208</v>
      </c>
      <c r="L3776" s="9">
        <v>2018</v>
      </c>
      <c r="M3776" s="8" t="s">
        <v>22553</v>
      </c>
      <c r="N3776" s="8" t="s">
        <v>41</v>
      </c>
      <c r="O3776" s="8" t="s">
        <v>676</v>
      </c>
      <c r="P3776" s="6" t="s">
        <v>43</v>
      </c>
      <c r="Q3776" s="8" t="s">
        <v>44</v>
      </c>
      <c r="R3776" s="10" t="s">
        <v>806</v>
      </c>
      <c r="S3776" s="11" t="s">
        <v>22549</v>
      </c>
      <c r="T3776" s="6"/>
      <c r="U3776" s="24" t="str">
        <f>HYPERLINK("https://media.infra-m.ru/1029/1029221/cover/1029221.jpg", "Обложка")</f>
        <v>Обложка</v>
      </c>
      <c r="V3776" s="24" t="str">
        <f>HYPERLINK("https://znanium.ru/catalog/product/2197386", "Ознакомиться")</f>
        <v>Ознакомиться</v>
      </c>
      <c r="W3776" s="8" t="s">
        <v>17655</v>
      </c>
      <c r="X3776" s="6"/>
      <c r="Y3776" s="6"/>
      <c r="Z3776" s="6"/>
      <c r="AA3776" s="6" t="s">
        <v>10384</v>
      </c>
      <c r="AB3776" s="8"/>
    </row>
    <row r="3777" spans="1:28" s="4" customFormat="1" ht="42" customHeight="1">
      <c r="A3777" s="5">
        <v>0</v>
      </c>
      <c r="B3777" s="6" t="s">
        <v>22554</v>
      </c>
      <c r="C3777" s="13">
        <v>1110</v>
      </c>
      <c r="D3777" s="8" t="s">
        <v>22555</v>
      </c>
      <c r="E3777" s="8" t="s">
        <v>22556</v>
      </c>
      <c r="F3777" s="8" t="s">
        <v>22557</v>
      </c>
      <c r="G3777" s="6" t="s">
        <v>52</v>
      </c>
      <c r="H3777" s="6" t="s">
        <v>53</v>
      </c>
      <c r="I3777" s="8" t="s">
        <v>90</v>
      </c>
      <c r="J3777" s="9">
        <v>1</v>
      </c>
      <c r="K3777" s="9">
        <v>237</v>
      </c>
      <c r="L3777" s="9">
        <v>2023</v>
      </c>
      <c r="M3777" s="8" t="s">
        <v>22558</v>
      </c>
      <c r="N3777" s="8" t="s">
        <v>41</v>
      </c>
      <c r="O3777" s="8" t="s">
        <v>676</v>
      </c>
      <c r="P3777" s="6" t="s">
        <v>43</v>
      </c>
      <c r="Q3777" s="8" t="s">
        <v>44</v>
      </c>
      <c r="R3777" s="10" t="s">
        <v>22538</v>
      </c>
      <c r="S3777" s="11"/>
      <c r="T3777" s="6"/>
      <c r="U3777" s="24" t="str">
        <f>HYPERLINK("https://media.infra-m.ru/1882/1882573/cover/1882573.jpg", "Обложка")</f>
        <v>Обложка</v>
      </c>
      <c r="V3777" s="24" t="str">
        <f>HYPERLINK("https://znanium.ru/catalog/product/1882573", "Ознакомиться")</f>
        <v>Ознакомиться</v>
      </c>
      <c r="W3777" s="8" t="s">
        <v>3966</v>
      </c>
      <c r="X3777" s="6"/>
      <c r="Y3777" s="6"/>
      <c r="Z3777" s="6"/>
      <c r="AA3777" s="6" t="s">
        <v>207</v>
      </c>
      <c r="AB3777" s="8"/>
    </row>
    <row r="3778" spans="1:28" s="4" customFormat="1" ht="51.95" customHeight="1">
      <c r="A3778" s="5">
        <v>0</v>
      </c>
      <c r="B3778" s="6" t="s">
        <v>22559</v>
      </c>
      <c r="C3778" s="7">
        <v>700</v>
      </c>
      <c r="D3778" s="8" t="s">
        <v>22560</v>
      </c>
      <c r="E3778" s="8" t="s">
        <v>22561</v>
      </c>
      <c r="F3778" s="8" t="s">
        <v>22562</v>
      </c>
      <c r="G3778" s="6" t="s">
        <v>38</v>
      </c>
      <c r="H3778" s="6" t="s">
        <v>53</v>
      </c>
      <c r="I3778" s="8" t="s">
        <v>90</v>
      </c>
      <c r="J3778" s="9">
        <v>1</v>
      </c>
      <c r="K3778" s="9">
        <v>140</v>
      </c>
      <c r="L3778" s="9">
        <v>2024</v>
      </c>
      <c r="M3778" s="8" t="s">
        <v>22563</v>
      </c>
      <c r="N3778" s="8" t="s">
        <v>68</v>
      </c>
      <c r="O3778" s="8" t="s">
        <v>69</v>
      </c>
      <c r="P3778" s="6" t="s">
        <v>43</v>
      </c>
      <c r="Q3778" s="8" t="s">
        <v>44</v>
      </c>
      <c r="R3778" s="10" t="s">
        <v>22564</v>
      </c>
      <c r="S3778" s="11" t="s">
        <v>22565</v>
      </c>
      <c r="T3778" s="6" t="s">
        <v>299</v>
      </c>
      <c r="U3778" s="24" t="str">
        <f>HYPERLINK("https://media.infra-m.ru/2170/2170871/cover/2170871.jpg", "Обложка")</f>
        <v>Обложка</v>
      </c>
      <c r="V3778" s="24" t="str">
        <f>HYPERLINK("https://znanium.ru/catalog/product/2170871", "Ознакомиться")</f>
        <v>Ознакомиться</v>
      </c>
      <c r="W3778" s="8" t="s">
        <v>189</v>
      </c>
      <c r="X3778" s="6"/>
      <c r="Y3778" s="6"/>
      <c r="Z3778" s="6"/>
      <c r="AA3778" s="6" t="s">
        <v>442</v>
      </c>
      <c r="AB3778" s="8"/>
    </row>
    <row r="3779" spans="1:28" s="4" customFormat="1" ht="42" customHeight="1">
      <c r="A3779" s="5">
        <v>0</v>
      </c>
      <c r="B3779" s="6" t="s">
        <v>22566</v>
      </c>
      <c r="C3779" s="13">
        <v>1500</v>
      </c>
      <c r="D3779" s="8" t="s">
        <v>22567</v>
      </c>
      <c r="E3779" s="8" t="s">
        <v>22568</v>
      </c>
      <c r="F3779" s="8" t="s">
        <v>22569</v>
      </c>
      <c r="G3779" s="6" t="s">
        <v>89</v>
      </c>
      <c r="H3779" s="6" t="s">
        <v>184</v>
      </c>
      <c r="I3779" s="8" t="s">
        <v>185</v>
      </c>
      <c r="J3779" s="9">
        <v>1</v>
      </c>
      <c r="K3779" s="9">
        <v>300</v>
      </c>
      <c r="L3779" s="9">
        <v>2025</v>
      </c>
      <c r="M3779" s="8" t="s">
        <v>22570</v>
      </c>
      <c r="N3779" s="8" t="s">
        <v>41</v>
      </c>
      <c r="O3779" s="8" t="s">
        <v>676</v>
      </c>
      <c r="P3779" s="6" t="s">
        <v>167</v>
      </c>
      <c r="Q3779" s="8" t="s">
        <v>102</v>
      </c>
      <c r="R3779" s="10" t="s">
        <v>9143</v>
      </c>
      <c r="S3779" s="11"/>
      <c r="T3779" s="6"/>
      <c r="U3779" s="24" t="str">
        <f>HYPERLINK("https://media.infra-m.ru/2185/2185025/cover/2185025.jpg", "Обложка")</f>
        <v>Обложка</v>
      </c>
      <c r="V3779" s="24" t="str">
        <f>HYPERLINK("https://znanium.ru/catalog/product/2185025", "Ознакомиться")</f>
        <v>Ознакомиться</v>
      </c>
      <c r="W3779" s="8" t="s">
        <v>4815</v>
      </c>
      <c r="X3779" s="6" t="s">
        <v>226</v>
      </c>
      <c r="Y3779" s="6"/>
      <c r="Z3779" s="6"/>
      <c r="AA3779" s="6" t="s">
        <v>61</v>
      </c>
      <c r="AB3779" s="8"/>
    </row>
    <row r="3780" spans="1:28" s="4" customFormat="1" ht="51.95" customHeight="1">
      <c r="A3780" s="5">
        <v>0</v>
      </c>
      <c r="B3780" s="6" t="s">
        <v>22571</v>
      </c>
      <c r="C3780" s="13">
        <v>1360</v>
      </c>
      <c r="D3780" s="8" t="s">
        <v>22572</v>
      </c>
      <c r="E3780" s="8" t="s">
        <v>22568</v>
      </c>
      <c r="F3780" s="8" t="s">
        <v>22573</v>
      </c>
      <c r="G3780" s="6" t="s">
        <v>89</v>
      </c>
      <c r="H3780" s="6" t="s">
        <v>53</v>
      </c>
      <c r="I3780" s="8" t="s">
        <v>100</v>
      </c>
      <c r="J3780" s="9">
        <v>1</v>
      </c>
      <c r="K3780" s="9">
        <v>252</v>
      </c>
      <c r="L3780" s="9">
        <v>2025</v>
      </c>
      <c r="M3780" s="8" t="s">
        <v>22574</v>
      </c>
      <c r="N3780" s="8" t="s">
        <v>41</v>
      </c>
      <c r="O3780" s="8" t="s">
        <v>676</v>
      </c>
      <c r="P3780" s="6" t="s">
        <v>43</v>
      </c>
      <c r="Q3780" s="8" t="s">
        <v>102</v>
      </c>
      <c r="R3780" s="10" t="s">
        <v>256</v>
      </c>
      <c r="S3780" s="11" t="s">
        <v>22575</v>
      </c>
      <c r="T3780" s="6"/>
      <c r="U3780" s="24" t="str">
        <f>HYPERLINK("https://media.infra-m.ru/2186/2186171/cover/2186171.jpg", "Обложка")</f>
        <v>Обложка</v>
      </c>
      <c r="V3780" s="24" t="str">
        <f>HYPERLINK("https://znanium.ru/catalog/product/2186171", "Ознакомиться")</f>
        <v>Ознакомиться</v>
      </c>
      <c r="W3780" s="8" t="s">
        <v>771</v>
      </c>
      <c r="X3780" s="6"/>
      <c r="Y3780" s="6"/>
      <c r="Z3780" s="6"/>
      <c r="AA3780" s="6" t="s">
        <v>207</v>
      </c>
      <c r="AB3780" s="8" t="s">
        <v>1733</v>
      </c>
    </row>
    <row r="3781" spans="1:28" s="4" customFormat="1" ht="51.95" customHeight="1">
      <c r="A3781" s="5">
        <v>0</v>
      </c>
      <c r="B3781" s="6" t="s">
        <v>22576</v>
      </c>
      <c r="C3781" s="13">
        <v>2160</v>
      </c>
      <c r="D3781" s="8" t="s">
        <v>22577</v>
      </c>
      <c r="E3781" s="8" t="s">
        <v>22578</v>
      </c>
      <c r="F3781" s="8" t="s">
        <v>22579</v>
      </c>
      <c r="G3781" s="6" t="s">
        <v>52</v>
      </c>
      <c r="H3781" s="6" t="s">
        <v>674</v>
      </c>
      <c r="I3781" s="8"/>
      <c r="J3781" s="9">
        <v>1</v>
      </c>
      <c r="K3781" s="9">
        <v>432</v>
      </c>
      <c r="L3781" s="9">
        <v>2025</v>
      </c>
      <c r="M3781" s="8" t="s">
        <v>22580</v>
      </c>
      <c r="N3781" s="8" t="s">
        <v>41</v>
      </c>
      <c r="O3781" s="8" t="s">
        <v>676</v>
      </c>
      <c r="P3781" s="6" t="s">
        <v>167</v>
      </c>
      <c r="Q3781" s="8" t="s">
        <v>44</v>
      </c>
      <c r="R3781" s="10" t="s">
        <v>806</v>
      </c>
      <c r="S3781" s="11"/>
      <c r="T3781" s="6"/>
      <c r="U3781" s="24" t="str">
        <f>HYPERLINK("https://media.infra-m.ru/2145/2145074/cover/2145074.jpg", "Обложка")</f>
        <v>Обложка</v>
      </c>
      <c r="V3781" s="24" t="str">
        <f>HYPERLINK("https://znanium.ru/catalog/product/2145074", "Ознакомиться")</f>
        <v>Ознакомиться</v>
      </c>
      <c r="W3781" s="8" t="s">
        <v>19553</v>
      </c>
      <c r="X3781" s="6"/>
      <c r="Y3781" s="6"/>
      <c r="Z3781" s="6"/>
      <c r="AA3781" s="6" t="s">
        <v>513</v>
      </c>
      <c r="AB3781" s="8"/>
    </row>
    <row r="3782" spans="1:28" s="4" customFormat="1" ht="42" customHeight="1">
      <c r="A3782" s="5">
        <v>0</v>
      </c>
      <c r="B3782" s="6" t="s">
        <v>22581</v>
      </c>
      <c r="C3782" s="13">
        <v>2160</v>
      </c>
      <c r="D3782" s="8" t="s">
        <v>22582</v>
      </c>
      <c r="E3782" s="8" t="s">
        <v>22583</v>
      </c>
      <c r="F3782" s="8" t="s">
        <v>22584</v>
      </c>
      <c r="G3782" s="6" t="s">
        <v>52</v>
      </c>
      <c r="H3782" s="6" t="s">
        <v>674</v>
      </c>
      <c r="I3782" s="8" t="s">
        <v>100</v>
      </c>
      <c r="J3782" s="9">
        <v>1</v>
      </c>
      <c r="K3782" s="9">
        <v>432</v>
      </c>
      <c r="L3782" s="9">
        <v>2025</v>
      </c>
      <c r="M3782" s="8" t="s">
        <v>22585</v>
      </c>
      <c r="N3782" s="8" t="s">
        <v>41</v>
      </c>
      <c r="O3782" s="8" t="s">
        <v>676</v>
      </c>
      <c r="P3782" s="6" t="s">
        <v>167</v>
      </c>
      <c r="Q3782" s="8" t="s">
        <v>102</v>
      </c>
      <c r="R3782" s="10" t="s">
        <v>9143</v>
      </c>
      <c r="S3782" s="11"/>
      <c r="T3782" s="6"/>
      <c r="U3782" s="24" t="str">
        <f>HYPERLINK("https://media.infra-m.ru/2186/2186983/cover/2186983.jpg", "Обложка")</f>
        <v>Обложка</v>
      </c>
      <c r="V3782" s="24" t="str">
        <f>HYPERLINK("https://znanium.ru/catalog/product/2186983", "Ознакомиться")</f>
        <v>Ознакомиться</v>
      </c>
      <c r="W3782" s="8" t="s">
        <v>19553</v>
      </c>
      <c r="X3782" s="6"/>
      <c r="Y3782" s="6"/>
      <c r="Z3782" s="6"/>
      <c r="AA3782" s="6" t="s">
        <v>235</v>
      </c>
      <c r="AB3782" s="8"/>
    </row>
    <row r="3783" spans="1:28" s="4" customFormat="1" ht="51.95" customHeight="1">
      <c r="A3783" s="5">
        <v>0</v>
      </c>
      <c r="B3783" s="6" t="s">
        <v>22586</v>
      </c>
      <c r="C3783" s="13">
        <v>1424.9</v>
      </c>
      <c r="D3783" s="8" t="s">
        <v>22587</v>
      </c>
      <c r="E3783" s="8" t="s">
        <v>22583</v>
      </c>
      <c r="F3783" s="8" t="s">
        <v>22579</v>
      </c>
      <c r="G3783" s="6" t="s">
        <v>52</v>
      </c>
      <c r="H3783" s="6" t="s">
        <v>674</v>
      </c>
      <c r="I3783" s="8"/>
      <c r="J3783" s="9">
        <v>1</v>
      </c>
      <c r="K3783" s="9">
        <v>416</v>
      </c>
      <c r="L3783" s="9">
        <v>2020</v>
      </c>
      <c r="M3783" s="8" t="s">
        <v>22588</v>
      </c>
      <c r="N3783" s="8" t="s">
        <v>41</v>
      </c>
      <c r="O3783" s="8" t="s">
        <v>676</v>
      </c>
      <c r="P3783" s="6" t="s">
        <v>167</v>
      </c>
      <c r="Q3783" s="8" t="s">
        <v>44</v>
      </c>
      <c r="R3783" s="10" t="s">
        <v>806</v>
      </c>
      <c r="S3783" s="11"/>
      <c r="T3783" s="6"/>
      <c r="U3783" s="24" t="str">
        <f>HYPERLINK("https://media.infra-m.ru/1081/1081355/cover/1081355.jpg", "Обложка")</f>
        <v>Обложка</v>
      </c>
      <c r="V3783" s="24" t="str">
        <f>HYPERLINK("https://znanium.ru/catalog/product/2145074", "Ознакомиться")</f>
        <v>Ознакомиться</v>
      </c>
      <c r="W3783" s="8" t="s">
        <v>19553</v>
      </c>
      <c r="X3783" s="6"/>
      <c r="Y3783" s="6"/>
      <c r="Z3783" s="6"/>
      <c r="AA3783" s="6" t="s">
        <v>151</v>
      </c>
      <c r="AB3783" s="8"/>
    </row>
    <row r="3784" spans="1:28" s="4" customFormat="1" ht="42" customHeight="1">
      <c r="A3784" s="5">
        <v>0</v>
      </c>
      <c r="B3784" s="6" t="s">
        <v>22589</v>
      </c>
      <c r="C3784" s="13">
        <v>1350</v>
      </c>
      <c r="D3784" s="8" t="s">
        <v>22590</v>
      </c>
      <c r="E3784" s="8" t="s">
        <v>22591</v>
      </c>
      <c r="F3784" s="8" t="s">
        <v>22592</v>
      </c>
      <c r="G3784" s="6" t="s">
        <v>52</v>
      </c>
      <c r="H3784" s="6" t="s">
        <v>53</v>
      </c>
      <c r="I3784" s="8" t="s">
        <v>100</v>
      </c>
      <c r="J3784" s="9">
        <v>1</v>
      </c>
      <c r="K3784" s="9">
        <v>287</v>
      </c>
      <c r="L3784" s="9">
        <v>2024</v>
      </c>
      <c r="M3784" s="8" t="s">
        <v>22593</v>
      </c>
      <c r="N3784" s="8" t="s">
        <v>41</v>
      </c>
      <c r="O3784" s="8" t="s">
        <v>676</v>
      </c>
      <c r="P3784" s="6" t="s">
        <v>43</v>
      </c>
      <c r="Q3784" s="8" t="s">
        <v>102</v>
      </c>
      <c r="R3784" s="10" t="s">
        <v>256</v>
      </c>
      <c r="S3784" s="11"/>
      <c r="T3784" s="6"/>
      <c r="U3784" s="24" t="str">
        <f>HYPERLINK("https://media.infra-m.ru/1865/1865662/cover/1865662.jpg", "Обложка")</f>
        <v>Обложка</v>
      </c>
      <c r="V3784" s="24" t="str">
        <f>HYPERLINK("https://znanium.ru/catalog/product/1865662", "Ознакомиться")</f>
        <v>Ознакомиться</v>
      </c>
      <c r="W3784" s="8" t="s">
        <v>11355</v>
      </c>
      <c r="X3784" s="6"/>
      <c r="Y3784" s="6"/>
      <c r="Z3784" s="6"/>
      <c r="AA3784" s="6" t="s">
        <v>133</v>
      </c>
      <c r="AB3784" s="8"/>
    </row>
    <row r="3785" spans="1:28" s="4" customFormat="1" ht="51.95" customHeight="1">
      <c r="A3785" s="5">
        <v>0</v>
      </c>
      <c r="B3785" s="6" t="s">
        <v>22594</v>
      </c>
      <c r="C3785" s="13">
        <v>1410</v>
      </c>
      <c r="D3785" s="8" t="s">
        <v>22595</v>
      </c>
      <c r="E3785" s="8" t="s">
        <v>22596</v>
      </c>
      <c r="F3785" s="8" t="s">
        <v>22569</v>
      </c>
      <c r="G3785" s="6" t="s">
        <v>89</v>
      </c>
      <c r="H3785" s="6" t="s">
        <v>184</v>
      </c>
      <c r="I3785" s="8" t="s">
        <v>116</v>
      </c>
      <c r="J3785" s="9">
        <v>1</v>
      </c>
      <c r="K3785" s="9">
        <v>300</v>
      </c>
      <c r="L3785" s="9">
        <v>2024</v>
      </c>
      <c r="M3785" s="8" t="s">
        <v>22597</v>
      </c>
      <c r="N3785" s="8" t="s">
        <v>41</v>
      </c>
      <c r="O3785" s="8" t="s">
        <v>676</v>
      </c>
      <c r="P3785" s="6" t="s">
        <v>43</v>
      </c>
      <c r="Q3785" s="8" t="s">
        <v>44</v>
      </c>
      <c r="R3785" s="10" t="s">
        <v>806</v>
      </c>
      <c r="S3785" s="11" t="s">
        <v>22598</v>
      </c>
      <c r="T3785" s="6"/>
      <c r="U3785" s="24" t="str">
        <f>HYPERLINK("https://media.infra-m.ru/2099/2099150/cover/2099150.jpg", "Обложка")</f>
        <v>Обложка</v>
      </c>
      <c r="V3785" s="24" t="str">
        <f>HYPERLINK("https://znanium.ru/catalog/product/1917600", "Ознакомиться")</f>
        <v>Ознакомиться</v>
      </c>
      <c r="W3785" s="8" t="s">
        <v>4815</v>
      </c>
      <c r="X3785" s="6"/>
      <c r="Y3785" s="6"/>
      <c r="Z3785" s="6"/>
      <c r="AA3785" s="6" t="s">
        <v>6038</v>
      </c>
      <c r="AB3785" s="8"/>
    </row>
    <row r="3786" spans="1:28" s="4" customFormat="1" ht="51.95" customHeight="1">
      <c r="A3786" s="5">
        <v>0</v>
      </c>
      <c r="B3786" s="6" t="s">
        <v>22599</v>
      </c>
      <c r="C3786" s="13">
        <v>1404</v>
      </c>
      <c r="D3786" s="8" t="s">
        <v>22600</v>
      </c>
      <c r="E3786" s="8" t="s">
        <v>22601</v>
      </c>
      <c r="F3786" s="8" t="s">
        <v>22573</v>
      </c>
      <c r="G3786" s="6" t="s">
        <v>89</v>
      </c>
      <c r="H3786" s="6" t="s">
        <v>53</v>
      </c>
      <c r="I3786" s="8" t="s">
        <v>116</v>
      </c>
      <c r="J3786" s="9">
        <v>1</v>
      </c>
      <c r="K3786" s="9">
        <v>280</v>
      </c>
      <c r="L3786" s="9">
        <v>2025</v>
      </c>
      <c r="M3786" s="8" t="s">
        <v>22602</v>
      </c>
      <c r="N3786" s="8" t="s">
        <v>41</v>
      </c>
      <c r="O3786" s="8" t="s">
        <v>676</v>
      </c>
      <c r="P3786" s="6" t="s">
        <v>43</v>
      </c>
      <c r="Q3786" s="8" t="s">
        <v>44</v>
      </c>
      <c r="R3786" s="10" t="s">
        <v>677</v>
      </c>
      <c r="S3786" s="11" t="s">
        <v>22603</v>
      </c>
      <c r="T3786" s="6"/>
      <c r="U3786" s="24" t="str">
        <f>HYPERLINK("https://media.infra-m.ru/2179/2179817/cover/2179817.jpg", "Обложка")</f>
        <v>Обложка</v>
      </c>
      <c r="V3786" s="24" t="str">
        <f>HYPERLINK("https://znanium.ru/catalog/product/2129209", "Ознакомиться")</f>
        <v>Ознакомиться</v>
      </c>
      <c r="W3786" s="8" t="s">
        <v>771</v>
      </c>
      <c r="X3786" s="6"/>
      <c r="Y3786" s="6"/>
      <c r="Z3786" s="6" t="s">
        <v>335</v>
      </c>
      <c r="AA3786" s="6" t="s">
        <v>813</v>
      </c>
      <c r="AB3786" s="8"/>
    </row>
    <row r="3787" spans="1:28" s="4" customFormat="1" ht="51.95" customHeight="1">
      <c r="A3787" s="5">
        <v>0</v>
      </c>
      <c r="B3787" s="6" t="s">
        <v>22604</v>
      </c>
      <c r="C3787" s="7">
        <v>820</v>
      </c>
      <c r="D3787" s="8" t="s">
        <v>22605</v>
      </c>
      <c r="E3787" s="8" t="s">
        <v>22591</v>
      </c>
      <c r="F3787" s="8" t="s">
        <v>22573</v>
      </c>
      <c r="G3787" s="6" t="s">
        <v>89</v>
      </c>
      <c r="H3787" s="6" t="s">
        <v>649</v>
      </c>
      <c r="I3787" s="8" t="s">
        <v>100</v>
      </c>
      <c r="J3787" s="9">
        <v>1</v>
      </c>
      <c r="K3787" s="9">
        <v>256</v>
      </c>
      <c r="L3787" s="9">
        <v>2019</v>
      </c>
      <c r="M3787" s="8" t="s">
        <v>22606</v>
      </c>
      <c r="N3787" s="8" t="s">
        <v>41</v>
      </c>
      <c r="O3787" s="8" t="s">
        <v>676</v>
      </c>
      <c r="P3787" s="6" t="s">
        <v>43</v>
      </c>
      <c r="Q3787" s="8" t="s">
        <v>102</v>
      </c>
      <c r="R3787" s="10" t="s">
        <v>256</v>
      </c>
      <c r="S3787" s="11" t="s">
        <v>22607</v>
      </c>
      <c r="T3787" s="6"/>
      <c r="U3787" s="24" t="str">
        <f>HYPERLINK("https://media.infra-m.ru/0982/0982775/cover/982775.jpg", "Обложка")</f>
        <v>Обложка</v>
      </c>
      <c r="V3787" s="24" t="str">
        <f>HYPERLINK("https://znanium.ru/catalog/product/1852912", "Ознакомиться")</f>
        <v>Ознакомиться</v>
      </c>
      <c r="W3787" s="8" t="s">
        <v>771</v>
      </c>
      <c r="X3787" s="6"/>
      <c r="Y3787" s="6"/>
      <c r="Z3787" s="6"/>
      <c r="AA3787" s="6" t="s">
        <v>111</v>
      </c>
      <c r="AB3787" s="8"/>
    </row>
    <row r="3788" spans="1:28" s="4" customFormat="1" ht="51.95" customHeight="1">
      <c r="A3788" s="5">
        <v>0</v>
      </c>
      <c r="B3788" s="6" t="s">
        <v>22608</v>
      </c>
      <c r="C3788" s="13">
        <v>1340</v>
      </c>
      <c r="D3788" s="8" t="s">
        <v>22609</v>
      </c>
      <c r="E3788" s="8" t="s">
        <v>22610</v>
      </c>
      <c r="F3788" s="8" t="s">
        <v>22569</v>
      </c>
      <c r="G3788" s="6" t="s">
        <v>89</v>
      </c>
      <c r="H3788" s="6" t="s">
        <v>184</v>
      </c>
      <c r="I3788" s="8" t="s">
        <v>90</v>
      </c>
      <c r="J3788" s="9">
        <v>1</v>
      </c>
      <c r="K3788" s="9">
        <v>298</v>
      </c>
      <c r="L3788" s="9">
        <v>2022</v>
      </c>
      <c r="M3788" s="8" t="s">
        <v>22611</v>
      </c>
      <c r="N3788" s="8" t="s">
        <v>41</v>
      </c>
      <c r="O3788" s="8" t="s">
        <v>676</v>
      </c>
      <c r="P3788" s="6" t="s">
        <v>43</v>
      </c>
      <c r="Q3788" s="8" t="s">
        <v>44</v>
      </c>
      <c r="R3788" s="10" t="s">
        <v>806</v>
      </c>
      <c r="S3788" s="11" t="s">
        <v>22598</v>
      </c>
      <c r="T3788" s="6"/>
      <c r="U3788" s="24" t="str">
        <f>HYPERLINK("https://media.infra-m.ru/1917/1917600/cover/1917600.jpg", "Обложка")</f>
        <v>Обложка</v>
      </c>
      <c r="V3788" s="24" t="str">
        <f>HYPERLINK("https://znanium.ru/catalog/product/1917600", "Ознакомиться")</f>
        <v>Ознакомиться</v>
      </c>
      <c r="W3788" s="8" t="s">
        <v>4815</v>
      </c>
      <c r="X3788" s="6"/>
      <c r="Y3788" s="6"/>
      <c r="Z3788" s="6"/>
      <c r="AA3788" s="6" t="s">
        <v>1365</v>
      </c>
      <c r="AB3788" s="8"/>
    </row>
    <row r="3789" spans="1:28" s="4" customFormat="1" ht="51.95" customHeight="1">
      <c r="A3789" s="5">
        <v>0</v>
      </c>
      <c r="B3789" s="6" t="s">
        <v>22612</v>
      </c>
      <c r="C3789" s="7">
        <v>494.9</v>
      </c>
      <c r="D3789" s="8" t="s">
        <v>22613</v>
      </c>
      <c r="E3789" s="8" t="s">
        <v>22614</v>
      </c>
      <c r="F3789" s="8" t="s">
        <v>6978</v>
      </c>
      <c r="G3789" s="6" t="s">
        <v>52</v>
      </c>
      <c r="H3789" s="6" t="s">
        <v>53</v>
      </c>
      <c r="I3789" s="8" t="s">
        <v>90</v>
      </c>
      <c r="J3789" s="9">
        <v>1</v>
      </c>
      <c r="K3789" s="9">
        <v>162</v>
      </c>
      <c r="L3789" s="9">
        <v>2017</v>
      </c>
      <c r="M3789" s="8" t="s">
        <v>22615</v>
      </c>
      <c r="N3789" s="8" t="s">
        <v>41</v>
      </c>
      <c r="O3789" s="8" t="s">
        <v>1204</v>
      </c>
      <c r="P3789" s="6" t="s">
        <v>43</v>
      </c>
      <c r="Q3789" s="8" t="s">
        <v>44</v>
      </c>
      <c r="R3789" s="10" t="s">
        <v>22616</v>
      </c>
      <c r="S3789" s="11" t="s">
        <v>6981</v>
      </c>
      <c r="T3789" s="6"/>
      <c r="U3789" s="24" t="str">
        <f>HYPERLINK("https://media.infra-m.ru/0891/0891305/cover/891305.jpg", "Обложка")</f>
        <v>Обложка</v>
      </c>
      <c r="V3789" s="24" t="str">
        <f>HYPERLINK("https://znanium.ru/catalog/product/501062", "Ознакомиться")</f>
        <v>Ознакомиться</v>
      </c>
      <c r="W3789" s="8" t="s">
        <v>4293</v>
      </c>
      <c r="X3789" s="6"/>
      <c r="Y3789" s="6"/>
      <c r="Z3789" s="6"/>
      <c r="AA3789" s="6" t="s">
        <v>160</v>
      </c>
      <c r="AB3789" s="8"/>
    </row>
    <row r="3790" spans="1:28" s="4" customFormat="1" ht="42" customHeight="1">
      <c r="A3790" s="5">
        <v>0</v>
      </c>
      <c r="B3790" s="6" t="s">
        <v>22617</v>
      </c>
      <c r="C3790" s="13">
        <v>1060</v>
      </c>
      <c r="D3790" s="8" t="s">
        <v>22618</v>
      </c>
      <c r="E3790" s="8" t="s">
        <v>22619</v>
      </c>
      <c r="F3790" s="8" t="s">
        <v>22620</v>
      </c>
      <c r="G3790" s="6" t="s">
        <v>52</v>
      </c>
      <c r="H3790" s="6" t="s">
        <v>53</v>
      </c>
      <c r="I3790" s="8" t="s">
        <v>90</v>
      </c>
      <c r="J3790" s="9">
        <v>1</v>
      </c>
      <c r="K3790" s="9">
        <v>268</v>
      </c>
      <c r="L3790" s="9">
        <v>2022</v>
      </c>
      <c r="M3790" s="8" t="s">
        <v>22621</v>
      </c>
      <c r="N3790" s="8" t="s">
        <v>56</v>
      </c>
      <c r="O3790" s="8" t="s">
        <v>9271</v>
      </c>
      <c r="P3790" s="6" t="s">
        <v>43</v>
      </c>
      <c r="Q3790" s="8" t="s">
        <v>44</v>
      </c>
      <c r="R3790" s="10" t="s">
        <v>22622</v>
      </c>
      <c r="S3790" s="11"/>
      <c r="T3790" s="6"/>
      <c r="U3790" s="24" t="str">
        <f>HYPERLINK("https://media.infra-m.ru/1862/1862880/cover/1862880.jpg", "Обложка")</f>
        <v>Обложка</v>
      </c>
      <c r="V3790" s="24" t="str">
        <f>HYPERLINK("https://znanium.ru/catalog/product/1862880", "Ознакомиться")</f>
        <v>Ознакомиться</v>
      </c>
      <c r="W3790" s="8" t="s">
        <v>5371</v>
      </c>
      <c r="X3790" s="6"/>
      <c r="Y3790" s="6"/>
      <c r="Z3790" s="6" t="s">
        <v>335</v>
      </c>
      <c r="AA3790" s="6" t="s">
        <v>235</v>
      </c>
      <c r="AB3790" s="8" t="s">
        <v>840</v>
      </c>
    </row>
    <row r="3791" spans="1:28" s="4" customFormat="1" ht="42" customHeight="1">
      <c r="A3791" s="5">
        <v>0</v>
      </c>
      <c r="B3791" s="6" t="s">
        <v>22623</v>
      </c>
      <c r="C3791" s="13">
        <v>1210</v>
      </c>
      <c r="D3791" s="8" t="s">
        <v>22624</v>
      </c>
      <c r="E3791" s="8" t="s">
        <v>22619</v>
      </c>
      <c r="F3791" s="8" t="s">
        <v>22620</v>
      </c>
      <c r="G3791" s="6" t="s">
        <v>89</v>
      </c>
      <c r="H3791" s="6" t="s">
        <v>53</v>
      </c>
      <c r="I3791" s="8" t="s">
        <v>100</v>
      </c>
      <c r="J3791" s="9">
        <v>1</v>
      </c>
      <c r="K3791" s="9">
        <v>268</v>
      </c>
      <c r="L3791" s="9">
        <v>2023</v>
      </c>
      <c r="M3791" s="8" t="s">
        <v>22625</v>
      </c>
      <c r="N3791" s="8" t="s">
        <v>56</v>
      </c>
      <c r="O3791" s="8" t="s">
        <v>9271</v>
      </c>
      <c r="P3791" s="6" t="s">
        <v>43</v>
      </c>
      <c r="Q3791" s="8" t="s">
        <v>102</v>
      </c>
      <c r="R3791" s="10" t="s">
        <v>17504</v>
      </c>
      <c r="S3791" s="11"/>
      <c r="T3791" s="6"/>
      <c r="U3791" s="24" t="str">
        <f>HYPERLINK("https://media.infra-m.ru/1897/1897061/cover/1897061.jpg", "Обложка")</f>
        <v>Обложка</v>
      </c>
      <c r="V3791" s="24" t="str">
        <f>HYPERLINK("https://znanium.ru/catalog/product/1897061", "Ознакомиться")</f>
        <v>Ознакомиться</v>
      </c>
      <c r="W3791" s="8" t="s">
        <v>5371</v>
      </c>
      <c r="X3791" s="6"/>
      <c r="Y3791" s="6"/>
      <c r="Z3791" s="6"/>
      <c r="AA3791" s="6" t="s">
        <v>235</v>
      </c>
      <c r="AB3791" s="8"/>
    </row>
    <row r="3792" spans="1:28" s="4" customFormat="1" ht="51.95" customHeight="1">
      <c r="A3792" s="5">
        <v>0</v>
      </c>
      <c r="B3792" s="6" t="s">
        <v>22626</v>
      </c>
      <c r="C3792" s="13">
        <v>2141.9</v>
      </c>
      <c r="D3792" s="8" t="s">
        <v>22627</v>
      </c>
      <c r="E3792" s="8" t="s">
        <v>22628</v>
      </c>
      <c r="F3792" s="8" t="s">
        <v>22629</v>
      </c>
      <c r="G3792" s="6" t="s">
        <v>52</v>
      </c>
      <c r="H3792" s="6" t="s">
        <v>674</v>
      </c>
      <c r="I3792" s="8"/>
      <c r="J3792" s="9">
        <v>8</v>
      </c>
      <c r="K3792" s="9">
        <v>704</v>
      </c>
      <c r="L3792" s="9">
        <v>2018</v>
      </c>
      <c r="M3792" s="8" t="s">
        <v>22630</v>
      </c>
      <c r="N3792" s="8" t="s">
        <v>41</v>
      </c>
      <c r="O3792" s="8" t="s">
        <v>676</v>
      </c>
      <c r="P3792" s="6" t="s">
        <v>1046</v>
      </c>
      <c r="Q3792" s="8" t="s">
        <v>44</v>
      </c>
      <c r="R3792" s="10" t="s">
        <v>2736</v>
      </c>
      <c r="S3792" s="11"/>
      <c r="T3792" s="6"/>
      <c r="U3792" s="24" t="str">
        <f>HYPERLINK("https://media.infra-m.ru/0958/0958924/cover/958924.jpg", "Обложка")</f>
        <v>Обложка</v>
      </c>
      <c r="V3792" s="24" t="str">
        <f>HYPERLINK("https://znanium.ru/catalog/product/1071794", "Ознакомиться")</f>
        <v>Ознакомиться</v>
      </c>
      <c r="W3792" s="8" t="s">
        <v>2114</v>
      </c>
      <c r="X3792" s="6"/>
      <c r="Y3792" s="6"/>
      <c r="Z3792" s="6"/>
      <c r="AA3792" s="6" t="s">
        <v>196</v>
      </c>
      <c r="AB3792" s="8"/>
    </row>
    <row r="3793" spans="1:28" s="4" customFormat="1" ht="42" customHeight="1">
      <c r="A3793" s="5">
        <v>0</v>
      </c>
      <c r="B3793" s="6" t="s">
        <v>22631</v>
      </c>
      <c r="C3793" s="13">
        <v>1620</v>
      </c>
      <c r="D3793" s="8" t="s">
        <v>22632</v>
      </c>
      <c r="E3793" s="8" t="s">
        <v>22633</v>
      </c>
      <c r="F3793" s="8" t="s">
        <v>22634</v>
      </c>
      <c r="G3793" s="6" t="s">
        <v>52</v>
      </c>
      <c r="H3793" s="6" t="s">
        <v>952</v>
      </c>
      <c r="I3793" s="8"/>
      <c r="J3793" s="9">
        <v>1</v>
      </c>
      <c r="K3793" s="9">
        <v>352</v>
      </c>
      <c r="L3793" s="9">
        <v>2024</v>
      </c>
      <c r="M3793" s="8" t="s">
        <v>22635</v>
      </c>
      <c r="N3793" s="8" t="s">
        <v>41</v>
      </c>
      <c r="O3793" s="8" t="s">
        <v>118</v>
      </c>
      <c r="P3793" s="6" t="s">
        <v>43</v>
      </c>
      <c r="Q3793" s="8" t="s">
        <v>58</v>
      </c>
      <c r="R3793" s="10" t="s">
        <v>5581</v>
      </c>
      <c r="S3793" s="11"/>
      <c r="T3793" s="6"/>
      <c r="U3793" s="24" t="str">
        <f>HYPERLINK("https://media.infra-m.ru/2081/2081757/cover/2081757.jpg", "Обложка")</f>
        <v>Обложка</v>
      </c>
      <c r="V3793" s="24" t="str">
        <f>HYPERLINK("https://znanium.ru/catalog/product/2081757", "Ознакомиться")</f>
        <v>Ознакомиться</v>
      </c>
      <c r="W3793" s="8" t="s">
        <v>189</v>
      </c>
      <c r="X3793" s="6"/>
      <c r="Y3793" s="6"/>
      <c r="Z3793" s="6"/>
      <c r="AA3793" s="6" t="s">
        <v>133</v>
      </c>
      <c r="AB3793" s="8"/>
    </row>
    <row r="3794" spans="1:28" s="4" customFormat="1" ht="51.95" customHeight="1">
      <c r="A3794" s="5">
        <v>0</v>
      </c>
      <c r="B3794" s="6" t="s">
        <v>22636</v>
      </c>
      <c r="C3794" s="13">
        <v>2800</v>
      </c>
      <c r="D3794" s="8" t="s">
        <v>22637</v>
      </c>
      <c r="E3794" s="8" t="s">
        <v>22638</v>
      </c>
      <c r="F3794" s="8" t="s">
        <v>22639</v>
      </c>
      <c r="G3794" s="6" t="s">
        <v>89</v>
      </c>
      <c r="H3794" s="6" t="s">
        <v>952</v>
      </c>
      <c r="I3794" s="8" t="s">
        <v>2699</v>
      </c>
      <c r="J3794" s="9">
        <v>1</v>
      </c>
      <c r="K3794" s="9">
        <v>560</v>
      </c>
      <c r="L3794" s="9">
        <v>2025</v>
      </c>
      <c r="M3794" s="8" t="s">
        <v>22640</v>
      </c>
      <c r="N3794" s="8" t="s">
        <v>41</v>
      </c>
      <c r="O3794" s="8" t="s">
        <v>1204</v>
      </c>
      <c r="P3794" s="6" t="s">
        <v>167</v>
      </c>
      <c r="Q3794" s="8" t="s">
        <v>44</v>
      </c>
      <c r="R3794" s="10" t="s">
        <v>22641</v>
      </c>
      <c r="S3794" s="11" t="s">
        <v>15321</v>
      </c>
      <c r="T3794" s="6"/>
      <c r="U3794" s="24" t="str">
        <f>HYPERLINK("https://media.infra-m.ru/2192/2192094/cover/2192094.jpg", "Обложка")</f>
        <v>Обложка</v>
      </c>
      <c r="V3794" s="24" t="str">
        <f>HYPERLINK("https://znanium.ru/catalog/product/515456", "Ознакомиться")</f>
        <v>Ознакомиться</v>
      </c>
      <c r="W3794" s="8" t="s">
        <v>3282</v>
      </c>
      <c r="X3794" s="6"/>
      <c r="Y3794" s="6"/>
      <c r="Z3794" s="6"/>
      <c r="AA3794" s="6" t="s">
        <v>84</v>
      </c>
      <c r="AB3794" s="8"/>
    </row>
    <row r="3795" spans="1:28" s="4" customFormat="1" ht="42" customHeight="1">
      <c r="A3795" s="5">
        <v>0</v>
      </c>
      <c r="B3795" s="6" t="s">
        <v>22642</v>
      </c>
      <c r="C3795" s="7">
        <v>980</v>
      </c>
      <c r="D3795" s="8" t="s">
        <v>22643</v>
      </c>
      <c r="E3795" s="8" t="s">
        <v>22644</v>
      </c>
      <c r="F3795" s="8" t="s">
        <v>22645</v>
      </c>
      <c r="G3795" s="6" t="s">
        <v>38</v>
      </c>
      <c r="H3795" s="6" t="s">
        <v>39</v>
      </c>
      <c r="I3795" s="8" t="s">
        <v>100</v>
      </c>
      <c r="J3795" s="9">
        <v>1</v>
      </c>
      <c r="K3795" s="9">
        <v>168</v>
      </c>
      <c r="L3795" s="9">
        <v>2023</v>
      </c>
      <c r="M3795" s="8" t="s">
        <v>22646</v>
      </c>
      <c r="N3795" s="8" t="s">
        <v>79</v>
      </c>
      <c r="O3795" s="8" t="s">
        <v>80</v>
      </c>
      <c r="P3795" s="6" t="s">
        <v>175</v>
      </c>
      <c r="Q3795" s="8" t="s">
        <v>102</v>
      </c>
      <c r="R3795" s="10" t="s">
        <v>22647</v>
      </c>
      <c r="S3795" s="11"/>
      <c r="T3795" s="6"/>
      <c r="U3795" s="24" t="str">
        <f>HYPERLINK("https://media.infra-m.ru/1876/1876265/cover/1876265.jpg", "Обложка")</f>
        <v>Обложка</v>
      </c>
      <c r="V3795" s="24" t="str">
        <f>HYPERLINK("https://znanium.ru/catalog/product/1876265", "Ознакомиться")</f>
        <v>Ознакомиться</v>
      </c>
      <c r="W3795" s="8" t="s">
        <v>71</v>
      </c>
      <c r="X3795" s="6"/>
      <c r="Y3795" s="6"/>
      <c r="Z3795" s="6"/>
      <c r="AA3795" s="6" t="s">
        <v>494</v>
      </c>
      <c r="AB3795" s="8"/>
    </row>
    <row r="3796" spans="1:28" s="4" customFormat="1" ht="51.95" customHeight="1">
      <c r="A3796" s="5">
        <v>0</v>
      </c>
      <c r="B3796" s="6" t="s">
        <v>22648</v>
      </c>
      <c r="C3796" s="13">
        <v>1527</v>
      </c>
      <c r="D3796" s="8" t="s">
        <v>22649</v>
      </c>
      <c r="E3796" s="8" t="s">
        <v>22650</v>
      </c>
      <c r="F3796" s="8" t="s">
        <v>22651</v>
      </c>
      <c r="G3796" s="6" t="s">
        <v>38</v>
      </c>
      <c r="H3796" s="6" t="s">
        <v>184</v>
      </c>
      <c r="I3796" s="8" t="s">
        <v>116</v>
      </c>
      <c r="J3796" s="9">
        <v>1</v>
      </c>
      <c r="K3796" s="9">
        <v>165</v>
      </c>
      <c r="L3796" s="9">
        <v>2024</v>
      </c>
      <c r="M3796" s="8" t="s">
        <v>22652</v>
      </c>
      <c r="N3796" s="8" t="s">
        <v>41</v>
      </c>
      <c r="O3796" s="8" t="s">
        <v>1007</v>
      </c>
      <c r="P3796" s="6" t="s">
        <v>43</v>
      </c>
      <c r="Q3796" s="8" t="s">
        <v>58</v>
      </c>
      <c r="R3796" s="10" t="s">
        <v>7519</v>
      </c>
      <c r="S3796" s="11" t="s">
        <v>22653</v>
      </c>
      <c r="T3796" s="6"/>
      <c r="U3796" s="24" t="str">
        <f>HYPERLINK("https://media.infra-m.ru/2052/2052313/cover/2052313.jpg", "Обложка")</f>
        <v>Обложка</v>
      </c>
      <c r="V3796" s="24" t="str">
        <f>HYPERLINK("https://znanium.ru/catalog/product/2052313", "Ознакомиться")</f>
        <v>Ознакомиться</v>
      </c>
      <c r="W3796" s="8" t="s">
        <v>22654</v>
      </c>
      <c r="X3796" s="6"/>
      <c r="Y3796" s="6"/>
      <c r="Z3796" s="6"/>
      <c r="AA3796" s="6" t="s">
        <v>418</v>
      </c>
      <c r="AB3796" s="8"/>
    </row>
    <row r="3797" spans="1:28" s="4" customFormat="1" ht="51.95" customHeight="1">
      <c r="A3797" s="5">
        <v>0</v>
      </c>
      <c r="B3797" s="6" t="s">
        <v>22655</v>
      </c>
      <c r="C3797" s="7">
        <v>924.9</v>
      </c>
      <c r="D3797" s="8" t="s">
        <v>22656</v>
      </c>
      <c r="E3797" s="8" t="s">
        <v>22657</v>
      </c>
      <c r="F3797" s="8" t="s">
        <v>22658</v>
      </c>
      <c r="G3797" s="6" t="s">
        <v>52</v>
      </c>
      <c r="H3797" s="6" t="s">
        <v>39</v>
      </c>
      <c r="I3797" s="8" t="s">
        <v>116</v>
      </c>
      <c r="J3797" s="9">
        <v>1</v>
      </c>
      <c r="K3797" s="9">
        <v>288</v>
      </c>
      <c r="L3797" s="9">
        <v>2019</v>
      </c>
      <c r="M3797" s="8" t="s">
        <v>22659</v>
      </c>
      <c r="N3797" s="8" t="s">
        <v>79</v>
      </c>
      <c r="O3797" s="8" t="s">
        <v>80</v>
      </c>
      <c r="P3797" s="6" t="s">
        <v>43</v>
      </c>
      <c r="Q3797" s="8" t="s">
        <v>44</v>
      </c>
      <c r="R3797" s="10" t="s">
        <v>3043</v>
      </c>
      <c r="S3797" s="11" t="s">
        <v>22660</v>
      </c>
      <c r="T3797" s="6"/>
      <c r="U3797" s="24" t="str">
        <f>HYPERLINK("https://media.infra-m.ru/0991/0991842/cover/991842.jpg", "Обложка")</f>
        <v>Обложка</v>
      </c>
      <c r="V3797" s="24" t="str">
        <f>HYPERLINK("https://znanium.ru/catalog/product/2122963", "Ознакомиться")</f>
        <v>Ознакомиться</v>
      </c>
      <c r="W3797" s="8" t="s">
        <v>83</v>
      </c>
      <c r="X3797" s="6"/>
      <c r="Y3797" s="6"/>
      <c r="Z3797" s="6"/>
      <c r="AA3797" s="6" t="s">
        <v>2193</v>
      </c>
      <c r="AB3797" s="8"/>
    </row>
    <row r="3798" spans="1:28" s="4" customFormat="1" ht="51.95" customHeight="1">
      <c r="A3798" s="5">
        <v>0</v>
      </c>
      <c r="B3798" s="6" t="s">
        <v>22661</v>
      </c>
      <c r="C3798" s="7">
        <v>364.9</v>
      </c>
      <c r="D3798" s="8" t="s">
        <v>22662</v>
      </c>
      <c r="E3798" s="8" t="s">
        <v>22663</v>
      </c>
      <c r="F3798" s="8" t="s">
        <v>3515</v>
      </c>
      <c r="G3798" s="6" t="s">
        <v>38</v>
      </c>
      <c r="H3798" s="6" t="s">
        <v>39</v>
      </c>
      <c r="I3798" s="8" t="s">
        <v>116</v>
      </c>
      <c r="J3798" s="9">
        <v>1</v>
      </c>
      <c r="K3798" s="9">
        <v>120</v>
      </c>
      <c r="L3798" s="9">
        <v>2019</v>
      </c>
      <c r="M3798" s="8" t="s">
        <v>22664</v>
      </c>
      <c r="N3798" s="8" t="s">
        <v>41</v>
      </c>
      <c r="O3798" s="8" t="s">
        <v>1007</v>
      </c>
      <c r="P3798" s="6" t="s">
        <v>43</v>
      </c>
      <c r="Q3798" s="8" t="s">
        <v>44</v>
      </c>
      <c r="R3798" s="10" t="s">
        <v>3547</v>
      </c>
      <c r="S3798" s="11" t="s">
        <v>3518</v>
      </c>
      <c r="T3798" s="6"/>
      <c r="U3798" s="24" t="str">
        <f>HYPERLINK("https://media.infra-m.ru/1013/1013453/cover/1013453.jpg", "Обложка")</f>
        <v>Обложка</v>
      </c>
      <c r="V3798" s="24" t="str">
        <f>HYPERLINK("https://znanium.ru/catalog/product/1144439", "Ознакомиться")</f>
        <v>Ознакомиться</v>
      </c>
      <c r="W3798" s="8" t="s">
        <v>83</v>
      </c>
      <c r="X3798" s="6"/>
      <c r="Y3798" s="6"/>
      <c r="Z3798" s="6"/>
      <c r="AA3798" s="6" t="s">
        <v>418</v>
      </c>
      <c r="AB3798" s="8"/>
    </row>
    <row r="3799" spans="1:28" s="4" customFormat="1" ht="51.95" customHeight="1">
      <c r="A3799" s="5">
        <v>0</v>
      </c>
      <c r="B3799" s="6" t="s">
        <v>22665</v>
      </c>
      <c r="C3799" s="13">
        <v>1070</v>
      </c>
      <c r="D3799" s="8" t="s">
        <v>22666</v>
      </c>
      <c r="E3799" s="8" t="s">
        <v>22667</v>
      </c>
      <c r="F3799" s="8" t="s">
        <v>4379</v>
      </c>
      <c r="G3799" s="6" t="s">
        <v>89</v>
      </c>
      <c r="H3799" s="6" t="s">
        <v>53</v>
      </c>
      <c r="I3799" s="8" t="s">
        <v>212</v>
      </c>
      <c r="J3799" s="9">
        <v>1</v>
      </c>
      <c r="K3799" s="9">
        <v>232</v>
      </c>
      <c r="L3799" s="9">
        <v>2023</v>
      </c>
      <c r="M3799" s="8" t="s">
        <v>22668</v>
      </c>
      <c r="N3799" s="8" t="s">
        <v>79</v>
      </c>
      <c r="O3799" s="8" t="s">
        <v>684</v>
      </c>
      <c r="P3799" s="6" t="s">
        <v>43</v>
      </c>
      <c r="Q3799" s="8" t="s">
        <v>214</v>
      </c>
      <c r="R3799" s="10" t="s">
        <v>1617</v>
      </c>
      <c r="S3799" s="11" t="s">
        <v>22669</v>
      </c>
      <c r="T3799" s="6" t="s">
        <v>299</v>
      </c>
      <c r="U3799" s="24" t="str">
        <f>HYPERLINK("https://media.infra-m.ru/2126/2126461/cover/2126461.jpg", "Обложка")</f>
        <v>Обложка</v>
      </c>
      <c r="V3799" s="24" t="str">
        <f>HYPERLINK("https://znanium.ru/catalog/product/1009783", "Ознакомиться")</f>
        <v>Ознакомиться</v>
      </c>
      <c r="W3799" s="8" t="s">
        <v>4383</v>
      </c>
      <c r="X3799" s="6"/>
      <c r="Y3799" s="6"/>
      <c r="Z3799" s="6"/>
      <c r="AA3799" s="6" t="s">
        <v>418</v>
      </c>
      <c r="AB3799" s="8"/>
    </row>
    <row r="3800" spans="1:28" s="4" customFormat="1" ht="51.95" customHeight="1">
      <c r="A3800" s="5">
        <v>0</v>
      </c>
      <c r="B3800" s="6" t="s">
        <v>22670</v>
      </c>
      <c r="C3800" s="7">
        <v>910</v>
      </c>
      <c r="D3800" s="8" t="s">
        <v>22671</v>
      </c>
      <c r="E3800" s="8" t="s">
        <v>22672</v>
      </c>
      <c r="F3800" s="8" t="s">
        <v>22673</v>
      </c>
      <c r="G3800" s="6" t="s">
        <v>52</v>
      </c>
      <c r="H3800" s="6" t="s">
        <v>77</v>
      </c>
      <c r="I3800" s="8" t="s">
        <v>90</v>
      </c>
      <c r="J3800" s="9">
        <v>1</v>
      </c>
      <c r="K3800" s="9">
        <v>314</v>
      </c>
      <c r="L3800" s="9">
        <v>2018</v>
      </c>
      <c r="M3800" s="8" t="s">
        <v>22674</v>
      </c>
      <c r="N3800" s="8" t="s">
        <v>41</v>
      </c>
      <c r="O3800" s="8" t="s">
        <v>1007</v>
      </c>
      <c r="P3800" s="6" t="s">
        <v>43</v>
      </c>
      <c r="Q3800" s="8" t="s">
        <v>44</v>
      </c>
      <c r="R3800" s="10" t="s">
        <v>157</v>
      </c>
      <c r="S3800" s="11" t="s">
        <v>22675</v>
      </c>
      <c r="T3800" s="6"/>
      <c r="U3800" s="24" t="str">
        <f>HYPERLINK("https://media.infra-m.ru/0944/0944343/cover/944343.jpg", "Обложка")</f>
        <v>Обложка</v>
      </c>
      <c r="V3800" s="24" t="str">
        <f>HYPERLINK("https://znanium.ru/catalog/product/1939944", "Ознакомиться")</f>
        <v>Ознакомиться</v>
      </c>
      <c r="W3800" s="8" t="s">
        <v>4925</v>
      </c>
      <c r="X3800" s="6"/>
      <c r="Y3800" s="6"/>
      <c r="Z3800" s="6"/>
      <c r="AA3800" s="6" t="s">
        <v>22676</v>
      </c>
      <c r="AB3800" s="8"/>
    </row>
    <row r="3801" spans="1:28" s="4" customFormat="1" ht="51.95" customHeight="1">
      <c r="A3801" s="5">
        <v>0</v>
      </c>
      <c r="B3801" s="6" t="s">
        <v>22677</v>
      </c>
      <c r="C3801" s="13">
        <v>1844</v>
      </c>
      <c r="D3801" s="8" t="s">
        <v>22678</v>
      </c>
      <c r="E3801" s="8" t="s">
        <v>22679</v>
      </c>
      <c r="F3801" s="8" t="s">
        <v>22673</v>
      </c>
      <c r="G3801" s="6" t="s">
        <v>89</v>
      </c>
      <c r="H3801" s="6" t="s">
        <v>53</v>
      </c>
      <c r="I3801" s="8" t="s">
        <v>90</v>
      </c>
      <c r="J3801" s="9">
        <v>1</v>
      </c>
      <c r="K3801" s="9">
        <v>369</v>
      </c>
      <c r="L3801" s="9">
        <v>2025</v>
      </c>
      <c r="M3801" s="8" t="s">
        <v>22680</v>
      </c>
      <c r="N3801" s="8" t="s">
        <v>41</v>
      </c>
      <c r="O3801" s="8" t="s">
        <v>1007</v>
      </c>
      <c r="P3801" s="6" t="s">
        <v>43</v>
      </c>
      <c r="Q3801" s="8" t="s">
        <v>44</v>
      </c>
      <c r="R3801" s="10" t="s">
        <v>157</v>
      </c>
      <c r="S3801" s="11" t="s">
        <v>22675</v>
      </c>
      <c r="T3801" s="6"/>
      <c r="U3801" s="24" t="str">
        <f>HYPERLINK("https://media.infra-m.ru/2188/2188209/cover/2188209.jpg", "Обложка")</f>
        <v>Обложка</v>
      </c>
      <c r="V3801" s="24" t="str">
        <f>HYPERLINK("https://znanium.ru/catalog/product/1939944", "Ознакомиться")</f>
        <v>Ознакомиться</v>
      </c>
      <c r="W3801" s="8" t="s">
        <v>4925</v>
      </c>
      <c r="X3801" s="6"/>
      <c r="Y3801" s="6"/>
      <c r="Z3801" s="6"/>
      <c r="AA3801" s="6" t="s">
        <v>2301</v>
      </c>
      <c r="AB3801" s="8"/>
    </row>
    <row r="3802" spans="1:28" s="4" customFormat="1" ht="51.95" customHeight="1">
      <c r="A3802" s="5">
        <v>0</v>
      </c>
      <c r="B3802" s="6" t="s">
        <v>22681</v>
      </c>
      <c r="C3802" s="13">
        <v>1924</v>
      </c>
      <c r="D3802" s="8" t="s">
        <v>22682</v>
      </c>
      <c r="E3802" s="8" t="s">
        <v>22683</v>
      </c>
      <c r="F3802" s="8" t="s">
        <v>22684</v>
      </c>
      <c r="G3802" s="6" t="s">
        <v>52</v>
      </c>
      <c r="H3802" s="6" t="s">
        <v>53</v>
      </c>
      <c r="I3802" s="8" t="s">
        <v>90</v>
      </c>
      <c r="J3802" s="9">
        <v>1</v>
      </c>
      <c r="K3802" s="9">
        <v>248</v>
      </c>
      <c r="L3802" s="9">
        <v>2023</v>
      </c>
      <c r="M3802" s="8" t="s">
        <v>22685</v>
      </c>
      <c r="N3802" s="8" t="s">
        <v>79</v>
      </c>
      <c r="O3802" s="8" t="s">
        <v>684</v>
      </c>
      <c r="P3802" s="6" t="s">
        <v>43</v>
      </c>
      <c r="Q3802" s="8" t="s">
        <v>44</v>
      </c>
      <c r="R3802" s="10" t="s">
        <v>22686</v>
      </c>
      <c r="S3802" s="11" t="s">
        <v>22687</v>
      </c>
      <c r="T3802" s="6"/>
      <c r="U3802" s="24" t="str">
        <f>HYPERLINK("https://media.infra-m.ru/1981/1981661/cover/1981661.jpg", "Обложка")</f>
        <v>Обложка</v>
      </c>
      <c r="V3802" s="24" t="str">
        <f>HYPERLINK("https://znanium.ru/catalog/product/1012462", "Ознакомиться")</f>
        <v>Ознакомиться</v>
      </c>
      <c r="W3802" s="8" t="s">
        <v>637</v>
      </c>
      <c r="X3802" s="6"/>
      <c r="Y3802" s="6"/>
      <c r="Z3802" s="6"/>
      <c r="AA3802" s="6" t="s">
        <v>84</v>
      </c>
      <c r="AB3802" s="8"/>
    </row>
    <row r="3803" spans="1:28" s="4" customFormat="1" ht="51.95" customHeight="1">
      <c r="A3803" s="5">
        <v>0</v>
      </c>
      <c r="B3803" s="6" t="s">
        <v>22688</v>
      </c>
      <c r="C3803" s="13">
        <v>1360</v>
      </c>
      <c r="D3803" s="8" t="s">
        <v>22689</v>
      </c>
      <c r="E3803" s="8" t="s">
        <v>22690</v>
      </c>
      <c r="F3803" s="8" t="s">
        <v>22691</v>
      </c>
      <c r="G3803" s="6" t="s">
        <v>89</v>
      </c>
      <c r="H3803" s="6" t="s">
        <v>649</v>
      </c>
      <c r="I3803" s="8" t="s">
        <v>100</v>
      </c>
      <c r="J3803" s="9">
        <v>1</v>
      </c>
      <c r="K3803" s="9">
        <v>288</v>
      </c>
      <c r="L3803" s="9">
        <v>2024</v>
      </c>
      <c r="M3803" s="8" t="s">
        <v>22692</v>
      </c>
      <c r="N3803" s="8" t="s">
        <v>79</v>
      </c>
      <c r="O3803" s="8" t="s">
        <v>80</v>
      </c>
      <c r="P3803" s="6" t="s">
        <v>43</v>
      </c>
      <c r="Q3803" s="8" t="s">
        <v>102</v>
      </c>
      <c r="R3803" s="10" t="s">
        <v>22693</v>
      </c>
      <c r="S3803" s="11" t="s">
        <v>6590</v>
      </c>
      <c r="T3803" s="6" t="s">
        <v>299</v>
      </c>
      <c r="U3803" s="24" t="str">
        <f>HYPERLINK("https://media.infra-m.ru/2151/2151380/cover/2151380.jpg", "Обложка")</f>
        <v>Обложка</v>
      </c>
      <c r="V3803" s="24" t="str">
        <f>HYPERLINK("https://znanium.ru/catalog/product/2151380", "Ознакомиться")</f>
        <v>Ознакомиться</v>
      </c>
      <c r="W3803" s="8" t="s">
        <v>10307</v>
      </c>
      <c r="X3803" s="6"/>
      <c r="Y3803" s="6"/>
      <c r="Z3803" s="6"/>
      <c r="AA3803" s="6" t="s">
        <v>654</v>
      </c>
      <c r="AB3803" s="8"/>
    </row>
    <row r="3804" spans="1:28" s="4" customFormat="1" ht="51.95" customHeight="1">
      <c r="A3804" s="5">
        <v>0</v>
      </c>
      <c r="B3804" s="6" t="s">
        <v>22694</v>
      </c>
      <c r="C3804" s="13">
        <v>1574</v>
      </c>
      <c r="D3804" s="8" t="s">
        <v>22695</v>
      </c>
      <c r="E3804" s="8" t="s">
        <v>22696</v>
      </c>
      <c r="F3804" s="8" t="s">
        <v>22697</v>
      </c>
      <c r="G3804" s="6" t="s">
        <v>89</v>
      </c>
      <c r="H3804" s="6" t="s">
        <v>53</v>
      </c>
      <c r="I3804" s="8" t="s">
        <v>212</v>
      </c>
      <c r="J3804" s="9">
        <v>1</v>
      </c>
      <c r="K3804" s="9">
        <v>336</v>
      </c>
      <c r="L3804" s="9">
        <v>2024</v>
      </c>
      <c r="M3804" s="8" t="s">
        <v>22698</v>
      </c>
      <c r="N3804" s="8" t="s">
        <v>79</v>
      </c>
      <c r="O3804" s="8" t="s">
        <v>684</v>
      </c>
      <c r="P3804" s="6" t="s">
        <v>43</v>
      </c>
      <c r="Q3804" s="8" t="s">
        <v>214</v>
      </c>
      <c r="R3804" s="10" t="s">
        <v>4414</v>
      </c>
      <c r="S3804" s="11" t="s">
        <v>22699</v>
      </c>
      <c r="T3804" s="6"/>
      <c r="U3804" s="24" t="str">
        <f>HYPERLINK("https://media.infra-m.ru/2149/2149194/cover/2149194.jpg", "Обложка")</f>
        <v>Обложка</v>
      </c>
      <c r="V3804" s="24" t="str">
        <f>HYPERLINK("https://znanium.ru/catalog/product/1881006", "Ознакомиться")</f>
        <v>Ознакомиться</v>
      </c>
      <c r="W3804" s="8" t="s">
        <v>1635</v>
      </c>
      <c r="X3804" s="6"/>
      <c r="Y3804" s="6"/>
      <c r="Z3804" s="6"/>
      <c r="AA3804" s="6" t="s">
        <v>84</v>
      </c>
      <c r="AB3804" s="8"/>
    </row>
    <row r="3805" spans="1:28" s="4" customFormat="1" ht="51.95" customHeight="1">
      <c r="A3805" s="5">
        <v>0</v>
      </c>
      <c r="B3805" s="6" t="s">
        <v>22700</v>
      </c>
      <c r="C3805" s="13">
        <v>1450</v>
      </c>
      <c r="D3805" s="8" t="s">
        <v>22701</v>
      </c>
      <c r="E3805" s="8" t="s">
        <v>22702</v>
      </c>
      <c r="F3805" s="8" t="s">
        <v>22703</v>
      </c>
      <c r="G3805" s="6" t="s">
        <v>89</v>
      </c>
      <c r="H3805" s="6" t="s">
        <v>77</v>
      </c>
      <c r="I3805" s="8"/>
      <c r="J3805" s="9">
        <v>1</v>
      </c>
      <c r="K3805" s="9">
        <v>288</v>
      </c>
      <c r="L3805" s="9">
        <v>2025</v>
      </c>
      <c r="M3805" s="8" t="s">
        <v>22704</v>
      </c>
      <c r="N3805" s="8" t="s">
        <v>413</v>
      </c>
      <c r="O3805" s="8" t="s">
        <v>1528</v>
      </c>
      <c r="P3805" s="6" t="s">
        <v>43</v>
      </c>
      <c r="Q3805" s="8" t="s">
        <v>44</v>
      </c>
      <c r="R3805" s="10" t="s">
        <v>22705</v>
      </c>
      <c r="S3805" s="11" t="s">
        <v>22706</v>
      </c>
      <c r="T3805" s="6"/>
      <c r="U3805" s="24" t="str">
        <f>HYPERLINK("https://media.infra-m.ru/2173/2173236/cover/2173236.jpg", "Обложка")</f>
        <v>Обложка</v>
      </c>
      <c r="V3805" s="24" t="str">
        <f>HYPERLINK("https://znanium.ru/catalog/product/2173236", "Ознакомиться")</f>
        <v>Ознакомиться</v>
      </c>
      <c r="W3805" s="8" t="s">
        <v>4293</v>
      </c>
      <c r="X3805" s="6"/>
      <c r="Y3805" s="6"/>
      <c r="Z3805" s="6"/>
      <c r="AA3805" s="6" t="s">
        <v>122</v>
      </c>
      <c r="AB3805" s="8"/>
    </row>
    <row r="3806" spans="1:28" s="4" customFormat="1" ht="44.1" customHeight="1">
      <c r="A3806" s="5">
        <v>0</v>
      </c>
      <c r="B3806" s="6" t="s">
        <v>22707</v>
      </c>
      <c r="C3806" s="13">
        <v>2300</v>
      </c>
      <c r="D3806" s="8" t="s">
        <v>22708</v>
      </c>
      <c r="E3806" s="8" t="s">
        <v>22709</v>
      </c>
      <c r="F3806" s="8" t="s">
        <v>10718</v>
      </c>
      <c r="G3806" s="6" t="s">
        <v>52</v>
      </c>
      <c r="H3806" s="6" t="s">
        <v>53</v>
      </c>
      <c r="I3806" s="8" t="s">
        <v>90</v>
      </c>
      <c r="J3806" s="9">
        <v>1</v>
      </c>
      <c r="K3806" s="9">
        <v>459</v>
      </c>
      <c r="L3806" s="9">
        <v>2025</v>
      </c>
      <c r="M3806" s="8" t="s">
        <v>22710</v>
      </c>
      <c r="N3806" s="8" t="s">
        <v>79</v>
      </c>
      <c r="O3806" s="8" t="s">
        <v>396</v>
      </c>
      <c r="P3806" s="6" t="s">
        <v>43</v>
      </c>
      <c r="Q3806" s="8" t="s">
        <v>58</v>
      </c>
      <c r="R3806" s="10" t="s">
        <v>2106</v>
      </c>
      <c r="S3806" s="11"/>
      <c r="T3806" s="6"/>
      <c r="U3806" s="24" t="str">
        <f>HYPERLINK("https://media.infra-m.ru/1214/1214773/cover/1214773.jpg", "Обложка")</f>
        <v>Обложка</v>
      </c>
      <c r="V3806" s="24" t="str">
        <f>HYPERLINK("https://znanium.ru/catalog/product/1214773", "Ознакомиться")</f>
        <v>Ознакомиться</v>
      </c>
      <c r="W3806" s="8" t="s">
        <v>1571</v>
      </c>
      <c r="X3806" s="6" t="s">
        <v>548</v>
      </c>
      <c r="Y3806" s="6"/>
      <c r="Z3806" s="6"/>
      <c r="AA3806" s="6" t="s">
        <v>61</v>
      </c>
      <c r="AB3806" s="8"/>
    </row>
    <row r="3807" spans="1:28" s="4" customFormat="1" ht="51.95" customHeight="1">
      <c r="A3807" s="5">
        <v>0</v>
      </c>
      <c r="B3807" s="6" t="s">
        <v>22711</v>
      </c>
      <c r="C3807" s="13">
        <v>1300</v>
      </c>
      <c r="D3807" s="8" t="s">
        <v>22712</v>
      </c>
      <c r="E3807" s="8" t="s">
        <v>22713</v>
      </c>
      <c r="F3807" s="8" t="s">
        <v>22714</v>
      </c>
      <c r="G3807" s="6" t="s">
        <v>89</v>
      </c>
      <c r="H3807" s="6" t="s">
        <v>53</v>
      </c>
      <c r="I3807" s="8" t="s">
        <v>116</v>
      </c>
      <c r="J3807" s="9">
        <v>1</v>
      </c>
      <c r="K3807" s="9">
        <v>275</v>
      </c>
      <c r="L3807" s="9">
        <v>2024</v>
      </c>
      <c r="M3807" s="8" t="s">
        <v>22715</v>
      </c>
      <c r="N3807" s="8" t="s">
        <v>41</v>
      </c>
      <c r="O3807" s="8" t="s">
        <v>118</v>
      </c>
      <c r="P3807" s="6" t="s">
        <v>43</v>
      </c>
      <c r="Q3807" s="8" t="s">
        <v>44</v>
      </c>
      <c r="R3807" s="10" t="s">
        <v>3378</v>
      </c>
      <c r="S3807" s="11" t="s">
        <v>120</v>
      </c>
      <c r="T3807" s="6"/>
      <c r="U3807" s="24" t="str">
        <f>HYPERLINK("https://media.infra-m.ru/2136/2136703/cover/2136703.jpg", "Обложка")</f>
        <v>Обложка</v>
      </c>
      <c r="V3807" s="24" t="str">
        <f>HYPERLINK("https://znanium.ru/catalog/product/2136703", "Ознакомиться")</f>
        <v>Ознакомиться</v>
      </c>
      <c r="W3807" s="8" t="s">
        <v>1345</v>
      </c>
      <c r="X3807" s="6"/>
      <c r="Y3807" s="6"/>
      <c r="Z3807" s="6"/>
      <c r="AA3807" s="6" t="s">
        <v>22716</v>
      </c>
      <c r="AB3807" s="8"/>
    </row>
    <row r="3808" spans="1:28" s="4" customFormat="1" ht="51.95" customHeight="1">
      <c r="A3808" s="5">
        <v>0</v>
      </c>
      <c r="B3808" s="6" t="s">
        <v>22717</v>
      </c>
      <c r="C3808" s="7">
        <v>664</v>
      </c>
      <c r="D3808" s="8" t="s">
        <v>22718</v>
      </c>
      <c r="E3808" s="8" t="s">
        <v>22719</v>
      </c>
      <c r="F3808" s="8" t="s">
        <v>22720</v>
      </c>
      <c r="G3808" s="6" t="s">
        <v>38</v>
      </c>
      <c r="H3808" s="6" t="s">
        <v>649</v>
      </c>
      <c r="I3808" s="8" t="s">
        <v>116</v>
      </c>
      <c r="J3808" s="9">
        <v>1</v>
      </c>
      <c r="K3808" s="9">
        <v>144</v>
      </c>
      <c r="L3808" s="9">
        <v>2024</v>
      </c>
      <c r="M3808" s="8" t="s">
        <v>22721</v>
      </c>
      <c r="N3808" s="8" t="s">
        <v>79</v>
      </c>
      <c r="O3808" s="8" t="s">
        <v>396</v>
      </c>
      <c r="P3808" s="6" t="s">
        <v>43</v>
      </c>
      <c r="Q3808" s="8" t="s">
        <v>58</v>
      </c>
      <c r="R3808" s="10" t="s">
        <v>2106</v>
      </c>
      <c r="S3808" s="11" t="s">
        <v>22722</v>
      </c>
      <c r="T3808" s="6"/>
      <c r="U3808" s="24" t="str">
        <f>HYPERLINK("https://media.infra-m.ru/2079/2079639/cover/2079639.jpg", "Обложка")</f>
        <v>Обложка</v>
      </c>
      <c r="V3808" s="24" t="str">
        <f>HYPERLINK("https://znanium.ru/catalog/product/1242475", "Ознакомиться")</f>
        <v>Ознакомиться</v>
      </c>
      <c r="W3808" s="8" t="s">
        <v>2321</v>
      </c>
      <c r="X3808" s="6"/>
      <c r="Y3808" s="6"/>
      <c r="Z3808" s="6"/>
      <c r="AA3808" s="6" t="s">
        <v>72</v>
      </c>
      <c r="AB3808" s="8"/>
    </row>
    <row r="3809" spans="1:28" s="4" customFormat="1" ht="51.95" customHeight="1">
      <c r="A3809" s="5">
        <v>0</v>
      </c>
      <c r="B3809" s="6" t="s">
        <v>22723</v>
      </c>
      <c r="C3809" s="13">
        <v>1394</v>
      </c>
      <c r="D3809" s="8" t="s">
        <v>22724</v>
      </c>
      <c r="E3809" s="8" t="s">
        <v>22725</v>
      </c>
      <c r="F3809" s="8" t="s">
        <v>22726</v>
      </c>
      <c r="G3809" s="6" t="s">
        <v>26</v>
      </c>
      <c r="H3809" s="6" t="s">
        <v>674</v>
      </c>
      <c r="I3809" s="8" t="s">
        <v>13682</v>
      </c>
      <c r="J3809" s="9">
        <v>1</v>
      </c>
      <c r="K3809" s="9">
        <v>352</v>
      </c>
      <c r="L3809" s="9">
        <v>2024</v>
      </c>
      <c r="M3809" s="8" t="s">
        <v>22727</v>
      </c>
      <c r="N3809" s="8" t="s">
        <v>41</v>
      </c>
      <c r="O3809" s="8" t="s">
        <v>676</v>
      </c>
      <c r="P3809" s="6" t="s">
        <v>187</v>
      </c>
      <c r="Q3809" s="8" t="s">
        <v>44</v>
      </c>
      <c r="R3809" s="10" t="s">
        <v>2736</v>
      </c>
      <c r="S3809" s="11" t="s">
        <v>22728</v>
      </c>
      <c r="T3809" s="6"/>
      <c r="U3809" s="24" t="str">
        <f>HYPERLINK("https://media.infra-m.ru/2053/2053239/cover/2053239.jpg", "Обложка")</f>
        <v>Обложка</v>
      </c>
      <c r="V3809" s="24" t="str">
        <f>HYPERLINK("https://znanium.ru/catalog/product/1228811", "Ознакомиться")</f>
        <v>Ознакомиться</v>
      </c>
      <c r="W3809" s="8" t="s">
        <v>808</v>
      </c>
      <c r="X3809" s="6"/>
      <c r="Y3809" s="6"/>
      <c r="Z3809" s="6"/>
      <c r="AA3809" s="6" t="s">
        <v>244</v>
      </c>
      <c r="AB3809" s="8"/>
    </row>
    <row r="3810" spans="1:28" s="4" customFormat="1" ht="51.95" customHeight="1">
      <c r="A3810" s="5">
        <v>0</v>
      </c>
      <c r="B3810" s="6" t="s">
        <v>22729</v>
      </c>
      <c r="C3810" s="7">
        <v>884</v>
      </c>
      <c r="D3810" s="8" t="s">
        <v>22730</v>
      </c>
      <c r="E3810" s="8" t="s">
        <v>22731</v>
      </c>
      <c r="F3810" s="8" t="s">
        <v>13951</v>
      </c>
      <c r="G3810" s="6" t="s">
        <v>38</v>
      </c>
      <c r="H3810" s="6" t="s">
        <v>39</v>
      </c>
      <c r="I3810" s="8" t="s">
        <v>116</v>
      </c>
      <c r="J3810" s="9">
        <v>1</v>
      </c>
      <c r="K3810" s="9">
        <v>168</v>
      </c>
      <c r="L3810" s="9">
        <v>2025</v>
      </c>
      <c r="M3810" s="8" t="s">
        <v>22732</v>
      </c>
      <c r="N3810" s="8" t="s">
        <v>41</v>
      </c>
      <c r="O3810" s="8" t="s">
        <v>118</v>
      </c>
      <c r="P3810" s="6" t="s">
        <v>43</v>
      </c>
      <c r="Q3810" s="8" t="s">
        <v>44</v>
      </c>
      <c r="R3810" s="10" t="s">
        <v>8386</v>
      </c>
      <c r="S3810" s="11" t="s">
        <v>22733</v>
      </c>
      <c r="T3810" s="6"/>
      <c r="U3810" s="24" t="str">
        <f>HYPERLINK("https://media.infra-m.ru/2193/2193016/cover/2193016.jpg", "Обложка")</f>
        <v>Обложка</v>
      </c>
      <c r="V3810" s="24" t="str">
        <f>HYPERLINK("https://znanium.ru/catalog/product/991953", "Ознакомиться")</f>
        <v>Ознакомиться</v>
      </c>
      <c r="W3810" s="8" t="s">
        <v>189</v>
      </c>
      <c r="X3810" s="6"/>
      <c r="Y3810" s="6"/>
      <c r="Z3810" s="6"/>
      <c r="AA3810" s="6" t="s">
        <v>1461</v>
      </c>
      <c r="AB3810" s="8"/>
    </row>
    <row r="3811" spans="1:28" s="4" customFormat="1" ht="51.95" customHeight="1">
      <c r="A3811" s="5">
        <v>0</v>
      </c>
      <c r="B3811" s="6" t="s">
        <v>22734</v>
      </c>
      <c r="C3811" s="13">
        <v>1044</v>
      </c>
      <c r="D3811" s="8" t="s">
        <v>22735</v>
      </c>
      <c r="E3811" s="8" t="s">
        <v>22736</v>
      </c>
      <c r="F3811" s="8" t="s">
        <v>5189</v>
      </c>
      <c r="G3811" s="6" t="s">
        <v>89</v>
      </c>
      <c r="H3811" s="6" t="s">
        <v>77</v>
      </c>
      <c r="I3811" s="8"/>
      <c r="J3811" s="9">
        <v>1</v>
      </c>
      <c r="K3811" s="9">
        <v>200</v>
      </c>
      <c r="L3811" s="9">
        <v>2025</v>
      </c>
      <c r="M3811" s="8" t="s">
        <v>22737</v>
      </c>
      <c r="N3811" s="8" t="s">
        <v>79</v>
      </c>
      <c r="O3811" s="8" t="s">
        <v>80</v>
      </c>
      <c r="P3811" s="6" t="s">
        <v>187</v>
      </c>
      <c r="Q3811" s="8" t="s">
        <v>44</v>
      </c>
      <c r="R3811" s="10" t="s">
        <v>22738</v>
      </c>
      <c r="S3811" s="11"/>
      <c r="T3811" s="6" t="s">
        <v>299</v>
      </c>
      <c r="U3811" s="24" t="str">
        <f>HYPERLINK("https://media.infra-m.ru/2199/2199813/cover/2199813.jpg", "Обложка")</f>
        <v>Обложка</v>
      </c>
      <c r="V3811" s="24" t="str">
        <f>HYPERLINK("https://znanium.ru/catalog/product/1852206", "Ознакомиться")</f>
        <v>Ознакомиться</v>
      </c>
      <c r="W3811" s="8" t="s">
        <v>2321</v>
      </c>
      <c r="X3811" s="6"/>
      <c r="Y3811" s="6"/>
      <c r="Z3811" s="6"/>
      <c r="AA3811" s="6" t="s">
        <v>111</v>
      </c>
      <c r="AB3811" s="8"/>
    </row>
    <row r="3812" spans="1:28" s="4" customFormat="1" ht="51.95" customHeight="1">
      <c r="A3812" s="5">
        <v>0</v>
      </c>
      <c r="B3812" s="6" t="s">
        <v>22739</v>
      </c>
      <c r="C3812" s="13">
        <v>1724.9</v>
      </c>
      <c r="D3812" s="8" t="s">
        <v>22740</v>
      </c>
      <c r="E3812" s="8" t="s">
        <v>22741</v>
      </c>
      <c r="F3812" s="8" t="s">
        <v>22742</v>
      </c>
      <c r="G3812" s="6" t="s">
        <v>52</v>
      </c>
      <c r="H3812" s="6" t="s">
        <v>53</v>
      </c>
      <c r="I3812" s="8" t="s">
        <v>116</v>
      </c>
      <c r="J3812" s="9">
        <v>1</v>
      </c>
      <c r="K3812" s="9">
        <v>382</v>
      </c>
      <c r="L3812" s="9">
        <v>2023</v>
      </c>
      <c r="M3812" s="8" t="s">
        <v>22743</v>
      </c>
      <c r="N3812" s="8" t="s">
        <v>41</v>
      </c>
      <c r="O3812" s="8" t="s">
        <v>6182</v>
      </c>
      <c r="P3812" s="6" t="s">
        <v>43</v>
      </c>
      <c r="Q3812" s="8" t="s">
        <v>44</v>
      </c>
      <c r="R3812" s="10" t="s">
        <v>1591</v>
      </c>
      <c r="S3812" s="11" t="s">
        <v>22744</v>
      </c>
      <c r="T3812" s="6"/>
      <c r="U3812" s="24" t="str">
        <f>HYPERLINK("https://media.infra-m.ru/1913/1913203/cover/1913203.jpg", "Обложка")</f>
        <v>Обложка</v>
      </c>
      <c r="V3812" s="24" t="str">
        <f>HYPERLINK("https://znanium.ru/catalog/product/938070", "Ознакомиться")</f>
        <v>Ознакомиться</v>
      </c>
      <c r="W3812" s="8" t="s">
        <v>2216</v>
      </c>
      <c r="X3812" s="6"/>
      <c r="Y3812" s="6"/>
      <c r="Z3812" s="6"/>
      <c r="AA3812" s="6" t="s">
        <v>418</v>
      </c>
      <c r="AB3812" s="8"/>
    </row>
    <row r="3813" spans="1:28" s="4" customFormat="1" ht="51.95" customHeight="1">
      <c r="A3813" s="5">
        <v>0</v>
      </c>
      <c r="B3813" s="6" t="s">
        <v>22745</v>
      </c>
      <c r="C3813" s="13">
        <v>1330</v>
      </c>
      <c r="D3813" s="8" t="s">
        <v>22746</v>
      </c>
      <c r="E3813" s="8" t="s">
        <v>22747</v>
      </c>
      <c r="F3813" s="8" t="s">
        <v>22748</v>
      </c>
      <c r="G3813" s="6" t="s">
        <v>89</v>
      </c>
      <c r="H3813" s="6" t="s">
        <v>39</v>
      </c>
      <c r="I3813" s="8" t="s">
        <v>100</v>
      </c>
      <c r="J3813" s="9">
        <v>1</v>
      </c>
      <c r="K3813" s="9">
        <v>288</v>
      </c>
      <c r="L3813" s="9">
        <v>2024</v>
      </c>
      <c r="M3813" s="8" t="s">
        <v>22749</v>
      </c>
      <c r="N3813" s="8" t="s">
        <v>79</v>
      </c>
      <c r="O3813" s="8" t="s">
        <v>684</v>
      </c>
      <c r="P3813" s="6" t="s">
        <v>43</v>
      </c>
      <c r="Q3813" s="8" t="s">
        <v>102</v>
      </c>
      <c r="R3813" s="10" t="s">
        <v>20987</v>
      </c>
      <c r="S3813" s="11" t="s">
        <v>692</v>
      </c>
      <c r="T3813" s="6"/>
      <c r="U3813" s="24" t="str">
        <f>HYPERLINK("https://media.infra-m.ru/2083/2083364/cover/2083364.jpg", "Обложка")</f>
        <v>Обложка</v>
      </c>
      <c r="V3813" s="24" t="str">
        <f>HYPERLINK("https://znanium.ru/catalog/product/2083364", "Ознакомиться")</f>
        <v>Ознакомиться</v>
      </c>
      <c r="W3813" s="8" t="s">
        <v>1123</v>
      </c>
      <c r="X3813" s="6"/>
      <c r="Y3813" s="6"/>
      <c r="Z3813" s="6" t="s">
        <v>104</v>
      </c>
      <c r="AA3813" s="6" t="s">
        <v>258</v>
      </c>
      <c r="AB3813" s="8"/>
    </row>
    <row r="3814" spans="1:28" s="4" customFormat="1" ht="51.95" customHeight="1">
      <c r="A3814" s="5">
        <v>0</v>
      </c>
      <c r="B3814" s="6" t="s">
        <v>22750</v>
      </c>
      <c r="C3814" s="13">
        <v>1370</v>
      </c>
      <c r="D3814" s="8" t="s">
        <v>22751</v>
      </c>
      <c r="E3814" s="8" t="s">
        <v>22747</v>
      </c>
      <c r="F3814" s="8" t="s">
        <v>22748</v>
      </c>
      <c r="G3814" s="6" t="s">
        <v>89</v>
      </c>
      <c r="H3814" s="6" t="s">
        <v>39</v>
      </c>
      <c r="I3814" s="8" t="s">
        <v>116</v>
      </c>
      <c r="J3814" s="9">
        <v>1</v>
      </c>
      <c r="K3814" s="9">
        <v>288</v>
      </c>
      <c r="L3814" s="9">
        <v>2024</v>
      </c>
      <c r="M3814" s="8" t="s">
        <v>22752</v>
      </c>
      <c r="N3814" s="8" t="s">
        <v>79</v>
      </c>
      <c r="O3814" s="8" t="s">
        <v>684</v>
      </c>
      <c r="P3814" s="6" t="s">
        <v>43</v>
      </c>
      <c r="Q3814" s="8" t="s">
        <v>44</v>
      </c>
      <c r="R3814" s="10" t="s">
        <v>22753</v>
      </c>
      <c r="S3814" s="11" t="s">
        <v>22754</v>
      </c>
      <c r="T3814" s="6"/>
      <c r="U3814" s="24" t="str">
        <f>HYPERLINK("https://media.infra-m.ru/1899/1899882/cover/1899882.jpg", "Обложка")</f>
        <v>Обложка</v>
      </c>
      <c r="V3814" s="24" t="str">
        <f>HYPERLINK("https://znanium.ru/catalog/product/1899882", "Ознакомиться")</f>
        <v>Ознакомиться</v>
      </c>
      <c r="W3814" s="8" t="s">
        <v>1123</v>
      </c>
      <c r="X3814" s="6"/>
      <c r="Y3814" s="6"/>
      <c r="Z3814" s="6"/>
      <c r="AA3814" s="6" t="s">
        <v>1135</v>
      </c>
      <c r="AB3814" s="8"/>
    </row>
    <row r="3815" spans="1:28" s="4" customFormat="1" ht="51.95" customHeight="1">
      <c r="A3815" s="5">
        <v>0</v>
      </c>
      <c r="B3815" s="6" t="s">
        <v>22755</v>
      </c>
      <c r="C3815" s="13">
        <v>1200</v>
      </c>
      <c r="D3815" s="8" t="s">
        <v>22756</v>
      </c>
      <c r="E3815" s="8" t="s">
        <v>22757</v>
      </c>
      <c r="F3815" s="8" t="s">
        <v>22758</v>
      </c>
      <c r="G3815" s="6" t="s">
        <v>38</v>
      </c>
      <c r="H3815" s="6" t="s">
        <v>77</v>
      </c>
      <c r="I3815" s="8"/>
      <c r="J3815" s="9">
        <v>1</v>
      </c>
      <c r="K3815" s="9">
        <v>239</v>
      </c>
      <c r="L3815" s="9">
        <v>2025</v>
      </c>
      <c r="M3815" s="8" t="s">
        <v>22759</v>
      </c>
      <c r="N3815" s="8" t="s">
        <v>41</v>
      </c>
      <c r="O3815" s="8" t="s">
        <v>4035</v>
      </c>
      <c r="P3815" s="6" t="s">
        <v>43</v>
      </c>
      <c r="Q3815" s="8" t="s">
        <v>44</v>
      </c>
      <c r="R3815" s="10" t="s">
        <v>8923</v>
      </c>
      <c r="S3815" s="11" t="s">
        <v>22760</v>
      </c>
      <c r="T3815" s="6"/>
      <c r="U3815" s="24" t="str">
        <f>HYPERLINK("https://media.infra-m.ru/2173/2173989/cover/2173989.jpg", "Обложка")</f>
        <v>Обложка</v>
      </c>
      <c r="V3815" s="24" t="str">
        <f>HYPERLINK("https://znanium.ru/catalog/product/2173989", "Ознакомиться")</f>
        <v>Ознакомиться</v>
      </c>
      <c r="W3815" s="8" t="s">
        <v>83</v>
      </c>
      <c r="X3815" s="6"/>
      <c r="Y3815" s="6"/>
      <c r="Z3815" s="6"/>
      <c r="AA3815" s="6" t="s">
        <v>2217</v>
      </c>
      <c r="AB3815" s="8"/>
    </row>
    <row r="3816" spans="1:28" s="4" customFormat="1" ht="51.95" customHeight="1">
      <c r="A3816" s="5">
        <v>0</v>
      </c>
      <c r="B3816" s="6" t="s">
        <v>22761</v>
      </c>
      <c r="C3816" s="13">
        <v>1264.9000000000001</v>
      </c>
      <c r="D3816" s="8" t="s">
        <v>22762</v>
      </c>
      <c r="E3816" s="8" t="s">
        <v>22763</v>
      </c>
      <c r="F3816" s="8" t="s">
        <v>22764</v>
      </c>
      <c r="G3816" s="6" t="s">
        <v>52</v>
      </c>
      <c r="H3816" s="6" t="s">
        <v>39</v>
      </c>
      <c r="I3816" s="8" t="s">
        <v>90</v>
      </c>
      <c r="J3816" s="9">
        <v>1</v>
      </c>
      <c r="K3816" s="9">
        <v>304</v>
      </c>
      <c r="L3816" s="9">
        <v>2019</v>
      </c>
      <c r="M3816" s="8" t="s">
        <v>22765</v>
      </c>
      <c r="N3816" s="8" t="s">
        <v>79</v>
      </c>
      <c r="O3816" s="8" t="s">
        <v>80</v>
      </c>
      <c r="P3816" s="6" t="s">
        <v>43</v>
      </c>
      <c r="Q3816" s="8" t="s">
        <v>44</v>
      </c>
      <c r="R3816" s="10" t="s">
        <v>22766</v>
      </c>
      <c r="S3816" s="11" t="s">
        <v>22767</v>
      </c>
      <c r="T3816" s="6"/>
      <c r="U3816" s="24" t="str">
        <f>HYPERLINK("https://media.infra-m.ru/1025/1025452/cover/1025452.jpg", "Обложка")</f>
        <v>Обложка</v>
      </c>
      <c r="V3816" s="24" t="str">
        <f>HYPERLINK("https://znanium.ru/catalog/product/939812", "Ознакомиться")</f>
        <v>Ознакомиться</v>
      </c>
      <c r="W3816" s="8" t="s">
        <v>11064</v>
      </c>
      <c r="X3816" s="6"/>
      <c r="Y3816" s="6"/>
      <c r="Z3816" s="6"/>
      <c r="AA3816" s="6" t="s">
        <v>151</v>
      </c>
      <c r="AB3816" s="8"/>
    </row>
    <row r="3817" spans="1:28" s="4" customFormat="1" ht="51.95" customHeight="1">
      <c r="A3817" s="5">
        <v>0</v>
      </c>
      <c r="B3817" s="6" t="s">
        <v>22768</v>
      </c>
      <c r="C3817" s="13">
        <v>1982</v>
      </c>
      <c r="D3817" s="8" t="s">
        <v>22769</v>
      </c>
      <c r="E3817" s="8" t="s">
        <v>22763</v>
      </c>
      <c r="F3817" s="8" t="s">
        <v>22764</v>
      </c>
      <c r="G3817" s="6" t="s">
        <v>89</v>
      </c>
      <c r="H3817" s="6" t="s">
        <v>39</v>
      </c>
      <c r="I3817" s="8" t="s">
        <v>100</v>
      </c>
      <c r="J3817" s="9">
        <v>1</v>
      </c>
      <c r="K3817" s="9">
        <v>304</v>
      </c>
      <c r="L3817" s="9">
        <v>2025</v>
      </c>
      <c r="M3817" s="8" t="s">
        <v>22770</v>
      </c>
      <c r="N3817" s="8" t="s">
        <v>79</v>
      </c>
      <c r="O3817" s="8" t="s">
        <v>80</v>
      </c>
      <c r="P3817" s="6" t="s">
        <v>43</v>
      </c>
      <c r="Q3817" s="8" t="s">
        <v>102</v>
      </c>
      <c r="R3817" s="10" t="s">
        <v>4187</v>
      </c>
      <c r="S3817" s="11" t="s">
        <v>22771</v>
      </c>
      <c r="T3817" s="6"/>
      <c r="U3817" s="24" t="str">
        <f>HYPERLINK("https://media.infra-m.ru/2160/2160327/cover/2160327.jpg", "Обложка")</f>
        <v>Обложка</v>
      </c>
      <c r="V3817" s="24" t="str">
        <f>HYPERLINK("https://znanium.ru/catalog/product/2160327", "Ознакомиться")</f>
        <v>Ознакомиться</v>
      </c>
      <c r="W3817" s="8" t="s">
        <v>11064</v>
      </c>
      <c r="X3817" s="6"/>
      <c r="Y3817" s="6"/>
      <c r="Z3817" s="6" t="s">
        <v>104</v>
      </c>
      <c r="AA3817" s="6" t="s">
        <v>258</v>
      </c>
      <c r="AB3817" s="8"/>
    </row>
    <row r="3818" spans="1:28" s="4" customFormat="1" ht="51.95" customHeight="1">
      <c r="A3818" s="5">
        <v>0</v>
      </c>
      <c r="B3818" s="6" t="s">
        <v>22772</v>
      </c>
      <c r="C3818" s="7">
        <v>960</v>
      </c>
      <c r="D3818" s="8" t="s">
        <v>22773</v>
      </c>
      <c r="E3818" s="8" t="s">
        <v>22774</v>
      </c>
      <c r="F3818" s="8" t="s">
        <v>22775</v>
      </c>
      <c r="G3818" s="6" t="s">
        <v>89</v>
      </c>
      <c r="H3818" s="6" t="s">
        <v>39</v>
      </c>
      <c r="I3818" s="8" t="s">
        <v>185</v>
      </c>
      <c r="J3818" s="9">
        <v>1</v>
      </c>
      <c r="K3818" s="9">
        <v>192</v>
      </c>
      <c r="L3818" s="9">
        <v>2024</v>
      </c>
      <c r="M3818" s="8" t="s">
        <v>22776</v>
      </c>
      <c r="N3818" s="8" t="s">
        <v>56</v>
      </c>
      <c r="O3818" s="8" t="s">
        <v>4042</v>
      </c>
      <c r="P3818" s="6" t="s">
        <v>43</v>
      </c>
      <c r="Q3818" s="8" t="s">
        <v>102</v>
      </c>
      <c r="R3818" s="10" t="s">
        <v>20702</v>
      </c>
      <c r="S3818" s="11" t="s">
        <v>6083</v>
      </c>
      <c r="T3818" s="6"/>
      <c r="U3818" s="24" t="str">
        <f>HYPERLINK("https://media.infra-m.ru/2161/2161052/cover/2161052.jpg", "Обложка")</f>
        <v>Обложка</v>
      </c>
      <c r="V3818" s="24" t="str">
        <f>HYPERLINK("https://znanium.ru/catalog/product/1869343", "Ознакомиться")</f>
        <v>Ознакомиться</v>
      </c>
      <c r="W3818" s="8" t="s">
        <v>22777</v>
      </c>
      <c r="X3818" s="6"/>
      <c r="Y3818" s="6"/>
      <c r="Z3818" s="6"/>
      <c r="AA3818" s="6" t="s">
        <v>122</v>
      </c>
      <c r="AB3818" s="8"/>
    </row>
    <row r="3819" spans="1:28" s="4" customFormat="1" ht="51.95" customHeight="1">
      <c r="A3819" s="5">
        <v>0</v>
      </c>
      <c r="B3819" s="6" t="s">
        <v>22778</v>
      </c>
      <c r="C3819" s="7">
        <v>320</v>
      </c>
      <c r="D3819" s="8" t="s">
        <v>22779</v>
      </c>
      <c r="E3819" s="8" t="s">
        <v>22780</v>
      </c>
      <c r="F3819" s="8" t="s">
        <v>22781</v>
      </c>
      <c r="G3819" s="6" t="s">
        <v>38</v>
      </c>
      <c r="H3819" s="6" t="s">
        <v>53</v>
      </c>
      <c r="I3819" s="8" t="s">
        <v>90</v>
      </c>
      <c r="J3819" s="9">
        <v>1</v>
      </c>
      <c r="K3819" s="9">
        <v>120</v>
      </c>
      <c r="L3819" s="9">
        <v>2017</v>
      </c>
      <c r="M3819" s="8" t="s">
        <v>22782</v>
      </c>
      <c r="N3819" s="8" t="s">
        <v>41</v>
      </c>
      <c r="O3819" s="8" t="s">
        <v>118</v>
      </c>
      <c r="P3819" s="6" t="s">
        <v>366</v>
      </c>
      <c r="Q3819" s="8" t="s">
        <v>44</v>
      </c>
      <c r="R3819" s="10" t="s">
        <v>22783</v>
      </c>
      <c r="S3819" s="11" t="s">
        <v>1320</v>
      </c>
      <c r="T3819" s="6"/>
      <c r="U3819" s="24" t="str">
        <f>HYPERLINK("https://media.infra-m.ru/0767/0767822/cover/767822.jpg", "Обложка")</f>
        <v>Обложка</v>
      </c>
      <c r="V3819" s="24" t="str">
        <f>HYPERLINK("https://znanium.ru/catalog/product/2053973", "Ознакомиться")</f>
        <v>Ознакомиться</v>
      </c>
      <c r="W3819" s="8"/>
      <c r="X3819" s="6"/>
      <c r="Y3819" s="6"/>
      <c r="Z3819" s="6"/>
      <c r="AA3819" s="6" t="s">
        <v>2193</v>
      </c>
      <c r="AB3819" s="8"/>
    </row>
    <row r="3820" spans="1:28" s="4" customFormat="1" ht="51.95" customHeight="1">
      <c r="A3820" s="5">
        <v>0</v>
      </c>
      <c r="B3820" s="6" t="s">
        <v>22784</v>
      </c>
      <c r="C3820" s="7">
        <v>604</v>
      </c>
      <c r="D3820" s="8" t="s">
        <v>22785</v>
      </c>
      <c r="E3820" s="8" t="s">
        <v>22786</v>
      </c>
      <c r="F3820" s="8" t="s">
        <v>22787</v>
      </c>
      <c r="G3820" s="6" t="s">
        <v>38</v>
      </c>
      <c r="H3820" s="6" t="s">
        <v>53</v>
      </c>
      <c r="I3820" s="8" t="s">
        <v>90</v>
      </c>
      <c r="J3820" s="9">
        <v>1</v>
      </c>
      <c r="K3820" s="9">
        <v>131</v>
      </c>
      <c r="L3820" s="9">
        <v>2024</v>
      </c>
      <c r="M3820" s="8" t="s">
        <v>22788</v>
      </c>
      <c r="N3820" s="8" t="s">
        <v>41</v>
      </c>
      <c r="O3820" s="8" t="s">
        <v>118</v>
      </c>
      <c r="P3820" s="6" t="s">
        <v>43</v>
      </c>
      <c r="Q3820" s="8" t="s">
        <v>44</v>
      </c>
      <c r="R3820" s="10" t="s">
        <v>22783</v>
      </c>
      <c r="S3820" s="11" t="s">
        <v>3474</v>
      </c>
      <c r="T3820" s="6"/>
      <c r="U3820" s="24" t="str">
        <f>HYPERLINK("https://media.infra-m.ru/2053/2053973/cover/2053973.jpg", "Обложка")</f>
        <v>Обложка</v>
      </c>
      <c r="V3820" s="24" t="str">
        <f>HYPERLINK("https://znanium.ru/catalog/product/2053973", "Ознакомиться")</f>
        <v>Ознакомиться</v>
      </c>
      <c r="W3820" s="8"/>
      <c r="X3820" s="6"/>
      <c r="Y3820" s="6"/>
      <c r="Z3820" s="6"/>
      <c r="AA3820" s="6" t="s">
        <v>638</v>
      </c>
      <c r="AB3820" s="8"/>
    </row>
    <row r="3821" spans="1:28" s="4" customFormat="1" ht="51.95" customHeight="1">
      <c r="A3821" s="5">
        <v>0</v>
      </c>
      <c r="B3821" s="6" t="s">
        <v>22789</v>
      </c>
      <c r="C3821" s="7">
        <v>814.9</v>
      </c>
      <c r="D3821" s="8" t="s">
        <v>22790</v>
      </c>
      <c r="E3821" s="8" t="s">
        <v>22791</v>
      </c>
      <c r="F3821" s="8" t="s">
        <v>22792</v>
      </c>
      <c r="G3821" s="6" t="s">
        <v>38</v>
      </c>
      <c r="H3821" s="6" t="s">
        <v>39</v>
      </c>
      <c r="I3821" s="8" t="s">
        <v>90</v>
      </c>
      <c r="J3821" s="9">
        <v>1</v>
      </c>
      <c r="K3821" s="9">
        <v>272</v>
      </c>
      <c r="L3821" s="9">
        <v>2019</v>
      </c>
      <c r="M3821" s="8" t="s">
        <v>22793</v>
      </c>
      <c r="N3821" s="8" t="s">
        <v>79</v>
      </c>
      <c r="O3821" s="8" t="s">
        <v>684</v>
      </c>
      <c r="P3821" s="6" t="s">
        <v>43</v>
      </c>
      <c r="Q3821" s="8" t="s">
        <v>44</v>
      </c>
      <c r="R3821" s="10" t="s">
        <v>22794</v>
      </c>
      <c r="S3821" s="11" t="s">
        <v>22795</v>
      </c>
      <c r="T3821" s="6"/>
      <c r="U3821" s="24" t="str">
        <f>HYPERLINK("https://media.infra-m.ru/1009/1009621/cover/1009621.jpg", "Обложка")</f>
        <v>Обложка</v>
      </c>
      <c r="V3821" s="24" t="str">
        <f>HYPERLINK("https://znanium.ru/catalog/product/1079438", "Ознакомиться")</f>
        <v>Ознакомиться</v>
      </c>
      <c r="W3821" s="8" t="s">
        <v>637</v>
      </c>
      <c r="X3821" s="6"/>
      <c r="Y3821" s="6"/>
      <c r="Z3821" s="6"/>
      <c r="AA3821" s="6" t="s">
        <v>111</v>
      </c>
      <c r="AB3821" s="8"/>
    </row>
    <row r="3822" spans="1:28" s="4" customFormat="1" ht="42" customHeight="1">
      <c r="A3822" s="5">
        <v>0</v>
      </c>
      <c r="B3822" s="6" t="s">
        <v>22796</v>
      </c>
      <c r="C3822" s="7">
        <v>994</v>
      </c>
      <c r="D3822" s="8" t="s">
        <v>22797</v>
      </c>
      <c r="E3822" s="8" t="s">
        <v>22798</v>
      </c>
      <c r="F3822" s="8" t="s">
        <v>22799</v>
      </c>
      <c r="G3822" s="6" t="s">
        <v>38</v>
      </c>
      <c r="H3822" s="6" t="s">
        <v>674</v>
      </c>
      <c r="I3822" s="8" t="s">
        <v>7135</v>
      </c>
      <c r="J3822" s="9">
        <v>1</v>
      </c>
      <c r="K3822" s="9">
        <v>208</v>
      </c>
      <c r="L3822" s="9">
        <v>2022</v>
      </c>
      <c r="M3822" s="8" t="s">
        <v>22800</v>
      </c>
      <c r="N3822" s="8" t="s">
        <v>41</v>
      </c>
      <c r="O3822" s="8" t="s">
        <v>676</v>
      </c>
      <c r="P3822" s="6" t="s">
        <v>187</v>
      </c>
      <c r="Q3822" s="8" t="s">
        <v>44</v>
      </c>
      <c r="R3822" s="10" t="s">
        <v>969</v>
      </c>
      <c r="S3822" s="11"/>
      <c r="T3822" s="6"/>
      <c r="U3822" s="24" t="str">
        <f>HYPERLINK("https://media.infra-m.ru/1852/1852232/cover/1852232.jpg", "Обложка")</f>
        <v>Обложка</v>
      </c>
      <c r="V3822" s="24" t="str">
        <f>HYPERLINK("https://znanium.ru/catalog/product/1852232", "Ознакомиться")</f>
        <v>Ознакомиться</v>
      </c>
      <c r="W3822" s="8" t="s">
        <v>1064</v>
      </c>
      <c r="X3822" s="6"/>
      <c r="Y3822" s="6"/>
      <c r="Z3822" s="6"/>
      <c r="AA3822" s="6" t="s">
        <v>111</v>
      </c>
      <c r="AB3822" s="8"/>
    </row>
    <row r="3823" spans="1:28" s="4" customFormat="1" ht="51.95" customHeight="1">
      <c r="A3823" s="5">
        <v>0</v>
      </c>
      <c r="B3823" s="6" t="s">
        <v>22801</v>
      </c>
      <c r="C3823" s="13">
        <v>1180</v>
      </c>
      <c r="D3823" s="8" t="s">
        <v>22802</v>
      </c>
      <c r="E3823" s="8" t="s">
        <v>22803</v>
      </c>
      <c r="F3823" s="8" t="s">
        <v>16625</v>
      </c>
      <c r="G3823" s="6" t="s">
        <v>89</v>
      </c>
      <c r="H3823" s="6" t="s">
        <v>53</v>
      </c>
      <c r="I3823" s="8" t="s">
        <v>116</v>
      </c>
      <c r="J3823" s="9">
        <v>1</v>
      </c>
      <c r="K3823" s="9">
        <v>255</v>
      </c>
      <c r="L3823" s="9">
        <v>2024</v>
      </c>
      <c r="M3823" s="8" t="s">
        <v>22804</v>
      </c>
      <c r="N3823" s="8" t="s">
        <v>997</v>
      </c>
      <c r="O3823" s="8" t="s">
        <v>9676</v>
      </c>
      <c r="P3823" s="6" t="s">
        <v>43</v>
      </c>
      <c r="Q3823" s="8" t="s">
        <v>58</v>
      </c>
      <c r="R3823" s="10" t="s">
        <v>292</v>
      </c>
      <c r="S3823" s="11" t="s">
        <v>22805</v>
      </c>
      <c r="T3823" s="6"/>
      <c r="U3823" s="24" t="str">
        <f>HYPERLINK("https://media.infra-m.ru/2053/2053226/cover/2053226.jpg", "Обложка")</f>
        <v>Обложка</v>
      </c>
      <c r="V3823" s="24" t="str">
        <f>HYPERLINK("https://znanium.ru/catalog/product/2053226", "Ознакомиться")</f>
        <v>Ознакомиться</v>
      </c>
      <c r="W3823" s="8" t="s">
        <v>8022</v>
      </c>
      <c r="X3823" s="6"/>
      <c r="Y3823" s="6"/>
      <c r="Z3823" s="6"/>
      <c r="AA3823" s="6" t="s">
        <v>22806</v>
      </c>
      <c r="AB3823" s="8" t="s">
        <v>271</v>
      </c>
    </row>
    <row r="3824" spans="1:28" s="4" customFormat="1" ht="51.95" customHeight="1">
      <c r="A3824" s="5">
        <v>0</v>
      </c>
      <c r="B3824" s="6" t="s">
        <v>22807</v>
      </c>
      <c r="C3824" s="7">
        <v>734.9</v>
      </c>
      <c r="D3824" s="8" t="s">
        <v>22808</v>
      </c>
      <c r="E3824" s="8" t="s">
        <v>22809</v>
      </c>
      <c r="F3824" s="8" t="s">
        <v>16612</v>
      </c>
      <c r="G3824" s="6" t="s">
        <v>52</v>
      </c>
      <c r="H3824" s="6" t="s">
        <v>1738</v>
      </c>
      <c r="I3824" s="8"/>
      <c r="J3824" s="9">
        <v>1</v>
      </c>
      <c r="K3824" s="9">
        <v>252</v>
      </c>
      <c r="L3824" s="9">
        <v>2017</v>
      </c>
      <c r="M3824" s="8" t="s">
        <v>22810</v>
      </c>
      <c r="N3824" s="8" t="s">
        <v>56</v>
      </c>
      <c r="O3824" s="8" t="s">
        <v>57</v>
      </c>
      <c r="P3824" s="6" t="s">
        <v>43</v>
      </c>
      <c r="Q3824" s="8" t="s">
        <v>58</v>
      </c>
      <c r="R3824" s="10" t="s">
        <v>292</v>
      </c>
      <c r="S3824" s="11" t="s">
        <v>22811</v>
      </c>
      <c r="T3824" s="6"/>
      <c r="U3824" s="24" t="str">
        <f>HYPERLINK("https://media.infra-m.ru/0895/0895218/cover/895218.jpg", "Обложка")</f>
        <v>Обложка</v>
      </c>
      <c r="V3824" s="24" t="str">
        <f>HYPERLINK("https://znanium.ru/catalog/product/2053226", "Ознакомиться")</f>
        <v>Ознакомиться</v>
      </c>
      <c r="W3824" s="8" t="s">
        <v>8022</v>
      </c>
      <c r="X3824" s="6"/>
      <c r="Y3824" s="6"/>
      <c r="Z3824" s="6"/>
      <c r="AA3824" s="6" t="s">
        <v>22812</v>
      </c>
      <c r="AB3824" s="8" t="s">
        <v>271</v>
      </c>
    </row>
    <row r="3825" spans="1:28" s="4" customFormat="1" ht="42" customHeight="1">
      <c r="A3825" s="5">
        <v>0</v>
      </c>
      <c r="B3825" s="6" t="s">
        <v>22813</v>
      </c>
      <c r="C3825" s="13">
        <v>1280</v>
      </c>
      <c r="D3825" s="8" t="s">
        <v>22814</v>
      </c>
      <c r="E3825" s="8" t="s">
        <v>22815</v>
      </c>
      <c r="F3825" s="8" t="s">
        <v>22816</v>
      </c>
      <c r="G3825" s="6" t="s">
        <v>52</v>
      </c>
      <c r="H3825" s="6" t="s">
        <v>53</v>
      </c>
      <c r="I3825" s="8" t="s">
        <v>116</v>
      </c>
      <c r="J3825" s="9">
        <v>1</v>
      </c>
      <c r="K3825" s="9">
        <v>242</v>
      </c>
      <c r="L3825" s="9">
        <v>2025</v>
      </c>
      <c r="M3825" s="8" t="s">
        <v>22817</v>
      </c>
      <c r="N3825" s="8" t="s">
        <v>56</v>
      </c>
      <c r="O3825" s="8" t="s">
        <v>57</v>
      </c>
      <c r="P3825" s="6" t="s">
        <v>366</v>
      </c>
      <c r="Q3825" s="8" t="s">
        <v>44</v>
      </c>
      <c r="R3825" s="10" t="s">
        <v>1910</v>
      </c>
      <c r="S3825" s="11"/>
      <c r="T3825" s="6"/>
      <c r="U3825" s="24" t="str">
        <f>HYPERLINK("https://media.infra-m.ru/1865/1865713/cover/1865713.jpg", "Обложка")</f>
        <v>Обложка</v>
      </c>
      <c r="V3825" s="24" t="str">
        <f>HYPERLINK("https://znanium.ru/catalog/product/1865713", "Ознакомиться")</f>
        <v>Ознакомиться</v>
      </c>
      <c r="W3825" s="8" t="s">
        <v>71</v>
      </c>
      <c r="X3825" s="6" t="s">
        <v>389</v>
      </c>
      <c r="Y3825" s="6"/>
      <c r="Z3825" s="6"/>
      <c r="AA3825" s="6" t="s">
        <v>61</v>
      </c>
      <c r="AB3825" s="8"/>
    </row>
    <row r="3826" spans="1:28" s="4" customFormat="1" ht="51.95" customHeight="1">
      <c r="A3826" s="5">
        <v>0</v>
      </c>
      <c r="B3826" s="6" t="s">
        <v>22818</v>
      </c>
      <c r="C3826" s="13">
        <v>1150</v>
      </c>
      <c r="D3826" s="8" t="s">
        <v>22819</v>
      </c>
      <c r="E3826" s="8" t="s">
        <v>22803</v>
      </c>
      <c r="F3826" s="8" t="s">
        <v>16625</v>
      </c>
      <c r="G3826" s="6" t="s">
        <v>89</v>
      </c>
      <c r="H3826" s="6" t="s">
        <v>53</v>
      </c>
      <c r="I3826" s="8" t="s">
        <v>100</v>
      </c>
      <c r="J3826" s="9">
        <v>1</v>
      </c>
      <c r="K3826" s="9">
        <v>255</v>
      </c>
      <c r="L3826" s="9">
        <v>2023</v>
      </c>
      <c r="M3826" s="8" t="s">
        <v>22820</v>
      </c>
      <c r="N3826" s="8" t="s">
        <v>56</v>
      </c>
      <c r="O3826" s="8" t="s">
        <v>57</v>
      </c>
      <c r="P3826" s="6" t="s">
        <v>43</v>
      </c>
      <c r="Q3826" s="8" t="s">
        <v>102</v>
      </c>
      <c r="R3826" s="10" t="s">
        <v>2015</v>
      </c>
      <c r="S3826" s="11" t="s">
        <v>12955</v>
      </c>
      <c r="T3826" s="6"/>
      <c r="U3826" s="24" t="str">
        <f>HYPERLINK("https://media.infra-m.ru/1931/1931473/cover/1931473.jpg", "Обложка")</f>
        <v>Обложка</v>
      </c>
      <c r="V3826" s="24" t="str">
        <f>HYPERLINK("https://znanium.ru/catalog/product/1931473", "Ознакомиться")</f>
        <v>Ознакомиться</v>
      </c>
      <c r="W3826" s="8" t="s">
        <v>8022</v>
      </c>
      <c r="X3826" s="6"/>
      <c r="Y3826" s="6"/>
      <c r="Z3826" s="6" t="s">
        <v>502</v>
      </c>
      <c r="AA3826" s="6" t="s">
        <v>22821</v>
      </c>
      <c r="AB3826" s="8"/>
    </row>
    <row r="3827" spans="1:28" s="4" customFormat="1" ht="51.95" customHeight="1">
      <c r="A3827" s="5">
        <v>0</v>
      </c>
      <c r="B3827" s="6" t="s">
        <v>22822</v>
      </c>
      <c r="C3827" s="13">
        <v>1360</v>
      </c>
      <c r="D3827" s="8" t="s">
        <v>22823</v>
      </c>
      <c r="E3827" s="8" t="s">
        <v>22824</v>
      </c>
      <c r="F3827" s="8" t="s">
        <v>22825</v>
      </c>
      <c r="G3827" s="6" t="s">
        <v>89</v>
      </c>
      <c r="H3827" s="6" t="s">
        <v>39</v>
      </c>
      <c r="I3827" s="8" t="s">
        <v>116</v>
      </c>
      <c r="J3827" s="9">
        <v>1</v>
      </c>
      <c r="K3827" s="9">
        <v>272</v>
      </c>
      <c r="L3827" s="9">
        <v>2024</v>
      </c>
      <c r="M3827" s="8" t="s">
        <v>22826</v>
      </c>
      <c r="N3827" s="8" t="s">
        <v>56</v>
      </c>
      <c r="O3827" s="8" t="s">
        <v>741</v>
      </c>
      <c r="P3827" s="6" t="s">
        <v>175</v>
      </c>
      <c r="Q3827" s="8" t="s">
        <v>44</v>
      </c>
      <c r="R3827" s="10" t="s">
        <v>12989</v>
      </c>
      <c r="S3827" s="11" t="s">
        <v>7242</v>
      </c>
      <c r="T3827" s="6"/>
      <c r="U3827" s="24" t="str">
        <f>HYPERLINK("https://media.infra-m.ru/2157/2157893/cover/2157893.jpg", "Обложка")</f>
        <v>Обложка</v>
      </c>
      <c r="V3827" s="24" t="str">
        <f>HYPERLINK("https://znanium.ru/catalog/product/2157893", "Ознакомиться")</f>
        <v>Ознакомиться</v>
      </c>
      <c r="W3827" s="8" t="s">
        <v>6464</v>
      </c>
      <c r="X3827" s="6"/>
      <c r="Y3827" s="6"/>
      <c r="Z3827" s="6"/>
      <c r="AA3827" s="6" t="s">
        <v>111</v>
      </c>
      <c r="AB3827" s="8"/>
    </row>
    <row r="3828" spans="1:28" s="4" customFormat="1" ht="51.95" customHeight="1">
      <c r="A3828" s="5">
        <v>0</v>
      </c>
      <c r="B3828" s="6" t="s">
        <v>22827</v>
      </c>
      <c r="C3828" s="13">
        <v>1090</v>
      </c>
      <c r="D3828" s="8" t="s">
        <v>22828</v>
      </c>
      <c r="E3828" s="8" t="s">
        <v>22829</v>
      </c>
      <c r="F3828" s="8" t="s">
        <v>22830</v>
      </c>
      <c r="G3828" s="6" t="s">
        <v>89</v>
      </c>
      <c r="H3828" s="6" t="s">
        <v>53</v>
      </c>
      <c r="I3828" s="8" t="s">
        <v>7693</v>
      </c>
      <c r="J3828" s="9">
        <v>1</v>
      </c>
      <c r="K3828" s="9">
        <v>219</v>
      </c>
      <c r="L3828" s="9">
        <v>2024</v>
      </c>
      <c r="M3828" s="8" t="s">
        <v>22831</v>
      </c>
      <c r="N3828" s="8" t="s">
        <v>41</v>
      </c>
      <c r="O3828" s="8" t="s">
        <v>676</v>
      </c>
      <c r="P3828" s="6" t="s">
        <v>175</v>
      </c>
      <c r="Q3828" s="8" t="s">
        <v>1674</v>
      </c>
      <c r="R3828" s="10" t="s">
        <v>1048</v>
      </c>
      <c r="S3828" s="11"/>
      <c r="T3828" s="6"/>
      <c r="U3828" s="24" t="str">
        <f>HYPERLINK("https://media.infra-m.ru/2119/2119560/cover/2119560.jpg", "Обложка")</f>
        <v>Обложка</v>
      </c>
      <c r="V3828" s="24" t="str">
        <f>HYPERLINK("https://znanium.ru/catalog/product/1859922", "Ознакомиться")</f>
        <v>Ознакомиться</v>
      </c>
      <c r="W3828" s="8" t="s">
        <v>22832</v>
      </c>
      <c r="X3828" s="6"/>
      <c r="Y3828" s="6"/>
      <c r="Z3828" s="6"/>
      <c r="AA3828" s="6" t="s">
        <v>133</v>
      </c>
      <c r="AB3828" s="8"/>
    </row>
    <row r="3829" spans="1:28" s="4" customFormat="1" ht="42" customHeight="1">
      <c r="A3829" s="5">
        <v>0</v>
      </c>
      <c r="B3829" s="6" t="s">
        <v>22833</v>
      </c>
      <c r="C3829" s="13">
        <v>2250</v>
      </c>
      <c r="D3829" s="8" t="s">
        <v>22834</v>
      </c>
      <c r="E3829" s="8" t="s">
        <v>22835</v>
      </c>
      <c r="F3829" s="8" t="s">
        <v>12156</v>
      </c>
      <c r="G3829" s="6" t="s">
        <v>52</v>
      </c>
      <c r="H3829" s="6" t="s">
        <v>53</v>
      </c>
      <c r="I3829" s="8" t="s">
        <v>165</v>
      </c>
      <c r="J3829" s="9">
        <v>1</v>
      </c>
      <c r="K3829" s="9">
        <v>432</v>
      </c>
      <c r="L3829" s="9">
        <v>2025</v>
      </c>
      <c r="M3829" s="8" t="s">
        <v>22836</v>
      </c>
      <c r="N3829" s="8" t="s">
        <v>56</v>
      </c>
      <c r="O3829" s="8" t="s">
        <v>57</v>
      </c>
      <c r="P3829" s="6" t="s">
        <v>167</v>
      </c>
      <c r="Q3829" s="8" t="s">
        <v>58</v>
      </c>
      <c r="R3829" s="10" t="s">
        <v>22837</v>
      </c>
      <c r="S3829" s="11"/>
      <c r="T3829" s="6"/>
      <c r="U3829" s="24" t="str">
        <f>HYPERLINK("https://media.infra-m.ru/2195/2195473/cover/2195473.jpg", "Обложка")</f>
        <v>Обложка</v>
      </c>
      <c r="V3829" s="24" t="str">
        <f>HYPERLINK("https://znanium.ru/catalog/product/2195473", "Ознакомиться")</f>
        <v>Ознакомиться</v>
      </c>
      <c r="W3829" s="8" t="s">
        <v>4293</v>
      </c>
      <c r="X3829" s="6" t="s">
        <v>60</v>
      </c>
      <c r="Y3829" s="6"/>
      <c r="Z3829" s="6"/>
      <c r="AA3829" s="6" t="s">
        <v>61</v>
      </c>
      <c r="AB3829" s="8"/>
    </row>
    <row r="3830" spans="1:28" s="4" customFormat="1" ht="51.95" customHeight="1">
      <c r="A3830" s="5">
        <v>0</v>
      </c>
      <c r="B3830" s="6" t="s">
        <v>22838</v>
      </c>
      <c r="C3830" s="13">
        <v>1490</v>
      </c>
      <c r="D3830" s="8" t="s">
        <v>22839</v>
      </c>
      <c r="E3830" s="8" t="s">
        <v>22840</v>
      </c>
      <c r="F3830" s="8" t="s">
        <v>8694</v>
      </c>
      <c r="G3830" s="6" t="s">
        <v>89</v>
      </c>
      <c r="H3830" s="6" t="s">
        <v>649</v>
      </c>
      <c r="I3830" s="8" t="s">
        <v>116</v>
      </c>
      <c r="J3830" s="9">
        <v>1</v>
      </c>
      <c r="K3830" s="9">
        <v>317</v>
      </c>
      <c r="L3830" s="9">
        <v>2024</v>
      </c>
      <c r="M3830" s="8" t="s">
        <v>22841</v>
      </c>
      <c r="N3830" s="8" t="s">
        <v>413</v>
      </c>
      <c r="O3830" s="8" t="s">
        <v>1141</v>
      </c>
      <c r="P3830" s="6" t="s">
        <v>43</v>
      </c>
      <c r="Q3830" s="8" t="s">
        <v>44</v>
      </c>
      <c r="R3830" s="10" t="s">
        <v>22842</v>
      </c>
      <c r="S3830" s="11" t="s">
        <v>22843</v>
      </c>
      <c r="T3830" s="6" t="s">
        <v>299</v>
      </c>
      <c r="U3830" s="24" t="str">
        <f>HYPERLINK("https://media.infra-m.ru/2134/2134796/cover/2134796.jpg", "Обложка")</f>
        <v>Обложка</v>
      </c>
      <c r="V3830" s="24" t="str">
        <f>HYPERLINK("https://znanium.ru/catalog/product/2134796", "Ознакомиться")</f>
        <v>Ознакомиться</v>
      </c>
      <c r="W3830" s="8" t="s">
        <v>83</v>
      </c>
      <c r="X3830" s="6"/>
      <c r="Y3830" s="6"/>
      <c r="Z3830" s="6"/>
      <c r="AA3830" s="6" t="s">
        <v>418</v>
      </c>
      <c r="AB3830" s="8"/>
    </row>
    <row r="3831" spans="1:28" s="4" customFormat="1" ht="51.95" customHeight="1">
      <c r="A3831" s="5">
        <v>0</v>
      </c>
      <c r="B3831" s="6" t="s">
        <v>22844</v>
      </c>
      <c r="C3831" s="7">
        <v>794.9</v>
      </c>
      <c r="D3831" s="8" t="s">
        <v>22845</v>
      </c>
      <c r="E3831" s="8" t="s">
        <v>22846</v>
      </c>
      <c r="F3831" s="8" t="s">
        <v>22847</v>
      </c>
      <c r="G3831" s="6" t="s">
        <v>52</v>
      </c>
      <c r="H3831" s="6" t="s">
        <v>674</v>
      </c>
      <c r="I3831" s="8"/>
      <c r="J3831" s="9">
        <v>1</v>
      </c>
      <c r="K3831" s="9">
        <v>192</v>
      </c>
      <c r="L3831" s="9">
        <v>2022</v>
      </c>
      <c r="M3831" s="8" t="s">
        <v>22848</v>
      </c>
      <c r="N3831" s="8" t="s">
        <v>41</v>
      </c>
      <c r="O3831" s="8" t="s">
        <v>676</v>
      </c>
      <c r="P3831" s="6" t="s">
        <v>187</v>
      </c>
      <c r="Q3831" s="8" t="s">
        <v>58</v>
      </c>
      <c r="R3831" s="10" t="s">
        <v>806</v>
      </c>
      <c r="S3831" s="11"/>
      <c r="T3831" s="6"/>
      <c r="U3831" s="24" t="str">
        <f>HYPERLINK("https://media.infra-m.ru/1863/1863803/cover/1863803.jpg", "Обложка")</f>
        <v>Обложка</v>
      </c>
      <c r="V3831" s="24" t="str">
        <f>HYPERLINK("https://znanium.ru/catalog/product/1421917", "Ознакомиться")</f>
        <v>Ознакомиться</v>
      </c>
      <c r="W3831" s="8" t="s">
        <v>792</v>
      </c>
      <c r="X3831" s="6"/>
      <c r="Y3831" s="6"/>
      <c r="Z3831" s="6"/>
      <c r="AA3831" s="6" t="s">
        <v>258</v>
      </c>
      <c r="AB3831" s="8"/>
    </row>
    <row r="3832" spans="1:28" s="4" customFormat="1" ht="51.95" customHeight="1">
      <c r="A3832" s="5">
        <v>0</v>
      </c>
      <c r="B3832" s="6" t="s">
        <v>22849</v>
      </c>
      <c r="C3832" s="7">
        <v>724</v>
      </c>
      <c r="D3832" s="8" t="s">
        <v>22850</v>
      </c>
      <c r="E3832" s="8" t="s">
        <v>22846</v>
      </c>
      <c r="F3832" s="8" t="s">
        <v>22847</v>
      </c>
      <c r="G3832" s="6" t="s">
        <v>89</v>
      </c>
      <c r="H3832" s="6" t="s">
        <v>674</v>
      </c>
      <c r="I3832" s="8"/>
      <c r="J3832" s="9">
        <v>1</v>
      </c>
      <c r="K3832" s="9">
        <v>144</v>
      </c>
      <c r="L3832" s="9">
        <v>2025</v>
      </c>
      <c r="M3832" s="8" t="s">
        <v>22851</v>
      </c>
      <c r="N3832" s="8" t="s">
        <v>41</v>
      </c>
      <c r="O3832" s="8" t="s">
        <v>676</v>
      </c>
      <c r="P3832" s="6" t="s">
        <v>43</v>
      </c>
      <c r="Q3832" s="8" t="s">
        <v>44</v>
      </c>
      <c r="R3832" s="10" t="s">
        <v>806</v>
      </c>
      <c r="S3832" s="11"/>
      <c r="T3832" s="6"/>
      <c r="U3832" s="24" t="str">
        <f>HYPERLINK("https://media.infra-m.ru/2170/2170373/cover/2170373.jpg", "Обложка")</f>
        <v>Обложка</v>
      </c>
      <c r="V3832" s="24" t="str">
        <f>HYPERLINK("https://znanium.ru/catalog/product/2132117", "Ознакомиться")</f>
        <v>Ознакомиться</v>
      </c>
      <c r="W3832" s="8" t="s">
        <v>792</v>
      </c>
      <c r="X3832" s="6"/>
      <c r="Y3832" s="6"/>
      <c r="Z3832" s="6"/>
      <c r="AA3832" s="6" t="s">
        <v>151</v>
      </c>
      <c r="AB3832" s="8"/>
    </row>
    <row r="3833" spans="1:28" s="4" customFormat="1" ht="51.95" customHeight="1">
      <c r="A3833" s="5">
        <v>0</v>
      </c>
      <c r="B3833" s="6" t="s">
        <v>22852</v>
      </c>
      <c r="C3833" s="7">
        <v>850</v>
      </c>
      <c r="D3833" s="8" t="s">
        <v>22853</v>
      </c>
      <c r="E3833" s="8" t="s">
        <v>22854</v>
      </c>
      <c r="F3833" s="8" t="s">
        <v>22855</v>
      </c>
      <c r="G3833" s="6" t="s">
        <v>89</v>
      </c>
      <c r="H3833" s="6" t="s">
        <v>53</v>
      </c>
      <c r="I3833" s="8" t="s">
        <v>100</v>
      </c>
      <c r="J3833" s="9">
        <v>1</v>
      </c>
      <c r="K3833" s="9">
        <v>155</v>
      </c>
      <c r="L3833" s="9">
        <v>2025</v>
      </c>
      <c r="M3833" s="8" t="s">
        <v>22856</v>
      </c>
      <c r="N3833" s="8" t="s">
        <v>41</v>
      </c>
      <c r="O3833" s="8" t="s">
        <v>1007</v>
      </c>
      <c r="P3833" s="6" t="s">
        <v>43</v>
      </c>
      <c r="Q3833" s="8" t="s">
        <v>102</v>
      </c>
      <c r="R3833" s="10" t="s">
        <v>22857</v>
      </c>
      <c r="S3833" s="11"/>
      <c r="T3833" s="6"/>
      <c r="U3833" s="24" t="str">
        <f>HYPERLINK("https://media.infra-m.ru/2179/2179487/cover/2179487.jpg", "Обложка")</f>
        <v>Обложка</v>
      </c>
      <c r="V3833" s="24" t="str">
        <f>HYPERLINK("https://znanium.ru/catalog/product/2179487", "Ознакомиться")</f>
        <v>Ознакомиться</v>
      </c>
      <c r="W3833" s="8" t="s">
        <v>189</v>
      </c>
      <c r="X3833" s="6"/>
      <c r="Y3833" s="6"/>
      <c r="Z3833" s="6"/>
      <c r="AA3833" s="6" t="s">
        <v>133</v>
      </c>
      <c r="AB3833" s="8" t="s">
        <v>550</v>
      </c>
    </row>
    <row r="3834" spans="1:28" s="4" customFormat="1" ht="51.95" customHeight="1">
      <c r="A3834" s="5">
        <v>0</v>
      </c>
      <c r="B3834" s="6" t="s">
        <v>22858</v>
      </c>
      <c r="C3834" s="13">
        <v>1760</v>
      </c>
      <c r="D3834" s="8" t="s">
        <v>22859</v>
      </c>
      <c r="E3834" s="8" t="s">
        <v>22860</v>
      </c>
      <c r="F3834" s="8" t="s">
        <v>22861</v>
      </c>
      <c r="G3834" s="6" t="s">
        <v>89</v>
      </c>
      <c r="H3834" s="6" t="s">
        <v>53</v>
      </c>
      <c r="I3834" s="8" t="s">
        <v>100</v>
      </c>
      <c r="J3834" s="9">
        <v>1</v>
      </c>
      <c r="K3834" s="9">
        <v>352</v>
      </c>
      <c r="L3834" s="9">
        <v>2025</v>
      </c>
      <c r="M3834" s="8" t="s">
        <v>22862</v>
      </c>
      <c r="N3834" s="8" t="s">
        <v>41</v>
      </c>
      <c r="O3834" s="8" t="s">
        <v>1007</v>
      </c>
      <c r="P3834" s="6" t="s">
        <v>167</v>
      </c>
      <c r="Q3834" s="8" t="s">
        <v>102</v>
      </c>
      <c r="R3834" s="10" t="s">
        <v>3410</v>
      </c>
      <c r="S3834" s="11" t="s">
        <v>22863</v>
      </c>
      <c r="T3834" s="6"/>
      <c r="U3834" s="24" t="str">
        <f>HYPERLINK("https://media.infra-m.ru/2161/2161977/cover/2161977.jpg", "Обложка")</f>
        <v>Обложка</v>
      </c>
      <c r="V3834" s="24" t="str">
        <f>HYPERLINK("https://znanium.ru/catalog/product/2161977", "Ознакомиться")</f>
        <v>Ознакомиться</v>
      </c>
      <c r="W3834" s="8" t="s">
        <v>3475</v>
      </c>
      <c r="X3834" s="6"/>
      <c r="Y3834" s="6"/>
      <c r="Z3834" s="6"/>
      <c r="AA3834" s="6" t="s">
        <v>793</v>
      </c>
      <c r="AB3834" s="8" t="s">
        <v>906</v>
      </c>
    </row>
    <row r="3835" spans="1:28" s="4" customFormat="1" ht="51.95" customHeight="1">
      <c r="A3835" s="5">
        <v>0</v>
      </c>
      <c r="B3835" s="6" t="s">
        <v>22864</v>
      </c>
      <c r="C3835" s="13">
        <v>1960</v>
      </c>
      <c r="D3835" s="8" t="s">
        <v>22865</v>
      </c>
      <c r="E3835" s="8" t="s">
        <v>22866</v>
      </c>
      <c r="F3835" s="8" t="s">
        <v>22867</v>
      </c>
      <c r="G3835" s="6" t="s">
        <v>52</v>
      </c>
      <c r="H3835" s="6" t="s">
        <v>53</v>
      </c>
      <c r="I3835" s="8" t="s">
        <v>100</v>
      </c>
      <c r="J3835" s="9">
        <v>1</v>
      </c>
      <c r="K3835" s="9">
        <v>541</v>
      </c>
      <c r="L3835" s="9">
        <v>2021</v>
      </c>
      <c r="M3835" s="8" t="s">
        <v>22868</v>
      </c>
      <c r="N3835" s="8" t="s">
        <v>41</v>
      </c>
      <c r="O3835" s="8" t="s">
        <v>1007</v>
      </c>
      <c r="P3835" s="6" t="s">
        <v>43</v>
      </c>
      <c r="Q3835" s="8" t="s">
        <v>102</v>
      </c>
      <c r="R3835" s="10" t="s">
        <v>3410</v>
      </c>
      <c r="S3835" s="11" t="s">
        <v>22869</v>
      </c>
      <c r="T3835" s="6"/>
      <c r="U3835" s="24" t="str">
        <f>HYPERLINK("https://media.infra-m.ru/1048/1048802/cover/1048802.jpg", "Обложка")</f>
        <v>Обложка</v>
      </c>
      <c r="V3835" s="24" t="str">
        <f>HYPERLINK("https://znanium.ru/catalog/product/1048802", "Ознакомиться")</f>
        <v>Ознакомиться</v>
      </c>
      <c r="W3835" s="8" t="s">
        <v>3412</v>
      </c>
      <c r="X3835" s="6"/>
      <c r="Y3835" s="6"/>
      <c r="Z3835" s="6"/>
      <c r="AA3835" s="6" t="s">
        <v>95</v>
      </c>
      <c r="AB3835" s="8" t="s">
        <v>2344</v>
      </c>
    </row>
    <row r="3836" spans="1:28" s="4" customFormat="1" ht="51.95" customHeight="1">
      <c r="A3836" s="5">
        <v>0</v>
      </c>
      <c r="B3836" s="6" t="s">
        <v>22870</v>
      </c>
      <c r="C3836" s="13">
        <v>1210</v>
      </c>
      <c r="D3836" s="8" t="s">
        <v>22871</v>
      </c>
      <c r="E3836" s="8" t="s">
        <v>22872</v>
      </c>
      <c r="F3836" s="8" t="s">
        <v>3416</v>
      </c>
      <c r="G3836" s="6" t="s">
        <v>89</v>
      </c>
      <c r="H3836" s="6" t="s">
        <v>53</v>
      </c>
      <c r="I3836" s="8" t="s">
        <v>100</v>
      </c>
      <c r="J3836" s="9">
        <v>1</v>
      </c>
      <c r="K3836" s="9">
        <v>319</v>
      </c>
      <c r="L3836" s="9">
        <v>2022</v>
      </c>
      <c r="M3836" s="8" t="s">
        <v>22873</v>
      </c>
      <c r="N3836" s="8" t="s">
        <v>41</v>
      </c>
      <c r="O3836" s="8" t="s">
        <v>1007</v>
      </c>
      <c r="P3836" s="6" t="s">
        <v>167</v>
      </c>
      <c r="Q3836" s="8" t="s">
        <v>102</v>
      </c>
      <c r="R3836" s="10" t="s">
        <v>3410</v>
      </c>
      <c r="S3836" s="11" t="s">
        <v>22874</v>
      </c>
      <c r="T3836" s="6"/>
      <c r="U3836" s="24" t="str">
        <f>HYPERLINK("https://media.infra-m.ru/1854/1854213/cover/1854213.jpg", "Обложка")</f>
        <v>Обложка</v>
      </c>
      <c r="V3836" s="24" t="str">
        <f>HYPERLINK("https://znanium.ru/catalog/product/1854213", "Ознакомиться")</f>
        <v>Ознакомиться</v>
      </c>
      <c r="W3836" s="8" t="s">
        <v>450</v>
      </c>
      <c r="X3836" s="6"/>
      <c r="Y3836" s="6"/>
      <c r="Z3836" s="6"/>
      <c r="AA3836" s="6" t="s">
        <v>258</v>
      </c>
      <c r="AB3836" s="8"/>
    </row>
    <row r="3837" spans="1:28" s="4" customFormat="1" ht="51.95" customHeight="1">
      <c r="A3837" s="5">
        <v>0</v>
      </c>
      <c r="B3837" s="6" t="s">
        <v>22875</v>
      </c>
      <c r="C3837" s="13">
        <v>1260</v>
      </c>
      <c r="D3837" s="8" t="s">
        <v>22876</v>
      </c>
      <c r="E3837" s="8" t="s">
        <v>22877</v>
      </c>
      <c r="F3837" s="8" t="s">
        <v>22878</v>
      </c>
      <c r="G3837" s="6" t="s">
        <v>89</v>
      </c>
      <c r="H3837" s="6" t="s">
        <v>53</v>
      </c>
      <c r="I3837" s="8" t="s">
        <v>100</v>
      </c>
      <c r="J3837" s="9">
        <v>1</v>
      </c>
      <c r="K3837" s="9">
        <v>241</v>
      </c>
      <c r="L3837" s="9">
        <v>2025</v>
      </c>
      <c r="M3837" s="8" t="s">
        <v>22879</v>
      </c>
      <c r="N3837" s="8" t="s">
        <v>41</v>
      </c>
      <c r="O3837" s="8" t="s">
        <v>1007</v>
      </c>
      <c r="P3837" s="6" t="s">
        <v>167</v>
      </c>
      <c r="Q3837" s="8" t="s">
        <v>102</v>
      </c>
      <c r="R3837" s="10" t="s">
        <v>3410</v>
      </c>
      <c r="S3837" s="11" t="s">
        <v>22880</v>
      </c>
      <c r="T3837" s="6"/>
      <c r="U3837" s="24" t="str">
        <f>HYPERLINK("https://media.infra-m.ru/2181/2181314/cover/2181314.jpg", "Обложка")</f>
        <v>Обложка</v>
      </c>
      <c r="V3837" s="24" t="str">
        <f>HYPERLINK("https://znanium.ru/catalog/product/2181314", "Ознакомиться")</f>
        <v>Ознакомиться</v>
      </c>
      <c r="W3837" s="8" t="s">
        <v>450</v>
      </c>
      <c r="X3837" s="6"/>
      <c r="Y3837" s="6"/>
      <c r="Z3837" s="6"/>
      <c r="AA3837" s="6" t="s">
        <v>793</v>
      </c>
      <c r="AB3837" s="8"/>
    </row>
    <row r="3838" spans="1:28" s="4" customFormat="1" ht="44.1" customHeight="1">
      <c r="A3838" s="5">
        <v>0</v>
      </c>
      <c r="B3838" s="6" t="s">
        <v>22881</v>
      </c>
      <c r="C3838" s="13">
        <v>1430</v>
      </c>
      <c r="D3838" s="8" t="s">
        <v>22882</v>
      </c>
      <c r="E3838" s="8" t="s">
        <v>22883</v>
      </c>
      <c r="F3838" s="8" t="s">
        <v>22884</v>
      </c>
      <c r="G3838" s="6" t="s">
        <v>52</v>
      </c>
      <c r="H3838" s="6" t="s">
        <v>53</v>
      </c>
      <c r="I3838" s="8" t="s">
        <v>116</v>
      </c>
      <c r="J3838" s="9">
        <v>1</v>
      </c>
      <c r="K3838" s="9">
        <v>309</v>
      </c>
      <c r="L3838" s="9">
        <v>2023</v>
      </c>
      <c r="M3838" s="8" t="s">
        <v>22885</v>
      </c>
      <c r="N3838" s="8" t="s">
        <v>41</v>
      </c>
      <c r="O3838" s="8" t="s">
        <v>1007</v>
      </c>
      <c r="P3838" s="6" t="s">
        <v>167</v>
      </c>
      <c r="Q3838" s="8" t="s">
        <v>58</v>
      </c>
      <c r="R3838" s="10" t="s">
        <v>2455</v>
      </c>
      <c r="S3838" s="11"/>
      <c r="T3838" s="6"/>
      <c r="U3838" s="24" t="str">
        <f>HYPERLINK("https://media.infra-m.ru/1831/1831578/cover/1831578.jpg", "Обложка")</f>
        <v>Обложка</v>
      </c>
      <c r="V3838" s="24" t="str">
        <f>HYPERLINK("https://znanium.ru/catalog/product/1831578", "Ознакомиться")</f>
        <v>Ознакомиться</v>
      </c>
      <c r="W3838" s="8" t="s">
        <v>1313</v>
      </c>
      <c r="X3838" s="6"/>
      <c r="Y3838" s="6"/>
      <c r="Z3838" s="6"/>
      <c r="AA3838" s="6" t="s">
        <v>207</v>
      </c>
      <c r="AB3838" s="8"/>
    </row>
    <row r="3839" spans="1:28" s="4" customFormat="1" ht="51.95" customHeight="1">
      <c r="A3839" s="5">
        <v>0</v>
      </c>
      <c r="B3839" s="6" t="s">
        <v>22886</v>
      </c>
      <c r="C3839" s="13">
        <v>1210</v>
      </c>
      <c r="D3839" s="8" t="s">
        <v>22887</v>
      </c>
      <c r="E3839" s="8" t="s">
        <v>22888</v>
      </c>
      <c r="F3839" s="8" t="s">
        <v>22889</v>
      </c>
      <c r="G3839" s="6" t="s">
        <v>89</v>
      </c>
      <c r="H3839" s="6" t="s">
        <v>53</v>
      </c>
      <c r="I3839" s="8" t="s">
        <v>1779</v>
      </c>
      <c r="J3839" s="9">
        <v>1</v>
      </c>
      <c r="K3839" s="9">
        <v>218</v>
      </c>
      <c r="L3839" s="9">
        <v>2024</v>
      </c>
      <c r="M3839" s="8" t="s">
        <v>22890</v>
      </c>
      <c r="N3839" s="8" t="s">
        <v>56</v>
      </c>
      <c r="O3839" s="8" t="s">
        <v>57</v>
      </c>
      <c r="P3839" s="6" t="s">
        <v>167</v>
      </c>
      <c r="Q3839" s="8" t="s">
        <v>44</v>
      </c>
      <c r="R3839" s="10" t="s">
        <v>22891</v>
      </c>
      <c r="S3839" s="11" t="s">
        <v>22892</v>
      </c>
      <c r="T3839" s="6"/>
      <c r="U3839" s="24" t="str">
        <f>HYPERLINK("https://media.infra-m.ru/2104/2104871/cover/2104871.jpg", "Обложка")</f>
        <v>Обложка</v>
      </c>
      <c r="V3839" s="24" t="str">
        <f>HYPERLINK("https://znanium.ru/catalog/product/2104871", "Ознакомиться")</f>
        <v>Ознакомиться</v>
      </c>
      <c r="W3839" s="8" t="s">
        <v>206</v>
      </c>
      <c r="X3839" s="6"/>
      <c r="Y3839" s="6"/>
      <c r="Z3839" s="6"/>
      <c r="AA3839" s="6" t="s">
        <v>151</v>
      </c>
      <c r="AB3839" s="8"/>
    </row>
    <row r="3840" spans="1:28" s="4" customFormat="1" ht="42" customHeight="1">
      <c r="A3840" s="5">
        <v>0</v>
      </c>
      <c r="B3840" s="6" t="s">
        <v>22893</v>
      </c>
      <c r="C3840" s="13">
        <v>3490</v>
      </c>
      <c r="D3840" s="8" t="s">
        <v>22894</v>
      </c>
      <c r="E3840" s="8" t="s">
        <v>22895</v>
      </c>
      <c r="F3840" s="8" t="s">
        <v>10110</v>
      </c>
      <c r="G3840" s="6" t="s">
        <v>89</v>
      </c>
      <c r="H3840" s="6" t="s">
        <v>674</v>
      </c>
      <c r="I3840" s="8"/>
      <c r="J3840" s="9">
        <v>1</v>
      </c>
      <c r="K3840" s="9">
        <v>752</v>
      </c>
      <c r="L3840" s="9">
        <v>2024</v>
      </c>
      <c r="M3840" s="8" t="s">
        <v>22896</v>
      </c>
      <c r="N3840" s="8" t="s">
        <v>41</v>
      </c>
      <c r="O3840" s="8" t="s">
        <v>676</v>
      </c>
      <c r="P3840" s="6" t="s">
        <v>167</v>
      </c>
      <c r="Q3840" s="8" t="s">
        <v>44</v>
      </c>
      <c r="R3840" s="10" t="s">
        <v>969</v>
      </c>
      <c r="S3840" s="11"/>
      <c r="T3840" s="6"/>
      <c r="U3840" s="24" t="str">
        <f>HYPERLINK("https://media.infra-m.ru/2152/2152074/cover/2152074.jpg", "Обложка")</f>
        <v>Обложка</v>
      </c>
      <c r="V3840" s="24" t="str">
        <f>HYPERLINK("https://znanium.ru/catalog/product/2152074", "Ознакомиться")</f>
        <v>Ознакомиться</v>
      </c>
      <c r="W3840" s="8" t="s">
        <v>6124</v>
      </c>
      <c r="X3840" s="6" t="s">
        <v>548</v>
      </c>
      <c r="Y3840" s="6"/>
      <c r="Z3840" s="6"/>
      <c r="AA3840" s="6" t="s">
        <v>7125</v>
      </c>
      <c r="AB3840" s="8"/>
    </row>
    <row r="3841" spans="1:28" s="4" customFormat="1" ht="51.95" customHeight="1">
      <c r="A3841" s="5">
        <v>0</v>
      </c>
      <c r="B3841" s="6" t="s">
        <v>22897</v>
      </c>
      <c r="C3841" s="13">
        <v>2200</v>
      </c>
      <c r="D3841" s="8" t="s">
        <v>22898</v>
      </c>
      <c r="E3841" s="8" t="s">
        <v>22899</v>
      </c>
      <c r="F3841" s="8" t="s">
        <v>22900</v>
      </c>
      <c r="G3841" s="6" t="s">
        <v>52</v>
      </c>
      <c r="H3841" s="6" t="s">
        <v>674</v>
      </c>
      <c r="I3841" s="8"/>
      <c r="J3841" s="9">
        <v>1</v>
      </c>
      <c r="K3841" s="9">
        <v>440</v>
      </c>
      <c r="L3841" s="9">
        <v>2025</v>
      </c>
      <c r="M3841" s="8" t="s">
        <v>22901</v>
      </c>
      <c r="N3841" s="8" t="s">
        <v>41</v>
      </c>
      <c r="O3841" s="8" t="s">
        <v>676</v>
      </c>
      <c r="P3841" s="6" t="s">
        <v>167</v>
      </c>
      <c r="Q3841" s="8" t="s">
        <v>58</v>
      </c>
      <c r="R3841" s="10" t="s">
        <v>22902</v>
      </c>
      <c r="S3841" s="11"/>
      <c r="T3841" s="6"/>
      <c r="U3841" s="24" t="str">
        <f>HYPERLINK("https://media.infra-m.ru/2184/2184740/cover/2184740.jpg", "Обложка")</f>
        <v>Обложка</v>
      </c>
      <c r="V3841" s="12"/>
      <c r="W3841" s="8" t="s">
        <v>7139</v>
      </c>
      <c r="X3841" s="6"/>
      <c r="Y3841" s="6"/>
      <c r="Z3841" s="6"/>
      <c r="AA3841" s="6" t="s">
        <v>6038</v>
      </c>
      <c r="AB3841" s="8"/>
    </row>
    <row r="3842" spans="1:28" s="4" customFormat="1" ht="42" customHeight="1">
      <c r="A3842" s="5">
        <v>0</v>
      </c>
      <c r="B3842" s="6" t="s">
        <v>22903</v>
      </c>
      <c r="C3842" s="13">
        <v>3040</v>
      </c>
      <c r="D3842" s="8" t="s">
        <v>22904</v>
      </c>
      <c r="E3842" s="8" t="s">
        <v>22905</v>
      </c>
      <c r="F3842" s="8" t="s">
        <v>22906</v>
      </c>
      <c r="G3842" s="6" t="s">
        <v>52</v>
      </c>
      <c r="H3842" s="6" t="s">
        <v>674</v>
      </c>
      <c r="I3842" s="8"/>
      <c r="J3842" s="9">
        <v>1</v>
      </c>
      <c r="K3842" s="9">
        <v>608</v>
      </c>
      <c r="L3842" s="9">
        <v>2025</v>
      </c>
      <c r="M3842" s="8" t="s">
        <v>22907</v>
      </c>
      <c r="N3842" s="8" t="s">
        <v>41</v>
      </c>
      <c r="O3842" s="8" t="s">
        <v>676</v>
      </c>
      <c r="P3842" s="6" t="s">
        <v>366</v>
      </c>
      <c r="Q3842" s="8" t="s">
        <v>44</v>
      </c>
      <c r="R3842" s="10" t="s">
        <v>22908</v>
      </c>
      <c r="S3842" s="11"/>
      <c r="T3842" s="6"/>
      <c r="U3842" s="24" t="str">
        <f>HYPERLINK("https://media.infra-m.ru/2170/2170598/cover/2170598.jpg", "Обложка")</f>
        <v>Обложка</v>
      </c>
      <c r="V3842" s="24" t="str">
        <f>HYPERLINK("https://znanium.ru/catalog/product/2170598", "Ознакомиться")</f>
        <v>Ознакомиться</v>
      </c>
      <c r="W3842" s="8" t="s">
        <v>7139</v>
      </c>
      <c r="X3842" s="6" t="s">
        <v>785</v>
      </c>
      <c r="Y3842" s="6"/>
      <c r="Z3842" s="6"/>
      <c r="AA3842" s="6" t="s">
        <v>15475</v>
      </c>
      <c r="AB3842" s="8"/>
    </row>
    <row r="3843" spans="1:28" s="4" customFormat="1" ht="51.95" customHeight="1">
      <c r="A3843" s="5">
        <v>0</v>
      </c>
      <c r="B3843" s="6" t="s">
        <v>22909</v>
      </c>
      <c r="C3843" s="13">
        <v>2230</v>
      </c>
      <c r="D3843" s="8" t="s">
        <v>22910</v>
      </c>
      <c r="E3843" s="8" t="s">
        <v>22911</v>
      </c>
      <c r="F3843" s="8" t="s">
        <v>22912</v>
      </c>
      <c r="G3843" s="6" t="s">
        <v>52</v>
      </c>
      <c r="H3843" s="6" t="s">
        <v>53</v>
      </c>
      <c r="I3843" s="8" t="s">
        <v>116</v>
      </c>
      <c r="J3843" s="9">
        <v>1</v>
      </c>
      <c r="K3843" s="9">
        <v>478</v>
      </c>
      <c r="L3843" s="9">
        <v>2024</v>
      </c>
      <c r="M3843" s="8" t="s">
        <v>22913</v>
      </c>
      <c r="N3843" s="8" t="s">
        <v>41</v>
      </c>
      <c r="O3843" s="8" t="s">
        <v>676</v>
      </c>
      <c r="P3843" s="6" t="s">
        <v>167</v>
      </c>
      <c r="Q3843" s="8" t="s">
        <v>44</v>
      </c>
      <c r="R3843" s="10" t="s">
        <v>791</v>
      </c>
      <c r="S3843" s="11" t="s">
        <v>22914</v>
      </c>
      <c r="T3843" s="6"/>
      <c r="U3843" s="24" t="str">
        <f>HYPERLINK("https://media.infra-m.ru/2129/2129659/cover/2129659.jpg", "Обложка")</f>
        <v>Обложка</v>
      </c>
      <c r="V3843" s="24" t="str">
        <f>HYPERLINK("https://znanium.ru/catalog/product/2129659", "Ознакомиться")</f>
        <v>Ознакомиться</v>
      </c>
      <c r="W3843" s="8" t="s">
        <v>5869</v>
      </c>
      <c r="X3843" s="6"/>
      <c r="Y3843" s="6"/>
      <c r="Z3843" s="6"/>
      <c r="AA3843" s="6" t="s">
        <v>219</v>
      </c>
      <c r="AB3843" s="8"/>
    </row>
    <row r="3844" spans="1:28" s="4" customFormat="1" ht="51.95" customHeight="1">
      <c r="A3844" s="5">
        <v>0</v>
      </c>
      <c r="B3844" s="6" t="s">
        <v>22915</v>
      </c>
      <c r="C3844" s="7">
        <v>884</v>
      </c>
      <c r="D3844" s="8" t="s">
        <v>22916</v>
      </c>
      <c r="E3844" s="8" t="s">
        <v>22917</v>
      </c>
      <c r="F3844" s="8" t="s">
        <v>18258</v>
      </c>
      <c r="G3844" s="6" t="s">
        <v>38</v>
      </c>
      <c r="H3844" s="6" t="s">
        <v>39</v>
      </c>
      <c r="I3844" s="8" t="s">
        <v>185</v>
      </c>
      <c r="J3844" s="9">
        <v>1</v>
      </c>
      <c r="K3844" s="9">
        <v>176</v>
      </c>
      <c r="L3844" s="9">
        <v>2025</v>
      </c>
      <c r="M3844" s="8" t="s">
        <v>22918</v>
      </c>
      <c r="N3844" s="8" t="s">
        <v>41</v>
      </c>
      <c r="O3844" s="8" t="s">
        <v>278</v>
      </c>
      <c r="P3844" s="6" t="s">
        <v>43</v>
      </c>
      <c r="Q3844" s="8" t="s">
        <v>102</v>
      </c>
      <c r="R3844" s="10" t="s">
        <v>22919</v>
      </c>
      <c r="S3844" s="11" t="s">
        <v>620</v>
      </c>
      <c r="T3844" s="6"/>
      <c r="U3844" s="24" t="str">
        <f>HYPERLINK("https://media.infra-m.ru/2175/2175145/cover/2175145.jpg", "Обложка")</f>
        <v>Обложка</v>
      </c>
      <c r="V3844" s="24" t="str">
        <f>HYPERLINK("https://znanium.ru/catalog/product/1815943", "Ознакомиться")</f>
        <v>Ознакомиться</v>
      </c>
      <c r="W3844" s="8" t="s">
        <v>7077</v>
      </c>
      <c r="X3844" s="6"/>
      <c r="Y3844" s="6" t="s">
        <v>30</v>
      </c>
      <c r="Z3844" s="6"/>
      <c r="AA3844" s="6" t="s">
        <v>2217</v>
      </c>
      <c r="AB3844" s="8"/>
    </row>
    <row r="3845" spans="1:28" s="4" customFormat="1" ht="51.95" customHeight="1">
      <c r="A3845" s="5">
        <v>0</v>
      </c>
      <c r="B3845" s="6" t="s">
        <v>22920</v>
      </c>
      <c r="C3845" s="13">
        <v>1800</v>
      </c>
      <c r="D3845" s="8" t="s">
        <v>22921</v>
      </c>
      <c r="E3845" s="8" t="s">
        <v>22922</v>
      </c>
      <c r="F3845" s="8" t="s">
        <v>22923</v>
      </c>
      <c r="G3845" s="6" t="s">
        <v>89</v>
      </c>
      <c r="H3845" s="6" t="s">
        <v>53</v>
      </c>
      <c r="I3845" s="8" t="s">
        <v>116</v>
      </c>
      <c r="J3845" s="9">
        <v>1</v>
      </c>
      <c r="K3845" s="9">
        <v>384</v>
      </c>
      <c r="L3845" s="9">
        <v>2024</v>
      </c>
      <c r="M3845" s="8" t="s">
        <v>22924</v>
      </c>
      <c r="N3845" s="8" t="s">
        <v>41</v>
      </c>
      <c r="O3845" s="8" t="s">
        <v>278</v>
      </c>
      <c r="P3845" s="6" t="s">
        <v>167</v>
      </c>
      <c r="Q3845" s="8" t="s">
        <v>44</v>
      </c>
      <c r="R3845" s="10" t="s">
        <v>168</v>
      </c>
      <c r="S3845" s="11" t="s">
        <v>22925</v>
      </c>
      <c r="T3845" s="6" t="s">
        <v>299</v>
      </c>
      <c r="U3845" s="24" t="str">
        <f>HYPERLINK("https://media.infra-m.ru/2084/2084148/cover/2084148.jpg", "Обложка")</f>
        <v>Обложка</v>
      </c>
      <c r="V3845" s="24" t="str">
        <f>HYPERLINK("https://znanium.ru/catalog/product/2084148", "Ознакомиться")</f>
        <v>Ознакомиться</v>
      </c>
      <c r="W3845" s="8" t="s">
        <v>1345</v>
      </c>
      <c r="X3845" s="6"/>
      <c r="Y3845" s="6"/>
      <c r="Z3845" s="6"/>
      <c r="AA3845" s="6" t="s">
        <v>654</v>
      </c>
      <c r="AB3845" s="8"/>
    </row>
    <row r="3846" spans="1:28" s="4" customFormat="1" ht="44.1" customHeight="1">
      <c r="A3846" s="5">
        <v>0</v>
      </c>
      <c r="B3846" s="6" t="s">
        <v>22926</v>
      </c>
      <c r="C3846" s="13">
        <v>1920</v>
      </c>
      <c r="D3846" s="8" t="s">
        <v>22927</v>
      </c>
      <c r="E3846" s="8" t="s">
        <v>22922</v>
      </c>
      <c r="F3846" s="8" t="s">
        <v>22928</v>
      </c>
      <c r="G3846" s="6" t="s">
        <v>52</v>
      </c>
      <c r="H3846" s="6" t="s">
        <v>53</v>
      </c>
      <c r="I3846" s="8" t="s">
        <v>116</v>
      </c>
      <c r="J3846" s="9">
        <v>1</v>
      </c>
      <c r="K3846" s="9">
        <v>413</v>
      </c>
      <c r="L3846" s="9">
        <v>2023</v>
      </c>
      <c r="M3846" s="8" t="s">
        <v>22929</v>
      </c>
      <c r="N3846" s="8" t="s">
        <v>41</v>
      </c>
      <c r="O3846" s="8" t="s">
        <v>278</v>
      </c>
      <c r="P3846" s="6" t="s">
        <v>167</v>
      </c>
      <c r="Q3846" s="8" t="s">
        <v>44</v>
      </c>
      <c r="R3846" s="10" t="s">
        <v>22930</v>
      </c>
      <c r="S3846" s="11"/>
      <c r="T3846" s="6"/>
      <c r="U3846" s="24" t="str">
        <f>HYPERLINK("https://media.infra-m.ru/1852/1852443/cover/1852443.jpg", "Обложка")</f>
        <v>Обложка</v>
      </c>
      <c r="V3846" s="24" t="str">
        <f>HYPERLINK("https://znanium.ru/catalog/product/1852443", "Ознакомиться")</f>
        <v>Ознакомиться</v>
      </c>
      <c r="W3846" s="8" t="s">
        <v>6489</v>
      </c>
      <c r="X3846" s="6"/>
      <c r="Y3846" s="6"/>
      <c r="Z3846" s="6"/>
      <c r="AA3846" s="6" t="s">
        <v>207</v>
      </c>
      <c r="AB3846" s="8"/>
    </row>
    <row r="3847" spans="1:28" s="4" customFormat="1" ht="51.95" customHeight="1">
      <c r="A3847" s="5">
        <v>0</v>
      </c>
      <c r="B3847" s="6" t="s">
        <v>22931</v>
      </c>
      <c r="C3847" s="7">
        <v>780</v>
      </c>
      <c r="D3847" s="8" t="s">
        <v>22932</v>
      </c>
      <c r="E3847" s="8" t="s">
        <v>22933</v>
      </c>
      <c r="F3847" s="8" t="s">
        <v>22934</v>
      </c>
      <c r="G3847" s="6" t="s">
        <v>89</v>
      </c>
      <c r="H3847" s="6" t="s">
        <v>53</v>
      </c>
      <c r="I3847" s="8" t="s">
        <v>116</v>
      </c>
      <c r="J3847" s="9">
        <v>1</v>
      </c>
      <c r="K3847" s="9">
        <v>156</v>
      </c>
      <c r="L3847" s="9">
        <v>2025</v>
      </c>
      <c r="M3847" s="8" t="s">
        <v>22935</v>
      </c>
      <c r="N3847" s="8" t="s">
        <v>413</v>
      </c>
      <c r="O3847" s="8" t="s">
        <v>1141</v>
      </c>
      <c r="P3847" s="6" t="s">
        <v>167</v>
      </c>
      <c r="Q3847" s="8" t="s">
        <v>1674</v>
      </c>
      <c r="R3847" s="10" t="s">
        <v>22936</v>
      </c>
      <c r="S3847" s="11" t="s">
        <v>22937</v>
      </c>
      <c r="T3847" s="6" t="s">
        <v>299</v>
      </c>
      <c r="U3847" s="24" t="str">
        <f>HYPERLINK("https://media.infra-m.ru/2178/2178859/cover/2178859.jpg", "Обложка")</f>
        <v>Обложка</v>
      </c>
      <c r="V3847" s="24" t="str">
        <f>HYPERLINK("https://znanium.ru/catalog/product/2178859", "Ознакомиться")</f>
        <v>Ознакомиться</v>
      </c>
      <c r="W3847" s="8" t="s">
        <v>11304</v>
      </c>
      <c r="X3847" s="6"/>
      <c r="Y3847" s="6"/>
      <c r="Z3847" s="6"/>
      <c r="AA3847" s="6" t="s">
        <v>258</v>
      </c>
      <c r="AB3847" s="8"/>
    </row>
    <row r="3848" spans="1:28" s="4" customFormat="1" ht="51.95" customHeight="1">
      <c r="A3848" s="5">
        <v>0</v>
      </c>
      <c r="B3848" s="6" t="s">
        <v>22938</v>
      </c>
      <c r="C3848" s="13">
        <v>1220</v>
      </c>
      <c r="D3848" s="8" t="s">
        <v>22939</v>
      </c>
      <c r="E3848" s="8" t="s">
        <v>22940</v>
      </c>
      <c r="F3848" s="8" t="s">
        <v>22941</v>
      </c>
      <c r="G3848" s="6" t="s">
        <v>89</v>
      </c>
      <c r="H3848" s="6" t="s">
        <v>53</v>
      </c>
      <c r="I3848" s="8" t="s">
        <v>90</v>
      </c>
      <c r="J3848" s="9">
        <v>1</v>
      </c>
      <c r="K3848" s="9">
        <v>270</v>
      </c>
      <c r="L3848" s="9">
        <v>2023</v>
      </c>
      <c r="M3848" s="8" t="s">
        <v>22942</v>
      </c>
      <c r="N3848" s="8" t="s">
        <v>41</v>
      </c>
      <c r="O3848" s="8" t="s">
        <v>129</v>
      </c>
      <c r="P3848" s="6" t="s">
        <v>43</v>
      </c>
      <c r="Q3848" s="8" t="s">
        <v>44</v>
      </c>
      <c r="R3848" s="10" t="s">
        <v>20586</v>
      </c>
      <c r="S3848" s="11" t="s">
        <v>22943</v>
      </c>
      <c r="T3848" s="6"/>
      <c r="U3848" s="24" t="str">
        <f>HYPERLINK("https://media.infra-m.ru/1971/1971875/cover/1971875.jpg", "Обложка")</f>
        <v>Обложка</v>
      </c>
      <c r="V3848" s="24" t="str">
        <f>HYPERLINK("https://znanium.ru/catalog/product/1971875", "Ознакомиться")</f>
        <v>Ознакомиться</v>
      </c>
      <c r="W3848" s="8" t="s">
        <v>15666</v>
      </c>
      <c r="X3848" s="6"/>
      <c r="Y3848" s="6"/>
      <c r="Z3848" s="6"/>
      <c r="AA3848" s="6" t="s">
        <v>47</v>
      </c>
      <c r="AB3848" s="8"/>
    </row>
    <row r="3849" spans="1:28" s="4" customFormat="1" ht="42" customHeight="1">
      <c r="A3849" s="5">
        <v>0</v>
      </c>
      <c r="B3849" s="6" t="s">
        <v>22944</v>
      </c>
      <c r="C3849" s="13">
        <v>1014</v>
      </c>
      <c r="D3849" s="8" t="s">
        <v>22945</v>
      </c>
      <c r="E3849" s="8" t="s">
        <v>22946</v>
      </c>
      <c r="F3849" s="8" t="s">
        <v>22947</v>
      </c>
      <c r="G3849" s="6" t="s">
        <v>52</v>
      </c>
      <c r="H3849" s="6" t="s">
        <v>438</v>
      </c>
      <c r="I3849" s="8" t="s">
        <v>90</v>
      </c>
      <c r="J3849" s="9">
        <v>1</v>
      </c>
      <c r="K3849" s="9">
        <v>224</v>
      </c>
      <c r="L3849" s="9">
        <v>2023</v>
      </c>
      <c r="M3849" s="8" t="s">
        <v>22948</v>
      </c>
      <c r="N3849" s="8" t="s">
        <v>79</v>
      </c>
      <c r="O3849" s="8" t="s">
        <v>396</v>
      </c>
      <c r="P3849" s="6" t="s">
        <v>167</v>
      </c>
      <c r="Q3849" s="8" t="s">
        <v>44</v>
      </c>
      <c r="R3849" s="10" t="s">
        <v>22949</v>
      </c>
      <c r="S3849" s="11"/>
      <c r="T3849" s="6"/>
      <c r="U3849" s="24" t="str">
        <f>HYPERLINK("https://media.infra-m.ru/1862/1862058/cover/1862058.jpg", "Обложка")</f>
        <v>Обложка</v>
      </c>
      <c r="V3849" s="24" t="str">
        <f>HYPERLINK("https://znanium.ru/catalog/product/553607", "Ознакомиться")</f>
        <v>Ознакомиться</v>
      </c>
      <c r="W3849" s="8" t="s">
        <v>450</v>
      </c>
      <c r="X3849" s="6"/>
      <c r="Y3849" s="6"/>
      <c r="Z3849" s="6"/>
      <c r="AA3849" s="6" t="s">
        <v>151</v>
      </c>
      <c r="AB3849" s="8"/>
    </row>
    <row r="3850" spans="1:28" s="4" customFormat="1" ht="51.95" customHeight="1">
      <c r="A3850" s="5">
        <v>0</v>
      </c>
      <c r="B3850" s="6" t="s">
        <v>22950</v>
      </c>
      <c r="C3850" s="7">
        <v>804</v>
      </c>
      <c r="D3850" s="8" t="s">
        <v>22951</v>
      </c>
      <c r="E3850" s="8" t="s">
        <v>22952</v>
      </c>
      <c r="F3850" s="8" t="s">
        <v>22953</v>
      </c>
      <c r="G3850" s="6" t="s">
        <v>38</v>
      </c>
      <c r="H3850" s="6" t="s">
        <v>39</v>
      </c>
      <c r="I3850" s="8" t="s">
        <v>90</v>
      </c>
      <c r="J3850" s="9">
        <v>1</v>
      </c>
      <c r="K3850" s="9">
        <v>160</v>
      </c>
      <c r="L3850" s="9">
        <v>2025</v>
      </c>
      <c r="M3850" s="8" t="s">
        <v>22954</v>
      </c>
      <c r="N3850" s="8" t="s">
        <v>997</v>
      </c>
      <c r="O3850" s="8" t="s">
        <v>998</v>
      </c>
      <c r="P3850" s="6" t="s">
        <v>175</v>
      </c>
      <c r="Q3850" s="8" t="s">
        <v>44</v>
      </c>
      <c r="R3850" s="10" t="s">
        <v>6390</v>
      </c>
      <c r="S3850" s="11" t="s">
        <v>22955</v>
      </c>
      <c r="T3850" s="6"/>
      <c r="U3850" s="24" t="str">
        <f>HYPERLINK("https://media.infra-m.ru/2182/2182626/cover/2182626.jpg", "Обложка")</f>
        <v>Обложка</v>
      </c>
      <c r="V3850" s="24" t="str">
        <f>HYPERLINK("https://znanium.ru/catalog/product/1680146", "Ознакомиться")</f>
        <v>Ознакомиться</v>
      </c>
      <c r="W3850" s="8" t="s">
        <v>6648</v>
      </c>
      <c r="X3850" s="6"/>
      <c r="Y3850" s="6"/>
      <c r="Z3850" s="6"/>
      <c r="AA3850" s="6" t="s">
        <v>418</v>
      </c>
      <c r="AB3850" s="8"/>
    </row>
    <row r="3851" spans="1:28" s="4" customFormat="1" ht="51.95" customHeight="1">
      <c r="A3851" s="5">
        <v>0</v>
      </c>
      <c r="B3851" s="6" t="s">
        <v>22956</v>
      </c>
      <c r="C3851" s="7">
        <v>840</v>
      </c>
      <c r="D3851" s="8" t="s">
        <v>22957</v>
      </c>
      <c r="E3851" s="8" t="s">
        <v>22952</v>
      </c>
      <c r="F3851" s="8" t="s">
        <v>22953</v>
      </c>
      <c r="G3851" s="6" t="s">
        <v>89</v>
      </c>
      <c r="H3851" s="6" t="s">
        <v>39</v>
      </c>
      <c r="I3851" s="8" t="s">
        <v>100</v>
      </c>
      <c r="J3851" s="9">
        <v>1</v>
      </c>
      <c r="K3851" s="9">
        <v>160</v>
      </c>
      <c r="L3851" s="9">
        <v>2025</v>
      </c>
      <c r="M3851" s="8" t="s">
        <v>22958</v>
      </c>
      <c r="N3851" s="8" t="s">
        <v>997</v>
      </c>
      <c r="O3851" s="8" t="s">
        <v>998</v>
      </c>
      <c r="P3851" s="6" t="s">
        <v>175</v>
      </c>
      <c r="Q3851" s="8" t="s">
        <v>102</v>
      </c>
      <c r="R3851" s="10" t="s">
        <v>22959</v>
      </c>
      <c r="S3851" s="11" t="s">
        <v>22960</v>
      </c>
      <c r="T3851" s="6"/>
      <c r="U3851" s="24" t="str">
        <f>HYPERLINK("https://media.infra-m.ru/2193/2193224/cover/2193224.jpg", "Обложка")</f>
        <v>Обложка</v>
      </c>
      <c r="V3851" s="24" t="str">
        <f>HYPERLINK("https://znanium.ru/catalog/product/2193224", "Ознакомиться")</f>
        <v>Ознакомиться</v>
      </c>
      <c r="W3851" s="8" t="s">
        <v>6648</v>
      </c>
      <c r="X3851" s="6"/>
      <c r="Y3851" s="6"/>
      <c r="Z3851" s="6" t="s">
        <v>104</v>
      </c>
      <c r="AA3851" s="6" t="s">
        <v>793</v>
      </c>
      <c r="AB3851" s="8"/>
    </row>
    <row r="3852" spans="1:28" s="4" customFormat="1" ht="51.95" customHeight="1">
      <c r="A3852" s="5">
        <v>0</v>
      </c>
      <c r="B3852" s="6" t="s">
        <v>22961</v>
      </c>
      <c r="C3852" s="7">
        <v>460</v>
      </c>
      <c r="D3852" s="8" t="s">
        <v>22962</v>
      </c>
      <c r="E3852" s="8" t="s">
        <v>22963</v>
      </c>
      <c r="F3852" s="8" t="s">
        <v>22964</v>
      </c>
      <c r="G3852" s="6" t="s">
        <v>38</v>
      </c>
      <c r="H3852" s="6" t="s">
        <v>53</v>
      </c>
      <c r="I3852" s="8" t="s">
        <v>782</v>
      </c>
      <c r="J3852" s="9">
        <v>1</v>
      </c>
      <c r="K3852" s="9">
        <v>64</v>
      </c>
      <c r="L3852" s="9">
        <v>2024</v>
      </c>
      <c r="M3852" s="8" t="s">
        <v>22965</v>
      </c>
      <c r="N3852" s="8" t="s">
        <v>41</v>
      </c>
      <c r="O3852" s="8" t="s">
        <v>129</v>
      </c>
      <c r="P3852" s="6" t="s">
        <v>175</v>
      </c>
      <c r="Q3852" s="8" t="s">
        <v>58</v>
      </c>
      <c r="R3852" s="10" t="s">
        <v>22966</v>
      </c>
      <c r="S3852" s="11"/>
      <c r="T3852" s="6"/>
      <c r="U3852" s="24" t="str">
        <f>HYPERLINK("https://media.infra-m.ru/2081/2081121/cover/2081121.jpg", "Обложка")</f>
        <v>Обложка</v>
      </c>
      <c r="V3852" s="12"/>
      <c r="W3852" s="8" t="s">
        <v>784</v>
      </c>
      <c r="X3852" s="6"/>
      <c r="Y3852" s="6"/>
      <c r="Z3852" s="6"/>
      <c r="AA3852" s="6" t="s">
        <v>207</v>
      </c>
      <c r="AB3852" s="8"/>
    </row>
    <row r="3853" spans="1:28" s="4" customFormat="1" ht="51.95" customHeight="1">
      <c r="A3853" s="5">
        <v>0</v>
      </c>
      <c r="B3853" s="6" t="s">
        <v>22967</v>
      </c>
      <c r="C3853" s="13">
        <v>1054.9000000000001</v>
      </c>
      <c r="D3853" s="8" t="s">
        <v>22968</v>
      </c>
      <c r="E3853" s="8" t="s">
        <v>22969</v>
      </c>
      <c r="F3853" s="8" t="s">
        <v>6712</v>
      </c>
      <c r="G3853" s="6" t="s">
        <v>52</v>
      </c>
      <c r="H3853" s="6" t="s">
        <v>66</v>
      </c>
      <c r="I3853" s="8" t="s">
        <v>4134</v>
      </c>
      <c r="J3853" s="9">
        <v>1</v>
      </c>
      <c r="K3853" s="9">
        <v>361</v>
      </c>
      <c r="L3853" s="9">
        <v>2017</v>
      </c>
      <c r="M3853" s="8" t="s">
        <v>22970</v>
      </c>
      <c r="N3853" s="8" t="s">
        <v>41</v>
      </c>
      <c r="O3853" s="8" t="s">
        <v>118</v>
      </c>
      <c r="P3853" s="6" t="s">
        <v>167</v>
      </c>
      <c r="Q3853" s="8" t="s">
        <v>44</v>
      </c>
      <c r="R3853" s="10" t="s">
        <v>22971</v>
      </c>
      <c r="S3853" s="11" t="s">
        <v>19843</v>
      </c>
      <c r="T3853" s="6"/>
      <c r="U3853" s="24" t="str">
        <f>HYPERLINK("https://media.infra-m.ru/0907/0907492/cover/907492.jpg", "Обложка")</f>
        <v>Обложка</v>
      </c>
      <c r="V3853" s="24" t="str">
        <f>HYPERLINK("https://znanium.ru/catalog/product/2150921", "Ознакомиться")</f>
        <v>Ознакомиться</v>
      </c>
      <c r="W3853" s="8" t="s">
        <v>2080</v>
      </c>
      <c r="X3853" s="6"/>
      <c r="Y3853" s="6"/>
      <c r="Z3853" s="6"/>
      <c r="AA3853" s="6" t="s">
        <v>7663</v>
      </c>
      <c r="AB3853" s="8"/>
    </row>
    <row r="3854" spans="1:28" s="4" customFormat="1" ht="51.95" customHeight="1">
      <c r="A3854" s="5">
        <v>0</v>
      </c>
      <c r="B3854" s="6" t="s">
        <v>22972</v>
      </c>
      <c r="C3854" s="13">
        <v>2490</v>
      </c>
      <c r="D3854" s="8" t="s">
        <v>22973</v>
      </c>
      <c r="E3854" s="8" t="s">
        <v>22974</v>
      </c>
      <c r="F3854" s="8" t="s">
        <v>22975</v>
      </c>
      <c r="G3854" s="6" t="s">
        <v>89</v>
      </c>
      <c r="H3854" s="6" t="s">
        <v>438</v>
      </c>
      <c r="I3854" s="8"/>
      <c r="J3854" s="9">
        <v>1</v>
      </c>
      <c r="K3854" s="9">
        <v>384</v>
      </c>
      <c r="L3854" s="9">
        <v>2024</v>
      </c>
      <c r="M3854" s="8" t="s">
        <v>22976</v>
      </c>
      <c r="N3854" s="8" t="s">
        <v>79</v>
      </c>
      <c r="O3854" s="8" t="s">
        <v>684</v>
      </c>
      <c r="P3854" s="6" t="s">
        <v>43</v>
      </c>
      <c r="Q3854" s="8" t="s">
        <v>44</v>
      </c>
      <c r="R3854" s="10" t="s">
        <v>22977</v>
      </c>
      <c r="S3854" s="11" t="s">
        <v>22978</v>
      </c>
      <c r="T3854" s="6"/>
      <c r="U3854" s="24" t="str">
        <f>HYPERLINK("https://media.infra-m.ru/2156/2156833/cover/2156833.jpg", "Обложка")</f>
        <v>Обложка</v>
      </c>
      <c r="V3854" s="12"/>
      <c r="W3854" s="8" t="s">
        <v>637</v>
      </c>
      <c r="X3854" s="6"/>
      <c r="Y3854" s="6"/>
      <c r="Z3854" s="6"/>
      <c r="AA3854" s="6" t="s">
        <v>111</v>
      </c>
      <c r="AB3854" s="8"/>
    </row>
    <row r="3855" spans="1:28" s="4" customFormat="1" ht="51.95" customHeight="1">
      <c r="A3855" s="5">
        <v>0</v>
      </c>
      <c r="B3855" s="6" t="s">
        <v>22979</v>
      </c>
      <c r="C3855" s="7">
        <v>694.9</v>
      </c>
      <c r="D3855" s="8" t="s">
        <v>22980</v>
      </c>
      <c r="E3855" s="8" t="s">
        <v>22981</v>
      </c>
      <c r="F3855" s="8" t="s">
        <v>22982</v>
      </c>
      <c r="G3855" s="6" t="s">
        <v>52</v>
      </c>
      <c r="H3855" s="6" t="s">
        <v>674</v>
      </c>
      <c r="I3855" s="8"/>
      <c r="J3855" s="9">
        <v>20</v>
      </c>
      <c r="K3855" s="9">
        <v>304</v>
      </c>
      <c r="L3855" s="9">
        <v>2017</v>
      </c>
      <c r="M3855" s="8" t="s">
        <v>22983</v>
      </c>
      <c r="N3855" s="8" t="s">
        <v>41</v>
      </c>
      <c r="O3855" s="8" t="s">
        <v>676</v>
      </c>
      <c r="P3855" s="6" t="s">
        <v>1046</v>
      </c>
      <c r="Q3855" s="8" t="s">
        <v>44</v>
      </c>
      <c r="R3855" s="10" t="s">
        <v>22984</v>
      </c>
      <c r="S3855" s="11"/>
      <c r="T3855" s="6"/>
      <c r="U3855" s="24" t="str">
        <f>HYPERLINK("https://media.infra-m.ru/0762/0762736/cover/762736.jpg", "Обложка")</f>
        <v>Обложка</v>
      </c>
      <c r="V3855" s="24" t="str">
        <f>HYPERLINK("https://znanium.ru/catalog/product/1220452", "Ознакомиться")</f>
        <v>Ознакомиться</v>
      </c>
      <c r="W3855" s="8" t="s">
        <v>2122</v>
      </c>
      <c r="X3855" s="6"/>
      <c r="Y3855" s="6"/>
      <c r="Z3855" s="6"/>
      <c r="AA3855" s="6" t="s">
        <v>84</v>
      </c>
      <c r="AB3855" s="8"/>
    </row>
    <row r="3856" spans="1:28" s="4" customFormat="1" ht="51.95" customHeight="1">
      <c r="A3856" s="5">
        <v>0</v>
      </c>
      <c r="B3856" s="6" t="s">
        <v>22985</v>
      </c>
      <c r="C3856" s="7">
        <v>620</v>
      </c>
      <c r="D3856" s="8" t="s">
        <v>22986</v>
      </c>
      <c r="E3856" s="8" t="s">
        <v>22987</v>
      </c>
      <c r="F3856" s="8" t="s">
        <v>22988</v>
      </c>
      <c r="G3856" s="6" t="s">
        <v>38</v>
      </c>
      <c r="H3856" s="6" t="s">
        <v>674</v>
      </c>
      <c r="I3856" s="8"/>
      <c r="J3856" s="9">
        <v>1</v>
      </c>
      <c r="K3856" s="9">
        <v>208</v>
      </c>
      <c r="L3856" s="9">
        <v>2020</v>
      </c>
      <c r="M3856" s="8" t="s">
        <v>22989</v>
      </c>
      <c r="N3856" s="8" t="s">
        <v>41</v>
      </c>
      <c r="O3856" s="8" t="s">
        <v>676</v>
      </c>
      <c r="P3856" s="6" t="s">
        <v>1046</v>
      </c>
      <c r="Q3856" s="8" t="s">
        <v>1674</v>
      </c>
      <c r="R3856" s="10" t="s">
        <v>806</v>
      </c>
      <c r="S3856" s="11"/>
      <c r="T3856" s="6"/>
      <c r="U3856" s="24" t="str">
        <f>HYPERLINK("https://media.infra-m.ru/1092/1092005/cover/1092005.jpg", "Обложка")</f>
        <v>Обложка</v>
      </c>
      <c r="V3856" s="24" t="str">
        <f>HYPERLINK("https://znanium.ru/catalog/product/1840585", "Ознакомиться")</f>
        <v>Ознакомиться</v>
      </c>
      <c r="W3856" s="8" t="s">
        <v>22990</v>
      </c>
      <c r="X3856" s="6"/>
      <c r="Y3856" s="6"/>
      <c r="Z3856" s="6"/>
      <c r="AA3856" s="6" t="s">
        <v>47</v>
      </c>
      <c r="AB3856" s="8"/>
    </row>
    <row r="3857" spans="1:28" s="4" customFormat="1" ht="51.95" customHeight="1">
      <c r="A3857" s="5">
        <v>0</v>
      </c>
      <c r="B3857" s="6" t="s">
        <v>22991</v>
      </c>
      <c r="C3857" s="7">
        <v>584</v>
      </c>
      <c r="D3857" s="8" t="s">
        <v>22992</v>
      </c>
      <c r="E3857" s="8" t="s">
        <v>22993</v>
      </c>
      <c r="F3857" s="8" t="s">
        <v>22994</v>
      </c>
      <c r="G3857" s="6" t="s">
        <v>38</v>
      </c>
      <c r="H3857" s="6" t="s">
        <v>53</v>
      </c>
      <c r="I3857" s="8" t="s">
        <v>90</v>
      </c>
      <c r="J3857" s="9">
        <v>1</v>
      </c>
      <c r="K3857" s="9">
        <v>112</v>
      </c>
      <c r="L3857" s="9">
        <v>2025</v>
      </c>
      <c r="M3857" s="8" t="s">
        <v>22995</v>
      </c>
      <c r="N3857" s="8" t="s">
        <v>79</v>
      </c>
      <c r="O3857" s="8" t="s">
        <v>396</v>
      </c>
      <c r="P3857" s="6" t="s">
        <v>43</v>
      </c>
      <c r="Q3857" s="8" t="s">
        <v>44</v>
      </c>
      <c r="R3857" s="10" t="s">
        <v>22996</v>
      </c>
      <c r="S3857" s="11" t="s">
        <v>22997</v>
      </c>
      <c r="T3857" s="6"/>
      <c r="U3857" s="24" t="str">
        <f>HYPERLINK("https://media.infra-m.ru/2198/2198529/cover/2198529.jpg", "Обложка")</f>
        <v>Обложка</v>
      </c>
      <c r="V3857" s="24" t="str">
        <f>HYPERLINK("https://znanium.ru/catalog/product/960039", "Ознакомиться")</f>
        <v>Ознакомиться</v>
      </c>
      <c r="W3857" s="8" t="s">
        <v>2216</v>
      </c>
      <c r="X3857" s="6"/>
      <c r="Y3857" s="6"/>
      <c r="Z3857" s="6"/>
      <c r="AA3857" s="6" t="s">
        <v>84</v>
      </c>
      <c r="AB3857" s="8"/>
    </row>
    <row r="3858" spans="1:28" s="4" customFormat="1" ht="51.95" customHeight="1">
      <c r="A3858" s="5">
        <v>0</v>
      </c>
      <c r="B3858" s="6" t="s">
        <v>22998</v>
      </c>
      <c r="C3858" s="13">
        <v>1664</v>
      </c>
      <c r="D3858" s="8" t="s">
        <v>22999</v>
      </c>
      <c r="E3858" s="8" t="s">
        <v>23000</v>
      </c>
      <c r="F3858" s="8" t="s">
        <v>15647</v>
      </c>
      <c r="G3858" s="6" t="s">
        <v>89</v>
      </c>
      <c r="H3858" s="6" t="s">
        <v>53</v>
      </c>
      <c r="I3858" s="8" t="s">
        <v>7025</v>
      </c>
      <c r="J3858" s="9">
        <v>1</v>
      </c>
      <c r="K3858" s="9">
        <v>354</v>
      </c>
      <c r="L3858" s="9">
        <v>2024</v>
      </c>
      <c r="M3858" s="8" t="s">
        <v>23001</v>
      </c>
      <c r="N3858" s="8" t="s">
        <v>79</v>
      </c>
      <c r="O3858" s="8" t="s">
        <v>396</v>
      </c>
      <c r="P3858" s="6" t="s">
        <v>43</v>
      </c>
      <c r="Q3858" s="8" t="s">
        <v>102</v>
      </c>
      <c r="R3858" s="10" t="s">
        <v>10373</v>
      </c>
      <c r="S3858" s="11" t="s">
        <v>15671</v>
      </c>
      <c r="T3858" s="6"/>
      <c r="U3858" s="24" t="str">
        <f>HYPERLINK("https://media.infra-m.ru/2136/2136961/cover/2136961.jpg", "Обложка")</f>
        <v>Обложка</v>
      </c>
      <c r="V3858" s="12"/>
      <c r="W3858" s="8" t="s">
        <v>784</v>
      </c>
      <c r="X3858" s="6"/>
      <c r="Y3858" s="6"/>
      <c r="Z3858" s="6" t="s">
        <v>104</v>
      </c>
      <c r="AA3858" s="6" t="s">
        <v>793</v>
      </c>
      <c r="AB3858" s="8"/>
    </row>
    <row r="3859" spans="1:28" s="4" customFormat="1" ht="51.95" customHeight="1">
      <c r="A3859" s="5">
        <v>0</v>
      </c>
      <c r="B3859" s="6" t="s">
        <v>23002</v>
      </c>
      <c r="C3859" s="13">
        <v>1774</v>
      </c>
      <c r="D3859" s="8" t="s">
        <v>23003</v>
      </c>
      <c r="E3859" s="8" t="s">
        <v>23000</v>
      </c>
      <c r="F3859" s="8" t="s">
        <v>15647</v>
      </c>
      <c r="G3859" s="6" t="s">
        <v>89</v>
      </c>
      <c r="H3859" s="6" t="s">
        <v>53</v>
      </c>
      <c r="I3859" s="8" t="s">
        <v>4855</v>
      </c>
      <c r="J3859" s="9">
        <v>1</v>
      </c>
      <c r="K3859" s="9">
        <v>354</v>
      </c>
      <c r="L3859" s="9">
        <v>2025</v>
      </c>
      <c r="M3859" s="8" t="s">
        <v>23004</v>
      </c>
      <c r="N3859" s="8" t="s">
        <v>79</v>
      </c>
      <c r="O3859" s="8" t="s">
        <v>396</v>
      </c>
      <c r="P3859" s="6" t="s">
        <v>43</v>
      </c>
      <c r="Q3859" s="8" t="s">
        <v>44</v>
      </c>
      <c r="R3859" s="10" t="s">
        <v>16724</v>
      </c>
      <c r="S3859" s="11" t="s">
        <v>23005</v>
      </c>
      <c r="T3859" s="6"/>
      <c r="U3859" s="24" t="str">
        <f>HYPERLINK("https://media.infra-m.ru/2173/2173244/cover/2173244.jpg", "Обложка")</f>
        <v>Обложка</v>
      </c>
      <c r="V3859" s="12"/>
      <c r="W3859" s="8" t="s">
        <v>784</v>
      </c>
      <c r="X3859" s="6"/>
      <c r="Y3859" s="6"/>
      <c r="Z3859" s="6"/>
      <c r="AA3859" s="6" t="s">
        <v>151</v>
      </c>
      <c r="AB3859" s="8"/>
    </row>
    <row r="3860" spans="1:28" s="4" customFormat="1" ht="51.95" customHeight="1">
      <c r="A3860" s="5">
        <v>0</v>
      </c>
      <c r="B3860" s="6" t="s">
        <v>23006</v>
      </c>
      <c r="C3860" s="7">
        <v>840</v>
      </c>
      <c r="D3860" s="8" t="s">
        <v>23007</v>
      </c>
      <c r="E3860" s="8" t="s">
        <v>23008</v>
      </c>
      <c r="F3860" s="8" t="s">
        <v>23009</v>
      </c>
      <c r="G3860" s="6" t="s">
        <v>38</v>
      </c>
      <c r="H3860" s="6" t="s">
        <v>53</v>
      </c>
      <c r="I3860" s="8" t="s">
        <v>90</v>
      </c>
      <c r="J3860" s="9">
        <v>1</v>
      </c>
      <c r="K3860" s="9">
        <v>174</v>
      </c>
      <c r="L3860" s="9">
        <v>2023</v>
      </c>
      <c r="M3860" s="8" t="s">
        <v>23010</v>
      </c>
      <c r="N3860" s="8" t="s">
        <v>79</v>
      </c>
      <c r="O3860" s="8" t="s">
        <v>148</v>
      </c>
      <c r="P3860" s="6" t="s">
        <v>43</v>
      </c>
      <c r="Q3860" s="8" t="s">
        <v>44</v>
      </c>
      <c r="R3860" s="10" t="s">
        <v>23011</v>
      </c>
      <c r="S3860" s="11" t="s">
        <v>23012</v>
      </c>
      <c r="T3860" s="6"/>
      <c r="U3860" s="24" t="str">
        <f>HYPERLINK("https://media.infra-m.ru/1938/1938031/cover/1938031.jpg", "Обложка")</f>
        <v>Обложка</v>
      </c>
      <c r="V3860" s="24" t="str">
        <f>HYPERLINK("https://znanium.ru/catalog/product/1938031", "Ознакомиться")</f>
        <v>Ознакомиться</v>
      </c>
      <c r="W3860" s="8" t="s">
        <v>478</v>
      </c>
      <c r="X3860" s="6"/>
      <c r="Y3860" s="6"/>
      <c r="Z3860" s="6"/>
      <c r="AA3860" s="6" t="s">
        <v>418</v>
      </c>
      <c r="AB3860" s="8"/>
    </row>
    <row r="3861" spans="1:28" s="4" customFormat="1" ht="44.1" customHeight="1">
      <c r="A3861" s="5">
        <v>0</v>
      </c>
      <c r="B3861" s="6" t="s">
        <v>23013</v>
      </c>
      <c r="C3861" s="13">
        <v>1070</v>
      </c>
      <c r="D3861" s="8" t="s">
        <v>23014</v>
      </c>
      <c r="E3861" s="8" t="s">
        <v>23015</v>
      </c>
      <c r="F3861" s="8" t="s">
        <v>23016</v>
      </c>
      <c r="G3861" s="6" t="s">
        <v>89</v>
      </c>
      <c r="H3861" s="6" t="s">
        <v>438</v>
      </c>
      <c r="I3861" s="8" t="s">
        <v>116</v>
      </c>
      <c r="J3861" s="9">
        <v>1</v>
      </c>
      <c r="K3861" s="9">
        <v>224</v>
      </c>
      <c r="L3861" s="9">
        <v>2024</v>
      </c>
      <c r="M3861" s="8" t="s">
        <v>23017</v>
      </c>
      <c r="N3861" s="8" t="s">
        <v>79</v>
      </c>
      <c r="O3861" s="8" t="s">
        <v>148</v>
      </c>
      <c r="P3861" s="6" t="s">
        <v>167</v>
      </c>
      <c r="Q3861" s="8" t="s">
        <v>44</v>
      </c>
      <c r="R3861" s="10" t="s">
        <v>23018</v>
      </c>
      <c r="S3861" s="11"/>
      <c r="T3861" s="6"/>
      <c r="U3861" s="24" t="str">
        <f>HYPERLINK("https://media.infra-m.ru/2101/2101422/cover/2101422.jpg", "Обложка")</f>
        <v>Обложка</v>
      </c>
      <c r="V3861" s="24" t="str">
        <f>HYPERLINK("https://znanium.ru/catalog/product/2101422", "Ознакомиться")</f>
        <v>Ознакомиться</v>
      </c>
      <c r="W3861" s="8" t="s">
        <v>23019</v>
      </c>
      <c r="X3861" s="6"/>
      <c r="Y3861" s="6"/>
      <c r="Z3861" s="6"/>
      <c r="AA3861" s="6" t="s">
        <v>442</v>
      </c>
      <c r="AB3861" s="8"/>
    </row>
    <row r="3862" spans="1:28" s="4" customFormat="1" ht="51.95" customHeight="1">
      <c r="A3862" s="5">
        <v>0</v>
      </c>
      <c r="B3862" s="6" t="s">
        <v>23020</v>
      </c>
      <c r="C3862" s="7">
        <v>770</v>
      </c>
      <c r="D3862" s="8" t="s">
        <v>23021</v>
      </c>
      <c r="E3862" s="8" t="s">
        <v>23022</v>
      </c>
      <c r="F3862" s="8" t="s">
        <v>23023</v>
      </c>
      <c r="G3862" s="6" t="s">
        <v>89</v>
      </c>
      <c r="H3862" s="6" t="s">
        <v>438</v>
      </c>
      <c r="I3862" s="8" t="s">
        <v>116</v>
      </c>
      <c r="J3862" s="9">
        <v>1</v>
      </c>
      <c r="K3862" s="9">
        <v>157</v>
      </c>
      <c r="L3862" s="9">
        <v>2024</v>
      </c>
      <c r="M3862" s="8" t="s">
        <v>23024</v>
      </c>
      <c r="N3862" s="8" t="s">
        <v>79</v>
      </c>
      <c r="O3862" s="8" t="s">
        <v>148</v>
      </c>
      <c r="P3862" s="6" t="s">
        <v>167</v>
      </c>
      <c r="Q3862" s="8" t="s">
        <v>44</v>
      </c>
      <c r="R3862" s="10" t="s">
        <v>23018</v>
      </c>
      <c r="S3862" s="11" t="s">
        <v>23025</v>
      </c>
      <c r="T3862" s="6"/>
      <c r="U3862" s="24" t="str">
        <f>HYPERLINK("https://media.infra-m.ru/2103/2103171/cover/2103171.jpg", "Обложка")</f>
        <v>Обложка</v>
      </c>
      <c r="V3862" s="24" t="str">
        <f>HYPERLINK("https://znanium.ru/catalog/product/2103171", "Ознакомиться")</f>
        <v>Ознакомиться</v>
      </c>
      <c r="W3862" s="8" t="s">
        <v>23019</v>
      </c>
      <c r="X3862" s="6"/>
      <c r="Y3862" s="6"/>
      <c r="Z3862" s="6"/>
      <c r="AA3862" s="6" t="s">
        <v>442</v>
      </c>
      <c r="AB3862" s="8"/>
    </row>
    <row r="3863" spans="1:28" s="4" customFormat="1" ht="51.95" customHeight="1">
      <c r="A3863" s="5">
        <v>0</v>
      </c>
      <c r="B3863" s="6" t="s">
        <v>23026</v>
      </c>
      <c r="C3863" s="13">
        <v>1560</v>
      </c>
      <c r="D3863" s="8" t="s">
        <v>23027</v>
      </c>
      <c r="E3863" s="8" t="s">
        <v>23028</v>
      </c>
      <c r="F3863" s="8" t="s">
        <v>15028</v>
      </c>
      <c r="G3863" s="6" t="s">
        <v>89</v>
      </c>
      <c r="H3863" s="6" t="s">
        <v>184</v>
      </c>
      <c r="I3863" s="8" t="s">
        <v>116</v>
      </c>
      <c r="J3863" s="9">
        <v>1</v>
      </c>
      <c r="K3863" s="9">
        <v>339</v>
      </c>
      <c r="L3863" s="9">
        <v>2023</v>
      </c>
      <c r="M3863" s="8" t="s">
        <v>23029</v>
      </c>
      <c r="N3863" s="8" t="s">
        <v>79</v>
      </c>
      <c r="O3863" s="8" t="s">
        <v>148</v>
      </c>
      <c r="P3863" s="6" t="s">
        <v>43</v>
      </c>
      <c r="Q3863" s="8" t="s">
        <v>58</v>
      </c>
      <c r="R3863" s="10" t="s">
        <v>23030</v>
      </c>
      <c r="S3863" s="11" t="s">
        <v>15031</v>
      </c>
      <c r="T3863" s="6" t="s">
        <v>299</v>
      </c>
      <c r="U3863" s="24" t="str">
        <f>HYPERLINK("https://media.infra-m.ru/2079/2079244/cover/2079244.jpg", "Обложка")</f>
        <v>Обложка</v>
      </c>
      <c r="V3863" s="24" t="str">
        <f>HYPERLINK("https://znanium.ru/catalog/product/2079244", "Ознакомиться")</f>
        <v>Ознакомиться</v>
      </c>
      <c r="W3863" s="8" t="s">
        <v>427</v>
      </c>
      <c r="X3863" s="6"/>
      <c r="Y3863" s="6"/>
      <c r="Z3863" s="6"/>
      <c r="AA3863" s="6" t="s">
        <v>326</v>
      </c>
      <c r="AB3863" s="8"/>
    </row>
    <row r="3864" spans="1:28" s="4" customFormat="1" ht="51.95" customHeight="1">
      <c r="A3864" s="5">
        <v>0</v>
      </c>
      <c r="B3864" s="6" t="s">
        <v>23031</v>
      </c>
      <c r="C3864" s="13">
        <v>2450</v>
      </c>
      <c r="D3864" s="8" t="s">
        <v>23032</v>
      </c>
      <c r="E3864" s="8" t="s">
        <v>23033</v>
      </c>
      <c r="F3864" s="8" t="s">
        <v>23034</v>
      </c>
      <c r="G3864" s="6" t="s">
        <v>52</v>
      </c>
      <c r="H3864" s="6" t="s">
        <v>53</v>
      </c>
      <c r="I3864" s="8" t="s">
        <v>116</v>
      </c>
      <c r="J3864" s="9">
        <v>1</v>
      </c>
      <c r="K3864" s="9">
        <v>471</v>
      </c>
      <c r="L3864" s="9">
        <v>2025</v>
      </c>
      <c r="M3864" s="8" t="s">
        <v>23035</v>
      </c>
      <c r="N3864" s="8" t="s">
        <v>56</v>
      </c>
      <c r="O3864" s="8" t="s">
        <v>741</v>
      </c>
      <c r="P3864" s="6" t="s">
        <v>43</v>
      </c>
      <c r="Q3864" s="8" t="s">
        <v>44</v>
      </c>
      <c r="R3864" s="10" t="s">
        <v>23036</v>
      </c>
      <c r="S3864" s="11" t="s">
        <v>23037</v>
      </c>
      <c r="T3864" s="6"/>
      <c r="U3864" s="24" t="str">
        <f>HYPERLINK("https://media.infra-m.ru/2200/2200764/cover/2200764.jpg", "Обложка")</f>
        <v>Обложка</v>
      </c>
      <c r="V3864" s="24" t="str">
        <f>HYPERLINK("https://znanium.ru/catalog/product/2200764", "Ознакомиться")</f>
        <v>Ознакомиться</v>
      </c>
      <c r="W3864" s="8" t="s">
        <v>2201</v>
      </c>
      <c r="X3864" s="6"/>
      <c r="Y3864" s="6"/>
      <c r="Z3864" s="6"/>
      <c r="AA3864" s="6" t="s">
        <v>513</v>
      </c>
      <c r="AB3864" s="8"/>
    </row>
    <row r="3865" spans="1:28" s="4" customFormat="1" ht="51.95" customHeight="1">
      <c r="A3865" s="5">
        <v>0</v>
      </c>
      <c r="B3865" s="6" t="s">
        <v>23038</v>
      </c>
      <c r="C3865" s="13">
        <v>1264.9000000000001</v>
      </c>
      <c r="D3865" s="8" t="s">
        <v>23039</v>
      </c>
      <c r="E3865" s="8" t="s">
        <v>23040</v>
      </c>
      <c r="F3865" s="8" t="s">
        <v>23034</v>
      </c>
      <c r="G3865" s="6" t="s">
        <v>52</v>
      </c>
      <c r="H3865" s="6" t="s">
        <v>39</v>
      </c>
      <c r="I3865" s="8" t="s">
        <v>116</v>
      </c>
      <c r="J3865" s="9">
        <v>1</v>
      </c>
      <c r="K3865" s="9">
        <v>432</v>
      </c>
      <c r="L3865" s="9">
        <v>2018</v>
      </c>
      <c r="M3865" s="8" t="s">
        <v>23041</v>
      </c>
      <c r="N3865" s="8" t="s">
        <v>56</v>
      </c>
      <c r="O3865" s="8" t="s">
        <v>741</v>
      </c>
      <c r="P3865" s="6" t="s">
        <v>43</v>
      </c>
      <c r="Q3865" s="8" t="s">
        <v>44</v>
      </c>
      <c r="R3865" s="10" t="s">
        <v>23036</v>
      </c>
      <c r="S3865" s="11"/>
      <c r="T3865" s="6"/>
      <c r="U3865" s="12"/>
      <c r="V3865" s="24" t="str">
        <f>HYPERLINK("https://znanium.ru/catalog/product/2200764", "Ознакомиться")</f>
        <v>Ознакомиться</v>
      </c>
      <c r="W3865" s="8" t="s">
        <v>2201</v>
      </c>
      <c r="X3865" s="6"/>
      <c r="Y3865" s="6"/>
      <c r="Z3865" s="6"/>
      <c r="AA3865" s="6" t="s">
        <v>1135</v>
      </c>
      <c r="AB3865" s="8"/>
    </row>
    <row r="3866" spans="1:28" s="4" customFormat="1" ht="51.95" customHeight="1">
      <c r="A3866" s="5">
        <v>0</v>
      </c>
      <c r="B3866" s="6" t="s">
        <v>23042</v>
      </c>
      <c r="C3866" s="7">
        <v>760</v>
      </c>
      <c r="D3866" s="8" t="s">
        <v>23043</v>
      </c>
      <c r="E3866" s="8" t="s">
        <v>23044</v>
      </c>
      <c r="F3866" s="8" t="s">
        <v>23045</v>
      </c>
      <c r="G3866" s="6" t="s">
        <v>38</v>
      </c>
      <c r="H3866" s="6" t="s">
        <v>53</v>
      </c>
      <c r="I3866" s="8" t="s">
        <v>782</v>
      </c>
      <c r="J3866" s="9">
        <v>1</v>
      </c>
      <c r="K3866" s="9">
        <v>148</v>
      </c>
      <c r="L3866" s="9">
        <v>2023</v>
      </c>
      <c r="M3866" s="8" t="s">
        <v>23046</v>
      </c>
      <c r="N3866" s="8" t="s">
        <v>413</v>
      </c>
      <c r="O3866" s="8" t="s">
        <v>1528</v>
      </c>
      <c r="P3866" s="6" t="s">
        <v>43</v>
      </c>
      <c r="Q3866" s="8" t="s">
        <v>44</v>
      </c>
      <c r="R3866" s="10" t="s">
        <v>2319</v>
      </c>
      <c r="S3866" s="11" t="s">
        <v>23047</v>
      </c>
      <c r="T3866" s="6"/>
      <c r="U3866" s="24" t="str">
        <f>HYPERLINK("https://media.infra-m.ru/2036/2036509/cover/2036509.jpg", "Обложка")</f>
        <v>Обложка</v>
      </c>
      <c r="V3866" s="12"/>
      <c r="W3866" s="8" t="s">
        <v>784</v>
      </c>
      <c r="X3866" s="6"/>
      <c r="Y3866" s="6"/>
      <c r="Z3866" s="6"/>
      <c r="AA3866" s="6" t="s">
        <v>207</v>
      </c>
      <c r="AB3866" s="8"/>
    </row>
    <row r="3867" spans="1:28" s="4" customFormat="1" ht="44.1" customHeight="1">
      <c r="A3867" s="5">
        <v>0</v>
      </c>
      <c r="B3867" s="6" t="s">
        <v>23048</v>
      </c>
      <c r="C3867" s="13">
        <v>1230</v>
      </c>
      <c r="D3867" s="8" t="s">
        <v>23049</v>
      </c>
      <c r="E3867" s="8" t="s">
        <v>23050</v>
      </c>
      <c r="F3867" s="8" t="s">
        <v>23051</v>
      </c>
      <c r="G3867" s="6" t="s">
        <v>89</v>
      </c>
      <c r="H3867" s="6" t="s">
        <v>438</v>
      </c>
      <c r="I3867" s="8" t="s">
        <v>100</v>
      </c>
      <c r="J3867" s="9">
        <v>1</v>
      </c>
      <c r="K3867" s="9">
        <v>271</v>
      </c>
      <c r="L3867" s="9">
        <v>2023</v>
      </c>
      <c r="M3867" s="8" t="s">
        <v>23052</v>
      </c>
      <c r="N3867" s="8" t="s">
        <v>79</v>
      </c>
      <c r="O3867" s="8" t="s">
        <v>537</v>
      </c>
      <c r="P3867" s="6" t="s">
        <v>167</v>
      </c>
      <c r="Q3867" s="8" t="s">
        <v>102</v>
      </c>
      <c r="R3867" s="10" t="s">
        <v>23053</v>
      </c>
      <c r="S3867" s="11"/>
      <c r="T3867" s="6"/>
      <c r="U3867" s="24" t="str">
        <f>HYPERLINK("https://media.infra-m.ru/1912/1912895/cover/1912895.jpg", "Обложка")</f>
        <v>Обложка</v>
      </c>
      <c r="V3867" s="24" t="str">
        <f>HYPERLINK("https://znanium.ru/catalog/product/1912895", "Ознакомиться")</f>
        <v>Ознакомиться</v>
      </c>
      <c r="W3867" s="8" t="s">
        <v>399</v>
      </c>
      <c r="X3867" s="6"/>
      <c r="Y3867" s="6"/>
      <c r="Z3867" s="6"/>
      <c r="AA3867" s="6" t="s">
        <v>442</v>
      </c>
      <c r="AB3867" s="8"/>
    </row>
    <row r="3868" spans="1:28" s="4" customFormat="1" ht="51.95" customHeight="1">
      <c r="A3868" s="5">
        <v>0</v>
      </c>
      <c r="B3868" s="6" t="s">
        <v>23054</v>
      </c>
      <c r="C3868" s="13">
        <v>1744</v>
      </c>
      <c r="D3868" s="8" t="s">
        <v>23055</v>
      </c>
      <c r="E3868" s="8" t="s">
        <v>23056</v>
      </c>
      <c r="F3868" s="8" t="s">
        <v>23057</v>
      </c>
      <c r="G3868" s="6" t="s">
        <v>89</v>
      </c>
      <c r="H3868" s="6" t="s">
        <v>649</v>
      </c>
      <c r="I3868" s="8" t="s">
        <v>116</v>
      </c>
      <c r="J3868" s="9">
        <v>1</v>
      </c>
      <c r="K3868" s="9">
        <v>336</v>
      </c>
      <c r="L3868" s="9">
        <v>2025</v>
      </c>
      <c r="M3868" s="8" t="s">
        <v>23058</v>
      </c>
      <c r="N3868" s="8" t="s">
        <v>79</v>
      </c>
      <c r="O3868" s="8" t="s">
        <v>80</v>
      </c>
      <c r="P3868" s="6" t="s">
        <v>167</v>
      </c>
      <c r="Q3868" s="8" t="s">
        <v>44</v>
      </c>
      <c r="R3868" s="10" t="s">
        <v>23059</v>
      </c>
      <c r="S3868" s="11" t="s">
        <v>23060</v>
      </c>
      <c r="T3868" s="6"/>
      <c r="U3868" s="24" t="str">
        <f>HYPERLINK("https://media.infra-m.ru/2192/2192236/cover/2192236.jpg", "Обложка")</f>
        <v>Обложка</v>
      </c>
      <c r="V3868" s="24" t="str">
        <f>HYPERLINK("https://znanium.ru/catalog/product/1913205", "Ознакомиться")</f>
        <v>Ознакомиться</v>
      </c>
      <c r="W3868" s="8" t="s">
        <v>2216</v>
      </c>
      <c r="X3868" s="6"/>
      <c r="Y3868" s="6"/>
      <c r="Z3868" s="6"/>
      <c r="AA3868" s="6" t="s">
        <v>47</v>
      </c>
      <c r="AB3868" s="8"/>
    </row>
    <row r="3869" spans="1:28" s="4" customFormat="1" ht="51.95" customHeight="1">
      <c r="A3869" s="5">
        <v>0</v>
      </c>
      <c r="B3869" s="6" t="s">
        <v>23061</v>
      </c>
      <c r="C3869" s="13">
        <v>1514</v>
      </c>
      <c r="D3869" s="8" t="s">
        <v>23062</v>
      </c>
      <c r="E3869" s="8" t="s">
        <v>23056</v>
      </c>
      <c r="F3869" s="8" t="s">
        <v>23057</v>
      </c>
      <c r="G3869" s="6" t="s">
        <v>52</v>
      </c>
      <c r="H3869" s="6" t="s">
        <v>649</v>
      </c>
      <c r="I3869" s="8" t="s">
        <v>100</v>
      </c>
      <c r="J3869" s="9">
        <v>1</v>
      </c>
      <c r="K3869" s="9">
        <v>335</v>
      </c>
      <c r="L3869" s="9">
        <v>2023</v>
      </c>
      <c r="M3869" s="8" t="s">
        <v>23063</v>
      </c>
      <c r="N3869" s="8" t="s">
        <v>79</v>
      </c>
      <c r="O3869" s="8" t="s">
        <v>80</v>
      </c>
      <c r="P3869" s="6" t="s">
        <v>43</v>
      </c>
      <c r="Q3869" s="8" t="s">
        <v>102</v>
      </c>
      <c r="R3869" s="10" t="s">
        <v>8172</v>
      </c>
      <c r="S3869" s="11" t="s">
        <v>2596</v>
      </c>
      <c r="T3869" s="6"/>
      <c r="U3869" s="24" t="str">
        <f>HYPERLINK("https://media.infra-m.ru/2045/2045975/cover/2045975.jpg", "Обложка")</f>
        <v>Обложка</v>
      </c>
      <c r="V3869" s="24" t="str">
        <f>HYPERLINK("https://znanium.ru/catalog/product/1189340", "Ознакомиться")</f>
        <v>Ознакомиться</v>
      </c>
      <c r="W3869" s="8" t="s">
        <v>2216</v>
      </c>
      <c r="X3869" s="6"/>
      <c r="Y3869" s="6"/>
      <c r="Z3869" s="6" t="s">
        <v>104</v>
      </c>
      <c r="AA3869" s="6" t="s">
        <v>793</v>
      </c>
      <c r="AB3869" s="8"/>
    </row>
    <row r="3870" spans="1:28" s="4" customFormat="1" ht="42" customHeight="1">
      <c r="A3870" s="5">
        <v>0</v>
      </c>
      <c r="B3870" s="6" t="s">
        <v>23064</v>
      </c>
      <c r="C3870" s="7">
        <v>804</v>
      </c>
      <c r="D3870" s="8" t="s">
        <v>23065</v>
      </c>
      <c r="E3870" s="8" t="s">
        <v>23066</v>
      </c>
      <c r="F3870" s="8" t="s">
        <v>23067</v>
      </c>
      <c r="G3870" s="6" t="s">
        <v>38</v>
      </c>
      <c r="H3870" s="6" t="s">
        <v>39</v>
      </c>
      <c r="I3870" s="8" t="s">
        <v>90</v>
      </c>
      <c r="J3870" s="9">
        <v>1</v>
      </c>
      <c r="K3870" s="9">
        <v>176</v>
      </c>
      <c r="L3870" s="9">
        <v>2024</v>
      </c>
      <c r="M3870" s="8" t="s">
        <v>23068</v>
      </c>
      <c r="N3870" s="8" t="s">
        <v>79</v>
      </c>
      <c r="O3870" s="8" t="s">
        <v>396</v>
      </c>
      <c r="P3870" s="6" t="s">
        <v>43</v>
      </c>
      <c r="Q3870" s="8" t="s">
        <v>279</v>
      </c>
      <c r="R3870" s="10" t="s">
        <v>23069</v>
      </c>
      <c r="S3870" s="11"/>
      <c r="T3870" s="6"/>
      <c r="U3870" s="24" t="str">
        <f>HYPERLINK("https://media.infra-m.ru/2087/2087281/cover/2087281.jpg", "Обложка")</f>
        <v>Обложка</v>
      </c>
      <c r="V3870" s="24" t="str">
        <f>HYPERLINK("https://znanium.ru/catalog/product/1041952", "Ознакомиться")</f>
        <v>Ознакомиться</v>
      </c>
      <c r="W3870" s="8" t="s">
        <v>10544</v>
      </c>
      <c r="X3870" s="6"/>
      <c r="Y3870" s="6"/>
      <c r="Z3870" s="6"/>
      <c r="AA3870" s="6" t="s">
        <v>111</v>
      </c>
      <c r="AB3870" s="8"/>
    </row>
    <row r="3871" spans="1:28" s="4" customFormat="1" ht="51.95" customHeight="1">
      <c r="A3871" s="5">
        <v>0</v>
      </c>
      <c r="B3871" s="6" t="s">
        <v>23070</v>
      </c>
      <c r="C3871" s="13">
        <v>1220</v>
      </c>
      <c r="D3871" s="8" t="s">
        <v>23071</v>
      </c>
      <c r="E3871" s="8" t="s">
        <v>23072</v>
      </c>
      <c r="F3871" s="8" t="s">
        <v>23073</v>
      </c>
      <c r="G3871" s="6" t="s">
        <v>52</v>
      </c>
      <c r="H3871" s="6" t="s">
        <v>649</v>
      </c>
      <c r="I3871" s="8" t="s">
        <v>100</v>
      </c>
      <c r="J3871" s="9">
        <v>1</v>
      </c>
      <c r="K3871" s="9">
        <v>320</v>
      </c>
      <c r="L3871" s="9">
        <v>2022</v>
      </c>
      <c r="M3871" s="8" t="s">
        <v>23074</v>
      </c>
      <c r="N3871" s="8" t="s">
        <v>79</v>
      </c>
      <c r="O3871" s="8" t="s">
        <v>80</v>
      </c>
      <c r="P3871" s="6" t="s">
        <v>43</v>
      </c>
      <c r="Q3871" s="8" t="s">
        <v>102</v>
      </c>
      <c r="R3871" s="10" t="s">
        <v>1349</v>
      </c>
      <c r="S3871" s="11" t="s">
        <v>23075</v>
      </c>
      <c r="T3871" s="6"/>
      <c r="U3871" s="24" t="str">
        <f>HYPERLINK("https://media.infra-m.ru/1862/1862906/cover/1862906.jpg", "Обложка")</f>
        <v>Обложка</v>
      </c>
      <c r="V3871" s="24" t="str">
        <f>HYPERLINK("https://znanium.ru/catalog/product/1862906", "Ознакомиться")</f>
        <v>Ознакомиться</v>
      </c>
      <c r="W3871" s="8" t="s">
        <v>347</v>
      </c>
      <c r="X3871" s="6"/>
      <c r="Y3871" s="6"/>
      <c r="Z3871" s="6" t="s">
        <v>104</v>
      </c>
      <c r="AA3871" s="6" t="s">
        <v>513</v>
      </c>
      <c r="AB3871" s="8"/>
    </row>
    <row r="3872" spans="1:28" s="4" customFormat="1" ht="51.95" customHeight="1">
      <c r="A3872" s="5">
        <v>0</v>
      </c>
      <c r="B3872" s="6" t="s">
        <v>23076</v>
      </c>
      <c r="C3872" s="13">
        <v>1664</v>
      </c>
      <c r="D3872" s="8" t="s">
        <v>23077</v>
      </c>
      <c r="E3872" s="8" t="s">
        <v>23072</v>
      </c>
      <c r="F3872" s="8" t="s">
        <v>14543</v>
      </c>
      <c r="G3872" s="6" t="s">
        <v>52</v>
      </c>
      <c r="H3872" s="6" t="s">
        <v>649</v>
      </c>
      <c r="I3872" s="8" t="s">
        <v>116</v>
      </c>
      <c r="J3872" s="9">
        <v>1</v>
      </c>
      <c r="K3872" s="9">
        <v>320</v>
      </c>
      <c r="L3872" s="9">
        <v>2025</v>
      </c>
      <c r="M3872" s="8" t="s">
        <v>23078</v>
      </c>
      <c r="N3872" s="8" t="s">
        <v>79</v>
      </c>
      <c r="O3872" s="8" t="s">
        <v>80</v>
      </c>
      <c r="P3872" s="6" t="s">
        <v>43</v>
      </c>
      <c r="Q3872" s="8" t="s">
        <v>44</v>
      </c>
      <c r="R3872" s="10" t="s">
        <v>13011</v>
      </c>
      <c r="S3872" s="11" t="s">
        <v>14551</v>
      </c>
      <c r="T3872" s="6"/>
      <c r="U3872" s="24" t="str">
        <f>HYPERLINK("https://media.infra-m.ru/2194/2194294/cover/2194294.jpg", "Обложка")</f>
        <v>Обложка</v>
      </c>
      <c r="V3872" s="24" t="str">
        <f>HYPERLINK("https://znanium.ru/catalog/product/1842562", "Ознакомиться")</f>
        <v>Ознакомиться</v>
      </c>
      <c r="W3872" s="8" t="s">
        <v>347</v>
      </c>
      <c r="X3872" s="6"/>
      <c r="Y3872" s="6"/>
      <c r="Z3872" s="6"/>
      <c r="AA3872" s="6" t="s">
        <v>407</v>
      </c>
      <c r="AB3872" s="8"/>
    </row>
    <row r="3873" spans="1:28" s="4" customFormat="1" ht="51.95" customHeight="1">
      <c r="A3873" s="5">
        <v>0</v>
      </c>
      <c r="B3873" s="6" t="s">
        <v>23079</v>
      </c>
      <c r="C3873" s="7">
        <v>580</v>
      </c>
      <c r="D3873" s="8" t="s">
        <v>23080</v>
      </c>
      <c r="E3873" s="8" t="s">
        <v>23081</v>
      </c>
      <c r="F3873" s="8" t="s">
        <v>23082</v>
      </c>
      <c r="G3873" s="6" t="s">
        <v>38</v>
      </c>
      <c r="H3873" s="6" t="s">
        <v>53</v>
      </c>
      <c r="I3873" s="8" t="s">
        <v>116</v>
      </c>
      <c r="J3873" s="9">
        <v>1</v>
      </c>
      <c r="K3873" s="9">
        <v>104</v>
      </c>
      <c r="L3873" s="9">
        <v>2025</v>
      </c>
      <c r="M3873" s="8" t="s">
        <v>23083</v>
      </c>
      <c r="N3873" s="8" t="s">
        <v>413</v>
      </c>
      <c r="O3873" s="8" t="s">
        <v>1584</v>
      </c>
      <c r="P3873" s="6" t="s">
        <v>43</v>
      </c>
      <c r="Q3873" s="8" t="s">
        <v>44</v>
      </c>
      <c r="R3873" s="10" t="s">
        <v>23084</v>
      </c>
      <c r="S3873" s="11" t="s">
        <v>23085</v>
      </c>
      <c r="T3873" s="6"/>
      <c r="U3873" s="24" t="str">
        <f>HYPERLINK("https://media.infra-m.ru/2172/2172572/cover/2172572.jpg", "Обложка")</f>
        <v>Обложка</v>
      </c>
      <c r="V3873" s="24" t="str">
        <f>HYPERLINK("https://znanium.ru/catalog/product/2172572", "Ознакомиться")</f>
        <v>Ознакомиться</v>
      </c>
      <c r="W3873" s="8" t="s">
        <v>4293</v>
      </c>
      <c r="X3873" s="6"/>
      <c r="Y3873" s="6"/>
      <c r="Z3873" s="6"/>
      <c r="AA3873" s="6" t="s">
        <v>122</v>
      </c>
      <c r="AB3873" s="8"/>
    </row>
    <row r="3874" spans="1:28" s="4" customFormat="1" ht="51.95" customHeight="1">
      <c r="A3874" s="5">
        <v>0</v>
      </c>
      <c r="B3874" s="6" t="s">
        <v>23086</v>
      </c>
      <c r="C3874" s="13">
        <v>1410</v>
      </c>
      <c r="D3874" s="8" t="s">
        <v>23087</v>
      </c>
      <c r="E3874" s="8" t="s">
        <v>23088</v>
      </c>
      <c r="F3874" s="8" t="s">
        <v>23089</v>
      </c>
      <c r="G3874" s="6" t="s">
        <v>89</v>
      </c>
      <c r="H3874" s="6" t="s">
        <v>53</v>
      </c>
      <c r="I3874" s="8" t="s">
        <v>116</v>
      </c>
      <c r="J3874" s="9">
        <v>1</v>
      </c>
      <c r="K3874" s="9">
        <v>301</v>
      </c>
      <c r="L3874" s="9">
        <v>2024</v>
      </c>
      <c r="M3874" s="8" t="s">
        <v>23090</v>
      </c>
      <c r="N3874" s="8" t="s">
        <v>79</v>
      </c>
      <c r="O3874" s="8" t="s">
        <v>396</v>
      </c>
      <c r="P3874" s="6" t="s">
        <v>43</v>
      </c>
      <c r="Q3874" s="8" t="s">
        <v>58</v>
      </c>
      <c r="R3874" s="10" t="s">
        <v>23091</v>
      </c>
      <c r="S3874" s="11" t="s">
        <v>23092</v>
      </c>
      <c r="T3874" s="6" t="s">
        <v>299</v>
      </c>
      <c r="U3874" s="24" t="str">
        <f>HYPERLINK("https://media.infra-m.ru/2141/2141027/cover/2141027.jpg", "Обложка")</f>
        <v>Обложка</v>
      </c>
      <c r="V3874" s="24" t="str">
        <f>HYPERLINK("https://znanium.ru/catalog/product/2141027", "Ознакомиться")</f>
        <v>Ознакомиться</v>
      </c>
      <c r="W3874" s="8" t="s">
        <v>2938</v>
      </c>
      <c r="X3874" s="6"/>
      <c r="Y3874" s="6"/>
      <c r="Z3874" s="6"/>
      <c r="AA3874" s="6" t="s">
        <v>151</v>
      </c>
      <c r="AB3874" s="8"/>
    </row>
    <row r="3875" spans="1:28" s="4" customFormat="1" ht="51.95" customHeight="1">
      <c r="A3875" s="5">
        <v>0</v>
      </c>
      <c r="B3875" s="6" t="s">
        <v>23093</v>
      </c>
      <c r="C3875" s="13">
        <v>1834</v>
      </c>
      <c r="D3875" s="8" t="s">
        <v>23094</v>
      </c>
      <c r="E3875" s="8" t="s">
        <v>23095</v>
      </c>
      <c r="F3875" s="8" t="s">
        <v>23096</v>
      </c>
      <c r="G3875" s="6" t="s">
        <v>89</v>
      </c>
      <c r="H3875" s="6" t="s">
        <v>53</v>
      </c>
      <c r="I3875" s="8" t="s">
        <v>90</v>
      </c>
      <c r="J3875" s="9">
        <v>1</v>
      </c>
      <c r="K3875" s="9">
        <v>352</v>
      </c>
      <c r="L3875" s="9">
        <v>2025</v>
      </c>
      <c r="M3875" s="8" t="s">
        <v>23097</v>
      </c>
      <c r="N3875" s="8" t="s">
        <v>79</v>
      </c>
      <c r="O3875" s="8" t="s">
        <v>396</v>
      </c>
      <c r="P3875" s="6" t="s">
        <v>167</v>
      </c>
      <c r="Q3875" s="8" t="s">
        <v>44</v>
      </c>
      <c r="R3875" s="10" t="s">
        <v>23098</v>
      </c>
      <c r="S3875" s="11" t="s">
        <v>23099</v>
      </c>
      <c r="T3875" s="6"/>
      <c r="U3875" s="24" t="str">
        <f>HYPERLINK("https://media.infra-m.ru/2196/2196138/cover/2196138.jpg", "Обложка")</f>
        <v>Обложка</v>
      </c>
      <c r="V3875" s="24" t="str">
        <f>HYPERLINK("https://znanium.ru/catalog/product/1893656", "Ознакомиться")</f>
        <v>Ознакомиться</v>
      </c>
      <c r="W3875" s="8" t="s">
        <v>2938</v>
      </c>
      <c r="X3875" s="6"/>
      <c r="Y3875" s="6"/>
      <c r="Z3875" s="6"/>
      <c r="AA3875" s="6" t="s">
        <v>151</v>
      </c>
      <c r="AB3875" s="8"/>
    </row>
    <row r="3876" spans="1:28" s="4" customFormat="1" ht="42" customHeight="1">
      <c r="A3876" s="5">
        <v>0</v>
      </c>
      <c r="B3876" s="6" t="s">
        <v>23100</v>
      </c>
      <c r="C3876" s="13">
        <v>1230</v>
      </c>
      <c r="D3876" s="8" t="s">
        <v>23101</v>
      </c>
      <c r="E3876" s="8" t="s">
        <v>23102</v>
      </c>
      <c r="F3876" s="8" t="s">
        <v>23103</v>
      </c>
      <c r="G3876" s="6" t="s">
        <v>89</v>
      </c>
      <c r="H3876" s="6" t="s">
        <v>53</v>
      </c>
      <c r="I3876" s="8" t="s">
        <v>116</v>
      </c>
      <c r="J3876" s="9">
        <v>1</v>
      </c>
      <c r="K3876" s="9">
        <v>233</v>
      </c>
      <c r="L3876" s="9">
        <v>2025</v>
      </c>
      <c r="M3876" s="8" t="s">
        <v>23104</v>
      </c>
      <c r="N3876" s="8" t="s">
        <v>79</v>
      </c>
      <c r="O3876" s="8" t="s">
        <v>174</v>
      </c>
      <c r="P3876" s="6" t="s">
        <v>167</v>
      </c>
      <c r="Q3876" s="8" t="s">
        <v>279</v>
      </c>
      <c r="R3876" s="10" t="s">
        <v>23105</v>
      </c>
      <c r="S3876" s="11"/>
      <c r="T3876" s="6"/>
      <c r="U3876" s="24" t="str">
        <f>HYPERLINK("https://media.infra-m.ru/2191/2191621/cover/2191621.jpg", "Обложка")</f>
        <v>Обложка</v>
      </c>
      <c r="V3876" s="24" t="str">
        <f>HYPERLINK("https://znanium.ru/catalog/product/2191621", "Ознакомиться")</f>
        <v>Ознакомиться</v>
      </c>
      <c r="W3876" s="8" t="s">
        <v>23106</v>
      </c>
      <c r="X3876" s="6"/>
      <c r="Y3876" s="6"/>
      <c r="Z3876" s="6"/>
      <c r="AA3876" s="6" t="s">
        <v>207</v>
      </c>
      <c r="AB3876" s="8"/>
    </row>
    <row r="3877" spans="1:28" s="4" customFormat="1" ht="51.95" customHeight="1">
      <c r="A3877" s="5">
        <v>0</v>
      </c>
      <c r="B3877" s="6" t="s">
        <v>23107</v>
      </c>
      <c r="C3877" s="7">
        <v>480</v>
      </c>
      <c r="D3877" s="8" t="s">
        <v>23108</v>
      </c>
      <c r="E3877" s="8" t="s">
        <v>23109</v>
      </c>
      <c r="F3877" s="8" t="s">
        <v>23110</v>
      </c>
      <c r="G3877" s="6" t="s">
        <v>38</v>
      </c>
      <c r="H3877" s="6" t="s">
        <v>53</v>
      </c>
      <c r="I3877" s="8" t="s">
        <v>116</v>
      </c>
      <c r="J3877" s="9">
        <v>1</v>
      </c>
      <c r="K3877" s="9">
        <v>104</v>
      </c>
      <c r="L3877" s="9">
        <v>2024</v>
      </c>
      <c r="M3877" s="8" t="s">
        <v>23111</v>
      </c>
      <c r="N3877" s="8" t="s">
        <v>413</v>
      </c>
      <c r="O3877" s="8" t="s">
        <v>414</v>
      </c>
      <c r="P3877" s="6" t="s">
        <v>43</v>
      </c>
      <c r="Q3877" s="8" t="s">
        <v>44</v>
      </c>
      <c r="R3877" s="10" t="s">
        <v>20586</v>
      </c>
      <c r="S3877" s="11" t="s">
        <v>23112</v>
      </c>
      <c r="T3877" s="6"/>
      <c r="U3877" s="24" t="str">
        <f>HYPERLINK("https://media.infra-m.ru/2099/2099069/cover/2099069.jpg", "Обложка")</f>
        <v>Обложка</v>
      </c>
      <c r="V3877" s="24" t="str">
        <f>HYPERLINK("https://znanium.ru/catalog/product/2099069", "Ознакомиться")</f>
        <v>Ознакомиться</v>
      </c>
      <c r="W3877" s="8" t="s">
        <v>8588</v>
      </c>
      <c r="X3877" s="6"/>
      <c r="Y3877" s="6"/>
      <c r="Z3877" s="6"/>
      <c r="AA3877" s="6" t="s">
        <v>418</v>
      </c>
      <c r="AB3877" s="8"/>
    </row>
    <row r="3878" spans="1:28" s="4" customFormat="1" ht="51.95" customHeight="1">
      <c r="A3878" s="5">
        <v>0</v>
      </c>
      <c r="B3878" s="6" t="s">
        <v>23113</v>
      </c>
      <c r="C3878" s="13">
        <v>1164.9000000000001</v>
      </c>
      <c r="D3878" s="8" t="s">
        <v>23114</v>
      </c>
      <c r="E3878" s="8" t="s">
        <v>23115</v>
      </c>
      <c r="F3878" s="8" t="s">
        <v>23116</v>
      </c>
      <c r="G3878" s="6" t="s">
        <v>52</v>
      </c>
      <c r="H3878" s="6" t="s">
        <v>53</v>
      </c>
      <c r="I3878" s="8" t="s">
        <v>90</v>
      </c>
      <c r="J3878" s="9">
        <v>1</v>
      </c>
      <c r="K3878" s="9">
        <v>259</v>
      </c>
      <c r="L3878" s="9">
        <v>2023</v>
      </c>
      <c r="M3878" s="8" t="s">
        <v>23117</v>
      </c>
      <c r="N3878" s="8" t="s">
        <v>79</v>
      </c>
      <c r="O3878" s="8" t="s">
        <v>174</v>
      </c>
      <c r="P3878" s="6" t="s">
        <v>43</v>
      </c>
      <c r="Q3878" s="8" t="s">
        <v>44</v>
      </c>
      <c r="R3878" s="10" t="s">
        <v>23118</v>
      </c>
      <c r="S3878" s="11"/>
      <c r="T3878" s="6"/>
      <c r="U3878" s="24" t="str">
        <f>HYPERLINK("https://media.infra-m.ru/1981/1981665/cover/1981665.jpg", "Обложка")</f>
        <v>Обложка</v>
      </c>
      <c r="V3878" s="24" t="str">
        <f>HYPERLINK("https://znanium.ru/catalog/product/960050", "Ознакомиться")</f>
        <v>Ознакомиться</v>
      </c>
      <c r="W3878" s="8" t="s">
        <v>4343</v>
      </c>
      <c r="X3878" s="6"/>
      <c r="Y3878" s="6"/>
      <c r="Z3878" s="6"/>
      <c r="AA3878" s="6" t="s">
        <v>84</v>
      </c>
      <c r="AB3878" s="8"/>
    </row>
    <row r="3879" spans="1:28" s="4" customFormat="1" ht="51.95" customHeight="1">
      <c r="A3879" s="5">
        <v>0</v>
      </c>
      <c r="B3879" s="6" t="s">
        <v>23119</v>
      </c>
      <c r="C3879" s="7">
        <v>884</v>
      </c>
      <c r="D3879" s="8" t="s">
        <v>23120</v>
      </c>
      <c r="E3879" s="8" t="s">
        <v>23121</v>
      </c>
      <c r="F3879" s="8" t="s">
        <v>19523</v>
      </c>
      <c r="G3879" s="6" t="s">
        <v>52</v>
      </c>
      <c r="H3879" s="6" t="s">
        <v>53</v>
      </c>
      <c r="I3879" s="8" t="s">
        <v>90</v>
      </c>
      <c r="J3879" s="9">
        <v>1</v>
      </c>
      <c r="K3879" s="9">
        <v>192</v>
      </c>
      <c r="L3879" s="9">
        <v>2023</v>
      </c>
      <c r="M3879" s="8" t="s">
        <v>23122</v>
      </c>
      <c r="N3879" s="8" t="s">
        <v>79</v>
      </c>
      <c r="O3879" s="8" t="s">
        <v>396</v>
      </c>
      <c r="P3879" s="6" t="s">
        <v>43</v>
      </c>
      <c r="Q3879" s="8" t="s">
        <v>44</v>
      </c>
      <c r="R3879" s="10" t="s">
        <v>20911</v>
      </c>
      <c r="S3879" s="11" t="s">
        <v>23123</v>
      </c>
      <c r="T3879" s="6"/>
      <c r="U3879" s="24" t="str">
        <f>HYPERLINK("https://media.infra-m.ru/1981/1981677/cover/1981677.jpg", "Обложка")</f>
        <v>Обложка</v>
      </c>
      <c r="V3879" s="24" t="str">
        <f>HYPERLINK("https://znanium.ru/catalog/product/959892", "Ознакомиться")</f>
        <v>Ознакомиться</v>
      </c>
      <c r="W3879" s="8" t="s">
        <v>19527</v>
      </c>
      <c r="X3879" s="6"/>
      <c r="Y3879" s="6"/>
      <c r="Z3879" s="6"/>
      <c r="AA3879" s="6" t="s">
        <v>84</v>
      </c>
      <c r="AB3879" s="8"/>
    </row>
    <row r="3880" spans="1:28" s="4" customFormat="1" ht="51.95" customHeight="1">
      <c r="A3880" s="5">
        <v>0</v>
      </c>
      <c r="B3880" s="6" t="s">
        <v>23124</v>
      </c>
      <c r="C3880" s="13">
        <v>1830</v>
      </c>
      <c r="D3880" s="8" t="s">
        <v>23125</v>
      </c>
      <c r="E3880" s="8" t="s">
        <v>23126</v>
      </c>
      <c r="F3880" s="8" t="s">
        <v>14505</v>
      </c>
      <c r="G3880" s="6" t="s">
        <v>89</v>
      </c>
      <c r="H3880" s="6" t="s">
        <v>77</v>
      </c>
      <c r="I3880" s="8"/>
      <c r="J3880" s="9">
        <v>1</v>
      </c>
      <c r="K3880" s="9">
        <v>392</v>
      </c>
      <c r="L3880" s="9">
        <v>2024</v>
      </c>
      <c r="M3880" s="8" t="s">
        <v>23127</v>
      </c>
      <c r="N3880" s="8" t="s">
        <v>997</v>
      </c>
      <c r="O3880" s="8" t="s">
        <v>998</v>
      </c>
      <c r="P3880" s="6" t="s">
        <v>43</v>
      </c>
      <c r="Q3880" s="8" t="s">
        <v>279</v>
      </c>
      <c r="R3880" s="10" t="s">
        <v>13924</v>
      </c>
      <c r="S3880" s="11" t="s">
        <v>23128</v>
      </c>
      <c r="T3880" s="6"/>
      <c r="U3880" s="24" t="str">
        <f>HYPERLINK("https://media.infra-m.ru/2086/2086853/cover/2086853.jpg", "Обложка")</f>
        <v>Обложка</v>
      </c>
      <c r="V3880" s="24" t="str">
        <f>HYPERLINK("https://znanium.ru/catalog/product/2086853", "Ознакомиться")</f>
        <v>Ознакомиться</v>
      </c>
      <c r="W3880" s="8" t="s">
        <v>12535</v>
      </c>
      <c r="X3880" s="6"/>
      <c r="Y3880" s="6"/>
      <c r="Z3880" s="6"/>
      <c r="AA3880" s="6" t="s">
        <v>122</v>
      </c>
      <c r="AB3880" s="8"/>
    </row>
    <row r="3881" spans="1:28" s="4" customFormat="1" ht="51.95" customHeight="1">
      <c r="A3881" s="5">
        <v>0</v>
      </c>
      <c r="B3881" s="6" t="s">
        <v>23129</v>
      </c>
      <c r="C3881" s="7">
        <v>860</v>
      </c>
      <c r="D3881" s="8" t="s">
        <v>23130</v>
      </c>
      <c r="E3881" s="8" t="s">
        <v>23131</v>
      </c>
      <c r="F3881" s="8" t="s">
        <v>23132</v>
      </c>
      <c r="G3881" s="6" t="s">
        <v>89</v>
      </c>
      <c r="H3881" s="6" t="s">
        <v>53</v>
      </c>
      <c r="I3881" s="8" t="s">
        <v>116</v>
      </c>
      <c r="J3881" s="9">
        <v>1</v>
      </c>
      <c r="K3881" s="9">
        <v>178</v>
      </c>
      <c r="L3881" s="9">
        <v>2024</v>
      </c>
      <c r="M3881" s="8" t="s">
        <v>23133</v>
      </c>
      <c r="N3881" s="8" t="s">
        <v>41</v>
      </c>
      <c r="O3881" s="8" t="s">
        <v>1204</v>
      </c>
      <c r="P3881" s="6" t="s">
        <v>43</v>
      </c>
      <c r="Q3881" s="8" t="s">
        <v>44</v>
      </c>
      <c r="R3881" s="10" t="s">
        <v>23134</v>
      </c>
      <c r="S3881" s="11" t="s">
        <v>23135</v>
      </c>
      <c r="T3881" s="6"/>
      <c r="U3881" s="24" t="str">
        <f>HYPERLINK("https://media.infra-m.ru/2155/2155015/cover/2155015.jpg", "Обложка")</f>
        <v>Обложка</v>
      </c>
      <c r="V3881" s="24" t="str">
        <f>HYPERLINK("https://znanium.ru/catalog/product/2155015", "Ознакомиться")</f>
        <v>Ознакомиться</v>
      </c>
      <c r="W3881" s="8" t="s">
        <v>4331</v>
      </c>
      <c r="X3881" s="6"/>
      <c r="Y3881" s="6"/>
      <c r="Z3881" s="6"/>
      <c r="AA3881" s="6" t="s">
        <v>793</v>
      </c>
      <c r="AB3881" s="8"/>
    </row>
    <row r="3882" spans="1:28" s="4" customFormat="1" ht="51.95" customHeight="1">
      <c r="A3882" s="5">
        <v>0</v>
      </c>
      <c r="B3882" s="6" t="s">
        <v>23136</v>
      </c>
      <c r="C3882" s="13">
        <v>2954</v>
      </c>
      <c r="D3882" s="8" t="s">
        <v>23137</v>
      </c>
      <c r="E3882" s="8" t="s">
        <v>23138</v>
      </c>
      <c r="F3882" s="8" t="s">
        <v>23139</v>
      </c>
      <c r="G3882" s="6" t="s">
        <v>52</v>
      </c>
      <c r="H3882" s="6" t="s">
        <v>39</v>
      </c>
      <c r="I3882" s="8" t="s">
        <v>116</v>
      </c>
      <c r="J3882" s="9">
        <v>1</v>
      </c>
      <c r="K3882" s="9">
        <v>592</v>
      </c>
      <c r="L3882" s="9">
        <v>2025</v>
      </c>
      <c r="M3882" s="8" t="s">
        <v>23140</v>
      </c>
      <c r="N3882" s="8" t="s">
        <v>41</v>
      </c>
      <c r="O3882" s="8" t="s">
        <v>676</v>
      </c>
      <c r="P3882" s="6" t="s">
        <v>43</v>
      </c>
      <c r="Q3882" s="8" t="s">
        <v>44</v>
      </c>
      <c r="R3882" s="10" t="s">
        <v>23141</v>
      </c>
      <c r="S3882" s="11" t="s">
        <v>7217</v>
      </c>
      <c r="T3882" s="6"/>
      <c r="U3882" s="24" t="str">
        <f>HYPERLINK("https://media.infra-m.ru/2172/2172403/cover/2172403.jpg", "Обложка")</f>
        <v>Обложка</v>
      </c>
      <c r="V3882" s="12"/>
      <c r="W3882" s="8" t="s">
        <v>4109</v>
      </c>
      <c r="X3882" s="6"/>
      <c r="Y3882" s="6"/>
      <c r="Z3882" s="6"/>
      <c r="AA3882" s="6" t="s">
        <v>122</v>
      </c>
      <c r="AB3882" s="8"/>
    </row>
    <row r="3883" spans="1:28" s="4" customFormat="1" ht="44.1" customHeight="1">
      <c r="A3883" s="5">
        <v>0</v>
      </c>
      <c r="B3883" s="6" t="s">
        <v>23142</v>
      </c>
      <c r="C3883" s="7">
        <v>374</v>
      </c>
      <c r="D3883" s="8" t="s">
        <v>23143</v>
      </c>
      <c r="E3883" s="8" t="s">
        <v>23144</v>
      </c>
      <c r="F3883" s="8" t="s">
        <v>23145</v>
      </c>
      <c r="G3883" s="6" t="s">
        <v>38</v>
      </c>
      <c r="H3883" s="6" t="s">
        <v>53</v>
      </c>
      <c r="I3883" s="8" t="s">
        <v>276</v>
      </c>
      <c r="J3883" s="9">
        <v>1</v>
      </c>
      <c r="K3883" s="9">
        <v>58</v>
      </c>
      <c r="L3883" s="9">
        <v>2024</v>
      </c>
      <c r="M3883" s="8" t="s">
        <v>23146</v>
      </c>
      <c r="N3883" s="8" t="s">
        <v>997</v>
      </c>
      <c r="O3883" s="8" t="s">
        <v>998</v>
      </c>
      <c r="P3883" s="6" t="s">
        <v>43</v>
      </c>
      <c r="Q3883" s="8" t="s">
        <v>279</v>
      </c>
      <c r="R3883" s="10" t="s">
        <v>23147</v>
      </c>
      <c r="S3883" s="11"/>
      <c r="T3883" s="6"/>
      <c r="U3883" s="24" t="str">
        <f>HYPERLINK("https://media.infra-m.ru/2095/2095589/cover/2095589.jpg", "Обложка")</f>
        <v>Обложка</v>
      </c>
      <c r="V3883" s="24" t="str">
        <f>HYPERLINK("https://znanium.ru/catalog/product/1384777", "Ознакомиться")</f>
        <v>Ознакомиться</v>
      </c>
      <c r="W3883" s="8" t="s">
        <v>2514</v>
      </c>
      <c r="X3883" s="6"/>
      <c r="Y3883" s="6"/>
      <c r="Z3883" s="6"/>
      <c r="AA3883" s="6" t="s">
        <v>47</v>
      </c>
      <c r="AB3883" s="8"/>
    </row>
    <row r="3884" spans="1:28" s="4" customFormat="1" ht="51.95" customHeight="1">
      <c r="A3884" s="5">
        <v>0</v>
      </c>
      <c r="B3884" s="6" t="s">
        <v>23148</v>
      </c>
      <c r="C3884" s="13">
        <v>2564</v>
      </c>
      <c r="D3884" s="8" t="s">
        <v>23149</v>
      </c>
      <c r="E3884" s="8" t="s">
        <v>23150</v>
      </c>
      <c r="F3884" s="8" t="s">
        <v>9183</v>
      </c>
      <c r="G3884" s="6" t="s">
        <v>52</v>
      </c>
      <c r="H3884" s="6" t="s">
        <v>674</v>
      </c>
      <c r="I3884" s="8"/>
      <c r="J3884" s="9">
        <v>1</v>
      </c>
      <c r="K3884" s="9">
        <v>816</v>
      </c>
      <c r="L3884" s="9">
        <v>2025</v>
      </c>
      <c r="M3884" s="8" t="s">
        <v>23151</v>
      </c>
      <c r="N3884" s="8" t="s">
        <v>41</v>
      </c>
      <c r="O3884" s="8" t="s">
        <v>676</v>
      </c>
      <c r="P3884" s="6" t="s">
        <v>167</v>
      </c>
      <c r="Q3884" s="8" t="s">
        <v>44</v>
      </c>
      <c r="R3884" s="10" t="s">
        <v>23152</v>
      </c>
      <c r="S3884" s="11"/>
      <c r="T3884" s="6"/>
      <c r="U3884" s="24" t="str">
        <f>HYPERLINK("https://media.infra-m.ru/2177/2177852/cover/2177852.jpg", "Обложка")</f>
        <v>Обложка</v>
      </c>
      <c r="V3884" s="24" t="str">
        <f>HYPERLINK("https://znanium.ru/catalog/product/1991039", "Ознакомиться")</f>
        <v>Ознакомиться</v>
      </c>
      <c r="W3884" s="8" t="s">
        <v>678</v>
      </c>
      <c r="X3884" s="6"/>
      <c r="Y3884" s="6"/>
      <c r="Z3884" s="6"/>
      <c r="AA3884" s="6" t="s">
        <v>2193</v>
      </c>
      <c r="AB3884" s="8"/>
    </row>
    <row r="3885" spans="1:28" s="4" customFormat="1" ht="42" customHeight="1">
      <c r="A3885" s="5">
        <v>0</v>
      </c>
      <c r="B3885" s="6" t="s">
        <v>23153</v>
      </c>
      <c r="C3885" s="13">
        <v>2890</v>
      </c>
      <c r="D3885" s="8" t="s">
        <v>23154</v>
      </c>
      <c r="E3885" s="8" t="s">
        <v>23155</v>
      </c>
      <c r="F3885" s="8" t="s">
        <v>23156</v>
      </c>
      <c r="G3885" s="6" t="s">
        <v>52</v>
      </c>
      <c r="H3885" s="6" t="s">
        <v>674</v>
      </c>
      <c r="I3885" s="8"/>
      <c r="J3885" s="9">
        <v>1</v>
      </c>
      <c r="K3885" s="9">
        <v>656</v>
      </c>
      <c r="L3885" s="9">
        <v>2025</v>
      </c>
      <c r="M3885" s="8" t="s">
        <v>23157</v>
      </c>
      <c r="N3885" s="8" t="s">
        <v>41</v>
      </c>
      <c r="O3885" s="8" t="s">
        <v>676</v>
      </c>
      <c r="P3885" s="6" t="s">
        <v>167</v>
      </c>
      <c r="Q3885" s="8" t="s">
        <v>44</v>
      </c>
      <c r="R3885" s="10" t="s">
        <v>990</v>
      </c>
      <c r="S3885" s="11"/>
      <c r="T3885" s="6"/>
      <c r="U3885" s="24" t="str">
        <f>HYPERLINK("https://media.infra-m.ru/2165/2165975/cover/2165975.jpg", "Обложка")</f>
        <v>Обложка</v>
      </c>
      <c r="V3885" s="24" t="str">
        <f>HYPERLINK("https://znanium.ru/catalog/product/2165975", "Ознакомиться")</f>
        <v>Ознакомиться</v>
      </c>
      <c r="W3885" s="8" t="s">
        <v>2114</v>
      </c>
      <c r="X3885" s="6"/>
      <c r="Y3885" s="6"/>
      <c r="Z3885" s="6"/>
      <c r="AA3885" s="6" t="s">
        <v>122</v>
      </c>
      <c r="AB3885" s="8"/>
    </row>
    <row r="3886" spans="1:28" s="4" customFormat="1" ht="51.95" customHeight="1">
      <c r="A3886" s="5">
        <v>0</v>
      </c>
      <c r="B3886" s="6" t="s">
        <v>23158</v>
      </c>
      <c r="C3886" s="13">
        <v>1284</v>
      </c>
      <c r="D3886" s="8" t="s">
        <v>23159</v>
      </c>
      <c r="E3886" s="8" t="s">
        <v>23160</v>
      </c>
      <c r="F3886" s="8" t="s">
        <v>23161</v>
      </c>
      <c r="G3886" s="6" t="s">
        <v>89</v>
      </c>
      <c r="H3886" s="6" t="s">
        <v>674</v>
      </c>
      <c r="I3886" s="8"/>
      <c r="J3886" s="9">
        <v>1</v>
      </c>
      <c r="K3886" s="9">
        <v>256</v>
      </c>
      <c r="L3886" s="9">
        <v>2025</v>
      </c>
      <c r="M3886" s="8" t="s">
        <v>23162</v>
      </c>
      <c r="N3886" s="8" t="s">
        <v>41</v>
      </c>
      <c r="O3886" s="8" t="s">
        <v>676</v>
      </c>
      <c r="P3886" s="6" t="s">
        <v>43</v>
      </c>
      <c r="Q3886" s="8" t="s">
        <v>279</v>
      </c>
      <c r="R3886" s="10" t="s">
        <v>7326</v>
      </c>
      <c r="S3886" s="11"/>
      <c r="T3886" s="6"/>
      <c r="U3886" s="24" t="str">
        <f>HYPERLINK("https://media.infra-m.ru/2186/2186435/cover/2186435.jpg", "Обложка")</f>
        <v>Обложка</v>
      </c>
      <c r="V3886" s="24" t="str">
        <f>HYPERLINK("https://znanium.ru/catalog/product/1231014", "Ознакомиться")</f>
        <v>Ознакомиться</v>
      </c>
      <c r="W3886" s="8" t="s">
        <v>792</v>
      </c>
      <c r="X3886" s="6"/>
      <c r="Y3886" s="6"/>
      <c r="Z3886" s="6"/>
      <c r="AA3886" s="6" t="s">
        <v>258</v>
      </c>
      <c r="AB3886" s="8"/>
    </row>
    <row r="3887" spans="1:28" s="4" customFormat="1" ht="42" customHeight="1">
      <c r="A3887" s="5">
        <v>0</v>
      </c>
      <c r="B3887" s="6" t="s">
        <v>23163</v>
      </c>
      <c r="C3887" s="13">
        <v>1344</v>
      </c>
      <c r="D3887" s="8" t="s">
        <v>23164</v>
      </c>
      <c r="E3887" s="8" t="s">
        <v>23165</v>
      </c>
      <c r="F3887" s="8" t="s">
        <v>23166</v>
      </c>
      <c r="G3887" s="6" t="s">
        <v>52</v>
      </c>
      <c r="H3887" s="6" t="s">
        <v>674</v>
      </c>
      <c r="I3887" s="8"/>
      <c r="J3887" s="9">
        <v>1</v>
      </c>
      <c r="K3887" s="9">
        <v>296</v>
      </c>
      <c r="L3887" s="9">
        <v>2023</v>
      </c>
      <c r="M3887" s="8" t="s">
        <v>23167</v>
      </c>
      <c r="N3887" s="8" t="s">
        <v>41</v>
      </c>
      <c r="O3887" s="8" t="s">
        <v>676</v>
      </c>
      <c r="P3887" s="6" t="s">
        <v>167</v>
      </c>
      <c r="Q3887" s="8" t="s">
        <v>279</v>
      </c>
      <c r="R3887" s="10" t="s">
        <v>23168</v>
      </c>
      <c r="S3887" s="11"/>
      <c r="T3887" s="6"/>
      <c r="U3887" s="24" t="str">
        <f>HYPERLINK("https://media.infra-m.ru/1991/1991042/cover/1991042.jpg", "Обложка")</f>
        <v>Обложка</v>
      </c>
      <c r="V3887" s="24" t="str">
        <f>HYPERLINK("https://znanium.ru/catalog/product/1991042", "Ознакомиться")</f>
        <v>Ознакомиться</v>
      </c>
      <c r="W3887" s="8" t="s">
        <v>354</v>
      </c>
      <c r="X3887" s="6"/>
      <c r="Y3887" s="6"/>
      <c r="Z3887" s="6"/>
      <c r="AA3887" s="6" t="s">
        <v>219</v>
      </c>
      <c r="AB3887" s="8"/>
    </row>
    <row r="3888" spans="1:28" s="4" customFormat="1" ht="42" customHeight="1">
      <c r="A3888" s="5">
        <v>0</v>
      </c>
      <c r="B3888" s="6" t="s">
        <v>23169</v>
      </c>
      <c r="C3888" s="13">
        <v>2824</v>
      </c>
      <c r="D3888" s="8" t="s">
        <v>23170</v>
      </c>
      <c r="E3888" s="8" t="s">
        <v>23165</v>
      </c>
      <c r="F3888" s="8" t="s">
        <v>23171</v>
      </c>
      <c r="G3888" s="6" t="s">
        <v>52</v>
      </c>
      <c r="H3888" s="6" t="s">
        <v>674</v>
      </c>
      <c r="I3888" s="8"/>
      <c r="J3888" s="9">
        <v>1</v>
      </c>
      <c r="K3888" s="9">
        <v>544</v>
      </c>
      <c r="L3888" s="9">
        <v>2025</v>
      </c>
      <c r="M3888" s="8" t="s">
        <v>23172</v>
      </c>
      <c r="N3888" s="8" t="s">
        <v>41</v>
      </c>
      <c r="O3888" s="8" t="s">
        <v>676</v>
      </c>
      <c r="P3888" s="6" t="s">
        <v>167</v>
      </c>
      <c r="Q3888" s="8" t="s">
        <v>279</v>
      </c>
      <c r="R3888" s="10" t="s">
        <v>22277</v>
      </c>
      <c r="S3888" s="11"/>
      <c r="T3888" s="6"/>
      <c r="U3888" s="24" t="str">
        <f>HYPERLINK("https://media.infra-m.ru/2199/2199278/cover/2199278.jpg", "Обложка")</f>
        <v>Обложка</v>
      </c>
      <c r="V3888" s="24" t="str">
        <f>HYPERLINK("https://znanium.ru/catalog/product/2043246", "Ознакомиться")</f>
        <v>Ознакомиться</v>
      </c>
      <c r="W3888" s="8" t="s">
        <v>947</v>
      </c>
      <c r="X3888" s="6"/>
      <c r="Y3888" s="6"/>
      <c r="Z3888" s="6"/>
      <c r="AA3888" s="6" t="s">
        <v>793</v>
      </c>
      <c r="AB3888" s="8"/>
    </row>
    <row r="3889" spans="1:28" s="4" customFormat="1" ht="42" customHeight="1">
      <c r="A3889" s="5">
        <v>0</v>
      </c>
      <c r="B3889" s="6" t="s">
        <v>23173</v>
      </c>
      <c r="C3889" s="13">
        <v>1120</v>
      </c>
      <c r="D3889" s="8" t="s">
        <v>23174</v>
      </c>
      <c r="E3889" s="8" t="s">
        <v>23175</v>
      </c>
      <c r="F3889" s="8" t="s">
        <v>23176</v>
      </c>
      <c r="G3889" s="6" t="s">
        <v>89</v>
      </c>
      <c r="H3889" s="6" t="s">
        <v>674</v>
      </c>
      <c r="I3889" s="8"/>
      <c r="J3889" s="9">
        <v>1</v>
      </c>
      <c r="K3889" s="9">
        <v>224</v>
      </c>
      <c r="L3889" s="9">
        <v>2025</v>
      </c>
      <c r="M3889" s="8" t="s">
        <v>23177</v>
      </c>
      <c r="N3889" s="8" t="s">
        <v>41</v>
      </c>
      <c r="O3889" s="8" t="s">
        <v>676</v>
      </c>
      <c r="P3889" s="6" t="s">
        <v>43</v>
      </c>
      <c r="Q3889" s="8" t="s">
        <v>44</v>
      </c>
      <c r="R3889" s="10" t="s">
        <v>791</v>
      </c>
      <c r="S3889" s="11"/>
      <c r="T3889" s="6"/>
      <c r="U3889" s="24" t="str">
        <f>HYPERLINK("https://media.infra-m.ru/2170/2170038/cover/2170038.jpg", "Обложка")</f>
        <v>Обложка</v>
      </c>
      <c r="V3889" s="24" t="str">
        <f>HYPERLINK("https://znanium.ru/catalog/product/2170038", "Ознакомиться")</f>
        <v>Ознакомиться</v>
      </c>
      <c r="W3889" s="8" t="s">
        <v>792</v>
      </c>
      <c r="X3889" s="6"/>
      <c r="Y3889" s="6"/>
      <c r="Z3889" s="6"/>
      <c r="AA3889" s="6" t="s">
        <v>219</v>
      </c>
      <c r="AB3889" s="8"/>
    </row>
    <row r="3890" spans="1:28" s="4" customFormat="1" ht="51.95" customHeight="1">
      <c r="A3890" s="5">
        <v>0</v>
      </c>
      <c r="B3890" s="6" t="s">
        <v>23178</v>
      </c>
      <c r="C3890" s="7">
        <v>434.9</v>
      </c>
      <c r="D3890" s="8" t="s">
        <v>23179</v>
      </c>
      <c r="E3890" s="8" t="s">
        <v>23180</v>
      </c>
      <c r="F3890" s="8" t="s">
        <v>23181</v>
      </c>
      <c r="G3890" s="6" t="s">
        <v>38</v>
      </c>
      <c r="H3890" s="6" t="s">
        <v>952</v>
      </c>
      <c r="I3890" s="8"/>
      <c r="J3890" s="9">
        <v>1</v>
      </c>
      <c r="K3890" s="9">
        <v>142</v>
      </c>
      <c r="L3890" s="9">
        <v>2019</v>
      </c>
      <c r="M3890" s="8" t="s">
        <v>23182</v>
      </c>
      <c r="N3890" s="8" t="s">
        <v>41</v>
      </c>
      <c r="O3890" s="8" t="s">
        <v>1007</v>
      </c>
      <c r="P3890" s="6" t="s">
        <v>43</v>
      </c>
      <c r="Q3890" s="8" t="s">
        <v>44</v>
      </c>
      <c r="R3890" s="10" t="s">
        <v>23183</v>
      </c>
      <c r="S3890" s="11" t="s">
        <v>23184</v>
      </c>
      <c r="T3890" s="6"/>
      <c r="U3890" s="24" t="str">
        <f>HYPERLINK("https://media.infra-m.ru/1001/1001512/cover/1001512.jpg", "Обложка")</f>
        <v>Обложка</v>
      </c>
      <c r="V3890" s="24" t="str">
        <f>HYPERLINK("https://znanium.ru/catalog/product/1001512", "Ознакомиться")</f>
        <v>Ознакомиться</v>
      </c>
      <c r="W3890" s="8" t="s">
        <v>3282</v>
      </c>
      <c r="X3890" s="6"/>
      <c r="Y3890" s="6"/>
      <c r="Z3890" s="6"/>
      <c r="AA3890" s="6" t="s">
        <v>622</v>
      </c>
      <c r="AB3890" s="8"/>
    </row>
    <row r="3891" spans="1:28" s="4" customFormat="1" ht="44.1" customHeight="1">
      <c r="A3891" s="5">
        <v>0</v>
      </c>
      <c r="B3891" s="6" t="s">
        <v>23185</v>
      </c>
      <c r="C3891" s="13">
        <v>1124</v>
      </c>
      <c r="D3891" s="8" t="s">
        <v>23186</v>
      </c>
      <c r="E3891" s="8" t="s">
        <v>23187</v>
      </c>
      <c r="F3891" s="8" t="s">
        <v>23188</v>
      </c>
      <c r="G3891" s="6" t="s">
        <v>89</v>
      </c>
      <c r="H3891" s="6" t="s">
        <v>952</v>
      </c>
      <c r="I3891" s="8"/>
      <c r="J3891" s="9">
        <v>1</v>
      </c>
      <c r="K3891" s="9">
        <v>216</v>
      </c>
      <c r="L3891" s="9">
        <v>2025</v>
      </c>
      <c r="M3891" s="8" t="s">
        <v>23189</v>
      </c>
      <c r="N3891" s="8" t="s">
        <v>41</v>
      </c>
      <c r="O3891" s="8" t="s">
        <v>1007</v>
      </c>
      <c r="P3891" s="6" t="s">
        <v>43</v>
      </c>
      <c r="Q3891" s="8" t="s">
        <v>44</v>
      </c>
      <c r="R3891" s="10" t="s">
        <v>23190</v>
      </c>
      <c r="S3891" s="11"/>
      <c r="T3891" s="6"/>
      <c r="U3891" s="24" t="str">
        <f>HYPERLINK("https://media.infra-m.ru/2192/2192777/cover/2192777.jpg", "Обложка")</f>
        <v>Обложка</v>
      </c>
      <c r="V3891" s="24" t="str">
        <f>HYPERLINK("https://znanium.ru/catalog/product/1906709", "Ознакомиться")</f>
        <v>Ознакомиться</v>
      </c>
      <c r="W3891" s="8" t="s">
        <v>3282</v>
      </c>
      <c r="X3891" s="6"/>
      <c r="Y3891" s="6"/>
      <c r="Z3891" s="6"/>
      <c r="AA3891" s="6" t="s">
        <v>235</v>
      </c>
      <c r="AB3891" s="8"/>
    </row>
    <row r="3892" spans="1:28" s="4" customFormat="1" ht="42" customHeight="1">
      <c r="A3892" s="5">
        <v>0</v>
      </c>
      <c r="B3892" s="6" t="s">
        <v>23191</v>
      </c>
      <c r="C3892" s="13">
        <v>1224</v>
      </c>
      <c r="D3892" s="8" t="s">
        <v>23192</v>
      </c>
      <c r="E3892" s="8" t="s">
        <v>23193</v>
      </c>
      <c r="F3892" s="8" t="s">
        <v>8946</v>
      </c>
      <c r="G3892" s="6" t="s">
        <v>89</v>
      </c>
      <c r="H3892" s="6" t="s">
        <v>53</v>
      </c>
      <c r="I3892" s="8" t="s">
        <v>90</v>
      </c>
      <c r="J3892" s="9">
        <v>1</v>
      </c>
      <c r="K3892" s="9">
        <v>260</v>
      </c>
      <c r="L3892" s="9">
        <v>2024</v>
      </c>
      <c r="M3892" s="8" t="s">
        <v>23194</v>
      </c>
      <c r="N3892" s="8" t="s">
        <v>41</v>
      </c>
      <c r="O3892" s="8" t="s">
        <v>118</v>
      </c>
      <c r="P3892" s="6" t="s">
        <v>43</v>
      </c>
      <c r="Q3892" s="8" t="s">
        <v>44</v>
      </c>
      <c r="R3892" s="10" t="s">
        <v>157</v>
      </c>
      <c r="S3892" s="11"/>
      <c r="T3892" s="6"/>
      <c r="U3892" s="24" t="str">
        <f>HYPERLINK("https://media.infra-m.ru/2142/2142814/cover/2142814.jpg", "Обложка")</f>
        <v>Обложка</v>
      </c>
      <c r="V3892" s="24" t="str">
        <f>HYPERLINK("https://znanium.ru/catalog/product/2084211", "Ознакомиться")</f>
        <v>Ознакомиться</v>
      </c>
      <c r="W3892" s="8" t="s">
        <v>4161</v>
      </c>
      <c r="X3892" s="6"/>
      <c r="Y3892" s="6"/>
      <c r="Z3892" s="6"/>
      <c r="AA3892" s="6" t="s">
        <v>12601</v>
      </c>
      <c r="AB3892" s="8"/>
    </row>
    <row r="3893" spans="1:28" s="4" customFormat="1" ht="51.95" customHeight="1">
      <c r="A3893" s="5">
        <v>0</v>
      </c>
      <c r="B3893" s="6" t="s">
        <v>23195</v>
      </c>
      <c r="C3893" s="7">
        <v>990</v>
      </c>
      <c r="D3893" s="8" t="s">
        <v>23196</v>
      </c>
      <c r="E3893" s="8" t="s">
        <v>23197</v>
      </c>
      <c r="F3893" s="8" t="s">
        <v>1202</v>
      </c>
      <c r="G3893" s="6" t="s">
        <v>52</v>
      </c>
      <c r="H3893" s="6" t="s">
        <v>53</v>
      </c>
      <c r="I3893" s="8" t="s">
        <v>165</v>
      </c>
      <c r="J3893" s="9">
        <v>1</v>
      </c>
      <c r="K3893" s="9">
        <v>188</v>
      </c>
      <c r="L3893" s="9">
        <v>2024</v>
      </c>
      <c r="M3893" s="8" t="s">
        <v>23198</v>
      </c>
      <c r="N3893" s="8" t="s">
        <v>41</v>
      </c>
      <c r="O3893" s="8" t="s">
        <v>1204</v>
      </c>
      <c r="P3893" s="6" t="s">
        <v>43</v>
      </c>
      <c r="Q3893" s="8" t="s">
        <v>58</v>
      </c>
      <c r="R3893" s="10" t="s">
        <v>23199</v>
      </c>
      <c r="S3893" s="11"/>
      <c r="T3893" s="6"/>
      <c r="U3893" s="24" t="str">
        <f>HYPERLINK("https://media.infra-m.ru/1981/1981706/cover/1981706.jpg", "Обложка")</f>
        <v>Обложка</v>
      </c>
      <c r="V3893" s="24" t="str">
        <f>HYPERLINK("https://znanium.ru/catalog/product/1981706", "Ознакомиться")</f>
        <v>Ознакомиться</v>
      </c>
      <c r="W3893" s="8" t="s">
        <v>83</v>
      </c>
      <c r="X3893" s="6" t="s">
        <v>772</v>
      </c>
      <c r="Y3893" s="6"/>
      <c r="Z3893" s="6"/>
      <c r="AA3893" s="6" t="s">
        <v>133</v>
      </c>
      <c r="AB3893" s="8"/>
    </row>
    <row r="3894" spans="1:28" s="4" customFormat="1" ht="51.95" customHeight="1">
      <c r="A3894" s="5">
        <v>0</v>
      </c>
      <c r="B3894" s="6" t="s">
        <v>23200</v>
      </c>
      <c r="C3894" s="13">
        <v>1150</v>
      </c>
      <c r="D3894" s="8" t="s">
        <v>23201</v>
      </c>
      <c r="E3894" s="8" t="s">
        <v>23202</v>
      </c>
      <c r="F3894" s="8" t="s">
        <v>23203</v>
      </c>
      <c r="G3894" s="6" t="s">
        <v>89</v>
      </c>
      <c r="H3894" s="6" t="s">
        <v>53</v>
      </c>
      <c r="I3894" s="8" t="s">
        <v>90</v>
      </c>
      <c r="J3894" s="9">
        <v>1</v>
      </c>
      <c r="K3894" s="9">
        <v>249</v>
      </c>
      <c r="L3894" s="9">
        <v>2023</v>
      </c>
      <c r="M3894" s="8" t="s">
        <v>23204</v>
      </c>
      <c r="N3894" s="8" t="s">
        <v>79</v>
      </c>
      <c r="O3894" s="8" t="s">
        <v>80</v>
      </c>
      <c r="P3894" s="6" t="s">
        <v>43</v>
      </c>
      <c r="Q3894" s="8" t="s">
        <v>44</v>
      </c>
      <c r="R3894" s="10" t="s">
        <v>1173</v>
      </c>
      <c r="S3894" s="11" t="s">
        <v>23205</v>
      </c>
      <c r="T3894" s="6" t="s">
        <v>299</v>
      </c>
      <c r="U3894" s="24" t="str">
        <f>HYPERLINK("https://media.infra-m.ru/2125/2125021/cover/2125021.jpg", "Обложка")</f>
        <v>Обложка</v>
      </c>
      <c r="V3894" s="24" t="str">
        <f>HYPERLINK("https://znanium.ru/catalog/product/2125021", "Ознакомиться")</f>
        <v>Ознакомиться</v>
      </c>
      <c r="W3894" s="8" t="s">
        <v>450</v>
      </c>
      <c r="X3894" s="6"/>
      <c r="Y3894" s="6"/>
      <c r="Z3894" s="6"/>
      <c r="AA3894" s="6" t="s">
        <v>219</v>
      </c>
      <c r="AB3894" s="8"/>
    </row>
    <row r="3895" spans="1:28" s="4" customFormat="1" ht="51.95" customHeight="1">
      <c r="A3895" s="5">
        <v>0</v>
      </c>
      <c r="B3895" s="6" t="s">
        <v>23206</v>
      </c>
      <c r="C3895" s="13">
        <v>2140</v>
      </c>
      <c r="D3895" s="8" t="s">
        <v>23207</v>
      </c>
      <c r="E3895" s="8" t="s">
        <v>23208</v>
      </c>
      <c r="F3895" s="8" t="s">
        <v>23203</v>
      </c>
      <c r="G3895" s="6" t="s">
        <v>52</v>
      </c>
      <c r="H3895" s="6" t="s">
        <v>53</v>
      </c>
      <c r="I3895" s="8" t="s">
        <v>90</v>
      </c>
      <c r="J3895" s="9">
        <v>1</v>
      </c>
      <c r="K3895" s="9">
        <v>476</v>
      </c>
      <c r="L3895" s="9">
        <v>2022</v>
      </c>
      <c r="M3895" s="8" t="s">
        <v>23209</v>
      </c>
      <c r="N3895" s="8" t="s">
        <v>79</v>
      </c>
      <c r="O3895" s="8" t="s">
        <v>80</v>
      </c>
      <c r="P3895" s="6" t="s">
        <v>43</v>
      </c>
      <c r="Q3895" s="8" t="s">
        <v>44</v>
      </c>
      <c r="R3895" s="10" t="s">
        <v>1173</v>
      </c>
      <c r="S3895" s="11" t="s">
        <v>23210</v>
      </c>
      <c r="T3895" s="6"/>
      <c r="U3895" s="24" t="str">
        <f>HYPERLINK("https://media.infra-m.ru/0991/0991757/cover/991757.jpg", "Обложка")</f>
        <v>Обложка</v>
      </c>
      <c r="V3895" s="24" t="str">
        <f>HYPERLINK("https://znanium.ru/catalog/product/991757", "Ознакомиться")</f>
        <v>Ознакомиться</v>
      </c>
      <c r="W3895" s="8" t="s">
        <v>450</v>
      </c>
      <c r="X3895" s="6"/>
      <c r="Y3895" s="6"/>
      <c r="Z3895" s="6"/>
      <c r="AA3895" s="6" t="s">
        <v>235</v>
      </c>
      <c r="AB3895" s="8"/>
    </row>
    <row r="3896" spans="1:28" s="4" customFormat="1" ht="51.95" customHeight="1">
      <c r="A3896" s="5">
        <v>0</v>
      </c>
      <c r="B3896" s="6" t="s">
        <v>23211</v>
      </c>
      <c r="C3896" s="13">
        <v>2187</v>
      </c>
      <c r="D3896" s="8" t="s">
        <v>23212</v>
      </c>
      <c r="E3896" s="8" t="s">
        <v>23213</v>
      </c>
      <c r="F3896" s="8" t="s">
        <v>1155</v>
      </c>
      <c r="G3896" s="6" t="s">
        <v>52</v>
      </c>
      <c r="H3896" s="6" t="s">
        <v>39</v>
      </c>
      <c r="I3896" s="8" t="s">
        <v>90</v>
      </c>
      <c r="J3896" s="9">
        <v>1</v>
      </c>
      <c r="K3896" s="9">
        <v>336</v>
      </c>
      <c r="L3896" s="9">
        <v>2025</v>
      </c>
      <c r="M3896" s="8" t="s">
        <v>23214</v>
      </c>
      <c r="N3896" s="8" t="s">
        <v>79</v>
      </c>
      <c r="O3896" s="8" t="s">
        <v>80</v>
      </c>
      <c r="P3896" s="6" t="s">
        <v>43</v>
      </c>
      <c r="Q3896" s="8" t="s">
        <v>44</v>
      </c>
      <c r="R3896" s="10" t="s">
        <v>23215</v>
      </c>
      <c r="S3896" s="11" t="s">
        <v>23216</v>
      </c>
      <c r="T3896" s="6"/>
      <c r="U3896" s="24" t="str">
        <f>HYPERLINK("https://media.infra-m.ru/2165/2165058/cover/2165058.jpg", "Обложка")</f>
        <v>Обложка</v>
      </c>
      <c r="V3896" s="24" t="str">
        <f>HYPERLINK("https://znanium.ru/catalog/product/1927325", "Ознакомиться")</f>
        <v>Ознакомиться</v>
      </c>
      <c r="W3896" s="8" t="s">
        <v>1158</v>
      </c>
      <c r="X3896" s="6"/>
      <c r="Y3896" s="6"/>
      <c r="Z3896" s="6"/>
      <c r="AA3896" s="6" t="s">
        <v>418</v>
      </c>
      <c r="AB3896" s="8"/>
    </row>
    <row r="3897" spans="1:28" s="4" customFormat="1" ht="51.95" customHeight="1">
      <c r="A3897" s="5">
        <v>0</v>
      </c>
      <c r="B3897" s="6" t="s">
        <v>23217</v>
      </c>
      <c r="C3897" s="13">
        <v>2187</v>
      </c>
      <c r="D3897" s="8" t="s">
        <v>23218</v>
      </c>
      <c r="E3897" s="8" t="s">
        <v>23219</v>
      </c>
      <c r="F3897" s="8" t="s">
        <v>1155</v>
      </c>
      <c r="G3897" s="6" t="s">
        <v>89</v>
      </c>
      <c r="H3897" s="6" t="s">
        <v>39</v>
      </c>
      <c r="I3897" s="8" t="s">
        <v>100</v>
      </c>
      <c r="J3897" s="9">
        <v>1</v>
      </c>
      <c r="K3897" s="9">
        <v>336</v>
      </c>
      <c r="L3897" s="9">
        <v>2025</v>
      </c>
      <c r="M3897" s="8" t="s">
        <v>23220</v>
      </c>
      <c r="N3897" s="8" t="s">
        <v>79</v>
      </c>
      <c r="O3897" s="8" t="s">
        <v>80</v>
      </c>
      <c r="P3897" s="6" t="s">
        <v>43</v>
      </c>
      <c r="Q3897" s="8" t="s">
        <v>102</v>
      </c>
      <c r="R3897" s="10" t="s">
        <v>19881</v>
      </c>
      <c r="S3897" s="11" t="s">
        <v>2638</v>
      </c>
      <c r="T3897" s="6"/>
      <c r="U3897" s="24" t="str">
        <f>HYPERLINK("https://media.infra-m.ru/2165/2165081/cover/2165081.jpg", "Обложка")</f>
        <v>Обложка</v>
      </c>
      <c r="V3897" s="24" t="str">
        <f>HYPERLINK("https://znanium.ru/catalog/product/1216485", "Ознакомиться")</f>
        <v>Ознакомиться</v>
      </c>
      <c r="W3897" s="8" t="s">
        <v>1158</v>
      </c>
      <c r="X3897" s="6"/>
      <c r="Y3897" s="6"/>
      <c r="Z3897" s="6" t="s">
        <v>104</v>
      </c>
      <c r="AA3897" s="6" t="s">
        <v>258</v>
      </c>
      <c r="AB3897" s="8"/>
    </row>
    <row r="3898" spans="1:28" s="4" customFormat="1" ht="51.95" customHeight="1">
      <c r="A3898" s="5">
        <v>0</v>
      </c>
      <c r="B3898" s="6" t="s">
        <v>23221</v>
      </c>
      <c r="C3898" s="13">
        <v>2494</v>
      </c>
      <c r="D3898" s="8" t="s">
        <v>23222</v>
      </c>
      <c r="E3898" s="8" t="s">
        <v>23223</v>
      </c>
      <c r="F3898" s="8" t="s">
        <v>4484</v>
      </c>
      <c r="G3898" s="6" t="s">
        <v>89</v>
      </c>
      <c r="H3898" s="6" t="s">
        <v>53</v>
      </c>
      <c r="I3898" s="8"/>
      <c r="J3898" s="9">
        <v>1</v>
      </c>
      <c r="K3898" s="9">
        <v>517</v>
      </c>
      <c r="L3898" s="9">
        <v>2023</v>
      </c>
      <c r="M3898" s="8" t="s">
        <v>23224</v>
      </c>
      <c r="N3898" s="8" t="s">
        <v>79</v>
      </c>
      <c r="O3898" s="8" t="s">
        <v>80</v>
      </c>
      <c r="P3898" s="6" t="s">
        <v>43</v>
      </c>
      <c r="Q3898" s="8" t="s">
        <v>44</v>
      </c>
      <c r="R3898" s="10" t="s">
        <v>23225</v>
      </c>
      <c r="S3898" s="11" t="s">
        <v>23226</v>
      </c>
      <c r="T3898" s="6" t="s">
        <v>299</v>
      </c>
      <c r="U3898" s="24" t="str">
        <f>HYPERLINK("https://media.infra-m.ru/2111/2111935/cover/2111935.jpg", "Обложка")</f>
        <v>Обложка</v>
      </c>
      <c r="V3898" s="24" t="str">
        <f>HYPERLINK("https://znanium.ru/catalog/product/2111934", "Ознакомиться")</f>
        <v>Ознакомиться</v>
      </c>
      <c r="W3898" s="8" t="s">
        <v>2216</v>
      </c>
      <c r="X3898" s="6"/>
      <c r="Y3898" s="6"/>
      <c r="Z3898" s="6"/>
      <c r="AA3898" s="6" t="s">
        <v>442</v>
      </c>
      <c r="AB3898" s="8"/>
    </row>
    <row r="3899" spans="1:28" s="4" customFormat="1" ht="51.95" customHeight="1">
      <c r="A3899" s="5">
        <v>0</v>
      </c>
      <c r="B3899" s="6" t="s">
        <v>23227</v>
      </c>
      <c r="C3899" s="7">
        <v>774</v>
      </c>
      <c r="D3899" s="8" t="s">
        <v>23228</v>
      </c>
      <c r="E3899" s="8" t="s">
        <v>23229</v>
      </c>
      <c r="F3899" s="8" t="s">
        <v>23230</v>
      </c>
      <c r="G3899" s="6" t="s">
        <v>89</v>
      </c>
      <c r="H3899" s="6" t="s">
        <v>184</v>
      </c>
      <c r="I3899" s="8" t="s">
        <v>185</v>
      </c>
      <c r="J3899" s="9">
        <v>1</v>
      </c>
      <c r="K3899" s="9">
        <v>167</v>
      </c>
      <c r="L3899" s="9">
        <v>2024</v>
      </c>
      <c r="M3899" s="8" t="s">
        <v>23231</v>
      </c>
      <c r="N3899" s="8" t="s">
        <v>79</v>
      </c>
      <c r="O3899" s="8" t="s">
        <v>80</v>
      </c>
      <c r="P3899" s="6" t="s">
        <v>43</v>
      </c>
      <c r="Q3899" s="8" t="s">
        <v>44</v>
      </c>
      <c r="R3899" s="10" t="s">
        <v>507</v>
      </c>
      <c r="S3899" s="11" t="s">
        <v>23232</v>
      </c>
      <c r="T3899" s="6"/>
      <c r="U3899" s="24" t="str">
        <f>HYPERLINK("https://media.infra-m.ru/2102/2102708/cover/2102708.jpg", "Обложка")</f>
        <v>Обложка</v>
      </c>
      <c r="V3899" s="24" t="str">
        <f>HYPERLINK("https://znanium.ru/catalog/product/1860435", "Ознакомиться")</f>
        <v>Ознакомиться</v>
      </c>
      <c r="W3899" s="8" t="s">
        <v>8577</v>
      </c>
      <c r="X3899" s="6"/>
      <c r="Y3899" s="6"/>
      <c r="Z3899" s="6"/>
      <c r="AA3899" s="6" t="s">
        <v>479</v>
      </c>
      <c r="AB3899" s="8"/>
    </row>
    <row r="3900" spans="1:28" s="4" customFormat="1" ht="51.95" customHeight="1">
      <c r="A3900" s="5">
        <v>0</v>
      </c>
      <c r="B3900" s="6" t="s">
        <v>23233</v>
      </c>
      <c r="C3900" s="13">
        <v>1020</v>
      </c>
      <c r="D3900" s="8" t="s">
        <v>23234</v>
      </c>
      <c r="E3900" s="8" t="s">
        <v>23235</v>
      </c>
      <c r="F3900" s="8" t="s">
        <v>23236</v>
      </c>
      <c r="G3900" s="6" t="s">
        <v>52</v>
      </c>
      <c r="H3900" s="6" t="s">
        <v>53</v>
      </c>
      <c r="I3900" s="8" t="s">
        <v>116</v>
      </c>
      <c r="J3900" s="9">
        <v>1</v>
      </c>
      <c r="K3900" s="9">
        <v>189</v>
      </c>
      <c r="L3900" s="9">
        <v>2025</v>
      </c>
      <c r="M3900" s="8" t="s">
        <v>23237</v>
      </c>
      <c r="N3900" s="8" t="s">
        <v>79</v>
      </c>
      <c r="O3900" s="8" t="s">
        <v>80</v>
      </c>
      <c r="P3900" s="6" t="s">
        <v>43</v>
      </c>
      <c r="Q3900" s="8" t="s">
        <v>44</v>
      </c>
      <c r="R3900" s="10" t="s">
        <v>23238</v>
      </c>
      <c r="S3900" s="11"/>
      <c r="T3900" s="6"/>
      <c r="U3900" s="24" t="str">
        <f>HYPERLINK("https://media.infra-m.ru/2160/2160989/cover/2160989.jpg", "Обложка")</f>
        <v>Обложка</v>
      </c>
      <c r="V3900" s="24" t="str">
        <f>HYPERLINK("https://znanium.ru/catalog/product/2160989", "Ознакомиться")</f>
        <v>Ознакомиться</v>
      </c>
      <c r="W3900" s="8" t="s">
        <v>3201</v>
      </c>
      <c r="X3900" s="6" t="s">
        <v>60</v>
      </c>
      <c r="Y3900" s="6"/>
      <c r="Z3900" s="6"/>
      <c r="AA3900" s="6" t="s">
        <v>61</v>
      </c>
      <c r="AB3900" s="8"/>
    </row>
    <row r="3901" spans="1:28" s="4" customFormat="1" ht="51.95" customHeight="1">
      <c r="A3901" s="5">
        <v>0</v>
      </c>
      <c r="B3901" s="6" t="s">
        <v>23239</v>
      </c>
      <c r="C3901" s="13">
        <v>2234</v>
      </c>
      <c r="D3901" s="8" t="s">
        <v>23240</v>
      </c>
      <c r="E3901" s="8" t="s">
        <v>23241</v>
      </c>
      <c r="F3901" s="8" t="s">
        <v>23242</v>
      </c>
      <c r="G3901" s="6" t="s">
        <v>52</v>
      </c>
      <c r="H3901" s="6" t="s">
        <v>649</v>
      </c>
      <c r="I3901" s="8" t="s">
        <v>90</v>
      </c>
      <c r="J3901" s="9">
        <v>1</v>
      </c>
      <c r="K3901" s="9">
        <v>496</v>
      </c>
      <c r="L3901" s="9">
        <v>2023</v>
      </c>
      <c r="M3901" s="8" t="s">
        <v>23243</v>
      </c>
      <c r="N3901" s="8" t="s">
        <v>79</v>
      </c>
      <c r="O3901" s="8" t="s">
        <v>80</v>
      </c>
      <c r="P3901" s="6" t="s">
        <v>43</v>
      </c>
      <c r="Q3901" s="8" t="s">
        <v>44</v>
      </c>
      <c r="R3901" s="10" t="s">
        <v>23244</v>
      </c>
      <c r="S3901" s="11" t="s">
        <v>23245</v>
      </c>
      <c r="T3901" s="6" t="s">
        <v>299</v>
      </c>
      <c r="U3901" s="24" t="str">
        <f>HYPERLINK("https://media.infra-m.ru/2045/2045990/cover/2045990.jpg", "Обложка")</f>
        <v>Обложка</v>
      </c>
      <c r="V3901" s="24" t="str">
        <f>HYPERLINK("https://znanium.ru/catalog/product/1044632", "Ознакомиться")</f>
        <v>Ознакомиться</v>
      </c>
      <c r="W3901" s="8" t="s">
        <v>10307</v>
      </c>
      <c r="X3901" s="6"/>
      <c r="Y3901" s="6"/>
      <c r="Z3901" s="6" t="s">
        <v>335</v>
      </c>
      <c r="AA3901" s="6" t="s">
        <v>793</v>
      </c>
      <c r="AB3901" s="8"/>
    </row>
    <row r="3902" spans="1:28" s="4" customFormat="1" ht="51.95" customHeight="1">
      <c r="A3902" s="5">
        <v>0</v>
      </c>
      <c r="B3902" s="6" t="s">
        <v>23246</v>
      </c>
      <c r="C3902" s="13">
        <v>2230</v>
      </c>
      <c r="D3902" s="8" t="s">
        <v>23247</v>
      </c>
      <c r="E3902" s="8" t="s">
        <v>23241</v>
      </c>
      <c r="F3902" s="8" t="s">
        <v>23248</v>
      </c>
      <c r="G3902" s="6" t="s">
        <v>89</v>
      </c>
      <c r="H3902" s="6" t="s">
        <v>649</v>
      </c>
      <c r="I3902" s="8" t="s">
        <v>100</v>
      </c>
      <c r="J3902" s="9">
        <v>1</v>
      </c>
      <c r="K3902" s="9">
        <v>496</v>
      </c>
      <c r="L3902" s="9">
        <v>2023</v>
      </c>
      <c r="M3902" s="8" t="s">
        <v>23249</v>
      </c>
      <c r="N3902" s="8" t="s">
        <v>79</v>
      </c>
      <c r="O3902" s="8" t="s">
        <v>80</v>
      </c>
      <c r="P3902" s="6" t="s">
        <v>43</v>
      </c>
      <c r="Q3902" s="8" t="s">
        <v>102</v>
      </c>
      <c r="R3902" s="10" t="s">
        <v>23250</v>
      </c>
      <c r="S3902" s="11" t="s">
        <v>23251</v>
      </c>
      <c r="T3902" s="6" t="s">
        <v>299</v>
      </c>
      <c r="U3902" s="24" t="str">
        <f>HYPERLINK("https://media.infra-m.ru/1916/1916203/cover/1916203.jpg", "Обложка")</f>
        <v>Обложка</v>
      </c>
      <c r="V3902" s="24" t="str">
        <f>HYPERLINK("https://znanium.ru/catalog/product/1916203", "Ознакомиться")</f>
        <v>Ознакомиться</v>
      </c>
      <c r="W3902" s="8" t="s">
        <v>10307</v>
      </c>
      <c r="X3902" s="6"/>
      <c r="Y3902" s="6"/>
      <c r="Z3902" s="6"/>
      <c r="AA3902" s="6" t="s">
        <v>2217</v>
      </c>
      <c r="AB3902" s="8"/>
    </row>
    <row r="3903" spans="1:28" s="4" customFormat="1" ht="51.95" customHeight="1">
      <c r="A3903" s="5">
        <v>0</v>
      </c>
      <c r="B3903" s="6" t="s">
        <v>23252</v>
      </c>
      <c r="C3903" s="13">
        <v>2224</v>
      </c>
      <c r="D3903" s="8" t="s">
        <v>23253</v>
      </c>
      <c r="E3903" s="8" t="s">
        <v>23254</v>
      </c>
      <c r="F3903" s="8" t="s">
        <v>23255</v>
      </c>
      <c r="G3903" s="6" t="s">
        <v>52</v>
      </c>
      <c r="H3903" s="6" t="s">
        <v>39</v>
      </c>
      <c r="I3903" s="8" t="s">
        <v>185</v>
      </c>
      <c r="J3903" s="9">
        <v>1</v>
      </c>
      <c r="K3903" s="9">
        <v>496</v>
      </c>
      <c r="L3903" s="9">
        <v>2024</v>
      </c>
      <c r="M3903" s="8" t="s">
        <v>23256</v>
      </c>
      <c r="N3903" s="8" t="s">
        <v>79</v>
      </c>
      <c r="O3903" s="8" t="s">
        <v>80</v>
      </c>
      <c r="P3903" s="6" t="s">
        <v>43</v>
      </c>
      <c r="Q3903" s="8" t="s">
        <v>102</v>
      </c>
      <c r="R3903" s="10" t="s">
        <v>23257</v>
      </c>
      <c r="S3903" s="11"/>
      <c r="T3903" s="6"/>
      <c r="U3903" s="24" t="str">
        <f>HYPERLINK("https://media.infra-m.ru/2056/2056798/cover/2056798.jpg", "Обложка")</f>
        <v>Обложка</v>
      </c>
      <c r="V3903" s="12"/>
      <c r="W3903" s="8" t="s">
        <v>2201</v>
      </c>
      <c r="X3903" s="6"/>
      <c r="Y3903" s="6"/>
      <c r="Z3903" s="6"/>
      <c r="AA3903" s="6" t="s">
        <v>654</v>
      </c>
      <c r="AB3903" s="8"/>
    </row>
    <row r="3904" spans="1:28" s="4" customFormat="1" ht="51.95" customHeight="1">
      <c r="A3904" s="5">
        <v>0</v>
      </c>
      <c r="B3904" s="6" t="s">
        <v>23258</v>
      </c>
      <c r="C3904" s="7">
        <v>917</v>
      </c>
      <c r="D3904" s="8" t="s">
        <v>23259</v>
      </c>
      <c r="E3904" s="8" t="s">
        <v>23260</v>
      </c>
      <c r="F3904" s="8" t="s">
        <v>19879</v>
      </c>
      <c r="G3904" s="6" t="s">
        <v>38</v>
      </c>
      <c r="H3904" s="6" t="s">
        <v>39</v>
      </c>
      <c r="I3904" s="8" t="s">
        <v>116</v>
      </c>
      <c r="J3904" s="9">
        <v>1</v>
      </c>
      <c r="K3904" s="9">
        <v>144</v>
      </c>
      <c r="L3904" s="9">
        <v>2024</v>
      </c>
      <c r="M3904" s="8" t="s">
        <v>23261</v>
      </c>
      <c r="N3904" s="8" t="s">
        <v>79</v>
      </c>
      <c r="O3904" s="8" t="s">
        <v>80</v>
      </c>
      <c r="P3904" s="6" t="s">
        <v>43</v>
      </c>
      <c r="Q3904" s="8" t="s">
        <v>44</v>
      </c>
      <c r="R3904" s="10" t="s">
        <v>23262</v>
      </c>
      <c r="S3904" s="11"/>
      <c r="T3904" s="6"/>
      <c r="U3904" s="24" t="str">
        <f>HYPERLINK("https://media.infra-m.ru/2091/2091888/cover/2091888.jpg", "Обложка")</f>
        <v>Обложка</v>
      </c>
      <c r="V3904" s="24" t="str">
        <f>HYPERLINK("https://znanium.ru/catalog/product/1222078", "Ознакомиться")</f>
        <v>Ознакомиться</v>
      </c>
      <c r="W3904" s="8" t="s">
        <v>10383</v>
      </c>
      <c r="X3904" s="6"/>
      <c r="Y3904" s="6"/>
      <c r="Z3904" s="6"/>
      <c r="AA3904" s="6" t="s">
        <v>111</v>
      </c>
      <c r="AB3904" s="8"/>
    </row>
    <row r="3905" spans="1:28" s="4" customFormat="1" ht="51.95" customHeight="1">
      <c r="A3905" s="5">
        <v>0</v>
      </c>
      <c r="B3905" s="6" t="s">
        <v>23263</v>
      </c>
      <c r="C3905" s="7">
        <v>922</v>
      </c>
      <c r="D3905" s="8" t="s">
        <v>23264</v>
      </c>
      <c r="E3905" s="8" t="s">
        <v>23260</v>
      </c>
      <c r="F3905" s="8" t="s">
        <v>19879</v>
      </c>
      <c r="G3905" s="6" t="s">
        <v>38</v>
      </c>
      <c r="H3905" s="6" t="s">
        <v>39</v>
      </c>
      <c r="I3905" s="8" t="s">
        <v>100</v>
      </c>
      <c r="J3905" s="9">
        <v>1</v>
      </c>
      <c r="K3905" s="9">
        <v>143</v>
      </c>
      <c r="L3905" s="9">
        <v>2024</v>
      </c>
      <c r="M3905" s="8" t="s">
        <v>23265</v>
      </c>
      <c r="N3905" s="8" t="s">
        <v>79</v>
      </c>
      <c r="O3905" s="8" t="s">
        <v>80</v>
      </c>
      <c r="P3905" s="6" t="s">
        <v>43</v>
      </c>
      <c r="Q3905" s="8" t="s">
        <v>102</v>
      </c>
      <c r="R3905" s="10" t="s">
        <v>23266</v>
      </c>
      <c r="S3905" s="11" t="s">
        <v>23267</v>
      </c>
      <c r="T3905" s="6"/>
      <c r="U3905" s="24" t="str">
        <f>HYPERLINK("https://media.infra-m.ru/2137/2137197/cover/2137197.jpg", "Обложка")</f>
        <v>Обложка</v>
      </c>
      <c r="V3905" s="24" t="str">
        <f>HYPERLINK("https://znanium.ru/catalog/product/2137197", "Ознакомиться")</f>
        <v>Ознакомиться</v>
      </c>
      <c r="W3905" s="8" t="s">
        <v>10383</v>
      </c>
      <c r="X3905" s="6"/>
      <c r="Y3905" s="6"/>
      <c r="Z3905" s="6" t="s">
        <v>104</v>
      </c>
      <c r="AA3905" s="6" t="s">
        <v>793</v>
      </c>
      <c r="AB3905" s="8"/>
    </row>
    <row r="3906" spans="1:28" s="4" customFormat="1" ht="51.95" customHeight="1">
      <c r="A3906" s="5">
        <v>0</v>
      </c>
      <c r="B3906" s="6" t="s">
        <v>23268</v>
      </c>
      <c r="C3906" s="13">
        <v>2360</v>
      </c>
      <c r="D3906" s="8" t="s">
        <v>23269</v>
      </c>
      <c r="E3906" s="8" t="s">
        <v>23270</v>
      </c>
      <c r="F3906" s="8" t="s">
        <v>23271</v>
      </c>
      <c r="G3906" s="6" t="s">
        <v>52</v>
      </c>
      <c r="H3906" s="6" t="s">
        <v>649</v>
      </c>
      <c r="I3906" s="8" t="s">
        <v>185</v>
      </c>
      <c r="J3906" s="9">
        <v>1</v>
      </c>
      <c r="K3906" s="9">
        <v>512</v>
      </c>
      <c r="L3906" s="9">
        <v>2024</v>
      </c>
      <c r="M3906" s="8" t="s">
        <v>23272</v>
      </c>
      <c r="N3906" s="8" t="s">
        <v>79</v>
      </c>
      <c r="O3906" s="8" t="s">
        <v>80</v>
      </c>
      <c r="P3906" s="6" t="s">
        <v>43</v>
      </c>
      <c r="Q3906" s="8" t="s">
        <v>102</v>
      </c>
      <c r="R3906" s="10" t="s">
        <v>23273</v>
      </c>
      <c r="S3906" s="11" t="s">
        <v>23274</v>
      </c>
      <c r="T3906" s="6" t="s">
        <v>299</v>
      </c>
      <c r="U3906" s="24" t="str">
        <f>HYPERLINK("https://media.infra-m.ru/2083/2083383/cover/2083383.jpg", "Обложка")</f>
        <v>Обложка</v>
      </c>
      <c r="V3906" s="24" t="str">
        <f>HYPERLINK("https://znanium.ru/catalog/product/2083383", "Ознакомиться")</f>
        <v>Ознакомиться</v>
      </c>
      <c r="W3906" s="8" t="s">
        <v>10307</v>
      </c>
      <c r="X3906" s="6"/>
      <c r="Y3906" s="6"/>
      <c r="Z3906" s="6"/>
      <c r="AA3906" s="6" t="s">
        <v>122</v>
      </c>
      <c r="AB3906" s="8"/>
    </row>
    <row r="3907" spans="1:28" s="4" customFormat="1" ht="51.95" customHeight="1">
      <c r="A3907" s="5">
        <v>0</v>
      </c>
      <c r="B3907" s="6" t="s">
        <v>23275</v>
      </c>
      <c r="C3907" s="13">
        <v>1864</v>
      </c>
      <c r="D3907" s="8" t="s">
        <v>23276</v>
      </c>
      <c r="E3907" s="8" t="s">
        <v>23277</v>
      </c>
      <c r="F3907" s="8" t="s">
        <v>23278</v>
      </c>
      <c r="G3907" s="6" t="s">
        <v>89</v>
      </c>
      <c r="H3907" s="6" t="s">
        <v>53</v>
      </c>
      <c r="I3907" s="8" t="s">
        <v>100</v>
      </c>
      <c r="J3907" s="9">
        <v>1</v>
      </c>
      <c r="K3907" s="9">
        <v>365</v>
      </c>
      <c r="L3907" s="9">
        <v>2025</v>
      </c>
      <c r="M3907" s="8" t="s">
        <v>23279</v>
      </c>
      <c r="N3907" s="8" t="s">
        <v>79</v>
      </c>
      <c r="O3907" s="8" t="s">
        <v>537</v>
      </c>
      <c r="P3907" s="6" t="s">
        <v>167</v>
      </c>
      <c r="Q3907" s="8" t="s">
        <v>102</v>
      </c>
      <c r="R3907" s="10" t="s">
        <v>23280</v>
      </c>
      <c r="S3907" s="11" t="s">
        <v>23281</v>
      </c>
      <c r="T3907" s="6" t="s">
        <v>299</v>
      </c>
      <c r="U3907" s="24" t="str">
        <f>HYPERLINK("https://media.infra-m.ru/2191/2191624/cover/2191624.jpg", "Обложка")</f>
        <v>Обложка</v>
      </c>
      <c r="V3907" s="24" t="str">
        <f>HYPERLINK("https://znanium.ru/catalog/product/2168884", "Ознакомиться")</f>
        <v>Ознакомиться</v>
      </c>
      <c r="W3907" s="8" t="s">
        <v>2392</v>
      </c>
      <c r="X3907" s="6"/>
      <c r="Y3907" s="6"/>
      <c r="Z3907" s="6" t="s">
        <v>104</v>
      </c>
      <c r="AA3907" s="6" t="s">
        <v>793</v>
      </c>
      <c r="AB3907" s="8"/>
    </row>
    <row r="3908" spans="1:28" s="4" customFormat="1" ht="51.95" customHeight="1">
      <c r="A3908" s="5">
        <v>0</v>
      </c>
      <c r="B3908" s="6" t="s">
        <v>23282</v>
      </c>
      <c r="C3908" s="13">
        <v>1680</v>
      </c>
      <c r="D3908" s="8" t="s">
        <v>23283</v>
      </c>
      <c r="E3908" s="8" t="s">
        <v>23277</v>
      </c>
      <c r="F3908" s="8" t="s">
        <v>23278</v>
      </c>
      <c r="G3908" s="6" t="s">
        <v>89</v>
      </c>
      <c r="H3908" s="6" t="s">
        <v>53</v>
      </c>
      <c r="I3908" s="8" t="s">
        <v>116</v>
      </c>
      <c r="J3908" s="9">
        <v>1</v>
      </c>
      <c r="K3908" s="9">
        <v>365</v>
      </c>
      <c r="L3908" s="9">
        <v>2024</v>
      </c>
      <c r="M3908" s="8" t="s">
        <v>23284</v>
      </c>
      <c r="N3908" s="8" t="s">
        <v>79</v>
      </c>
      <c r="O3908" s="8" t="s">
        <v>537</v>
      </c>
      <c r="P3908" s="6" t="s">
        <v>167</v>
      </c>
      <c r="Q3908" s="8" t="s">
        <v>44</v>
      </c>
      <c r="R3908" s="10" t="s">
        <v>23285</v>
      </c>
      <c r="S3908" s="11" t="s">
        <v>23286</v>
      </c>
      <c r="T3908" s="6" t="s">
        <v>299</v>
      </c>
      <c r="U3908" s="24" t="str">
        <f>HYPERLINK("https://media.infra-m.ru/2086/2086790/cover/2086790.jpg", "Обложка")</f>
        <v>Обложка</v>
      </c>
      <c r="V3908" s="24" t="str">
        <f>HYPERLINK("https://znanium.ru/catalog/product/2086790", "Ознакомиться")</f>
        <v>Ознакомиться</v>
      </c>
      <c r="W3908" s="8" t="s">
        <v>2392</v>
      </c>
      <c r="X3908" s="6"/>
      <c r="Y3908" s="6"/>
      <c r="Z3908" s="6"/>
      <c r="AA3908" s="6" t="s">
        <v>418</v>
      </c>
      <c r="AB3908" s="8"/>
    </row>
    <row r="3909" spans="1:28" s="4" customFormat="1" ht="42" customHeight="1">
      <c r="A3909" s="5">
        <v>0</v>
      </c>
      <c r="B3909" s="6" t="s">
        <v>23287</v>
      </c>
      <c r="C3909" s="13">
        <v>1120</v>
      </c>
      <c r="D3909" s="8" t="s">
        <v>23288</v>
      </c>
      <c r="E3909" s="8" t="s">
        <v>23289</v>
      </c>
      <c r="F3909" s="8" t="s">
        <v>23290</v>
      </c>
      <c r="G3909" s="6" t="s">
        <v>52</v>
      </c>
      <c r="H3909" s="6" t="s">
        <v>53</v>
      </c>
      <c r="I3909" s="8" t="s">
        <v>782</v>
      </c>
      <c r="J3909" s="9">
        <v>1</v>
      </c>
      <c r="K3909" s="9">
        <v>224</v>
      </c>
      <c r="L3909" s="9">
        <v>2024</v>
      </c>
      <c r="M3909" s="8" t="s">
        <v>23291</v>
      </c>
      <c r="N3909" s="8" t="s">
        <v>79</v>
      </c>
      <c r="O3909" s="8" t="s">
        <v>80</v>
      </c>
      <c r="P3909" s="6" t="s">
        <v>43</v>
      </c>
      <c r="Q3909" s="8" t="s">
        <v>58</v>
      </c>
      <c r="R3909" s="10" t="s">
        <v>18648</v>
      </c>
      <c r="S3909" s="11"/>
      <c r="T3909" s="6"/>
      <c r="U3909" s="24" t="str">
        <f>HYPERLINK("https://media.infra-m.ru/2096/2096116/cover/2096116.jpg", "Обложка")</f>
        <v>Обложка</v>
      </c>
      <c r="V3909" s="12"/>
      <c r="W3909" s="8" t="s">
        <v>784</v>
      </c>
      <c r="X3909" s="6" t="s">
        <v>389</v>
      </c>
      <c r="Y3909" s="6"/>
      <c r="Z3909" s="6"/>
      <c r="AA3909" s="6" t="s">
        <v>133</v>
      </c>
      <c r="AB3909" s="8"/>
    </row>
    <row r="3910" spans="1:28" s="4" customFormat="1" ht="44.1" customHeight="1">
      <c r="A3910" s="5">
        <v>0</v>
      </c>
      <c r="B3910" s="6" t="s">
        <v>23292</v>
      </c>
      <c r="C3910" s="13">
        <v>2320</v>
      </c>
      <c r="D3910" s="8" t="s">
        <v>23293</v>
      </c>
      <c r="E3910" s="8" t="s">
        <v>23294</v>
      </c>
      <c r="F3910" s="8" t="s">
        <v>23278</v>
      </c>
      <c r="G3910" s="6" t="s">
        <v>52</v>
      </c>
      <c r="H3910" s="6" t="s">
        <v>53</v>
      </c>
      <c r="I3910" s="8" t="s">
        <v>116</v>
      </c>
      <c r="J3910" s="9">
        <v>1</v>
      </c>
      <c r="K3910" s="9">
        <v>461</v>
      </c>
      <c r="L3910" s="9">
        <v>2024</v>
      </c>
      <c r="M3910" s="8" t="s">
        <v>23295</v>
      </c>
      <c r="N3910" s="8" t="s">
        <v>79</v>
      </c>
      <c r="O3910" s="8" t="s">
        <v>80</v>
      </c>
      <c r="P3910" s="6" t="s">
        <v>167</v>
      </c>
      <c r="Q3910" s="8" t="s">
        <v>58</v>
      </c>
      <c r="R3910" s="10" t="s">
        <v>23296</v>
      </c>
      <c r="S3910" s="11"/>
      <c r="T3910" s="6"/>
      <c r="U3910" s="24" t="str">
        <f>HYPERLINK("https://media.infra-m.ru/2030/2030899/cover/2030899.jpg", "Обложка")</f>
        <v>Обложка</v>
      </c>
      <c r="V3910" s="24" t="str">
        <f>HYPERLINK("https://znanium.ru/catalog/product/2030899", "Ознакомиться")</f>
        <v>Ознакомиться</v>
      </c>
      <c r="W3910" s="8" t="s">
        <v>2392</v>
      </c>
      <c r="X3910" s="6" t="s">
        <v>772</v>
      </c>
      <c r="Y3910" s="6"/>
      <c r="Z3910" s="6"/>
      <c r="AA3910" s="6" t="s">
        <v>133</v>
      </c>
      <c r="AB3910" s="8"/>
    </row>
    <row r="3911" spans="1:28" s="4" customFormat="1" ht="51.95" customHeight="1">
      <c r="A3911" s="5">
        <v>0</v>
      </c>
      <c r="B3911" s="6" t="s">
        <v>23297</v>
      </c>
      <c r="C3911" s="13">
        <v>1460</v>
      </c>
      <c r="D3911" s="8" t="s">
        <v>23298</v>
      </c>
      <c r="E3911" s="8" t="s">
        <v>23299</v>
      </c>
      <c r="F3911" s="8" t="s">
        <v>23300</v>
      </c>
      <c r="G3911" s="6" t="s">
        <v>89</v>
      </c>
      <c r="H3911" s="6" t="s">
        <v>649</v>
      </c>
      <c r="I3911" s="8" t="s">
        <v>4589</v>
      </c>
      <c r="J3911" s="9">
        <v>1</v>
      </c>
      <c r="K3911" s="9">
        <v>325</v>
      </c>
      <c r="L3911" s="9">
        <v>2024</v>
      </c>
      <c r="M3911" s="8" t="s">
        <v>23301</v>
      </c>
      <c r="N3911" s="8" t="s">
        <v>79</v>
      </c>
      <c r="O3911" s="8" t="s">
        <v>80</v>
      </c>
      <c r="P3911" s="6" t="s">
        <v>43</v>
      </c>
      <c r="Q3911" s="8" t="s">
        <v>44</v>
      </c>
      <c r="R3911" s="10" t="s">
        <v>23302</v>
      </c>
      <c r="S3911" s="11" t="s">
        <v>23303</v>
      </c>
      <c r="T3911" s="6" t="s">
        <v>299</v>
      </c>
      <c r="U3911" s="24" t="str">
        <f>HYPERLINK("https://media.infra-m.ru/2059/2059558/cover/2059558.jpg", "Обложка")</f>
        <v>Обложка</v>
      </c>
      <c r="V3911" s="24" t="str">
        <f>HYPERLINK("https://znanium.ru/catalog/product/2059558", "Ознакомиться")</f>
        <v>Ознакомиться</v>
      </c>
      <c r="W3911" s="8" t="s">
        <v>2216</v>
      </c>
      <c r="X3911" s="6"/>
      <c r="Y3911" s="6"/>
      <c r="Z3911" s="6"/>
      <c r="AA3911" s="6" t="s">
        <v>151</v>
      </c>
      <c r="AB3911" s="8"/>
    </row>
    <row r="3912" spans="1:28" s="4" customFormat="1" ht="51.95" customHeight="1">
      <c r="A3912" s="5">
        <v>0</v>
      </c>
      <c r="B3912" s="6" t="s">
        <v>23304</v>
      </c>
      <c r="C3912" s="13">
        <v>1660</v>
      </c>
      <c r="D3912" s="8" t="s">
        <v>23305</v>
      </c>
      <c r="E3912" s="8" t="s">
        <v>23306</v>
      </c>
      <c r="F3912" s="8" t="s">
        <v>17521</v>
      </c>
      <c r="G3912" s="6" t="s">
        <v>89</v>
      </c>
      <c r="H3912" s="6" t="s">
        <v>39</v>
      </c>
      <c r="I3912" s="8" t="s">
        <v>100</v>
      </c>
      <c r="J3912" s="9">
        <v>1</v>
      </c>
      <c r="K3912" s="9">
        <v>352</v>
      </c>
      <c r="L3912" s="9">
        <v>2024</v>
      </c>
      <c r="M3912" s="8" t="s">
        <v>23307</v>
      </c>
      <c r="N3912" s="8" t="s">
        <v>79</v>
      </c>
      <c r="O3912" s="8" t="s">
        <v>80</v>
      </c>
      <c r="P3912" s="6" t="s">
        <v>43</v>
      </c>
      <c r="Q3912" s="8" t="s">
        <v>102</v>
      </c>
      <c r="R3912" s="10" t="s">
        <v>23308</v>
      </c>
      <c r="S3912" s="11" t="s">
        <v>23309</v>
      </c>
      <c r="T3912" s="6"/>
      <c r="U3912" s="24" t="str">
        <f>HYPERLINK("https://media.infra-m.ru/2150/2150738/cover/2150738.jpg", "Обложка")</f>
        <v>Обложка</v>
      </c>
      <c r="V3912" s="24" t="str">
        <f>HYPERLINK("https://znanium.ru/catalog/product/2150738", "Ознакомиться")</f>
        <v>Ознакомиться</v>
      </c>
      <c r="W3912" s="8" t="s">
        <v>1144</v>
      </c>
      <c r="X3912" s="6"/>
      <c r="Y3912" s="6"/>
      <c r="Z3912" s="6" t="s">
        <v>104</v>
      </c>
      <c r="AA3912" s="6" t="s">
        <v>196</v>
      </c>
      <c r="AB3912" s="8"/>
    </row>
    <row r="3913" spans="1:28" s="4" customFormat="1" ht="51.95" customHeight="1">
      <c r="A3913" s="5">
        <v>0</v>
      </c>
      <c r="B3913" s="6" t="s">
        <v>23310</v>
      </c>
      <c r="C3913" s="13">
        <v>1634</v>
      </c>
      <c r="D3913" s="8" t="s">
        <v>23311</v>
      </c>
      <c r="E3913" s="8" t="s">
        <v>23312</v>
      </c>
      <c r="F3913" s="8" t="s">
        <v>17521</v>
      </c>
      <c r="G3913" s="6" t="s">
        <v>89</v>
      </c>
      <c r="H3913" s="6" t="s">
        <v>53</v>
      </c>
      <c r="I3913" s="8" t="s">
        <v>90</v>
      </c>
      <c r="J3913" s="9">
        <v>1</v>
      </c>
      <c r="K3913" s="9">
        <v>327</v>
      </c>
      <c r="L3913" s="9">
        <v>2025</v>
      </c>
      <c r="M3913" s="8" t="s">
        <v>23313</v>
      </c>
      <c r="N3913" s="8" t="s">
        <v>79</v>
      </c>
      <c r="O3913" s="8" t="s">
        <v>80</v>
      </c>
      <c r="P3913" s="6" t="s">
        <v>43</v>
      </c>
      <c r="Q3913" s="8" t="s">
        <v>44</v>
      </c>
      <c r="R3913" s="10" t="s">
        <v>23314</v>
      </c>
      <c r="S3913" s="11" t="s">
        <v>23315</v>
      </c>
      <c r="T3913" s="6"/>
      <c r="U3913" s="24" t="str">
        <f>HYPERLINK("https://media.infra-m.ru/2188/2188707/cover/2188707.jpg", "Обложка")</f>
        <v>Обложка</v>
      </c>
      <c r="V3913" s="24" t="str">
        <f>HYPERLINK("https://znanium.ru/catalog/product/1865598", "Ознакомиться")</f>
        <v>Ознакомиться</v>
      </c>
      <c r="W3913" s="8" t="s">
        <v>1144</v>
      </c>
      <c r="X3913" s="6"/>
      <c r="Y3913" s="6"/>
      <c r="Z3913" s="6"/>
      <c r="AA3913" s="6" t="s">
        <v>874</v>
      </c>
      <c r="AB3913" s="8"/>
    </row>
    <row r="3914" spans="1:28" s="4" customFormat="1" ht="51.95" customHeight="1">
      <c r="A3914" s="5">
        <v>0</v>
      </c>
      <c r="B3914" s="6" t="s">
        <v>23316</v>
      </c>
      <c r="C3914" s="13">
        <v>1130</v>
      </c>
      <c r="D3914" s="8" t="s">
        <v>23317</v>
      </c>
      <c r="E3914" s="8" t="s">
        <v>23306</v>
      </c>
      <c r="F3914" s="8" t="s">
        <v>17521</v>
      </c>
      <c r="G3914" s="6" t="s">
        <v>89</v>
      </c>
      <c r="H3914" s="6" t="s">
        <v>39</v>
      </c>
      <c r="I3914" s="8" t="s">
        <v>116</v>
      </c>
      <c r="J3914" s="9">
        <v>1</v>
      </c>
      <c r="K3914" s="9">
        <v>352</v>
      </c>
      <c r="L3914" s="9">
        <v>2019</v>
      </c>
      <c r="M3914" s="8" t="s">
        <v>23318</v>
      </c>
      <c r="N3914" s="8" t="s">
        <v>79</v>
      </c>
      <c r="O3914" s="8" t="s">
        <v>80</v>
      </c>
      <c r="P3914" s="6" t="s">
        <v>43</v>
      </c>
      <c r="Q3914" s="8" t="s">
        <v>44</v>
      </c>
      <c r="R3914" s="10" t="s">
        <v>23314</v>
      </c>
      <c r="S3914" s="11" t="s">
        <v>23315</v>
      </c>
      <c r="T3914" s="6"/>
      <c r="U3914" s="24" t="str">
        <f>HYPERLINK("https://media.infra-m.ru/1025/1025261/cover/1025261.jpg", "Обложка")</f>
        <v>Обложка</v>
      </c>
      <c r="V3914" s="24" t="str">
        <f>HYPERLINK("https://znanium.ru/catalog/product/1865598", "Ознакомиться")</f>
        <v>Ознакомиться</v>
      </c>
      <c r="W3914" s="8" t="s">
        <v>1144</v>
      </c>
      <c r="X3914" s="6"/>
      <c r="Y3914" s="6"/>
      <c r="Z3914" s="6"/>
      <c r="AA3914" s="6" t="s">
        <v>494</v>
      </c>
      <c r="AB3914" s="8"/>
    </row>
    <row r="3915" spans="1:28" s="4" customFormat="1" ht="51.95" customHeight="1">
      <c r="A3915" s="5">
        <v>0</v>
      </c>
      <c r="B3915" s="6" t="s">
        <v>23319</v>
      </c>
      <c r="C3915" s="7">
        <v>650</v>
      </c>
      <c r="D3915" s="8" t="s">
        <v>23320</v>
      </c>
      <c r="E3915" s="8" t="s">
        <v>23321</v>
      </c>
      <c r="F3915" s="8" t="s">
        <v>23322</v>
      </c>
      <c r="G3915" s="6" t="s">
        <v>89</v>
      </c>
      <c r="H3915" s="6" t="s">
        <v>53</v>
      </c>
      <c r="I3915" s="8" t="s">
        <v>100</v>
      </c>
      <c r="J3915" s="9">
        <v>1</v>
      </c>
      <c r="K3915" s="9">
        <v>145</v>
      </c>
      <c r="L3915" s="9">
        <v>2023</v>
      </c>
      <c r="M3915" s="8" t="s">
        <v>23323</v>
      </c>
      <c r="N3915" s="8" t="s">
        <v>79</v>
      </c>
      <c r="O3915" s="8" t="s">
        <v>80</v>
      </c>
      <c r="P3915" s="6" t="s">
        <v>43</v>
      </c>
      <c r="Q3915" s="8" t="s">
        <v>102</v>
      </c>
      <c r="R3915" s="10" t="s">
        <v>23324</v>
      </c>
      <c r="S3915" s="11" t="s">
        <v>23325</v>
      </c>
      <c r="T3915" s="6"/>
      <c r="U3915" s="24" t="str">
        <f>HYPERLINK("https://media.infra-m.ru/1878/1878635/cover/1878635.jpg", "Обложка")</f>
        <v>Обложка</v>
      </c>
      <c r="V3915" s="24" t="str">
        <f>HYPERLINK("https://znanium.ru/catalog/product/1878635", "Ознакомиться")</f>
        <v>Ознакомиться</v>
      </c>
      <c r="W3915" s="8" t="s">
        <v>6838</v>
      </c>
      <c r="X3915" s="6"/>
      <c r="Y3915" s="6"/>
      <c r="Z3915" s="6" t="s">
        <v>104</v>
      </c>
      <c r="AA3915" s="6" t="s">
        <v>258</v>
      </c>
      <c r="AB3915" s="8"/>
    </row>
    <row r="3916" spans="1:28" s="4" customFormat="1" ht="51.95" customHeight="1">
      <c r="A3916" s="5">
        <v>0</v>
      </c>
      <c r="B3916" s="6" t="s">
        <v>23326</v>
      </c>
      <c r="C3916" s="7">
        <v>664</v>
      </c>
      <c r="D3916" s="8" t="s">
        <v>23327</v>
      </c>
      <c r="E3916" s="8" t="s">
        <v>23321</v>
      </c>
      <c r="F3916" s="8" t="s">
        <v>23322</v>
      </c>
      <c r="G3916" s="6" t="s">
        <v>89</v>
      </c>
      <c r="H3916" s="6" t="s">
        <v>53</v>
      </c>
      <c r="I3916" s="8" t="s">
        <v>90</v>
      </c>
      <c r="J3916" s="9">
        <v>1</v>
      </c>
      <c r="K3916" s="9">
        <v>145</v>
      </c>
      <c r="L3916" s="9">
        <v>2024</v>
      </c>
      <c r="M3916" s="8" t="s">
        <v>23328</v>
      </c>
      <c r="N3916" s="8" t="s">
        <v>79</v>
      </c>
      <c r="O3916" s="8" t="s">
        <v>80</v>
      </c>
      <c r="P3916" s="6" t="s">
        <v>43</v>
      </c>
      <c r="Q3916" s="8" t="s">
        <v>44</v>
      </c>
      <c r="R3916" s="10" t="s">
        <v>23329</v>
      </c>
      <c r="S3916" s="11" t="s">
        <v>23330</v>
      </c>
      <c r="T3916" s="6"/>
      <c r="U3916" s="24" t="str">
        <f>HYPERLINK("https://media.infra-m.ru/2119/2119946/cover/2119946.jpg", "Обложка")</f>
        <v>Обложка</v>
      </c>
      <c r="V3916" s="24" t="str">
        <f>HYPERLINK("https://znanium.ru/catalog/product/1914008", "Ознакомиться")</f>
        <v>Ознакомиться</v>
      </c>
      <c r="W3916" s="8" t="s">
        <v>6838</v>
      </c>
      <c r="X3916" s="6"/>
      <c r="Y3916" s="6"/>
      <c r="Z3916" s="6"/>
      <c r="AA3916" s="6" t="s">
        <v>151</v>
      </c>
      <c r="AB3916" s="8"/>
    </row>
    <row r="3917" spans="1:28" s="4" customFormat="1" ht="51.95" customHeight="1">
      <c r="A3917" s="5">
        <v>0</v>
      </c>
      <c r="B3917" s="6" t="s">
        <v>23331</v>
      </c>
      <c r="C3917" s="7">
        <v>740</v>
      </c>
      <c r="D3917" s="8" t="s">
        <v>23332</v>
      </c>
      <c r="E3917" s="8" t="s">
        <v>23333</v>
      </c>
      <c r="F3917" s="8" t="s">
        <v>2624</v>
      </c>
      <c r="G3917" s="6" t="s">
        <v>38</v>
      </c>
      <c r="H3917" s="6" t="s">
        <v>53</v>
      </c>
      <c r="I3917" s="8" t="s">
        <v>100</v>
      </c>
      <c r="J3917" s="9">
        <v>1</v>
      </c>
      <c r="K3917" s="9">
        <v>158</v>
      </c>
      <c r="L3917" s="9">
        <v>2024</v>
      </c>
      <c r="M3917" s="8" t="s">
        <v>23334</v>
      </c>
      <c r="N3917" s="8" t="s">
        <v>79</v>
      </c>
      <c r="O3917" s="8" t="s">
        <v>80</v>
      </c>
      <c r="P3917" s="6" t="s">
        <v>43</v>
      </c>
      <c r="Q3917" s="8" t="s">
        <v>102</v>
      </c>
      <c r="R3917" s="10" t="s">
        <v>23335</v>
      </c>
      <c r="S3917" s="11" t="s">
        <v>23336</v>
      </c>
      <c r="T3917" s="6"/>
      <c r="U3917" s="24" t="str">
        <f>HYPERLINK("https://media.infra-m.ru/2111/2111926/cover/2111926.jpg", "Обложка")</f>
        <v>Обложка</v>
      </c>
      <c r="V3917" s="24" t="str">
        <f>HYPERLINK("https://znanium.ru/catalog/product/2111926", "Ознакомиться")</f>
        <v>Ознакомиться</v>
      </c>
      <c r="W3917" s="8" t="s">
        <v>46</v>
      </c>
      <c r="X3917" s="6"/>
      <c r="Y3917" s="6"/>
      <c r="Z3917" s="6"/>
      <c r="AA3917" s="6" t="s">
        <v>1259</v>
      </c>
      <c r="AB3917" s="8"/>
    </row>
    <row r="3918" spans="1:28" s="4" customFormat="1" ht="51.95" customHeight="1">
      <c r="A3918" s="5">
        <v>0</v>
      </c>
      <c r="B3918" s="6" t="s">
        <v>23337</v>
      </c>
      <c r="C3918" s="7">
        <v>350</v>
      </c>
      <c r="D3918" s="8" t="s">
        <v>23338</v>
      </c>
      <c r="E3918" s="8" t="s">
        <v>23339</v>
      </c>
      <c r="F3918" s="8" t="s">
        <v>2624</v>
      </c>
      <c r="G3918" s="6" t="s">
        <v>38</v>
      </c>
      <c r="H3918" s="6" t="s">
        <v>53</v>
      </c>
      <c r="I3918" s="8" t="s">
        <v>100</v>
      </c>
      <c r="J3918" s="9">
        <v>1</v>
      </c>
      <c r="K3918" s="9">
        <v>117</v>
      </c>
      <c r="L3918" s="9">
        <v>2019</v>
      </c>
      <c r="M3918" s="8" t="s">
        <v>23340</v>
      </c>
      <c r="N3918" s="8" t="s">
        <v>79</v>
      </c>
      <c r="O3918" s="8" t="s">
        <v>80</v>
      </c>
      <c r="P3918" s="6" t="s">
        <v>43</v>
      </c>
      <c r="Q3918" s="8" t="s">
        <v>102</v>
      </c>
      <c r="R3918" s="10" t="s">
        <v>23335</v>
      </c>
      <c r="S3918" s="11" t="s">
        <v>23341</v>
      </c>
      <c r="T3918" s="6"/>
      <c r="U3918" s="24" t="str">
        <f>HYPERLINK("https://media.infra-m.ru/0989/0989894/cover/989894.jpg", "Обложка")</f>
        <v>Обложка</v>
      </c>
      <c r="V3918" s="24" t="str">
        <f>HYPERLINK("https://znanium.ru/catalog/product/2111926", "Ознакомиться")</f>
        <v>Ознакомиться</v>
      </c>
      <c r="W3918" s="8" t="s">
        <v>46</v>
      </c>
      <c r="X3918" s="6"/>
      <c r="Y3918" s="6"/>
      <c r="Z3918" s="6"/>
      <c r="AA3918" s="6" t="s">
        <v>122</v>
      </c>
      <c r="AB3918" s="8"/>
    </row>
    <row r="3919" spans="1:28" s="4" customFormat="1" ht="51.95" customHeight="1">
      <c r="A3919" s="5">
        <v>0</v>
      </c>
      <c r="B3919" s="6" t="s">
        <v>23342</v>
      </c>
      <c r="C3919" s="13">
        <v>2244</v>
      </c>
      <c r="D3919" s="8" t="s">
        <v>23343</v>
      </c>
      <c r="E3919" s="8" t="s">
        <v>23344</v>
      </c>
      <c r="F3919" s="8" t="s">
        <v>23345</v>
      </c>
      <c r="G3919" s="6" t="s">
        <v>52</v>
      </c>
      <c r="H3919" s="6" t="s">
        <v>39</v>
      </c>
      <c r="I3919" s="8" t="s">
        <v>185</v>
      </c>
      <c r="J3919" s="9">
        <v>1</v>
      </c>
      <c r="K3919" s="9">
        <v>448</v>
      </c>
      <c r="L3919" s="9">
        <v>2025</v>
      </c>
      <c r="M3919" s="8" t="s">
        <v>23346</v>
      </c>
      <c r="N3919" s="8" t="s">
        <v>79</v>
      </c>
      <c r="O3919" s="8" t="s">
        <v>80</v>
      </c>
      <c r="P3919" s="6" t="s">
        <v>43</v>
      </c>
      <c r="Q3919" s="8" t="s">
        <v>102</v>
      </c>
      <c r="R3919" s="10" t="s">
        <v>23347</v>
      </c>
      <c r="S3919" s="11" t="s">
        <v>23348</v>
      </c>
      <c r="T3919" s="6"/>
      <c r="U3919" s="24" t="str">
        <f>HYPERLINK("https://media.infra-m.ru/2185/2185904/cover/2185904.jpg", "Обложка")</f>
        <v>Обложка</v>
      </c>
      <c r="V3919" s="24" t="str">
        <f>HYPERLINK("https://znanium.ru/catalog/product/1189345", "Ознакомиться")</f>
        <v>Ознакомиться</v>
      </c>
      <c r="W3919" s="8" t="s">
        <v>2201</v>
      </c>
      <c r="X3919" s="6"/>
      <c r="Y3919" s="6"/>
      <c r="Z3919" s="6"/>
      <c r="AA3919" s="6" t="s">
        <v>11034</v>
      </c>
      <c r="AB3919" s="8"/>
    </row>
    <row r="3920" spans="1:28" s="4" customFormat="1" ht="44.1" customHeight="1">
      <c r="A3920" s="5">
        <v>0</v>
      </c>
      <c r="B3920" s="6" t="s">
        <v>23349</v>
      </c>
      <c r="C3920" s="13">
        <v>1454.9</v>
      </c>
      <c r="D3920" s="8" t="s">
        <v>23350</v>
      </c>
      <c r="E3920" s="8" t="s">
        <v>23351</v>
      </c>
      <c r="F3920" s="8" t="s">
        <v>23352</v>
      </c>
      <c r="G3920" s="6" t="s">
        <v>52</v>
      </c>
      <c r="H3920" s="6" t="s">
        <v>952</v>
      </c>
      <c r="I3920" s="8"/>
      <c r="J3920" s="9">
        <v>1</v>
      </c>
      <c r="K3920" s="9">
        <v>384</v>
      </c>
      <c r="L3920" s="9">
        <v>2022</v>
      </c>
      <c r="M3920" s="8" t="s">
        <v>23353</v>
      </c>
      <c r="N3920" s="8" t="s">
        <v>41</v>
      </c>
      <c r="O3920" s="8" t="s">
        <v>1007</v>
      </c>
      <c r="P3920" s="6" t="s">
        <v>43</v>
      </c>
      <c r="Q3920" s="8" t="s">
        <v>44</v>
      </c>
      <c r="R3920" s="10" t="s">
        <v>1380</v>
      </c>
      <c r="S3920" s="11"/>
      <c r="T3920" s="6"/>
      <c r="U3920" s="24" t="str">
        <f>HYPERLINK("https://media.infra-m.ru/1843/1843642/cover/1843642.jpg", "Обложка")</f>
        <v>Обложка</v>
      </c>
      <c r="V3920" s="12"/>
      <c r="W3920" s="8" t="s">
        <v>347</v>
      </c>
      <c r="X3920" s="6"/>
      <c r="Y3920" s="6"/>
      <c r="Z3920" s="6"/>
      <c r="AA3920" s="6" t="s">
        <v>122</v>
      </c>
      <c r="AB3920" s="8"/>
    </row>
    <row r="3921" spans="1:28" s="4" customFormat="1" ht="51.95" customHeight="1">
      <c r="A3921" s="5">
        <v>0</v>
      </c>
      <c r="B3921" s="6" t="s">
        <v>23354</v>
      </c>
      <c r="C3921" s="13">
        <v>1834</v>
      </c>
      <c r="D3921" s="8" t="s">
        <v>23355</v>
      </c>
      <c r="E3921" s="8" t="s">
        <v>23356</v>
      </c>
      <c r="F3921" s="8" t="s">
        <v>490</v>
      </c>
      <c r="G3921" s="6" t="s">
        <v>52</v>
      </c>
      <c r="H3921" s="6" t="s">
        <v>39</v>
      </c>
      <c r="I3921" s="8" t="s">
        <v>116</v>
      </c>
      <c r="J3921" s="9">
        <v>1</v>
      </c>
      <c r="K3921" s="9">
        <v>352</v>
      </c>
      <c r="L3921" s="9">
        <v>2025</v>
      </c>
      <c r="M3921" s="8" t="s">
        <v>23357</v>
      </c>
      <c r="N3921" s="8" t="s">
        <v>79</v>
      </c>
      <c r="O3921" s="8" t="s">
        <v>396</v>
      </c>
      <c r="P3921" s="6" t="s">
        <v>43</v>
      </c>
      <c r="Q3921" s="8" t="s">
        <v>44</v>
      </c>
      <c r="R3921" s="10" t="s">
        <v>460</v>
      </c>
      <c r="S3921" s="11" t="s">
        <v>23358</v>
      </c>
      <c r="T3921" s="6"/>
      <c r="U3921" s="24" t="str">
        <f>HYPERLINK("https://media.infra-m.ru/2192/2192220/cover/2192220.jpg", "Обложка")</f>
        <v>Обложка</v>
      </c>
      <c r="V3921" s="12"/>
      <c r="W3921" s="8" t="s">
        <v>487</v>
      </c>
      <c r="X3921" s="6"/>
      <c r="Y3921" s="6"/>
      <c r="Z3921" s="6"/>
      <c r="AA3921" s="6" t="s">
        <v>122</v>
      </c>
      <c r="AB3921" s="8"/>
    </row>
    <row r="3922" spans="1:28" s="4" customFormat="1" ht="51.95" customHeight="1">
      <c r="A3922" s="5">
        <v>0</v>
      </c>
      <c r="B3922" s="6" t="s">
        <v>23359</v>
      </c>
      <c r="C3922" s="13">
        <v>1404.9</v>
      </c>
      <c r="D3922" s="8" t="s">
        <v>23360</v>
      </c>
      <c r="E3922" s="8" t="s">
        <v>23361</v>
      </c>
      <c r="F3922" s="8" t="s">
        <v>23362</v>
      </c>
      <c r="G3922" s="6" t="s">
        <v>52</v>
      </c>
      <c r="H3922" s="6" t="s">
        <v>438</v>
      </c>
      <c r="I3922" s="8"/>
      <c r="J3922" s="9">
        <v>1</v>
      </c>
      <c r="K3922" s="9">
        <v>312</v>
      </c>
      <c r="L3922" s="9">
        <v>2023</v>
      </c>
      <c r="M3922" s="8" t="s">
        <v>23363</v>
      </c>
      <c r="N3922" s="8" t="s">
        <v>79</v>
      </c>
      <c r="O3922" s="8" t="s">
        <v>537</v>
      </c>
      <c r="P3922" s="6" t="s">
        <v>43</v>
      </c>
      <c r="Q3922" s="8" t="s">
        <v>58</v>
      </c>
      <c r="R3922" s="10" t="s">
        <v>23364</v>
      </c>
      <c r="S3922" s="11" t="s">
        <v>23365</v>
      </c>
      <c r="T3922" s="6"/>
      <c r="U3922" s="24" t="str">
        <f>HYPERLINK("https://media.infra-m.ru/1900/1900561/cover/1900561.jpg", "Обложка")</f>
        <v>Обложка</v>
      </c>
      <c r="V3922" s="24" t="str">
        <f>HYPERLINK("https://znanium.ru/catalog/product/1027253", "Ознакомиться")</f>
        <v>Ознакомиться</v>
      </c>
      <c r="W3922" s="8" t="s">
        <v>3002</v>
      </c>
      <c r="X3922" s="6"/>
      <c r="Y3922" s="6"/>
      <c r="Z3922" s="6"/>
      <c r="AA3922" s="6" t="s">
        <v>84</v>
      </c>
      <c r="AB3922" s="8"/>
    </row>
    <row r="3923" spans="1:28" s="4" customFormat="1" ht="51.95" customHeight="1">
      <c r="A3923" s="5">
        <v>0</v>
      </c>
      <c r="B3923" s="6" t="s">
        <v>23366</v>
      </c>
      <c r="C3923" s="13">
        <v>1224</v>
      </c>
      <c r="D3923" s="8" t="s">
        <v>23367</v>
      </c>
      <c r="E3923" s="8" t="s">
        <v>23368</v>
      </c>
      <c r="F3923" s="8" t="s">
        <v>23369</v>
      </c>
      <c r="G3923" s="6" t="s">
        <v>89</v>
      </c>
      <c r="H3923" s="6" t="s">
        <v>53</v>
      </c>
      <c r="I3923" s="8" t="s">
        <v>90</v>
      </c>
      <c r="J3923" s="9">
        <v>1</v>
      </c>
      <c r="K3923" s="9">
        <v>245</v>
      </c>
      <c r="L3923" s="9">
        <v>2024</v>
      </c>
      <c r="M3923" s="8" t="s">
        <v>23370</v>
      </c>
      <c r="N3923" s="8" t="s">
        <v>79</v>
      </c>
      <c r="O3923" s="8" t="s">
        <v>148</v>
      </c>
      <c r="P3923" s="6" t="s">
        <v>43</v>
      </c>
      <c r="Q3923" s="8" t="s">
        <v>44</v>
      </c>
      <c r="R3923" s="10" t="s">
        <v>23371</v>
      </c>
      <c r="S3923" s="11" t="s">
        <v>23372</v>
      </c>
      <c r="T3923" s="6"/>
      <c r="U3923" s="24" t="str">
        <f>HYPERLINK("https://media.infra-m.ru/2084/2084311/cover/2084311.jpg", "Обложка")</f>
        <v>Обложка</v>
      </c>
      <c r="V3923" s="24" t="str">
        <f>HYPERLINK("https://znanium.ru/catalog/product/2146031", "Ознакомиться")</f>
        <v>Ознакомиться</v>
      </c>
      <c r="W3923" s="8" t="s">
        <v>3201</v>
      </c>
      <c r="X3923" s="6"/>
      <c r="Y3923" s="6"/>
      <c r="Z3923" s="6"/>
      <c r="AA3923" s="6" t="s">
        <v>95</v>
      </c>
      <c r="AB3923" s="8"/>
    </row>
    <row r="3924" spans="1:28" s="4" customFormat="1" ht="42" customHeight="1">
      <c r="A3924" s="5">
        <v>0</v>
      </c>
      <c r="B3924" s="6" t="s">
        <v>23373</v>
      </c>
      <c r="C3924" s="13">
        <v>1480</v>
      </c>
      <c r="D3924" s="8" t="s">
        <v>23374</v>
      </c>
      <c r="E3924" s="8" t="s">
        <v>23375</v>
      </c>
      <c r="F3924" s="8" t="s">
        <v>23236</v>
      </c>
      <c r="G3924" s="6" t="s">
        <v>52</v>
      </c>
      <c r="H3924" s="6" t="s">
        <v>53</v>
      </c>
      <c r="I3924" s="8" t="s">
        <v>116</v>
      </c>
      <c r="J3924" s="9">
        <v>1</v>
      </c>
      <c r="K3924" s="9">
        <v>281</v>
      </c>
      <c r="L3924" s="9">
        <v>2025</v>
      </c>
      <c r="M3924" s="8" t="s">
        <v>23376</v>
      </c>
      <c r="N3924" s="8" t="s">
        <v>79</v>
      </c>
      <c r="O3924" s="8" t="s">
        <v>80</v>
      </c>
      <c r="P3924" s="6" t="s">
        <v>43</v>
      </c>
      <c r="Q3924" s="8" t="s">
        <v>44</v>
      </c>
      <c r="R3924" s="10" t="s">
        <v>23371</v>
      </c>
      <c r="S3924" s="11"/>
      <c r="T3924" s="6"/>
      <c r="U3924" s="24" t="str">
        <f>HYPERLINK("https://media.infra-m.ru/2146/2146031/cover/2146031.jpg", "Обложка")</f>
        <v>Обложка</v>
      </c>
      <c r="V3924" s="24" t="str">
        <f>HYPERLINK("https://znanium.ru/catalog/product/2146031", "Ознакомиться")</f>
        <v>Ознакомиться</v>
      </c>
      <c r="W3924" s="8" t="s">
        <v>3201</v>
      </c>
      <c r="X3924" s="6" t="s">
        <v>1049</v>
      </c>
      <c r="Y3924" s="6"/>
      <c r="Z3924" s="6"/>
      <c r="AA3924" s="6" t="s">
        <v>818</v>
      </c>
      <c r="AB3924" s="8"/>
    </row>
    <row r="3925" spans="1:28" s="4" customFormat="1" ht="51.95" customHeight="1">
      <c r="A3925" s="5">
        <v>0</v>
      </c>
      <c r="B3925" s="6" t="s">
        <v>23377</v>
      </c>
      <c r="C3925" s="7">
        <v>424.9</v>
      </c>
      <c r="D3925" s="8" t="s">
        <v>23378</v>
      </c>
      <c r="E3925" s="8" t="s">
        <v>23379</v>
      </c>
      <c r="F3925" s="8" t="s">
        <v>23380</v>
      </c>
      <c r="G3925" s="6" t="s">
        <v>38</v>
      </c>
      <c r="H3925" s="6" t="s">
        <v>53</v>
      </c>
      <c r="I3925" s="8" t="s">
        <v>90</v>
      </c>
      <c r="J3925" s="9">
        <v>1</v>
      </c>
      <c r="K3925" s="9">
        <v>143</v>
      </c>
      <c r="L3925" s="9">
        <v>2019</v>
      </c>
      <c r="M3925" s="8" t="s">
        <v>23381</v>
      </c>
      <c r="N3925" s="8" t="s">
        <v>79</v>
      </c>
      <c r="O3925" s="8" t="s">
        <v>148</v>
      </c>
      <c r="P3925" s="6" t="s">
        <v>43</v>
      </c>
      <c r="Q3925" s="8" t="s">
        <v>44</v>
      </c>
      <c r="R3925" s="10" t="s">
        <v>23371</v>
      </c>
      <c r="S3925" s="11" t="s">
        <v>23382</v>
      </c>
      <c r="T3925" s="6"/>
      <c r="U3925" s="24" t="str">
        <f>HYPERLINK("https://media.infra-m.ru/0982/0982322/cover/982322.jpg", "Обложка")</f>
        <v>Обложка</v>
      </c>
      <c r="V3925" s="24" t="str">
        <f>HYPERLINK("https://znanium.ru/catalog/product/2146031", "Ознакомиться")</f>
        <v>Ознакомиться</v>
      </c>
      <c r="W3925" s="8" t="s">
        <v>3201</v>
      </c>
      <c r="X3925" s="6"/>
      <c r="Y3925" s="6"/>
      <c r="Z3925" s="6"/>
      <c r="AA3925" s="6" t="s">
        <v>84</v>
      </c>
      <c r="AB3925" s="8"/>
    </row>
    <row r="3926" spans="1:28" s="4" customFormat="1" ht="51.95" customHeight="1">
      <c r="A3926" s="5">
        <v>0</v>
      </c>
      <c r="B3926" s="6" t="s">
        <v>23383</v>
      </c>
      <c r="C3926" s="7">
        <v>824.9</v>
      </c>
      <c r="D3926" s="8" t="s">
        <v>23384</v>
      </c>
      <c r="E3926" s="8" t="s">
        <v>23385</v>
      </c>
      <c r="F3926" s="8" t="s">
        <v>23386</v>
      </c>
      <c r="G3926" s="6" t="s">
        <v>89</v>
      </c>
      <c r="H3926" s="6" t="s">
        <v>53</v>
      </c>
      <c r="I3926" s="8" t="s">
        <v>276</v>
      </c>
      <c r="J3926" s="9">
        <v>1</v>
      </c>
      <c r="K3926" s="9">
        <v>183</v>
      </c>
      <c r="L3926" s="9">
        <v>2023</v>
      </c>
      <c r="M3926" s="8" t="s">
        <v>23387</v>
      </c>
      <c r="N3926" s="8" t="s">
        <v>79</v>
      </c>
      <c r="O3926" s="8" t="s">
        <v>80</v>
      </c>
      <c r="P3926" s="6" t="s">
        <v>43</v>
      </c>
      <c r="Q3926" s="8" t="s">
        <v>279</v>
      </c>
      <c r="R3926" s="10" t="s">
        <v>23388</v>
      </c>
      <c r="S3926" s="11" t="s">
        <v>23389</v>
      </c>
      <c r="T3926" s="6" t="s">
        <v>299</v>
      </c>
      <c r="U3926" s="24" t="str">
        <f>HYPERLINK("https://media.infra-m.ru/1927/1927331/cover/1927331.jpg", "Обложка")</f>
        <v>Обложка</v>
      </c>
      <c r="V3926" s="24" t="str">
        <f>HYPERLINK("https://znanium.ru/catalog/product/1062026", "Ознакомиться")</f>
        <v>Ознакомиться</v>
      </c>
      <c r="W3926" s="8" t="s">
        <v>1514</v>
      </c>
      <c r="X3926" s="6"/>
      <c r="Y3926" s="6"/>
      <c r="Z3926" s="6"/>
      <c r="AA3926" s="6" t="s">
        <v>151</v>
      </c>
      <c r="AB3926" s="8" t="s">
        <v>271</v>
      </c>
    </row>
    <row r="3927" spans="1:28" s="4" customFormat="1" ht="42" customHeight="1">
      <c r="A3927" s="5">
        <v>0</v>
      </c>
      <c r="B3927" s="6" t="s">
        <v>23390</v>
      </c>
      <c r="C3927" s="13">
        <v>1670</v>
      </c>
      <c r="D3927" s="8" t="s">
        <v>23391</v>
      </c>
      <c r="E3927" s="8" t="s">
        <v>23392</v>
      </c>
      <c r="F3927" s="8" t="s">
        <v>4049</v>
      </c>
      <c r="G3927" s="6" t="s">
        <v>89</v>
      </c>
      <c r="H3927" s="6" t="s">
        <v>53</v>
      </c>
      <c r="I3927" s="8" t="s">
        <v>100</v>
      </c>
      <c r="J3927" s="9">
        <v>1</v>
      </c>
      <c r="K3927" s="9">
        <v>334</v>
      </c>
      <c r="L3927" s="9">
        <v>2025</v>
      </c>
      <c r="M3927" s="8" t="s">
        <v>23393</v>
      </c>
      <c r="N3927" s="8" t="s">
        <v>79</v>
      </c>
      <c r="O3927" s="8" t="s">
        <v>80</v>
      </c>
      <c r="P3927" s="6" t="s">
        <v>43</v>
      </c>
      <c r="Q3927" s="8" t="s">
        <v>102</v>
      </c>
      <c r="R3927" s="10" t="s">
        <v>4051</v>
      </c>
      <c r="S3927" s="11"/>
      <c r="T3927" s="6"/>
      <c r="U3927" s="24" t="str">
        <f>HYPERLINK("https://media.infra-m.ru/2181/2181823/cover/2181823.jpg", "Обложка")</f>
        <v>Обложка</v>
      </c>
      <c r="V3927" s="24" t="str">
        <f>HYPERLINK("https://znanium.ru/catalog/product/2181823", "Ознакомиться")</f>
        <v>Ознакомиться</v>
      </c>
      <c r="W3927" s="8" t="s">
        <v>2216</v>
      </c>
      <c r="X3927" s="6" t="s">
        <v>226</v>
      </c>
      <c r="Y3927" s="6"/>
      <c r="Z3927" s="6" t="s">
        <v>104</v>
      </c>
      <c r="AA3927" s="6" t="s">
        <v>549</v>
      </c>
      <c r="AB3927" s="8"/>
    </row>
    <row r="3928" spans="1:28" s="4" customFormat="1" ht="42" customHeight="1">
      <c r="A3928" s="5">
        <v>0</v>
      </c>
      <c r="B3928" s="6" t="s">
        <v>23394</v>
      </c>
      <c r="C3928" s="13">
        <v>1680</v>
      </c>
      <c r="D3928" s="8" t="s">
        <v>23395</v>
      </c>
      <c r="E3928" s="8" t="s">
        <v>23392</v>
      </c>
      <c r="F3928" s="8" t="s">
        <v>4049</v>
      </c>
      <c r="G3928" s="6" t="s">
        <v>52</v>
      </c>
      <c r="H3928" s="6" t="s">
        <v>53</v>
      </c>
      <c r="I3928" s="8" t="s">
        <v>116</v>
      </c>
      <c r="J3928" s="9">
        <v>1</v>
      </c>
      <c r="K3928" s="9">
        <v>334</v>
      </c>
      <c r="L3928" s="9">
        <v>2025</v>
      </c>
      <c r="M3928" s="8" t="s">
        <v>23396</v>
      </c>
      <c r="N3928" s="8" t="s">
        <v>79</v>
      </c>
      <c r="O3928" s="8" t="s">
        <v>80</v>
      </c>
      <c r="P3928" s="6" t="s">
        <v>43</v>
      </c>
      <c r="Q3928" s="8" t="s">
        <v>44</v>
      </c>
      <c r="R3928" s="10" t="s">
        <v>4055</v>
      </c>
      <c r="S3928" s="11"/>
      <c r="T3928" s="6"/>
      <c r="U3928" s="24" t="str">
        <f>HYPERLINK("https://media.infra-m.ru/1077/1077727/cover/1077727.jpg", "Обложка")</f>
        <v>Обложка</v>
      </c>
      <c r="V3928" s="24" t="str">
        <f>HYPERLINK("https://znanium.ru/catalog/product/1077727", "Ознакомиться")</f>
        <v>Ознакомиться</v>
      </c>
      <c r="W3928" s="8" t="s">
        <v>2216</v>
      </c>
      <c r="X3928" s="6" t="s">
        <v>548</v>
      </c>
      <c r="Y3928" s="6"/>
      <c r="Z3928" s="6"/>
      <c r="AA3928" s="6" t="s">
        <v>549</v>
      </c>
      <c r="AB3928" s="8"/>
    </row>
    <row r="3929" spans="1:28" s="4" customFormat="1" ht="51.95" customHeight="1">
      <c r="A3929" s="5">
        <v>0</v>
      </c>
      <c r="B3929" s="6" t="s">
        <v>23397</v>
      </c>
      <c r="C3929" s="7">
        <v>874</v>
      </c>
      <c r="D3929" s="8" t="s">
        <v>23398</v>
      </c>
      <c r="E3929" s="8" t="s">
        <v>23399</v>
      </c>
      <c r="F3929" s="8" t="s">
        <v>23400</v>
      </c>
      <c r="G3929" s="6" t="s">
        <v>52</v>
      </c>
      <c r="H3929" s="6" t="s">
        <v>53</v>
      </c>
      <c r="I3929" s="8" t="s">
        <v>90</v>
      </c>
      <c r="J3929" s="9">
        <v>1</v>
      </c>
      <c r="K3929" s="9">
        <v>174</v>
      </c>
      <c r="L3929" s="9">
        <v>2025</v>
      </c>
      <c r="M3929" s="8" t="s">
        <v>23401</v>
      </c>
      <c r="N3929" s="8" t="s">
        <v>79</v>
      </c>
      <c r="O3929" s="8" t="s">
        <v>80</v>
      </c>
      <c r="P3929" s="6" t="s">
        <v>43</v>
      </c>
      <c r="Q3929" s="8" t="s">
        <v>44</v>
      </c>
      <c r="R3929" s="10" t="s">
        <v>23402</v>
      </c>
      <c r="S3929" s="11" t="s">
        <v>23403</v>
      </c>
      <c r="T3929" s="6"/>
      <c r="U3929" s="24" t="str">
        <f>HYPERLINK("https://media.infra-m.ru/2084/2084312/cover/2084312.jpg", "Обложка")</f>
        <v>Обложка</v>
      </c>
      <c r="V3929" s="24" t="str">
        <f>HYPERLINK("https://znanium.ru/catalog/product/967872", "Ознакомиться")</f>
        <v>Ознакомиться</v>
      </c>
      <c r="W3929" s="8" t="s">
        <v>3570</v>
      </c>
      <c r="X3929" s="6"/>
      <c r="Y3929" s="6"/>
      <c r="Z3929" s="6"/>
      <c r="AA3929" s="6" t="s">
        <v>793</v>
      </c>
      <c r="AB3929" s="8"/>
    </row>
    <row r="3930" spans="1:28" s="4" customFormat="1" ht="42" customHeight="1">
      <c r="A3930" s="5">
        <v>0</v>
      </c>
      <c r="B3930" s="6" t="s">
        <v>23404</v>
      </c>
      <c r="C3930" s="13">
        <v>1294.9000000000001</v>
      </c>
      <c r="D3930" s="8" t="s">
        <v>23405</v>
      </c>
      <c r="E3930" s="8" t="s">
        <v>23406</v>
      </c>
      <c r="F3930" s="8" t="s">
        <v>23407</v>
      </c>
      <c r="G3930" s="6" t="s">
        <v>52</v>
      </c>
      <c r="H3930" s="6" t="s">
        <v>53</v>
      </c>
      <c r="I3930" s="8"/>
      <c r="J3930" s="9">
        <v>1</v>
      </c>
      <c r="K3930" s="9">
        <v>288</v>
      </c>
      <c r="L3930" s="9">
        <v>2023</v>
      </c>
      <c r="M3930" s="8" t="s">
        <v>23408</v>
      </c>
      <c r="N3930" s="8" t="s">
        <v>79</v>
      </c>
      <c r="O3930" s="8" t="s">
        <v>424</v>
      </c>
      <c r="P3930" s="6" t="s">
        <v>43</v>
      </c>
      <c r="Q3930" s="8" t="s">
        <v>44</v>
      </c>
      <c r="R3930" s="10" t="s">
        <v>4598</v>
      </c>
      <c r="S3930" s="11"/>
      <c r="T3930" s="6" t="s">
        <v>299</v>
      </c>
      <c r="U3930" s="24" t="str">
        <f>HYPERLINK("https://media.infra-m.ru/1894/1894505/cover/1894505.jpg", "Обложка")</f>
        <v>Обложка</v>
      </c>
      <c r="V3930" s="24" t="str">
        <f>HYPERLINK("https://znanium.ru/catalog/product/1839663", "Ознакомиться")</f>
        <v>Ознакомиться</v>
      </c>
      <c r="W3930" s="8" t="s">
        <v>2080</v>
      </c>
      <c r="X3930" s="6"/>
      <c r="Y3930" s="6"/>
      <c r="Z3930" s="6"/>
      <c r="AA3930" s="6" t="s">
        <v>494</v>
      </c>
      <c r="AB3930" s="8"/>
    </row>
    <row r="3931" spans="1:28" s="4" customFormat="1" ht="51.95" customHeight="1">
      <c r="A3931" s="5">
        <v>0</v>
      </c>
      <c r="B3931" s="6" t="s">
        <v>23409</v>
      </c>
      <c r="C3931" s="7">
        <v>720</v>
      </c>
      <c r="D3931" s="8" t="s">
        <v>23410</v>
      </c>
      <c r="E3931" s="8" t="s">
        <v>23411</v>
      </c>
      <c r="F3931" s="8" t="s">
        <v>2569</v>
      </c>
      <c r="G3931" s="6" t="s">
        <v>89</v>
      </c>
      <c r="H3931" s="6" t="s">
        <v>649</v>
      </c>
      <c r="I3931" s="8" t="s">
        <v>100</v>
      </c>
      <c r="J3931" s="9">
        <v>1</v>
      </c>
      <c r="K3931" s="9">
        <v>160</v>
      </c>
      <c r="L3931" s="9">
        <v>2023</v>
      </c>
      <c r="M3931" s="8" t="s">
        <v>23412</v>
      </c>
      <c r="N3931" s="8" t="s">
        <v>79</v>
      </c>
      <c r="O3931" s="8" t="s">
        <v>80</v>
      </c>
      <c r="P3931" s="6" t="s">
        <v>43</v>
      </c>
      <c r="Q3931" s="8" t="s">
        <v>102</v>
      </c>
      <c r="R3931" s="10" t="s">
        <v>367</v>
      </c>
      <c r="S3931" s="11" t="s">
        <v>23413</v>
      </c>
      <c r="T3931" s="6"/>
      <c r="U3931" s="24" t="str">
        <f>HYPERLINK("https://media.infra-m.ru/1926/1926394/cover/1926394.jpg", "Обложка")</f>
        <v>Обложка</v>
      </c>
      <c r="V3931" s="24" t="str">
        <f>HYPERLINK("https://znanium.ru/catalog/product/1926394", "Ознакомиться")</f>
        <v>Ознакомиться</v>
      </c>
      <c r="W3931" s="8" t="s">
        <v>2573</v>
      </c>
      <c r="X3931" s="6"/>
      <c r="Y3931" s="6"/>
      <c r="Z3931" s="6" t="s">
        <v>104</v>
      </c>
      <c r="AA3931" s="6" t="s">
        <v>151</v>
      </c>
      <c r="AB3931" s="8"/>
    </row>
    <row r="3932" spans="1:28" s="4" customFormat="1" ht="51.95" customHeight="1">
      <c r="A3932" s="5">
        <v>0</v>
      </c>
      <c r="B3932" s="6" t="s">
        <v>23414</v>
      </c>
      <c r="C3932" s="7">
        <v>804</v>
      </c>
      <c r="D3932" s="8" t="s">
        <v>23415</v>
      </c>
      <c r="E3932" s="8" t="s">
        <v>23411</v>
      </c>
      <c r="F3932" s="8" t="s">
        <v>20345</v>
      </c>
      <c r="G3932" s="6" t="s">
        <v>52</v>
      </c>
      <c r="H3932" s="6" t="s">
        <v>649</v>
      </c>
      <c r="I3932" s="8" t="s">
        <v>116</v>
      </c>
      <c r="J3932" s="9">
        <v>1</v>
      </c>
      <c r="K3932" s="9">
        <v>160</v>
      </c>
      <c r="L3932" s="9">
        <v>2025</v>
      </c>
      <c r="M3932" s="8" t="s">
        <v>23416</v>
      </c>
      <c r="N3932" s="8" t="s">
        <v>79</v>
      </c>
      <c r="O3932" s="8" t="s">
        <v>80</v>
      </c>
      <c r="P3932" s="6" t="s">
        <v>43</v>
      </c>
      <c r="Q3932" s="8" t="s">
        <v>44</v>
      </c>
      <c r="R3932" s="10" t="s">
        <v>23417</v>
      </c>
      <c r="S3932" s="11"/>
      <c r="T3932" s="6"/>
      <c r="U3932" s="24" t="str">
        <f>HYPERLINK("https://media.infra-m.ru/2179/2179079/cover/2179079.jpg", "Обложка")</f>
        <v>Обложка</v>
      </c>
      <c r="V3932" s="24" t="str">
        <f>HYPERLINK("https://znanium.ru/catalog/product/1815962", "Ознакомиться")</f>
        <v>Ознакомиться</v>
      </c>
      <c r="W3932" s="8" t="s">
        <v>2573</v>
      </c>
      <c r="X3932" s="6"/>
      <c r="Y3932" s="6"/>
      <c r="Z3932" s="6"/>
      <c r="AA3932" s="6" t="s">
        <v>122</v>
      </c>
      <c r="AB3932" s="8"/>
    </row>
    <row r="3933" spans="1:28" s="4" customFormat="1" ht="51.95" customHeight="1">
      <c r="A3933" s="5">
        <v>0</v>
      </c>
      <c r="B3933" s="6" t="s">
        <v>23418</v>
      </c>
      <c r="C3933" s="13">
        <v>1224.9000000000001</v>
      </c>
      <c r="D3933" s="8" t="s">
        <v>23419</v>
      </c>
      <c r="E3933" s="8" t="s">
        <v>23420</v>
      </c>
      <c r="F3933" s="8" t="s">
        <v>23421</v>
      </c>
      <c r="G3933" s="6" t="s">
        <v>52</v>
      </c>
      <c r="H3933" s="6" t="s">
        <v>53</v>
      </c>
      <c r="I3933" s="8" t="s">
        <v>90</v>
      </c>
      <c r="J3933" s="9">
        <v>1</v>
      </c>
      <c r="K3933" s="9">
        <v>272</v>
      </c>
      <c r="L3933" s="9">
        <v>2023</v>
      </c>
      <c r="M3933" s="8" t="s">
        <v>23422</v>
      </c>
      <c r="N3933" s="8" t="s">
        <v>79</v>
      </c>
      <c r="O3933" s="8" t="s">
        <v>396</v>
      </c>
      <c r="P3933" s="6" t="s">
        <v>43</v>
      </c>
      <c r="Q3933" s="8" t="s">
        <v>44</v>
      </c>
      <c r="R3933" s="10" t="s">
        <v>23423</v>
      </c>
      <c r="S3933" s="11" t="s">
        <v>23424</v>
      </c>
      <c r="T3933" s="6"/>
      <c r="U3933" s="24" t="str">
        <f>HYPERLINK("https://media.infra-m.ru/1981/1981654/cover/1981654.jpg", "Обложка")</f>
        <v>Обложка</v>
      </c>
      <c r="V3933" s="24" t="str">
        <f>HYPERLINK("https://znanium.ru/catalog/product/926488", "Ознакомиться")</f>
        <v>Ознакомиться</v>
      </c>
      <c r="W3933" s="8" t="s">
        <v>399</v>
      </c>
      <c r="X3933" s="6"/>
      <c r="Y3933" s="6"/>
      <c r="Z3933" s="6"/>
      <c r="AA3933" s="6" t="s">
        <v>84</v>
      </c>
      <c r="AB3933" s="8"/>
    </row>
    <row r="3934" spans="1:28" s="4" customFormat="1" ht="51.95" customHeight="1">
      <c r="A3934" s="5">
        <v>0</v>
      </c>
      <c r="B3934" s="6" t="s">
        <v>23425</v>
      </c>
      <c r="C3934" s="13">
        <v>2880</v>
      </c>
      <c r="D3934" s="8" t="s">
        <v>23426</v>
      </c>
      <c r="E3934" s="8" t="s">
        <v>23427</v>
      </c>
      <c r="F3934" s="8" t="s">
        <v>23428</v>
      </c>
      <c r="G3934" s="6" t="s">
        <v>52</v>
      </c>
      <c r="H3934" s="6" t="s">
        <v>53</v>
      </c>
      <c r="I3934" s="8" t="s">
        <v>116</v>
      </c>
      <c r="J3934" s="9">
        <v>1</v>
      </c>
      <c r="K3934" s="9">
        <v>286</v>
      </c>
      <c r="L3934" s="9">
        <v>2021</v>
      </c>
      <c r="M3934" s="8" t="s">
        <v>23429</v>
      </c>
      <c r="N3934" s="8" t="s">
        <v>413</v>
      </c>
      <c r="O3934" s="8" t="s">
        <v>414</v>
      </c>
      <c r="P3934" s="6" t="s">
        <v>167</v>
      </c>
      <c r="Q3934" s="8" t="s">
        <v>214</v>
      </c>
      <c r="R3934" s="10" t="s">
        <v>23430</v>
      </c>
      <c r="S3934" s="11" t="s">
        <v>23431</v>
      </c>
      <c r="T3934" s="6"/>
      <c r="U3934" s="24" t="str">
        <f>HYPERLINK("https://media.infra-m.ru/1141/1141214/cover/1141214.jpg", "Обложка")</f>
        <v>Обложка</v>
      </c>
      <c r="V3934" s="24" t="str">
        <f>HYPERLINK("https://znanium.ru/catalog/product/1141214", "Ознакомиться")</f>
        <v>Ознакомиться</v>
      </c>
      <c r="W3934" s="8" t="s">
        <v>6558</v>
      </c>
      <c r="X3934" s="6"/>
      <c r="Y3934" s="6"/>
      <c r="Z3934" s="6"/>
      <c r="AA3934" s="6" t="s">
        <v>219</v>
      </c>
      <c r="AB3934" s="8"/>
    </row>
    <row r="3935" spans="1:28" s="4" customFormat="1" ht="51.95" customHeight="1">
      <c r="A3935" s="5">
        <v>0</v>
      </c>
      <c r="B3935" s="6" t="s">
        <v>23432</v>
      </c>
      <c r="C3935" s="13">
        <v>1684</v>
      </c>
      <c r="D3935" s="8" t="s">
        <v>23433</v>
      </c>
      <c r="E3935" s="8" t="s">
        <v>23434</v>
      </c>
      <c r="F3935" s="8" t="s">
        <v>23435</v>
      </c>
      <c r="G3935" s="6" t="s">
        <v>52</v>
      </c>
      <c r="H3935" s="6" t="s">
        <v>649</v>
      </c>
      <c r="I3935" s="8" t="s">
        <v>116</v>
      </c>
      <c r="J3935" s="9">
        <v>1</v>
      </c>
      <c r="K3935" s="9">
        <v>336</v>
      </c>
      <c r="L3935" s="9">
        <v>2025</v>
      </c>
      <c r="M3935" s="8" t="s">
        <v>23436</v>
      </c>
      <c r="N3935" s="8" t="s">
        <v>79</v>
      </c>
      <c r="O3935" s="8" t="s">
        <v>396</v>
      </c>
      <c r="P3935" s="6" t="s">
        <v>43</v>
      </c>
      <c r="Q3935" s="8" t="s">
        <v>44</v>
      </c>
      <c r="R3935" s="10" t="s">
        <v>10753</v>
      </c>
      <c r="S3935" s="11" t="s">
        <v>23437</v>
      </c>
      <c r="T3935" s="6"/>
      <c r="U3935" s="24" t="str">
        <f>HYPERLINK("https://media.infra-m.ru/2184/2184904/cover/2184904.jpg", "Обложка")</f>
        <v>Обложка</v>
      </c>
      <c r="V3935" s="24" t="str">
        <f>HYPERLINK("https://znanium.ru/catalog/product/1853697", "Ознакомиться")</f>
        <v>Ознакомиться</v>
      </c>
      <c r="W3935" s="8"/>
      <c r="X3935" s="6"/>
      <c r="Y3935" s="6"/>
      <c r="Z3935" s="6"/>
      <c r="AA3935" s="6" t="s">
        <v>47</v>
      </c>
      <c r="AB3935" s="8"/>
    </row>
    <row r="3936" spans="1:28" s="4" customFormat="1" ht="51.95" customHeight="1">
      <c r="A3936" s="5">
        <v>0</v>
      </c>
      <c r="B3936" s="6" t="s">
        <v>23438</v>
      </c>
      <c r="C3936" s="7">
        <v>980</v>
      </c>
      <c r="D3936" s="8" t="s">
        <v>23439</v>
      </c>
      <c r="E3936" s="8" t="s">
        <v>23434</v>
      </c>
      <c r="F3936" s="8" t="s">
        <v>23435</v>
      </c>
      <c r="G3936" s="6" t="s">
        <v>52</v>
      </c>
      <c r="H3936" s="6" t="s">
        <v>649</v>
      </c>
      <c r="I3936" s="8" t="s">
        <v>100</v>
      </c>
      <c r="J3936" s="14">
        <v>0</v>
      </c>
      <c r="K3936" s="9">
        <v>336</v>
      </c>
      <c r="L3936" s="9">
        <v>2018</v>
      </c>
      <c r="M3936" s="8" t="s">
        <v>23440</v>
      </c>
      <c r="N3936" s="8" t="s">
        <v>79</v>
      </c>
      <c r="O3936" s="8" t="s">
        <v>396</v>
      </c>
      <c r="P3936" s="6" t="s">
        <v>43</v>
      </c>
      <c r="Q3936" s="8" t="s">
        <v>102</v>
      </c>
      <c r="R3936" s="10"/>
      <c r="S3936" s="11" t="s">
        <v>23437</v>
      </c>
      <c r="T3936" s="6"/>
      <c r="U3936" s="24" t="str">
        <f>HYPERLINK("https://media.infra-m.ru/0967/0967598/cover/967598.jpg", "Обложка")</f>
        <v>Обложка</v>
      </c>
      <c r="V3936" s="12"/>
      <c r="W3936" s="8"/>
      <c r="X3936" s="6"/>
      <c r="Y3936" s="6"/>
      <c r="Z3936" s="6" t="s">
        <v>104</v>
      </c>
      <c r="AA3936" s="6" t="s">
        <v>151</v>
      </c>
      <c r="AB3936" s="8"/>
    </row>
    <row r="3937" spans="1:28" s="4" customFormat="1" ht="51.95" customHeight="1">
      <c r="A3937" s="5">
        <v>0</v>
      </c>
      <c r="B3937" s="6" t="s">
        <v>23441</v>
      </c>
      <c r="C3937" s="13">
        <v>1080</v>
      </c>
      <c r="D3937" s="8" t="s">
        <v>23442</v>
      </c>
      <c r="E3937" s="8" t="s">
        <v>23443</v>
      </c>
      <c r="F3937" s="8" t="s">
        <v>23444</v>
      </c>
      <c r="G3937" s="6" t="s">
        <v>89</v>
      </c>
      <c r="H3937" s="6" t="s">
        <v>53</v>
      </c>
      <c r="I3937" s="8" t="s">
        <v>276</v>
      </c>
      <c r="J3937" s="9">
        <v>1</v>
      </c>
      <c r="K3937" s="9">
        <v>240</v>
      </c>
      <c r="L3937" s="9">
        <v>2023</v>
      </c>
      <c r="M3937" s="8" t="s">
        <v>23445</v>
      </c>
      <c r="N3937" s="8" t="s">
        <v>997</v>
      </c>
      <c r="O3937" s="8" t="s">
        <v>998</v>
      </c>
      <c r="P3937" s="6" t="s">
        <v>175</v>
      </c>
      <c r="Q3937" s="8" t="s">
        <v>279</v>
      </c>
      <c r="R3937" s="10" t="s">
        <v>23446</v>
      </c>
      <c r="S3937" s="11" t="s">
        <v>23447</v>
      </c>
      <c r="T3937" s="6"/>
      <c r="U3937" s="24" t="str">
        <f>HYPERLINK("https://media.infra-m.ru/1959/1959261/cover/1959261.jpg", "Обложка")</f>
        <v>Обложка</v>
      </c>
      <c r="V3937" s="24" t="str">
        <f>HYPERLINK("https://znanium.ru/catalog/product/1959261", "Ознакомиться")</f>
        <v>Ознакомиться</v>
      </c>
      <c r="W3937" s="8" t="s">
        <v>2514</v>
      </c>
      <c r="X3937" s="6"/>
      <c r="Y3937" s="6"/>
      <c r="Z3937" s="6"/>
      <c r="AA3937" s="6" t="s">
        <v>793</v>
      </c>
      <c r="AB3937" s="8"/>
    </row>
    <row r="3938" spans="1:28" s="4" customFormat="1" ht="51.95" customHeight="1">
      <c r="A3938" s="5">
        <v>0</v>
      </c>
      <c r="B3938" s="6" t="s">
        <v>23448</v>
      </c>
      <c r="C3938" s="13">
        <v>1824</v>
      </c>
      <c r="D3938" s="8" t="s">
        <v>23449</v>
      </c>
      <c r="E3938" s="8" t="s">
        <v>23450</v>
      </c>
      <c r="F3938" s="8" t="s">
        <v>23451</v>
      </c>
      <c r="G3938" s="6" t="s">
        <v>89</v>
      </c>
      <c r="H3938" s="6" t="s">
        <v>39</v>
      </c>
      <c r="I3938" s="8" t="s">
        <v>90</v>
      </c>
      <c r="J3938" s="9">
        <v>1</v>
      </c>
      <c r="K3938" s="9">
        <v>357</v>
      </c>
      <c r="L3938" s="9">
        <v>2025</v>
      </c>
      <c r="M3938" s="8" t="s">
        <v>23452</v>
      </c>
      <c r="N3938" s="8" t="s">
        <v>79</v>
      </c>
      <c r="O3938" s="8" t="s">
        <v>80</v>
      </c>
      <c r="P3938" s="6" t="s">
        <v>43</v>
      </c>
      <c r="Q3938" s="8" t="s">
        <v>44</v>
      </c>
      <c r="R3938" s="10" t="s">
        <v>23453</v>
      </c>
      <c r="S3938" s="11" t="s">
        <v>23454</v>
      </c>
      <c r="T3938" s="6"/>
      <c r="U3938" s="24" t="str">
        <f>HYPERLINK("https://media.infra-m.ru/2188/2188762/cover/2188762.jpg", "Обложка")</f>
        <v>Обложка</v>
      </c>
      <c r="V3938" s="24" t="str">
        <f>HYPERLINK("https://znanium.ru/catalog/product/1894610", "Ознакомиться")</f>
        <v>Ознакомиться</v>
      </c>
      <c r="W3938" s="8" t="s">
        <v>2817</v>
      </c>
      <c r="X3938" s="6"/>
      <c r="Y3938" s="6"/>
      <c r="Z3938" s="6"/>
      <c r="AA3938" s="6" t="s">
        <v>95</v>
      </c>
      <c r="AB3938" s="8"/>
    </row>
    <row r="3939" spans="1:28" s="4" customFormat="1" ht="51.95" customHeight="1">
      <c r="A3939" s="5">
        <v>0</v>
      </c>
      <c r="B3939" s="6" t="s">
        <v>23455</v>
      </c>
      <c r="C3939" s="7">
        <v>940</v>
      </c>
      <c r="D3939" s="8" t="s">
        <v>23456</v>
      </c>
      <c r="E3939" s="8" t="s">
        <v>23457</v>
      </c>
      <c r="F3939" s="8" t="s">
        <v>23451</v>
      </c>
      <c r="G3939" s="6" t="s">
        <v>89</v>
      </c>
      <c r="H3939" s="6" t="s">
        <v>39</v>
      </c>
      <c r="I3939" s="8" t="s">
        <v>116</v>
      </c>
      <c r="J3939" s="9">
        <v>1</v>
      </c>
      <c r="K3939" s="9">
        <v>320</v>
      </c>
      <c r="L3939" s="9">
        <v>2018</v>
      </c>
      <c r="M3939" s="8" t="s">
        <v>23458</v>
      </c>
      <c r="N3939" s="8" t="s">
        <v>79</v>
      </c>
      <c r="O3939" s="8" t="s">
        <v>80</v>
      </c>
      <c r="P3939" s="6" t="s">
        <v>43</v>
      </c>
      <c r="Q3939" s="8" t="s">
        <v>44</v>
      </c>
      <c r="R3939" s="10" t="s">
        <v>23453</v>
      </c>
      <c r="S3939" s="11" t="s">
        <v>23459</v>
      </c>
      <c r="T3939" s="6"/>
      <c r="U3939" s="24" t="str">
        <f>HYPERLINK("https://media.infra-m.ru/0980/0980117/cover/980117.jpg", "Обложка")</f>
        <v>Обложка</v>
      </c>
      <c r="V3939" s="24" t="str">
        <f>HYPERLINK("https://znanium.ru/catalog/product/1894610", "Ознакомиться")</f>
        <v>Ознакомиться</v>
      </c>
      <c r="W3939" s="8" t="s">
        <v>2817</v>
      </c>
      <c r="X3939" s="6"/>
      <c r="Y3939" s="6"/>
      <c r="Z3939" s="6"/>
      <c r="AA3939" s="6" t="s">
        <v>122</v>
      </c>
      <c r="AB3939" s="8"/>
    </row>
    <row r="3940" spans="1:28" s="4" customFormat="1" ht="51.95" customHeight="1">
      <c r="A3940" s="5">
        <v>0</v>
      </c>
      <c r="B3940" s="6" t="s">
        <v>23460</v>
      </c>
      <c r="C3940" s="13">
        <v>1524</v>
      </c>
      <c r="D3940" s="8" t="s">
        <v>23461</v>
      </c>
      <c r="E3940" s="8" t="s">
        <v>23457</v>
      </c>
      <c r="F3940" s="8" t="s">
        <v>14636</v>
      </c>
      <c r="G3940" s="6" t="s">
        <v>89</v>
      </c>
      <c r="H3940" s="6" t="s">
        <v>53</v>
      </c>
      <c r="I3940" s="8" t="s">
        <v>90</v>
      </c>
      <c r="J3940" s="9">
        <v>1</v>
      </c>
      <c r="K3940" s="9">
        <v>331</v>
      </c>
      <c r="L3940" s="9">
        <v>2024</v>
      </c>
      <c r="M3940" s="8" t="s">
        <v>23462</v>
      </c>
      <c r="N3940" s="8" t="s">
        <v>79</v>
      </c>
      <c r="O3940" s="8" t="s">
        <v>80</v>
      </c>
      <c r="P3940" s="6" t="s">
        <v>43</v>
      </c>
      <c r="Q3940" s="8" t="s">
        <v>44</v>
      </c>
      <c r="R3940" s="10" t="s">
        <v>23463</v>
      </c>
      <c r="S3940" s="11" t="s">
        <v>23464</v>
      </c>
      <c r="T3940" s="6"/>
      <c r="U3940" s="24" t="str">
        <f>HYPERLINK("https://media.infra-m.ru/2079/2079166/cover/2079166.jpg", "Обложка")</f>
        <v>Обложка</v>
      </c>
      <c r="V3940" s="24" t="str">
        <f>HYPERLINK("https://znanium.ru/catalog/product/2079166", "Ознакомиться")</f>
        <v>Ознакомиться</v>
      </c>
      <c r="W3940" s="8" t="s">
        <v>14640</v>
      </c>
      <c r="X3940" s="6"/>
      <c r="Y3940" s="6"/>
      <c r="Z3940" s="6"/>
      <c r="AA3940" s="6" t="s">
        <v>72</v>
      </c>
      <c r="AB3940" s="8"/>
    </row>
    <row r="3941" spans="1:28" s="4" customFormat="1" ht="42" customHeight="1">
      <c r="A3941" s="5">
        <v>0</v>
      </c>
      <c r="B3941" s="6" t="s">
        <v>23465</v>
      </c>
      <c r="C3941" s="13">
        <v>1490</v>
      </c>
      <c r="D3941" s="8" t="s">
        <v>23466</v>
      </c>
      <c r="E3941" s="8" t="s">
        <v>23467</v>
      </c>
      <c r="F3941" s="8" t="s">
        <v>23468</v>
      </c>
      <c r="G3941" s="6" t="s">
        <v>89</v>
      </c>
      <c r="H3941" s="6" t="s">
        <v>53</v>
      </c>
      <c r="I3941" s="8" t="s">
        <v>116</v>
      </c>
      <c r="J3941" s="9">
        <v>1</v>
      </c>
      <c r="K3941" s="9">
        <v>287</v>
      </c>
      <c r="L3941" s="9">
        <v>2025</v>
      </c>
      <c r="M3941" s="8" t="s">
        <v>23469</v>
      </c>
      <c r="N3941" s="8" t="s">
        <v>41</v>
      </c>
      <c r="O3941" s="8" t="s">
        <v>42</v>
      </c>
      <c r="P3941" s="6" t="s">
        <v>167</v>
      </c>
      <c r="Q3941" s="8" t="s">
        <v>44</v>
      </c>
      <c r="R3941" s="10" t="s">
        <v>2952</v>
      </c>
      <c r="S3941" s="11"/>
      <c r="T3941" s="6"/>
      <c r="U3941" s="24" t="str">
        <f>HYPERLINK("https://media.infra-m.ru/2190/2190423/cover/2190423.jpg", "Обложка")</f>
        <v>Обложка</v>
      </c>
      <c r="V3941" s="24" t="str">
        <f>HYPERLINK("https://znanium.ru/catalog/product/2190423", "Ознакомиться")</f>
        <v>Ознакомиться</v>
      </c>
      <c r="W3941" s="8" t="s">
        <v>23470</v>
      </c>
      <c r="X3941" s="6"/>
      <c r="Y3941" s="6"/>
      <c r="Z3941" s="6"/>
      <c r="AA3941" s="6" t="s">
        <v>207</v>
      </c>
      <c r="AB3941" s="8" t="s">
        <v>23471</v>
      </c>
    </row>
    <row r="3942" spans="1:28" s="4" customFormat="1" ht="51.95" customHeight="1">
      <c r="A3942" s="5">
        <v>0</v>
      </c>
      <c r="B3942" s="6" t="s">
        <v>23472</v>
      </c>
      <c r="C3942" s="13">
        <v>2154</v>
      </c>
      <c r="D3942" s="8" t="s">
        <v>23473</v>
      </c>
      <c r="E3942" s="8" t="s">
        <v>23474</v>
      </c>
      <c r="F3942" s="8" t="s">
        <v>23475</v>
      </c>
      <c r="G3942" s="6" t="s">
        <v>52</v>
      </c>
      <c r="H3942" s="6" t="s">
        <v>649</v>
      </c>
      <c r="I3942" s="8" t="s">
        <v>116</v>
      </c>
      <c r="J3942" s="9">
        <v>1</v>
      </c>
      <c r="K3942" s="9">
        <v>432</v>
      </c>
      <c r="L3942" s="9">
        <v>2025</v>
      </c>
      <c r="M3942" s="8" t="s">
        <v>23476</v>
      </c>
      <c r="N3942" s="8" t="s">
        <v>79</v>
      </c>
      <c r="O3942" s="8" t="s">
        <v>396</v>
      </c>
      <c r="P3942" s="6" t="s">
        <v>43</v>
      </c>
      <c r="Q3942" s="8" t="s">
        <v>44</v>
      </c>
      <c r="R3942" s="10" t="s">
        <v>23477</v>
      </c>
      <c r="S3942" s="11" t="s">
        <v>20972</v>
      </c>
      <c r="T3942" s="6"/>
      <c r="U3942" s="24" t="str">
        <f>HYPERLINK("https://media.infra-m.ru/2163/2163039/cover/2163039.jpg", "Обложка")</f>
        <v>Обложка</v>
      </c>
      <c r="V3942" s="24" t="str">
        <f>HYPERLINK("https://znanium.ru/catalog/product/2086854", "Ознакомиться")</f>
        <v>Ознакомиться</v>
      </c>
      <c r="W3942" s="8" t="s">
        <v>2321</v>
      </c>
      <c r="X3942" s="6"/>
      <c r="Y3942" s="6"/>
      <c r="Z3942" s="6"/>
      <c r="AA3942" s="6" t="s">
        <v>3065</v>
      </c>
      <c r="AB3942" s="8"/>
    </row>
    <row r="3943" spans="1:28" s="4" customFormat="1" ht="51.95" customHeight="1">
      <c r="A3943" s="5">
        <v>0</v>
      </c>
      <c r="B3943" s="6" t="s">
        <v>23478</v>
      </c>
      <c r="C3943" s="13">
        <v>2084</v>
      </c>
      <c r="D3943" s="8" t="s">
        <v>23479</v>
      </c>
      <c r="E3943" s="8" t="s">
        <v>23474</v>
      </c>
      <c r="F3943" s="8" t="s">
        <v>23480</v>
      </c>
      <c r="G3943" s="6" t="s">
        <v>89</v>
      </c>
      <c r="H3943" s="6" t="s">
        <v>53</v>
      </c>
      <c r="I3943" s="8" t="s">
        <v>100</v>
      </c>
      <c r="J3943" s="9">
        <v>1</v>
      </c>
      <c r="K3943" s="9">
        <v>430</v>
      </c>
      <c r="L3943" s="9">
        <v>2025</v>
      </c>
      <c r="M3943" s="8" t="s">
        <v>23481</v>
      </c>
      <c r="N3943" s="8" t="s">
        <v>79</v>
      </c>
      <c r="O3943" s="8" t="s">
        <v>396</v>
      </c>
      <c r="P3943" s="6" t="s">
        <v>43</v>
      </c>
      <c r="Q3943" s="8" t="s">
        <v>102</v>
      </c>
      <c r="R3943" s="10" t="s">
        <v>23482</v>
      </c>
      <c r="S3943" s="11" t="s">
        <v>23483</v>
      </c>
      <c r="T3943" s="6"/>
      <c r="U3943" s="24" t="str">
        <f>HYPERLINK("https://media.infra-m.ru/2162/2162487/cover/2162487.jpg", "Обложка")</f>
        <v>Обложка</v>
      </c>
      <c r="V3943" s="24" t="str">
        <f>HYPERLINK("https://znanium.ru/catalog/product/2156920", "Ознакомиться")</f>
        <v>Ознакомиться</v>
      </c>
      <c r="W3943" s="8" t="s">
        <v>2321</v>
      </c>
      <c r="X3943" s="6"/>
      <c r="Y3943" s="6"/>
      <c r="Z3943" s="6" t="s">
        <v>104</v>
      </c>
      <c r="AA3943" s="6" t="s">
        <v>258</v>
      </c>
      <c r="AB3943" s="8"/>
    </row>
    <row r="3944" spans="1:28" s="4" customFormat="1" ht="51.95" customHeight="1">
      <c r="A3944" s="5">
        <v>0</v>
      </c>
      <c r="B3944" s="6" t="s">
        <v>23484</v>
      </c>
      <c r="C3944" s="13">
        <v>1200</v>
      </c>
      <c r="D3944" s="8" t="s">
        <v>23485</v>
      </c>
      <c r="E3944" s="8" t="s">
        <v>23486</v>
      </c>
      <c r="F3944" s="8" t="s">
        <v>19231</v>
      </c>
      <c r="G3944" s="6" t="s">
        <v>89</v>
      </c>
      <c r="H3944" s="6" t="s">
        <v>53</v>
      </c>
      <c r="I3944" s="8" t="s">
        <v>116</v>
      </c>
      <c r="J3944" s="9">
        <v>1</v>
      </c>
      <c r="K3944" s="9">
        <v>239</v>
      </c>
      <c r="L3944" s="9">
        <v>2025</v>
      </c>
      <c r="M3944" s="8" t="s">
        <v>23487</v>
      </c>
      <c r="N3944" s="8" t="s">
        <v>79</v>
      </c>
      <c r="O3944" s="8" t="s">
        <v>396</v>
      </c>
      <c r="P3944" s="6" t="s">
        <v>167</v>
      </c>
      <c r="Q3944" s="8" t="s">
        <v>44</v>
      </c>
      <c r="R3944" s="10" t="s">
        <v>23488</v>
      </c>
      <c r="S3944" s="11" t="s">
        <v>23489</v>
      </c>
      <c r="T3944" s="6" t="s">
        <v>299</v>
      </c>
      <c r="U3944" s="24" t="str">
        <f>HYPERLINK("https://media.infra-m.ru/2179/2179867/cover/2179867.jpg", "Обложка")</f>
        <v>Обложка</v>
      </c>
      <c r="V3944" s="24" t="str">
        <f>HYPERLINK("https://znanium.ru/catalog/product/2179867", "Ознакомиться")</f>
        <v>Ознакомиться</v>
      </c>
      <c r="W3944" s="8" t="s">
        <v>19234</v>
      </c>
      <c r="X3944" s="6"/>
      <c r="Y3944" s="6"/>
      <c r="Z3944" s="6"/>
      <c r="AA3944" s="6" t="s">
        <v>111</v>
      </c>
      <c r="AB3944" s="8" t="s">
        <v>840</v>
      </c>
    </row>
    <row r="3945" spans="1:28" s="4" customFormat="1" ht="51.95" customHeight="1">
      <c r="A3945" s="5">
        <v>0</v>
      </c>
      <c r="B3945" s="6" t="s">
        <v>23490</v>
      </c>
      <c r="C3945" s="13">
        <v>1350</v>
      </c>
      <c r="D3945" s="8" t="s">
        <v>23491</v>
      </c>
      <c r="E3945" s="8" t="s">
        <v>23492</v>
      </c>
      <c r="F3945" s="8" t="s">
        <v>23493</v>
      </c>
      <c r="G3945" s="6" t="s">
        <v>89</v>
      </c>
      <c r="H3945" s="6" t="s">
        <v>53</v>
      </c>
      <c r="I3945" s="8" t="s">
        <v>100</v>
      </c>
      <c r="J3945" s="9">
        <v>1</v>
      </c>
      <c r="K3945" s="9">
        <v>264</v>
      </c>
      <c r="L3945" s="9">
        <v>2025</v>
      </c>
      <c r="M3945" s="8" t="s">
        <v>23494</v>
      </c>
      <c r="N3945" s="8" t="s">
        <v>79</v>
      </c>
      <c r="O3945" s="8" t="s">
        <v>148</v>
      </c>
      <c r="P3945" s="6" t="s">
        <v>43</v>
      </c>
      <c r="Q3945" s="8" t="s">
        <v>102</v>
      </c>
      <c r="R3945" s="10" t="s">
        <v>23495</v>
      </c>
      <c r="S3945" s="11" t="s">
        <v>23496</v>
      </c>
      <c r="T3945" s="6"/>
      <c r="U3945" s="24" t="str">
        <f>HYPERLINK("https://media.infra-m.ru/2184/2184878/cover/2184878.jpg", "Обложка")</f>
        <v>Обложка</v>
      </c>
      <c r="V3945" s="24" t="str">
        <f>HYPERLINK("https://znanium.ru/catalog/product/2184878", "Ознакомиться")</f>
        <v>Ознакомиться</v>
      </c>
      <c r="W3945" s="8" t="s">
        <v>462</v>
      </c>
      <c r="X3945" s="6"/>
      <c r="Y3945" s="6"/>
      <c r="Z3945" s="6" t="s">
        <v>104</v>
      </c>
      <c r="AA3945" s="6" t="s">
        <v>151</v>
      </c>
      <c r="AB3945" s="8"/>
    </row>
    <row r="3946" spans="1:28" s="4" customFormat="1" ht="51.95" customHeight="1">
      <c r="A3946" s="5">
        <v>0</v>
      </c>
      <c r="B3946" s="6" t="s">
        <v>23497</v>
      </c>
      <c r="C3946" s="13">
        <v>1224</v>
      </c>
      <c r="D3946" s="8" t="s">
        <v>23498</v>
      </c>
      <c r="E3946" s="8" t="s">
        <v>23492</v>
      </c>
      <c r="F3946" s="8" t="s">
        <v>23493</v>
      </c>
      <c r="G3946" s="6" t="s">
        <v>89</v>
      </c>
      <c r="H3946" s="6" t="s">
        <v>53</v>
      </c>
      <c r="I3946" s="8" t="s">
        <v>90</v>
      </c>
      <c r="J3946" s="9">
        <v>1</v>
      </c>
      <c r="K3946" s="9">
        <v>264</v>
      </c>
      <c r="L3946" s="9">
        <v>2024</v>
      </c>
      <c r="M3946" s="8" t="s">
        <v>23499</v>
      </c>
      <c r="N3946" s="8" t="s">
        <v>79</v>
      </c>
      <c r="O3946" s="8" t="s">
        <v>148</v>
      </c>
      <c r="P3946" s="6" t="s">
        <v>43</v>
      </c>
      <c r="Q3946" s="8" t="s">
        <v>44</v>
      </c>
      <c r="R3946" s="10" t="s">
        <v>23500</v>
      </c>
      <c r="S3946" s="11" t="s">
        <v>23501</v>
      </c>
      <c r="T3946" s="6"/>
      <c r="U3946" s="24" t="str">
        <f>HYPERLINK("https://media.infra-m.ru/2102/2102166/cover/2102166.jpg", "Обложка")</f>
        <v>Обложка</v>
      </c>
      <c r="V3946" s="24" t="str">
        <f>HYPERLINK("https://znanium.ru/catalog/product/1022068", "Ознакомиться")</f>
        <v>Ознакомиться</v>
      </c>
      <c r="W3946" s="8" t="s">
        <v>462</v>
      </c>
      <c r="X3946" s="6"/>
      <c r="Y3946" s="6"/>
      <c r="Z3946" s="6"/>
      <c r="AA3946" s="6" t="s">
        <v>151</v>
      </c>
      <c r="AB3946" s="8"/>
    </row>
    <row r="3947" spans="1:28" s="4" customFormat="1" ht="51.95" customHeight="1">
      <c r="A3947" s="5">
        <v>0</v>
      </c>
      <c r="B3947" s="6" t="s">
        <v>23502</v>
      </c>
      <c r="C3947" s="7">
        <v>984.9</v>
      </c>
      <c r="D3947" s="8" t="s">
        <v>23503</v>
      </c>
      <c r="E3947" s="8" t="s">
        <v>23504</v>
      </c>
      <c r="F3947" s="8" t="s">
        <v>23505</v>
      </c>
      <c r="G3947" s="6" t="s">
        <v>52</v>
      </c>
      <c r="H3947" s="6" t="s">
        <v>53</v>
      </c>
      <c r="I3947" s="8" t="s">
        <v>11324</v>
      </c>
      <c r="J3947" s="9">
        <v>1</v>
      </c>
      <c r="K3947" s="9">
        <v>260</v>
      </c>
      <c r="L3947" s="9">
        <v>2022</v>
      </c>
      <c r="M3947" s="8" t="s">
        <v>23506</v>
      </c>
      <c r="N3947" s="8" t="s">
        <v>79</v>
      </c>
      <c r="O3947" s="8" t="s">
        <v>396</v>
      </c>
      <c r="P3947" s="6" t="s">
        <v>43</v>
      </c>
      <c r="Q3947" s="8" t="s">
        <v>44</v>
      </c>
      <c r="R3947" s="10" t="s">
        <v>7643</v>
      </c>
      <c r="S3947" s="11" t="s">
        <v>23507</v>
      </c>
      <c r="T3947" s="6" t="s">
        <v>299</v>
      </c>
      <c r="U3947" s="24" t="str">
        <f>HYPERLINK("https://media.infra-m.ru/1845/1845219/cover/1845219.jpg", "Обложка")</f>
        <v>Обложка</v>
      </c>
      <c r="V3947" s="24" t="str">
        <f>HYPERLINK("https://znanium.ru/catalog/product/1845219", "Ознакомиться")</f>
        <v>Ознакомиться</v>
      </c>
      <c r="W3947" s="8" t="s">
        <v>71</v>
      </c>
      <c r="X3947" s="6"/>
      <c r="Y3947" s="6"/>
      <c r="Z3947" s="6"/>
      <c r="AA3947" s="6" t="s">
        <v>418</v>
      </c>
      <c r="AB3947" s="8"/>
    </row>
    <row r="3948" spans="1:28" s="4" customFormat="1" ht="51.95" customHeight="1">
      <c r="A3948" s="5">
        <v>0</v>
      </c>
      <c r="B3948" s="6" t="s">
        <v>23508</v>
      </c>
      <c r="C3948" s="13">
        <v>2674</v>
      </c>
      <c r="D3948" s="8" t="s">
        <v>23509</v>
      </c>
      <c r="E3948" s="8" t="s">
        <v>23510</v>
      </c>
      <c r="F3948" s="8" t="s">
        <v>23511</v>
      </c>
      <c r="G3948" s="6" t="s">
        <v>52</v>
      </c>
      <c r="H3948" s="6" t="s">
        <v>53</v>
      </c>
      <c r="I3948" s="8" t="s">
        <v>90</v>
      </c>
      <c r="J3948" s="9">
        <v>1</v>
      </c>
      <c r="K3948" s="9">
        <v>536</v>
      </c>
      <c r="L3948" s="9">
        <v>2025</v>
      </c>
      <c r="M3948" s="8" t="s">
        <v>23512</v>
      </c>
      <c r="N3948" s="8" t="s">
        <v>79</v>
      </c>
      <c r="O3948" s="8" t="s">
        <v>396</v>
      </c>
      <c r="P3948" s="6" t="s">
        <v>43</v>
      </c>
      <c r="Q3948" s="8" t="s">
        <v>44</v>
      </c>
      <c r="R3948" s="10" t="s">
        <v>23513</v>
      </c>
      <c r="S3948" s="11" t="s">
        <v>23514</v>
      </c>
      <c r="T3948" s="6"/>
      <c r="U3948" s="24" t="str">
        <f>HYPERLINK("https://media.infra-m.ru/2188/2188720/cover/2188720.jpg", "Обложка")</f>
        <v>Обложка</v>
      </c>
      <c r="V3948" s="24" t="str">
        <f>HYPERLINK("https://znanium.ru/catalog/product/1838401", "Ознакомиться")</f>
        <v>Ознакомиться</v>
      </c>
      <c r="W3948" s="8" t="s">
        <v>637</v>
      </c>
      <c r="X3948" s="6"/>
      <c r="Y3948" s="6"/>
      <c r="Z3948" s="6"/>
      <c r="AA3948" s="6" t="s">
        <v>23515</v>
      </c>
      <c r="AB3948" s="8"/>
    </row>
    <row r="3949" spans="1:28" s="4" customFormat="1" ht="42" customHeight="1">
      <c r="A3949" s="5">
        <v>0</v>
      </c>
      <c r="B3949" s="6" t="s">
        <v>23516</v>
      </c>
      <c r="C3949" s="13">
        <v>1944.9</v>
      </c>
      <c r="D3949" s="8" t="s">
        <v>23517</v>
      </c>
      <c r="E3949" s="8" t="s">
        <v>23518</v>
      </c>
      <c r="F3949" s="8" t="s">
        <v>23519</v>
      </c>
      <c r="G3949" s="6" t="s">
        <v>52</v>
      </c>
      <c r="H3949" s="6" t="s">
        <v>53</v>
      </c>
      <c r="I3949" s="8" t="s">
        <v>90</v>
      </c>
      <c r="J3949" s="9">
        <v>1</v>
      </c>
      <c r="K3949" s="9">
        <v>540</v>
      </c>
      <c r="L3949" s="9">
        <v>2022</v>
      </c>
      <c r="M3949" s="8" t="s">
        <v>23520</v>
      </c>
      <c r="N3949" s="8" t="s">
        <v>79</v>
      </c>
      <c r="O3949" s="8" t="s">
        <v>396</v>
      </c>
      <c r="P3949" s="6" t="s">
        <v>167</v>
      </c>
      <c r="Q3949" s="8" t="s">
        <v>44</v>
      </c>
      <c r="R3949" s="10" t="s">
        <v>23521</v>
      </c>
      <c r="S3949" s="11"/>
      <c r="T3949" s="6"/>
      <c r="U3949" s="24" t="str">
        <f>HYPERLINK("https://media.infra-m.ru/1853/1853534/cover/1853534.jpg", "Обложка")</f>
        <v>Обложка</v>
      </c>
      <c r="V3949" s="24" t="str">
        <f>HYPERLINK("https://znanium.ru/catalog/product/483198", "Ознакомиться")</f>
        <v>Ознакомиться</v>
      </c>
      <c r="W3949" s="8" t="s">
        <v>5825</v>
      </c>
      <c r="X3949" s="6"/>
      <c r="Y3949" s="6"/>
      <c r="Z3949" s="6"/>
      <c r="AA3949" s="6" t="s">
        <v>111</v>
      </c>
      <c r="AB3949" s="8"/>
    </row>
    <row r="3950" spans="1:28" s="4" customFormat="1" ht="51.95" customHeight="1">
      <c r="A3950" s="5">
        <v>0</v>
      </c>
      <c r="B3950" s="6" t="s">
        <v>23522</v>
      </c>
      <c r="C3950" s="13">
        <v>1044</v>
      </c>
      <c r="D3950" s="8" t="s">
        <v>23523</v>
      </c>
      <c r="E3950" s="8" t="s">
        <v>23524</v>
      </c>
      <c r="F3950" s="8" t="s">
        <v>23525</v>
      </c>
      <c r="G3950" s="6" t="s">
        <v>89</v>
      </c>
      <c r="H3950" s="6" t="s">
        <v>53</v>
      </c>
      <c r="I3950" s="8" t="s">
        <v>276</v>
      </c>
      <c r="J3950" s="9">
        <v>1</v>
      </c>
      <c r="K3950" s="9">
        <v>200</v>
      </c>
      <c r="L3950" s="9">
        <v>2025</v>
      </c>
      <c r="M3950" s="8" t="s">
        <v>23526</v>
      </c>
      <c r="N3950" s="8" t="s">
        <v>413</v>
      </c>
      <c r="O3950" s="8" t="s">
        <v>414</v>
      </c>
      <c r="P3950" s="6" t="s">
        <v>43</v>
      </c>
      <c r="Q3950" s="8" t="s">
        <v>279</v>
      </c>
      <c r="R3950" s="10" t="s">
        <v>23430</v>
      </c>
      <c r="S3950" s="11" t="s">
        <v>23527</v>
      </c>
      <c r="T3950" s="6"/>
      <c r="U3950" s="24" t="str">
        <f>HYPERLINK("https://media.infra-m.ru/2196/2196906/cover/2196906.jpg", "Обложка")</f>
        <v>Обложка</v>
      </c>
      <c r="V3950" s="24" t="str">
        <f>HYPERLINK("https://znanium.ru/catalog/product/1059223", "Ознакомиться")</f>
        <v>Ознакомиться</v>
      </c>
      <c r="W3950" s="8" t="s">
        <v>6558</v>
      </c>
      <c r="X3950" s="6"/>
      <c r="Y3950" s="6"/>
      <c r="Z3950" s="6"/>
      <c r="AA3950" s="6" t="s">
        <v>111</v>
      </c>
      <c r="AB3950" s="8"/>
    </row>
    <row r="3951" spans="1:28" s="4" customFormat="1" ht="51.95" customHeight="1">
      <c r="A3951" s="5">
        <v>0</v>
      </c>
      <c r="B3951" s="6" t="s">
        <v>23528</v>
      </c>
      <c r="C3951" s="13">
        <v>1824</v>
      </c>
      <c r="D3951" s="8" t="s">
        <v>23529</v>
      </c>
      <c r="E3951" s="8" t="s">
        <v>23530</v>
      </c>
      <c r="F3951" s="8" t="s">
        <v>23531</v>
      </c>
      <c r="G3951" s="6" t="s">
        <v>89</v>
      </c>
      <c r="H3951" s="6" t="s">
        <v>53</v>
      </c>
      <c r="I3951" s="8" t="s">
        <v>90</v>
      </c>
      <c r="J3951" s="9">
        <v>1</v>
      </c>
      <c r="K3951" s="9">
        <v>364</v>
      </c>
      <c r="L3951" s="9">
        <v>2025</v>
      </c>
      <c r="M3951" s="8" t="s">
        <v>23532</v>
      </c>
      <c r="N3951" s="8" t="s">
        <v>79</v>
      </c>
      <c r="O3951" s="8" t="s">
        <v>396</v>
      </c>
      <c r="P3951" s="6" t="s">
        <v>167</v>
      </c>
      <c r="Q3951" s="8" t="s">
        <v>44</v>
      </c>
      <c r="R3951" s="10" t="s">
        <v>23533</v>
      </c>
      <c r="S3951" s="11" t="s">
        <v>23534</v>
      </c>
      <c r="T3951" s="6"/>
      <c r="U3951" s="24" t="str">
        <f>HYPERLINK("https://media.infra-m.ru/2173/2173957/cover/2173957.jpg", "Обложка")</f>
        <v>Обложка</v>
      </c>
      <c r="V3951" s="24" t="str">
        <f>HYPERLINK("https://znanium.ru/catalog/product/2133092", "Ознакомиться")</f>
        <v>Ознакомиться</v>
      </c>
      <c r="W3951" s="8" t="s">
        <v>5371</v>
      </c>
      <c r="X3951" s="6"/>
      <c r="Y3951" s="6"/>
      <c r="Z3951" s="6"/>
      <c r="AA3951" s="6" t="s">
        <v>1374</v>
      </c>
      <c r="AB3951" s="8"/>
    </row>
    <row r="3952" spans="1:28" s="4" customFormat="1" ht="51.95" customHeight="1">
      <c r="A3952" s="5">
        <v>0</v>
      </c>
      <c r="B3952" s="6" t="s">
        <v>23535</v>
      </c>
      <c r="C3952" s="13">
        <v>1440</v>
      </c>
      <c r="D3952" s="8" t="s">
        <v>23536</v>
      </c>
      <c r="E3952" s="8" t="s">
        <v>23537</v>
      </c>
      <c r="F3952" s="8" t="s">
        <v>483</v>
      </c>
      <c r="G3952" s="6" t="s">
        <v>89</v>
      </c>
      <c r="H3952" s="6" t="s">
        <v>39</v>
      </c>
      <c r="I3952" s="8" t="s">
        <v>90</v>
      </c>
      <c r="J3952" s="9">
        <v>1</v>
      </c>
      <c r="K3952" s="9">
        <v>320</v>
      </c>
      <c r="L3952" s="9">
        <v>2022</v>
      </c>
      <c r="M3952" s="8" t="s">
        <v>23538</v>
      </c>
      <c r="N3952" s="8" t="s">
        <v>79</v>
      </c>
      <c r="O3952" s="8" t="s">
        <v>396</v>
      </c>
      <c r="P3952" s="6" t="s">
        <v>43</v>
      </c>
      <c r="Q3952" s="8" t="s">
        <v>44</v>
      </c>
      <c r="R3952" s="10" t="s">
        <v>454</v>
      </c>
      <c r="S3952" s="11" t="s">
        <v>23539</v>
      </c>
      <c r="T3952" s="6"/>
      <c r="U3952" s="24" t="str">
        <f>HYPERLINK("https://media.infra-m.ru/1948/1948210/cover/1948210.jpg", "Обложка")</f>
        <v>Обложка</v>
      </c>
      <c r="V3952" s="24" t="str">
        <f>HYPERLINK("https://znanium.ru/catalog/product/1948210", "Ознакомиться")</f>
        <v>Ознакомиться</v>
      </c>
      <c r="W3952" s="8" t="s">
        <v>487</v>
      </c>
      <c r="X3952" s="6"/>
      <c r="Y3952" s="6"/>
      <c r="Z3952" s="6"/>
      <c r="AA3952" s="6" t="s">
        <v>84</v>
      </c>
      <c r="AB3952" s="8"/>
    </row>
    <row r="3953" spans="1:28" s="4" customFormat="1" ht="51.95" customHeight="1">
      <c r="A3953" s="5">
        <v>0</v>
      </c>
      <c r="B3953" s="6" t="s">
        <v>23540</v>
      </c>
      <c r="C3953" s="13">
        <v>1704</v>
      </c>
      <c r="D3953" s="8" t="s">
        <v>23541</v>
      </c>
      <c r="E3953" s="8" t="s">
        <v>23542</v>
      </c>
      <c r="F3953" s="8" t="s">
        <v>17761</v>
      </c>
      <c r="G3953" s="6" t="s">
        <v>52</v>
      </c>
      <c r="H3953" s="6" t="s">
        <v>53</v>
      </c>
      <c r="I3953" s="8" t="s">
        <v>90</v>
      </c>
      <c r="J3953" s="9">
        <v>1</v>
      </c>
      <c r="K3953" s="9">
        <v>327</v>
      </c>
      <c r="L3953" s="9">
        <v>2025</v>
      </c>
      <c r="M3953" s="8" t="s">
        <v>23543</v>
      </c>
      <c r="N3953" s="8" t="s">
        <v>79</v>
      </c>
      <c r="O3953" s="8" t="s">
        <v>396</v>
      </c>
      <c r="P3953" s="6" t="s">
        <v>43</v>
      </c>
      <c r="Q3953" s="8" t="s">
        <v>44</v>
      </c>
      <c r="R3953" s="10" t="s">
        <v>23544</v>
      </c>
      <c r="S3953" s="11" t="s">
        <v>23545</v>
      </c>
      <c r="T3953" s="6"/>
      <c r="U3953" s="24" t="str">
        <f>HYPERLINK("https://media.infra-m.ru/2196/2196038/cover/2196038.jpg", "Обложка")</f>
        <v>Обложка</v>
      </c>
      <c r="V3953" s="24" t="str">
        <f>HYPERLINK("https://znanium.ru/catalog/product/1910583", "Ознакомиться")</f>
        <v>Ознакомиться</v>
      </c>
      <c r="W3953" s="8" t="s">
        <v>784</v>
      </c>
      <c r="X3953" s="6"/>
      <c r="Y3953" s="6"/>
      <c r="Z3953" s="6"/>
      <c r="AA3953" s="6" t="s">
        <v>494</v>
      </c>
      <c r="AB3953" s="8"/>
    </row>
    <row r="3954" spans="1:28" s="4" customFormat="1" ht="51.95" customHeight="1">
      <c r="A3954" s="5">
        <v>0</v>
      </c>
      <c r="B3954" s="6" t="s">
        <v>23546</v>
      </c>
      <c r="C3954" s="7">
        <v>840</v>
      </c>
      <c r="D3954" s="8" t="s">
        <v>23547</v>
      </c>
      <c r="E3954" s="8" t="s">
        <v>23548</v>
      </c>
      <c r="F3954" s="8" t="s">
        <v>23549</v>
      </c>
      <c r="G3954" s="6" t="s">
        <v>38</v>
      </c>
      <c r="H3954" s="6" t="s">
        <v>53</v>
      </c>
      <c r="I3954" s="8" t="s">
        <v>116</v>
      </c>
      <c r="J3954" s="9">
        <v>1</v>
      </c>
      <c r="K3954" s="9">
        <v>155</v>
      </c>
      <c r="L3954" s="9">
        <v>2025</v>
      </c>
      <c r="M3954" s="8" t="s">
        <v>23550</v>
      </c>
      <c r="N3954" s="8" t="s">
        <v>79</v>
      </c>
      <c r="O3954" s="8" t="s">
        <v>396</v>
      </c>
      <c r="P3954" s="6" t="s">
        <v>43</v>
      </c>
      <c r="Q3954" s="8" t="s">
        <v>44</v>
      </c>
      <c r="R3954" s="10" t="s">
        <v>20971</v>
      </c>
      <c r="S3954" s="11" t="s">
        <v>23551</v>
      </c>
      <c r="T3954" s="6" t="s">
        <v>299</v>
      </c>
      <c r="U3954" s="24" t="str">
        <f>HYPERLINK("https://media.infra-m.ru/2177/2177791/cover/2177791.jpg", "Обложка")</f>
        <v>Обложка</v>
      </c>
      <c r="V3954" s="24" t="str">
        <f>HYPERLINK("https://znanium.ru/catalog/product/2177791", "Ознакомиться")</f>
        <v>Ознакомиться</v>
      </c>
      <c r="W3954" s="8" t="s">
        <v>1571</v>
      </c>
      <c r="X3954" s="6"/>
      <c r="Y3954" s="6"/>
      <c r="Z3954" s="6"/>
      <c r="AA3954" s="6" t="s">
        <v>442</v>
      </c>
      <c r="AB3954" s="8"/>
    </row>
    <row r="3955" spans="1:28" s="4" customFormat="1" ht="51.95" customHeight="1">
      <c r="A3955" s="5">
        <v>0</v>
      </c>
      <c r="B3955" s="6" t="s">
        <v>23552</v>
      </c>
      <c r="C3955" s="13">
        <v>1524</v>
      </c>
      <c r="D3955" s="8" t="s">
        <v>23553</v>
      </c>
      <c r="E3955" s="8" t="s">
        <v>23554</v>
      </c>
      <c r="F3955" s="8" t="s">
        <v>23555</v>
      </c>
      <c r="G3955" s="6" t="s">
        <v>52</v>
      </c>
      <c r="H3955" s="6" t="s">
        <v>53</v>
      </c>
      <c r="I3955" s="8" t="s">
        <v>90</v>
      </c>
      <c r="J3955" s="9">
        <v>1</v>
      </c>
      <c r="K3955" s="9">
        <v>337</v>
      </c>
      <c r="L3955" s="9">
        <v>2023</v>
      </c>
      <c r="M3955" s="8" t="s">
        <v>23556</v>
      </c>
      <c r="N3955" s="8" t="s">
        <v>79</v>
      </c>
      <c r="O3955" s="8" t="s">
        <v>396</v>
      </c>
      <c r="P3955" s="6" t="s">
        <v>43</v>
      </c>
      <c r="Q3955" s="8" t="s">
        <v>58</v>
      </c>
      <c r="R3955" s="10" t="s">
        <v>7643</v>
      </c>
      <c r="S3955" s="11" t="s">
        <v>23557</v>
      </c>
      <c r="T3955" s="6"/>
      <c r="U3955" s="24" t="str">
        <f>HYPERLINK("https://media.infra-m.ru/2006/2006097/cover/2006097.jpg", "Обложка")</f>
        <v>Обложка</v>
      </c>
      <c r="V3955" s="24" t="str">
        <f>HYPERLINK("https://znanium.ru/catalog/product/1524190", "Ознакомиться")</f>
        <v>Ознакомиться</v>
      </c>
      <c r="W3955" s="8" t="s">
        <v>462</v>
      </c>
      <c r="X3955" s="6"/>
      <c r="Y3955" s="6"/>
      <c r="Z3955" s="6"/>
      <c r="AA3955" s="6" t="s">
        <v>95</v>
      </c>
      <c r="AB3955" s="8"/>
    </row>
    <row r="3956" spans="1:28" s="4" customFormat="1" ht="42" customHeight="1">
      <c r="A3956" s="5">
        <v>0</v>
      </c>
      <c r="B3956" s="6" t="s">
        <v>23558</v>
      </c>
      <c r="C3956" s="13">
        <v>1120</v>
      </c>
      <c r="D3956" s="8" t="s">
        <v>23559</v>
      </c>
      <c r="E3956" s="8" t="s">
        <v>23560</v>
      </c>
      <c r="F3956" s="8" t="s">
        <v>23561</v>
      </c>
      <c r="G3956" s="6" t="s">
        <v>52</v>
      </c>
      <c r="H3956" s="6" t="s">
        <v>53</v>
      </c>
      <c r="I3956" s="8" t="s">
        <v>116</v>
      </c>
      <c r="J3956" s="9">
        <v>1</v>
      </c>
      <c r="K3956" s="9">
        <v>184</v>
      </c>
      <c r="L3956" s="9">
        <v>2025</v>
      </c>
      <c r="M3956" s="8" t="s">
        <v>23562</v>
      </c>
      <c r="N3956" s="8" t="s">
        <v>79</v>
      </c>
      <c r="O3956" s="8" t="s">
        <v>537</v>
      </c>
      <c r="P3956" s="6" t="s">
        <v>43</v>
      </c>
      <c r="Q3956" s="8" t="s">
        <v>58</v>
      </c>
      <c r="R3956" s="10" t="s">
        <v>4668</v>
      </c>
      <c r="S3956" s="11"/>
      <c r="T3956" s="6"/>
      <c r="U3956" s="24" t="str">
        <f>HYPERLINK("https://media.infra-m.ru/2155/2155769/cover/2155769.jpg", "Обложка")</f>
        <v>Обложка</v>
      </c>
      <c r="V3956" s="24" t="str">
        <f>HYPERLINK("https://znanium.ru/catalog/product/2155769", "Ознакомиться")</f>
        <v>Ознакомиться</v>
      </c>
      <c r="W3956" s="8" t="s">
        <v>23563</v>
      </c>
      <c r="X3956" s="6" t="s">
        <v>60</v>
      </c>
      <c r="Y3956" s="6"/>
      <c r="Z3956" s="6"/>
      <c r="AA3956" s="6" t="s">
        <v>61</v>
      </c>
      <c r="AB3956" s="8"/>
    </row>
    <row r="3957" spans="1:28" s="4" customFormat="1" ht="42" customHeight="1">
      <c r="A3957" s="5">
        <v>0</v>
      </c>
      <c r="B3957" s="6" t="s">
        <v>23564</v>
      </c>
      <c r="C3957" s="13">
        <v>1764</v>
      </c>
      <c r="D3957" s="8" t="s">
        <v>23565</v>
      </c>
      <c r="E3957" s="8" t="s">
        <v>23566</v>
      </c>
      <c r="F3957" s="8" t="s">
        <v>23567</v>
      </c>
      <c r="G3957" s="6" t="s">
        <v>89</v>
      </c>
      <c r="H3957" s="6" t="s">
        <v>438</v>
      </c>
      <c r="I3957" s="8" t="s">
        <v>100</v>
      </c>
      <c r="J3957" s="9">
        <v>1</v>
      </c>
      <c r="K3957" s="9">
        <v>352</v>
      </c>
      <c r="L3957" s="9">
        <v>2025</v>
      </c>
      <c r="M3957" s="8" t="s">
        <v>23568</v>
      </c>
      <c r="N3957" s="8" t="s">
        <v>79</v>
      </c>
      <c r="O3957" s="8" t="s">
        <v>80</v>
      </c>
      <c r="P3957" s="6" t="s">
        <v>167</v>
      </c>
      <c r="Q3957" s="8" t="s">
        <v>102</v>
      </c>
      <c r="R3957" s="10" t="s">
        <v>23569</v>
      </c>
      <c r="S3957" s="11"/>
      <c r="T3957" s="6"/>
      <c r="U3957" s="24" t="str">
        <f>HYPERLINK("https://media.infra-m.ru/2161/2161676/cover/2161676.jpg", "Обложка")</f>
        <v>Обложка</v>
      </c>
      <c r="V3957" s="24" t="str">
        <f>HYPERLINK("https://znanium.ru/catalog/product/1495622", "Ознакомиться")</f>
        <v>Ознакомиться</v>
      </c>
      <c r="W3957" s="8" t="s">
        <v>1175</v>
      </c>
      <c r="X3957" s="6"/>
      <c r="Y3957" s="6" t="s">
        <v>30</v>
      </c>
      <c r="Z3957" s="6"/>
      <c r="AA3957" s="6" t="s">
        <v>442</v>
      </c>
      <c r="AB3957" s="8"/>
    </row>
    <row r="3958" spans="1:28" s="4" customFormat="1" ht="51.95" customHeight="1">
      <c r="A3958" s="5">
        <v>0</v>
      </c>
      <c r="B3958" s="6" t="s">
        <v>23570</v>
      </c>
      <c r="C3958" s="13">
        <v>1484</v>
      </c>
      <c r="D3958" s="8" t="s">
        <v>23571</v>
      </c>
      <c r="E3958" s="8" t="s">
        <v>23572</v>
      </c>
      <c r="F3958" s="8" t="s">
        <v>23573</v>
      </c>
      <c r="G3958" s="6" t="s">
        <v>89</v>
      </c>
      <c r="H3958" s="6" t="s">
        <v>649</v>
      </c>
      <c r="I3958" s="8" t="s">
        <v>100</v>
      </c>
      <c r="J3958" s="9">
        <v>1</v>
      </c>
      <c r="K3958" s="9">
        <v>286</v>
      </c>
      <c r="L3958" s="9">
        <v>2025</v>
      </c>
      <c r="M3958" s="8" t="s">
        <v>23574</v>
      </c>
      <c r="N3958" s="8" t="s">
        <v>79</v>
      </c>
      <c r="O3958" s="8" t="s">
        <v>396</v>
      </c>
      <c r="P3958" s="6" t="s">
        <v>167</v>
      </c>
      <c r="Q3958" s="8" t="s">
        <v>102</v>
      </c>
      <c r="R3958" s="10" t="s">
        <v>23575</v>
      </c>
      <c r="S3958" s="11" t="s">
        <v>23576</v>
      </c>
      <c r="T3958" s="6"/>
      <c r="U3958" s="24" t="str">
        <f>HYPERLINK("https://media.infra-m.ru/2163/2163040/cover/2163040.jpg", "Обложка")</f>
        <v>Обложка</v>
      </c>
      <c r="V3958" s="24" t="str">
        <f>HYPERLINK("https://znanium.ru/catalog/product/2149600", "Ознакомиться")</f>
        <v>Ознакомиться</v>
      </c>
      <c r="W3958" s="8" t="s">
        <v>1571</v>
      </c>
      <c r="X3958" s="6"/>
      <c r="Y3958" s="6"/>
      <c r="Z3958" s="6" t="s">
        <v>104</v>
      </c>
      <c r="AA3958" s="6" t="s">
        <v>258</v>
      </c>
      <c r="AB3958" s="8"/>
    </row>
    <row r="3959" spans="1:28" s="4" customFormat="1" ht="51.95" customHeight="1">
      <c r="A3959" s="5">
        <v>0</v>
      </c>
      <c r="B3959" s="6" t="s">
        <v>23577</v>
      </c>
      <c r="C3959" s="13">
        <v>1350</v>
      </c>
      <c r="D3959" s="8" t="s">
        <v>23578</v>
      </c>
      <c r="E3959" s="8" t="s">
        <v>23572</v>
      </c>
      <c r="F3959" s="8" t="s">
        <v>23573</v>
      </c>
      <c r="G3959" s="6" t="s">
        <v>89</v>
      </c>
      <c r="H3959" s="6" t="s">
        <v>649</v>
      </c>
      <c r="I3959" s="8" t="s">
        <v>90</v>
      </c>
      <c r="J3959" s="9">
        <v>1</v>
      </c>
      <c r="K3959" s="9">
        <v>286</v>
      </c>
      <c r="L3959" s="9">
        <v>2023</v>
      </c>
      <c r="M3959" s="8" t="s">
        <v>23579</v>
      </c>
      <c r="N3959" s="8" t="s">
        <v>79</v>
      </c>
      <c r="O3959" s="8" t="s">
        <v>396</v>
      </c>
      <c r="P3959" s="6" t="s">
        <v>43</v>
      </c>
      <c r="Q3959" s="8" t="s">
        <v>44</v>
      </c>
      <c r="R3959" s="10" t="s">
        <v>1569</v>
      </c>
      <c r="S3959" s="11" t="s">
        <v>23580</v>
      </c>
      <c r="T3959" s="6"/>
      <c r="U3959" s="24" t="str">
        <f>HYPERLINK("https://media.infra-m.ru/1899/1899762/cover/1899762.jpg", "Обложка")</f>
        <v>Обложка</v>
      </c>
      <c r="V3959" s="24" t="str">
        <f>HYPERLINK("https://znanium.ru/catalog/product/1899762", "Ознакомиться")</f>
        <v>Ознакомиться</v>
      </c>
      <c r="W3959" s="8" t="s">
        <v>1571</v>
      </c>
      <c r="X3959" s="6"/>
      <c r="Y3959" s="6"/>
      <c r="Z3959" s="6"/>
      <c r="AA3959" s="6" t="s">
        <v>418</v>
      </c>
      <c r="AB3959" s="8"/>
    </row>
    <row r="3960" spans="1:28" s="4" customFormat="1" ht="51.95" customHeight="1">
      <c r="A3960" s="5">
        <v>0</v>
      </c>
      <c r="B3960" s="6" t="s">
        <v>23581</v>
      </c>
      <c r="C3960" s="7">
        <v>690</v>
      </c>
      <c r="D3960" s="8" t="s">
        <v>23582</v>
      </c>
      <c r="E3960" s="8" t="s">
        <v>23583</v>
      </c>
      <c r="F3960" s="8" t="s">
        <v>23584</v>
      </c>
      <c r="G3960" s="6" t="s">
        <v>38</v>
      </c>
      <c r="H3960" s="6" t="s">
        <v>649</v>
      </c>
      <c r="I3960" s="8" t="s">
        <v>116</v>
      </c>
      <c r="J3960" s="9">
        <v>1</v>
      </c>
      <c r="K3960" s="9">
        <v>128</v>
      </c>
      <c r="L3960" s="9">
        <v>2025</v>
      </c>
      <c r="M3960" s="8" t="s">
        <v>23585</v>
      </c>
      <c r="N3960" s="8" t="s">
        <v>79</v>
      </c>
      <c r="O3960" s="8" t="s">
        <v>396</v>
      </c>
      <c r="P3960" s="6" t="s">
        <v>43</v>
      </c>
      <c r="Q3960" s="8" t="s">
        <v>44</v>
      </c>
      <c r="R3960" s="10" t="s">
        <v>23586</v>
      </c>
      <c r="S3960" s="11" t="s">
        <v>23587</v>
      </c>
      <c r="T3960" s="6"/>
      <c r="U3960" s="24" t="str">
        <f>HYPERLINK("https://media.infra-m.ru/2172/2172721/cover/2172721.jpg", "Обложка")</f>
        <v>Обложка</v>
      </c>
      <c r="V3960" s="24" t="str">
        <f>HYPERLINK("https://znanium.ru/catalog/product/2172721", "Ознакомиться")</f>
        <v>Ознакомиться</v>
      </c>
      <c r="W3960" s="8" t="s">
        <v>71</v>
      </c>
      <c r="X3960" s="6"/>
      <c r="Y3960" s="6"/>
      <c r="Z3960" s="6"/>
      <c r="AA3960" s="6" t="s">
        <v>555</v>
      </c>
      <c r="AB3960" s="8"/>
    </row>
    <row r="3961" spans="1:28" s="4" customFormat="1" ht="51.95" customHeight="1">
      <c r="A3961" s="5">
        <v>0</v>
      </c>
      <c r="B3961" s="6" t="s">
        <v>23588</v>
      </c>
      <c r="C3961" s="7">
        <v>670</v>
      </c>
      <c r="D3961" s="8" t="s">
        <v>23589</v>
      </c>
      <c r="E3961" s="8" t="s">
        <v>23583</v>
      </c>
      <c r="F3961" s="8" t="s">
        <v>23584</v>
      </c>
      <c r="G3961" s="6" t="s">
        <v>38</v>
      </c>
      <c r="H3961" s="6" t="s">
        <v>649</v>
      </c>
      <c r="I3961" s="8" t="s">
        <v>100</v>
      </c>
      <c r="J3961" s="9">
        <v>1</v>
      </c>
      <c r="K3961" s="9">
        <v>128</v>
      </c>
      <c r="L3961" s="9">
        <v>2025</v>
      </c>
      <c r="M3961" s="8" t="s">
        <v>23590</v>
      </c>
      <c r="N3961" s="8" t="s">
        <v>79</v>
      </c>
      <c r="O3961" s="8" t="s">
        <v>396</v>
      </c>
      <c r="P3961" s="6" t="s">
        <v>43</v>
      </c>
      <c r="Q3961" s="8" t="s">
        <v>102</v>
      </c>
      <c r="R3961" s="10" t="s">
        <v>23591</v>
      </c>
      <c r="S3961" s="11" t="s">
        <v>23592</v>
      </c>
      <c r="T3961" s="6"/>
      <c r="U3961" s="24" t="str">
        <f>HYPERLINK("https://media.infra-m.ru/2172/2172582/cover/2172582.jpg", "Обложка")</f>
        <v>Обложка</v>
      </c>
      <c r="V3961" s="24" t="str">
        <f>HYPERLINK("https://znanium.ru/catalog/product/2172582", "Ознакомиться")</f>
        <v>Ознакомиться</v>
      </c>
      <c r="W3961" s="8" t="s">
        <v>71</v>
      </c>
      <c r="X3961" s="6"/>
      <c r="Y3961" s="6"/>
      <c r="Z3961" s="6" t="s">
        <v>104</v>
      </c>
      <c r="AA3961" s="6" t="s">
        <v>235</v>
      </c>
      <c r="AB3961" s="8"/>
    </row>
    <row r="3962" spans="1:28" s="4" customFormat="1" ht="51.95" customHeight="1">
      <c r="A3962" s="5">
        <v>0</v>
      </c>
      <c r="B3962" s="6" t="s">
        <v>23593</v>
      </c>
      <c r="C3962" s="13">
        <v>1400</v>
      </c>
      <c r="D3962" s="8" t="s">
        <v>23594</v>
      </c>
      <c r="E3962" s="8" t="s">
        <v>23595</v>
      </c>
      <c r="F3962" s="8" t="s">
        <v>23596</v>
      </c>
      <c r="G3962" s="6" t="s">
        <v>89</v>
      </c>
      <c r="H3962" s="6" t="s">
        <v>53</v>
      </c>
      <c r="I3962" s="8" t="s">
        <v>3356</v>
      </c>
      <c r="J3962" s="9">
        <v>1</v>
      </c>
      <c r="K3962" s="9">
        <v>304</v>
      </c>
      <c r="L3962" s="9">
        <v>2023</v>
      </c>
      <c r="M3962" s="8" t="s">
        <v>23597</v>
      </c>
      <c r="N3962" s="8" t="s">
        <v>79</v>
      </c>
      <c r="O3962" s="8" t="s">
        <v>396</v>
      </c>
      <c r="P3962" s="6" t="s">
        <v>43</v>
      </c>
      <c r="Q3962" s="8" t="s">
        <v>214</v>
      </c>
      <c r="R3962" s="10" t="s">
        <v>5237</v>
      </c>
      <c r="S3962" s="11" t="s">
        <v>23598</v>
      </c>
      <c r="T3962" s="6"/>
      <c r="U3962" s="24" t="str">
        <f>HYPERLINK("https://media.infra-m.ru/2126/2126508/cover/2126508.jpg", "Обложка")</f>
        <v>Обложка</v>
      </c>
      <c r="V3962" s="12"/>
      <c r="W3962" s="8" t="s">
        <v>5435</v>
      </c>
      <c r="X3962" s="6"/>
      <c r="Y3962" s="6"/>
      <c r="Z3962" s="6"/>
      <c r="AA3962" s="6" t="s">
        <v>151</v>
      </c>
      <c r="AB3962" s="8"/>
    </row>
    <row r="3963" spans="1:28" s="4" customFormat="1" ht="51.95" customHeight="1">
      <c r="A3963" s="5">
        <v>0</v>
      </c>
      <c r="B3963" s="6" t="s">
        <v>23599</v>
      </c>
      <c r="C3963" s="13">
        <v>1064</v>
      </c>
      <c r="D3963" s="8" t="s">
        <v>23600</v>
      </c>
      <c r="E3963" s="8" t="s">
        <v>23601</v>
      </c>
      <c r="F3963" s="8" t="s">
        <v>18754</v>
      </c>
      <c r="G3963" s="6" t="s">
        <v>89</v>
      </c>
      <c r="H3963" s="6" t="s">
        <v>53</v>
      </c>
      <c r="I3963" s="8" t="s">
        <v>4314</v>
      </c>
      <c r="J3963" s="9">
        <v>1</v>
      </c>
      <c r="K3963" s="9">
        <v>226</v>
      </c>
      <c r="L3963" s="9">
        <v>2024</v>
      </c>
      <c r="M3963" s="8" t="s">
        <v>23602</v>
      </c>
      <c r="N3963" s="8" t="s">
        <v>79</v>
      </c>
      <c r="O3963" s="8" t="s">
        <v>424</v>
      </c>
      <c r="P3963" s="6" t="s">
        <v>43</v>
      </c>
      <c r="Q3963" s="8" t="s">
        <v>44</v>
      </c>
      <c r="R3963" s="10" t="s">
        <v>4598</v>
      </c>
      <c r="S3963" s="11" t="s">
        <v>23603</v>
      </c>
      <c r="T3963" s="6"/>
      <c r="U3963" s="24" t="str">
        <f>HYPERLINK("https://media.infra-m.ru/2095/2095598/cover/2095598.jpg", "Обложка")</f>
        <v>Обложка</v>
      </c>
      <c r="V3963" s="24" t="str">
        <f>HYPERLINK("https://znanium.ru/catalog/product/1894750", "Ознакомиться")</f>
        <v>Ознакомиться</v>
      </c>
      <c r="W3963" s="8" t="s">
        <v>206</v>
      </c>
      <c r="X3963" s="6"/>
      <c r="Y3963" s="6"/>
      <c r="Z3963" s="6"/>
      <c r="AA3963" s="6" t="s">
        <v>793</v>
      </c>
      <c r="AB3963" s="8"/>
    </row>
    <row r="3964" spans="1:28" s="4" customFormat="1" ht="51.95" customHeight="1">
      <c r="A3964" s="5">
        <v>0</v>
      </c>
      <c r="B3964" s="6" t="s">
        <v>23604</v>
      </c>
      <c r="C3964" s="13">
        <v>1644</v>
      </c>
      <c r="D3964" s="8" t="s">
        <v>23605</v>
      </c>
      <c r="E3964" s="8" t="s">
        <v>23606</v>
      </c>
      <c r="F3964" s="8" t="s">
        <v>23607</v>
      </c>
      <c r="G3964" s="6" t="s">
        <v>52</v>
      </c>
      <c r="H3964" s="6" t="s">
        <v>77</v>
      </c>
      <c r="I3964" s="8" t="s">
        <v>16060</v>
      </c>
      <c r="J3964" s="9">
        <v>1</v>
      </c>
      <c r="K3964" s="9">
        <v>364</v>
      </c>
      <c r="L3964" s="9">
        <v>2023</v>
      </c>
      <c r="M3964" s="8" t="s">
        <v>23608</v>
      </c>
      <c r="N3964" s="8" t="s">
        <v>41</v>
      </c>
      <c r="O3964" s="8" t="s">
        <v>118</v>
      </c>
      <c r="P3964" s="6" t="s">
        <v>167</v>
      </c>
      <c r="Q3964" s="8" t="s">
        <v>44</v>
      </c>
      <c r="R3964" s="10" t="s">
        <v>23609</v>
      </c>
      <c r="S3964" s="11" t="s">
        <v>23610</v>
      </c>
      <c r="T3964" s="6"/>
      <c r="U3964" s="24" t="str">
        <f>HYPERLINK("https://media.infra-m.ru/2006/2006827/cover/2006827.jpg", "Обложка")</f>
        <v>Обложка</v>
      </c>
      <c r="V3964" s="24" t="str">
        <f>HYPERLINK("https://znanium.ru/catalog/product/2006827", "Ознакомиться")</f>
        <v>Ознакомиться</v>
      </c>
      <c r="W3964" s="8" t="s">
        <v>83</v>
      </c>
      <c r="X3964" s="6"/>
      <c r="Y3964" s="6"/>
      <c r="Z3964" s="6"/>
      <c r="AA3964" s="6" t="s">
        <v>151</v>
      </c>
      <c r="AB3964" s="8"/>
    </row>
    <row r="3965" spans="1:28" s="4" customFormat="1" ht="51.95" customHeight="1">
      <c r="A3965" s="5">
        <v>0</v>
      </c>
      <c r="B3965" s="6" t="s">
        <v>23611</v>
      </c>
      <c r="C3965" s="13">
        <v>1474</v>
      </c>
      <c r="D3965" s="8" t="s">
        <v>23612</v>
      </c>
      <c r="E3965" s="8" t="s">
        <v>23613</v>
      </c>
      <c r="F3965" s="8" t="s">
        <v>10429</v>
      </c>
      <c r="G3965" s="6" t="s">
        <v>89</v>
      </c>
      <c r="H3965" s="6" t="s">
        <v>53</v>
      </c>
      <c r="I3965" s="8" t="s">
        <v>2048</v>
      </c>
      <c r="J3965" s="9">
        <v>1</v>
      </c>
      <c r="K3965" s="9">
        <v>294</v>
      </c>
      <c r="L3965" s="9">
        <v>2025</v>
      </c>
      <c r="M3965" s="8" t="s">
        <v>23614</v>
      </c>
      <c r="N3965" s="8" t="s">
        <v>41</v>
      </c>
      <c r="O3965" s="8" t="s">
        <v>118</v>
      </c>
      <c r="P3965" s="6" t="s">
        <v>167</v>
      </c>
      <c r="Q3965" s="8" t="s">
        <v>58</v>
      </c>
      <c r="R3965" s="10" t="s">
        <v>23615</v>
      </c>
      <c r="S3965" s="11" t="s">
        <v>23616</v>
      </c>
      <c r="T3965" s="6"/>
      <c r="U3965" s="24" t="str">
        <f>HYPERLINK("https://media.infra-m.ru/2152/2152287/cover/2152287.jpg", "Обложка")</f>
        <v>Обложка</v>
      </c>
      <c r="V3965" s="24" t="str">
        <f>HYPERLINK("https://znanium.ru/catalog/product/1910633", "Ознакомиться")</f>
        <v>Ознакомиться</v>
      </c>
      <c r="W3965" s="8"/>
      <c r="X3965" s="6"/>
      <c r="Y3965" s="6"/>
      <c r="Z3965" s="6"/>
      <c r="AA3965" s="6" t="s">
        <v>235</v>
      </c>
      <c r="AB3965" s="8"/>
    </row>
    <row r="3966" spans="1:28" s="4" customFormat="1" ht="51.95" customHeight="1">
      <c r="A3966" s="5">
        <v>0</v>
      </c>
      <c r="B3966" s="6" t="s">
        <v>23617</v>
      </c>
      <c r="C3966" s="13">
        <v>1764</v>
      </c>
      <c r="D3966" s="8" t="s">
        <v>23618</v>
      </c>
      <c r="E3966" s="8" t="s">
        <v>23619</v>
      </c>
      <c r="F3966" s="8" t="s">
        <v>23620</v>
      </c>
      <c r="G3966" s="6" t="s">
        <v>52</v>
      </c>
      <c r="H3966" s="6" t="s">
        <v>53</v>
      </c>
      <c r="I3966" s="8" t="s">
        <v>276</v>
      </c>
      <c r="J3966" s="9">
        <v>1</v>
      </c>
      <c r="K3966" s="9">
        <v>384</v>
      </c>
      <c r="L3966" s="9">
        <v>2024</v>
      </c>
      <c r="M3966" s="8" t="s">
        <v>23621</v>
      </c>
      <c r="N3966" s="8" t="s">
        <v>41</v>
      </c>
      <c r="O3966" s="8" t="s">
        <v>118</v>
      </c>
      <c r="P3966" s="6" t="s">
        <v>43</v>
      </c>
      <c r="Q3966" s="8" t="s">
        <v>44</v>
      </c>
      <c r="R3966" s="10" t="s">
        <v>7519</v>
      </c>
      <c r="S3966" s="11"/>
      <c r="T3966" s="6"/>
      <c r="U3966" s="24" t="str">
        <f>HYPERLINK("https://media.infra-m.ru/2126/2126339/cover/2126339.jpg", "Обложка")</f>
        <v>Обложка</v>
      </c>
      <c r="V3966" s="24" t="str">
        <f>HYPERLINK("https://znanium.ru/catalog/product/1015077", "Ознакомиться")</f>
        <v>Ознакомиться</v>
      </c>
      <c r="W3966" s="8" t="s">
        <v>2122</v>
      </c>
      <c r="X3966" s="6"/>
      <c r="Y3966" s="6"/>
      <c r="Z3966" s="6"/>
      <c r="AA3966" s="6" t="s">
        <v>111</v>
      </c>
      <c r="AB3966" s="8"/>
    </row>
    <row r="3967" spans="1:28" s="4" customFormat="1" ht="51.95" customHeight="1">
      <c r="A3967" s="5">
        <v>0</v>
      </c>
      <c r="B3967" s="6" t="s">
        <v>23622</v>
      </c>
      <c r="C3967" s="13">
        <v>1764</v>
      </c>
      <c r="D3967" s="8" t="s">
        <v>23623</v>
      </c>
      <c r="E3967" s="8" t="s">
        <v>23624</v>
      </c>
      <c r="F3967" s="8" t="s">
        <v>23625</v>
      </c>
      <c r="G3967" s="6" t="s">
        <v>89</v>
      </c>
      <c r="H3967" s="6" t="s">
        <v>53</v>
      </c>
      <c r="I3967" s="8" t="s">
        <v>100</v>
      </c>
      <c r="J3967" s="9">
        <v>1</v>
      </c>
      <c r="K3967" s="9">
        <v>352</v>
      </c>
      <c r="L3967" s="9">
        <v>2025</v>
      </c>
      <c r="M3967" s="8" t="s">
        <v>23626</v>
      </c>
      <c r="N3967" s="8" t="s">
        <v>79</v>
      </c>
      <c r="O3967" s="8" t="s">
        <v>424</v>
      </c>
      <c r="P3967" s="6" t="s">
        <v>43</v>
      </c>
      <c r="Q3967" s="8" t="s">
        <v>102</v>
      </c>
      <c r="R3967" s="10" t="s">
        <v>23627</v>
      </c>
      <c r="S3967" s="11" t="s">
        <v>23628</v>
      </c>
      <c r="T3967" s="6"/>
      <c r="U3967" s="24" t="str">
        <f>HYPERLINK("https://media.infra-m.ru/2170/2170086/cover/2170086.jpg", "Обложка")</f>
        <v>Обложка</v>
      </c>
      <c r="V3967" s="24" t="str">
        <f>HYPERLINK("https://znanium.ru/catalog/product/2105256", "Ознакомиться")</f>
        <v>Ознакомиться</v>
      </c>
      <c r="W3967" s="8" t="s">
        <v>71</v>
      </c>
      <c r="X3967" s="6"/>
      <c r="Y3967" s="6"/>
      <c r="Z3967" s="6"/>
      <c r="AA3967" s="6" t="s">
        <v>654</v>
      </c>
      <c r="AB3967" s="8"/>
    </row>
    <row r="3968" spans="1:28" s="4" customFormat="1" ht="44.1" customHeight="1">
      <c r="A3968" s="5">
        <v>0</v>
      </c>
      <c r="B3968" s="6" t="s">
        <v>23629</v>
      </c>
      <c r="C3968" s="13">
        <v>1690</v>
      </c>
      <c r="D3968" s="8" t="s">
        <v>23630</v>
      </c>
      <c r="E3968" s="8" t="s">
        <v>23631</v>
      </c>
      <c r="F3968" s="8" t="s">
        <v>23625</v>
      </c>
      <c r="G3968" s="6" t="s">
        <v>52</v>
      </c>
      <c r="H3968" s="6" t="s">
        <v>53</v>
      </c>
      <c r="I3968" s="8" t="s">
        <v>100</v>
      </c>
      <c r="J3968" s="9">
        <v>1</v>
      </c>
      <c r="K3968" s="9">
        <v>323</v>
      </c>
      <c r="L3968" s="9">
        <v>2025</v>
      </c>
      <c r="M3968" s="8" t="s">
        <v>23632</v>
      </c>
      <c r="N3968" s="8" t="s">
        <v>79</v>
      </c>
      <c r="O3968" s="8" t="s">
        <v>424</v>
      </c>
      <c r="P3968" s="6" t="s">
        <v>43</v>
      </c>
      <c r="Q3968" s="8" t="s">
        <v>102</v>
      </c>
      <c r="R3968" s="10" t="s">
        <v>23627</v>
      </c>
      <c r="S3968" s="11"/>
      <c r="T3968" s="6"/>
      <c r="U3968" s="24" t="str">
        <f>HYPERLINK("https://media.infra-m.ru/2105/2105256/cover/2105256.jpg", "Обложка")</f>
        <v>Обложка</v>
      </c>
      <c r="V3968" s="24" t="str">
        <f>HYPERLINK("https://znanium.ru/catalog/product/2105256", "Ознакомиться")</f>
        <v>Ознакомиться</v>
      </c>
      <c r="W3968" s="8" t="s">
        <v>71</v>
      </c>
      <c r="X3968" s="6" t="s">
        <v>132</v>
      </c>
      <c r="Y3968" s="6"/>
      <c r="Z3968" s="6"/>
      <c r="AA3968" s="6" t="s">
        <v>549</v>
      </c>
      <c r="AB3968" s="8"/>
    </row>
    <row r="3969" spans="1:28" s="4" customFormat="1" ht="44.1" customHeight="1">
      <c r="A3969" s="5">
        <v>0</v>
      </c>
      <c r="B3969" s="6" t="s">
        <v>23633</v>
      </c>
      <c r="C3969" s="13">
        <v>2880</v>
      </c>
      <c r="D3969" s="8" t="s">
        <v>23634</v>
      </c>
      <c r="E3969" s="8" t="s">
        <v>23635</v>
      </c>
      <c r="F3969" s="8" t="s">
        <v>23636</v>
      </c>
      <c r="G3969" s="6" t="s">
        <v>52</v>
      </c>
      <c r="H3969" s="6" t="s">
        <v>53</v>
      </c>
      <c r="I3969" s="8" t="s">
        <v>165</v>
      </c>
      <c r="J3969" s="9">
        <v>1</v>
      </c>
      <c r="K3969" s="9">
        <v>575</v>
      </c>
      <c r="L3969" s="9">
        <v>2025</v>
      </c>
      <c r="M3969" s="8" t="s">
        <v>23637</v>
      </c>
      <c r="N3969" s="8" t="s">
        <v>41</v>
      </c>
      <c r="O3969" s="8" t="s">
        <v>118</v>
      </c>
      <c r="P3969" s="6" t="s">
        <v>167</v>
      </c>
      <c r="Q3969" s="8" t="s">
        <v>58</v>
      </c>
      <c r="R3969" s="10" t="s">
        <v>23638</v>
      </c>
      <c r="S3969" s="11"/>
      <c r="T3969" s="6"/>
      <c r="U3969" s="24" t="str">
        <f>HYPERLINK("https://media.infra-m.ru/2016/2016339/cover/2016339.jpg", "Обложка")</f>
        <v>Обложка</v>
      </c>
      <c r="V3969" s="24" t="str">
        <f>HYPERLINK("https://znanium.ru/catalog/product/2016339", "Ознакомиться")</f>
        <v>Ознакомиться</v>
      </c>
      <c r="W3969" s="8" t="s">
        <v>83</v>
      </c>
      <c r="X3969" s="6" t="s">
        <v>389</v>
      </c>
      <c r="Y3969" s="6"/>
      <c r="Z3969" s="6"/>
      <c r="AA3969" s="6" t="s">
        <v>61</v>
      </c>
      <c r="AB3969" s="8" t="s">
        <v>2232</v>
      </c>
    </row>
    <row r="3970" spans="1:28" s="4" customFormat="1" ht="51.95" customHeight="1">
      <c r="A3970" s="5">
        <v>0</v>
      </c>
      <c r="B3970" s="6" t="s">
        <v>23639</v>
      </c>
      <c r="C3970" s="13">
        <v>1110</v>
      </c>
      <c r="D3970" s="8" t="s">
        <v>23640</v>
      </c>
      <c r="E3970" s="8" t="s">
        <v>23641</v>
      </c>
      <c r="F3970" s="8" t="s">
        <v>23642</v>
      </c>
      <c r="G3970" s="6" t="s">
        <v>38</v>
      </c>
      <c r="H3970" s="6" t="s">
        <v>53</v>
      </c>
      <c r="I3970" s="8" t="s">
        <v>116</v>
      </c>
      <c r="J3970" s="9">
        <v>1</v>
      </c>
      <c r="K3970" s="9">
        <v>221</v>
      </c>
      <c r="L3970" s="9">
        <v>2025</v>
      </c>
      <c r="M3970" s="8" t="s">
        <v>23643</v>
      </c>
      <c r="N3970" s="8" t="s">
        <v>41</v>
      </c>
      <c r="O3970" s="8" t="s">
        <v>1007</v>
      </c>
      <c r="P3970" s="6" t="s">
        <v>167</v>
      </c>
      <c r="Q3970" s="8" t="s">
        <v>58</v>
      </c>
      <c r="R3970" s="10" t="s">
        <v>23644</v>
      </c>
      <c r="S3970" s="11" t="s">
        <v>3466</v>
      </c>
      <c r="T3970" s="6"/>
      <c r="U3970" s="24" t="str">
        <f>HYPERLINK("https://media.infra-m.ru/2173/2173313/cover/2173313.jpg", "Обложка")</f>
        <v>Обложка</v>
      </c>
      <c r="V3970" s="24" t="str">
        <f>HYPERLINK("https://znanium.ru/catalog/product/2173313", "Ознакомиться")</f>
        <v>Ознакомиться</v>
      </c>
      <c r="W3970" s="8" t="s">
        <v>189</v>
      </c>
      <c r="X3970" s="6"/>
      <c r="Y3970" s="6"/>
      <c r="Z3970" s="6"/>
      <c r="AA3970" s="6" t="s">
        <v>326</v>
      </c>
      <c r="AB3970" s="8"/>
    </row>
    <row r="3971" spans="1:28" s="4" customFormat="1" ht="42" customHeight="1">
      <c r="A3971" s="5">
        <v>0</v>
      </c>
      <c r="B3971" s="6" t="s">
        <v>23645</v>
      </c>
      <c r="C3971" s="13">
        <v>2994</v>
      </c>
      <c r="D3971" s="8" t="s">
        <v>23646</v>
      </c>
      <c r="E3971" s="8" t="s">
        <v>23647</v>
      </c>
      <c r="F3971" s="8" t="s">
        <v>23648</v>
      </c>
      <c r="G3971" s="6" t="s">
        <v>52</v>
      </c>
      <c r="H3971" s="6" t="s">
        <v>53</v>
      </c>
      <c r="I3971" s="8" t="s">
        <v>116</v>
      </c>
      <c r="J3971" s="9">
        <v>1</v>
      </c>
      <c r="K3971" s="9">
        <v>581</v>
      </c>
      <c r="L3971" s="9">
        <v>2025</v>
      </c>
      <c r="M3971" s="8" t="s">
        <v>23649</v>
      </c>
      <c r="N3971" s="8" t="s">
        <v>79</v>
      </c>
      <c r="O3971" s="8" t="s">
        <v>396</v>
      </c>
      <c r="P3971" s="6" t="s">
        <v>43</v>
      </c>
      <c r="Q3971" s="8" t="s">
        <v>44</v>
      </c>
      <c r="R3971" s="10" t="s">
        <v>23650</v>
      </c>
      <c r="S3971" s="11"/>
      <c r="T3971" s="6"/>
      <c r="U3971" s="24" t="str">
        <f>HYPERLINK("https://media.infra-m.ru/2194/2194355/cover/2194355.jpg", "Обложка")</f>
        <v>Обложка</v>
      </c>
      <c r="V3971" s="24" t="str">
        <f>HYPERLINK("https://znanium.ru/catalog/product/1229012", "Ознакомиться")</f>
        <v>Ознакомиться</v>
      </c>
      <c r="W3971" s="8" t="s">
        <v>368</v>
      </c>
      <c r="X3971" s="6"/>
      <c r="Y3971" s="6"/>
      <c r="Z3971" s="6"/>
      <c r="AA3971" s="6" t="s">
        <v>84</v>
      </c>
      <c r="AB3971" s="8"/>
    </row>
    <row r="3972" spans="1:28" s="4" customFormat="1" ht="51.95" customHeight="1">
      <c r="A3972" s="5">
        <v>0</v>
      </c>
      <c r="B3972" s="6" t="s">
        <v>23651</v>
      </c>
      <c r="C3972" s="13">
        <v>2017</v>
      </c>
      <c r="D3972" s="8" t="s">
        <v>23652</v>
      </c>
      <c r="E3972" s="8" t="s">
        <v>23653</v>
      </c>
      <c r="F3972" s="8" t="s">
        <v>23654</v>
      </c>
      <c r="G3972" s="6" t="s">
        <v>52</v>
      </c>
      <c r="H3972" s="6" t="s">
        <v>39</v>
      </c>
      <c r="I3972" s="8" t="s">
        <v>90</v>
      </c>
      <c r="J3972" s="9">
        <v>1</v>
      </c>
      <c r="K3972" s="9">
        <v>336</v>
      </c>
      <c r="L3972" s="9">
        <v>2023</v>
      </c>
      <c r="M3972" s="8" t="s">
        <v>23655</v>
      </c>
      <c r="N3972" s="8" t="s">
        <v>79</v>
      </c>
      <c r="O3972" s="8" t="s">
        <v>396</v>
      </c>
      <c r="P3972" s="6" t="s">
        <v>43</v>
      </c>
      <c r="Q3972" s="8" t="s">
        <v>44</v>
      </c>
      <c r="R3972" s="10" t="s">
        <v>5237</v>
      </c>
      <c r="S3972" s="11" t="s">
        <v>23656</v>
      </c>
      <c r="T3972" s="6"/>
      <c r="U3972" s="24" t="str">
        <f>HYPERLINK("https://media.infra-m.ru/1913/1913615/cover/1913615.jpg", "Обложка")</f>
        <v>Обложка</v>
      </c>
      <c r="V3972" s="12"/>
      <c r="W3972" s="8" t="s">
        <v>368</v>
      </c>
      <c r="X3972" s="6"/>
      <c r="Y3972" s="6"/>
      <c r="Z3972" s="6"/>
      <c r="AA3972" s="6" t="s">
        <v>84</v>
      </c>
      <c r="AB3972" s="8"/>
    </row>
    <row r="3973" spans="1:28" s="4" customFormat="1" ht="51.95" customHeight="1">
      <c r="A3973" s="5">
        <v>0</v>
      </c>
      <c r="B3973" s="6" t="s">
        <v>23657</v>
      </c>
      <c r="C3973" s="13">
        <v>1280</v>
      </c>
      <c r="D3973" s="8" t="s">
        <v>23658</v>
      </c>
      <c r="E3973" s="8" t="s">
        <v>23659</v>
      </c>
      <c r="F3973" s="8" t="s">
        <v>23660</v>
      </c>
      <c r="G3973" s="6" t="s">
        <v>52</v>
      </c>
      <c r="H3973" s="6" t="s">
        <v>53</v>
      </c>
      <c r="I3973" s="8" t="s">
        <v>782</v>
      </c>
      <c r="J3973" s="9">
        <v>1</v>
      </c>
      <c r="K3973" s="9">
        <v>253</v>
      </c>
      <c r="L3973" s="9">
        <v>2025</v>
      </c>
      <c r="M3973" s="8" t="s">
        <v>23661</v>
      </c>
      <c r="N3973" s="8" t="s">
        <v>41</v>
      </c>
      <c r="O3973" s="8" t="s">
        <v>118</v>
      </c>
      <c r="P3973" s="6" t="s">
        <v>43</v>
      </c>
      <c r="Q3973" s="8" t="s">
        <v>44</v>
      </c>
      <c r="R3973" s="10" t="s">
        <v>23662</v>
      </c>
      <c r="S3973" s="11"/>
      <c r="T3973" s="6"/>
      <c r="U3973" s="24" t="str">
        <f>HYPERLINK("https://media.infra-m.ru/2167/2167522/cover/2167522.jpg", "Обложка")</f>
        <v>Обложка</v>
      </c>
      <c r="V3973" s="12"/>
      <c r="W3973" s="8" t="s">
        <v>784</v>
      </c>
      <c r="X3973" s="6" t="s">
        <v>785</v>
      </c>
      <c r="Y3973" s="6"/>
      <c r="Z3973" s="6"/>
      <c r="AA3973" s="6" t="s">
        <v>61</v>
      </c>
      <c r="AB3973" s="8"/>
    </row>
    <row r="3974" spans="1:28" s="4" customFormat="1" ht="51.95" customHeight="1">
      <c r="A3974" s="5">
        <v>0</v>
      </c>
      <c r="B3974" s="6" t="s">
        <v>23663</v>
      </c>
      <c r="C3974" s="13">
        <v>1990</v>
      </c>
      <c r="D3974" s="8" t="s">
        <v>23664</v>
      </c>
      <c r="E3974" s="8" t="s">
        <v>23665</v>
      </c>
      <c r="F3974" s="8" t="s">
        <v>23666</v>
      </c>
      <c r="G3974" s="6" t="s">
        <v>52</v>
      </c>
      <c r="H3974" s="6" t="s">
        <v>53</v>
      </c>
      <c r="I3974" s="8" t="s">
        <v>116</v>
      </c>
      <c r="J3974" s="9">
        <v>1</v>
      </c>
      <c r="K3974" s="9">
        <v>433</v>
      </c>
      <c r="L3974" s="9">
        <v>2023</v>
      </c>
      <c r="M3974" s="8" t="s">
        <v>23667</v>
      </c>
      <c r="N3974" s="8" t="s">
        <v>79</v>
      </c>
      <c r="O3974" s="8" t="s">
        <v>174</v>
      </c>
      <c r="P3974" s="6" t="s">
        <v>167</v>
      </c>
      <c r="Q3974" s="8" t="s">
        <v>44</v>
      </c>
      <c r="R3974" s="10" t="s">
        <v>13474</v>
      </c>
      <c r="S3974" s="11" t="s">
        <v>23668</v>
      </c>
      <c r="T3974" s="6"/>
      <c r="U3974" s="24" t="str">
        <f>HYPERLINK("https://media.infra-m.ru/2084/2084315/cover/2084315.jpg", "Обложка")</f>
        <v>Обложка</v>
      </c>
      <c r="V3974" s="24" t="str">
        <f>HYPERLINK("https://znanium.ru/catalog/product/1911112", "Ознакомиться")</f>
        <v>Ознакомиться</v>
      </c>
      <c r="W3974" s="8" t="s">
        <v>1544</v>
      </c>
      <c r="X3974" s="6"/>
      <c r="Y3974" s="6"/>
      <c r="Z3974" s="6"/>
      <c r="AA3974" s="6" t="s">
        <v>111</v>
      </c>
      <c r="AB3974" s="8"/>
    </row>
    <row r="3975" spans="1:28" s="4" customFormat="1" ht="51.95" customHeight="1">
      <c r="A3975" s="5">
        <v>0</v>
      </c>
      <c r="B3975" s="6" t="s">
        <v>23669</v>
      </c>
      <c r="C3975" s="13">
        <v>1750</v>
      </c>
      <c r="D3975" s="8" t="s">
        <v>23670</v>
      </c>
      <c r="E3975" s="8" t="s">
        <v>23665</v>
      </c>
      <c r="F3975" s="8" t="s">
        <v>23671</v>
      </c>
      <c r="G3975" s="6" t="s">
        <v>89</v>
      </c>
      <c r="H3975" s="6" t="s">
        <v>53</v>
      </c>
      <c r="I3975" s="8" t="s">
        <v>116</v>
      </c>
      <c r="J3975" s="9">
        <v>1</v>
      </c>
      <c r="K3975" s="9">
        <v>382</v>
      </c>
      <c r="L3975" s="9">
        <v>2023</v>
      </c>
      <c r="M3975" s="8" t="s">
        <v>23672</v>
      </c>
      <c r="N3975" s="8" t="s">
        <v>79</v>
      </c>
      <c r="O3975" s="8" t="s">
        <v>174</v>
      </c>
      <c r="P3975" s="6" t="s">
        <v>43</v>
      </c>
      <c r="Q3975" s="8" t="s">
        <v>58</v>
      </c>
      <c r="R3975" s="10" t="s">
        <v>23673</v>
      </c>
      <c r="S3975" s="11" t="s">
        <v>23674</v>
      </c>
      <c r="T3975" s="6"/>
      <c r="U3975" s="24" t="str">
        <f>HYPERLINK("https://media.infra-m.ru/2031/2031694/cover/2031694.jpg", "Обложка")</f>
        <v>Обложка</v>
      </c>
      <c r="V3975" s="24" t="str">
        <f>HYPERLINK("https://znanium.ru/catalog/product/1906710", "Ознакомиться")</f>
        <v>Ознакомиться</v>
      </c>
      <c r="W3975" s="8" t="s">
        <v>16339</v>
      </c>
      <c r="X3975" s="6"/>
      <c r="Y3975" s="6"/>
      <c r="Z3975" s="6"/>
      <c r="AA3975" s="6" t="s">
        <v>47</v>
      </c>
      <c r="AB3975" s="8"/>
    </row>
    <row r="3976" spans="1:28" s="4" customFormat="1" ht="51.95" customHeight="1">
      <c r="A3976" s="5">
        <v>0</v>
      </c>
      <c r="B3976" s="6" t="s">
        <v>23675</v>
      </c>
      <c r="C3976" s="13">
        <v>1490</v>
      </c>
      <c r="D3976" s="8" t="s">
        <v>23676</v>
      </c>
      <c r="E3976" s="8" t="s">
        <v>23677</v>
      </c>
      <c r="F3976" s="8" t="s">
        <v>12782</v>
      </c>
      <c r="G3976" s="6" t="s">
        <v>52</v>
      </c>
      <c r="H3976" s="6" t="s">
        <v>53</v>
      </c>
      <c r="I3976" s="8" t="s">
        <v>90</v>
      </c>
      <c r="J3976" s="9">
        <v>1</v>
      </c>
      <c r="K3976" s="9">
        <v>374</v>
      </c>
      <c r="L3976" s="9">
        <v>2022</v>
      </c>
      <c r="M3976" s="8" t="s">
        <v>23678</v>
      </c>
      <c r="N3976" s="8" t="s">
        <v>41</v>
      </c>
      <c r="O3976" s="8" t="s">
        <v>118</v>
      </c>
      <c r="P3976" s="6" t="s">
        <v>167</v>
      </c>
      <c r="Q3976" s="8" t="s">
        <v>44</v>
      </c>
      <c r="R3976" s="10" t="s">
        <v>1251</v>
      </c>
      <c r="S3976" s="11" t="s">
        <v>4538</v>
      </c>
      <c r="T3976" s="6"/>
      <c r="U3976" s="24" t="str">
        <f>HYPERLINK("https://media.infra-m.ru/1077/1077327/cover/1077327.jpg", "Обложка")</f>
        <v>Обложка</v>
      </c>
      <c r="V3976" s="24" t="str">
        <f>HYPERLINK("https://znanium.ru/catalog/product/1077327", "Ознакомиться")</f>
        <v>Ознакомиться</v>
      </c>
      <c r="W3976" s="8" t="s">
        <v>12467</v>
      </c>
      <c r="X3976" s="6"/>
      <c r="Y3976" s="6"/>
      <c r="Z3976" s="6"/>
      <c r="AA3976" s="6" t="s">
        <v>235</v>
      </c>
      <c r="AB3976" s="8"/>
    </row>
    <row r="3977" spans="1:28" s="4" customFormat="1" ht="51.95" customHeight="1">
      <c r="A3977" s="5">
        <v>0</v>
      </c>
      <c r="B3977" s="6" t="s">
        <v>23679</v>
      </c>
      <c r="C3977" s="13">
        <v>1284</v>
      </c>
      <c r="D3977" s="8" t="s">
        <v>23680</v>
      </c>
      <c r="E3977" s="8" t="s">
        <v>23681</v>
      </c>
      <c r="F3977" s="8" t="s">
        <v>23682</v>
      </c>
      <c r="G3977" s="6" t="s">
        <v>52</v>
      </c>
      <c r="H3977" s="6" t="s">
        <v>53</v>
      </c>
      <c r="I3977" s="8" t="s">
        <v>90</v>
      </c>
      <c r="J3977" s="9">
        <v>1</v>
      </c>
      <c r="K3977" s="9">
        <v>256</v>
      </c>
      <c r="L3977" s="9">
        <v>2025</v>
      </c>
      <c r="M3977" s="8" t="s">
        <v>23683</v>
      </c>
      <c r="N3977" s="8" t="s">
        <v>79</v>
      </c>
      <c r="O3977" s="8" t="s">
        <v>396</v>
      </c>
      <c r="P3977" s="6" t="s">
        <v>167</v>
      </c>
      <c r="Q3977" s="8" t="s">
        <v>44</v>
      </c>
      <c r="R3977" s="10" t="s">
        <v>23684</v>
      </c>
      <c r="S3977" s="11" t="s">
        <v>23685</v>
      </c>
      <c r="T3977" s="6"/>
      <c r="U3977" s="24" t="str">
        <f>HYPERLINK("https://media.infra-m.ru/2172/2172849/cover/2172849.jpg", "Обложка")</f>
        <v>Обложка</v>
      </c>
      <c r="V3977" s="24" t="str">
        <f>HYPERLINK("https://znanium.ru/catalog/product/1865668", "Ознакомиться")</f>
        <v>Ознакомиться</v>
      </c>
      <c r="W3977" s="8" t="s">
        <v>1587</v>
      </c>
      <c r="X3977" s="6"/>
      <c r="Y3977" s="6"/>
      <c r="Z3977" s="6"/>
      <c r="AA3977" s="6" t="s">
        <v>813</v>
      </c>
      <c r="AB3977" s="8"/>
    </row>
    <row r="3978" spans="1:28" s="4" customFormat="1" ht="51.95" customHeight="1">
      <c r="A3978" s="5">
        <v>0</v>
      </c>
      <c r="B3978" s="6" t="s">
        <v>23686</v>
      </c>
      <c r="C3978" s="7">
        <v>890</v>
      </c>
      <c r="D3978" s="8" t="s">
        <v>23687</v>
      </c>
      <c r="E3978" s="8" t="s">
        <v>23688</v>
      </c>
      <c r="F3978" s="8" t="s">
        <v>23689</v>
      </c>
      <c r="G3978" s="6" t="s">
        <v>89</v>
      </c>
      <c r="H3978" s="6" t="s">
        <v>53</v>
      </c>
      <c r="I3978" s="8" t="s">
        <v>90</v>
      </c>
      <c r="J3978" s="9">
        <v>1</v>
      </c>
      <c r="K3978" s="9">
        <v>248</v>
      </c>
      <c r="L3978" s="9">
        <v>2021</v>
      </c>
      <c r="M3978" s="8" t="s">
        <v>23690</v>
      </c>
      <c r="N3978" s="8" t="s">
        <v>79</v>
      </c>
      <c r="O3978" s="8" t="s">
        <v>396</v>
      </c>
      <c r="P3978" s="6" t="s">
        <v>167</v>
      </c>
      <c r="Q3978" s="8" t="s">
        <v>44</v>
      </c>
      <c r="R3978" s="10" t="s">
        <v>23684</v>
      </c>
      <c r="S3978" s="11" t="s">
        <v>23691</v>
      </c>
      <c r="T3978" s="6"/>
      <c r="U3978" s="24" t="str">
        <f>HYPERLINK("https://media.infra-m.ru/1233/1233172/cover/1233172.jpg", "Обложка")</f>
        <v>Обложка</v>
      </c>
      <c r="V3978" s="24" t="str">
        <f>HYPERLINK("https://znanium.ru/catalog/product/1865668", "Ознакомиться")</f>
        <v>Ознакомиться</v>
      </c>
      <c r="W3978" s="8" t="s">
        <v>1587</v>
      </c>
      <c r="X3978" s="6"/>
      <c r="Y3978" s="6"/>
      <c r="Z3978" s="6"/>
      <c r="AA3978" s="6" t="s">
        <v>84</v>
      </c>
      <c r="AB3978" s="8"/>
    </row>
    <row r="3979" spans="1:28" s="4" customFormat="1" ht="51.95" customHeight="1">
      <c r="A3979" s="5">
        <v>0</v>
      </c>
      <c r="B3979" s="6" t="s">
        <v>23692</v>
      </c>
      <c r="C3979" s="13">
        <v>1974</v>
      </c>
      <c r="D3979" s="8" t="s">
        <v>23693</v>
      </c>
      <c r="E3979" s="8" t="s">
        <v>23694</v>
      </c>
      <c r="F3979" s="8" t="s">
        <v>18020</v>
      </c>
      <c r="G3979" s="6" t="s">
        <v>89</v>
      </c>
      <c r="H3979" s="6" t="s">
        <v>53</v>
      </c>
      <c r="I3979" s="8" t="s">
        <v>90</v>
      </c>
      <c r="J3979" s="9">
        <v>1</v>
      </c>
      <c r="K3979" s="9">
        <v>395</v>
      </c>
      <c r="L3979" s="9">
        <v>2025</v>
      </c>
      <c r="M3979" s="8" t="s">
        <v>23695</v>
      </c>
      <c r="N3979" s="8" t="s">
        <v>41</v>
      </c>
      <c r="O3979" s="8" t="s">
        <v>118</v>
      </c>
      <c r="P3979" s="6" t="s">
        <v>167</v>
      </c>
      <c r="Q3979" s="8" t="s">
        <v>44</v>
      </c>
      <c r="R3979" s="10" t="s">
        <v>7881</v>
      </c>
      <c r="S3979" s="11" t="s">
        <v>23696</v>
      </c>
      <c r="T3979" s="6" t="s">
        <v>299</v>
      </c>
      <c r="U3979" s="24" t="str">
        <f>HYPERLINK("https://media.infra-m.ru/2188/2188719/cover/2188719.jpg", "Обложка")</f>
        <v>Обложка</v>
      </c>
      <c r="V3979" s="24" t="str">
        <f>HYPERLINK("https://znanium.ru/catalog/product/1939099", "Ознакомиться")</f>
        <v>Ознакомиться</v>
      </c>
      <c r="W3979" s="8" t="s">
        <v>1563</v>
      </c>
      <c r="X3979" s="6"/>
      <c r="Y3979" s="6"/>
      <c r="Z3979" s="6"/>
      <c r="AA3979" s="6" t="s">
        <v>494</v>
      </c>
      <c r="AB3979" s="8"/>
    </row>
    <row r="3980" spans="1:28" s="4" customFormat="1" ht="51.95" customHeight="1">
      <c r="A3980" s="5">
        <v>0</v>
      </c>
      <c r="B3980" s="6" t="s">
        <v>23697</v>
      </c>
      <c r="C3980" s="13">
        <v>1590</v>
      </c>
      <c r="D3980" s="8" t="s">
        <v>23698</v>
      </c>
      <c r="E3980" s="8" t="s">
        <v>23699</v>
      </c>
      <c r="F3980" s="8" t="s">
        <v>23700</v>
      </c>
      <c r="G3980" s="6" t="s">
        <v>89</v>
      </c>
      <c r="H3980" s="6" t="s">
        <v>53</v>
      </c>
      <c r="I3980" s="8" t="s">
        <v>90</v>
      </c>
      <c r="J3980" s="9">
        <v>1</v>
      </c>
      <c r="K3980" s="9">
        <v>352</v>
      </c>
      <c r="L3980" s="9">
        <v>2023</v>
      </c>
      <c r="M3980" s="8" t="s">
        <v>23701</v>
      </c>
      <c r="N3980" s="8" t="s">
        <v>41</v>
      </c>
      <c r="O3980" s="8" t="s">
        <v>118</v>
      </c>
      <c r="P3980" s="6" t="s">
        <v>167</v>
      </c>
      <c r="Q3980" s="8" t="s">
        <v>44</v>
      </c>
      <c r="R3980" s="10" t="s">
        <v>1371</v>
      </c>
      <c r="S3980" s="11" t="s">
        <v>23702</v>
      </c>
      <c r="T3980" s="6" t="s">
        <v>299</v>
      </c>
      <c r="U3980" s="24" t="str">
        <f>HYPERLINK("https://media.infra-m.ru/1939/1939100/cover/1939100.jpg", "Обложка")</f>
        <v>Обложка</v>
      </c>
      <c r="V3980" s="24" t="str">
        <f>HYPERLINK("https://znanium.ru/catalog/product/1939100", "Ознакомиться")</f>
        <v>Ознакомиться</v>
      </c>
      <c r="W3980" s="8" t="s">
        <v>1345</v>
      </c>
      <c r="X3980" s="6"/>
      <c r="Y3980" s="6"/>
      <c r="Z3980" s="6"/>
      <c r="AA3980" s="6" t="s">
        <v>418</v>
      </c>
      <c r="AB3980" s="8"/>
    </row>
    <row r="3981" spans="1:28" s="4" customFormat="1" ht="51.95" customHeight="1">
      <c r="A3981" s="5">
        <v>0</v>
      </c>
      <c r="B3981" s="6" t="s">
        <v>23703</v>
      </c>
      <c r="C3981" s="13">
        <v>3750</v>
      </c>
      <c r="D3981" s="8" t="s">
        <v>23704</v>
      </c>
      <c r="E3981" s="8" t="s">
        <v>23705</v>
      </c>
      <c r="F3981" s="8" t="s">
        <v>23706</v>
      </c>
      <c r="G3981" s="6" t="s">
        <v>52</v>
      </c>
      <c r="H3981" s="6" t="s">
        <v>53</v>
      </c>
      <c r="I3981" s="8" t="s">
        <v>116</v>
      </c>
      <c r="J3981" s="9">
        <v>1</v>
      </c>
      <c r="K3981" s="9">
        <v>749</v>
      </c>
      <c r="L3981" s="9">
        <v>2025</v>
      </c>
      <c r="M3981" s="8" t="s">
        <v>23707</v>
      </c>
      <c r="N3981" s="8" t="s">
        <v>41</v>
      </c>
      <c r="O3981" s="8" t="s">
        <v>118</v>
      </c>
      <c r="P3981" s="6" t="s">
        <v>167</v>
      </c>
      <c r="Q3981" s="8" t="s">
        <v>44</v>
      </c>
      <c r="R3981" s="10" t="s">
        <v>23708</v>
      </c>
      <c r="S3981" s="11"/>
      <c r="T3981" s="6"/>
      <c r="U3981" s="24" t="str">
        <f>HYPERLINK("https://media.infra-m.ru/1225/1225050/cover/1225050.jpg", "Обложка")</f>
        <v>Обложка</v>
      </c>
      <c r="V3981" s="24" t="str">
        <f>HYPERLINK("https://znanium.ru/catalog/product/1225050", "Ознакомиться")</f>
        <v>Ознакомиться</v>
      </c>
      <c r="W3981" s="8" t="s">
        <v>11304</v>
      </c>
      <c r="X3981" s="6" t="s">
        <v>785</v>
      </c>
      <c r="Y3981" s="6"/>
      <c r="Z3981" s="6"/>
      <c r="AA3981" s="6" t="s">
        <v>61</v>
      </c>
      <c r="AB3981" s="8"/>
    </row>
    <row r="3982" spans="1:28" s="4" customFormat="1" ht="42" customHeight="1">
      <c r="A3982" s="5">
        <v>0</v>
      </c>
      <c r="B3982" s="6" t="s">
        <v>23709</v>
      </c>
      <c r="C3982" s="13">
        <v>2020</v>
      </c>
      <c r="D3982" s="8" t="s">
        <v>23710</v>
      </c>
      <c r="E3982" s="8" t="s">
        <v>23711</v>
      </c>
      <c r="F3982" s="8" t="s">
        <v>23712</v>
      </c>
      <c r="G3982" s="6" t="s">
        <v>52</v>
      </c>
      <c r="H3982" s="6" t="s">
        <v>53</v>
      </c>
      <c r="I3982" s="8" t="s">
        <v>116</v>
      </c>
      <c r="J3982" s="9">
        <v>1</v>
      </c>
      <c r="K3982" s="9">
        <v>424</v>
      </c>
      <c r="L3982" s="9">
        <v>2024</v>
      </c>
      <c r="M3982" s="8" t="s">
        <v>23713</v>
      </c>
      <c r="N3982" s="8" t="s">
        <v>41</v>
      </c>
      <c r="O3982" s="8" t="s">
        <v>118</v>
      </c>
      <c r="P3982" s="6" t="s">
        <v>167</v>
      </c>
      <c r="Q3982" s="8" t="s">
        <v>44</v>
      </c>
      <c r="R3982" s="10" t="s">
        <v>1319</v>
      </c>
      <c r="S3982" s="11"/>
      <c r="T3982" s="6"/>
      <c r="U3982" s="24" t="str">
        <f>HYPERLINK("https://media.infra-m.ru/1225/1225049/cover/1225049.jpg", "Обложка")</f>
        <v>Обложка</v>
      </c>
      <c r="V3982" s="24" t="str">
        <f>HYPERLINK("https://znanium.ru/catalog/product/1225049", "Ознакомиться")</f>
        <v>Ознакомиться</v>
      </c>
      <c r="W3982" s="8" t="s">
        <v>11304</v>
      </c>
      <c r="X3982" s="6" t="s">
        <v>3761</v>
      </c>
      <c r="Y3982" s="6"/>
      <c r="Z3982" s="6"/>
      <c r="AA3982" s="6" t="s">
        <v>133</v>
      </c>
      <c r="AB3982" s="8"/>
    </row>
    <row r="3983" spans="1:28" s="4" customFormat="1" ht="42" customHeight="1">
      <c r="A3983" s="5">
        <v>0</v>
      </c>
      <c r="B3983" s="6" t="s">
        <v>23714</v>
      </c>
      <c r="C3983" s="13">
        <v>1224.9000000000001</v>
      </c>
      <c r="D3983" s="8" t="s">
        <v>23715</v>
      </c>
      <c r="E3983" s="8" t="s">
        <v>23716</v>
      </c>
      <c r="F3983" s="8" t="s">
        <v>23717</v>
      </c>
      <c r="G3983" s="6" t="s">
        <v>52</v>
      </c>
      <c r="H3983" s="6" t="s">
        <v>1738</v>
      </c>
      <c r="I3983" s="8"/>
      <c r="J3983" s="9">
        <v>1</v>
      </c>
      <c r="K3983" s="9">
        <v>272</v>
      </c>
      <c r="L3983" s="9">
        <v>2023</v>
      </c>
      <c r="M3983" s="8" t="s">
        <v>23718</v>
      </c>
      <c r="N3983" s="8" t="s">
        <v>41</v>
      </c>
      <c r="O3983" s="8" t="s">
        <v>118</v>
      </c>
      <c r="P3983" s="6" t="s">
        <v>43</v>
      </c>
      <c r="Q3983" s="8" t="s">
        <v>44</v>
      </c>
      <c r="R3983" s="10" t="s">
        <v>23719</v>
      </c>
      <c r="S3983" s="11"/>
      <c r="T3983" s="6"/>
      <c r="U3983" s="24" t="str">
        <f>HYPERLINK("https://media.infra-m.ru/2044/2044350/cover/2044350.jpg", "Обложка")</f>
        <v>Обложка</v>
      </c>
      <c r="V3983" s="24" t="str">
        <f>HYPERLINK("https://znanium.ru/catalog/product/1039244", "Ознакомиться")</f>
        <v>Ознакомиться</v>
      </c>
      <c r="W3983" s="8" t="s">
        <v>1345</v>
      </c>
      <c r="X3983" s="6"/>
      <c r="Y3983" s="6"/>
      <c r="Z3983" s="6"/>
      <c r="AA3983" s="6" t="s">
        <v>47</v>
      </c>
      <c r="AB3983" s="8"/>
    </row>
    <row r="3984" spans="1:28" s="4" customFormat="1" ht="51.95" customHeight="1">
      <c r="A3984" s="5">
        <v>0</v>
      </c>
      <c r="B3984" s="6" t="s">
        <v>23720</v>
      </c>
      <c r="C3984" s="13">
        <v>1934</v>
      </c>
      <c r="D3984" s="8" t="s">
        <v>23721</v>
      </c>
      <c r="E3984" s="8" t="s">
        <v>23722</v>
      </c>
      <c r="F3984" s="8" t="s">
        <v>23723</v>
      </c>
      <c r="G3984" s="6" t="s">
        <v>52</v>
      </c>
      <c r="H3984" s="6" t="s">
        <v>53</v>
      </c>
      <c r="I3984" s="8" t="s">
        <v>90</v>
      </c>
      <c r="J3984" s="9">
        <v>1</v>
      </c>
      <c r="K3984" s="9">
        <v>412</v>
      </c>
      <c r="L3984" s="9">
        <v>2024</v>
      </c>
      <c r="M3984" s="8" t="s">
        <v>23724</v>
      </c>
      <c r="N3984" s="8" t="s">
        <v>41</v>
      </c>
      <c r="O3984" s="8" t="s">
        <v>118</v>
      </c>
      <c r="P3984" s="6" t="s">
        <v>167</v>
      </c>
      <c r="Q3984" s="8" t="s">
        <v>44</v>
      </c>
      <c r="R3984" s="10" t="s">
        <v>157</v>
      </c>
      <c r="S3984" s="11" t="s">
        <v>23725</v>
      </c>
      <c r="T3984" s="6"/>
      <c r="U3984" s="24" t="str">
        <f>HYPERLINK("https://media.infra-m.ru/2138/2138771/cover/2138771.jpg", "Обложка")</f>
        <v>Обложка</v>
      </c>
      <c r="V3984" s="24" t="str">
        <f>HYPERLINK("https://znanium.ru/catalog/product/2138771", "Ознакомиться")</f>
        <v>Ознакомиться</v>
      </c>
      <c r="W3984" s="8" t="s">
        <v>189</v>
      </c>
      <c r="X3984" s="6"/>
      <c r="Y3984" s="6"/>
      <c r="Z3984" s="6"/>
      <c r="AA3984" s="6" t="s">
        <v>479</v>
      </c>
      <c r="AB3984" s="8"/>
    </row>
    <row r="3985" spans="1:28" s="4" customFormat="1" ht="51.95" customHeight="1">
      <c r="A3985" s="5">
        <v>0</v>
      </c>
      <c r="B3985" s="6" t="s">
        <v>23726</v>
      </c>
      <c r="C3985" s="13">
        <v>1724</v>
      </c>
      <c r="D3985" s="8" t="s">
        <v>23727</v>
      </c>
      <c r="E3985" s="8" t="s">
        <v>23728</v>
      </c>
      <c r="F3985" s="8" t="s">
        <v>23729</v>
      </c>
      <c r="G3985" s="6" t="s">
        <v>89</v>
      </c>
      <c r="H3985" s="6" t="s">
        <v>649</v>
      </c>
      <c r="I3985" s="8" t="s">
        <v>100</v>
      </c>
      <c r="J3985" s="9">
        <v>1</v>
      </c>
      <c r="K3985" s="9">
        <v>367</v>
      </c>
      <c r="L3985" s="9">
        <v>2024</v>
      </c>
      <c r="M3985" s="8" t="s">
        <v>23730</v>
      </c>
      <c r="N3985" s="8" t="s">
        <v>79</v>
      </c>
      <c r="O3985" s="8" t="s">
        <v>396</v>
      </c>
      <c r="P3985" s="6" t="s">
        <v>167</v>
      </c>
      <c r="Q3985" s="8" t="s">
        <v>102</v>
      </c>
      <c r="R3985" s="10" t="s">
        <v>23731</v>
      </c>
      <c r="S3985" s="11" t="s">
        <v>15038</v>
      </c>
      <c r="T3985" s="6"/>
      <c r="U3985" s="24" t="str">
        <f>HYPERLINK("https://media.infra-m.ru/2120/2120775/cover/2120775.jpg", "Обложка")</f>
        <v>Обложка</v>
      </c>
      <c r="V3985" s="24" t="str">
        <f>HYPERLINK("https://znanium.ru/catalog/product/1725239", "Ознакомиться")</f>
        <v>Ознакомиться</v>
      </c>
      <c r="W3985" s="8" t="s">
        <v>450</v>
      </c>
      <c r="X3985" s="6"/>
      <c r="Y3985" s="6"/>
      <c r="Z3985" s="6"/>
      <c r="AA3985" s="6" t="s">
        <v>418</v>
      </c>
      <c r="AB3985" s="8"/>
    </row>
    <row r="3986" spans="1:28" s="4" customFormat="1" ht="51.95" customHeight="1">
      <c r="A3986" s="5">
        <v>0</v>
      </c>
      <c r="B3986" s="6" t="s">
        <v>23732</v>
      </c>
      <c r="C3986" s="7">
        <v>940</v>
      </c>
      <c r="D3986" s="8" t="s">
        <v>23733</v>
      </c>
      <c r="E3986" s="8" t="s">
        <v>23734</v>
      </c>
      <c r="F3986" s="8" t="s">
        <v>7222</v>
      </c>
      <c r="G3986" s="6" t="s">
        <v>89</v>
      </c>
      <c r="H3986" s="6" t="s">
        <v>438</v>
      </c>
      <c r="I3986" s="8" t="s">
        <v>90</v>
      </c>
      <c r="J3986" s="9">
        <v>1</v>
      </c>
      <c r="K3986" s="9">
        <v>186</v>
      </c>
      <c r="L3986" s="9">
        <v>2025</v>
      </c>
      <c r="M3986" s="8" t="s">
        <v>23735</v>
      </c>
      <c r="N3986" s="8" t="s">
        <v>79</v>
      </c>
      <c r="O3986" s="8" t="s">
        <v>684</v>
      </c>
      <c r="P3986" s="6" t="s">
        <v>167</v>
      </c>
      <c r="Q3986" s="8" t="s">
        <v>44</v>
      </c>
      <c r="R3986" s="10" t="s">
        <v>23736</v>
      </c>
      <c r="S3986" s="11" t="s">
        <v>23737</v>
      </c>
      <c r="T3986" s="6"/>
      <c r="U3986" s="24" t="str">
        <f>HYPERLINK("https://media.infra-m.ru/2180/2180232/cover/2180232.jpg", "Обложка")</f>
        <v>Обложка</v>
      </c>
      <c r="V3986" s="24" t="str">
        <f>HYPERLINK("https://znanium.ru/catalog/product/2180232", "Ознакомиться")</f>
        <v>Ознакомиться</v>
      </c>
      <c r="W3986" s="8" t="s">
        <v>7224</v>
      </c>
      <c r="X3986" s="6"/>
      <c r="Y3986" s="6"/>
      <c r="Z3986" s="6"/>
      <c r="AA3986" s="6" t="s">
        <v>418</v>
      </c>
      <c r="AB3986" s="8"/>
    </row>
    <row r="3987" spans="1:28" s="4" customFormat="1" ht="51.95" customHeight="1">
      <c r="A3987" s="5">
        <v>0</v>
      </c>
      <c r="B3987" s="6" t="s">
        <v>23738</v>
      </c>
      <c r="C3987" s="13">
        <v>1920</v>
      </c>
      <c r="D3987" s="8" t="s">
        <v>23739</v>
      </c>
      <c r="E3987" s="8" t="s">
        <v>23740</v>
      </c>
      <c r="F3987" s="8" t="s">
        <v>19083</v>
      </c>
      <c r="G3987" s="6" t="s">
        <v>52</v>
      </c>
      <c r="H3987" s="6" t="s">
        <v>53</v>
      </c>
      <c r="I3987" s="8" t="s">
        <v>712</v>
      </c>
      <c r="J3987" s="9">
        <v>1</v>
      </c>
      <c r="K3987" s="9">
        <v>405</v>
      </c>
      <c r="L3987" s="9">
        <v>2024</v>
      </c>
      <c r="M3987" s="8" t="s">
        <v>23741</v>
      </c>
      <c r="N3987" s="8" t="s">
        <v>79</v>
      </c>
      <c r="O3987" s="8" t="s">
        <v>684</v>
      </c>
      <c r="P3987" s="6" t="s">
        <v>43</v>
      </c>
      <c r="Q3987" s="8" t="s">
        <v>44</v>
      </c>
      <c r="R3987" s="10" t="s">
        <v>23736</v>
      </c>
      <c r="S3987" s="11" t="s">
        <v>22220</v>
      </c>
      <c r="T3987" s="6"/>
      <c r="U3987" s="24" t="str">
        <f>HYPERLINK("https://media.infra-m.ru/2116/2116150/cover/2116150.jpg", "Обложка")</f>
        <v>Обложка</v>
      </c>
      <c r="V3987" s="24" t="str">
        <f>HYPERLINK("https://znanium.ru/catalog/product/2116150", "Ознакомиться")</f>
        <v>Ознакомиться</v>
      </c>
      <c r="W3987" s="8" t="s">
        <v>716</v>
      </c>
      <c r="X3987" s="6"/>
      <c r="Y3987" s="6"/>
      <c r="Z3987" s="6"/>
      <c r="AA3987" s="6" t="s">
        <v>133</v>
      </c>
      <c r="AB3987" s="8"/>
    </row>
    <row r="3988" spans="1:28" s="4" customFormat="1" ht="42" customHeight="1">
      <c r="A3988" s="5">
        <v>0</v>
      </c>
      <c r="B3988" s="6" t="s">
        <v>23742</v>
      </c>
      <c r="C3988" s="13">
        <v>1454</v>
      </c>
      <c r="D3988" s="8" t="s">
        <v>23743</v>
      </c>
      <c r="E3988" s="8" t="s">
        <v>23744</v>
      </c>
      <c r="F3988" s="8" t="s">
        <v>23729</v>
      </c>
      <c r="G3988" s="6" t="s">
        <v>52</v>
      </c>
      <c r="H3988" s="6" t="s">
        <v>649</v>
      </c>
      <c r="I3988" s="8" t="s">
        <v>58</v>
      </c>
      <c r="J3988" s="9">
        <v>1</v>
      </c>
      <c r="K3988" s="9">
        <v>288</v>
      </c>
      <c r="L3988" s="9">
        <v>2025</v>
      </c>
      <c r="M3988" s="8" t="s">
        <v>23745</v>
      </c>
      <c r="N3988" s="8" t="s">
        <v>79</v>
      </c>
      <c r="O3988" s="8" t="s">
        <v>396</v>
      </c>
      <c r="P3988" s="6" t="s">
        <v>43</v>
      </c>
      <c r="Q3988" s="8" t="s">
        <v>58</v>
      </c>
      <c r="R3988" s="10" t="s">
        <v>23746</v>
      </c>
      <c r="S3988" s="11"/>
      <c r="T3988" s="6"/>
      <c r="U3988" s="24" t="str">
        <f>HYPERLINK("https://media.infra-m.ru/2174/2174655/cover/2174655.jpg", "Обложка")</f>
        <v>Обложка</v>
      </c>
      <c r="V3988" s="24" t="str">
        <f>HYPERLINK("https://znanium.ru/catalog/product/1015197", "Ознакомиться")</f>
        <v>Ознакомиться</v>
      </c>
      <c r="W3988" s="8" t="s">
        <v>450</v>
      </c>
      <c r="X3988" s="6"/>
      <c r="Y3988" s="6"/>
      <c r="Z3988" s="6"/>
      <c r="AA3988" s="6" t="s">
        <v>111</v>
      </c>
      <c r="AB3988" s="8"/>
    </row>
    <row r="3989" spans="1:28" s="4" customFormat="1" ht="51.95" customHeight="1">
      <c r="A3989" s="5">
        <v>0</v>
      </c>
      <c r="B3989" s="6" t="s">
        <v>23747</v>
      </c>
      <c r="C3989" s="13">
        <v>1090</v>
      </c>
      <c r="D3989" s="8" t="s">
        <v>23748</v>
      </c>
      <c r="E3989" s="8" t="s">
        <v>23749</v>
      </c>
      <c r="F3989" s="8" t="s">
        <v>23750</v>
      </c>
      <c r="G3989" s="6" t="s">
        <v>89</v>
      </c>
      <c r="H3989" s="6" t="s">
        <v>649</v>
      </c>
      <c r="I3989" s="8" t="s">
        <v>100</v>
      </c>
      <c r="J3989" s="9">
        <v>1</v>
      </c>
      <c r="K3989" s="9">
        <v>216</v>
      </c>
      <c r="L3989" s="9">
        <v>2025</v>
      </c>
      <c r="M3989" s="8" t="s">
        <v>23751</v>
      </c>
      <c r="N3989" s="8" t="s">
        <v>79</v>
      </c>
      <c r="O3989" s="8" t="s">
        <v>396</v>
      </c>
      <c r="P3989" s="6" t="s">
        <v>43</v>
      </c>
      <c r="Q3989" s="8" t="s">
        <v>102</v>
      </c>
      <c r="R3989" s="10" t="s">
        <v>23752</v>
      </c>
      <c r="S3989" s="11" t="s">
        <v>23753</v>
      </c>
      <c r="T3989" s="6"/>
      <c r="U3989" s="24" t="str">
        <f>HYPERLINK("https://media.infra-m.ru/2185/2185400/cover/2185400.jpg", "Обложка")</f>
        <v>Обложка</v>
      </c>
      <c r="V3989" s="24" t="str">
        <f>HYPERLINK("https://znanium.ru/catalog/product/2185400", "Ознакомиться")</f>
        <v>Ознакомиться</v>
      </c>
      <c r="W3989" s="8" t="s">
        <v>450</v>
      </c>
      <c r="X3989" s="6"/>
      <c r="Y3989" s="6"/>
      <c r="Z3989" s="6"/>
      <c r="AA3989" s="6" t="s">
        <v>442</v>
      </c>
      <c r="AB3989" s="8"/>
    </row>
    <row r="3990" spans="1:28" s="4" customFormat="1" ht="51.95" customHeight="1">
      <c r="A3990" s="5">
        <v>0</v>
      </c>
      <c r="B3990" s="6" t="s">
        <v>23754</v>
      </c>
      <c r="C3990" s="13">
        <v>1730</v>
      </c>
      <c r="D3990" s="8" t="s">
        <v>23755</v>
      </c>
      <c r="E3990" s="8" t="s">
        <v>23756</v>
      </c>
      <c r="F3990" s="8" t="s">
        <v>23757</v>
      </c>
      <c r="G3990" s="6" t="s">
        <v>89</v>
      </c>
      <c r="H3990" s="6" t="s">
        <v>53</v>
      </c>
      <c r="I3990" s="8" t="s">
        <v>100</v>
      </c>
      <c r="J3990" s="9">
        <v>1</v>
      </c>
      <c r="K3990" s="9">
        <v>375</v>
      </c>
      <c r="L3990" s="9">
        <v>2024</v>
      </c>
      <c r="M3990" s="8" t="s">
        <v>23758</v>
      </c>
      <c r="N3990" s="8" t="s">
        <v>79</v>
      </c>
      <c r="O3990" s="8" t="s">
        <v>396</v>
      </c>
      <c r="P3990" s="6" t="s">
        <v>167</v>
      </c>
      <c r="Q3990" s="8" t="s">
        <v>102</v>
      </c>
      <c r="R3990" s="10" t="s">
        <v>23759</v>
      </c>
      <c r="S3990" s="11" t="s">
        <v>23760</v>
      </c>
      <c r="T3990" s="6"/>
      <c r="U3990" s="24" t="str">
        <f>HYPERLINK("https://media.infra-m.ru/2102/2102044/cover/2102044.jpg", "Обложка")</f>
        <v>Обложка</v>
      </c>
      <c r="V3990" s="24" t="str">
        <f>HYPERLINK("https://znanium.ru/catalog/product/2102044", "Ознакомиться")</f>
        <v>Ознакомиться</v>
      </c>
      <c r="W3990" s="8" t="s">
        <v>784</v>
      </c>
      <c r="X3990" s="6"/>
      <c r="Y3990" s="6"/>
      <c r="Z3990" s="6" t="s">
        <v>104</v>
      </c>
      <c r="AA3990" s="6" t="s">
        <v>95</v>
      </c>
      <c r="AB3990" s="8"/>
    </row>
    <row r="3991" spans="1:28" s="4" customFormat="1" ht="51.95" customHeight="1">
      <c r="A3991" s="5">
        <v>0</v>
      </c>
      <c r="B3991" s="6" t="s">
        <v>23761</v>
      </c>
      <c r="C3991" s="13">
        <v>1770</v>
      </c>
      <c r="D3991" s="8" t="s">
        <v>23762</v>
      </c>
      <c r="E3991" s="8" t="s">
        <v>23756</v>
      </c>
      <c r="F3991" s="8" t="s">
        <v>23757</v>
      </c>
      <c r="G3991" s="6" t="s">
        <v>89</v>
      </c>
      <c r="H3991" s="6" t="s">
        <v>53</v>
      </c>
      <c r="I3991" s="8" t="s">
        <v>116</v>
      </c>
      <c r="J3991" s="9">
        <v>1</v>
      </c>
      <c r="K3991" s="9">
        <v>375</v>
      </c>
      <c r="L3991" s="9">
        <v>2024</v>
      </c>
      <c r="M3991" s="8" t="s">
        <v>23763</v>
      </c>
      <c r="N3991" s="8" t="s">
        <v>79</v>
      </c>
      <c r="O3991" s="8" t="s">
        <v>396</v>
      </c>
      <c r="P3991" s="6" t="s">
        <v>167</v>
      </c>
      <c r="Q3991" s="8" t="s">
        <v>44</v>
      </c>
      <c r="R3991" s="10" t="s">
        <v>23764</v>
      </c>
      <c r="S3991" s="11" t="s">
        <v>23765</v>
      </c>
      <c r="T3991" s="6"/>
      <c r="U3991" s="24" t="str">
        <f>HYPERLINK("https://media.infra-m.ru/2149/2149679/cover/2149679.jpg", "Обложка")</f>
        <v>Обложка</v>
      </c>
      <c r="V3991" s="24" t="str">
        <f>HYPERLINK("https://znanium.ru/catalog/product/1854775", "Ознакомиться")</f>
        <v>Ознакомиться</v>
      </c>
      <c r="W3991" s="8" t="s">
        <v>784</v>
      </c>
      <c r="X3991" s="6"/>
      <c r="Y3991" s="6"/>
      <c r="Z3991" s="6"/>
      <c r="AA3991" s="6" t="s">
        <v>160</v>
      </c>
      <c r="AB3991" s="8"/>
    </row>
    <row r="3992" spans="1:28" s="4" customFormat="1" ht="51.95" customHeight="1">
      <c r="A3992" s="5">
        <v>0</v>
      </c>
      <c r="B3992" s="6" t="s">
        <v>23766</v>
      </c>
      <c r="C3992" s="13">
        <v>2350</v>
      </c>
      <c r="D3992" s="8" t="s">
        <v>23767</v>
      </c>
      <c r="E3992" s="8" t="s">
        <v>23768</v>
      </c>
      <c r="F3992" s="8" t="s">
        <v>23769</v>
      </c>
      <c r="G3992" s="6" t="s">
        <v>52</v>
      </c>
      <c r="H3992" s="6" t="s">
        <v>53</v>
      </c>
      <c r="I3992" s="8" t="s">
        <v>100</v>
      </c>
      <c r="J3992" s="9">
        <v>1</v>
      </c>
      <c r="K3992" s="9">
        <v>511</v>
      </c>
      <c r="L3992" s="9">
        <v>2024</v>
      </c>
      <c r="M3992" s="8" t="s">
        <v>23770</v>
      </c>
      <c r="N3992" s="8" t="s">
        <v>79</v>
      </c>
      <c r="O3992" s="8" t="s">
        <v>396</v>
      </c>
      <c r="P3992" s="6" t="s">
        <v>167</v>
      </c>
      <c r="Q3992" s="8" t="s">
        <v>102</v>
      </c>
      <c r="R3992" s="10" t="s">
        <v>23771</v>
      </c>
      <c r="S3992" s="11" t="s">
        <v>23772</v>
      </c>
      <c r="T3992" s="6"/>
      <c r="U3992" s="24" t="str">
        <f>HYPERLINK("https://media.infra-m.ru/2103/2103211/cover/2103211.jpg", "Обложка")</f>
        <v>Обложка</v>
      </c>
      <c r="V3992" s="24" t="str">
        <f>HYPERLINK("https://znanium.ru/catalog/product/2103211", "Ознакомиться")</f>
        <v>Ознакомиться</v>
      </c>
      <c r="W3992" s="8" t="s">
        <v>784</v>
      </c>
      <c r="X3992" s="6"/>
      <c r="Y3992" s="6"/>
      <c r="Z3992" s="6" t="s">
        <v>104</v>
      </c>
      <c r="AA3992" s="6" t="s">
        <v>1374</v>
      </c>
      <c r="AB3992" s="8"/>
    </row>
    <row r="3993" spans="1:28" s="4" customFormat="1" ht="51.95" customHeight="1">
      <c r="A3993" s="5">
        <v>0</v>
      </c>
      <c r="B3993" s="6" t="s">
        <v>23773</v>
      </c>
      <c r="C3993" s="13">
        <v>2514</v>
      </c>
      <c r="D3993" s="8" t="s">
        <v>23774</v>
      </c>
      <c r="E3993" s="8" t="s">
        <v>23768</v>
      </c>
      <c r="F3993" s="8" t="s">
        <v>23775</v>
      </c>
      <c r="G3993" s="6" t="s">
        <v>52</v>
      </c>
      <c r="H3993" s="6" t="s">
        <v>53</v>
      </c>
      <c r="I3993" s="8" t="s">
        <v>90</v>
      </c>
      <c r="J3993" s="9">
        <v>1</v>
      </c>
      <c r="K3993" s="9">
        <v>512</v>
      </c>
      <c r="L3993" s="9">
        <v>2025</v>
      </c>
      <c r="M3993" s="8" t="s">
        <v>23776</v>
      </c>
      <c r="N3993" s="8" t="s">
        <v>79</v>
      </c>
      <c r="O3993" s="8" t="s">
        <v>396</v>
      </c>
      <c r="P3993" s="6" t="s">
        <v>167</v>
      </c>
      <c r="Q3993" s="8" t="s">
        <v>44</v>
      </c>
      <c r="R3993" s="10" t="s">
        <v>11473</v>
      </c>
      <c r="S3993" s="11" t="s">
        <v>23777</v>
      </c>
      <c r="T3993" s="6"/>
      <c r="U3993" s="24" t="str">
        <f>HYPERLINK("https://media.infra-m.ru/2194/2194381/cover/2194381.jpg", "Обложка")</f>
        <v>Обложка</v>
      </c>
      <c r="V3993" s="24" t="str">
        <f>HYPERLINK("https://znanium.ru/catalog/product/1009074", "Ознакомиться")</f>
        <v>Ознакомиться</v>
      </c>
      <c r="W3993" s="8" t="s">
        <v>784</v>
      </c>
      <c r="X3993" s="6"/>
      <c r="Y3993" s="6"/>
      <c r="Z3993" s="6"/>
      <c r="AA3993" s="6" t="s">
        <v>479</v>
      </c>
      <c r="AB3993" s="8"/>
    </row>
    <row r="3994" spans="1:28" s="4" customFormat="1" ht="51.95" customHeight="1">
      <c r="A3994" s="5">
        <v>0</v>
      </c>
      <c r="B3994" s="6" t="s">
        <v>23778</v>
      </c>
      <c r="C3994" s="7">
        <v>594</v>
      </c>
      <c r="D3994" s="8" t="s">
        <v>23779</v>
      </c>
      <c r="E3994" s="8" t="s">
        <v>23780</v>
      </c>
      <c r="F3994" s="8" t="s">
        <v>23781</v>
      </c>
      <c r="G3994" s="6" t="s">
        <v>38</v>
      </c>
      <c r="H3994" s="6" t="s">
        <v>53</v>
      </c>
      <c r="I3994" s="8" t="s">
        <v>116</v>
      </c>
      <c r="J3994" s="9">
        <v>1</v>
      </c>
      <c r="K3994" s="9">
        <v>118</v>
      </c>
      <c r="L3994" s="9">
        <v>2025</v>
      </c>
      <c r="M3994" s="8" t="s">
        <v>23782</v>
      </c>
      <c r="N3994" s="8" t="s">
        <v>41</v>
      </c>
      <c r="O3994" s="8" t="s">
        <v>676</v>
      </c>
      <c r="P3994" s="6" t="s">
        <v>43</v>
      </c>
      <c r="Q3994" s="8" t="s">
        <v>44</v>
      </c>
      <c r="R3994" s="10" t="s">
        <v>677</v>
      </c>
      <c r="S3994" s="11" t="s">
        <v>8817</v>
      </c>
      <c r="T3994" s="6"/>
      <c r="U3994" s="24" t="str">
        <f>HYPERLINK("https://media.infra-m.ru/2172/2172765/cover/2172765.jpg", "Обложка")</f>
        <v>Обложка</v>
      </c>
      <c r="V3994" s="24" t="str">
        <f>HYPERLINK("https://znanium.ru/catalog/product/2139109", "Ознакомиться")</f>
        <v>Ознакомиться</v>
      </c>
      <c r="W3994" s="8" t="s">
        <v>20467</v>
      </c>
      <c r="X3994" s="6"/>
      <c r="Y3994" s="6"/>
      <c r="Z3994" s="6"/>
      <c r="AA3994" s="6" t="s">
        <v>326</v>
      </c>
      <c r="AB3994" s="8"/>
    </row>
    <row r="3995" spans="1:28" s="4" customFormat="1" ht="51.95" customHeight="1">
      <c r="A3995" s="5">
        <v>0</v>
      </c>
      <c r="B3995" s="6" t="s">
        <v>23783</v>
      </c>
      <c r="C3995" s="13">
        <v>2394</v>
      </c>
      <c r="D3995" s="8" t="s">
        <v>23784</v>
      </c>
      <c r="E3995" s="8" t="s">
        <v>23785</v>
      </c>
      <c r="F3995" s="8" t="s">
        <v>23786</v>
      </c>
      <c r="G3995" s="6" t="s">
        <v>52</v>
      </c>
      <c r="H3995" s="6" t="s">
        <v>674</v>
      </c>
      <c r="I3995" s="8"/>
      <c r="J3995" s="9">
        <v>1</v>
      </c>
      <c r="K3995" s="9">
        <v>480</v>
      </c>
      <c r="L3995" s="9">
        <v>2024</v>
      </c>
      <c r="M3995" s="8" t="s">
        <v>23787</v>
      </c>
      <c r="N3995" s="8" t="s">
        <v>41</v>
      </c>
      <c r="O3995" s="8" t="s">
        <v>676</v>
      </c>
      <c r="P3995" s="6" t="s">
        <v>167</v>
      </c>
      <c r="Q3995" s="8" t="s">
        <v>44</v>
      </c>
      <c r="R3995" s="10" t="s">
        <v>23788</v>
      </c>
      <c r="S3995" s="11"/>
      <c r="T3995" s="6"/>
      <c r="U3995" s="24" t="str">
        <f>HYPERLINK("https://media.infra-m.ru/2190/2190427/cover/2190427.jpg", "Обложка")</f>
        <v>Обложка</v>
      </c>
      <c r="V3995" s="24" t="str">
        <f>HYPERLINK("https://znanium.ru/catalog/product/2141399", "Ознакомиться")</f>
        <v>Ознакомиться</v>
      </c>
      <c r="W3995" s="8" t="s">
        <v>3966</v>
      </c>
      <c r="X3995" s="6"/>
      <c r="Y3995" s="6"/>
      <c r="Z3995" s="6"/>
      <c r="AA3995" s="6" t="s">
        <v>3714</v>
      </c>
      <c r="AB3995" s="8"/>
    </row>
    <row r="3996" spans="1:28" s="4" customFormat="1" ht="51.95" customHeight="1">
      <c r="A3996" s="5">
        <v>0</v>
      </c>
      <c r="B3996" s="6" t="s">
        <v>23789</v>
      </c>
      <c r="C3996" s="7">
        <v>753</v>
      </c>
      <c r="D3996" s="8" t="s">
        <v>23790</v>
      </c>
      <c r="E3996" s="8" t="s">
        <v>23791</v>
      </c>
      <c r="F3996" s="8" t="s">
        <v>23792</v>
      </c>
      <c r="G3996" s="6" t="s">
        <v>38</v>
      </c>
      <c r="H3996" s="6" t="s">
        <v>184</v>
      </c>
      <c r="I3996" s="8" t="s">
        <v>116</v>
      </c>
      <c r="J3996" s="9">
        <v>1</v>
      </c>
      <c r="K3996" s="9">
        <v>222</v>
      </c>
      <c r="L3996" s="9">
        <v>2025</v>
      </c>
      <c r="M3996" s="8" t="s">
        <v>23793</v>
      </c>
      <c r="N3996" s="8" t="s">
        <v>41</v>
      </c>
      <c r="O3996" s="8" t="s">
        <v>676</v>
      </c>
      <c r="P3996" s="6" t="s">
        <v>43</v>
      </c>
      <c r="Q3996" s="8" t="s">
        <v>58</v>
      </c>
      <c r="R3996" s="10" t="s">
        <v>806</v>
      </c>
      <c r="S3996" s="11"/>
      <c r="T3996" s="6"/>
      <c r="U3996" s="24" t="str">
        <f>HYPERLINK("https://media.infra-m.ru/2185/2185020/cover/2185020.jpg", "Обложка")</f>
        <v>Обложка</v>
      </c>
      <c r="V3996" s="24" t="str">
        <f>HYPERLINK("https://znanium.ru/catalog/product/2136857", "Ознакомиться")</f>
        <v>Ознакомиться</v>
      </c>
      <c r="W3996" s="8" t="s">
        <v>4153</v>
      </c>
      <c r="X3996" s="6"/>
      <c r="Y3996" s="6"/>
      <c r="Z3996" s="6"/>
      <c r="AA3996" s="6" t="s">
        <v>23794</v>
      </c>
      <c r="AB3996" s="8"/>
    </row>
    <row r="3997" spans="1:28" s="4" customFormat="1" ht="51.95" customHeight="1">
      <c r="A3997" s="5">
        <v>0</v>
      </c>
      <c r="B3997" s="6" t="s">
        <v>23795</v>
      </c>
      <c r="C3997" s="7">
        <v>640</v>
      </c>
      <c r="D3997" s="8" t="s">
        <v>23796</v>
      </c>
      <c r="E3997" s="8" t="s">
        <v>23797</v>
      </c>
      <c r="F3997" s="8" t="s">
        <v>23798</v>
      </c>
      <c r="G3997" s="6" t="s">
        <v>38</v>
      </c>
      <c r="H3997" s="6" t="s">
        <v>184</v>
      </c>
      <c r="I3997" s="8" t="s">
        <v>116</v>
      </c>
      <c r="J3997" s="9">
        <v>1</v>
      </c>
      <c r="K3997" s="9">
        <v>218</v>
      </c>
      <c r="L3997" s="9">
        <v>2023</v>
      </c>
      <c r="M3997" s="8" t="s">
        <v>23799</v>
      </c>
      <c r="N3997" s="8" t="s">
        <v>41</v>
      </c>
      <c r="O3997" s="8" t="s">
        <v>676</v>
      </c>
      <c r="P3997" s="6" t="s">
        <v>43</v>
      </c>
      <c r="Q3997" s="8" t="s">
        <v>58</v>
      </c>
      <c r="R3997" s="10" t="s">
        <v>806</v>
      </c>
      <c r="S3997" s="11"/>
      <c r="T3997" s="6"/>
      <c r="U3997" s="24" t="str">
        <f>HYPERLINK("https://media.infra-m.ru/1912/1912370/cover/1912370.jpg", "Обложка")</f>
        <v>Обложка</v>
      </c>
      <c r="V3997" s="24" t="str">
        <f>HYPERLINK("https://znanium.ru/catalog/product/2136857", "Ознакомиться")</f>
        <v>Ознакомиться</v>
      </c>
      <c r="W3997" s="8" t="s">
        <v>4153</v>
      </c>
      <c r="X3997" s="6"/>
      <c r="Y3997" s="6"/>
      <c r="Z3997" s="6"/>
      <c r="AA3997" s="6" t="s">
        <v>23800</v>
      </c>
      <c r="AB3997" s="8"/>
    </row>
    <row r="3998" spans="1:28" s="4" customFormat="1" ht="51.95" customHeight="1">
      <c r="A3998" s="5">
        <v>0</v>
      </c>
      <c r="B3998" s="6" t="s">
        <v>23801</v>
      </c>
      <c r="C3998" s="7">
        <v>394.9</v>
      </c>
      <c r="D3998" s="8" t="s">
        <v>23802</v>
      </c>
      <c r="E3998" s="8" t="s">
        <v>23803</v>
      </c>
      <c r="F3998" s="8" t="s">
        <v>23792</v>
      </c>
      <c r="G3998" s="6" t="s">
        <v>38</v>
      </c>
      <c r="H3998" s="6" t="s">
        <v>184</v>
      </c>
      <c r="I3998" s="8" t="s">
        <v>13321</v>
      </c>
      <c r="J3998" s="9">
        <v>1</v>
      </c>
      <c r="K3998" s="9">
        <v>215</v>
      </c>
      <c r="L3998" s="9">
        <v>2020</v>
      </c>
      <c r="M3998" s="8" t="s">
        <v>23804</v>
      </c>
      <c r="N3998" s="8" t="s">
        <v>41</v>
      </c>
      <c r="O3998" s="8" t="s">
        <v>676</v>
      </c>
      <c r="P3998" s="6" t="s">
        <v>43</v>
      </c>
      <c r="Q3998" s="8" t="s">
        <v>44</v>
      </c>
      <c r="R3998" s="10" t="s">
        <v>806</v>
      </c>
      <c r="S3998" s="11"/>
      <c r="T3998" s="6"/>
      <c r="U3998" s="24" t="str">
        <f>HYPERLINK("https://media.infra-m.ru/1052/1052238/cover/1052238.jpg", "Обложка")</f>
        <v>Обложка</v>
      </c>
      <c r="V3998" s="24" t="str">
        <f>HYPERLINK("https://znanium.ru/catalog/product/2136857", "Ознакомиться")</f>
        <v>Ознакомиться</v>
      </c>
      <c r="W3998" s="8" t="s">
        <v>4153</v>
      </c>
      <c r="X3998" s="6"/>
      <c r="Y3998" s="6"/>
      <c r="Z3998" s="6"/>
      <c r="AA3998" s="6" t="s">
        <v>7593</v>
      </c>
      <c r="AB3998" s="8"/>
    </row>
    <row r="3999" spans="1:28" s="4" customFormat="1" ht="51.95" customHeight="1">
      <c r="A3999" s="5">
        <v>0</v>
      </c>
      <c r="B3999" s="6" t="s">
        <v>23805</v>
      </c>
      <c r="C3999" s="13">
        <v>1424</v>
      </c>
      <c r="D3999" s="8" t="s">
        <v>23806</v>
      </c>
      <c r="E3999" s="8" t="s">
        <v>23807</v>
      </c>
      <c r="F3999" s="8" t="s">
        <v>23808</v>
      </c>
      <c r="G3999" s="6" t="s">
        <v>52</v>
      </c>
      <c r="H3999" s="6" t="s">
        <v>39</v>
      </c>
      <c r="I3999" s="8" t="s">
        <v>185</v>
      </c>
      <c r="J3999" s="9">
        <v>1</v>
      </c>
      <c r="K3999" s="9">
        <v>304</v>
      </c>
      <c r="L3999" s="9">
        <v>2024</v>
      </c>
      <c r="M3999" s="8" t="s">
        <v>23809</v>
      </c>
      <c r="N3999" s="8" t="s">
        <v>41</v>
      </c>
      <c r="O3999" s="8" t="s">
        <v>118</v>
      </c>
      <c r="P3999" s="6" t="s">
        <v>43</v>
      </c>
      <c r="Q3999" s="8" t="s">
        <v>102</v>
      </c>
      <c r="R3999" s="10" t="s">
        <v>19219</v>
      </c>
      <c r="S3999" s="11" t="s">
        <v>12744</v>
      </c>
      <c r="T3999" s="6"/>
      <c r="U3999" s="24" t="str">
        <f>HYPERLINK("https://media.infra-m.ru/2139/2139782/cover/2139782.jpg", "Обложка")</f>
        <v>Обложка</v>
      </c>
      <c r="V3999" s="12"/>
      <c r="W3999" s="8" t="s">
        <v>621</v>
      </c>
      <c r="X3999" s="6"/>
      <c r="Y3999" s="6"/>
      <c r="Z3999" s="6"/>
      <c r="AA3999" s="6" t="s">
        <v>2217</v>
      </c>
      <c r="AB3999" s="8"/>
    </row>
    <row r="4000" spans="1:28" s="4" customFormat="1" ht="51.95" customHeight="1">
      <c r="A4000" s="5">
        <v>0</v>
      </c>
      <c r="B4000" s="6" t="s">
        <v>23810</v>
      </c>
      <c r="C4000" s="7">
        <v>604</v>
      </c>
      <c r="D4000" s="8" t="s">
        <v>23811</v>
      </c>
      <c r="E4000" s="8" t="s">
        <v>23812</v>
      </c>
      <c r="F4000" s="8" t="s">
        <v>23813</v>
      </c>
      <c r="G4000" s="6" t="s">
        <v>38</v>
      </c>
      <c r="H4000" s="6" t="s">
        <v>39</v>
      </c>
      <c r="I4000" s="8" t="s">
        <v>90</v>
      </c>
      <c r="J4000" s="9">
        <v>1</v>
      </c>
      <c r="K4000" s="9">
        <v>128</v>
      </c>
      <c r="L4000" s="9">
        <v>2024</v>
      </c>
      <c r="M4000" s="8" t="s">
        <v>23814</v>
      </c>
      <c r="N4000" s="8" t="s">
        <v>413</v>
      </c>
      <c r="O4000" s="8" t="s">
        <v>414</v>
      </c>
      <c r="P4000" s="6" t="s">
        <v>43</v>
      </c>
      <c r="Q4000" s="8" t="s">
        <v>44</v>
      </c>
      <c r="R4000" s="10" t="s">
        <v>23815</v>
      </c>
      <c r="S4000" s="11" t="s">
        <v>23816</v>
      </c>
      <c r="T4000" s="6"/>
      <c r="U4000" s="24" t="str">
        <f>HYPERLINK("https://media.infra-m.ru/2155/2155739/cover/2155739.jpg", "Обложка")</f>
        <v>Обложка</v>
      </c>
      <c r="V4000" s="24" t="str">
        <f>HYPERLINK("https://znanium.ru/catalog/product/1895431", "Ознакомиться")</f>
        <v>Ознакомиться</v>
      </c>
      <c r="W4000" s="8" t="s">
        <v>368</v>
      </c>
      <c r="X4000" s="6"/>
      <c r="Y4000" s="6"/>
      <c r="Z4000" s="6"/>
      <c r="AA4000" s="6" t="s">
        <v>84</v>
      </c>
      <c r="AB4000" s="8"/>
    </row>
    <row r="4001" spans="1:28" s="4" customFormat="1" ht="51.95" customHeight="1">
      <c r="A4001" s="5">
        <v>0</v>
      </c>
      <c r="B4001" s="6" t="s">
        <v>23817</v>
      </c>
      <c r="C4001" s="7">
        <v>604</v>
      </c>
      <c r="D4001" s="8" t="s">
        <v>23818</v>
      </c>
      <c r="E4001" s="8" t="s">
        <v>23812</v>
      </c>
      <c r="F4001" s="8" t="s">
        <v>23813</v>
      </c>
      <c r="G4001" s="6" t="s">
        <v>38</v>
      </c>
      <c r="H4001" s="6" t="s">
        <v>39</v>
      </c>
      <c r="I4001" s="8" t="s">
        <v>100</v>
      </c>
      <c r="J4001" s="9">
        <v>1</v>
      </c>
      <c r="K4001" s="9">
        <v>128</v>
      </c>
      <c r="L4001" s="9">
        <v>2024</v>
      </c>
      <c r="M4001" s="8" t="s">
        <v>23819</v>
      </c>
      <c r="N4001" s="8" t="s">
        <v>413</v>
      </c>
      <c r="O4001" s="8" t="s">
        <v>414</v>
      </c>
      <c r="P4001" s="6" t="s">
        <v>43</v>
      </c>
      <c r="Q4001" s="8" t="s">
        <v>102</v>
      </c>
      <c r="R4001" s="10" t="s">
        <v>23820</v>
      </c>
      <c r="S4001" s="11" t="s">
        <v>23821</v>
      </c>
      <c r="T4001" s="6"/>
      <c r="U4001" s="24" t="str">
        <f>HYPERLINK("https://media.infra-m.ru/2145/2145336/cover/2145336.jpg", "Обложка")</f>
        <v>Обложка</v>
      </c>
      <c r="V4001" s="24" t="str">
        <f>HYPERLINK("https://znanium.ru/catalog/product/1227707", "Ознакомиться")</f>
        <v>Ознакомиться</v>
      </c>
      <c r="W4001" s="8" t="s">
        <v>368</v>
      </c>
      <c r="X4001" s="6"/>
      <c r="Y4001" s="6"/>
      <c r="Z4001" s="6" t="s">
        <v>104</v>
      </c>
      <c r="AA4001" s="6" t="s">
        <v>793</v>
      </c>
      <c r="AB4001" s="8"/>
    </row>
    <row r="4002" spans="1:28" s="4" customFormat="1" ht="51.95" customHeight="1">
      <c r="A4002" s="5">
        <v>0</v>
      </c>
      <c r="B4002" s="6" t="s">
        <v>23822</v>
      </c>
      <c r="C4002" s="13">
        <v>1044</v>
      </c>
      <c r="D4002" s="8" t="s">
        <v>23823</v>
      </c>
      <c r="E4002" s="8" t="s">
        <v>23824</v>
      </c>
      <c r="F4002" s="8" t="s">
        <v>23825</v>
      </c>
      <c r="G4002" s="6" t="s">
        <v>89</v>
      </c>
      <c r="H4002" s="6" t="s">
        <v>39</v>
      </c>
      <c r="I4002" s="8" t="s">
        <v>116</v>
      </c>
      <c r="J4002" s="9">
        <v>1</v>
      </c>
      <c r="K4002" s="9">
        <v>208</v>
      </c>
      <c r="L4002" s="9">
        <v>2025</v>
      </c>
      <c r="M4002" s="8" t="s">
        <v>23826</v>
      </c>
      <c r="N4002" s="8" t="s">
        <v>413</v>
      </c>
      <c r="O4002" s="8" t="s">
        <v>414</v>
      </c>
      <c r="P4002" s="6" t="s">
        <v>167</v>
      </c>
      <c r="Q4002" s="8" t="s">
        <v>44</v>
      </c>
      <c r="R4002" s="10" t="s">
        <v>23827</v>
      </c>
      <c r="S4002" s="11" t="s">
        <v>23828</v>
      </c>
      <c r="T4002" s="6"/>
      <c r="U4002" s="24" t="str">
        <f>HYPERLINK("https://media.infra-m.ru/2188/2188732/cover/2188732.jpg", "Обложка")</f>
        <v>Обложка</v>
      </c>
      <c r="V4002" s="24" t="str">
        <f>HYPERLINK("https://znanium.ru/catalog/product/2033519", "Ознакомиться")</f>
        <v>Ознакомиться</v>
      </c>
      <c r="W4002" s="8" t="s">
        <v>478</v>
      </c>
      <c r="X4002" s="6"/>
      <c r="Y4002" s="6"/>
      <c r="Z4002" s="6"/>
      <c r="AA4002" s="6" t="s">
        <v>72</v>
      </c>
      <c r="AB4002" s="8"/>
    </row>
    <row r="4003" spans="1:28" s="4" customFormat="1" ht="51.95" customHeight="1">
      <c r="A4003" s="5">
        <v>0</v>
      </c>
      <c r="B4003" s="6" t="s">
        <v>23829</v>
      </c>
      <c r="C4003" s="7">
        <v>840</v>
      </c>
      <c r="D4003" s="8" t="s">
        <v>23830</v>
      </c>
      <c r="E4003" s="8" t="s">
        <v>23824</v>
      </c>
      <c r="F4003" s="8" t="s">
        <v>23831</v>
      </c>
      <c r="G4003" s="6" t="s">
        <v>89</v>
      </c>
      <c r="H4003" s="6" t="s">
        <v>39</v>
      </c>
      <c r="I4003" s="8" t="s">
        <v>100</v>
      </c>
      <c r="J4003" s="9">
        <v>1</v>
      </c>
      <c r="K4003" s="9">
        <v>208</v>
      </c>
      <c r="L4003" s="9">
        <v>2022</v>
      </c>
      <c r="M4003" s="8" t="s">
        <v>23832</v>
      </c>
      <c r="N4003" s="8" t="s">
        <v>413</v>
      </c>
      <c r="O4003" s="8" t="s">
        <v>414</v>
      </c>
      <c r="P4003" s="6" t="s">
        <v>167</v>
      </c>
      <c r="Q4003" s="8" t="s">
        <v>102</v>
      </c>
      <c r="R4003" s="10" t="s">
        <v>23833</v>
      </c>
      <c r="S4003" s="11" t="s">
        <v>23834</v>
      </c>
      <c r="T4003" s="6"/>
      <c r="U4003" s="24" t="str">
        <f>HYPERLINK("https://media.infra-m.ru/1854/1854406/cover/1854406.jpg", "Обложка")</f>
        <v>Обложка</v>
      </c>
      <c r="V4003" s="24" t="str">
        <f>HYPERLINK("https://znanium.ru/catalog/product/1854406", "Ознакомиться")</f>
        <v>Ознакомиться</v>
      </c>
      <c r="W4003" s="8" t="s">
        <v>478</v>
      </c>
      <c r="X4003" s="6"/>
      <c r="Y4003" s="6"/>
      <c r="Z4003" s="6" t="s">
        <v>104</v>
      </c>
      <c r="AA4003" s="6" t="s">
        <v>793</v>
      </c>
      <c r="AB4003" s="8"/>
    </row>
    <row r="4004" spans="1:28" s="4" customFormat="1" ht="51.95" customHeight="1">
      <c r="A4004" s="5">
        <v>0</v>
      </c>
      <c r="B4004" s="6" t="s">
        <v>23835</v>
      </c>
      <c r="C4004" s="13">
        <v>1344</v>
      </c>
      <c r="D4004" s="8" t="s">
        <v>23836</v>
      </c>
      <c r="E4004" s="8" t="s">
        <v>23824</v>
      </c>
      <c r="F4004" s="8" t="s">
        <v>23837</v>
      </c>
      <c r="G4004" s="6" t="s">
        <v>52</v>
      </c>
      <c r="H4004" s="6" t="s">
        <v>53</v>
      </c>
      <c r="I4004" s="8" t="s">
        <v>90</v>
      </c>
      <c r="J4004" s="9">
        <v>1</v>
      </c>
      <c r="K4004" s="9">
        <v>292</v>
      </c>
      <c r="L4004" s="9">
        <v>2024</v>
      </c>
      <c r="M4004" s="8" t="s">
        <v>23838</v>
      </c>
      <c r="N4004" s="8" t="s">
        <v>413</v>
      </c>
      <c r="O4004" s="8" t="s">
        <v>414</v>
      </c>
      <c r="P4004" s="6" t="s">
        <v>43</v>
      </c>
      <c r="Q4004" s="8" t="s">
        <v>44</v>
      </c>
      <c r="R4004" s="10" t="s">
        <v>23839</v>
      </c>
      <c r="S4004" s="11"/>
      <c r="T4004" s="6"/>
      <c r="U4004" s="24" t="str">
        <f>HYPERLINK("https://media.infra-m.ru/2126/2126333/cover/2126333.jpg", "Обложка")</f>
        <v>Обложка</v>
      </c>
      <c r="V4004" s="24" t="str">
        <f>HYPERLINK("https://znanium.ru/catalog/product/1029343", "Ознакомиться")</f>
        <v>Ознакомиться</v>
      </c>
      <c r="W4004" s="8" t="s">
        <v>4343</v>
      </c>
      <c r="X4004" s="6"/>
      <c r="Y4004" s="6"/>
      <c r="Z4004" s="6"/>
      <c r="AA4004" s="6" t="s">
        <v>47</v>
      </c>
      <c r="AB4004" s="8"/>
    </row>
    <row r="4005" spans="1:28" s="4" customFormat="1" ht="51.95" customHeight="1">
      <c r="A4005" s="5">
        <v>0</v>
      </c>
      <c r="B4005" s="6" t="s">
        <v>23840</v>
      </c>
      <c r="C4005" s="7">
        <v>890</v>
      </c>
      <c r="D4005" s="8" t="s">
        <v>23841</v>
      </c>
      <c r="E4005" s="8" t="s">
        <v>23842</v>
      </c>
      <c r="F4005" s="8" t="s">
        <v>23843</v>
      </c>
      <c r="G4005" s="6" t="s">
        <v>89</v>
      </c>
      <c r="H4005" s="6" t="s">
        <v>53</v>
      </c>
      <c r="I4005" s="8" t="s">
        <v>90</v>
      </c>
      <c r="J4005" s="9">
        <v>1</v>
      </c>
      <c r="K4005" s="9">
        <v>193</v>
      </c>
      <c r="L4005" s="9">
        <v>2023</v>
      </c>
      <c r="M4005" s="8" t="s">
        <v>23844</v>
      </c>
      <c r="N4005" s="8" t="s">
        <v>413</v>
      </c>
      <c r="O4005" s="8" t="s">
        <v>414</v>
      </c>
      <c r="P4005" s="6" t="s">
        <v>43</v>
      </c>
      <c r="Q4005" s="8" t="s">
        <v>44</v>
      </c>
      <c r="R4005" s="10" t="s">
        <v>23845</v>
      </c>
      <c r="S4005" s="11" t="s">
        <v>23846</v>
      </c>
      <c r="T4005" s="6"/>
      <c r="U4005" s="24" t="str">
        <f>HYPERLINK("https://media.infra-m.ru/1971/1971860/cover/1971860.jpg", "Обложка")</f>
        <v>Обложка</v>
      </c>
      <c r="V4005" s="24" t="str">
        <f>HYPERLINK("https://znanium.ru/catalog/product/1971860", "Ознакомиться")</f>
        <v>Ознакомиться</v>
      </c>
      <c r="W4005" s="8" t="s">
        <v>399</v>
      </c>
      <c r="X4005" s="6"/>
      <c r="Y4005" s="6"/>
      <c r="Z4005" s="6"/>
      <c r="AA4005" s="6" t="s">
        <v>1259</v>
      </c>
      <c r="AB4005" s="8"/>
    </row>
    <row r="4006" spans="1:28" s="4" customFormat="1" ht="51.95" customHeight="1">
      <c r="A4006" s="5">
        <v>0</v>
      </c>
      <c r="B4006" s="6" t="s">
        <v>23847</v>
      </c>
      <c r="C4006" s="13">
        <v>1224.9000000000001</v>
      </c>
      <c r="D4006" s="8" t="s">
        <v>23848</v>
      </c>
      <c r="E4006" s="8" t="s">
        <v>23842</v>
      </c>
      <c r="F4006" s="8" t="s">
        <v>23849</v>
      </c>
      <c r="G4006" s="6" t="s">
        <v>52</v>
      </c>
      <c r="H4006" s="6" t="s">
        <v>53</v>
      </c>
      <c r="I4006" s="8" t="s">
        <v>90</v>
      </c>
      <c r="J4006" s="9">
        <v>1</v>
      </c>
      <c r="K4006" s="9">
        <v>322</v>
      </c>
      <c r="L4006" s="9">
        <v>2022</v>
      </c>
      <c r="M4006" s="8" t="s">
        <v>23850</v>
      </c>
      <c r="N4006" s="8" t="s">
        <v>413</v>
      </c>
      <c r="O4006" s="8" t="s">
        <v>414</v>
      </c>
      <c r="P4006" s="6" t="s">
        <v>43</v>
      </c>
      <c r="Q4006" s="8" t="s">
        <v>44</v>
      </c>
      <c r="R4006" s="10" t="s">
        <v>23851</v>
      </c>
      <c r="S4006" s="11" t="s">
        <v>23852</v>
      </c>
      <c r="T4006" s="6"/>
      <c r="U4006" s="24" t="str">
        <f>HYPERLINK("https://media.infra-m.ru/1853/1853539/cover/1853539.jpg", "Обложка")</f>
        <v>Обложка</v>
      </c>
      <c r="V4006" s="24" t="str">
        <f>HYPERLINK("https://znanium.ru/catalog/product/2072457", "Ознакомиться")</f>
        <v>Ознакомиться</v>
      </c>
      <c r="W4006" s="8" t="s">
        <v>1587</v>
      </c>
      <c r="X4006" s="6"/>
      <c r="Y4006" s="6"/>
      <c r="Z4006" s="6"/>
      <c r="AA4006" s="6" t="s">
        <v>1259</v>
      </c>
      <c r="AB4006" s="8"/>
    </row>
    <row r="4007" spans="1:28" s="4" customFormat="1" ht="51.95" customHeight="1">
      <c r="A4007" s="5">
        <v>0</v>
      </c>
      <c r="B4007" s="6" t="s">
        <v>23853</v>
      </c>
      <c r="C4007" s="13">
        <v>1514</v>
      </c>
      <c r="D4007" s="8" t="s">
        <v>23854</v>
      </c>
      <c r="E4007" s="8" t="s">
        <v>23842</v>
      </c>
      <c r="F4007" s="8" t="s">
        <v>23849</v>
      </c>
      <c r="G4007" s="6" t="s">
        <v>89</v>
      </c>
      <c r="H4007" s="6" t="s">
        <v>53</v>
      </c>
      <c r="I4007" s="8" t="s">
        <v>100</v>
      </c>
      <c r="J4007" s="9">
        <v>1</v>
      </c>
      <c r="K4007" s="9">
        <v>322</v>
      </c>
      <c r="L4007" s="9">
        <v>2024</v>
      </c>
      <c r="M4007" s="8" t="s">
        <v>23855</v>
      </c>
      <c r="N4007" s="8" t="s">
        <v>413</v>
      </c>
      <c r="O4007" s="8" t="s">
        <v>414</v>
      </c>
      <c r="P4007" s="6" t="s">
        <v>43</v>
      </c>
      <c r="Q4007" s="8" t="s">
        <v>102</v>
      </c>
      <c r="R4007" s="10" t="s">
        <v>23856</v>
      </c>
      <c r="S4007" s="11" t="s">
        <v>23857</v>
      </c>
      <c r="T4007" s="6"/>
      <c r="U4007" s="24" t="str">
        <f>HYPERLINK("https://media.infra-m.ru/2155/2155299/cover/2155299.jpg", "Обложка")</f>
        <v>Обложка</v>
      </c>
      <c r="V4007" s="24" t="str">
        <f>HYPERLINK("https://znanium.ru/catalog/product/2161255", "Ознакомиться")</f>
        <v>Ознакомиться</v>
      </c>
      <c r="W4007" s="8" t="s">
        <v>1587</v>
      </c>
      <c r="X4007" s="6"/>
      <c r="Y4007" s="6"/>
      <c r="Z4007" s="6" t="s">
        <v>502</v>
      </c>
      <c r="AA4007" s="6" t="s">
        <v>95</v>
      </c>
      <c r="AB4007" s="8"/>
    </row>
    <row r="4008" spans="1:28" s="4" customFormat="1" ht="51.95" customHeight="1">
      <c r="A4008" s="5">
        <v>0</v>
      </c>
      <c r="B4008" s="6" t="s">
        <v>23858</v>
      </c>
      <c r="C4008" s="13">
        <v>1800</v>
      </c>
      <c r="D4008" s="8" t="s">
        <v>23859</v>
      </c>
      <c r="E4008" s="8" t="s">
        <v>23860</v>
      </c>
      <c r="F4008" s="8" t="s">
        <v>23849</v>
      </c>
      <c r="G4008" s="6" t="s">
        <v>52</v>
      </c>
      <c r="H4008" s="6" t="s">
        <v>53</v>
      </c>
      <c r="I4008" s="8" t="s">
        <v>116</v>
      </c>
      <c r="J4008" s="9">
        <v>1</v>
      </c>
      <c r="K4008" s="9">
        <v>383</v>
      </c>
      <c r="L4008" s="9">
        <v>2024</v>
      </c>
      <c r="M4008" s="8" t="s">
        <v>23861</v>
      </c>
      <c r="N4008" s="8" t="s">
        <v>413</v>
      </c>
      <c r="O4008" s="8" t="s">
        <v>414</v>
      </c>
      <c r="P4008" s="6" t="s">
        <v>43</v>
      </c>
      <c r="Q4008" s="8" t="s">
        <v>58</v>
      </c>
      <c r="R4008" s="10" t="s">
        <v>23851</v>
      </c>
      <c r="S4008" s="11" t="s">
        <v>23852</v>
      </c>
      <c r="T4008" s="6"/>
      <c r="U4008" s="24" t="str">
        <f>HYPERLINK("https://media.infra-m.ru/2072/2072457/cover/2072457.jpg", "Обложка")</f>
        <v>Обложка</v>
      </c>
      <c r="V4008" s="24" t="str">
        <f>HYPERLINK("https://znanium.ru/catalog/product/2072457", "Ознакомиться")</f>
        <v>Ознакомиться</v>
      </c>
      <c r="W4008" s="8" t="s">
        <v>1587</v>
      </c>
      <c r="X4008" s="6" t="s">
        <v>3761</v>
      </c>
      <c r="Y4008" s="6"/>
      <c r="Z4008" s="6"/>
      <c r="AA4008" s="6" t="s">
        <v>3787</v>
      </c>
      <c r="AB4008" s="8"/>
    </row>
    <row r="4009" spans="1:28" s="4" customFormat="1" ht="44.1" customHeight="1">
      <c r="A4009" s="5">
        <v>0</v>
      </c>
      <c r="B4009" s="6" t="s">
        <v>23862</v>
      </c>
      <c r="C4009" s="13">
        <v>1920</v>
      </c>
      <c r="D4009" s="8" t="s">
        <v>23863</v>
      </c>
      <c r="E4009" s="8" t="s">
        <v>23860</v>
      </c>
      <c r="F4009" s="8" t="s">
        <v>23849</v>
      </c>
      <c r="G4009" s="6" t="s">
        <v>89</v>
      </c>
      <c r="H4009" s="6" t="s">
        <v>53</v>
      </c>
      <c r="I4009" s="8" t="s">
        <v>100</v>
      </c>
      <c r="J4009" s="9">
        <v>1</v>
      </c>
      <c r="K4009" s="9">
        <v>383</v>
      </c>
      <c r="L4009" s="9">
        <v>2025</v>
      </c>
      <c r="M4009" s="8" t="s">
        <v>23864</v>
      </c>
      <c r="N4009" s="8" t="s">
        <v>413</v>
      </c>
      <c r="O4009" s="8" t="s">
        <v>414</v>
      </c>
      <c r="P4009" s="6" t="s">
        <v>43</v>
      </c>
      <c r="Q4009" s="8" t="s">
        <v>102</v>
      </c>
      <c r="R4009" s="10" t="s">
        <v>23856</v>
      </c>
      <c r="S4009" s="11"/>
      <c r="T4009" s="6"/>
      <c r="U4009" s="24" t="str">
        <f>HYPERLINK("https://media.infra-m.ru/2161/2161255/cover/2161255.jpg", "Обложка")</f>
        <v>Обложка</v>
      </c>
      <c r="V4009" s="24" t="str">
        <f>HYPERLINK("https://znanium.ru/catalog/product/2161255", "Ознакомиться")</f>
        <v>Ознакомиться</v>
      </c>
      <c r="W4009" s="8" t="s">
        <v>1587</v>
      </c>
      <c r="X4009" s="6" t="s">
        <v>785</v>
      </c>
      <c r="Y4009" s="6"/>
      <c r="Z4009" s="6" t="s">
        <v>502</v>
      </c>
      <c r="AA4009" s="6" t="s">
        <v>818</v>
      </c>
      <c r="AB4009" s="8"/>
    </row>
    <row r="4010" spans="1:28" s="4" customFormat="1" ht="51.95" customHeight="1">
      <c r="A4010" s="5">
        <v>0</v>
      </c>
      <c r="B4010" s="6" t="s">
        <v>23865</v>
      </c>
      <c r="C4010" s="13">
        <v>1464</v>
      </c>
      <c r="D4010" s="8" t="s">
        <v>23866</v>
      </c>
      <c r="E4010" s="8" t="s">
        <v>23824</v>
      </c>
      <c r="F4010" s="8" t="s">
        <v>23867</v>
      </c>
      <c r="G4010" s="6" t="s">
        <v>52</v>
      </c>
      <c r="H4010" s="6" t="s">
        <v>53</v>
      </c>
      <c r="I4010" s="8" t="s">
        <v>100</v>
      </c>
      <c r="J4010" s="9">
        <v>1</v>
      </c>
      <c r="K4010" s="9">
        <v>292</v>
      </c>
      <c r="L4010" s="9">
        <v>2023</v>
      </c>
      <c r="M4010" s="8" t="s">
        <v>23868</v>
      </c>
      <c r="N4010" s="8" t="s">
        <v>413</v>
      </c>
      <c r="O4010" s="8" t="s">
        <v>414</v>
      </c>
      <c r="P4010" s="6" t="s">
        <v>43</v>
      </c>
      <c r="Q4010" s="8" t="s">
        <v>102</v>
      </c>
      <c r="R4010" s="10" t="s">
        <v>23869</v>
      </c>
      <c r="S4010" s="11" t="s">
        <v>23870</v>
      </c>
      <c r="T4010" s="6"/>
      <c r="U4010" s="24" t="str">
        <f>HYPERLINK("https://media.infra-m.ru/1976/1976195/cover/1976195.jpg", "Обложка")</f>
        <v>Обложка</v>
      </c>
      <c r="V4010" s="24" t="str">
        <f>HYPERLINK("https://znanium.ru/catalog/product/1023596", "Ознакомиться")</f>
        <v>Ознакомиться</v>
      </c>
      <c r="W4010" s="8" t="s">
        <v>4343</v>
      </c>
      <c r="X4010" s="6"/>
      <c r="Y4010" s="6"/>
      <c r="Z4010" s="6" t="s">
        <v>104</v>
      </c>
      <c r="AA4010" s="6" t="s">
        <v>258</v>
      </c>
      <c r="AB4010" s="8"/>
    </row>
    <row r="4011" spans="1:28" s="4" customFormat="1" ht="51.95" customHeight="1">
      <c r="A4011" s="5">
        <v>0</v>
      </c>
      <c r="B4011" s="6" t="s">
        <v>23871</v>
      </c>
      <c r="C4011" s="13">
        <v>1354</v>
      </c>
      <c r="D4011" s="8" t="s">
        <v>23872</v>
      </c>
      <c r="E4011" s="8" t="s">
        <v>23873</v>
      </c>
      <c r="F4011" s="8" t="s">
        <v>23874</v>
      </c>
      <c r="G4011" s="6" t="s">
        <v>52</v>
      </c>
      <c r="H4011" s="6" t="s">
        <v>53</v>
      </c>
      <c r="I4011" s="8" t="s">
        <v>100</v>
      </c>
      <c r="J4011" s="9">
        <v>1</v>
      </c>
      <c r="K4011" s="9">
        <v>271</v>
      </c>
      <c r="L4011" s="9">
        <v>2025</v>
      </c>
      <c r="M4011" s="8" t="s">
        <v>23875</v>
      </c>
      <c r="N4011" s="8" t="s">
        <v>79</v>
      </c>
      <c r="O4011" s="8" t="s">
        <v>396</v>
      </c>
      <c r="P4011" s="6" t="s">
        <v>43</v>
      </c>
      <c r="Q4011" s="8" t="s">
        <v>102</v>
      </c>
      <c r="R4011" s="10" t="s">
        <v>23876</v>
      </c>
      <c r="S4011" s="11" t="s">
        <v>23877</v>
      </c>
      <c r="T4011" s="6"/>
      <c r="U4011" s="24" t="str">
        <f>HYPERLINK("https://media.infra-m.ru/2182/2182625/cover/2182625.jpg", "Обложка")</f>
        <v>Обложка</v>
      </c>
      <c r="V4011" s="24" t="str">
        <f>HYPERLINK("https://znanium.ru/catalog/product/2132083", "Ознакомиться")</f>
        <v>Ознакомиться</v>
      </c>
      <c r="W4011" s="8" t="s">
        <v>5371</v>
      </c>
      <c r="X4011" s="6"/>
      <c r="Y4011" s="6"/>
      <c r="Z4011" s="6" t="s">
        <v>104</v>
      </c>
      <c r="AA4011" s="6" t="s">
        <v>235</v>
      </c>
      <c r="AB4011" s="8"/>
    </row>
    <row r="4012" spans="1:28" s="4" customFormat="1" ht="51.95" customHeight="1">
      <c r="A4012" s="5">
        <v>0</v>
      </c>
      <c r="B4012" s="6" t="s">
        <v>23878</v>
      </c>
      <c r="C4012" s="13">
        <v>1220</v>
      </c>
      <c r="D4012" s="8" t="s">
        <v>23879</v>
      </c>
      <c r="E4012" s="8" t="s">
        <v>23873</v>
      </c>
      <c r="F4012" s="8" t="s">
        <v>23874</v>
      </c>
      <c r="G4012" s="6" t="s">
        <v>89</v>
      </c>
      <c r="H4012" s="6" t="s">
        <v>53</v>
      </c>
      <c r="I4012" s="8" t="s">
        <v>90</v>
      </c>
      <c r="J4012" s="9">
        <v>1</v>
      </c>
      <c r="K4012" s="9">
        <v>271</v>
      </c>
      <c r="L4012" s="9">
        <v>2023</v>
      </c>
      <c r="M4012" s="8" t="s">
        <v>23880</v>
      </c>
      <c r="N4012" s="8" t="s">
        <v>79</v>
      </c>
      <c r="O4012" s="8" t="s">
        <v>396</v>
      </c>
      <c r="P4012" s="6" t="s">
        <v>43</v>
      </c>
      <c r="Q4012" s="8" t="s">
        <v>44</v>
      </c>
      <c r="R4012" s="10" t="s">
        <v>16986</v>
      </c>
      <c r="S4012" s="11" t="s">
        <v>23881</v>
      </c>
      <c r="T4012" s="6"/>
      <c r="U4012" s="24" t="str">
        <f>HYPERLINK("https://media.infra-m.ru/1896/1896445/cover/1896445.jpg", "Обложка")</f>
        <v>Обложка</v>
      </c>
      <c r="V4012" s="24" t="str">
        <f>HYPERLINK("https://znanium.ru/catalog/product/1896445", "Ознакомиться")</f>
        <v>Ознакомиться</v>
      </c>
      <c r="W4012" s="8" t="s">
        <v>5371</v>
      </c>
      <c r="X4012" s="6"/>
      <c r="Y4012" s="6"/>
      <c r="Z4012" s="6"/>
      <c r="AA4012" s="6" t="s">
        <v>235</v>
      </c>
      <c r="AB4012" s="8"/>
    </row>
    <row r="4013" spans="1:28" s="4" customFormat="1" ht="51.95" customHeight="1">
      <c r="A4013" s="5">
        <v>0</v>
      </c>
      <c r="B4013" s="6" t="s">
        <v>23882</v>
      </c>
      <c r="C4013" s="13">
        <v>1107</v>
      </c>
      <c r="D4013" s="8" t="s">
        <v>23883</v>
      </c>
      <c r="E4013" s="8" t="s">
        <v>23884</v>
      </c>
      <c r="F4013" s="8" t="s">
        <v>23885</v>
      </c>
      <c r="G4013" s="6" t="s">
        <v>38</v>
      </c>
      <c r="H4013" s="6" t="s">
        <v>53</v>
      </c>
      <c r="I4013" s="8" t="s">
        <v>116</v>
      </c>
      <c r="J4013" s="9">
        <v>1</v>
      </c>
      <c r="K4013" s="9">
        <v>116</v>
      </c>
      <c r="L4013" s="9">
        <v>2023</v>
      </c>
      <c r="M4013" s="8" t="s">
        <v>23886</v>
      </c>
      <c r="N4013" s="8" t="s">
        <v>56</v>
      </c>
      <c r="O4013" s="8" t="s">
        <v>2183</v>
      </c>
      <c r="P4013" s="6" t="s">
        <v>167</v>
      </c>
      <c r="Q4013" s="8" t="s">
        <v>58</v>
      </c>
      <c r="R4013" s="10" t="s">
        <v>23887</v>
      </c>
      <c r="S4013" s="11" t="s">
        <v>23888</v>
      </c>
      <c r="T4013" s="6"/>
      <c r="U4013" s="24" t="str">
        <f>HYPERLINK("https://media.infra-m.ru/2130/2130133/cover/2130133.jpg", "Обложка")</f>
        <v>Обложка</v>
      </c>
      <c r="V4013" s="24" t="str">
        <f>HYPERLINK("https://znanium.ru/catalog/product/2129210", "Ознакомиться")</f>
        <v>Ознакомиться</v>
      </c>
      <c r="W4013" s="8" t="s">
        <v>1544</v>
      </c>
      <c r="X4013" s="6"/>
      <c r="Y4013" s="6"/>
      <c r="Z4013" s="6"/>
      <c r="AA4013" s="6" t="s">
        <v>219</v>
      </c>
      <c r="AB4013" s="8"/>
    </row>
    <row r="4014" spans="1:28" s="4" customFormat="1" ht="51.95" customHeight="1">
      <c r="A4014" s="5">
        <v>0</v>
      </c>
      <c r="B4014" s="6" t="s">
        <v>23889</v>
      </c>
      <c r="C4014" s="13">
        <v>1190</v>
      </c>
      <c r="D4014" s="8" t="s">
        <v>23890</v>
      </c>
      <c r="E4014" s="8" t="s">
        <v>23884</v>
      </c>
      <c r="F4014" s="8" t="s">
        <v>23885</v>
      </c>
      <c r="G4014" s="6" t="s">
        <v>38</v>
      </c>
      <c r="H4014" s="6" t="s">
        <v>53</v>
      </c>
      <c r="I4014" s="8" t="s">
        <v>100</v>
      </c>
      <c r="J4014" s="9">
        <v>1</v>
      </c>
      <c r="K4014" s="9">
        <v>116</v>
      </c>
      <c r="L4014" s="9">
        <v>2025</v>
      </c>
      <c r="M4014" s="8" t="s">
        <v>23891</v>
      </c>
      <c r="N4014" s="8" t="s">
        <v>56</v>
      </c>
      <c r="O4014" s="8" t="s">
        <v>2183</v>
      </c>
      <c r="P4014" s="6" t="s">
        <v>167</v>
      </c>
      <c r="Q4014" s="8" t="s">
        <v>102</v>
      </c>
      <c r="R4014" s="10" t="s">
        <v>23892</v>
      </c>
      <c r="S4014" s="11"/>
      <c r="T4014" s="6"/>
      <c r="U4014" s="24" t="str">
        <f>HYPERLINK("https://media.infra-m.ru/2164/2164369/cover/2164369.jpg", "Обложка")</f>
        <v>Обложка</v>
      </c>
      <c r="V4014" s="24" t="str">
        <f>HYPERLINK("https://znanium.ru/catalog/product/2164369", "Ознакомиться")</f>
        <v>Ознакомиться</v>
      </c>
      <c r="W4014" s="8" t="s">
        <v>1544</v>
      </c>
      <c r="X4014" s="6" t="s">
        <v>1049</v>
      </c>
      <c r="Y4014" s="6"/>
      <c r="Z4014" s="6" t="s">
        <v>502</v>
      </c>
      <c r="AA4014" s="6" t="s">
        <v>61</v>
      </c>
      <c r="AB4014" s="8"/>
    </row>
    <row r="4015" spans="1:28" s="4" customFormat="1" ht="51.95" customHeight="1">
      <c r="A4015" s="5">
        <v>0</v>
      </c>
      <c r="B4015" s="6" t="s">
        <v>23893</v>
      </c>
      <c r="C4015" s="13">
        <v>4890</v>
      </c>
      <c r="D4015" s="8" t="s">
        <v>23894</v>
      </c>
      <c r="E4015" s="8" t="s">
        <v>23895</v>
      </c>
      <c r="F4015" s="8" t="s">
        <v>23896</v>
      </c>
      <c r="G4015" s="6" t="s">
        <v>52</v>
      </c>
      <c r="H4015" s="6" t="s">
        <v>53</v>
      </c>
      <c r="I4015" s="8" t="s">
        <v>960</v>
      </c>
      <c r="J4015" s="9">
        <v>1</v>
      </c>
      <c r="K4015" s="9">
        <v>1107</v>
      </c>
      <c r="L4015" s="9">
        <v>2025</v>
      </c>
      <c r="M4015" s="8" t="s">
        <v>23897</v>
      </c>
      <c r="N4015" s="8" t="s">
        <v>79</v>
      </c>
      <c r="O4015" s="8" t="s">
        <v>174</v>
      </c>
      <c r="P4015" s="6" t="s">
        <v>43</v>
      </c>
      <c r="Q4015" s="8" t="s">
        <v>58</v>
      </c>
      <c r="R4015" s="10" t="s">
        <v>4566</v>
      </c>
      <c r="S4015" s="11" t="s">
        <v>23898</v>
      </c>
      <c r="T4015" s="6"/>
      <c r="U4015" s="24" t="str">
        <f>HYPERLINK("https://media.infra-m.ru/2155/2155740/cover/2155740.jpg", "Обложка")</f>
        <v>Обложка</v>
      </c>
      <c r="V4015" s="24" t="str">
        <f>HYPERLINK("https://znanium.ru/catalog/product/2155740", "Ознакомиться")</f>
        <v>Ознакомиться</v>
      </c>
      <c r="W4015" s="8" t="s">
        <v>178</v>
      </c>
      <c r="X4015" s="6" t="s">
        <v>132</v>
      </c>
      <c r="Y4015" s="6"/>
      <c r="Z4015" s="6"/>
      <c r="AA4015" s="6" t="s">
        <v>61</v>
      </c>
      <c r="AB4015" s="8"/>
    </row>
    <row r="4016" spans="1:28" s="4" customFormat="1" ht="51.95" customHeight="1">
      <c r="A4016" s="5">
        <v>0</v>
      </c>
      <c r="B4016" s="6" t="s">
        <v>23899</v>
      </c>
      <c r="C4016" s="13">
        <v>3490</v>
      </c>
      <c r="D4016" s="8" t="s">
        <v>23900</v>
      </c>
      <c r="E4016" s="8" t="s">
        <v>23901</v>
      </c>
      <c r="F4016" s="8" t="s">
        <v>23902</v>
      </c>
      <c r="G4016" s="6" t="s">
        <v>52</v>
      </c>
      <c r="H4016" s="6" t="s">
        <v>53</v>
      </c>
      <c r="I4016" s="8" t="s">
        <v>116</v>
      </c>
      <c r="J4016" s="9">
        <v>1</v>
      </c>
      <c r="K4016" s="9">
        <v>806</v>
      </c>
      <c r="L4016" s="9">
        <v>2025</v>
      </c>
      <c r="M4016" s="8" t="s">
        <v>23903</v>
      </c>
      <c r="N4016" s="8" t="s">
        <v>41</v>
      </c>
      <c r="O4016" s="8" t="s">
        <v>676</v>
      </c>
      <c r="P4016" s="6" t="s">
        <v>167</v>
      </c>
      <c r="Q4016" s="8" t="s">
        <v>58</v>
      </c>
      <c r="R4016" s="10" t="s">
        <v>23904</v>
      </c>
      <c r="S4016" s="11"/>
      <c r="T4016" s="6"/>
      <c r="U4016" s="24" t="str">
        <f>HYPERLINK("https://media.infra-m.ru/2170/2170996/cover/2170996.jpg", "Обложка")</f>
        <v>Обложка</v>
      </c>
      <c r="V4016" s="24" t="str">
        <f>HYPERLINK("https://znanium.ru/catalog/product/2170996", "Ознакомиться")</f>
        <v>Ознакомиться</v>
      </c>
      <c r="W4016" s="8" t="s">
        <v>4153</v>
      </c>
      <c r="X4016" s="6"/>
      <c r="Y4016" s="6"/>
      <c r="Z4016" s="6"/>
      <c r="AA4016" s="6" t="s">
        <v>61</v>
      </c>
      <c r="AB4016" s="8"/>
    </row>
    <row r="4017" spans="1:28" s="4" customFormat="1" ht="51.95" customHeight="1">
      <c r="A4017" s="5">
        <v>0</v>
      </c>
      <c r="B4017" s="6" t="s">
        <v>23905</v>
      </c>
      <c r="C4017" s="13">
        <v>2950</v>
      </c>
      <c r="D4017" s="8" t="s">
        <v>23906</v>
      </c>
      <c r="E4017" s="8" t="s">
        <v>23907</v>
      </c>
      <c r="F4017" s="8" t="s">
        <v>23908</v>
      </c>
      <c r="G4017" s="6" t="s">
        <v>52</v>
      </c>
      <c r="H4017" s="6" t="s">
        <v>53</v>
      </c>
      <c r="I4017" s="8" t="s">
        <v>212</v>
      </c>
      <c r="J4017" s="9">
        <v>1</v>
      </c>
      <c r="K4017" s="9">
        <v>642</v>
      </c>
      <c r="L4017" s="9">
        <v>2024</v>
      </c>
      <c r="M4017" s="8" t="s">
        <v>23909</v>
      </c>
      <c r="N4017" s="8" t="s">
        <v>41</v>
      </c>
      <c r="O4017" s="8" t="s">
        <v>676</v>
      </c>
      <c r="P4017" s="6" t="s">
        <v>167</v>
      </c>
      <c r="Q4017" s="8" t="s">
        <v>214</v>
      </c>
      <c r="R4017" s="10" t="s">
        <v>23910</v>
      </c>
      <c r="S4017" s="11" t="s">
        <v>23911</v>
      </c>
      <c r="T4017" s="6"/>
      <c r="U4017" s="24" t="str">
        <f>HYPERLINK("https://media.infra-m.ru/2121/2121606/cover/2121606.jpg", "Обложка")</f>
        <v>Обложка</v>
      </c>
      <c r="V4017" s="24" t="str">
        <f>HYPERLINK("https://znanium.ru/catalog/product/2121606", "Ознакомиться")</f>
        <v>Ознакомиться</v>
      </c>
      <c r="W4017" s="8" t="s">
        <v>4153</v>
      </c>
      <c r="X4017" s="6"/>
      <c r="Y4017" s="6"/>
      <c r="Z4017" s="6"/>
      <c r="AA4017" s="6" t="s">
        <v>207</v>
      </c>
      <c r="AB4017" s="8"/>
    </row>
    <row r="4018" spans="1:28" s="4" customFormat="1" ht="51.95" customHeight="1">
      <c r="A4018" s="5">
        <v>0</v>
      </c>
      <c r="B4018" s="6" t="s">
        <v>23912</v>
      </c>
      <c r="C4018" s="7">
        <v>984</v>
      </c>
      <c r="D4018" s="8" t="s">
        <v>23913</v>
      </c>
      <c r="E4018" s="8" t="s">
        <v>23914</v>
      </c>
      <c r="F4018" s="8" t="s">
        <v>23915</v>
      </c>
      <c r="G4018" s="6" t="s">
        <v>89</v>
      </c>
      <c r="H4018" s="6" t="s">
        <v>53</v>
      </c>
      <c r="I4018" s="8" t="s">
        <v>276</v>
      </c>
      <c r="J4018" s="9">
        <v>1</v>
      </c>
      <c r="K4018" s="9">
        <v>211</v>
      </c>
      <c r="L4018" s="9">
        <v>2023</v>
      </c>
      <c r="M4018" s="8" t="s">
        <v>23916</v>
      </c>
      <c r="N4018" s="8" t="s">
        <v>41</v>
      </c>
      <c r="O4018" s="8" t="s">
        <v>676</v>
      </c>
      <c r="P4018" s="6" t="s">
        <v>43</v>
      </c>
      <c r="Q4018" s="8" t="s">
        <v>279</v>
      </c>
      <c r="R4018" s="10" t="s">
        <v>23917</v>
      </c>
      <c r="S4018" s="11" t="s">
        <v>23918</v>
      </c>
      <c r="T4018" s="6"/>
      <c r="U4018" s="24" t="str">
        <f>HYPERLINK("https://media.infra-m.ru/2115/2115297/cover/2115297.jpg", "Обложка")</f>
        <v>Обложка</v>
      </c>
      <c r="V4018" s="24" t="str">
        <f>HYPERLINK("https://znanium.ru/catalog/product/2115295", "Ознакомиться")</f>
        <v>Ознакомиться</v>
      </c>
      <c r="W4018" s="8" t="s">
        <v>23919</v>
      </c>
      <c r="X4018" s="6"/>
      <c r="Y4018" s="6"/>
      <c r="Z4018" s="6"/>
      <c r="AA4018" s="6" t="s">
        <v>235</v>
      </c>
      <c r="AB4018" s="8" t="s">
        <v>17380</v>
      </c>
    </row>
    <row r="4019" spans="1:28" s="4" customFormat="1" ht="44.1" customHeight="1">
      <c r="A4019" s="5">
        <v>0</v>
      </c>
      <c r="B4019" s="6" t="s">
        <v>23920</v>
      </c>
      <c r="C4019" s="7">
        <v>674</v>
      </c>
      <c r="D4019" s="8" t="s">
        <v>23921</v>
      </c>
      <c r="E4019" s="8" t="s">
        <v>23922</v>
      </c>
      <c r="F4019" s="8" t="s">
        <v>23923</v>
      </c>
      <c r="G4019" s="6" t="s">
        <v>89</v>
      </c>
      <c r="H4019" s="6" t="s">
        <v>674</v>
      </c>
      <c r="I4019" s="8"/>
      <c r="J4019" s="9">
        <v>1</v>
      </c>
      <c r="K4019" s="9">
        <v>128</v>
      </c>
      <c r="L4019" s="9">
        <v>2025</v>
      </c>
      <c r="M4019" s="8" t="s">
        <v>23924</v>
      </c>
      <c r="N4019" s="8" t="s">
        <v>41</v>
      </c>
      <c r="O4019" s="8" t="s">
        <v>676</v>
      </c>
      <c r="P4019" s="6" t="s">
        <v>43</v>
      </c>
      <c r="Q4019" s="8" t="s">
        <v>44</v>
      </c>
      <c r="R4019" s="10" t="s">
        <v>23925</v>
      </c>
      <c r="S4019" s="11"/>
      <c r="T4019" s="6"/>
      <c r="U4019" s="24" t="str">
        <f>HYPERLINK("https://media.infra-m.ru/2165/2165442/cover/2165442.jpg", "Обложка")</f>
        <v>Обложка</v>
      </c>
      <c r="V4019" s="24" t="str">
        <f>HYPERLINK("https://znanium.ru/catalog/product/2161358", "Ознакомиться")</f>
        <v>Ознакомиться</v>
      </c>
      <c r="W4019" s="8" t="s">
        <v>792</v>
      </c>
      <c r="X4019" s="6"/>
      <c r="Y4019" s="6"/>
      <c r="Z4019" s="6"/>
      <c r="AA4019" s="6" t="s">
        <v>219</v>
      </c>
      <c r="AB4019" s="8"/>
    </row>
    <row r="4020" spans="1:28" s="4" customFormat="1" ht="51.95" customHeight="1">
      <c r="A4020" s="5">
        <v>0</v>
      </c>
      <c r="B4020" s="6" t="s">
        <v>23926</v>
      </c>
      <c r="C4020" s="13">
        <v>1080</v>
      </c>
      <c r="D4020" s="8" t="s">
        <v>23927</v>
      </c>
      <c r="E4020" s="8" t="s">
        <v>23928</v>
      </c>
      <c r="F4020" s="8" t="s">
        <v>23929</v>
      </c>
      <c r="G4020" s="6" t="s">
        <v>89</v>
      </c>
      <c r="H4020" s="6" t="s">
        <v>53</v>
      </c>
      <c r="I4020" s="8" t="s">
        <v>116</v>
      </c>
      <c r="J4020" s="9">
        <v>1</v>
      </c>
      <c r="K4020" s="9">
        <v>233</v>
      </c>
      <c r="L4020" s="9">
        <v>2023</v>
      </c>
      <c r="M4020" s="8" t="s">
        <v>23930</v>
      </c>
      <c r="N4020" s="8" t="s">
        <v>41</v>
      </c>
      <c r="O4020" s="8" t="s">
        <v>42</v>
      </c>
      <c r="P4020" s="6" t="s">
        <v>43</v>
      </c>
      <c r="Q4020" s="8" t="s">
        <v>58</v>
      </c>
      <c r="R4020" s="10" t="s">
        <v>23931</v>
      </c>
      <c r="S4020" s="11" t="s">
        <v>23932</v>
      </c>
      <c r="T4020" s="6"/>
      <c r="U4020" s="24" t="str">
        <f>HYPERLINK("https://media.infra-m.ru/2036/2036510/cover/2036510.jpg", "Обложка")</f>
        <v>Обложка</v>
      </c>
      <c r="V4020" s="24" t="str">
        <f>HYPERLINK("https://znanium.ru/catalog/product/1096082", "Ознакомиться")</f>
        <v>Ознакомиться</v>
      </c>
      <c r="W4020" s="8" t="s">
        <v>918</v>
      </c>
      <c r="X4020" s="6"/>
      <c r="Y4020" s="6"/>
      <c r="Z4020" s="6"/>
      <c r="AA4020" s="6" t="s">
        <v>235</v>
      </c>
      <c r="AB4020" s="8"/>
    </row>
    <row r="4021" spans="1:28" s="4" customFormat="1" ht="51.95" customHeight="1">
      <c r="A4021" s="5">
        <v>0</v>
      </c>
      <c r="B4021" s="6" t="s">
        <v>23933</v>
      </c>
      <c r="C4021" s="7">
        <v>874</v>
      </c>
      <c r="D4021" s="8" t="s">
        <v>23934</v>
      </c>
      <c r="E4021" s="8" t="s">
        <v>23935</v>
      </c>
      <c r="F4021" s="8" t="s">
        <v>7240</v>
      </c>
      <c r="G4021" s="6" t="s">
        <v>89</v>
      </c>
      <c r="H4021" s="6" t="s">
        <v>53</v>
      </c>
      <c r="I4021" s="8" t="s">
        <v>90</v>
      </c>
      <c r="J4021" s="9">
        <v>1</v>
      </c>
      <c r="K4021" s="9">
        <v>174</v>
      </c>
      <c r="L4021" s="9">
        <v>2025</v>
      </c>
      <c r="M4021" s="8" t="s">
        <v>23936</v>
      </c>
      <c r="N4021" s="8" t="s">
        <v>41</v>
      </c>
      <c r="O4021" s="8" t="s">
        <v>1204</v>
      </c>
      <c r="P4021" s="6" t="s">
        <v>167</v>
      </c>
      <c r="Q4021" s="8" t="s">
        <v>44</v>
      </c>
      <c r="R4021" s="10" t="s">
        <v>23937</v>
      </c>
      <c r="S4021" s="11" t="s">
        <v>23938</v>
      </c>
      <c r="T4021" s="6"/>
      <c r="U4021" s="24" t="str">
        <f>HYPERLINK("https://media.infra-m.ru/2188/2188334/cover/2188334.jpg", "Обложка")</f>
        <v>Обложка</v>
      </c>
      <c r="V4021" s="24" t="str">
        <f>HYPERLINK("https://znanium.ru/catalog/product/988208", "Ознакомиться")</f>
        <v>Ознакомиться</v>
      </c>
      <c r="W4021" s="8" t="s">
        <v>7243</v>
      </c>
      <c r="X4021" s="6"/>
      <c r="Y4021" s="6"/>
      <c r="Z4021" s="6"/>
      <c r="AA4021" s="6" t="s">
        <v>326</v>
      </c>
      <c r="AB4021" s="8"/>
    </row>
    <row r="4022" spans="1:28" s="4" customFormat="1" ht="51.95" customHeight="1">
      <c r="A4022" s="5">
        <v>0</v>
      </c>
      <c r="B4022" s="6" t="s">
        <v>23939</v>
      </c>
      <c r="C4022" s="7">
        <v>720</v>
      </c>
      <c r="D4022" s="8" t="s">
        <v>23940</v>
      </c>
      <c r="E4022" s="8" t="s">
        <v>23941</v>
      </c>
      <c r="F4022" s="8" t="s">
        <v>23942</v>
      </c>
      <c r="G4022" s="6" t="s">
        <v>89</v>
      </c>
      <c r="H4022" s="6" t="s">
        <v>53</v>
      </c>
      <c r="I4022" s="8" t="s">
        <v>276</v>
      </c>
      <c r="J4022" s="9">
        <v>1</v>
      </c>
      <c r="K4022" s="9">
        <v>194</v>
      </c>
      <c r="L4022" s="9">
        <v>2020</v>
      </c>
      <c r="M4022" s="8" t="s">
        <v>23943</v>
      </c>
      <c r="N4022" s="8" t="s">
        <v>56</v>
      </c>
      <c r="O4022" s="8" t="s">
        <v>741</v>
      </c>
      <c r="P4022" s="6" t="s">
        <v>43</v>
      </c>
      <c r="Q4022" s="8" t="s">
        <v>279</v>
      </c>
      <c r="R4022" s="10" t="s">
        <v>19990</v>
      </c>
      <c r="S4022" s="11" t="s">
        <v>23944</v>
      </c>
      <c r="T4022" s="6"/>
      <c r="U4022" s="24" t="str">
        <f>HYPERLINK("https://media.infra-m.ru/1082/1082912/cover/1082912.jpg", "Обложка")</f>
        <v>Обложка</v>
      </c>
      <c r="V4022" s="24" t="str">
        <f>HYPERLINK("https://znanium.ru/catalog/product/1985783", "Ознакомиться")</f>
        <v>Ознакомиться</v>
      </c>
      <c r="W4022" s="8" t="s">
        <v>19992</v>
      </c>
      <c r="X4022" s="6"/>
      <c r="Y4022" s="6"/>
      <c r="Z4022" s="6"/>
      <c r="AA4022" s="6" t="s">
        <v>258</v>
      </c>
      <c r="AB4022" s="8"/>
    </row>
    <row r="4023" spans="1:28" s="4" customFormat="1" ht="42" customHeight="1">
      <c r="A4023" s="5">
        <v>0</v>
      </c>
      <c r="B4023" s="6" t="s">
        <v>23945</v>
      </c>
      <c r="C4023" s="7">
        <v>514</v>
      </c>
      <c r="D4023" s="8" t="s">
        <v>23946</v>
      </c>
      <c r="E4023" s="8" t="s">
        <v>23947</v>
      </c>
      <c r="F4023" s="8" t="s">
        <v>23948</v>
      </c>
      <c r="G4023" s="6" t="s">
        <v>38</v>
      </c>
      <c r="H4023" s="6" t="s">
        <v>77</v>
      </c>
      <c r="I4023" s="8" t="s">
        <v>7953</v>
      </c>
      <c r="J4023" s="9">
        <v>1</v>
      </c>
      <c r="K4023" s="9">
        <v>98</v>
      </c>
      <c r="L4023" s="9">
        <v>2025</v>
      </c>
      <c r="M4023" s="8" t="s">
        <v>23949</v>
      </c>
      <c r="N4023" s="8" t="s">
        <v>79</v>
      </c>
      <c r="O4023" s="8" t="s">
        <v>174</v>
      </c>
      <c r="P4023" s="6" t="s">
        <v>1046</v>
      </c>
      <c r="Q4023" s="8" t="s">
        <v>279</v>
      </c>
      <c r="R4023" s="10" t="s">
        <v>11975</v>
      </c>
      <c r="S4023" s="11"/>
      <c r="T4023" s="6"/>
      <c r="U4023" s="24" t="str">
        <f>HYPERLINK("https://media.infra-m.ru/2201/2201909/cover/2201909.jpg", "Обложка")</f>
        <v>Обложка</v>
      </c>
      <c r="V4023" s="24" t="str">
        <f>HYPERLINK("https://znanium.ru/catalog/product/1920317", "Ознакомиться")</f>
        <v>Ознакомиться</v>
      </c>
      <c r="W4023" s="8" t="s">
        <v>5973</v>
      </c>
      <c r="X4023" s="6"/>
      <c r="Y4023" s="6"/>
      <c r="Z4023" s="6"/>
      <c r="AA4023" s="6" t="s">
        <v>418</v>
      </c>
      <c r="AB4023" s="8"/>
    </row>
    <row r="4024" spans="1:28" s="4" customFormat="1" ht="51.95" customHeight="1">
      <c r="A4024" s="5">
        <v>0</v>
      </c>
      <c r="B4024" s="6" t="s">
        <v>23950</v>
      </c>
      <c r="C4024" s="13">
        <v>2240</v>
      </c>
      <c r="D4024" s="8" t="s">
        <v>23951</v>
      </c>
      <c r="E4024" s="8" t="s">
        <v>23952</v>
      </c>
      <c r="F4024" s="8" t="s">
        <v>20266</v>
      </c>
      <c r="G4024" s="6" t="s">
        <v>52</v>
      </c>
      <c r="H4024" s="6" t="s">
        <v>674</v>
      </c>
      <c r="I4024" s="8"/>
      <c r="J4024" s="9">
        <v>1</v>
      </c>
      <c r="K4024" s="9">
        <v>448</v>
      </c>
      <c r="L4024" s="9">
        <v>2025</v>
      </c>
      <c r="M4024" s="8" t="s">
        <v>23953</v>
      </c>
      <c r="N4024" s="8" t="s">
        <v>41</v>
      </c>
      <c r="O4024" s="8" t="s">
        <v>676</v>
      </c>
      <c r="P4024" s="6" t="s">
        <v>43</v>
      </c>
      <c r="Q4024" s="8" t="s">
        <v>58</v>
      </c>
      <c r="R4024" s="10" t="s">
        <v>5025</v>
      </c>
      <c r="S4024" s="11"/>
      <c r="T4024" s="6"/>
      <c r="U4024" s="24" t="str">
        <f>HYPERLINK("https://media.infra-m.ru/2177/2177865/cover/2177865.jpg", "Обложка")</f>
        <v>Обложка</v>
      </c>
      <c r="V4024" s="24" t="str">
        <f>HYPERLINK("https://znanium.ru/catalog/product/2177865", "Ознакомиться")</f>
        <v>Ознакомиться</v>
      </c>
      <c r="W4024" s="8" t="s">
        <v>784</v>
      </c>
      <c r="X4024" s="6"/>
      <c r="Y4024" s="6"/>
      <c r="Z4024" s="6"/>
      <c r="AA4024" s="6" t="s">
        <v>654</v>
      </c>
      <c r="AB4024" s="8"/>
    </row>
    <row r="4025" spans="1:28" s="4" customFormat="1" ht="51.95" customHeight="1">
      <c r="A4025" s="5">
        <v>0</v>
      </c>
      <c r="B4025" s="6" t="s">
        <v>23954</v>
      </c>
      <c r="C4025" s="13">
        <v>1864</v>
      </c>
      <c r="D4025" s="8" t="s">
        <v>23955</v>
      </c>
      <c r="E4025" s="8" t="s">
        <v>23956</v>
      </c>
      <c r="F4025" s="8" t="s">
        <v>11846</v>
      </c>
      <c r="G4025" s="6" t="s">
        <v>89</v>
      </c>
      <c r="H4025" s="6" t="s">
        <v>53</v>
      </c>
      <c r="I4025" s="8" t="s">
        <v>100</v>
      </c>
      <c r="J4025" s="9">
        <v>1</v>
      </c>
      <c r="K4025" s="9">
        <v>359</v>
      </c>
      <c r="L4025" s="9">
        <v>2025</v>
      </c>
      <c r="M4025" s="8" t="s">
        <v>23957</v>
      </c>
      <c r="N4025" s="8" t="s">
        <v>56</v>
      </c>
      <c r="O4025" s="8" t="s">
        <v>57</v>
      </c>
      <c r="P4025" s="6" t="s">
        <v>167</v>
      </c>
      <c r="Q4025" s="8" t="s">
        <v>102</v>
      </c>
      <c r="R4025" s="10" t="s">
        <v>23958</v>
      </c>
      <c r="S4025" s="11" t="s">
        <v>23959</v>
      </c>
      <c r="T4025" s="6"/>
      <c r="U4025" s="24" t="str">
        <f>HYPERLINK("https://media.infra-m.ru/2187/2187044/cover/2187044.jpg", "Обложка")</f>
        <v>Обложка</v>
      </c>
      <c r="V4025" s="24" t="str">
        <f>HYPERLINK("https://znanium.ru/catalog/product/2129204", "Ознакомиться")</f>
        <v>Ознакомиться</v>
      </c>
      <c r="W4025" s="8" t="s">
        <v>11850</v>
      </c>
      <c r="X4025" s="6"/>
      <c r="Y4025" s="6"/>
      <c r="Z4025" s="6" t="s">
        <v>104</v>
      </c>
      <c r="AA4025" s="6" t="s">
        <v>258</v>
      </c>
      <c r="AB4025" s="8"/>
    </row>
    <row r="4026" spans="1:28" s="4" customFormat="1" ht="51.95" customHeight="1">
      <c r="A4026" s="5">
        <v>0</v>
      </c>
      <c r="B4026" s="6" t="s">
        <v>23960</v>
      </c>
      <c r="C4026" s="13">
        <v>1550</v>
      </c>
      <c r="D4026" s="8" t="s">
        <v>23961</v>
      </c>
      <c r="E4026" s="8" t="s">
        <v>23962</v>
      </c>
      <c r="F4026" s="8" t="s">
        <v>14922</v>
      </c>
      <c r="G4026" s="6" t="s">
        <v>89</v>
      </c>
      <c r="H4026" s="6" t="s">
        <v>649</v>
      </c>
      <c r="I4026" s="8" t="s">
        <v>100</v>
      </c>
      <c r="J4026" s="9">
        <v>1</v>
      </c>
      <c r="K4026" s="9">
        <v>304</v>
      </c>
      <c r="L4026" s="9">
        <v>2025</v>
      </c>
      <c r="M4026" s="8" t="s">
        <v>23963</v>
      </c>
      <c r="N4026" s="8" t="s">
        <v>41</v>
      </c>
      <c r="O4026" s="8" t="s">
        <v>278</v>
      </c>
      <c r="P4026" s="6" t="s">
        <v>43</v>
      </c>
      <c r="Q4026" s="8" t="s">
        <v>102</v>
      </c>
      <c r="R4026" s="10" t="s">
        <v>23964</v>
      </c>
      <c r="S4026" s="11" t="s">
        <v>3081</v>
      </c>
      <c r="T4026" s="6"/>
      <c r="U4026" s="24" t="str">
        <f>HYPERLINK("https://media.infra-m.ru/2183/2183422/cover/2183422.jpg", "Обложка")</f>
        <v>Обложка</v>
      </c>
      <c r="V4026" s="24" t="str">
        <f>HYPERLINK("https://znanium.ru/catalog/product/2183422", "Ознакомиться")</f>
        <v>Ознакомиться</v>
      </c>
      <c r="W4026" s="8" t="s">
        <v>1345</v>
      </c>
      <c r="X4026" s="6"/>
      <c r="Y4026" s="6"/>
      <c r="Z4026" s="6"/>
      <c r="AA4026" s="6" t="s">
        <v>2217</v>
      </c>
      <c r="AB4026" s="8"/>
    </row>
    <row r="4027" spans="1:28" s="4" customFormat="1" ht="51.95" customHeight="1">
      <c r="A4027" s="5">
        <v>0</v>
      </c>
      <c r="B4027" s="6" t="s">
        <v>23965</v>
      </c>
      <c r="C4027" s="7">
        <v>900</v>
      </c>
      <c r="D4027" s="8" t="s">
        <v>23966</v>
      </c>
      <c r="E4027" s="8" t="s">
        <v>23967</v>
      </c>
      <c r="F4027" s="8" t="s">
        <v>23968</v>
      </c>
      <c r="G4027" s="6" t="s">
        <v>38</v>
      </c>
      <c r="H4027" s="6" t="s">
        <v>53</v>
      </c>
      <c r="I4027" s="8" t="s">
        <v>116</v>
      </c>
      <c r="J4027" s="9">
        <v>1</v>
      </c>
      <c r="K4027" s="9">
        <v>191</v>
      </c>
      <c r="L4027" s="9">
        <v>2024</v>
      </c>
      <c r="M4027" s="8" t="s">
        <v>23969</v>
      </c>
      <c r="N4027" s="8" t="s">
        <v>997</v>
      </c>
      <c r="O4027" s="8" t="s">
        <v>998</v>
      </c>
      <c r="P4027" s="6" t="s">
        <v>43</v>
      </c>
      <c r="Q4027" s="8" t="s">
        <v>58</v>
      </c>
      <c r="R4027" s="10" t="s">
        <v>6390</v>
      </c>
      <c r="S4027" s="11" t="s">
        <v>23970</v>
      </c>
      <c r="T4027" s="6"/>
      <c r="U4027" s="24" t="str">
        <f>HYPERLINK("https://media.infra-m.ru/2139/2139777/cover/2139777.jpg", "Обложка")</f>
        <v>Обложка</v>
      </c>
      <c r="V4027" s="24" t="str">
        <f>HYPERLINK("https://znanium.ru/catalog/product/2139777", "Ознакомиться")</f>
        <v>Ознакомиться</v>
      </c>
      <c r="W4027" s="8" t="s">
        <v>6648</v>
      </c>
      <c r="X4027" s="6"/>
      <c r="Y4027" s="6"/>
      <c r="Z4027" s="6"/>
      <c r="AA4027" s="6" t="s">
        <v>418</v>
      </c>
      <c r="AB4027" s="8"/>
    </row>
    <row r="4028" spans="1:28" s="4" customFormat="1" ht="51.95" customHeight="1">
      <c r="A4028" s="5">
        <v>0</v>
      </c>
      <c r="B4028" s="6" t="s">
        <v>23971</v>
      </c>
      <c r="C4028" s="7">
        <v>554</v>
      </c>
      <c r="D4028" s="8" t="s">
        <v>23972</v>
      </c>
      <c r="E4028" s="8" t="s">
        <v>23973</v>
      </c>
      <c r="F4028" s="8" t="s">
        <v>23974</v>
      </c>
      <c r="G4028" s="6" t="s">
        <v>52</v>
      </c>
      <c r="H4028" s="6" t="s">
        <v>184</v>
      </c>
      <c r="I4028" s="8" t="s">
        <v>58</v>
      </c>
      <c r="J4028" s="9">
        <v>1</v>
      </c>
      <c r="K4028" s="9">
        <v>111</v>
      </c>
      <c r="L4028" s="9">
        <v>2025</v>
      </c>
      <c r="M4028" s="8" t="s">
        <v>23975</v>
      </c>
      <c r="N4028" s="8" t="s">
        <v>41</v>
      </c>
      <c r="O4028" s="8" t="s">
        <v>278</v>
      </c>
      <c r="P4028" s="6" t="s">
        <v>43</v>
      </c>
      <c r="Q4028" s="8" t="s">
        <v>102</v>
      </c>
      <c r="R4028" s="10" t="s">
        <v>23976</v>
      </c>
      <c r="S4028" s="11" t="s">
        <v>8173</v>
      </c>
      <c r="T4028" s="6"/>
      <c r="U4028" s="24" t="str">
        <f>HYPERLINK("https://media.infra-m.ru/2163/2163904/cover/2163904.jpg", "Обложка")</f>
        <v>Обложка</v>
      </c>
      <c r="V4028" s="24" t="str">
        <f>HYPERLINK("https://znanium.ru/catalog/product/1229811", "Ознакомиться")</f>
        <v>Ознакомиться</v>
      </c>
      <c r="W4028" s="8" t="s">
        <v>8174</v>
      </c>
      <c r="X4028" s="6"/>
      <c r="Y4028" s="6"/>
      <c r="Z4028" s="6"/>
      <c r="AA4028" s="6" t="s">
        <v>84</v>
      </c>
      <c r="AB4028" s="8"/>
    </row>
    <row r="4029" spans="1:28" s="4" customFormat="1" ht="51.95" customHeight="1">
      <c r="A4029" s="5">
        <v>0</v>
      </c>
      <c r="B4029" s="6" t="s">
        <v>23977</v>
      </c>
      <c r="C4029" s="13">
        <v>1394</v>
      </c>
      <c r="D4029" s="8" t="s">
        <v>23978</v>
      </c>
      <c r="E4029" s="8" t="s">
        <v>23979</v>
      </c>
      <c r="F4029" s="8" t="s">
        <v>23980</v>
      </c>
      <c r="G4029" s="6" t="s">
        <v>52</v>
      </c>
      <c r="H4029" s="6" t="s">
        <v>53</v>
      </c>
      <c r="I4029" s="8" t="s">
        <v>90</v>
      </c>
      <c r="J4029" s="9">
        <v>1</v>
      </c>
      <c r="K4029" s="9">
        <v>304</v>
      </c>
      <c r="L4029" s="9">
        <v>2024</v>
      </c>
      <c r="M4029" s="8" t="s">
        <v>23981</v>
      </c>
      <c r="N4029" s="8" t="s">
        <v>997</v>
      </c>
      <c r="O4029" s="8" t="s">
        <v>998</v>
      </c>
      <c r="P4029" s="6" t="s">
        <v>43</v>
      </c>
      <c r="Q4029" s="8" t="s">
        <v>44</v>
      </c>
      <c r="R4029" s="10" t="s">
        <v>23982</v>
      </c>
      <c r="S4029" s="11"/>
      <c r="T4029" s="6"/>
      <c r="U4029" s="24" t="str">
        <f>HYPERLINK("https://media.infra-m.ru/2102/2102175/cover/2102175.jpg", "Обложка")</f>
        <v>Обложка</v>
      </c>
      <c r="V4029" s="24" t="str">
        <f>HYPERLINK("https://znanium.ru/catalog/product/1839701", "Ознакомиться")</f>
        <v>Ознакомиться</v>
      </c>
      <c r="W4029" s="8" t="s">
        <v>9191</v>
      </c>
      <c r="X4029" s="6"/>
      <c r="Y4029" s="6"/>
      <c r="Z4029" s="6"/>
      <c r="AA4029" s="6" t="s">
        <v>84</v>
      </c>
      <c r="AB4029" s="8"/>
    </row>
    <row r="4030" spans="1:28" s="4" customFormat="1" ht="51.95" customHeight="1">
      <c r="A4030" s="5">
        <v>0</v>
      </c>
      <c r="B4030" s="6" t="s">
        <v>23983</v>
      </c>
      <c r="C4030" s="13">
        <v>1184</v>
      </c>
      <c r="D4030" s="8" t="s">
        <v>23984</v>
      </c>
      <c r="E4030" s="8" t="s">
        <v>23985</v>
      </c>
      <c r="F4030" s="8" t="s">
        <v>9982</v>
      </c>
      <c r="G4030" s="6" t="s">
        <v>52</v>
      </c>
      <c r="H4030" s="6" t="s">
        <v>77</v>
      </c>
      <c r="I4030" s="8"/>
      <c r="J4030" s="9">
        <v>1</v>
      </c>
      <c r="K4030" s="9">
        <v>252</v>
      </c>
      <c r="L4030" s="9">
        <v>2024</v>
      </c>
      <c r="M4030" s="8" t="s">
        <v>23986</v>
      </c>
      <c r="N4030" s="8" t="s">
        <v>79</v>
      </c>
      <c r="O4030" s="8" t="s">
        <v>174</v>
      </c>
      <c r="P4030" s="6" t="s">
        <v>1046</v>
      </c>
      <c r="Q4030" s="8" t="s">
        <v>58</v>
      </c>
      <c r="R4030" s="10" t="s">
        <v>23987</v>
      </c>
      <c r="S4030" s="11" t="s">
        <v>23988</v>
      </c>
      <c r="T4030" s="6"/>
      <c r="U4030" s="24" t="str">
        <f>HYPERLINK("https://media.infra-m.ru/2126/2126886/cover/2126886.jpg", "Обложка")</f>
        <v>Обложка</v>
      </c>
      <c r="V4030" s="24" t="str">
        <f>HYPERLINK("https://znanium.ru/catalog/product/1002371", "Ознакомиться")</f>
        <v>Ознакомиться</v>
      </c>
      <c r="W4030" s="8" t="s">
        <v>5973</v>
      </c>
      <c r="X4030" s="6"/>
      <c r="Y4030" s="6"/>
      <c r="Z4030" s="6"/>
      <c r="AA4030" s="6" t="s">
        <v>72</v>
      </c>
      <c r="AB4030" s="8"/>
    </row>
    <row r="4031" spans="1:28" s="4" customFormat="1" ht="44.1" customHeight="1">
      <c r="A4031" s="5">
        <v>0</v>
      </c>
      <c r="B4031" s="6" t="s">
        <v>23989</v>
      </c>
      <c r="C4031" s="7">
        <v>654</v>
      </c>
      <c r="D4031" s="8" t="s">
        <v>23990</v>
      </c>
      <c r="E4031" s="8" t="s">
        <v>23991</v>
      </c>
      <c r="F4031" s="8" t="s">
        <v>9982</v>
      </c>
      <c r="G4031" s="6" t="s">
        <v>38</v>
      </c>
      <c r="H4031" s="6" t="s">
        <v>53</v>
      </c>
      <c r="I4031" s="8" t="s">
        <v>1622</v>
      </c>
      <c r="J4031" s="9">
        <v>1</v>
      </c>
      <c r="K4031" s="9">
        <v>142</v>
      </c>
      <c r="L4031" s="9">
        <v>2024</v>
      </c>
      <c r="M4031" s="8" t="s">
        <v>23992</v>
      </c>
      <c r="N4031" s="8" t="s">
        <v>79</v>
      </c>
      <c r="O4031" s="8" t="s">
        <v>174</v>
      </c>
      <c r="P4031" s="6" t="s">
        <v>3155</v>
      </c>
      <c r="Q4031" s="8" t="s">
        <v>18613</v>
      </c>
      <c r="R4031" s="10" t="s">
        <v>23993</v>
      </c>
      <c r="S4031" s="11"/>
      <c r="T4031" s="6"/>
      <c r="U4031" s="24" t="str">
        <f>HYPERLINK("https://media.infra-m.ru/2081/2081766/cover/2081766.jpg", "Обложка")</f>
        <v>Обложка</v>
      </c>
      <c r="V4031" s="24" t="str">
        <f>HYPERLINK("https://znanium.ru/catalog/product/1841749", "Ознакомиться")</f>
        <v>Ознакомиться</v>
      </c>
      <c r="W4031" s="8" t="s">
        <v>5973</v>
      </c>
      <c r="X4031" s="6"/>
      <c r="Y4031" s="6"/>
      <c r="Z4031" s="6"/>
      <c r="AA4031" s="6" t="s">
        <v>84</v>
      </c>
      <c r="AB4031" s="8"/>
    </row>
    <row r="4032" spans="1:28" s="4" customFormat="1" ht="51.95" customHeight="1">
      <c r="A4032" s="5">
        <v>0</v>
      </c>
      <c r="B4032" s="6" t="s">
        <v>23994</v>
      </c>
      <c r="C4032" s="7">
        <v>534</v>
      </c>
      <c r="D4032" s="8" t="s">
        <v>23995</v>
      </c>
      <c r="E4032" s="8" t="s">
        <v>23996</v>
      </c>
      <c r="F4032" s="8" t="s">
        <v>9982</v>
      </c>
      <c r="G4032" s="6" t="s">
        <v>38</v>
      </c>
      <c r="H4032" s="6" t="s">
        <v>53</v>
      </c>
      <c r="I4032" s="8" t="s">
        <v>116</v>
      </c>
      <c r="J4032" s="9">
        <v>1</v>
      </c>
      <c r="K4032" s="9">
        <v>112</v>
      </c>
      <c r="L4032" s="9">
        <v>2024</v>
      </c>
      <c r="M4032" s="8" t="s">
        <v>23997</v>
      </c>
      <c r="N4032" s="8" t="s">
        <v>79</v>
      </c>
      <c r="O4032" s="8" t="s">
        <v>174</v>
      </c>
      <c r="P4032" s="6" t="s">
        <v>43</v>
      </c>
      <c r="Q4032" s="8" t="s">
        <v>214</v>
      </c>
      <c r="R4032" s="10" t="s">
        <v>23998</v>
      </c>
      <c r="S4032" s="11" t="s">
        <v>23999</v>
      </c>
      <c r="T4032" s="6"/>
      <c r="U4032" s="24" t="str">
        <f>HYPERLINK("https://media.infra-m.ru/2144/2144961/cover/2144961.jpg", "Обложка")</f>
        <v>Обложка</v>
      </c>
      <c r="V4032" s="24" t="str">
        <f>HYPERLINK("https://znanium.ru/catalog/product/1841413", "Ознакомиться")</f>
        <v>Ознакомиться</v>
      </c>
      <c r="W4032" s="8" t="s">
        <v>5973</v>
      </c>
      <c r="X4032" s="6"/>
      <c r="Y4032" s="6"/>
      <c r="Z4032" s="6"/>
      <c r="AA4032" s="6" t="s">
        <v>47</v>
      </c>
      <c r="AB4032" s="8"/>
    </row>
    <row r="4033" spans="1:28" s="4" customFormat="1" ht="51.95" customHeight="1">
      <c r="A4033" s="5">
        <v>0</v>
      </c>
      <c r="B4033" s="6" t="s">
        <v>24000</v>
      </c>
      <c r="C4033" s="7">
        <v>710</v>
      </c>
      <c r="D4033" s="8" t="s">
        <v>24001</v>
      </c>
      <c r="E4033" s="8" t="s">
        <v>24002</v>
      </c>
      <c r="F4033" s="8" t="s">
        <v>24003</v>
      </c>
      <c r="G4033" s="6" t="s">
        <v>52</v>
      </c>
      <c r="H4033" s="6" t="s">
        <v>53</v>
      </c>
      <c r="I4033" s="8" t="s">
        <v>782</v>
      </c>
      <c r="J4033" s="9">
        <v>1</v>
      </c>
      <c r="K4033" s="9">
        <v>148</v>
      </c>
      <c r="L4033" s="9">
        <v>2024</v>
      </c>
      <c r="M4033" s="8" t="s">
        <v>24004</v>
      </c>
      <c r="N4033" s="8" t="s">
        <v>41</v>
      </c>
      <c r="O4033" s="8" t="s">
        <v>676</v>
      </c>
      <c r="P4033" s="6" t="s">
        <v>43</v>
      </c>
      <c r="Q4033" s="8" t="s">
        <v>58</v>
      </c>
      <c r="R4033" s="10" t="s">
        <v>806</v>
      </c>
      <c r="S4033" s="11"/>
      <c r="T4033" s="6"/>
      <c r="U4033" s="24" t="str">
        <f>HYPERLINK("https://media.infra-m.ru/2130/2130600/cover/2130600.jpg", "Обложка")</f>
        <v>Обложка</v>
      </c>
      <c r="V4033" s="12"/>
      <c r="W4033" s="8" t="s">
        <v>784</v>
      </c>
      <c r="X4033" s="6"/>
      <c r="Y4033" s="6"/>
      <c r="Z4033" s="6"/>
      <c r="AA4033" s="6" t="s">
        <v>133</v>
      </c>
      <c r="AB4033" s="8"/>
    </row>
    <row r="4034" spans="1:28" s="4" customFormat="1" ht="51.95" customHeight="1">
      <c r="A4034" s="5">
        <v>0</v>
      </c>
      <c r="B4034" s="6" t="s">
        <v>24005</v>
      </c>
      <c r="C4034" s="7">
        <v>560</v>
      </c>
      <c r="D4034" s="8" t="s">
        <v>24006</v>
      </c>
      <c r="E4034" s="8" t="s">
        <v>24007</v>
      </c>
      <c r="F4034" s="8" t="s">
        <v>24008</v>
      </c>
      <c r="G4034" s="6" t="s">
        <v>38</v>
      </c>
      <c r="H4034" s="6" t="s">
        <v>674</v>
      </c>
      <c r="I4034" s="8"/>
      <c r="J4034" s="9">
        <v>1</v>
      </c>
      <c r="K4034" s="9">
        <v>112</v>
      </c>
      <c r="L4034" s="9">
        <v>2025</v>
      </c>
      <c r="M4034" s="8" t="s">
        <v>24009</v>
      </c>
      <c r="N4034" s="8" t="s">
        <v>41</v>
      </c>
      <c r="O4034" s="8" t="s">
        <v>676</v>
      </c>
      <c r="P4034" s="6" t="s">
        <v>43</v>
      </c>
      <c r="Q4034" s="8" t="s">
        <v>44</v>
      </c>
      <c r="R4034" s="10" t="s">
        <v>983</v>
      </c>
      <c r="S4034" s="11"/>
      <c r="T4034" s="6"/>
      <c r="U4034" s="24" t="str">
        <f>HYPERLINK("https://media.infra-m.ru/2170/2170034/cover/2170034.jpg", "Обложка")</f>
        <v>Обложка</v>
      </c>
      <c r="V4034" s="24" t="str">
        <f>HYPERLINK("https://znanium.ru/catalog/product/2170034", "Ознакомиться")</f>
        <v>Ознакомиться</v>
      </c>
      <c r="W4034" s="8" t="s">
        <v>792</v>
      </c>
      <c r="X4034" s="6"/>
      <c r="Y4034" s="6"/>
      <c r="Z4034" s="6"/>
      <c r="AA4034" s="6" t="s">
        <v>442</v>
      </c>
      <c r="AB4034" s="8"/>
    </row>
    <row r="4035" spans="1:28" s="4" customFormat="1" ht="51.95" customHeight="1">
      <c r="A4035" s="5">
        <v>0</v>
      </c>
      <c r="B4035" s="6" t="s">
        <v>24010</v>
      </c>
      <c r="C4035" s="13">
        <v>1190</v>
      </c>
      <c r="D4035" s="8" t="s">
        <v>24011</v>
      </c>
      <c r="E4035" s="8" t="s">
        <v>24012</v>
      </c>
      <c r="F4035" s="8" t="s">
        <v>24013</v>
      </c>
      <c r="G4035" s="6" t="s">
        <v>52</v>
      </c>
      <c r="H4035" s="6" t="s">
        <v>53</v>
      </c>
      <c r="I4035" s="8" t="s">
        <v>782</v>
      </c>
      <c r="J4035" s="9">
        <v>1</v>
      </c>
      <c r="K4035" s="9">
        <v>231</v>
      </c>
      <c r="L4035" s="9">
        <v>2025</v>
      </c>
      <c r="M4035" s="8" t="s">
        <v>24014</v>
      </c>
      <c r="N4035" s="8" t="s">
        <v>56</v>
      </c>
      <c r="O4035" s="8" t="s">
        <v>57</v>
      </c>
      <c r="P4035" s="6" t="s">
        <v>167</v>
      </c>
      <c r="Q4035" s="8" t="s">
        <v>44</v>
      </c>
      <c r="R4035" s="10" t="s">
        <v>24015</v>
      </c>
      <c r="S4035" s="11" t="s">
        <v>24016</v>
      </c>
      <c r="T4035" s="6"/>
      <c r="U4035" s="24" t="str">
        <f>HYPERLINK("https://media.infra-m.ru/2168/2168125/cover/2168125.jpg", "Обложка")</f>
        <v>Обложка</v>
      </c>
      <c r="V4035" s="12"/>
      <c r="W4035" s="8" t="s">
        <v>784</v>
      </c>
      <c r="X4035" s="6" t="s">
        <v>785</v>
      </c>
      <c r="Y4035" s="6"/>
      <c r="Z4035" s="6"/>
      <c r="AA4035" s="6" t="s">
        <v>61</v>
      </c>
      <c r="AB4035" s="8"/>
    </row>
    <row r="4036" spans="1:28" s="4" customFormat="1" ht="42" customHeight="1">
      <c r="A4036" s="5">
        <v>0</v>
      </c>
      <c r="B4036" s="6" t="s">
        <v>24017</v>
      </c>
      <c r="C4036" s="13">
        <v>1160</v>
      </c>
      <c r="D4036" s="8" t="s">
        <v>24018</v>
      </c>
      <c r="E4036" s="8" t="s">
        <v>24019</v>
      </c>
      <c r="F4036" s="8" t="s">
        <v>24020</v>
      </c>
      <c r="G4036" s="6" t="s">
        <v>52</v>
      </c>
      <c r="H4036" s="6" t="s">
        <v>53</v>
      </c>
      <c r="I4036" s="8" t="s">
        <v>165</v>
      </c>
      <c r="J4036" s="9">
        <v>1</v>
      </c>
      <c r="K4036" s="9">
        <v>217</v>
      </c>
      <c r="L4036" s="9">
        <v>2024</v>
      </c>
      <c r="M4036" s="8" t="s">
        <v>24021</v>
      </c>
      <c r="N4036" s="8" t="s">
        <v>56</v>
      </c>
      <c r="O4036" s="8" t="s">
        <v>57</v>
      </c>
      <c r="P4036" s="6" t="s">
        <v>167</v>
      </c>
      <c r="Q4036" s="8" t="s">
        <v>58</v>
      </c>
      <c r="R4036" s="10" t="s">
        <v>157</v>
      </c>
      <c r="S4036" s="11"/>
      <c r="T4036" s="6"/>
      <c r="U4036" s="24" t="str">
        <f>HYPERLINK("https://media.infra-m.ru/2091/2091824/cover/2091824.jpg", "Обложка")</f>
        <v>Обложка</v>
      </c>
      <c r="V4036" s="24" t="str">
        <f>HYPERLINK("https://znanium.ru/catalog/product/2091824", "Ознакомиться")</f>
        <v>Ознакомиться</v>
      </c>
      <c r="W4036" s="8" t="s">
        <v>83</v>
      </c>
      <c r="X4036" s="6" t="s">
        <v>548</v>
      </c>
      <c r="Y4036" s="6"/>
      <c r="Z4036" s="6"/>
      <c r="AA4036" s="6" t="s">
        <v>133</v>
      </c>
      <c r="AB4036" s="8"/>
    </row>
    <row r="4037" spans="1:28" s="4" customFormat="1" ht="42" customHeight="1">
      <c r="A4037" s="5">
        <v>0</v>
      </c>
      <c r="B4037" s="6" t="s">
        <v>24022</v>
      </c>
      <c r="C4037" s="7">
        <v>680</v>
      </c>
      <c r="D4037" s="8" t="s">
        <v>24023</v>
      </c>
      <c r="E4037" s="8" t="s">
        <v>24024</v>
      </c>
      <c r="F4037" s="8" t="s">
        <v>24025</v>
      </c>
      <c r="G4037" s="6" t="s">
        <v>89</v>
      </c>
      <c r="H4037" s="6" t="s">
        <v>53</v>
      </c>
      <c r="I4037" s="8" t="s">
        <v>212</v>
      </c>
      <c r="J4037" s="9">
        <v>1</v>
      </c>
      <c r="K4037" s="9">
        <v>147</v>
      </c>
      <c r="L4037" s="9">
        <v>2022</v>
      </c>
      <c r="M4037" s="8" t="s">
        <v>24026</v>
      </c>
      <c r="N4037" s="8" t="s">
        <v>79</v>
      </c>
      <c r="O4037" s="8" t="s">
        <v>174</v>
      </c>
      <c r="P4037" s="6" t="s">
        <v>43</v>
      </c>
      <c r="Q4037" s="8" t="s">
        <v>214</v>
      </c>
      <c r="R4037" s="10" t="s">
        <v>24027</v>
      </c>
      <c r="S4037" s="11"/>
      <c r="T4037" s="6" t="s">
        <v>299</v>
      </c>
      <c r="U4037" s="24" t="str">
        <f>HYPERLINK("https://media.infra-m.ru/1841/1841411/cover/1841411.jpg", "Обложка")</f>
        <v>Обложка</v>
      </c>
      <c r="V4037" s="24" t="str">
        <f>HYPERLINK("https://znanium.ru/catalog/product/1841411", "Ознакомиться")</f>
        <v>Ознакомиться</v>
      </c>
      <c r="W4037" s="8" t="s">
        <v>5973</v>
      </c>
      <c r="X4037" s="6"/>
      <c r="Y4037" s="6"/>
      <c r="Z4037" s="6"/>
      <c r="AA4037" s="6" t="s">
        <v>258</v>
      </c>
      <c r="AB4037" s="8"/>
    </row>
    <row r="4038" spans="1:28" s="4" customFormat="1" ht="51.95" customHeight="1">
      <c r="A4038" s="5">
        <v>0</v>
      </c>
      <c r="B4038" s="6" t="s">
        <v>24028</v>
      </c>
      <c r="C4038" s="13">
        <v>1290</v>
      </c>
      <c r="D4038" s="8" t="s">
        <v>24029</v>
      </c>
      <c r="E4038" s="8" t="s">
        <v>24030</v>
      </c>
      <c r="F4038" s="8" t="s">
        <v>24031</v>
      </c>
      <c r="G4038" s="6" t="s">
        <v>89</v>
      </c>
      <c r="H4038" s="6" t="s">
        <v>77</v>
      </c>
      <c r="I4038" s="8" t="s">
        <v>116</v>
      </c>
      <c r="J4038" s="9">
        <v>1</v>
      </c>
      <c r="K4038" s="9">
        <v>272</v>
      </c>
      <c r="L4038" s="9">
        <v>2024</v>
      </c>
      <c r="M4038" s="8" t="s">
        <v>24032</v>
      </c>
      <c r="N4038" s="8" t="s">
        <v>41</v>
      </c>
      <c r="O4038" s="8" t="s">
        <v>676</v>
      </c>
      <c r="P4038" s="6" t="s">
        <v>43</v>
      </c>
      <c r="Q4038" s="8" t="s">
        <v>44</v>
      </c>
      <c r="R4038" s="10" t="s">
        <v>24033</v>
      </c>
      <c r="S4038" s="11" t="s">
        <v>24034</v>
      </c>
      <c r="T4038" s="6"/>
      <c r="U4038" s="24" t="str">
        <f>HYPERLINK("https://media.infra-m.ru/2119/2119942/cover/2119942.jpg", "Обложка")</f>
        <v>Обложка</v>
      </c>
      <c r="V4038" s="24" t="str">
        <f>HYPERLINK("https://znanium.ru/catalog/product/2119942", "Ознакомиться")</f>
        <v>Ознакомиться</v>
      </c>
      <c r="W4038" s="8" t="s">
        <v>800</v>
      </c>
      <c r="X4038" s="6"/>
      <c r="Y4038" s="6"/>
      <c r="Z4038" s="6"/>
      <c r="AA4038" s="6" t="s">
        <v>111</v>
      </c>
      <c r="AB4038" s="8"/>
    </row>
    <row r="4039" spans="1:28" s="4" customFormat="1" ht="42" customHeight="1">
      <c r="A4039" s="5">
        <v>0</v>
      </c>
      <c r="B4039" s="6" t="s">
        <v>24035</v>
      </c>
      <c r="C4039" s="13">
        <v>1260</v>
      </c>
      <c r="D4039" s="8" t="s">
        <v>24036</v>
      </c>
      <c r="E4039" s="8" t="s">
        <v>24030</v>
      </c>
      <c r="F4039" s="8" t="s">
        <v>24031</v>
      </c>
      <c r="G4039" s="6" t="s">
        <v>89</v>
      </c>
      <c r="H4039" s="6" t="s">
        <v>77</v>
      </c>
      <c r="I4039" s="8" t="s">
        <v>100</v>
      </c>
      <c r="J4039" s="9">
        <v>1</v>
      </c>
      <c r="K4039" s="9">
        <v>272</v>
      </c>
      <c r="L4039" s="9">
        <v>2024</v>
      </c>
      <c r="M4039" s="8" t="s">
        <v>24037</v>
      </c>
      <c r="N4039" s="8" t="s">
        <v>41</v>
      </c>
      <c r="O4039" s="8" t="s">
        <v>676</v>
      </c>
      <c r="P4039" s="6" t="s">
        <v>43</v>
      </c>
      <c r="Q4039" s="8" t="s">
        <v>102</v>
      </c>
      <c r="R4039" s="10" t="s">
        <v>256</v>
      </c>
      <c r="S4039" s="11"/>
      <c r="T4039" s="6"/>
      <c r="U4039" s="24" t="str">
        <f>HYPERLINK("https://media.infra-m.ru/2096/2096783/cover/2096783.jpg", "Обложка")</f>
        <v>Обложка</v>
      </c>
      <c r="V4039" s="24" t="str">
        <f>HYPERLINK("https://znanium.ru/catalog/product/2096783", "Ознакомиться")</f>
        <v>Ознакомиться</v>
      </c>
      <c r="W4039" s="8" t="s">
        <v>800</v>
      </c>
      <c r="X4039" s="6"/>
      <c r="Y4039" s="6"/>
      <c r="Z4039" s="6" t="s">
        <v>104</v>
      </c>
      <c r="AA4039" s="6" t="s">
        <v>207</v>
      </c>
      <c r="AB4039" s="8"/>
    </row>
    <row r="4040" spans="1:28" s="4" customFormat="1" ht="51.95" customHeight="1">
      <c r="A4040" s="5">
        <v>0</v>
      </c>
      <c r="B4040" s="6" t="s">
        <v>24038</v>
      </c>
      <c r="C4040" s="7">
        <v>910</v>
      </c>
      <c r="D4040" s="8" t="s">
        <v>24039</v>
      </c>
      <c r="E4040" s="8" t="s">
        <v>24040</v>
      </c>
      <c r="F4040" s="8" t="s">
        <v>24041</v>
      </c>
      <c r="G4040" s="6" t="s">
        <v>89</v>
      </c>
      <c r="H4040" s="6" t="s">
        <v>53</v>
      </c>
      <c r="I4040" s="8" t="s">
        <v>4767</v>
      </c>
      <c r="J4040" s="9">
        <v>1</v>
      </c>
      <c r="K4040" s="9">
        <v>198</v>
      </c>
      <c r="L4040" s="9">
        <v>2024</v>
      </c>
      <c r="M4040" s="8" t="s">
        <v>24042</v>
      </c>
      <c r="N4040" s="8" t="s">
        <v>997</v>
      </c>
      <c r="O4040" s="8" t="s">
        <v>998</v>
      </c>
      <c r="P4040" s="6" t="s">
        <v>43</v>
      </c>
      <c r="Q4040" s="8" t="s">
        <v>44</v>
      </c>
      <c r="R4040" s="10" t="s">
        <v>12353</v>
      </c>
      <c r="S4040" s="11" t="s">
        <v>24043</v>
      </c>
      <c r="T4040" s="6"/>
      <c r="U4040" s="24" t="str">
        <f>HYPERLINK("https://media.infra-m.ru/2080/2080363/cover/2080363.jpg", "Обложка")</f>
        <v>Обложка</v>
      </c>
      <c r="V4040" s="24" t="str">
        <f>HYPERLINK("https://znanium.ru/catalog/product/2080363", "Ознакомиться")</f>
        <v>Ознакомиться</v>
      </c>
      <c r="W4040" s="8" t="s">
        <v>46</v>
      </c>
      <c r="X4040" s="6"/>
      <c r="Y4040" s="6"/>
      <c r="Z4040" s="6"/>
      <c r="AA4040" s="6" t="s">
        <v>793</v>
      </c>
      <c r="AB4040" s="8"/>
    </row>
    <row r="4041" spans="1:28" s="4" customFormat="1" ht="51.95" customHeight="1">
      <c r="A4041" s="5">
        <v>0</v>
      </c>
      <c r="B4041" s="6" t="s">
        <v>24044</v>
      </c>
      <c r="C4041" s="13">
        <v>1030</v>
      </c>
      <c r="D4041" s="8" t="s">
        <v>24045</v>
      </c>
      <c r="E4041" s="8" t="s">
        <v>24040</v>
      </c>
      <c r="F4041" s="8" t="s">
        <v>24041</v>
      </c>
      <c r="G4041" s="6" t="s">
        <v>89</v>
      </c>
      <c r="H4041" s="6" t="s">
        <v>53</v>
      </c>
      <c r="I4041" s="8" t="s">
        <v>100</v>
      </c>
      <c r="J4041" s="9">
        <v>1</v>
      </c>
      <c r="K4041" s="9">
        <v>198</v>
      </c>
      <c r="L4041" s="9">
        <v>2025</v>
      </c>
      <c r="M4041" s="8" t="s">
        <v>24046</v>
      </c>
      <c r="N4041" s="8" t="s">
        <v>997</v>
      </c>
      <c r="O4041" s="8" t="s">
        <v>998</v>
      </c>
      <c r="P4041" s="6" t="s">
        <v>43</v>
      </c>
      <c r="Q4041" s="8" t="s">
        <v>102</v>
      </c>
      <c r="R4041" s="10" t="s">
        <v>24047</v>
      </c>
      <c r="S4041" s="11" t="s">
        <v>24048</v>
      </c>
      <c r="T4041" s="6"/>
      <c r="U4041" s="24" t="str">
        <f>HYPERLINK("https://media.infra-m.ru/2197/2197219/cover/2197219.jpg", "Обложка")</f>
        <v>Обложка</v>
      </c>
      <c r="V4041" s="24" t="str">
        <f>HYPERLINK("https://znanium.ru/catalog/product/2197219", "Ознакомиться")</f>
        <v>Ознакомиться</v>
      </c>
      <c r="W4041" s="8" t="s">
        <v>46</v>
      </c>
      <c r="X4041" s="6"/>
      <c r="Y4041" s="6"/>
      <c r="Z4041" s="6" t="s">
        <v>104</v>
      </c>
      <c r="AA4041" s="6" t="s">
        <v>219</v>
      </c>
      <c r="AB4041" s="8"/>
    </row>
    <row r="4042" spans="1:28" s="4" customFormat="1" ht="51.95" customHeight="1">
      <c r="A4042" s="5">
        <v>0</v>
      </c>
      <c r="B4042" s="6" t="s">
        <v>24049</v>
      </c>
      <c r="C4042" s="13">
        <v>1134</v>
      </c>
      <c r="D4042" s="8" t="s">
        <v>24050</v>
      </c>
      <c r="E4042" s="8" t="s">
        <v>24051</v>
      </c>
      <c r="F4042" s="8" t="s">
        <v>7574</v>
      </c>
      <c r="G4042" s="6" t="s">
        <v>89</v>
      </c>
      <c r="H4042" s="6" t="s">
        <v>53</v>
      </c>
      <c r="I4042" s="8" t="s">
        <v>100</v>
      </c>
      <c r="J4042" s="9">
        <v>1</v>
      </c>
      <c r="K4042" s="9">
        <v>242</v>
      </c>
      <c r="L4042" s="9">
        <v>2024</v>
      </c>
      <c r="M4042" s="8" t="s">
        <v>24052</v>
      </c>
      <c r="N4042" s="8" t="s">
        <v>413</v>
      </c>
      <c r="O4042" s="8" t="s">
        <v>414</v>
      </c>
      <c r="P4042" s="6" t="s">
        <v>43</v>
      </c>
      <c r="Q4042" s="8" t="s">
        <v>102</v>
      </c>
      <c r="R4042" s="10" t="s">
        <v>24053</v>
      </c>
      <c r="S4042" s="11" t="s">
        <v>24054</v>
      </c>
      <c r="T4042" s="6"/>
      <c r="U4042" s="24" t="str">
        <f>HYPERLINK("https://media.infra-m.ru/2155/2155759/cover/2155759.jpg", "Обложка")</f>
        <v>Обложка</v>
      </c>
      <c r="V4042" s="24" t="str">
        <f>HYPERLINK("https://znanium.ru/catalog/product/1851433", "Ознакомиться")</f>
        <v>Ознакомиться</v>
      </c>
      <c r="W4042" s="8" t="s">
        <v>947</v>
      </c>
      <c r="X4042" s="6"/>
      <c r="Y4042" s="6"/>
      <c r="Z4042" s="6" t="s">
        <v>104</v>
      </c>
      <c r="AA4042" s="6" t="s">
        <v>219</v>
      </c>
      <c r="AB4042" s="8"/>
    </row>
    <row r="4043" spans="1:28" s="4" customFormat="1" ht="51.95" customHeight="1">
      <c r="A4043" s="5">
        <v>0</v>
      </c>
      <c r="B4043" s="6" t="s">
        <v>24055</v>
      </c>
      <c r="C4043" s="13">
        <v>1210</v>
      </c>
      <c r="D4043" s="8" t="s">
        <v>24056</v>
      </c>
      <c r="E4043" s="8" t="s">
        <v>24051</v>
      </c>
      <c r="F4043" s="8" t="s">
        <v>7574</v>
      </c>
      <c r="G4043" s="6" t="s">
        <v>89</v>
      </c>
      <c r="H4043" s="6" t="s">
        <v>53</v>
      </c>
      <c r="I4043" s="8" t="s">
        <v>116</v>
      </c>
      <c r="J4043" s="9">
        <v>1</v>
      </c>
      <c r="K4043" s="9">
        <v>242</v>
      </c>
      <c r="L4043" s="9">
        <v>2025</v>
      </c>
      <c r="M4043" s="8" t="s">
        <v>24057</v>
      </c>
      <c r="N4043" s="8" t="s">
        <v>413</v>
      </c>
      <c r="O4043" s="8" t="s">
        <v>414</v>
      </c>
      <c r="P4043" s="6" t="s">
        <v>43</v>
      </c>
      <c r="Q4043" s="8" t="s">
        <v>44</v>
      </c>
      <c r="R4043" s="10" t="s">
        <v>24058</v>
      </c>
      <c r="S4043" s="11" t="s">
        <v>24059</v>
      </c>
      <c r="T4043" s="6"/>
      <c r="U4043" s="24" t="str">
        <f>HYPERLINK("https://media.infra-m.ru/2168/2168872/cover/2168872.jpg", "Обложка")</f>
        <v>Обложка</v>
      </c>
      <c r="V4043" s="24" t="str">
        <f>HYPERLINK("https://znanium.ru/catalog/product/2168872", "Ознакомиться")</f>
        <v>Ознакомиться</v>
      </c>
      <c r="W4043" s="8" t="s">
        <v>947</v>
      </c>
      <c r="X4043" s="6"/>
      <c r="Y4043" s="6"/>
      <c r="Z4043" s="6"/>
      <c r="AA4043" s="6" t="s">
        <v>418</v>
      </c>
      <c r="AB4043" s="8"/>
    </row>
    <row r="4044" spans="1:28" s="4" customFormat="1" ht="42" customHeight="1">
      <c r="A4044" s="5">
        <v>0</v>
      </c>
      <c r="B4044" s="6" t="s">
        <v>24060</v>
      </c>
      <c r="C4044" s="13">
        <v>1434</v>
      </c>
      <c r="D4044" s="8" t="s">
        <v>24061</v>
      </c>
      <c r="E4044" s="8" t="s">
        <v>24062</v>
      </c>
      <c r="F4044" s="8" t="s">
        <v>22045</v>
      </c>
      <c r="G4044" s="6" t="s">
        <v>52</v>
      </c>
      <c r="H4044" s="6" t="s">
        <v>39</v>
      </c>
      <c r="I4044" s="8" t="s">
        <v>90</v>
      </c>
      <c r="J4044" s="9">
        <v>1</v>
      </c>
      <c r="K4044" s="9">
        <v>287</v>
      </c>
      <c r="L4044" s="9">
        <v>2025</v>
      </c>
      <c r="M4044" s="8" t="s">
        <v>24063</v>
      </c>
      <c r="N4044" s="8" t="s">
        <v>79</v>
      </c>
      <c r="O4044" s="8" t="s">
        <v>570</v>
      </c>
      <c r="P4044" s="6" t="s">
        <v>43</v>
      </c>
      <c r="Q4044" s="8" t="s">
        <v>44</v>
      </c>
      <c r="R4044" s="10" t="s">
        <v>23650</v>
      </c>
      <c r="S4044" s="11"/>
      <c r="T4044" s="6"/>
      <c r="U4044" s="24" t="str">
        <f>HYPERLINK("https://media.infra-m.ru/2173/2173964/cover/2173964.jpg", "Обложка")</f>
        <v>Обложка</v>
      </c>
      <c r="V4044" s="12"/>
      <c r="W4044" s="8" t="s">
        <v>450</v>
      </c>
      <c r="X4044" s="6"/>
      <c r="Y4044" s="6"/>
      <c r="Z4044" s="6"/>
      <c r="AA4044" s="6" t="s">
        <v>47</v>
      </c>
      <c r="AB4044" s="8"/>
    </row>
    <row r="4045" spans="1:28" s="4" customFormat="1" ht="51.95" customHeight="1">
      <c r="A4045" s="5">
        <v>0</v>
      </c>
      <c r="B4045" s="6" t="s">
        <v>24064</v>
      </c>
      <c r="C4045" s="13">
        <v>1270</v>
      </c>
      <c r="D4045" s="8" t="s">
        <v>24065</v>
      </c>
      <c r="E4045" s="8" t="s">
        <v>24066</v>
      </c>
      <c r="F4045" s="8" t="s">
        <v>24067</v>
      </c>
      <c r="G4045" s="6" t="s">
        <v>52</v>
      </c>
      <c r="H4045" s="6" t="s">
        <v>53</v>
      </c>
      <c r="I4045" s="8" t="s">
        <v>712</v>
      </c>
      <c r="J4045" s="9">
        <v>1</v>
      </c>
      <c r="K4045" s="9">
        <v>273</v>
      </c>
      <c r="L4045" s="9">
        <v>2023</v>
      </c>
      <c r="M4045" s="8" t="s">
        <v>24068</v>
      </c>
      <c r="N4045" s="8" t="s">
        <v>79</v>
      </c>
      <c r="O4045" s="8" t="s">
        <v>396</v>
      </c>
      <c r="P4045" s="6" t="s">
        <v>43</v>
      </c>
      <c r="Q4045" s="8" t="s">
        <v>58</v>
      </c>
      <c r="R4045" s="10" t="s">
        <v>24069</v>
      </c>
      <c r="S4045" s="11" t="s">
        <v>24070</v>
      </c>
      <c r="T4045" s="6"/>
      <c r="U4045" s="24" t="str">
        <f>HYPERLINK("https://media.infra-m.ru/2001/2001720/cover/2001720.jpg", "Обложка")</f>
        <v>Обложка</v>
      </c>
      <c r="V4045" s="24" t="str">
        <f>HYPERLINK("https://znanium.ru/catalog/product/2001720", "Ознакомиться")</f>
        <v>Ознакомиться</v>
      </c>
      <c r="W4045" s="8" t="s">
        <v>716</v>
      </c>
      <c r="X4045" s="6"/>
      <c r="Y4045" s="6"/>
      <c r="Z4045" s="6"/>
      <c r="AA4045" s="6" t="s">
        <v>207</v>
      </c>
      <c r="AB4045" s="8"/>
    </row>
    <row r="4046" spans="1:28" s="4" customFormat="1" ht="51.95" customHeight="1">
      <c r="A4046" s="5">
        <v>0</v>
      </c>
      <c r="B4046" s="6" t="s">
        <v>24071</v>
      </c>
      <c r="C4046" s="13">
        <v>1454</v>
      </c>
      <c r="D4046" s="8" t="s">
        <v>24072</v>
      </c>
      <c r="E4046" s="8" t="s">
        <v>24073</v>
      </c>
      <c r="F4046" s="8" t="s">
        <v>17357</v>
      </c>
      <c r="G4046" s="6" t="s">
        <v>52</v>
      </c>
      <c r="H4046" s="6" t="s">
        <v>53</v>
      </c>
      <c r="I4046" s="8" t="s">
        <v>90</v>
      </c>
      <c r="J4046" s="9">
        <v>1</v>
      </c>
      <c r="K4046" s="9">
        <v>321</v>
      </c>
      <c r="L4046" s="9">
        <v>2023</v>
      </c>
      <c r="M4046" s="8" t="s">
        <v>24074</v>
      </c>
      <c r="N4046" s="8" t="s">
        <v>79</v>
      </c>
      <c r="O4046" s="8" t="s">
        <v>396</v>
      </c>
      <c r="P4046" s="6" t="s">
        <v>43</v>
      </c>
      <c r="Q4046" s="8" t="s">
        <v>44</v>
      </c>
      <c r="R4046" s="10" t="s">
        <v>24075</v>
      </c>
      <c r="S4046" s="11" t="s">
        <v>24076</v>
      </c>
      <c r="T4046" s="6"/>
      <c r="U4046" s="24" t="str">
        <f>HYPERLINK("https://media.infra-m.ru/2006/2006840/cover/2006840.jpg", "Обложка")</f>
        <v>Обложка</v>
      </c>
      <c r="V4046" s="24" t="str">
        <f>HYPERLINK("https://znanium.ru/catalog/product/1092385", "Ознакомиться")</f>
        <v>Ознакомиться</v>
      </c>
      <c r="W4046" s="8" t="s">
        <v>1571</v>
      </c>
      <c r="X4046" s="6"/>
      <c r="Y4046" s="6"/>
      <c r="Z4046" s="6"/>
      <c r="AA4046" s="6" t="s">
        <v>258</v>
      </c>
      <c r="AB4046" s="8"/>
    </row>
    <row r="4047" spans="1:28" s="4" customFormat="1" ht="51.95" customHeight="1">
      <c r="A4047" s="5">
        <v>0</v>
      </c>
      <c r="B4047" s="6" t="s">
        <v>24077</v>
      </c>
      <c r="C4047" s="13">
        <v>1444.9</v>
      </c>
      <c r="D4047" s="8" t="s">
        <v>24078</v>
      </c>
      <c r="E4047" s="8" t="s">
        <v>24073</v>
      </c>
      <c r="F4047" s="8" t="s">
        <v>17357</v>
      </c>
      <c r="G4047" s="6" t="s">
        <v>52</v>
      </c>
      <c r="H4047" s="6" t="s">
        <v>53</v>
      </c>
      <c r="I4047" s="8" t="s">
        <v>100</v>
      </c>
      <c r="J4047" s="9">
        <v>1</v>
      </c>
      <c r="K4047" s="9">
        <v>321</v>
      </c>
      <c r="L4047" s="9">
        <v>2023</v>
      </c>
      <c r="M4047" s="8" t="s">
        <v>24079</v>
      </c>
      <c r="N4047" s="8" t="s">
        <v>79</v>
      </c>
      <c r="O4047" s="8" t="s">
        <v>396</v>
      </c>
      <c r="P4047" s="6" t="s">
        <v>43</v>
      </c>
      <c r="Q4047" s="8" t="s">
        <v>102</v>
      </c>
      <c r="R4047" s="10" t="s">
        <v>24080</v>
      </c>
      <c r="S4047" s="11" t="s">
        <v>24081</v>
      </c>
      <c r="T4047" s="6"/>
      <c r="U4047" s="24" t="str">
        <f>HYPERLINK("https://media.infra-m.ru/1976/1976189/cover/1976189.jpg", "Обложка")</f>
        <v>Обложка</v>
      </c>
      <c r="V4047" s="24" t="str">
        <f>HYPERLINK("https://znanium.ru/catalog/product/1021724", "Ознакомиться")</f>
        <v>Ознакомиться</v>
      </c>
      <c r="W4047" s="8" t="s">
        <v>1571</v>
      </c>
      <c r="X4047" s="6"/>
      <c r="Y4047" s="6"/>
      <c r="Z4047" s="6" t="s">
        <v>104</v>
      </c>
      <c r="AA4047" s="6" t="s">
        <v>793</v>
      </c>
      <c r="AB4047" s="8"/>
    </row>
    <row r="4048" spans="1:28" s="4" customFormat="1" ht="51.95" customHeight="1">
      <c r="A4048" s="5">
        <v>0</v>
      </c>
      <c r="B4048" s="6" t="s">
        <v>24082</v>
      </c>
      <c r="C4048" s="13">
        <v>1090</v>
      </c>
      <c r="D4048" s="8" t="s">
        <v>24083</v>
      </c>
      <c r="E4048" s="8" t="s">
        <v>24084</v>
      </c>
      <c r="F4048" s="8" t="s">
        <v>24085</v>
      </c>
      <c r="G4048" s="6" t="s">
        <v>89</v>
      </c>
      <c r="H4048" s="6" t="s">
        <v>53</v>
      </c>
      <c r="I4048" s="8" t="s">
        <v>116</v>
      </c>
      <c r="J4048" s="9">
        <v>1</v>
      </c>
      <c r="K4048" s="9">
        <v>211</v>
      </c>
      <c r="L4048" s="9">
        <v>2025</v>
      </c>
      <c r="M4048" s="8" t="s">
        <v>24086</v>
      </c>
      <c r="N4048" s="8" t="s">
        <v>79</v>
      </c>
      <c r="O4048" s="8" t="s">
        <v>396</v>
      </c>
      <c r="P4048" s="6" t="s">
        <v>43</v>
      </c>
      <c r="Q4048" s="8" t="s">
        <v>44</v>
      </c>
      <c r="R4048" s="10" t="s">
        <v>24087</v>
      </c>
      <c r="S4048" s="11" t="s">
        <v>24088</v>
      </c>
      <c r="T4048" s="6"/>
      <c r="U4048" s="24" t="str">
        <f>HYPERLINK("https://media.infra-m.ru/2168/2168873/cover/2168873.jpg", "Обложка")</f>
        <v>Обложка</v>
      </c>
      <c r="V4048" s="24" t="str">
        <f>HYPERLINK("https://znanium.ru/catalog/product/2168873", "Ознакомиться")</f>
        <v>Ознакомиться</v>
      </c>
      <c r="W4048" s="8" t="s">
        <v>11097</v>
      </c>
      <c r="X4048" s="6"/>
      <c r="Y4048" s="6"/>
      <c r="Z4048" s="6"/>
      <c r="AA4048" s="6" t="s">
        <v>622</v>
      </c>
      <c r="AB4048" s="8"/>
    </row>
    <row r="4049" spans="1:28" s="4" customFormat="1" ht="51.95" customHeight="1">
      <c r="A4049" s="5">
        <v>0</v>
      </c>
      <c r="B4049" s="6" t="s">
        <v>24089</v>
      </c>
      <c r="C4049" s="13">
        <v>2064</v>
      </c>
      <c r="D4049" s="8" t="s">
        <v>24090</v>
      </c>
      <c r="E4049" s="8" t="s">
        <v>24091</v>
      </c>
      <c r="F4049" s="8" t="s">
        <v>24092</v>
      </c>
      <c r="G4049" s="6" t="s">
        <v>52</v>
      </c>
      <c r="H4049" s="6" t="s">
        <v>53</v>
      </c>
      <c r="I4049" s="8" t="s">
        <v>90</v>
      </c>
      <c r="J4049" s="9">
        <v>1</v>
      </c>
      <c r="K4049" s="9">
        <v>412</v>
      </c>
      <c r="L4049" s="9">
        <v>2025</v>
      </c>
      <c r="M4049" s="8" t="s">
        <v>24093</v>
      </c>
      <c r="N4049" s="8" t="s">
        <v>79</v>
      </c>
      <c r="O4049" s="8" t="s">
        <v>396</v>
      </c>
      <c r="P4049" s="6" t="s">
        <v>43</v>
      </c>
      <c r="Q4049" s="8" t="s">
        <v>44</v>
      </c>
      <c r="R4049" s="10" t="s">
        <v>24094</v>
      </c>
      <c r="S4049" s="11" t="s">
        <v>24095</v>
      </c>
      <c r="T4049" s="6"/>
      <c r="U4049" s="24" t="str">
        <f>HYPERLINK("https://media.infra-m.ru/2168/2168869/cover/2168869.jpg", "Обложка")</f>
        <v>Обложка</v>
      </c>
      <c r="V4049" s="24" t="str">
        <f>HYPERLINK("https://znanium.ru/catalog/product/2120741", "Ознакомиться")</f>
        <v>Ознакомиться</v>
      </c>
      <c r="W4049" s="8" t="s">
        <v>16961</v>
      </c>
      <c r="X4049" s="6"/>
      <c r="Y4049" s="6"/>
      <c r="Z4049" s="6"/>
      <c r="AA4049" s="6" t="s">
        <v>84</v>
      </c>
      <c r="AB4049" s="8"/>
    </row>
    <row r="4050" spans="1:28" s="4" customFormat="1" ht="51.95" customHeight="1">
      <c r="A4050" s="5">
        <v>0</v>
      </c>
      <c r="B4050" s="6" t="s">
        <v>24096</v>
      </c>
      <c r="C4050" s="13">
        <v>1050</v>
      </c>
      <c r="D4050" s="8" t="s">
        <v>24097</v>
      </c>
      <c r="E4050" s="8" t="s">
        <v>24098</v>
      </c>
      <c r="F4050" s="8" t="s">
        <v>24099</v>
      </c>
      <c r="G4050" s="6" t="s">
        <v>89</v>
      </c>
      <c r="H4050" s="6" t="s">
        <v>53</v>
      </c>
      <c r="I4050" s="8" t="s">
        <v>100</v>
      </c>
      <c r="J4050" s="9">
        <v>1</v>
      </c>
      <c r="K4050" s="9">
        <v>203</v>
      </c>
      <c r="L4050" s="9">
        <v>2025</v>
      </c>
      <c r="M4050" s="8" t="s">
        <v>24100</v>
      </c>
      <c r="N4050" s="8" t="s">
        <v>79</v>
      </c>
      <c r="O4050" s="8" t="s">
        <v>396</v>
      </c>
      <c r="P4050" s="6" t="s">
        <v>43</v>
      </c>
      <c r="Q4050" s="8" t="s">
        <v>102</v>
      </c>
      <c r="R4050" s="10" t="s">
        <v>24101</v>
      </c>
      <c r="S4050" s="11"/>
      <c r="T4050" s="6"/>
      <c r="U4050" s="24" t="str">
        <f>HYPERLINK("https://media.infra-m.ru/2170/2170814/cover/2170814.jpg", "Обложка")</f>
        <v>Обложка</v>
      </c>
      <c r="V4050" s="24" t="str">
        <f>HYPERLINK("https://znanium.ru/catalog/product/2170814", "Ознакомиться")</f>
        <v>Ознакомиться</v>
      </c>
      <c r="W4050" s="8" t="s">
        <v>24102</v>
      </c>
      <c r="X4050" s="6"/>
      <c r="Y4050" s="6"/>
      <c r="Z4050" s="6"/>
      <c r="AA4050" s="6" t="s">
        <v>133</v>
      </c>
      <c r="AB4050" s="8" t="s">
        <v>11412</v>
      </c>
    </row>
    <row r="4051" spans="1:28" s="4" customFormat="1" ht="51.95" customHeight="1">
      <c r="A4051" s="5">
        <v>0</v>
      </c>
      <c r="B4051" s="6" t="s">
        <v>24103</v>
      </c>
      <c r="C4051" s="13">
        <v>1054</v>
      </c>
      <c r="D4051" s="8" t="s">
        <v>24104</v>
      </c>
      <c r="E4051" s="8" t="s">
        <v>24105</v>
      </c>
      <c r="F4051" s="8" t="s">
        <v>24106</v>
      </c>
      <c r="G4051" s="6" t="s">
        <v>89</v>
      </c>
      <c r="H4051" s="6" t="s">
        <v>438</v>
      </c>
      <c r="I4051" s="8" t="s">
        <v>100</v>
      </c>
      <c r="J4051" s="9">
        <v>1</v>
      </c>
      <c r="K4051" s="9">
        <v>224</v>
      </c>
      <c r="L4051" s="9">
        <v>2024</v>
      </c>
      <c r="M4051" s="8" t="s">
        <v>24107</v>
      </c>
      <c r="N4051" s="8" t="s">
        <v>79</v>
      </c>
      <c r="O4051" s="8" t="s">
        <v>396</v>
      </c>
      <c r="P4051" s="6" t="s">
        <v>167</v>
      </c>
      <c r="Q4051" s="8" t="s">
        <v>102</v>
      </c>
      <c r="R4051" s="10" t="s">
        <v>24108</v>
      </c>
      <c r="S4051" s="11"/>
      <c r="T4051" s="6"/>
      <c r="U4051" s="24" t="str">
        <f>HYPERLINK("https://media.infra-m.ru/2135/2135610/cover/2135610.jpg", "Обложка")</f>
        <v>Обложка</v>
      </c>
      <c r="V4051" s="24" t="str">
        <f>HYPERLINK("https://znanium.ru/catalog/product/1817913", "Ознакомиться")</f>
        <v>Ознакомиться</v>
      </c>
      <c r="W4051" s="8" t="s">
        <v>450</v>
      </c>
      <c r="X4051" s="6"/>
      <c r="Y4051" s="6"/>
      <c r="Z4051" s="6"/>
      <c r="AA4051" s="6" t="s">
        <v>442</v>
      </c>
      <c r="AB4051" s="8"/>
    </row>
    <row r="4052" spans="1:28" s="4" customFormat="1" ht="42" customHeight="1">
      <c r="A4052" s="5">
        <v>0</v>
      </c>
      <c r="B4052" s="6" t="s">
        <v>24109</v>
      </c>
      <c r="C4052" s="13">
        <v>1920</v>
      </c>
      <c r="D4052" s="8" t="s">
        <v>24110</v>
      </c>
      <c r="E4052" s="8" t="s">
        <v>24105</v>
      </c>
      <c r="F4052" s="8" t="s">
        <v>24111</v>
      </c>
      <c r="G4052" s="6" t="s">
        <v>52</v>
      </c>
      <c r="H4052" s="6" t="s">
        <v>53</v>
      </c>
      <c r="I4052" s="8" t="s">
        <v>116</v>
      </c>
      <c r="J4052" s="9">
        <v>1</v>
      </c>
      <c r="K4052" s="9">
        <v>371</v>
      </c>
      <c r="L4052" s="9">
        <v>2025</v>
      </c>
      <c r="M4052" s="8" t="s">
        <v>24112</v>
      </c>
      <c r="N4052" s="8" t="s">
        <v>79</v>
      </c>
      <c r="O4052" s="8" t="s">
        <v>396</v>
      </c>
      <c r="P4052" s="6" t="s">
        <v>167</v>
      </c>
      <c r="Q4052" s="8" t="s">
        <v>44</v>
      </c>
      <c r="R4052" s="10" t="s">
        <v>3957</v>
      </c>
      <c r="S4052" s="11"/>
      <c r="T4052" s="6"/>
      <c r="U4052" s="24" t="str">
        <f>HYPERLINK("https://media.infra-m.ru/1214/1214787/cover/1214787.jpg", "Обложка")</f>
        <v>Обложка</v>
      </c>
      <c r="V4052" s="24" t="str">
        <f>HYPERLINK("https://znanium.ru/catalog/product/1214787", "Ознакомиться")</f>
        <v>Ознакомиться</v>
      </c>
      <c r="W4052" s="8" t="s">
        <v>462</v>
      </c>
      <c r="X4052" s="6" t="s">
        <v>389</v>
      </c>
      <c r="Y4052" s="6"/>
      <c r="Z4052" s="6"/>
      <c r="AA4052" s="6" t="s">
        <v>61</v>
      </c>
      <c r="AB4052" s="8"/>
    </row>
    <row r="4053" spans="1:28" s="4" customFormat="1" ht="51.95" customHeight="1">
      <c r="A4053" s="5">
        <v>0</v>
      </c>
      <c r="B4053" s="6" t="s">
        <v>24113</v>
      </c>
      <c r="C4053" s="13">
        <v>1754</v>
      </c>
      <c r="D4053" s="8" t="s">
        <v>24114</v>
      </c>
      <c r="E4053" s="8" t="s">
        <v>24115</v>
      </c>
      <c r="F4053" s="8" t="s">
        <v>24116</v>
      </c>
      <c r="G4053" s="6" t="s">
        <v>89</v>
      </c>
      <c r="H4053" s="6" t="s">
        <v>53</v>
      </c>
      <c r="I4053" s="8" t="s">
        <v>90</v>
      </c>
      <c r="J4053" s="9">
        <v>1</v>
      </c>
      <c r="K4053" s="9">
        <v>350</v>
      </c>
      <c r="L4053" s="9">
        <v>2025</v>
      </c>
      <c r="M4053" s="8" t="s">
        <v>24117</v>
      </c>
      <c r="N4053" s="8" t="s">
        <v>997</v>
      </c>
      <c r="O4053" s="8" t="s">
        <v>998</v>
      </c>
      <c r="P4053" s="6" t="s">
        <v>167</v>
      </c>
      <c r="Q4053" s="8" t="s">
        <v>44</v>
      </c>
      <c r="R4053" s="10" t="s">
        <v>24118</v>
      </c>
      <c r="S4053" s="11" t="s">
        <v>24119</v>
      </c>
      <c r="T4053" s="6"/>
      <c r="U4053" s="24" t="str">
        <f>HYPERLINK("https://media.infra-m.ru/2187/2187444/cover/2187444.jpg", "Обложка")</f>
        <v>Обложка</v>
      </c>
      <c r="V4053" s="24" t="str">
        <f>HYPERLINK("https://znanium.ru/catalog/product/1913231", "Ознакомиться")</f>
        <v>Ознакомиться</v>
      </c>
      <c r="W4053" s="8" t="s">
        <v>6346</v>
      </c>
      <c r="X4053" s="6"/>
      <c r="Y4053" s="6"/>
      <c r="Z4053" s="6"/>
      <c r="AA4053" s="6" t="s">
        <v>1259</v>
      </c>
      <c r="AB4053" s="8"/>
    </row>
    <row r="4054" spans="1:28" s="4" customFormat="1" ht="51.95" customHeight="1">
      <c r="A4054" s="5">
        <v>0</v>
      </c>
      <c r="B4054" s="6" t="s">
        <v>24120</v>
      </c>
      <c r="C4054" s="13">
        <v>1160</v>
      </c>
      <c r="D4054" s="8" t="s">
        <v>24121</v>
      </c>
      <c r="E4054" s="8" t="s">
        <v>24122</v>
      </c>
      <c r="F4054" s="8" t="s">
        <v>24123</v>
      </c>
      <c r="G4054" s="6" t="s">
        <v>89</v>
      </c>
      <c r="H4054" s="6" t="s">
        <v>53</v>
      </c>
      <c r="I4054" s="8" t="s">
        <v>90</v>
      </c>
      <c r="J4054" s="9">
        <v>1</v>
      </c>
      <c r="K4054" s="9">
        <v>400</v>
      </c>
      <c r="L4054" s="9">
        <v>2018</v>
      </c>
      <c r="M4054" s="8" t="s">
        <v>24124</v>
      </c>
      <c r="N4054" s="8" t="s">
        <v>56</v>
      </c>
      <c r="O4054" s="8" t="s">
        <v>741</v>
      </c>
      <c r="P4054" s="6" t="s">
        <v>167</v>
      </c>
      <c r="Q4054" s="8" t="s">
        <v>44</v>
      </c>
      <c r="R4054" s="10" t="s">
        <v>24118</v>
      </c>
      <c r="S4054" s="11" t="s">
        <v>24125</v>
      </c>
      <c r="T4054" s="6"/>
      <c r="U4054" s="24" t="str">
        <f>HYPERLINK("https://media.infra-m.ru/0935/0935305/cover/935305.jpg", "Обложка")</f>
        <v>Обложка</v>
      </c>
      <c r="V4054" s="24" t="str">
        <f>HYPERLINK("https://znanium.ru/catalog/product/1913231", "Ознакомиться")</f>
        <v>Ознакомиться</v>
      </c>
      <c r="W4054" s="8" t="s">
        <v>6346</v>
      </c>
      <c r="X4054" s="6"/>
      <c r="Y4054" s="6"/>
      <c r="Z4054" s="6"/>
      <c r="AA4054" s="6" t="s">
        <v>72</v>
      </c>
      <c r="AB4054" s="8"/>
    </row>
    <row r="4055" spans="1:28" s="4" customFormat="1" ht="51.95" customHeight="1">
      <c r="A4055" s="5">
        <v>0</v>
      </c>
      <c r="B4055" s="6" t="s">
        <v>24126</v>
      </c>
      <c r="C4055" s="7">
        <v>500</v>
      </c>
      <c r="D4055" s="8" t="s">
        <v>24127</v>
      </c>
      <c r="E4055" s="8" t="s">
        <v>24128</v>
      </c>
      <c r="F4055" s="8" t="s">
        <v>24129</v>
      </c>
      <c r="G4055" s="6" t="s">
        <v>52</v>
      </c>
      <c r="H4055" s="6" t="s">
        <v>53</v>
      </c>
      <c r="I4055" s="8" t="s">
        <v>4767</v>
      </c>
      <c r="J4055" s="9">
        <v>1</v>
      </c>
      <c r="K4055" s="9">
        <v>191</v>
      </c>
      <c r="L4055" s="9">
        <v>2017</v>
      </c>
      <c r="M4055" s="8" t="s">
        <v>24130</v>
      </c>
      <c r="N4055" s="8" t="s">
        <v>997</v>
      </c>
      <c r="O4055" s="8" t="s">
        <v>998</v>
      </c>
      <c r="P4055" s="6" t="s">
        <v>175</v>
      </c>
      <c r="Q4055" s="8" t="s">
        <v>44</v>
      </c>
      <c r="R4055" s="10" t="s">
        <v>4991</v>
      </c>
      <c r="S4055" s="11"/>
      <c r="T4055" s="6"/>
      <c r="U4055" s="12"/>
      <c r="V4055" s="24" t="str">
        <f>HYPERLINK("https://znanium.ru/catalog/product/2085047", "Ознакомиться")</f>
        <v>Ознакомиться</v>
      </c>
      <c r="W4055" s="8" t="s">
        <v>46</v>
      </c>
      <c r="X4055" s="6"/>
      <c r="Y4055" s="6"/>
      <c r="Z4055" s="6"/>
      <c r="AA4055" s="6" t="s">
        <v>442</v>
      </c>
      <c r="AB4055" s="8" t="s">
        <v>840</v>
      </c>
    </row>
    <row r="4056" spans="1:28" s="4" customFormat="1" ht="42" customHeight="1">
      <c r="A4056" s="5">
        <v>0</v>
      </c>
      <c r="B4056" s="6" t="s">
        <v>24131</v>
      </c>
      <c r="C4056" s="13">
        <v>1320</v>
      </c>
      <c r="D4056" s="8" t="s">
        <v>24132</v>
      </c>
      <c r="E4056" s="8" t="s">
        <v>24133</v>
      </c>
      <c r="F4056" s="8" t="s">
        <v>24134</v>
      </c>
      <c r="G4056" s="6" t="s">
        <v>52</v>
      </c>
      <c r="H4056" s="6" t="s">
        <v>53</v>
      </c>
      <c r="I4056" s="8" t="s">
        <v>116</v>
      </c>
      <c r="J4056" s="9">
        <v>1</v>
      </c>
      <c r="K4056" s="9">
        <v>279</v>
      </c>
      <c r="L4056" s="9">
        <v>2024</v>
      </c>
      <c r="M4056" s="8" t="s">
        <v>24135</v>
      </c>
      <c r="N4056" s="8" t="s">
        <v>56</v>
      </c>
      <c r="O4056" s="8" t="s">
        <v>57</v>
      </c>
      <c r="P4056" s="6" t="s">
        <v>43</v>
      </c>
      <c r="Q4056" s="8" t="s">
        <v>44</v>
      </c>
      <c r="R4056" s="10" t="s">
        <v>24136</v>
      </c>
      <c r="S4056" s="11"/>
      <c r="T4056" s="6"/>
      <c r="U4056" s="24" t="str">
        <f>HYPERLINK("https://media.infra-m.ru/1846/1846129/cover/1846129.jpg", "Обложка")</f>
        <v>Обложка</v>
      </c>
      <c r="V4056" s="24" t="str">
        <f>HYPERLINK("https://znanium.ru/catalog/product/1846129", "Ознакомиться")</f>
        <v>Ознакомиться</v>
      </c>
      <c r="W4056" s="8" t="s">
        <v>6648</v>
      </c>
      <c r="X4056" s="6"/>
      <c r="Y4056" s="6"/>
      <c r="Z4056" s="6"/>
      <c r="AA4056" s="6" t="s">
        <v>133</v>
      </c>
      <c r="AB4056" s="8"/>
    </row>
    <row r="4057" spans="1:28" s="4" customFormat="1" ht="51.95" customHeight="1">
      <c r="A4057" s="5">
        <v>0</v>
      </c>
      <c r="B4057" s="6" t="s">
        <v>24137</v>
      </c>
      <c r="C4057" s="13">
        <v>1394</v>
      </c>
      <c r="D4057" s="8" t="s">
        <v>24138</v>
      </c>
      <c r="E4057" s="8" t="s">
        <v>24139</v>
      </c>
      <c r="F4057" s="8" t="s">
        <v>24140</v>
      </c>
      <c r="G4057" s="6" t="s">
        <v>89</v>
      </c>
      <c r="H4057" s="6" t="s">
        <v>77</v>
      </c>
      <c r="I4057" s="8"/>
      <c r="J4057" s="9">
        <v>1</v>
      </c>
      <c r="K4057" s="9">
        <v>268</v>
      </c>
      <c r="L4057" s="9">
        <v>2025</v>
      </c>
      <c r="M4057" s="8" t="s">
        <v>24141</v>
      </c>
      <c r="N4057" s="8" t="s">
        <v>997</v>
      </c>
      <c r="O4057" s="8" t="s">
        <v>998</v>
      </c>
      <c r="P4057" s="6" t="s">
        <v>43</v>
      </c>
      <c r="Q4057" s="8" t="s">
        <v>44</v>
      </c>
      <c r="R4057" s="10" t="s">
        <v>24142</v>
      </c>
      <c r="S4057" s="11"/>
      <c r="T4057" s="6"/>
      <c r="U4057" s="24" t="str">
        <f>HYPERLINK("https://media.infra-m.ru/2196/2196129/cover/2196129.jpg", "Обложка")</f>
        <v>Обложка</v>
      </c>
      <c r="V4057" s="24" t="str">
        <f>HYPERLINK("https://znanium.ru/catalog/product/2020544", "Ознакомиться")</f>
        <v>Ознакомиться</v>
      </c>
      <c r="W4057" s="8" t="s">
        <v>9859</v>
      </c>
      <c r="X4057" s="6"/>
      <c r="Y4057" s="6"/>
      <c r="Z4057" s="6"/>
      <c r="AA4057" s="6" t="s">
        <v>442</v>
      </c>
      <c r="AB4057" s="8"/>
    </row>
    <row r="4058" spans="1:28" s="4" customFormat="1" ht="51.95" customHeight="1">
      <c r="A4058" s="5">
        <v>0</v>
      </c>
      <c r="B4058" s="6" t="s">
        <v>24143</v>
      </c>
      <c r="C4058" s="13">
        <v>1510</v>
      </c>
      <c r="D4058" s="8" t="s">
        <v>24144</v>
      </c>
      <c r="E4058" s="8" t="s">
        <v>24145</v>
      </c>
      <c r="F4058" s="8" t="s">
        <v>6871</v>
      </c>
      <c r="G4058" s="6" t="s">
        <v>89</v>
      </c>
      <c r="H4058" s="6" t="s">
        <v>53</v>
      </c>
      <c r="I4058" s="8" t="s">
        <v>116</v>
      </c>
      <c r="J4058" s="9">
        <v>1</v>
      </c>
      <c r="K4058" s="9">
        <v>329</v>
      </c>
      <c r="L4058" s="9">
        <v>2023</v>
      </c>
      <c r="M4058" s="8" t="s">
        <v>24146</v>
      </c>
      <c r="N4058" s="8" t="s">
        <v>997</v>
      </c>
      <c r="O4058" s="8" t="s">
        <v>998</v>
      </c>
      <c r="P4058" s="6" t="s">
        <v>43</v>
      </c>
      <c r="Q4058" s="8" t="s">
        <v>44</v>
      </c>
      <c r="R4058" s="10" t="s">
        <v>19715</v>
      </c>
      <c r="S4058" s="11" t="s">
        <v>24147</v>
      </c>
      <c r="T4058" s="6"/>
      <c r="U4058" s="24" t="str">
        <f>HYPERLINK("https://media.infra-m.ru/1969/1969524/cover/1969524.jpg", "Обложка")</f>
        <v>Обложка</v>
      </c>
      <c r="V4058" s="24" t="str">
        <f>HYPERLINK("https://znanium.ru/catalog/product/1969524", "Ознакомиться")</f>
        <v>Ознакомиться</v>
      </c>
      <c r="W4058" s="8" t="s">
        <v>6875</v>
      </c>
      <c r="X4058" s="6"/>
      <c r="Y4058" s="6"/>
      <c r="Z4058" s="6"/>
      <c r="AA4058" s="6" t="s">
        <v>793</v>
      </c>
      <c r="AB4058" s="8"/>
    </row>
    <row r="4059" spans="1:28" s="4" customFormat="1" ht="42" customHeight="1">
      <c r="A4059" s="5">
        <v>0</v>
      </c>
      <c r="B4059" s="6" t="s">
        <v>24148</v>
      </c>
      <c r="C4059" s="13">
        <v>2370</v>
      </c>
      <c r="D4059" s="8" t="s">
        <v>24149</v>
      </c>
      <c r="E4059" s="8" t="s">
        <v>24150</v>
      </c>
      <c r="F4059" s="8" t="s">
        <v>20028</v>
      </c>
      <c r="G4059" s="6" t="s">
        <v>52</v>
      </c>
      <c r="H4059" s="6" t="s">
        <v>53</v>
      </c>
      <c r="I4059" s="8" t="s">
        <v>212</v>
      </c>
      <c r="J4059" s="9">
        <v>1</v>
      </c>
      <c r="K4059" s="9">
        <v>454</v>
      </c>
      <c r="L4059" s="9">
        <v>2025</v>
      </c>
      <c r="M4059" s="8" t="s">
        <v>24151</v>
      </c>
      <c r="N4059" s="8" t="s">
        <v>56</v>
      </c>
      <c r="O4059" s="8" t="s">
        <v>741</v>
      </c>
      <c r="P4059" s="6" t="s">
        <v>43</v>
      </c>
      <c r="Q4059" s="8" t="s">
        <v>214</v>
      </c>
      <c r="R4059" s="10" t="s">
        <v>24152</v>
      </c>
      <c r="S4059" s="11"/>
      <c r="T4059" s="6"/>
      <c r="U4059" s="24" t="str">
        <f>HYPERLINK("https://media.infra-m.ru/2199/2199283/cover/2199283.jpg", "Обложка")</f>
        <v>Обложка</v>
      </c>
      <c r="V4059" s="24" t="str">
        <f>HYPERLINK("https://znanium.ru/catalog/product/1815938", "Ознакомиться")</f>
        <v>Ознакомиться</v>
      </c>
      <c r="W4059" s="8" t="s">
        <v>1505</v>
      </c>
      <c r="X4059" s="6"/>
      <c r="Y4059" s="6"/>
      <c r="Z4059" s="6"/>
      <c r="AA4059" s="6" t="s">
        <v>61</v>
      </c>
      <c r="AB4059" s="8"/>
    </row>
    <row r="4060" spans="1:28" s="4" customFormat="1" ht="51.95" customHeight="1">
      <c r="A4060" s="5">
        <v>0</v>
      </c>
      <c r="B4060" s="6" t="s">
        <v>24153</v>
      </c>
      <c r="C4060" s="13">
        <v>1440</v>
      </c>
      <c r="D4060" s="8" t="s">
        <v>24154</v>
      </c>
      <c r="E4060" s="8" t="s">
        <v>24155</v>
      </c>
      <c r="F4060" s="8" t="s">
        <v>24156</v>
      </c>
      <c r="G4060" s="6" t="s">
        <v>89</v>
      </c>
      <c r="H4060" s="6" t="s">
        <v>53</v>
      </c>
      <c r="I4060" s="8" t="s">
        <v>90</v>
      </c>
      <c r="J4060" s="9">
        <v>1</v>
      </c>
      <c r="K4060" s="9">
        <v>314</v>
      </c>
      <c r="L4060" s="9">
        <v>2024</v>
      </c>
      <c r="M4060" s="8" t="s">
        <v>24157</v>
      </c>
      <c r="N4060" s="8" t="s">
        <v>997</v>
      </c>
      <c r="O4060" s="8" t="s">
        <v>998</v>
      </c>
      <c r="P4060" s="6" t="s">
        <v>167</v>
      </c>
      <c r="Q4060" s="8" t="s">
        <v>44</v>
      </c>
      <c r="R4060" s="10" t="s">
        <v>14265</v>
      </c>
      <c r="S4060" s="11" t="s">
        <v>24158</v>
      </c>
      <c r="T4060" s="6"/>
      <c r="U4060" s="24" t="str">
        <f>HYPERLINK("https://media.infra-m.ru/2116/2116852/cover/2116852.jpg", "Обложка")</f>
        <v>Обложка</v>
      </c>
      <c r="V4060" s="24" t="str">
        <f>HYPERLINK("https://znanium.ru/catalog/product/2116852", "Ознакомиться")</f>
        <v>Ознакомиться</v>
      </c>
      <c r="W4060" s="8"/>
      <c r="X4060" s="6"/>
      <c r="Y4060" s="6"/>
      <c r="Z4060" s="6"/>
      <c r="AA4060" s="6" t="s">
        <v>418</v>
      </c>
      <c r="AB4060" s="8"/>
    </row>
    <row r="4061" spans="1:28" s="4" customFormat="1" ht="51.95" customHeight="1">
      <c r="A4061" s="5">
        <v>0</v>
      </c>
      <c r="B4061" s="6" t="s">
        <v>24159</v>
      </c>
      <c r="C4061" s="13">
        <v>1240</v>
      </c>
      <c r="D4061" s="8" t="s">
        <v>24160</v>
      </c>
      <c r="E4061" s="8" t="s">
        <v>24161</v>
      </c>
      <c r="F4061" s="8" t="s">
        <v>24162</v>
      </c>
      <c r="G4061" s="6" t="s">
        <v>89</v>
      </c>
      <c r="H4061" s="6" t="s">
        <v>184</v>
      </c>
      <c r="I4061" s="8" t="s">
        <v>276</v>
      </c>
      <c r="J4061" s="9">
        <v>1</v>
      </c>
      <c r="K4061" s="9">
        <v>275</v>
      </c>
      <c r="L4061" s="9">
        <v>2023</v>
      </c>
      <c r="M4061" s="8" t="s">
        <v>24163</v>
      </c>
      <c r="N4061" s="8" t="s">
        <v>997</v>
      </c>
      <c r="O4061" s="8" t="s">
        <v>998</v>
      </c>
      <c r="P4061" s="6" t="s">
        <v>43</v>
      </c>
      <c r="Q4061" s="8" t="s">
        <v>279</v>
      </c>
      <c r="R4061" s="10" t="s">
        <v>24164</v>
      </c>
      <c r="S4061" s="11"/>
      <c r="T4061" s="6"/>
      <c r="U4061" s="24" t="str">
        <f>HYPERLINK("https://media.infra-m.ru/1993/1993508/cover/1993508.jpg", "Обложка")</f>
        <v>Обложка</v>
      </c>
      <c r="V4061" s="24" t="str">
        <f>HYPERLINK("https://znanium.ru/catalog/product/1993508", "Ознакомиться")</f>
        <v>Ознакомиться</v>
      </c>
      <c r="W4061" s="8" t="s">
        <v>24165</v>
      </c>
      <c r="X4061" s="6"/>
      <c r="Y4061" s="6"/>
      <c r="Z4061" s="6"/>
      <c r="AA4061" s="6" t="s">
        <v>326</v>
      </c>
      <c r="AB4061" s="8"/>
    </row>
    <row r="4062" spans="1:28" s="4" customFormat="1" ht="51.95" customHeight="1">
      <c r="A4062" s="5">
        <v>0</v>
      </c>
      <c r="B4062" s="6" t="s">
        <v>24166</v>
      </c>
      <c r="C4062" s="13">
        <v>2154</v>
      </c>
      <c r="D4062" s="8" t="s">
        <v>24167</v>
      </c>
      <c r="E4062" s="8" t="s">
        <v>24168</v>
      </c>
      <c r="F4062" s="8" t="s">
        <v>5712</v>
      </c>
      <c r="G4062" s="6" t="s">
        <v>52</v>
      </c>
      <c r="H4062" s="6" t="s">
        <v>66</v>
      </c>
      <c r="I4062" s="8"/>
      <c r="J4062" s="9">
        <v>1</v>
      </c>
      <c r="K4062" s="9">
        <v>432</v>
      </c>
      <c r="L4062" s="9">
        <v>2025</v>
      </c>
      <c r="M4062" s="8" t="s">
        <v>24169</v>
      </c>
      <c r="N4062" s="8" t="s">
        <v>41</v>
      </c>
      <c r="O4062" s="8" t="s">
        <v>118</v>
      </c>
      <c r="P4062" s="6" t="s">
        <v>43</v>
      </c>
      <c r="Q4062" s="8" t="s">
        <v>58</v>
      </c>
      <c r="R4062" s="10" t="s">
        <v>1265</v>
      </c>
      <c r="S4062" s="11"/>
      <c r="T4062" s="6"/>
      <c r="U4062" s="24" t="str">
        <f>HYPERLINK("https://media.infra-m.ru/2172/2172401/cover/2172401.jpg", "Обложка")</f>
        <v>Обложка</v>
      </c>
      <c r="V4062" s="12"/>
      <c r="W4062" s="8" t="s">
        <v>5716</v>
      </c>
      <c r="X4062" s="6"/>
      <c r="Y4062" s="6"/>
      <c r="Z4062" s="6"/>
      <c r="AA4062" s="6" t="s">
        <v>3065</v>
      </c>
      <c r="AB4062" s="8"/>
    </row>
    <row r="4063" spans="1:28" s="4" customFormat="1" ht="51.95" customHeight="1">
      <c r="A4063" s="5">
        <v>0</v>
      </c>
      <c r="B4063" s="6" t="s">
        <v>24170</v>
      </c>
      <c r="C4063" s="7">
        <v>504</v>
      </c>
      <c r="D4063" s="8" t="s">
        <v>24171</v>
      </c>
      <c r="E4063" s="8" t="s">
        <v>24172</v>
      </c>
      <c r="F4063" s="8" t="s">
        <v>24173</v>
      </c>
      <c r="G4063" s="6" t="s">
        <v>38</v>
      </c>
      <c r="H4063" s="6" t="s">
        <v>184</v>
      </c>
      <c r="I4063" s="8" t="s">
        <v>116</v>
      </c>
      <c r="J4063" s="9">
        <v>1</v>
      </c>
      <c r="K4063" s="9">
        <v>95</v>
      </c>
      <c r="L4063" s="9">
        <v>2025</v>
      </c>
      <c r="M4063" s="8" t="s">
        <v>24174</v>
      </c>
      <c r="N4063" s="8" t="s">
        <v>56</v>
      </c>
      <c r="O4063" s="8" t="s">
        <v>741</v>
      </c>
      <c r="P4063" s="6" t="s">
        <v>43</v>
      </c>
      <c r="Q4063" s="8" t="s">
        <v>44</v>
      </c>
      <c r="R4063" s="10" t="s">
        <v>806</v>
      </c>
      <c r="S4063" s="11"/>
      <c r="T4063" s="6"/>
      <c r="U4063" s="24" t="str">
        <f>HYPERLINK("https://media.infra-m.ru/2199/2199772/cover/2199772.jpg", "Обложка")</f>
        <v>Обложка</v>
      </c>
      <c r="V4063" s="24" t="str">
        <f>HYPERLINK("https://znanium.ru/catalog/product/2116870", "Ознакомиться")</f>
        <v>Ознакомиться</v>
      </c>
      <c r="W4063" s="8" t="s">
        <v>17596</v>
      </c>
      <c r="X4063" s="6"/>
      <c r="Y4063" s="6"/>
      <c r="Z4063" s="6"/>
      <c r="AA4063" s="6" t="s">
        <v>793</v>
      </c>
      <c r="AB4063" s="8"/>
    </row>
    <row r="4064" spans="1:28" s="4" customFormat="1" ht="42" customHeight="1">
      <c r="A4064" s="5">
        <v>0</v>
      </c>
      <c r="B4064" s="6" t="s">
        <v>24175</v>
      </c>
      <c r="C4064" s="7">
        <v>680</v>
      </c>
      <c r="D4064" s="8" t="s">
        <v>24176</v>
      </c>
      <c r="E4064" s="8" t="s">
        <v>24177</v>
      </c>
      <c r="F4064" s="8" t="s">
        <v>24178</v>
      </c>
      <c r="G4064" s="6" t="s">
        <v>38</v>
      </c>
      <c r="H4064" s="6" t="s">
        <v>184</v>
      </c>
      <c r="I4064" s="8" t="s">
        <v>116</v>
      </c>
      <c r="J4064" s="9">
        <v>1</v>
      </c>
      <c r="K4064" s="9">
        <v>136</v>
      </c>
      <c r="L4064" s="9">
        <v>2025</v>
      </c>
      <c r="M4064" s="8" t="s">
        <v>24179</v>
      </c>
      <c r="N4064" s="8" t="s">
        <v>56</v>
      </c>
      <c r="O4064" s="8" t="s">
        <v>741</v>
      </c>
      <c r="P4064" s="6" t="s">
        <v>43</v>
      </c>
      <c r="Q4064" s="8" t="s">
        <v>214</v>
      </c>
      <c r="R4064" s="10" t="s">
        <v>24180</v>
      </c>
      <c r="S4064" s="11"/>
      <c r="T4064" s="6"/>
      <c r="U4064" s="24" t="str">
        <f>HYPERLINK("https://media.infra-m.ru/2169/2169241/cover/2169241.jpg", "Обложка")</f>
        <v>Обложка</v>
      </c>
      <c r="V4064" s="24" t="str">
        <f>HYPERLINK("https://znanium.ru/catalog/product/2169241", "Ознакомиться")</f>
        <v>Ознакомиться</v>
      </c>
      <c r="W4064" s="8" t="s">
        <v>17596</v>
      </c>
      <c r="X4064" s="6"/>
      <c r="Y4064" s="6"/>
      <c r="Z4064" s="6"/>
      <c r="AA4064" s="6" t="s">
        <v>793</v>
      </c>
      <c r="AB4064" s="8"/>
    </row>
    <row r="4065" spans="1:28" s="4" customFormat="1" ht="42" customHeight="1">
      <c r="A4065" s="5">
        <v>0</v>
      </c>
      <c r="B4065" s="6" t="s">
        <v>24181</v>
      </c>
      <c r="C4065" s="13">
        <v>1460</v>
      </c>
      <c r="D4065" s="8" t="s">
        <v>24182</v>
      </c>
      <c r="E4065" s="8" t="s">
        <v>24183</v>
      </c>
      <c r="F4065" s="8" t="s">
        <v>24184</v>
      </c>
      <c r="G4065" s="6" t="s">
        <v>52</v>
      </c>
      <c r="H4065" s="6" t="s">
        <v>184</v>
      </c>
      <c r="I4065" s="8" t="s">
        <v>185</v>
      </c>
      <c r="J4065" s="9">
        <v>1</v>
      </c>
      <c r="K4065" s="9">
        <v>280</v>
      </c>
      <c r="L4065" s="9">
        <v>2025</v>
      </c>
      <c r="M4065" s="8" t="s">
        <v>24185</v>
      </c>
      <c r="N4065" s="8" t="s">
        <v>41</v>
      </c>
      <c r="O4065" s="8" t="s">
        <v>129</v>
      </c>
      <c r="P4065" s="6" t="s">
        <v>167</v>
      </c>
      <c r="Q4065" s="8" t="s">
        <v>102</v>
      </c>
      <c r="R4065" s="10" t="s">
        <v>11353</v>
      </c>
      <c r="S4065" s="11"/>
      <c r="T4065" s="6"/>
      <c r="U4065" s="24" t="str">
        <f>HYPERLINK("https://media.infra-m.ru/2192/2192115/cover/2192115.jpg", "Обложка")</f>
        <v>Обложка</v>
      </c>
      <c r="V4065" s="12"/>
      <c r="W4065" s="8" t="s">
        <v>17596</v>
      </c>
      <c r="X4065" s="6" t="s">
        <v>60</v>
      </c>
      <c r="Y4065" s="6"/>
      <c r="Z4065" s="6"/>
      <c r="AA4065" s="6" t="s">
        <v>61</v>
      </c>
      <c r="AB4065" s="8"/>
    </row>
    <row r="4066" spans="1:28" s="4" customFormat="1" ht="51.95" customHeight="1">
      <c r="A4066" s="5">
        <v>0</v>
      </c>
      <c r="B4066" s="6" t="s">
        <v>24186</v>
      </c>
      <c r="C4066" s="13">
        <v>1284</v>
      </c>
      <c r="D4066" s="8" t="s">
        <v>24187</v>
      </c>
      <c r="E4066" s="8" t="s">
        <v>24188</v>
      </c>
      <c r="F4066" s="8" t="s">
        <v>24189</v>
      </c>
      <c r="G4066" s="6" t="s">
        <v>89</v>
      </c>
      <c r="H4066" s="6" t="s">
        <v>53</v>
      </c>
      <c r="I4066" s="8" t="s">
        <v>212</v>
      </c>
      <c r="J4066" s="9">
        <v>1</v>
      </c>
      <c r="K4066" s="9">
        <v>273</v>
      </c>
      <c r="L4066" s="9">
        <v>2024</v>
      </c>
      <c r="M4066" s="8" t="s">
        <v>24190</v>
      </c>
      <c r="N4066" s="8" t="s">
        <v>56</v>
      </c>
      <c r="O4066" s="8" t="s">
        <v>741</v>
      </c>
      <c r="P4066" s="6" t="s">
        <v>43</v>
      </c>
      <c r="Q4066" s="8" t="s">
        <v>214</v>
      </c>
      <c r="R4066" s="10" t="s">
        <v>24191</v>
      </c>
      <c r="S4066" s="11" t="s">
        <v>24192</v>
      </c>
      <c r="T4066" s="6"/>
      <c r="U4066" s="24" t="str">
        <f>HYPERLINK("https://media.infra-m.ru/2133/2133591/cover/2133591.jpg", "Обложка")</f>
        <v>Обложка</v>
      </c>
      <c r="V4066" s="24" t="str">
        <f>HYPERLINK("https://znanium.ru/catalog/product/1911115", "Ознакомиться")</f>
        <v>Ознакомиться</v>
      </c>
      <c r="W4066" s="8" t="s">
        <v>6117</v>
      </c>
      <c r="X4066" s="6"/>
      <c r="Y4066" s="6"/>
      <c r="Z4066" s="6"/>
      <c r="AA4066" s="6" t="s">
        <v>196</v>
      </c>
      <c r="AB4066" s="8"/>
    </row>
    <row r="4067" spans="1:28" s="4" customFormat="1" ht="51.95" customHeight="1">
      <c r="A4067" s="5">
        <v>0</v>
      </c>
      <c r="B4067" s="6" t="s">
        <v>24193</v>
      </c>
      <c r="C4067" s="13">
        <v>1100</v>
      </c>
      <c r="D4067" s="8" t="s">
        <v>24194</v>
      </c>
      <c r="E4067" s="8" t="s">
        <v>24195</v>
      </c>
      <c r="F4067" s="8" t="s">
        <v>22825</v>
      </c>
      <c r="G4067" s="6" t="s">
        <v>38</v>
      </c>
      <c r="H4067" s="6" t="s">
        <v>39</v>
      </c>
      <c r="I4067" s="8" t="s">
        <v>116</v>
      </c>
      <c r="J4067" s="9">
        <v>1</v>
      </c>
      <c r="K4067" s="9">
        <v>240</v>
      </c>
      <c r="L4067" s="9">
        <v>2024</v>
      </c>
      <c r="M4067" s="8" t="s">
        <v>24196</v>
      </c>
      <c r="N4067" s="8" t="s">
        <v>56</v>
      </c>
      <c r="O4067" s="8" t="s">
        <v>741</v>
      </c>
      <c r="P4067" s="6" t="s">
        <v>43</v>
      </c>
      <c r="Q4067" s="8" t="s">
        <v>58</v>
      </c>
      <c r="R4067" s="10" t="s">
        <v>4997</v>
      </c>
      <c r="S4067" s="11" t="s">
        <v>24197</v>
      </c>
      <c r="T4067" s="6"/>
      <c r="U4067" s="24" t="str">
        <f>HYPERLINK("https://media.infra-m.ru/2057/2057645/cover/2057645.jpg", "Обложка")</f>
        <v>Обложка</v>
      </c>
      <c r="V4067" s="24" t="str">
        <f>HYPERLINK("https://znanium.ru/catalog/product/2057645", "Ознакомиться")</f>
        <v>Ознакомиться</v>
      </c>
      <c r="W4067" s="8" t="s">
        <v>6464</v>
      </c>
      <c r="X4067" s="6"/>
      <c r="Y4067" s="6"/>
      <c r="Z4067" s="6"/>
      <c r="AA4067" s="6" t="s">
        <v>111</v>
      </c>
      <c r="AB4067" s="8"/>
    </row>
    <row r="4068" spans="1:28" s="4" customFormat="1" ht="42" customHeight="1">
      <c r="A4068" s="5">
        <v>0</v>
      </c>
      <c r="B4068" s="6" t="s">
        <v>24198</v>
      </c>
      <c r="C4068" s="13">
        <v>1230</v>
      </c>
      <c r="D4068" s="8" t="s">
        <v>24199</v>
      </c>
      <c r="E4068" s="8" t="s">
        <v>24195</v>
      </c>
      <c r="F4068" s="8" t="s">
        <v>22825</v>
      </c>
      <c r="G4068" s="6" t="s">
        <v>89</v>
      </c>
      <c r="H4068" s="6" t="s">
        <v>39</v>
      </c>
      <c r="I4068" s="8" t="s">
        <v>6088</v>
      </c>
      <c r="J4068" s="9">
        <v>1</v>
      </c>
      <c r="K4068" s="9">
        <v>240</v>
      </c>
      <c r="L4068" s="9">
        <v>2024</v>
      </c>
      <c r="M4068" s="8" t="s">
        <v>24200</v>
      </c>
      <c r="N4068" s="8" t="s">
        <v>56</v>
      </c>
      <c r="O4068" s="8" t="s">
        <v>741</v>
      </c>
      <c r="P4068" s="6" t="s">
        <v>6090</v>
      </c>
      <c r="Q4068" s="8" t="s">
        <v>58</v>
      </c>
      <c r="R4068" s="10" t="s">
        <v>24201</v>
      </c>
      <c r="S4068" s="11"/>
      <c r="T4068" s="6"/>
      <c r="U4068" s="24" t="str">
        <f>HYPERLINK("https://media.infra-m.ru/2183/2183781/cover/2183781.jpg", "Обложка")</f>
        <v>Обложка</v>
      </c>
      <c r="V4068" s="24" t="str">
        <f>HYPERLINK("https://znanium.ru/catalog/product/2183781", "Ознакомиться")</f>
        <v>Ознакомиться</v>
      </c>
      <c r="W4068" s="8" t="s">
        <v>6464</v>
      </c>
      <c r="X4068" s="6"/>
      <c r="Y4068" s="6"/>
      <c r="Z4068" s="6"/>
      <c r="AA4068" s="6" t="s">
        <v>133</v>
      </c>
      <c r="AB4068" s="8"/>
    </row>
    <row r="4069" spans="1:28" s="4" customFormat="1" ht="51.95" customHeight="1">
      <c r="A4069" s="5">
        <v>0</v>
      </c>
      <c r="B4069" s="6" t="s">
        <v>24202</v>
      </c>
      <c r="C4069" s="13">
        <v>1024</v>
      </c>
      <c r="D4069" s="8" t="s">
        <v>24203</v>
      </c>
      <c r="E4069" s="8" t="s">
        <v>24204</v>
      </c>
      <c r="F4069" s="8" t="s">
        <v>24205</v>
      </c>
      <c r="G4069" s="6" t="s">
        <v>52</v>
      </c>
      <c r="H4069" s="6" t="s">
        <v>53</v>
      </c>
      <c r="I4069" s="8" t="s">
        <v>100</v>
      </c>
      <c r="J4069" s="9">
        <v>1</v>
      </c>
      <c r="K4069" s="9">
        <v>320</v>
      </c>
      <c r="L4069" s="9">
        <v>2019</v>
      </c>
      <c r="M4069" s="8" t="s">
        <v>24206</v>
      </c>
      <c r="N4069" s="8" t="s">
        <v>41</v>
      </c>
      <c r="O4069" s="8" t="s">
        <v>278</v>
      </c>
      <c r="P4069" s="6" t="s">
        <v>167</v>
      </c>
      <c r="Q4069" s="8" t="s">
        <v>102</v>
      </c>
      <c r="R4069" s="10" t="s">
        <v>24207</v>
      </c>
      <c r="S4069" s="11" t="s">
        <v>24208</v>
      </c>
      <c r="T4069" s="6"/>
      <c r="U4069" s="24" t="str">
        <f>HYPERLINK("https://media.infra-m.ru/2081/2081982/cover/2081982.jpg", "Обложка")</f>
        <v>Обложка</v>
      </c>
      <c r="V4069" s="24" t="str">
        <f>HYPERLINK("https://znanium.ru/catalog/product/2059563", "Ознакомиться")</f>
        <v>Ознакомиться</v>
      </c>
      <c r="W4069" s="8" t="s">
        <v>24209</v>
      </c>
      <c r="X4069" s="6"/>
      <c r="Y4069" s="6"/>
      <c r="Z4069" s="6" t="s">
        <v>104</v>
      </c>
      <c r="AA4069" s="6" t="s">
        <v>707</v>
      </c>
      <c r="AB4069" s="8"/>
    </row>
    <row r="4070" spans="1:28" s="4" customFormat="1" ht="51.95" customHeight="1">
      <c r="A4070" s="5">
        <v>0</v>
      </c>
      <c r="B4070" s="6" t="s">
        <v>24210</v>
      </c>
      <c r="C4070" s="13">
        <v>1604</v>
      </c>
      <c r="D4070" s="8" t="s">
        <v>24211</v>
      </c>
      <c r="E4070" s="8" t="s">
        <v>24204</v>
      </c>
      <c r="F4070" s="8" t="s">
        <v>24205</v>
      </c>
      <c r="G4070" s="6" t="s">
        <v>89</v>
      </c>
      <c r="H4070" s="6" t="s">
        <v>53</v>
      </c>
      <c r="I4070" s="8" t="s">
        <v>90</v>
      </c>
      <c r="J4070" s="9">
        <v>1</v>
      </c>
      <c r="K4070" s="9">
        <v>320</v>
      </c>
      <c r="L4070" s="9">
        <v>2025</v>
      </c>
      <c r="M4070" s="8" t="s">
        <v>24212</v>
      </c>
      <c r="N4070" s="8" t="s">
        <v>41</v>
      </c>
      <c r="O4070" s="8" t="s">
        <v>278</v>
      </c>
      <c r="P4070" s="6" t="s">
        <v>167</v>
      </c>
      <c r="Q4070" s="8" t="s">
        <v>44</v>
      </c>
      <c r="R4070" s="10" t="s">
        <v>24213</v>
      </c>
      <c r="S4070" s="11" t="s">
        <v>24214</v>
      </c>
      <c r="T4070" s="6"/>
      <c r="U4070" s="24" t="str">
        <f>HYPERLINK("https://media.infra-m.ru/2184/2184944/cover/2184944.jpg", "Обложка")</f>
        <v>Обложка</v>
      </c>
      <c r="V4070" s="24" t="str">
        <f>HYPERLINK("https://znanium.ru/catalog/product/1970290", "Ознакомиться")</f>
        <v>Ознакомиться</v>
      </c>
      <c r="W4070" s="8" t="s">
        <v>24209</v>
      </c>
      <c r="X4070" s="6"/>
      <c r="Y4070" s="6"/>
      <c r="Z4070" s="6"/>
      <c r="AA4070" s="6" t="s">
        <v>638</v>
      </c>
      <c r="AB4070" s="8"/>
    </row>
    <row r="4071" spans="1:28" s="4" customFormat="1" ht="51.95" customHeight="1">
      <c r="A4071" s="5">
        <v>0</v>
      </c>
      <c r="B4071" s="6" t="s">
        <v>24215</v>
      </c>
      <c r="C4071" s="13">
        <v>1990</v>
      </c>
      <c r="D4071" s="8" t="s">
        <v>24216</v>
      </c>
      <c r="E4071" s="8" t="s">
        <v>24217</v>
      </c>
      <c r="F4071" s="8" t="s">
        <v>6350</v>
      </c>
      <c r="G4071" s="6" t="s">
        <v>52</v>
      </c>
      <c r="H4071" s="6" t="s">
        <v>53</v>
      </c>
      <c r="I4071" s="8" t="s">
        <v>116</v>
      </c>
      <c r="J4071" s="9">
        <v>1</v>
      </c>
      <c r="K4071" s="9">
        <v>401</v>
      </c>
      <c r="L4071" s="9">
        <v>2025</v>
      </c>
      <c r="M4071" s="8" t="s">
        <v>24218</v>
      </c>
      <c r="N4071" s="8" t="s">
        <v>997</v>
      </c>
      <c r="O4071" s="8" t="s">
        <v>998</v>
      </c>
      <c r="P4071" s="6" t="s">
        <v>43</v>
      </c>
      <c r="Q4071" s="8" t="s">
        <v>44</v>
      </c>
      <c r="R4071" s="10" t="s">
        <v>24219</v>
      </c>
      <c r="S4071" s="11" t="s">
        <v>24220</v>
      </c>
      <c r="T4071" s="6"/>
      <c r="U4071" s="24" t="str">
        <f>HYPERLINK("https://media.infra-m.ru/2179/2179084/cover/2179084.jpg", "Обложка")</f>
        <v>Обложка</v>
      </c>
      <c r="V4071" s="24" t="str">
        <f>HYPERLINK("https://znanium.ru/catalog/product/2179084", "Ознакомиться")</f>
        <v>Ознакомиться</v>
      </c>
      <c r="W4071" s="8" t="s">
        <v>6354</v>
      </c>
      <c r="X4071" s="6"/>
      <c r="Y4071" s="6"/>
      <c r="Z4071" s="6"/>
      <c r="AA4071" s="6" t="s">
        <v>867</v>
      </c>
      <c r="AB4071" s="8"/>
    </row>
    <row r="4072" spans="1:28" s="4" customFormat="1" ht="51.95" customHeight="1">
      <c r="A4072" s="5">
        <v>0</v>
      </c>
      <c r="B4072" s="6" t="s">
        <v>24221</v>
      </c>
      <c r="C4072" s="13">
        <v>1854</v>
      </c>
      <c r="D4072" s="8" t="s">
        <v>24222</v>
      </c>
      <c r="E4072" s="8" t="s">
        <v>24217</v>
      </c>
      <c r="F4072" s="8" t="s">
        <v>6350</v>
      </c>
      <c r="G4072" s="6" t="s">
        <v>89</v>
      </c>
      <c r="H4072" s="6" t="s">
        <v>53</v>
      </c>
      <c r="I4072" s="8" t="s">
        <v>100</v>
      </c>
      <c r="J4072" s="9">
        <v>1</v>
      </c>
      <c r="K4072" s="9">
        <v>401</v>
      </c>
      <c r="L4072" s="9">
        <v>2024</v>
      </c>
      <c r="M4072" s="8" t="s">
        <v>24223</v>
      </c>
      <c r="N4072" s="8" t="s">
        <v>997</v>
      </c>
      <c r="O4072" s="8" t="s">
        <v>998</v>
      </c>
      <c r="P4072" s="6" t="s">
        <v>43</v>
      </c>
      <c r="Q4072" s="8" t="s">
        <v>102</v>
      </c>
      <c r="R4072" s="10" t="s">
        <v>24224</v>
      </c>
      <c r="S4072" s="11" t="s">
        <v>24225</v>
      </c>
      <c r="T4072" s="6"/>
      <c r="U4072" s="24" t="str">
        <f>HYPERLINK("https://media.infra-m.ru/2144/2144968/cover/2144968.jpg", "Обложка")</f>
        <v>Обложка</v>
      </c>
      <c r="V4072" s="24" t="str">
        <f>HYPERLINK("https://znanium.ru/catalog/product/2201623", "Ознакомиться")</f>
        <v>Ознакомиться</v>
      </c>
      <c r="W4072" s="8" t="s">
        <v>6354</v>
      </c>
      <c r="X4072" s="6"/>
      <c r="Y4072" s="6"/>
      <c r="Z4072" s="6" t="s">
        <v>104</v>
      </c>
      <c r="AA4072" s="6" t="s">
        <v>867</v>
      </c>
      <c r="AB4072" s="8"/>
    </row>
    <row r="4073" spans="1:28" s="4" customFormat="1" ht="51.95" customHeight="1">
      <c r="A4073" s="5">
        <v>0</v>
      </c>
      <c r="B4073" s="6" t="s">
        <v>24226</v>
      </c>
      <c r="C4073" s="13">
        <v>1670</v>
      </c>
      <c r="D4073" s="8" t="s">
        <v>24227</v>
      </c>
      <c r="E4073" s="8" t="s">
        <v>24228</v>
      </c>
      <c r="F4073" s="8" t="s">
        <v>316</v>
      </c>
      <c r="G4073" s="6" t="s">
        <v>89</v>
      </c>
      <c r="H4073" s="6" t="s">
        <v>53</v>
      </c>
      <c r="I4073" s="8" t="s">
        <v>116</v>
      </c>
      <c r="J4073" s="9">
        <v>1</v>
      </c>
      <c r="K4073" s="9">
        <v>334</v>
      </c>
      <c r="L4073" s="9">
        <v>2025</v>
      </c>
      <c r="M4073" s="8" t="s">
        <v>24229</v>
      </c>
      <c r="N4073" s="8" t="s">
        <v>56</v>
      </c>
      <c r="O4073" s="8" t="s">
        <v>741</v>
      </c>
      <c r="P4073" s="6" t="s">
        <v>43</v>
      </c>
      <c r="Q4073" s="8" t="s">
        <v>44</v>
      </c>
      <c r="R4073" s="10" t="s">
        <v>24230</v>
      </c>
      <c r="S4073" s="11" t="s">
        <v>24231</v>
      </c>
      <c r="T4073" s="6"/>
      <c r="U4073" s="24" t="str">
        <f>HYPERLINK("https://media.infra-m.ru/2184/2184156/cover/2184156.jpg", "Обложка")</f>
        <v>Обложка</v>
      </c>
      <c r="V4073" s="24" t="str">
        <f>HYPERLINK("https://znanium.ru/catalog/product/2184156", "Ознакомиться")</f>
        <v>Ознакомиться</v>
      </c>
      <c r="W4073" s="8" t="s">
        <v>320</v>
      </c>
      <c r="X4073" s="6"/>
      <c r="Y4073" s="6"/>
      <c r="Z4073" s="6"/>
      <c r="AA4073" s="6" t="s">
        <v>1259</v>
      </c>
      <c r="AB4073" s="8"/>
    </row>
    <row r="4074" spans="1:28" s="4" customFormat="1" ht="51.95" customHeight="1">
      <c r="A4074" s="5">
        <v>0</v>
      </c>
      <c r="B4074" s="6" t="s">
        <v>24232</v>
      </c>
      <c r="C4074" s="13">
        <v>1050</v>
      </c>
      <c r="D4074" s="8" t="s">
        <v>24233</v>
      </c>
      <c r="E4074" s="8" t="s">
        <v>24234</v>
      </c>
      <c r="F4074" s="8" t="s">
        <v>316</v>
      </c>
      <c r="G4074" s="6" t="s">
        <v>89</v>
      </c>
      <c r="H4074" s="6" t="s">
        <v>77</v>
      </c>
      <c r="I4074" s="8"/>
      <c r="J4074" s="9">
        <v>1</v>
      </c>
      <c r="K4074" s="9">
        <v>320</v>
      </c>
      <c r="L4074" s="9">
        <v>2019</v>
      </c>
      <c r="M4074" s="8" t="s">
        <v>24235</v>
      </c>
      <c r="N4074" s="8" t="s">
        <v>56</v>
      </c>
      <c r="O4074" s="8" t="s">
        <v>741</v>
      </c>
      <c r="P4074" s="6" t="s">
        <v>43</v>
      </c>
      <c r="Q4074" s="8" t="s">
        <v>44</v>
      </c>
      <c r="R4074" s="10" t="s">
        <v>24230</v>
      </c>
      <c r="S4074" s="11"/>
      <c r="T4074" s="6"/>
      <c r="U4074" s="24" t="str">
        <f>HYPERLINK("https://media.infra-m.ru/0982/0982130/cover/982130.jpg", "Обложка")</f>
        <v>Обложка</v>
      </c>
      <c r="V4074" s="24" t="str">
        <f>HYPERLINK("https://znanium.ru/catalog/product/2184156", "Ознакомиться")</f>
        <v>Ознакомиться</v>
      </c>
      <c r="W4074" s="8" t="s">
        <v>320</v>
      </c>
      <c r="X4074" s="6"/>
      <c r="Y4074" s="6"/>
      <c r="Z4074" s="6"/>
      <c r="AA4074" s="6" t="s">
        <v>122</v>
      </c>
      <c r="AB4074" s="8"/>
    </row>
    <row r="4075" spans="1:28" s="4" customFormat="1" ht="51.95" customHeight="1">
      <c r="A4075" s="5">
        <v>0</v>
      </c>
      <c r="B4075" s="6" t="s">
        <v>24236</v>
      </c>
      <c r="C4075" s="13">
        <v>1650</v>
      </c>
      <c r="D4075" s="8" t="s">
        <v>24237</v>
      </c>
      <c r="E4075" s="8" t="s">
        <v>24238</v>
      </c>
      <c r="F4075" s="8" t="s">
        <v>24239</v>
      </c>
      <c r="G4075" s="6" t="s">
        <v>89</v>
      </c>
      <c r="H4075" s="6" t="s">
        <v>53</v>
      </c>
      <c r="I4075" s="8" t="s">
        <v>116</v>
      </c>
      <c r="J4075" s="9">
        <v>1</v>
      </c>
      <c r="K4075" s="9">
        <v>352</v>
      </c>
      <c r="L4075" s="9">
        <v>2024</v>
      </c>
      <c r="M4075" s="8" t="s">
        <v>24240</v>
      </c>
      <c r="N4075" s="8" t="s">
        <v>997</v>
      </c>
      <c r="O4075" s="8" t="s">
        <v>998</v>
      </c>
      <c r="P4075" s="6" t="s">
        <v>167</v>
      </c>
      <c r="Q4075" s="8" t="s">
        <v>44</v>
      </c>
      <c r="R4075" s="10" t="s">
        <v>21516</v>
      </c>
      <c r="S4075" s="11" t="s">
        <v>24241</v>
      </c>
      <c r="T4075" s="6" t="s">
        <v>299</v>
      </c>
      <c r="U4075" s="24" t="str">
        <f>HYPERLINK("https://media.infra-m.ru/2103/2103722/cover/2103722.jpg", "Обложка")</f>
        <v>Обложка</v>
      </c>
      <c r="V4075" s="24" t="str">
        <f>HYPERLINK("https://znanium.ru/catalog/product/2103722", "Ознакомиться")</f>
        <v>Ознакомиться</v>
      </c>
      <c r="W4075" s="8" t="s">
        <v>4293</v>
      </c>
      <c r="X4075" s="6"/>
      <c r="Y4075" s="6"/>
      <c r="Z4075" s="6"/>
      <c r="AA4075" s="6" t="s">
        <v>654</v>
      </c>
      <c r="AB4075" s="8"/>
    </row>
    <row r="4076" spans="1:28" s="4" customFormat="1" ht="51.95" customHeight="1">
      <c r="A4076" s="5">
        <v>0</v>
      </c>
      <c r="B4076" s="6" t="s">
        <v>24242</v>
      </c>
      <c r="C4076" s="7">
        <v>414</v>
      </c>
      <c r="D4076" s="8" t="s">
        <v>24243</v>
      </c>
      <c r="E4076" s="8" t="s">
        <v>24238</v>
      </c>
      <c r="F4076" s="8" t="s">
        <v>24239</v>
      </c>
      <c r="G4076" s="6" t="s">
        <v>38</v>
      </c>
      <c r="H4076" s="6" t="s">
        <v>184</v>
      </c>
      <c r="I4076" s="8" t="s">
        <v>13321</v>
      </c>
      <c r="J4076" s="9">
        <v>1</v>
      </c>
      <c r="K4076" s="9">
        <v>112</v>
      </c>
      <c r="L4076" s="9">
        <v>2024</v>
      </c>
      <c r="M4076" s="8" t="s">
        <v>24244</v>
      </c>
      <c r="N4076" s="8" t="s">
        <v>997</v>
      </c>
      <c r="O4076" s="8" t="s">
        <v>998</v>
      </c>
      <c r="P4076" s="6" t="s">
        <v>43</v>
      </c>
      <c r="Q4076" s="8" t="s">
        <v>44</v>
      </c>
      <c r="R4076" s="10" t="s">
        <v>24245</v>
      </c>
      <c r="S4076" s="11" t="s">
        <v>24246</v>
      </c>
      <c r="T4076" s="6"/>
      <c r="U4076" s="24" t="str">
        <f>HYPERLINK("https://media.infra-m.ru/2085/2085045/cover/2085045.jpg", "Обложка")</f>
        <v>Обложка</v>
      </c>
      <c r="V4076" s="24" t="str">
        <f>HYPERLINK("https://znanium.ru/catalog/product/1684738", "Ознакомиться")</f>
        <v>Ознакомиться</v>
      </c>
      <c r="W4076" s="8" t="s">
        <v>4293</v>
      </c>
      <c r="X4076" s="6"/>
      <c r="Y4076" s="6"/>
      <c r="Z4076" s="6"/>
      <c r="AA4076" s="6" t="s">
        <v>622</v>
      </c>
      <c r="AB4076" s="8"/>
    </row>
    <row r="4077" spans="1:28" s="4" customFormat="1" ht="51.95" customHeight="1">
      <c r="A4077" s="5">
        <v>0</v>
      </c>
      <c r="B4077" s="6" t="s">
        <v>24247</v>
      </c>
      <c r="C4077" s="7">
        <v>804</v>
      </c>
      <c r="D4077" s="8" t="s">
        <v>24248</v>
      </c>
      <c r="E4077" s="8" t="s">
        <v>24238</v>
      </c>
      <c r="F4077" s="8" t="s">
        <v>24249</v>
      </c>
      <c r="G4077" s="6" t="s">
        <v>52</v>
      </c>
      <c r="H4077" s="6" t="s">
        <v>53</v>
      </c>
      <c r="I4077" s="8" t="s">
        <v>90</v>
      </c>
      <c r="J4077" s="9">
        <v>1</v>
      </c>
      <c r="K4077" s="9">
        <v>160</v>
      </c>
      <c r="L4077" s="9">
        <v>2025</v>
      </c>
      <c r="M4077" s="8" t="s">
        <v>24250</v>
      </c>
      <c r="N4077" s="8" t="s">
        <v>56</v>
      </c>
      <c r="O4077" s="8" t="s">
        <v>741</v>
      </c>
      <c r="P4077" s="6" t="s">
        <v>43</v>
      </c>
      <c r="Q4077" s="8" t="s">
        <v>44</v>
      </c>
      <c r="R4077" s="10" t="s">
        <v>24251</v>
      </c>
      <c r="S4077" s="11" t="s">
        <v>24252</v>
      </c>
      <c r="T4077" s="6" t="s">
        <v>299</v>
      </c>
      <c r="U4077" s="24" t="str">
        <f>HYPERLINK("https://media.infra-m.ru/2191/2191610/cover/2191610.jpg", "Обложка")</f>
        <v>Обложка</v>
      </c>
      <c r="V4077" s="24" t="str">
        <f>HYPERLINK("https://znanium.ru/catalog/product/1870756", "Ознакомиться")</f>
        <v>Ознакомиться</v>
      </c>
      <c r="W4077" s="8" t="s">
        <v>15873</v>
      </c>
      <c r="X4077" s="6"/>
      <c r="Y4077" s="6"/>
      <c r="Z4077" s="6"/>
      <c r="AA4077" s="6" t="s">
        <v>47</v>
      </c>
      <c r="AB4077" s="8"/>
    </row>
    <row r="4078" spans="1:28" s="4" customFormat="1" ht="51.95" customHeight="1">
      <c r="A4078" s="5">
        <v>0</v>
      </c>
      <c r="B4078" s="6" t="s">
        <v>24253</v>
      </c>
      <c r="C4078" s="13">
        <v>1914</v>
      </c>
      <c r="D4078" s="8" t="s">
        <v>24254</v>
      </c>
      <c r="E4078" s="8" t="s">
        <v>24255</v>
      </c>
      <c r="F4078" s="8" t="s">
        <v>24256</v>
      </c>
      <c r="G4078" s="6" t="s">
        <v>89</v>
      </c>
      <c r="H4078" s="6" t="s">
        <v>77</v>
      </c>
      <c r="I4078" s="8"/>
      <c r="J4078" s="9">
        <v>1</v>
      </c>
      <c r="K4078" s="9">
        <v>368</v>
      </c>
      <c r="L4078" s="9">
        <v>2025</v>
      </c>
      <c r="M4078" s="8" t="s">
        <v>24257</v>
      </c>
      <c r="N4078" s="8" t="s">
        <v>997</v>
      </c>
      <c r="O4078" s="8" t="s">
        <v>998</v>
      </c>
      <c r="P4078" s="6" t="s">
        <v>43</v>
      </c>
      <c r="Q4078" s="8" t="s">
        <v>44</v>
      </c>
      <c r="R4078" s="10" t="s">
        <v>21516</v>
      </c>
      <c r="S4078" s="11" t="s">
        <v>24258</v>
      </c>
      <c r="T4078" s="6"/>
      <c r="U4078" s="24" t="str">
        <f>HYPERLINK("https://media.infra-m.ru/2118/2118734/cover/2118734.jpg", "Обложка")</f>
        <v>Обложка</v>
      </c>
      <c r="V4078" s="24" t="str">
        <f>HYPERLINK("https://znanium.ru/catalog/product/1930669", "Ознакомиться")</f>
        <v>Ознакомиться</v>
      </c>
      <c r="W4078" s="8" t="s">
        <v>83</v>
      </c>
      <c r="X4078" s="6"/>
      <c r="Y4078" s="6"/>
      <c r="Z4078" s="6"/>
      <c r="AA4078" s="6" t="s">
        <v>326</v>
      </c>
      <c r="AB4078" s="8"/>
    </row>
    <row r="4079" spans="1:28" s="4" customFormat="1" ht="51.95" customHeight="1">
      <c r="A4079" s="5">
        <v>0</v>
      </c>
      <c r="B4079" s="6" t="s">
        <v>24259</v>
      </c>
      <c r="C4079" s="13">
        <v>1200</v>
      </c>
      <c r="D4079" s="8" t="s">
        <v>24260</v>
      </c>
      <c r="E4079" s="8" t="s">
        <v>24261</v>
      </c>
      <c r="F4079" s="8" t="s">
        <v>24262</v>
      </c>
      <c r="G4079" s="6" t="s">
        <v>38</v>
      </c>
      <c r="H4079" s="6" t="s">
        <v>39</v>
      </c>
      <c r="I4079" s="8" t="s">
        <v>116</v>
      </c>
      <c r="J4079" s="9">
        <v>1</v>
      </c>
      <c r="K4079" s="9">
        <v>240</v>
      </c>
      <c r="L4079" s="9">
        <v>2024</v>
      </c>
      <c r="M4079" s="8" t="s">
        <v>24263</v>
      </c>
      <c r="N4079" s="8" t="s">
        <v>56</v>
      </c>
      <c r="O4079" s="8" t="s">
        <v>741</v>
      </c>
      <c r="P4079" s="6" t="s">
        <v>43</v>
      </c>
      <c r="Q4079" s="8" t="s">
        <v>58</v>
      </c>
      <c r="R4079" s="10" t="s">
        <v>24264</v>
      </c>
      <c r="S4079" s="11" t="s">
        <v>24265</v>
      </c>
      <c r="T4079" s="6"/>
      <c r="U4079" s="24" t="str">
        <f>HYPERLINK("https://media.infra-m.ru/2157/2157165/cover/2157165.jpg", "Обложка")</f>
        <v>Обложка</v>
      </c>
      <c r="V4079" s="24" t="str">
        <f>HYPERLINK("https://znanium.ru/catalog/product/2157165", "Ознакомиться")</f>
        <v>Ознакомиться</v>
      </c>
      <c r="W4079" s="8" t="s">
        <v>24266</v>
      </c>
      <c r="X4079" s="6"/>
      <c r="Y4079" s="6"/>
      <c r="Z4079" s="6"/>
      <c r="AA4079" s="6" t="s">
        <v>418</v>
      </c>
      <c r="AB4079" s="8"/>
    </row>
    <row r="4080" spans="1:28" s="4" customFormat="1" ht="51.95" customHeight="1">
      <c r="A4080" s="5">
        <v>0</v>
      </c>
      <c r="B4080" s="6" t="s">
        <v>24267</v>
      </c>
      <c r="C4080" s="13">
        <v>1134</v>
      </c>
      <c r="D4080" s="8" t="s">
        <v>24268</v>
      </c>
      <c r="E4080" s="8" t="s">
        <v>24269</v>
      </c>
      <c r="F4080" s="8" t="s">
        <v>3342</v>
      </c>
      <c r="G4080" s="6" t="s">
        <v>52</v>
      </c>
      <c r="H4080" s="6" t="s">
        <v>184</v>
      </c>
      <c r="I4080" s="8" t="s">
        <v>90</v>
      </c>
      <c r="J4080" s="9">
        <v>1</v>
      </c>
      <c r="K4080" s="9">
        <v>218</v>
      </c>
      <c r="L4080" s="9">
        <v>2025</v>
      </c>
      <c r="M4080" s="8" t="s">
        <v>24270</v>
      </c>
      <c r="N4080" s="8" t="s">
        <v>41</v>
      </c>
      <c r="O4080" s="8" t="s">
        <v>278</v>
      </c>
      <c r="P4080" s="6" t="s">
        <v>43</v>
      </c>
      <c r="Q4080" s="8" t="s">
        <v>44</v>
      </c>
      <c r="R4080" s="10" t="s">
        <v>7994</v>
      </c>
      <c r="S4080" s="11" t="s">
        <v>24271</v>
      </c>
      <c r="T4080" s="6"/>
      <c r="U4080" s="24" t="str">
        <f>HYPERLINK("https://media.infra-m.ru/2125/2125001/cover/2125001.jpg", "Обложка")</f>
        <v>Обложка</v>
      </c>
      <c r="V4080" s="24" t="str">
        <f>HYPERLINK("https://znanium.ru/catalog/product/1079867", "Ознакомиться")</f>
        <v>Ознакомиться</v>
      </c>
      <c r="W4080" s="8" t="s">
        <v>354</v>
      </c>
      <c r="X4080" s="6"/>
      <c r="Y4080" s="6"/>
      <c r="Z4080" s="6"/>
      <c r="AA4080" s="6" t="s">
        <v>122</v>
      </c>
      <c r="AB4080" s="8"/>
    </row>
    <row r="4081" spans="1:28" s="4" customFormat="1" ht="42" customHeight="1">
      <c r="A4081" s="5">
        <v>0</v>
      </c>
      <c r="B4081" s="6" t="s">
        <v>24272</v>
      </c>
      <c r="C4081" s="13">
        <v>1380</v>
      </c>
      <c r="D4081" s="8" t="s">
        <v>24273</v>
      </c>
      <c r="E4081" s="8" t="s">
        <v>24274</v>
      </c>
      <c r="F4081" s="8" t="s">
        <v>24275</v>
      </c>
      <c r="G4081" s="6" t="s">
        <v>89</v>
      </c>
      <c r="H4081" s="6" t="s">
        <v>184</v>
      </c>
      <c r="I4081" s="8" t="s">
        <v>185</v>
      </c>
      <c r="J4081" s="9">
        <v>1</v>
      </c>
      <c r="K4081" s="9">
        <v>300</v>
      </c>
      <c r="L4081" s="9">
        <v>2024</v>
      </c>
      <c r="M4081" s="8" t="s">
        <v>24276</v>
      </c>
      <c r="N4081" s="8" t="s">
        <v>56</v>
      </c>
      <c r="O4081" s="8" t="s">
        <v>741</v>
      </c>
      <c r="P4081" s="6" t="s">
        <v>43</v>
      </c>
      <c r="Q4081" s="8" t="s">
        <v>44</v>
      </c>
      <c r="R4081" s="10" t="s">
        <v>24277</v>
      </c>
      <c r="S4081" s="11"/>
      <c r="T4081" s="6" t="s">
        <v>299</v>
      </c>
      <c r="U4081" s="24" t="str">
        <f>HYPERLINK("https://media.infra-m.ru/1916/1916399/cover/1916399.jpg", "Обложка")</f>
        <v>Обложка</v>
      </c>
      <c r="V4081" s="24" t="str">
        <f>HYPERLINK("https://znanium.ru/catalog/product/1916399", "Ознакомиться")</f>
        <v>Ознакомиться</v>
      </c>
      <c r="W4081" s="8" t="s">
        <v>24165</v>
      </c>
      <c r="X4081" s="6"/>
      <c r="Y4081" s="6"/>
      <c r="Z4081" s="6"/>
      <c r="AA4081" s="6" t="s">
        <v>418</v>
      </c>
      <c r="AB4081" s="8"/>
    </row>
    <row r="4082" spans="1:28" s="4" customFormat="1" ht="51.95" customHeight="1">
      <c r="A4082" s="5">
        <v>0</v>
      </c>
      <c r="B4082" s="6" t="s">
        <v>24278</v>
      </c>
      <c r="C4082" s="13">
        <v>2464</v>
      </c>
      <c r="D4082" s="8" t="s">
        <v>24279</v>
      </c>
      <c r="E4082" s="8" t="s">
        <v>24280</v>
      </c>
      <c r="F4082" s="8" t="s">
        <v>4205</v>
      </c>
      <c r="G4082" s="6" t="s">
        <v>52</v>
      </c>
      <c r="H4082" s="6" t="s">
        <v>53</v>
      </c>
      <c r="I4082" s="8" t="s">
        <v>116</v>
      </c>
      <c r="J4082" s="9">
        <v>1</v>
      </c>
      <c r="K4082" s="9">
        <v>479</v>
      </c>
      <c r="L4082" s="9">
        <v>2025</v>
      </c>
      <c r="M4082" s="8" t="s">
        <v>24281</v>
      </c>
      <c r="N4082" s="8" t="s">
        <v>56</v>
      </c>
      <c r="O4082" s="8" t="s">
        <v>741</v>
      </c>
      <c r="P4082" s="6" t="s">
        <v>167</v>
      </c>
      <c r="Q4082" s="8" t="s">
        <v>44</v>
      </c>
      <c r="R4082" s="10" t="s">
        <v>1894</v>
      </c>
      <c r="S4082" s="11" t="s">
        <v>24282</v>
      </c>
      <c r="T4082" s="6"/>
      <c r="U4082" s="24" t="str">
        <f>HYPERLINK("https://media.infra-m.ru/2202/2202112/cover/2202112.jpg", "Обложка")</f>
        <v>Обложка</v>
      </c>
      <c r="V4082" s="24" t="str">
        <f>HYPERLINK("https://znanium.ru/catalog/product/2184576", "Ознакомиться")</f>
        <v>Ознакомиться</v>
      </c>
      <c r="W4082" s="8" t="s">
        <v>4208</v>
      </c>
      <c r="X4082" s="6"/>
      <c r="Y4082" s="6"/>
      <c r="Z4082" s="6"/>
      <c r="AA4082" s="6" t="s">
        <v>494</v>
      </c>
      <c r="AB4082" s="8"/>
    </row>
    <row r="4083" spans="1:28" s="4" customFormat="1" ht="42" customHeight="1">
      <c r="A4083" s="5">
        <v>0</v>
      </c>
      <c r="B4083" s="6" t="s">
        <v>24283</v>
      </c>
      <c r="C4083" s="13">
        <v>1514</v>
      </c>
      <c r="D4083" s="8" t="s">
        <v>24284</v>
      </c>
      <c r="E4083" s="8" t="s">
        <v>24285</v>
      </c>
      <c r="F4083" s="8" t="s">
        <v>24286</v>
      </c>
      <c r="G4083" s="6" t="s">
        <v>89</v>
      </c>
      <c r="H4083" s="6" t="s">
        <v>184</v>
      </c>
      <c r="I4083" s="8" t="s">
        <v>116</v>
      </c>
      <c r="J4083" s="9">
        <v>1</v>
      </c>
      <c r="K4083" s="9">
        <v>303</v>
      </c>
      <c r="L4083" s="9">
        <v>2023</v>
      </c>
      <c r="M4083" s="8" t="s">
        <v>24287</v>
      </c>
      <c r="N4083" s="8" t="s">
        <v>56</v>
      </c>
      <c r="O4083" s="8" t="s">
        <v>741</v>
      </c>
      <c r="P4083" s="6" t="s">
        <v>167</v>
      </c>
      <c r="Q4083" s="8" t="s">
        <v>58</v>
      </c>
      <c r="R4083" s="10" t="s">
        <v>18394</v>
      </c>
      <c r="S4083" s="11"/>
      <c r="T4083" s="6"/>
      <c r="U4083" s="24" t="str">
        <f>HYPERLINK("https://media.infra-m.ru/2172/2172842/cover/2172842.jpg", "Обложка")</f>
        <v>Обложка</v>
      </c>
      <c r="V4083" s="24" t="str">
        <f>HYPERLINK("https://znanium.ru/catalog/product/2152239", "Ознакомиться")</f>
        <v>Ознакомиться</v>
      </c>
      <c r="W4083" s="8" t="s">
        <v>8784</v>
      </c>
      <c r="X4083" s="6"/>
      <c r="Y4083" s="6"/>
      <c r="Z4083" s="6"/>
      <c r="AA4083" s="6" t="s">
        <v>442</v>
      </c>
      <c r="AB4083" s="8"/>
    </row>
    <row r="4084" spans="1:28" s="4" customFormat="1" ht="44.1" customHeight="1">
      <c r="A4084" s="5">
        <v>0</v>
      </c>
      <c r="B4084" s="6" t="s">
        <v>24288</v>
      </c>
      <c r="C4084" s="13">
        <v>1140</v>
      </c>
      <c r="D4084" s="8" t="s">
        <v>24289</v>
      </c>
      <c r="E4084" s="8" t="s">
        <v>24290</v>
      </c>
      <c r="F4084" s="8" t="s">
        <v>17238</v>
      </c>
      <c r="G4084" s="6" t="s">
        <v>89</v>
      </c>
      <c r="H4084" s="6" t="s">
        <v>53</v>
      </c>
      <c r="I4084" s="8"/>
      <c r="J4084" s="9">
        <v>1</v>
      </c>
      <c r="K4084" s="9">
        <v>228</v>
      </c>
      <c r="L4084" s="9">
        <v>2025</v>
      </c>
      <c r="M4084" s="8" t="s">
        <v>24291</v>
      </c>
      <c r="N4084" s="8" t="s">
        <v>56</v>
      </c>
      <c r="O4084" s="8" t="s">
        <v>741</v>
      </c>
      <c r="P4084" s="6" t="s">
        <v>822</v>
      </c>
      <c r="Q4084" s="8" t="s">
        <v>44</v>
      </c>
      <c r="R4084" s="10" t="s">
        <v>24292</v>
      </c>
      <c r="S4084" s="11"/>
      <c r="T4084" s="6"/>
      <c r="U4084" s="24" t="str">
        <f>HYPERLINK("https://media.infra-m.ru/2159/2159184/cover/2159184.jpg", "Обложка")</f>
        <v>Обложка</v>
      </c>
      <c r="V4084" s="24" t="str">
        <f>HYPERLINK("https://znanium.ru/catalog/product/2159184", "Ознакомиться")</f>
        <v>Ознакомиться</v>
      </c>
      <c r="W4084" s="8" t="s">
        <v>1345</v>
      </c>
      <c r="X4084" s="6"/>
      <c r="Y4084" s="6"/>
      <c r="Z4084" s="6"/>
      <c r="AA4084" s="6" t="s">
        <v>326</v>
      </c>
      <c r="AB4084" s="8"/>
    </row>
    <row r="4085" spans="1:28" s="4" customFormat="1" ht="51.95" customHeight="1">
      <c r="A4085" s="5">
        <v>0</v>
      </c>
      <c r="B4085" s="6" t="s">
        <v>24293</v>
      </c>
      <c r="C4085" s="13">
        <v>1084.9000000000001</v>
      </c>
      <c r="D4085" s="8" t="s">
        <v>24294</v>
      </c>
      <c r="E4085" s="8" t="s">
        <v>24295</v>
      </c>
      <c r="F4085" s="8" t="s">
        <v>9027</v>
      </c>
      <c r="G4085" s="6" t="s">
        <v>52</v>
      </c>
      <c r="H4085" s="6" t="s">
        <v>77</v>
      </c>
      <c r="I4085" s="8"/>
      <c r="J4085" s="9">
        <v>1</v>
      </c>
      <c r="K4085" s="9">
        <v>240</v>
      </c>
      <c r="L4085" s="9">
        <v>2023</v>
      </c>
      <c r="M4085" s="8" t="s">
        <v>24296</v>
      </c>
      <c r="N4085" s="8" t="s">
        <v>41</v>
      </c>
      <c r="O4085" s="8" t="s">
        <v>118</v>
      </c>
      <c r="P4085" s="6" t="s">
        <v>43</v>
      </c>
      <c r="Q4085" s="8" t="s">
        <v>44</v>
      </c>
      <c r="R4085" s="10" t="s">
        <v>24297</v>
      </c>
      <c r="S4085" s="11"/>
      <c r="T4085" s="6"/>
      <c r="U4085" s="24" t="str">
        <f>HYPERLINK("https://media.infra-m.ru/1971/1971824/cover/1971824.jpg", "Обложка")</f>
        <v>Обложка</v>
      </c>
      <c r="V4085" s="24" t="str">
        <f>HYPERLINK("https://znanium.ru/catalog/product/2095599", "Ознакомиться")</f>
        <v>Ознакомиться</v>
      </c>
      <c r="W4085" s="8" t="s">
        <v>83</v>
      </c>
      <c r="X4085" s="6"/>
      <c r="Y4085" s="6"/>
      <c r="Z4085" s="6"/>
      <c r="AA4085" s="6" t="s">
        <v>84</v>
      </c>
      <c r="AB4085" s="8"/>
    </row>
    <row r="4086" spans="1:28" s="4" customFormat="1" ht="51.95" customHeight="1">
      <c r="A4086" s="5">
        <v>0</v>
      </c>
      <c r="B4086" s="6" t="s">
        <v>24298</v>
      </c>
      <c r="C4086" s="13">
        <v>1000</v>
      </c>
      <c r="D4086" s="8" t="s">
        <v>24299</v>
      </c>
      <c r="E4086" s="8" t="s">
        <v>24300</v>
      </c>
      <c r="F4086" s="8" t="s">
        <v>19596</v>
      </c>
      <c r="G4086" s="6" t="s">
        <v>89</v>
      </c>
      <c r="H4086" s="6" t="s">
        <v>649</v>
      </c>
      <c r="I4086" s="8" t="s">
        <v>100</v>
      </c>
      <c r="J4086" s="9">
        <v>1</v>
      </c>
      <c r="K4086" s="9">
        <v>192</v>
      </c>
      <c r="L4086" s="9">
        <v>2025</v>
      </c>
      <c r="M4086" s="8" t="s">
        <v>24301</v>
      </c>
      <c r="N4086" s="8" t="s">
        <v>56</v>
      </c>
      <c r="O4086" s="8" t="s">
        <v>741</v>
      </c>
      <c r="P4086" s="6" t="s">
        <v>43</v>
      </c>
      <c r="Q4086" s="8" t="s">
        <v>102</v>
      </c>
      <c r="R4086" s="10" t="s">
        <v>24302</v>
      </c>
      <c r="S4086" s="11" t="s">
        <v>24303</v>
      </c>
      <c r="T4086" s="6"/>
      <c r="U4086" s="24" t="str">
        <f>HYPERLINK("https://media.infra-m.ru/2177/2177856/cover/2177856.jpg", "Обложка")</f>
        <v>Обложка</v>
      </c>
      <c r="V4086" s="24" t="str">
        <f>HYPERLINK("https://znanium.ru/catalog/product/2177856", "Ознакомиться")</f>
        <v>Ознакомиться</v>
      </c>
      <c r="W4086" s="8" t="s">
        <v>10326</v>
      </c>
      <c r="X4086" s="6"/>
      <c r="Y4086" s="6"/>
      <c r="Z4086" s="6"/>
      <c r="AA4086" s="6" t="s">
        <v>555</v>
      </c>
      <c r="AB4086" s="8"/>
    </row>
    <row r="4087" spans="1:28" s="4" customFormat="1" ht="51.95" customHeight="1">
      <c r="A4087" s="5">
        <v>0</v>
      </c>
      <c r="B4087" s="6" t="s">
        <v>24304</v>
      </c>
      <c r="C4087" s="7">
        <v>950</v>
      </c>
      <c r="D4087" s="8" t="s">
        <v>24305</v>
      </c>
      <c r="E4087" s="8" t="s">
        <v>24300</v>
      </c>
      <c r="F4087" s="8" t="s">
        <v>19596</v>
      </c>
      <c r="G4087" s="6" t="s">
        <v>89</v>
      </c>
      <c r="H4087" s="6" t="s">
        <v>649</v>
      </c>
      <c r="I4087" s="8" t="s">
        <v>116</v>
      </c>
      <c r="J4087" s="9">
        <v>1</v>
      </c>
      <c r="K4087" s="9">
        <v>192</v>
      </c>
      <c r="L4087" s="9">
        <v>2024</v>
      </c>
      <c r="M4087" s="8" t="s">
        <v>24306</v>
      </c>
      <c r="N4087" s="8" t="s">
        <v>56</v>
      </c>
      <c r="O4087" s="8" t="s">
        <v>741</v>
      </c>
      <c r="P4087" s="6" t="s">
        <v>43</v>
      </c>
      <c r="Q4087" s="8" t="s">
        <v>44</v>
      </c>
      <c r="R4087" s="10" t="s">
        <v>24307</v>
      </c>
      <c r="S4087" s="11" t="s">
        <v>24308</v>
      </c>
      <c r="T4087" s="6"/>
      <c r="U4087" s="24" t="str">
        <f>HYPERLINK("https://media.infra-m.ru/2125/2125303/cover/2125303.jpg", "Обложка")</f>
        <v>Обложка</v>
      </c>
      <c r="V4087" s="24" t="str">
        <f>HYPERLINK("https://znanium.ru/catalog/product/2125303", "Ознакомиться")</f>
        <v>Ознакомиться</v>
      </c>
      <c r="W4087" s="8" t="s">
        <v>10326</v>
      </c>
      <c r="X4087" s="6"/>
      <c r="Y4087" s="6"/>
      <c r="Z4087" s="6" t="s">
        <v>335</v>
      </c>
      <c r="AA4087" s="6" t="s">
        <v>151</v>
      </c>
      <c r="AB4087" s="8"/>
    </row>
    <row r="4088" spans="1:28" s="4" customFormat="1" ht="42" customHeight="1">
      <c r="A4088" s="5">
        <v>0</v>
      </c>
      <c r="B4088" s="6" t="s">
        <v>24309</v>
      </c>
      <c r="C4088" s="7">
        <v>680</v>
      </c>
      <c r="D4088" s="8" t="s">
        <v>24310</v>
      </c>
      <c r="E4088" s="8" t="s">
        <v>24311</v>
      </c>
      <c r="F4088" s="8" t="s">
        <v>24312</v>
      </c>
      <c r="G4088" s="6" t="s">
        <v>38</v>
      </c>
      <c r="H4088" s="6" t="s">
        <v>184</v>
      </c>
      <c r="I4088" s="8"/>
      <c r="J4088" s="9">
        <v>1</v>
      </c>
      <c r="K4088" s="9">
        <v>137</v>
      </c>
      <c r="L4088" s="9">
        <v>2023</v>
      </c>
      <c r="M4088" s="8" t="s">
        <v>24313</v>
      </c>
      <c r="N4088" s="8" t="s">
        <v>56</v>
      </c>
      <c r="O4088" s="8" t="s">
        <v>741</v>
      </c>
      <c r="P4088" s="6" t="s">
        <v>43</v>
      </c>
      <c r="Q4088" s="8" t="s">
        <v>44</v>
      </c>
      <c r="R4088" s="10" t="s">
        <v>24314</v>
      </c>
      <c r="S4088" s="11"/>
      <c r="T4088" s="6"/>
      <c r="U4088" s="24" t="str">
        <f>HYPERLINK("https://media.infra-m.ru/1871/1871021/cover/1871021.jpg", "Обложка")</f>
        <v>Обложка</v>
      </c>
      <c r="V4088" s="24" t="str">
        <f>HYPERLINK("https://znanium.ru/catalog/product/2188053", "Ознакомиться")</f>
        <v>Ознакомиться</v>
      </c>
      <c r="W4088" s="8" t="s">
        <v>24165</v>
      </c>
      <c r="X4088" s="6"/>
      <c r="Y4088" s="6"/>
      <c r="Z4088" s="6"/>
      <c r="AA4088" s="6" t="s">
        <v>442</v>
      </c>
      <c r="AB4088" s="8"/>
    </row>
    <row r="4089" spans="1:28" s="4" customFormat="1" ht="51.95" customHeight="1">
      <c r="A4089" s="5">
        <v>0</v>
      </c>
      <c r="B4089" s="6" t="s">
        <v>24315</v>
      </c>
      <c r="C4089" s="13">
        <v>1690</v>
      </c>
      <c r="D4089" s="8" t="s">
        <v>24316</v>
      </c>
      <c r="E4089" s="8" t="s">
        <v>24317</v>
      </c>
      <c r="F4089" s="8" t="s">
        <v>24318</v>
      </c>
      <c r="G4089" s="6" t="s">
        <v>89</v>
      </c>
      <c r="H4089" s="6" t="s">
        <v>53</v>
      </c>
      <c r="I4089" s="8" t="s">
        <v>116</v>
      </c>
      <c r="J4089" s="9">
        <v>1</v>
      </c>
      <c r="K4089" s="9">
        <v>325</v>
      </c>
      <c r="L4089" s="9">
        <v>2025</v>
      </c>
      <c r="M4089" s="8" t="s">
        <v>24319</v>
      </c>
      <c r="N4089" s="8" t="s">
        <v>56</v>
      </c>
      <c r="O4089" s="8" t="s">
        <v>741</v>
      </c>
      <c r="P4089" s="6" t="s">
        <v>43</v>
      </c>
      <c r="Q4089" s="8" t="s">
        <v>279</v>
      </c>
      <c r="R4089" s="10" t="s">
        <v>24320</v>
      </c>
      <c r="S4089" s="11" t="s">
        <v>24321</v>
      </c>
      <c r="T4089" s="6" t="s">
        <v>299</v>
      </c>
      <c r="U4089" s="24" t="str">
        <f>HYPERLINK("https://media.infra-m.ru/2194/2194340/cover/2194340.jpg", "Обложка")</f>
        <v>Обложка</v>
      </c>
      <c r="V4089" s="24" t="str">
        <f>HYPERLINK("https://znanium.ru/catalog/product/2194340", "Ознакомиться")</f>
        <v>Ознакомиться</v>
      </c>
      <c r="W4089" s="8" t="s">
        <v>347</v>
      </c>
      <c r="X4089" s="6"/>
      <c r="Y4089" s="6"/>
      <c r="Z4089" s="6"/>
      <c r="AA4089" s="6" t="s">
        <v>418</v>
      </c>
      <c r="AB4089" s="8"/>
    </row>
    <row r="4090" spans="1:28" s="4" customFormat="1" ht="51.95" customHeight="1">
      <c r="A4090" s="5">
        <v>0</v>
      </c>
      <c r="B4090" s="6" t="s">
        <v>24322</v>
      </c>
      <c r="C4090" s="13">
        <v>3300</v>
      </c>
      <c r="D4090" s="8" t="s">
        <v>24323</v>
      </c>
      <c r="E4090" s="8" t="s">
        <v>24324</v>
      </c>
      <c r="F4090" s="8" t="s">
        <v>10899</v>
      </c>
      <c r="G4090" s="6" t="s">
        <v>52</v>
      </c>
      <c r="H4090" s="6" t="s">
        <v>53</v>
      </c>
      <c r="I4090" s="8" t="s">
        <v>116</v>
      </c>
      <c r="J4090" s="9">
        <v>1</v>
      </c>
      <c r="K4090" s="9">
        <v>638</v>
      </c>
      <c r="L4090" s="9">
        <v>2025</v>
      </c>
      <c r="M4090" s="8" t="s">
        <v>24325</v>
      </c>
      <c r="N4090" s="8" t="s">
        <v>56</v>
      </c>
      <c r="O4090" s="8" t="s">
        <v>741</v>
      </c>
      <c r="P4090" s="6" t="s">
        <v>43</v>
      </c>
      <c r="Q4090" s="8" t="s">
        <v>44</v>
      </c>
      <c r="R4090" s="10" t="s">
        <v>24326</v>
      </c>
      <c r="S4090" s="11" t="s">
        <v>17257</v>
      </c>
      <c r="T4090" s="6"/>
      <c r="U4090" s="24" t="str">
        <f>HYPERLINK("https://media.infra-m.ru/2174/2174657/cover/2174657.jpg", "Обложка")</f>
        <v>Обложка</v>
      </c>
      <c r="V4090" s="24" t="str">
        <f>HYPERLINK("https://znanium.ru/catalog/product/2174657", "Ознакомиться")</f>
        <v>Ознакомиться</v>
      </c>
      <c r="W4090" s="8" t="s">
        <v>46</v>
      </c>
      <c r="X4090" s="6"/>
      <c r="Y4090" s="6"/>
      <c r="Z4090" s="6"/>
      <c r="AA4090" s="6" t="s">
        <v>513</v>
      </c>
      <c r="AB4090" s="8"/>
    </row>
    <row r="4091" spans="1:28" s="4" customFormat="1" ht="44.1" customHeight="1">
      <c r="A4091" s="5">
        <v>0</v>
      </c>
      <c r="B4091" s="6" t="s">
        <v>24327</v>
      </c>
      <c r="C4091" s="7">
        <v>950</v>
      </c>
      <c r="D4091" s="8" t="s">
        <v>24328</v>
      </c>
      <c r="E4091" s="8" t="s">
        <v>24329</v>
      </c>
      <c r="F4091" s="8" t="s">
        <v>24140</v>
      </c>
      <c r="G4091" s="6" t="s">
        <v>52</v>
      </c>
      <c r="H4091" s="6" t="s">
        <v>53</v>
      </c>
      <c r="I4091" s="8" t="s">
        <v>276</v>
      </c>
      <c r="J4091" s="9">
        <v>1</v>
      </c>
      <c r="K4091" s="9">
        <v>230</v>
      </c>
      <c r="L4091" s="9">
        <v>2021</v>
      </c>
      <c r="M4091" s="8" t="s">
        <v>24330</v>
      </c>
      <c r="N4091" s="8" t="s">
        <v>56</v>
      </c>
      <c r="O4091" s="8" t="s">
        <v>741</v>
      </c>
      <c r="P4091" s="6" t="s">
        <v>43</v>
      </c>
      <c r="Q4091" s="8" t="s">
        <v>279</v>
      </c>
      <c r="R4091" s="10" t="s">
        <v>24331</v>
      </c>
      <c r="S4091" s="11"/>
      <c r="T4091" s="6"/>
      <c r="U4091" s="24" t="str">
        <f>HYPERLINK("https://media.infra-m.ru/1081/1081759/cover/1081759.jpg", "Обложка")</f>
        <v>Обложка</v>
      </c>
      <c r="V4091" s="24" t="str">
        <f>HYPERLINK("https://znanium.ru/catalog/product/1081759", "Ознакомиться")</f>
        <v>Ознакомиться</v>
      </c>
      <c r="W4091" s="8" t="s">
        <v>9859</v>
      </c>
      <c r="X4091" s="6"/>
      <c r="Y4091" s="6"/>
      <c r="Z4091" s="6"/>
      <c r="AA4091" s="6" t="s">
        <v>219</v>
      </c>
      <c r="AB4091" s="8"/>
    </row>
    <row r="4092" spans="1:28" s="4" customFormat="1" ht="51.95" customHeight="1">
      <c r="A4092" s="5">
        <v>0</v>
      </c>
      <c r="B4092" s="6" t="s">
        <v>24332</v>
      </c>
      <c r="C4092" s="7">
        <v>688</v>
      </c>
      <c r="D4092" s="8" t="s">
        <v>24333</v>
      </c>
      <c r="E4092" s="8" t="s">
        <v>24334</v>
      </c>
      <c r="F4092" s="8" t="s">
        <v>24335</v>
      </c>
      <c r="G4092" s="6" t="s">
        <v>38</v>
      </c>
      <c r="H4092" s="6" t="s">
        <v>184</v>
      </c>
      <c r="I4092" s="8" t="s">
        <v>10476</v>
      </c>
      <c r="J4092" s="9">
        <v>1</v>
      </c>
      <c r="K4092" s="9">
        <v>224</v>
      </c>
      <c r="L4092" s="9">
        <v>2024</v>
      </c>
      <c r="M4092" s="8" t="s">
        <v>24336</v>
      </c>
      <c r="N4092" s="8" t="s">
        <v>56</v>
      </c>
      <c r="O4092" s="8" t="s">
        <v>741</v>
      </c>
      <c r="P4092" s="6" t="s">
        <v>43</v>
      </c>
      <c r="Q4092" s="8" t="s">
        <v>44</v>
      </c>
      <c r="R4092" s="10" t="s">
        <v>24337</v>
      </c>
      <c r="S4092" s="11"/>
      <c r="T4092" s="6"/>
      <c r="U4092" s="24" t="str">
        <f>HYPERLINK("https://media.infra-m.ru/2134/2134795/cover/2134795.jpg", "Обложка")</f>
        <v>Обложка</v>
      </c>
      <c r="V4092" s="24" t="str">
        <f>HYPERLINK("https://znanium.ru/catalog/product/1943456", "Ознакомиться")</f>
        <v>Ознакомиться</v>
      </c>
      <c r="W4092" s="8" t="s">
        <v>12710</v>
      </c>
      <c r="X4092" s="6"/>
      <c r="Y4092" s="6"/>
      <c r="Z4092" s="6"/>
      <c r="AA4092" s="6" t="s">
        <v>494</v>
      </c>
      <c r="AB4092" s="8"/>
    </row>
    <row r="4093" spans="1:28" s="4" customFormat="1" ht="51.95" customHeight="1">
      <c r="A4093" s="5">
        <v>0</v>
      </c>
      <c r="B4093" s="6" t="s">
        <v>24338</v>
      </c>
      <c r="C4093" s="7">
        <v>714</v>
      </c>
      <c r="D4093" s="8" t="s">
        <v>24339</v>
      </c>
      <c r="E4093" s="8" t="s">
        <v>24340</v>
      </c>
      <c r="F4093" s="8" t="s">
        <v>24341</v>
      </c>
      <c r="G4093" s="6" t="s">
        <v>38</v>
      </c>
      <c r="H4093" s="6" t="s">
        <v>39</v>
      </c>
      <c r="I4093" s="8"/>
      <c r="J4093" s="9">
        <v>1</v>
      </c>
      <c r="K4093" s="9">
        <v>152</v>
      </c>
      <c r="L4093" s="9">
        <v>2024</v>
      </c>
      <c r="M4093" s="8" t="s">
        <v>24342</v>
      </c>
      <c r="N4093" s="8" t="s">
        <v>56</v>
      </c>
      <c r="O4093" s="8" t="s">
        <v>741</v>
      </c>
      <c r="P4093" s="6" t="s">
        <v>43</v>
      </c>
      <c r="Q4093" s="8" t="s">
        <v>44</v>
      </c>
      <c r="R4093" s="10" t="s">
        <v>24343</v>
      </c>
      <c r="S4093" s="11" t="s">
        <v>24344</v>
      </c>
      <c r="T4093" s="6"/>
      <c r="U4093" s="24" t="str">
        <f>HYPERLINK("https://media.infra-m.ru/2144/2144117/cover/2144117.jpg", "Обложка")</f>
        <v>Обложка</v>
      </c>
      <c r="V4093" s="24" t="str">
        <f>HYPERLINK("https://znanium.ru/catalog/product/1074811", "Ознакомиться")</f>
        <v>Ознакомиться</v>
      </c>
      <c r="W4093" s="8" t="s">
        <v>8770</v>
      </c>
      <c r="X4093" s="6"/>
      <c r="Y4093" s="6"/>
      <c r="Z4093" s="6"/>
      <c r="AA4093" s="6" t="s">
        <v>84</v>
      </c>
      <c r="AB4093" s="8"/>
    </row>
    <row r="4094" spans="1:28" s="4" customFormat="1" ht="51.95" customHeight="1">
      <c r="A4094" s="5">
        <v>0</v>
      </c>
      <c r="B4094" s="6" t="s">
        <v>24345</v>
      </c>
      <c r="C4094" s="7">
        <v>790</v>
      </c>
      <c r="D4094" s="8" t="s">
        <v>24346</v>
      </c>
      <c r="E4094" s="8" t="s">
        <v>24347</v>
      </c>
      <c r="F4094" s="8" t="s">
        <v>24348</v>
      </c>
      <c r="G4094" s="6" t="s">
        <v>38</v>
      </c>
      <c r="H4094" s="6" t="s">
        <v>39</v>
      </c>
      <c r="I4094" s="8" t="s">
        <v>116</v>
      </c>
      <c r="J4094" s="9">
        <v>1</v>
      </c>
      <c r="K4094" s="9">
        <v>160</v>
      </c>
      <c r="L4094" s="9">
        <v>2024</v>
      </c>
      <c r="M4094" s="8" t="s">
        <v>24349</v>
      </c>
      <c r="N4094" s="8" t="s">
        <v>41</v>
      </c>
      <c r="O4094" s="8" t="s">
        <v>1204</v>
      </c>
      <c r="P4094" s="6" t="s">
        <v>43</v>
      </c>
      <c r="Q4094" s="8" t="s">
        <v>44</v>
      </c>
      <c r="R4094" s="10" t="s">
        <v>24350</v>
      </c>
      <c r="S4094" s="11" t="s">
        <v>24351</v>
      </c>
      <c r="T4094" s="6"/>
      <c r="U4094" s="24" t="str">
        <f>HYPERLINK("https://media.infra-m.ru/2139/2139008/cover/2139008.jpg", "Обложка")</f>
        <v>Обложка</v>
      </c>
      <c r="V4094" s="24" t="str">
        <f>HYPERLINK("https://znanium.ru/catalog/product/2139008", "Ознакомиться")</f>
        <v>Ознакомиться</v>
      </c>
      <c r="W4094" s="8" t="s">
        <v>24352</v>
      </c>
      <c r="X4094" s="6"/>
      <c r="Y4094" s="6"/>
      <c r="Z4094" s="6"/>
      <c r="AA4094" s="6" t="s">
        <v>160</v>
      </c>
      <c r="AB4094" s="8"/>
    </row>
    <row r="4095" spans="1:28" s="4" customFormat="1" ht="51.95" customHeight="1">
      <c r="A4095" s="5">
        <v>0</v>
      </c>
      <c r="B4095" s="6" t="s">
        <v>24353</v>
      </c>
      <c r="C4095" s="7">
        <v>990</v>
      </c>
      <c r="D4095" s="8" t="s">
        <v>24354</v>
      </c>
      <c r="E4095" s="8" t="s">
        <v>24355</v>
      </c>
      <c r="F4095" s="8" t="s">
        <v>24356</v>
      </c>
      <c r="G4095" s="6" t="s">
        <v>52</v>
      </c>
      <c r="H4095" s="6" t="s">
        <v>53</v>
      </c>
      <c r="I4095" s="8" t="s">
        <v>116</v>
      </c>
      <c r="J4095" s="9">
        <v>1</v>
      </c>
      <c r="K4095" s="9">
        <v>185</v>
      </c>
      <c r="L4095" s="9">
        <v>2025</v>
      </c>
      <c r="M4095" s="8" t="s">
        <v>24357</v>
      </c>
      <c r="N4095" s="8" t="s">
        <v>56</v>
      </c>
      <c r="O4095" s="8" t="s">
        <v>741</v>
      </c>
      <c r="P4095" s="6" t="s">
        <v>43</v>
      </c>
      <c r="Q4095" s="8" t="s">
        <v>58</v>
      </c>
      <c r="R4095" s="10" t="s">
        <v>24358</v>
      </c>
      <c r="S4095" s="11"/>
      <c r="T4095" s="6"/>
      <c r="U4095" s="24" t="str">
        <f>HYPERLINK("https://media.infra-m.ru/2108/2108600/cover/2108600.jpg", "Обложка")</f>
        <v>Обложка</v>
      </c>
      <c r="V4095" s="24" t="str">
        <f>HYPERLINK("https://znanium.ru/catalog/product/2108600", "Ознакомиться")</f>
        <v>Ознакомиться</v>
      </c>
      <c r="W4095" s="8" t="s">
        <v>5468</v>
      </c>
      <c r="X4095" s="6" t="s">
        <v>389</v>
      </c>
      <c r="Y4095" s="6"/>
      <c r="Z4095" s="6"/>
      <c r="AA4095" s="6" t="s">
        <v>61</v>
      </c>
      <c r="AB4095" s="8"/>
    </row>
    <row r="4096" spans="1:28" s="4" customFormat="1" ht="51.95" customHeight="1">
      <c r="A4096" s="5">
        <v>0</v>
      </c>
      <c r="B4096" s="6" t="s">
        <v>24359</v>
      </c>
      <c r="C4096" s="13">
        <v>2054.9</v>
      </c>
      <c r="D4096" s="8" t="s">
        <v>24360</v>
      </c>
      <c r="E4096" s="8" t="s">
        <v>24361</v>
      </c>
      <c r="F4096" s="8" t="s">
        <v>24362</v>
      </c>
      <c r="G4096" s="6" t="s">
        <v>52</v>
      </c>
      <c r="H4096" s="6" t="s">
        <v>53</v>
      </c>
      <c r="I4096" s="8" t="s">
        <v>116</v>
      </c>
      <c r="J4096" s="9">
        <v>1</v>
      </c>
      <c r="K4096" s="9">
        <v>436</v>
      </c>
      <c r="L4096" s="9">
        <v>2023</v>
      </c>
      <c r="M4096" s="8" t="s">
        <v>24363</v>
      </c>
      <c r="N4096" s="8" t="s">
        <v>56</v>
      </c>
      <c r="O4096" s="8" t="s">
        <v>741</v>
      </c>
      <c r="P4096" s="6" t="s">
        <v>43</v>
      </c>
      <c r="Q4096" s="8" t="s">
        <v>44</v>
      </c>
      <c r="R4096" s="10" t="s">
        <v>24364</v>
      </c>
      <c r="S4096" s="11" t="s">
        <v>24365</v>
      </c>
      <c r="T4096" s="6" t="s">
        <v>299</v>
      </c>
      <c r="U4096" s="24" t="str">
        <f>HYPERLINK("https://media.infra-m.ru/2110/2110924/cover/2110924.jpg", "Обложка")</f>
        <v>Обложка</v>
      </c>
      <c r="V4096" s="24" t="str">
        <f>HYPERLINK("https://znanium.ru/catalog/product/2102699", "Ознакомиться")</f>
        <v>Ознакомиться</v>
      </c>
      <c r="W4096" s="8" t="s">
        <v>8770</v>
      </c>
      <c r="X4096" s="6"/>
      <c r="Y4096" s="6"/>
      <c r="Z4096" s="6"/>
      <c r="AA4096" s="6" t="s">
        <v>442</v>
      </c>
      <c r="AB4096" s="8"/>
    </row>
    <row r="4097" spans="1:28" s="4" customFormat="1" ht="51.95" customHeight="1">
      <c r="A4097" s="5">
        <v>0</v>
      </c>
      <c r="B4097" s="6" t="s">
        <v>24366</v>
      </c>
      <c r="C4097" s="13">
        <v>2700</v>
      </c>
      <c r="D4097" s="8" t="s">
        <v>24367</v>
      </c>
      <c r="E4097" s="8" t="s">
        <v>24368</v>
      </c>
      <c r="F4097" s="8" t="s">
        <v>24369</v>
      </c>
      <c r="G4097" s="6" t="s">
        <v>52</v>
      </c>
      <c r="H4097" s="6" t="s">
        <v>39</v>
      </c>
      <c r="I4097" s="8" t="s">
        <v>116</v>
      </c>
      <c r="J4097" s="9">
        <v>1</v>
      </c>
      <c r="K4097" s="9">
        <v>544</v>
      </c>
      <c r="L4097" s="9">
        <v>2025</v>
      </c>
      <c r="M4097" s="8" t="s">
        <v>24370</v>
      </c>
      <c r="N4097" s="8" t="s">
        <v>56</v>
      </c>
      <c r="O4097" s="8" t="s">
        <v>741</v>
      </c>
      <c r="P4097" s="6" t="s">
        <v>43</v>
      </c>
      <c r="Q4097" s="8" t="s">
        <v>44</v>
      </c>
      <c r="R4097" s="10" t="s">
        <v>24371</v>
      </c>
      <c r="S4097" s="11" t="s">
        <v>24372</v>
      </c>
      <c r="T4097" s="6"/>
      <c r="U4097" s="24" t="str">
        <f>HYPERLINK("https://media.infra-m.ru/2191/2191271/cover/2191271.jpg", "Обложка")</f>
        <v>Обложка</v>
      </c>
      <c r="V4097" s="24" t="str">
        <f>HYPERLINK("https://znanium.ru/catalog/product/2191271", "Ознакомиться")</f>
        <v>Ознакомиться</v>
      </c>
      <c r="W4097" s="8" t="s">
        <v>243</v>
      </c>
      <c r="X4097" s="6"/>
      <c r="Y4097" s="6"/>
      <c r="Z4097" s="6"/>
      <c r="AA4097" s="6" t="s">
        <v>122</v>
      </c>
      <c r="AB4097" s="8"/>
    </row>
    <row r="4098" spans="1:28" s="4" customFormat="1" ht="42" customHeight="1">
      <c r="A4098" s="5">
        <v>0</v>
      </c>
      <c r="B4098" s="6" t="s">
        <v>24373</v>
      </c>
      <c r="C4098" s="13">
        <v>1124.9000000000001</v>
      </c>
      <c r="D4098" s="8" t="s">
        <v>24374</v>
      </c>
      <c r="E4098" s="8" t="s">
        <v>24375</v>
      </c>
      <c r="F4098" s="8" t="s">
        <v>17238</v>
      </c>
      <c r="G4098" s="6" t="s">
        <v>52</v>
      </c>
      <c r="H4098" s="6" t="s">
        <v>77</v>
      </c>
      <c r="I4098" s="8"/>
      <c r="J4098" s="9">
        <v>1</v>
      </c>
      <c r="K4098" s="9">
        <v>251</v>
      </c>
      <c r="L4098" s="9">
        <v>2023</v>
      </c>
      <c r="M4098" s="8" t="s">
        <v>24376</v>
      </c>
      <c r="N4098" s="8" t="s">
        <v>56</v>
      </c>
      <c r="O4098" s="8" t="s">
        <v>741</v>
      </c>
      <c r="P4098" s="6" t="s">
        <v>43</v>
      </c>
      <c r="Q4098" s="8" t="s">
        <v>44</v>
      </c>
      <c r="R4098" s="10" t="s">
        <v>21516</v>
      </c>
      <c r="S4098" s="11"/>
      <c r="T4098" s="6"/>
      <c r="U4098" s="24" t="str">
        <f>HYPERLINK("https://media.infra-m.ru/1914/1914065/cover/1914065.jpg", "Обложка")</f>
        <v>Обложка</v>
      </c>
      <c r="V4098" s="24" t="str">
        <f>HYPERLINK("https://znanium.ru/catalog/product/1112979", "Ознакомиться")</f>
        <v>Ознакомиться</v>
      </c>
      <c r="W4098" s="8" t="s">
        <v>1345</v>
      </c>
      <c r="X4098" s="6"/>
      <c r="Y4098" s="6"/>
      <c r="Z4098" s="6"/>
      <c r="AA4098" s="6" t="s">
        <v>47</v>
      </c>
      <c r="AB4098" s="8"/>
    </row>
    <row r="4099" spans="1:28" s="4" customFormat="1" ht="42" customHeight="1">
      <c r="A4099" s="5">
        <v>0</v>
      </c>
      <c r="B4099" s="6" t="s">
        <v>24377</v>
      </c>
      <c r="C4099" s="13">
        <v>1130</v>
      </c>
      <c r="D4099" s="8" t="s">
        <v>24378</v>
      </c>
      <c r="E4099" s="8" t="s">
        <v>24375</v>
      </c>
      <c r="F4099" s="8" t="s">
        <v>17238</v>
      </c>
      <c r="G4099" s="6" t="s">
        <v>89</v>
      </c>
      <c r="H4099" s="6" t="s">
        <v>77</v>
      </c>
      <c r="I4099" s="8" t="s">
        <v>100</v>
      </c>
      <c r="J4099" s="9">
        <v>1</v>
      </c>
      <c r="K4099" s="9">
        <v>251</v>
      </c>
      <c r="L4099" s="9">
        <v>2023</v>
      </c>
      <c r="M4099" s="8" t="s">
        <v>24379</v>
      </c>
      <c r="N4099" s="8" t="s">
        <v>56</v>
      </c>
      <c r="O4099" s="8" t="s">
        <v>741</v>
      </c>
      <c r="P4099" s="6" t="s">
        <v>43</v>
      </c>
      <c r="Q4099" s="8" t="s">
        <v>102</v>
      </c>
      <c r="R4099" s="10" t="s">
        <v>24380</v>
      </c>
      <c r="S4099" s="11"/>
      <c r="T4099" s="6"/>
      <c r="U4099" s="24" t="str">
        <f>HYPERLINK("https://media.infra-m.ru/1914/1914070/cover/1914070.jpg", "Обложка")</f>
        <v>Обложка</v>
      </c>
      <c r="V4099" s="24" t="str">
        <f>HYPERLINK("https://znanium.ru/catalog/product/1914070", "Ознакомиться")</f>
        <v>Ознакомиться</v>
      </c>
      <c r="W4099" s="8" t="s">
        <v>1345</v>
      </c>
      <c r="X4099" s="6"/>
      <c r="Y4099" s="6"/>
      <c r="Z4099" s="6" t="s">
        <v>104</v>
      </c>
      <c r="AA4099" s="6" t="s">
        <v>793</v>
      </c>
      <c r="AB4099" s="8"/>
    </row>
    <row r="4100" spans="1:28" s="4" customFormat="1" ht="44.1" customHeight="1">
      <c r="A4100" s="5">
        <v>0</v>
      </c>
      <c r="B4100" s="6" t="s">
        <v>24381</v>
      </c>
      <c r="C4100" s="13">
        <v>1664</v>
      </c>
      <c r="D4100" s="8" t="s">
        <v>24382</v>
      </c>
      <c r="E4100" s="8" t="s">
        <v>24383</v>
      </c>
      <c r="F4100" s="8" t="s">
        <v>4205</v>
      </c>
      <c r="G4100" s="6" t="s">
        <v>89</v>
      </c>
      <c r="H4100" s="6" t="s">
        <v>53</v>
      </c>
      <c r="I4100" s="8" t="s">
        <v>90</v>
      </c>
      <c r="J4100" s="9">
        <v>1</v>
      </c>
      <c r="K4100" s="9">
        <v>332</v>
      </c>
      <c r="L4100" s="9">
        <v>2025</v>
      </c>
      <c r="M4100" s="8" t="s">
        <v>24384</v>
      </c>
      <c r="N4100" s="8" t="s">
        <v>56</v>
      </c>
      <c r="O4100" s="8" t="s">
        <v>741</v>
      </c>
      <c r="P4100" s="6" t="s">
        <v>167</v>
      </c>
      <c r="Q4100" s="8" t="s">
        <v>44</v>
      </c>
      <c r="R4100" s="10" t="s">
        <v>4207</v>
      </c>
      <c r="S4100" s="11"/>
      <c r="T4100" s="6"/>
      <c r="U4100" s="24" t="str">
        <f>HYPERLINK("https://media.infra-m.ru/2184/2184160/cover/2184160.jpg", "Обложка")</f>
        <v>Обложка</v>
      </c>
      <c r="V4100" s="24" t="str">
        <f>HYPERLINK("https://znanium.ru/catalog/product/2084316", "Ознакомиться")</f>
        <v>Ознакомиться</v>
      </c>
      <c r="W4100" s="8" t="s">
        <v>4208</v>
      </c>
      <c r="X4100" s="6"/>
      <c r="Y4100" s="6"/>
      <c r="Z4100" s="6"/>
      <c r="AA4100" s="6" t="s">
        <v>494</v>
      </c>
      <c r="AB4100" s="8"/>
    </row>
    <row r="4101" spans="1:28" s="4" customFormat="1" ht="51.95" customHeight="1">
      <c r="A4101" s="5">
        <v>0</v>
      </c>
      <c r="B4101" s="6" t="s">
        <v>24385</v>
      </c>
      <c r="C4101" s="13">
        <v>1270</v>
      </c>
      <c r="D4101" s="8" t="s">
        <v>24386</v>
      </c>
      <c r="E4101" s="8" t="s">
        <v>24387</v>
      </c>
      <c r="F4101" s="8" t="s">
        <v>24184</v>
      </c>
      <c r="G4101" s="6" t="s">
        <v>89</v>
      </c>
      <c r="H4101" s="6" t="s">
        <v>184</v>
      </c>
      <c r="I4101" s="8" t="s">
        <v>116</v>
      </c>
      <c r="J4101" s="9">
        <v>1</v>
      </c>
      <c r="K4101" s="9">
        <v>275</v>
      </c>
      <c r="L4101" s="9">
        <v>2024</v>
      </c>
      <c r="M4101" s="8" t="s">
        <v>24388</v>
      </c>
      <c r="N4101" s="8" t="s">
        <v>41</v>
      </c>
      <c r="O4101" s="8" t="s">
        <v>676</v>
      </c>
      <c r="P4101" s="6" t="s">
        <v>43</v>
      </c>
      <c r="Q4101" s="8" t="s">
        <v>58</v>
      </c>
      <c r="R4101" s="10" t="s">
        <v>2736</v>
      </c>
      <c r="S4101" s="11"/>
      <c r="T4101" s="6" t="s">
        <v>299</v>
      </c>
      <c r="U4101" s="24" t="str">
        <f>HYPERLINK("https://media.infra-m.ru/1872/1872521/cover/1872521.jpg", "Обложка")</f>
        <v>Обложка</v>
      </c>
      <c r="V4101" s="24" t="str">
        <f>HYPERLINK("https://znanium.ru/catalog/product/1872521", "Ознакомиться")</f>
        <v>Ознакомиться</v>
      </c>
      <c r="W4101" s="8" t="s">
        <v>17596</v>
      </c>
      <c r="X4101" s="6"/>
      <c r="Y4101" s="6"/>
      <c r="Z4101" s="6"/>
      <c r="AA4101" s="6" t="s">
        <v>442</v>
      </c>
      <c r="AB4101" s="8"/>
    </row>
    <row r="4102" spans="1:28" s="4" customFormat="1" ht="51.95" customHeight="1">
      <c r="A4102" s="5">
        <v>0</v>
      </c>
      <c r="B4102" s="6" t="s">
        <v>24389</v>
      </c>
      <c r="C4102" s="7">
        <v>920</v>
      </c>
      <c r="D4102" s="8" t="s">
        <v>24390</v>
      </c>
      <c r="E4102" s="8" t="s">
        <v>24391</v>
      </c>
      <c r="F4102" s="8" t="s">
        <v>24392</v>
      </c>
      <c r="G4102" s="6" t="s">
        <v>89</v>
      </c>
      <c r="H4102" s="6" t="s">
        <v>53</v>
      </c>
      <c r="I4102" s="8" t="s">
        <v>116</v>
      </c>
      <c r="J4102" s="9">
        <v>1</v>
      </c>
      <c r="K4102" s="9">
        <v>184</v>
      </c>
      <c r="L4102" s="9">
        <v>2025</v>
      </c>
      <c r="M4102" s="8" t="s">
        <v>24393</v>
      </c>
      <c r="N4102" s="8" t="s">
        <v>997</v>
      </c>
      <c r="O4102" s="8" t="s">
        <v>998</v>
      </c>
      <c r="P4102" s="6" t="s">
        <v>167</v>
      </c>
      <c r="Q4102" s="8" t="s">
        <v>58</v>
      </c>
      <c r="R4102" s="10" t="s">
        <v>14265</v>
      </c>
      <c r="S4102" s="11" t="s">
        <v>24394</v>
      </c>
      <c r="T4102" s="6"/>
      <c r="U4102" s="24" t="str">
        <f>HYPERLINK("https://media.infra-m.ru/2143/2143936/cover/2143936.jpg", "Обложка")</f>
        <v>Обложка</v>
      </c>
      <c r="V4102" s="24" t="str">
        <f>HYPERLINK("https://znanium.ru/catalog/product/2143936", "Ознакомиться")</f>
        <v>Ознакомиться</v>
      </c>
      <c r="W4102" s="8" t="s">
        <v>7276</v>
      </c>
      <c r="X4102" s="6"/>
      <c r="Y4102" s="6"/>
      <c r="Z4102" s="6"/>
      <c r="AA4102" s="6" t="s">
        <v>793</v>
      </c>
      <c r="AB4102" s="8"/>
    </row>
    <row r="4103" spans="1:28" s="4" customFormat="1" ht="42" customHeight="1">
      <c r="A4103" s="5">
        <v>0</v>
      </c>
      <c r="B4103" s="6" t="s">
        <v>24395</v>
      </c>
      <c r="C4103" s="7">
        <v>730</v>
      </c>
      <c r="D4103" s="8" t="s">
        <v>24396</v>
      </c>
      <c r="E4103" s="8" t="s">
        <v>24397</v>
      </c>
      <c r="F4103" s="8" t="s">
        <v>316</v>
      </c>
      <c r="G4103" s="6" t="s">
        <v>38</v>
      </c>
      <c r="H4103" s="6" t="s">
        <v>53</v>
      </c>
      <c r="I4103" s="8" t="s">
        <v>276</v>
      </c>
      <c r="J4103" s="9">
        <v>1</v>
      </c>
      <c r="K4103" s="9">
        <v>152</v>
      </c>
      <c r="L4103" s="9">
        <v>2024</v>
      </c>
      <c r="M4103" s="8" t="s">
        <v>24398</v>
      </c>
      <c r="N4103" s="8" t="s">
        <v>997</v>
      </c>
      <c r="O4103" s="8" t="s">
        <v>998</v>
      </c>
      <c r="P4103" s="6" t="s">
        <v>43</v>
      </c>
      <c r="Q4103" s="8" t="s">
        <v>279</v>
      </c>
      <c r="R4103" s="10" t="s">
        <v>24399</v>
      </c>
      <c r="S4103" s="11"/>
      <c r="T4103" s="6"/>
      <c r="U4103" s="24" t="str">
        <f>HYPERLINK("https://media.infra-m.ru/2075/2075980/cover/2075980.jpg", "Обложка")</f>
        <v>Обложка</v>
      </c>
      <c r="V4103" s="24" t="str">
        <f>HYPERLINK("https://znanium.ru/catalog/product/2075980", "Ознакомиться")</f>
        <v>Ознакомиться</v>
      </c>
      <c r="W4103" s="8" t="s">
        <v>320</v>
      </c>
      <c r="X4103" s="6"/>
      <c r="Y4103" s="6"/>
      <c r="Z4103" s="6"/>
      <c r="AA4103" s="6" t="s">
        <v>418</v>
      </c>
      <c r="AB4103" s="8"/>
    </row>
    <row r="4104" spans="1:28" s="4" customFormat="1" ht="51.95" customHeight="1">
      <c r="A4104" s="5">
        <v>0</v>
      </c>
      <c r="B4104" s="6" t="s">
        <v>24400</v>
      </c>
      <c r="C4104" s="13">
        <v>1040</v>
      </c>
      <c r="D4104" s="8" t="s">
        <v>24401</v>
      </c>
      <c r="E4104" s="8" t="s">
        <v>24402</v>
      </c>
      <c r="F4104" s="8" t="s">
        <v>24403</v>
      </c>
      <c r="G4104" s="6" t="s">
        <v>89</v>
      </c>
      <c r="H4104" s="6" t="s">
        <v>53</v>
      </c>
      <c r="I4104" s="8" t="s">
        <v>90</v>
      </c>
      <c r="J4104" s="9">
        <v>1</v>
      </c>
      <c r="K4104" s="9">
        <v>231</v>
      </c>
      <c r="L4104" s="9">
        <v>2023</v>
      </c>
      <c r="M4104" s="8" t="s">
        <v>24404</v>
      </c>
      <c r="N4104" s="8" t="s">
        <v>997</v>
      </c>
      <c r="O4104" s="8" t="s">
        <v>998</v>
      </c>
      <c r="P4104" s="6" t="s">
        <v>175</v>
      </c>
      <c r="Q4104" s="8" t="s">
        <v>44</v>
      </c>
      <c r="R4104" s="10" t="s">
        <v>21485</v>
      </c>
      <c r="S4104" s="11" t="s">
        <v>24405</v>
      </c>
      <c r="T4104" s="6"/>
      <c r="U4104" s="24" t="str">
        <f>HYPERLINK("https://media.infra-m.ru/1915/1915951/cover/1915951.jpg", "Обложка")</f>
        <v>Обложка</v>
      </c>
      <c r="V4104" s="24" t="str">
        <f>HYPERLINK("https://znanium.ru/catalog/product/1915951", "Ознакомиться")</f>
        <v>Ознакомиться</v>
      </c>
      <c r="W4104" s="8" t="s">
        <v>24406</v>
      </c>
      <c r="X4104" s="6"/>
      <c r="Y4104" s="6"/>
      <c r="Z4104" s="6"/>
      <c r="AA4104" s="6" t="s">
        <v>219</v>
      </c>
      <c r="AB4104" s="8"/>
    </row>
    <row r="4105" spans="1:28" s="4" customFormat="1" ht="51.95" customHeight="1">
      <c r="A4105" s="5">
        <v>0</v>
      </c>
      <c r="B4105" s="6" t="s">
        <v>24407</v>
      </c>
      <c r="C4105" s="7">
        <v>920</v>
      </c>
      <c r="D4105" s="8" t="s">
        <v>24408</v>
      </c>
      <c r="E4105" s="8" t="s">
        <v>24409</v>
      </c>
      <c r="F4105" s="8" t="s">
        <v>24392</v>
      </c>
      <c r="G4105" s="6" t="s">
        <v>89</v>
      </c>
      <c r="H4105" s="6" t="s">
        <v>53</v>
      </c>
      <c r="I4105" s="8" t="s">
        <v>100</v>
      </c>
      <c r="J4105" s="9">
        <v>1</v>
      </c>
      <c r="K4105" s="9">
        <v>178</v>
      </c>
      <c r="L4105" s="9">
        <v>2025</v>
      </c>
      <c r="M4105" s="8" t="s">
        <v>24410</v>
      </c>
      <c r="N4105" s="8" t="s">
        <v>997</v>
      </c>
      <c r="O4105" s="8" t="s">
        <v>998</v>
      </c>
      <c r="P4105" s="6" t="s">
        <v>167</v>
      </c>
      <c r="Q4105" s="8" t="s">
        <v>102</v>
      </c>
      <c r="R4105" s="10" t="s">
        <v>24411</v>
      </c>
      <c r="S4105" s="11" t="s">
        <v>24412</v>
      </c>
      <c r="T4105" s="6"/>
      <c r="U4105" s="24" t="str">
        <f>HYPERLINK("https://media.infra-m.ru/2168/2168893/cover/2168893.jpg", "Обложка")</f>
        <v>Обложка</v>
      </c>
      <c r="V4105" s="24" t="str">
        <f>HYPERLINK("https://znanium.ru/catalog/product/2168893", "Ознакомиться")</f>
        <v>Ознакомиться</v>
      </c>
      <c r="W4105" s="8" t="s">
        <v>7276</v>
      </c>
      <c r="X4105" s="6"/>
      <c r="Y4105" s="6"/>
      <c r="Z4105" s="6" t="s">
        <v>502</v>
      </c>
      <c r="AA4105" s="6" t="s">
        <v>793</v>
      </c>
      <c r="AB4105" s="8"/>
    </row>
    <row r="4106" spans="1:28" s="4" customFormat="1" ht="51.95" customHeight="1">
      <c r="A4106" s="5">
        <v>0</v>
      </c>
      <c r="B4106" s="6" t="s">
        <v>24413</v>
      </c>
      <c r="C4106" s="7">
        <v>774</v>
      </c>
      <c r="D4106" s="8" t="s">
        <v>24414</v>
      </c>
      <c r="E4106" s="8" t="s">
        <v>24415</v>
      </c>
      <c r="F4106" s="8" t="s">
        <v>24416</v>
      </c>
      <c r="G4106" s="6" t="s">
        <v>38</v>
      </c>
      <c r="H4106" s="6" t="s">
        <v>53</v>
      </c>
      <c r="I4106" s="8" t="s">
        <v>90</v>
      </c>
      <c r="J4106" s="9">
        <v>1</v>
      </c>
      <c r="K4106" s="9">
        <v>155</v>
      </c>
      <c r="L4106" s="9">
        <v>2025</v>
      </c>
      <c r="M4106" s="8" t="s">
        <v>24417</v>
      </c>
      <c r="N4106" s="8" t="s">
        <v>56</v>
      </c>
      <c r="O4106" s="8" t="s">
        <v>741</v>
      </c>
      <c r="P4106" s="6" t="s">
        <v>43</v>
      </c>
      <c r="Q4106" s="8" t="s">
        <v>44</v>
      </c>
      <c r="R4106" s="10" t="s">
        <v>9714</v>
      </c>
      <c r="S4106" s="11" t="s">
        <v>24418</v>
      </c>
      <c r="T4106" s="6"/>
      <c r="U4106" s="24" t="str">
        <f>HYPERLINK("https://media.infra-m.ru/2188/2188269/cover/2188269.jpg", "Обложка")</f>
        <v>Обложка</v>
      </c>
      <c r="V4106" s="24" t="str">
        <f>HYPERLINK("https://znanium.ru/catalog/product/1144438", "Ознакомиться")</f>
        <v>Ознакомиться</v>
      </c>
      <c r="W4106" s="8" t="s">
        <v>24419</v>
      </c>
      <c r="X4106" s="6"/>
      <c r="Y4106" s="6"/>
      <c r="Z4106" s="6"/>
      <c r="AA4106" s="6" t="s">
        <v>442</v>
      </c>
      <c r="AB4106" s="8"/>
    </row>
    <row r="4107" spans="1:28" s="4" customFormat="1" ht="51.95" customHeight="1">
      <c r="A4107" s="5">
        <v>0</v>
      </c>
      <c r="B4107" s="6" t="s">
        <v>24420</v>
      </c>
      <c r="C4107" s="13">
        <v>2200</v>
      </c>
      <c r="D4107" s="8" t="s">
        <v>24421</v>
      </c>
      <c r="E4107" s="8" t="s">
        <v>24422</v>
      </c>
      <c r="F4107" s="8" t="s">
        <v>24423</v>
      </c>
      <c r="G4107" s="6" t="s">
        <v>52</v>
      </c>
      <c r="H4107" s="6" t="s">
        <v>53</v>
      </c>
      <c r="I4107" s="8" t="s">
        <v>116</v>
      </c>
      <c r="J4107" s="9">
        <v>1</v>
      </c>
      <c r="K4107" s="9">
        <v>436</v>
      </c>
      <c r="L4107" s="9">
        <v>2025</v>
      </c>
      <c r="M4107" s="8" t="s">
        <v>24424</v>
      </c>
      <c r="N4107" s="8" t="s">
        <v>56</v>
      </c>
      <c r="O4107" s="8" t="s">
        <v>741</v>
      </c>
      <c r="P4107" s="6" t="s">
        <v>167</v>
      </c>
      <c r="Q4107" s="8" t="s">
        <v>58</v>
      </c>
      <c r="R4107" s="10" t="s">
        <v>12989</v>
      </c>
      <c r="S4107" s="11" t="s">
        <v>24425</v>
      </c>
      <c r="T4107" s="6" t="s">
        <v>299</v>
      </c>
      <c r="U4107" s="24" t="str">
        <f>HYPERLINK("https://media.infra-m.ru/2172/2172725/cover/2172725.jpg", "Обложка")</f>
        <v>Обложка</v>
      </c>
      <c r="V4107" s="24" t="str">
        <f>HYPERLINK("https://znanium.ru/catalog/product/2172725", "Ознакомиться")</f>
        <v>Ознакомиться</v>
      </c>
      <c r="W4107" s="8" t="s">
        <v>243</v>
      </c>
      <c r="X4107" s="6"/>
      <c r="Y4107" s="6"/>
      <c r="Z4107" s="6"/>
      <c r="AA4107" s="6" t="s">
        <v>111</v>
      </c>
      <c r="AB4107" s="8"/>
    </row>
    <row r="4108" spans="1:28" s="4" customFormat="1" ht="51.95" customHeight="1">
      <c r="A4108" s="5">
        <v>0</v>
      </c>
      <c r="B4108" s="6" t="s">
        <v>24426</v>
      </c>
      <c r="C4108" s="13">
        <v>1144</v>
      </c>
      <c r="D4108" s="8" t="s">
        <v>24427</v>
      </c>
      <c r="E4108" s="8" t="s">
        <v>24428</v>
      </c>
      <c r="F4108" s="8" t="s">
        <v>24429</v>
      </c>
      <c r="G4108" s="6" t="s">
        <v>89</v>
      </c>
      <c r="H4108" s="6" t="s">
        <v>53</v>
      </c>
      <c r="I4108" s="8" t="s">
        <v>116</v>
      </c>
      <c r="J4108" s="9">
        <v>1</v>
      </c>
      <c r="K4108" s="9">
        <v>249</v>
      </c>
      <c r="L4108" s="9">
        <v>2023</v>
      </c>
      <c r="M4108" s="8" t="s">
        <v>24430</v>
      </c>
      <c r="N4108" s="8" t="s">
        <v>56</v>
      </c>
      <c r="O4108" s="8" t="s">
        <v>741</v>
      </c>
      <c r="P4108" s="6" t="s">
        <v>43</v>
      </c>
      <c r="Q4108" s="8" t="s">
        <v>44</v>
      </c>
      <c r="R4108" s="10" t="s">
        <v>24431</v>
      </c>
      <c r="S4108" s="11" t="s">
        <v>24432</v>
      </c>
      <c r="T4108" s="6"/>
      <c r="U4108" s="24" t="str">
        <f>HYPERLINK("https://media.infra-m.ru/2059/2059577/cover/2059577.jpg", "Обложка")</f>
        <v>Обложка</v>
      </c>
      <c r="V4108" s="24" t="str">
        <f>HYPERLINK("https://znanium.ru/catalog/product/2001670", "Ознакомиться")</f>
        <v>Ознакомиться</v>
      </c>
      <c r="W4108" s="8" t="s">
        <v>1505</v>
      </c>
      <c r="X4108" s="6"/>
      <c r="Y4108" s="6"/>
      <c r="Z4108" s="6"/>
      <c r="AA4108" s="6" t="s">
        <v>111</v>
      </c>
      <c r="AB4108" s="8"/>
    </row>
    <row r="4109" spans="1:28" s="4" customFormat="1" ht="51.95" customHeight="1">
      <c r="A4109" s="5">
        <v>0</v>
      </c>
      <c r="B4109" s="6" t="s">
        <v>24433</v>
      </c>
      <c r="C4109" s="7">
        <v>780</v>
      </c>
      <c r="D4109" s="8" t="s">
        <v>24434</v>
      </c>
      <c r="E4109" s="8" t="s">
        <v>24428</v>
      </c>
      <c r="F4109" s="8" t="s">
        <v>1621</v>
      </c>
      <c r="G4109" s="6" t="s">
        <v>89</v>
      </c>
      <c r="H4109" s="6" t="s">
        <v>53</v>
      </c>
      <c r="I4109" s="8" t="s">
        <v>116</v>
      </c>
      <c r="J4109" s="9">
        <v>1</v>
      </c>
      <c r="K4109" s="9">
        <v>155</v>
      </c>
      <c r="L4109" s="9">
        <v>2025</v>
      </c>
      <c r="M4109" s="8" t="s">
        <v>24435</v>
      </c>
      <c r="N4109" s="8" t="s">
        <v>56</v>
      </c>
      <c r="O4109" s="8" t="s">
        <v>741</v>
      </c>
      <c r="P4109" s="6" t="s">
        <v>43</v>
      </c>
      <c r="Q4109" s="8" t="s">
        <v>214</v>
      </c>
      <c r="R4109" s="10" t="s">
        <v>24436</v>
      </c>
      <c r="S4109" s="11" t="s">
        <v>24437</v>
      </c>
      <c r="T4109" s="6"/>
      <c r="U4109" s="24" t="str">
        <f>HYPERLINK("https://media.infra-m.ru/2172/2172773/cover/2172773.jpg", "Обложка")</f>
        <v>Обложка</v>
      </c>
      <c r="V4109" s="24" t="str">
        <f>HYPERLINK("https://znanium.ru/catalog/product/2172773", "Ознакомиться")</f>
        <v>Ознакомиться</v>
      </c>
      <c r="W4109" s="8" t="s">
        <v>1626</v>
      </c>
      <c r="X4109" s="6"/>
      <c r="Y4109" s="6"/>
      <c r="Z4109" s="6"/>
      <c r="AA4109" s="6" t="s">
        <v>84</v>
      </c>
      <c r="AB4109" s="8"/>
    </row>
    <row r="4110" spans="1:28" s="4" customFormat="1" ht="51.95" customHeight="1">
      <c r="A4110" s="5">
        <v>0</v>
      </c>
      <c r="B4110" s="6" t="s">
        <v>24438</v>
      </c>
      <c r="C4110" s="13">
        <v>1950</v>
      </c>
      <c r="D4110" s="8" t="s">
        <v>24439</v>
      </c>
      <c r="E4110" s="8" t="s">
        <v>24440</v>
      </c>
      <c r="F4110" s="8" t="s">
        <v>24441</v>
      </c>
      <c r="G4110" s="6" t="s">
        <v>89</v>
      </c>
      <c r="H4110" s="6" t="s">
        <v>53</v>
      </c>
      <c r="I4110" s="8" t="s">
        <v>116</v>
      </c>
      <c r="J4110" s="9">
        <v>1</v>
      </c>
      <c r="K4110" s="9">
        <v>389</v>
      </c>
      <c r="L4110" s="9">
        <v>2024</v>
      </c>
      <c r="M4110" s="8" t="s">
        <v>24442</v>
      </c>
      <c r="N4110" s="8" t="s">
        <v>79</v>
      </c>
      <c r="O4110" s="8" t="s">
        <v>684</v>
      </c>
      <c r="P4110" s="6" t="s">
        <v>167</v>
      </c>
      <c r="Q4110" s="8" t="s">
        <v>44</v>
      </c>
      <c r="R4110" s="10" t="s">
        <v>24443</v>
      </c>
      <c r="S4110" s="11" t="s">
        <v>24444</v>
      </c>
      <c r="T4110" s="6" t="s">
        <v>299</v>
      </c>
      <c r="U4110" s="24" t="str">
        <f>HYPERLINK("https://media.infra-m.ru/2156/2156832/cover/2156832.jpg", "Обложка")</f>
        <v>Обложка</v>
      </c>
      <c r="V4110" s="24" t="str">
        <f>HYPERLINK("https://znanium.ru/catalog/product/2156832", "Ознакомиться")</f>
        <v>Ознакомиться</v>
      </c>
      <c r="W4110" s="8" t="s">
        <v>4383</v>
      </c>
      <c r="X4110" s="6"/>
      <c r="Y4110" s="6"/>
      <c r="Z4110" s="6"/>
      <c r="AA4110" s="6" t="s">
        <v>258</v>
      </c>
      <c r="AB4110" s="8"/>
    </row>
    <row r="4111" spans="1:28" s="4" customFormat="1" ht="51.95" customHeight="1">
      <c r="A4111" s="5">
        <v>0</v>
      </c>
      <c r="B4111" s="6" t="s">
        <v>24445</v>
      </c>
      <c r="C4111" s="13">
        <v>1034.9000000000001</v>
      </c>
      <c r="D4111" s="8" t="s">
        <v>24446</v>
      </c>
      <c r="E4111" s="8" t="s">
        <v>24447</v>
      </c>
      <c r="F4111" s="8" t="s">
        <v>24448</v>
      </c>
      <c r="G4111" s="6" t="s">
        <v>52</v>
      </c>
      <c r="H4111" s="6" t="s">
        <v>674</v>
      </c>
      <c r="I4111" s="8"/>
      <c r="J4111" s="9">
        <v>1</v>
      </c>
      <c r="K4111" s="9">
        <v>304</v>
      </c>
      <c r="L4111" s="9">
        <v>2019</v>
      </c>
      <c r="M4111" s="8" t="s">
        <v>24449</v>
      </c>
      <c r="N4111" s="8" t="s">
        <v>41</v>
      </c>
      <c r="O4111" s="8" t="s">
        <v>676</v>
      </c>
      <c r="P4111" s="6" t="s">
        <v>1046</v>
      </c>
      <c r="Q4111" s="8" t="s">
        <v>279</v>
      </c>
      <c r="R4111" s="10" t="s">
        <v>24450</v>
      </c>
      <c r="S4111" s="11"/>
      <c r="T4111" s="6"/>
      <c r="U4111" s="24" t="str">
        <f>HYPERLINK("https://media.infra-m.ru/1011/1011092/cover/1011092.jpg", "Обложка")</f>
        <v>Обложка</v>
      </c>
      <c r="V4111" s="24" t="str">
        <f>HYPERLINK("https://znanium.ru/catalog/product/1011092", "Ознакомиться")</f>
        <v>Ознакомиться</v>
      </c>
      <c r="W4111" s="8" t="s">
        <v>792</v>
      </c>
      <c r="X4111" s="6"/>
      <c r="Y4111" s="6"/>
      <c r="Z4111" s="6"/>
      <c r="AA4111" s="6" t="s">
        <v>442</v>
      </c>
      <c r="AB4111" s="8"/>
    </row>
    <row r="4112" spans="1:28" s="4" customFormat="1" ht="51.95" customHeight="1">
      <c r="A4112" s="5">
        <v>0</v>
      </c>
      <c r="B4112" s="6" t="s">
        <v>24451</v>
      </c>
      <c r="C4112" s="13">
        <v>1914</v>
      </c>
      <c r="D4112" s="8" t="s">
        <v>24452</v>
      </c>
      <c r="E4112" s="8" t="s">
        <v>24453</v>
      </c>
      <c r="F4112" s="8" t="s">
        <v>24454</v>
      </c>
      <c r="G4112" s="6" t="s">
        <v>52</v>
      </c>
      <c r="H4112" s="6" t="s">
        <v>53</v>
      </c>
      <c r="I4112" s="8" t="s">
        <v>90</v>
      </c>
      <c r="J4112" s="9">
        <v>1</v>
      </c>
      <c r="K4112" s="9">
        <v>383</v>
      </c>
      <c r="L4112" s="9">
        <v>2025</v>
      </c>
      <c r="M4112" s="8" t="s">
        <v>24455</v>
      </c>
      <c r="N4112" s="8" t="s">
        <v>79</v>
      </c>
      <c r="O4112" s="8" t="s">
        <v>684</v>
      </c>
      <c r="P4112" s="6" t="s">
        <v>167</v>
      </c>
      <c r="Q4112" s="8" t="s">
        <v>44</v>
      </c>
      <c r="R4112" s="10" t="s">
        <v>11874</v>
      </c>
      <c r="S4112" s="11" t="s">
        <v>24456</v>
      </c>
      <c r="T4112" s="6"/>
      <c r="U4112" s="24" t="str">
        <f>HYPERLINK("https://media.infra-m.ru/2173/2173967/cover/2173967.jpg", "Обложка")</f>
        <v>Обложка</v>
      </c>
      <c r="V4112" s="24" t="str">
        <f>HYPERLINK("https://znanium.ru/catalog/product/2139939", "Ознакомиться")</f>
        <v>Ознакомиться</v>
      </c>
      <c r="W4112" s="8" t="s">
        <v>16537</v>
      </c>
      <c r="X4112" s="6"/>
      <c r="Y4112" s="6"/>
      <c r="Z4112" s="6"/>
      <c r="AA4112" s="6" t="s">
        <v>494</v>
      </c>
      <c r="AB4112" s="8"/>
    </row>
    <row r="4113" spans="1:28" s="4" customFormat="1" ht="44.1" customHeight="1">
      <c r="A4113" s="5">
        <v>0</v>
      </c>
      <c r="B4113" s="6" t="s">
        <v>24457</v>
      </c>
      <c r="C4113" s="7">
        <v>750</v>
      </c>
      <c r="D4113" s="8" t="s">
        <v>24458</v>
      </c>
      <c r="E4113" s="8" t="s">
        <v>24459</v>
      </c>
      <c r="F4113" s="8" t="s">
        <v>6372</v>
      </c>
      <c r="G4113" s="6" t="s">
        <v>52</v>
      </c>
      <c r="H4113" s="6" t="s">
        <v>53</v>
      </c>
      <c r="I4113" s="8" t="s">
        <v>127</v>
      </c>
      <c r="J4113" s="9">
        <v>1</v>
      </c>
      <c r="K4113" s="9">
        <v>140</v>
      </c>
      <c r="L4113" s="9">
        <v>2025</v>
      </c>
      <c r="M4113" s="8" t="s">
        <v>24460</v>
      </c>
      <c r="N4113" s="8" t="s">
        <v>41</v>
      </c>
      <c r="O4113" s="8" t="s">
        <v>129</v>
      </c>
      <c r="P4113" s="6" t="s">
        <v>43</v>
      </c>
      <c r="Q4113" s="8" t="s">
        <v>58</v>
      </c>
      <c r="R4113" s="10" t="s">
        <v>24461</v>
      </c>
      <c r="S4113" s="11"/>
      <c r="T4113" s="6"/>
      <c r="U4113" s="24" t="str">
        <f>HYPERLINK("https://media.infra-m.ru/2148/2148256/cover/2148256.jpg", "Обложка")</f>
        <v>Обложка</v>
      </c>
      <c r="V4113" s="24" t="str">
        <f>HYPERLINK("https://znanium.ru/catalog/product/2148256", "Ознакомиться")</f>
        <v>Ознакомиться</v>
      </c>
      <c r="W4113" s="8" t="s">
        <v>131</v>
      </c>
      <c r="X4113" s="6" t="s">
        <v>785</v>
      </c>
      <c r="Y4113" s="6"/>
      <c r="Z4113" s="6"/>
      <c r="AA4113" s="6" t="s">
        <v>61</v>
      </c>
      <c r="AB4113" s="8"/>
    </row>
    <row r="4114" spans="1:28" s="4" customFormat="1" ht="51.95" customHeight="1">
      <c r="A4114" s="5">
        <v>0</v>
      </c>
      <c r="B4114" s="6" t="s">
        <v>24462</v>
      </c>
      <c r="C4114" s="7">
        <v>914</v>
      </c>
      <c r="D4114" s="8" t="s">
        <v>24463</v>
      </c>
      <c r="E4114" s="8" t="s">
        <v>24464</v>
      </c>
      <c r="F4114" s="8" t="s">
        <v>24465</v>
      </c>
      <c r="G4114" s="6" t="s">
        <v>38</v>
      </c>
      <c r="H4114" s="6" t="s">
        <v>39</v>
      </c>
      <c r="I4114" s="8" t="s">
        <v>116</v>
      </c>
      <c r="J4114" s="9">
        <v>1</v>
      </c>
      <c r="K4114" s="9">
        <v>176</v>
      </c>
      <c r="L4114" s="9">
        <v>2025</v>
      </c>
      <c r="M4114" s="8" t="s">
        <v>24466</v>
      </c>
      <c r="N4114" s="8" t="s">
        <v>997</v>
      </c>
      <c r="O4114" s="8" t="s">
        <v>998</v>
      </c>
      <c r="P4114" s="6" t="s">
        <v>43</v>
      </c>
      <c r="Q4114" s="8" t="s">
        <v>44</v>
      </c>
      <c r="R4114" s="10" t="s">
        <v>24467</v>
      </c>
      <c r="S4114" s="11"/>
      <c r="T4114" s="6"/>
      <c r="U4114" s="24" t="str">
        <f>HYPERLINK("https://media.infra-m.ru/2198/2198280/cover/2198280.jpg", "Обложка")</f>
        <v>Обложка</v>
      </c>
      <c r="V4114" s="12"/>
      <c r="W4114" s="8" t="s">
        <v>9191</v>
      </c>
      <c r="X4114" s="6"/>
      <c r="Y4114" s="6"/>
      <c r="Z4114" s="6"/>
      <c r="AA4114" s="6" t="s">
        <v>72</v>
      </c>
      <c r="AB4114" s="8"/>
    </row>
    <row r="4115" spans="1:28" s="4" customFormat="1" ht="42" customHeight="1">
      <c r="A4115" s="5">
        <v>0</v>
      </c>
      <c r="B4115" s="6" t="s">
        <v>24468</v>
      </c>
      <c r="C4115" s="13">
        <v>1057</v>
      </c>
      <c r="D4115" s="8" t="s">
        <v>24469</v>
      </c>
      <c r="E4115" s="8" t="s">
        <v>24470</v>
      </c>
      <c r="F4115" s="8" t="s">
        <v>24471</v>
      </c>
      <c r="G4115" s="6" t="s">
        <v>38</v>
      </c>
      <c r="H4115" s="6" t="s">
        <v>53</v>
      </c>
      <c r="I4115" s="8" t="s">
        <v>100</v>
      </c>
      <c r="J4115" s="9">
        <v>1</v>
      </c>
      <c r="K4115" s="9">
        <v>112</v>
      </c>
      <c r="L4115" s="9">
        <v>2024</v>
      </c>
      <c r="M4115" s="8" t="s">
        <v>24472</v>
      </c>
      <c r="N4115" s="8" t="s">
        <v>79</v>
      </c>
      <c r="O4115" s="8" t="s">
        <v>148</v>
      </c>
      <c r="P4115" s="6" t="s">
        <v>43</v>
      </c>
      <c r="Q4115" s="8" t="s">
        <v>102</v>
      </c>
      <c r="R4115" s="10" t="s">
        <v>24473</v>
      </c>
      <c r="S4115" s="11"/>
      <c r="T4115" s="6"/>
      <c r="U4115" s="24" t="str">
        <f>HYPERLINK("https://media.infra-m.ru/2129/2129205/cover/2129205.jpg", "Обложка")</f>
        <v>Обложка</v>
      </c>
      <c r="V4115" s="24" t="str">
        <f>HYPERLINK("https://znanium.ru/catalog/product/1081171", "Ознакомиться")</f>
        <v>Ознакомиться</v>
      </c>
      <c r="W4115" s="8" t="s">
        <v>1651</v>
      </c>
      <c r="X4115" s="6"/>
      <c r="Y4115" s="6"/>
      <c r="Z4115" s="6"/>
      <c r="AA4115" s="6" t="s">
        <v>111</v>
      </c>
      <c r="AB4115" s="8"/>
    </row>
    <row r="4116" spans="1:28" s="4" customFormat="1" ht="42" customHeight="1">
      <c r="A4116" s="5">
        <v>0</v>
      </c>
      <c r="B4116" s="6" t="s">
        <v>24474</v>
      </c>
      <c r="C4116" s="7">
        <v>514</v>
      </c>
      <c r="D4116" s="8" t="s">
        <v>24475</v>
      </c>
      <c r="E4116" s="8" t="s">
        <v>24476</v>
      </c>
      <c r="F4116" s="8" t="s">
        <v>24477</v>
      </c>
      <c r="G4116" s="6" t="s">
        <v>38</v>
      </c>
      <c r="H4116" s="6" t="s">
        <v>1094</v>
      </c>
      <c r="I4116" s="8"/>
      <c r="J4116" s="9">
        <v>1</v>
      </c>
      <c r="K4116" s="9">
        <v>112</v>
      </c>
      <c r="L4116" s="9">
        <v>2024</v>
      </c>
      <c r="M4116" s="8" t="s">
        <v>24478</v>
      </c>
      <c r="N4116" s="8" t="s">
        <v>41</v>
      </c>
      <c r="O4116" s="8" t="s">
        <v>1007</v>
      </c>
      <c r="P4116" s="6" t="s">
        <v>7629</v>
      </c>
      <c r="Q4116" s="8" t="s">
        <v>44</v>
      </c>
      <c r="R4116" s="10" t="s">
        <v>157</v>
      </c>
      <c r="S4116" s="11"/>
      <c r="T4116" s="6"/>
      <c r="U4116" s="24" t="str">
        <f>HYPERLINK("https://media.infra-m.ru/2054/2054984/cover/2054984.jpg", "Обложка")</f>
        <v>Обложка</v>
      </c>
      <c r="V4116" s="12"/>
      <c r="W4116" s="8" t="s">
        <v>947</v>
      </c>
      <c r="X4116" s="6"/>
      <c r="Y4116" s="6"/>
      <c r="Z4116" s="6"/>
      <c r="AA4116" s="6" t="s">
        <v>555</v>
      </c>
      <c r="AB4116" s="8"/>
    </row>
    <row r="4117" spans="1:28" s="4" customFormat="1" ht="51.95" customHeight="1">
      <c r="A4117" s="5">
        <v>0</v>
      </c>
      <c r="B4117" s="6" t="s">
        <v>24479</v>
      </c>
      <c r="C4117" s="7">
        <v>814</v>
      </c>
      <c r="D4117" s="8" t="s">
        <v>24480</v>
      </c>
      <c r="E4117" s="8" t="s">
        <v>24481</v>
      </c>
      <c r="F4117" s="8" t="s">
        <v>11658</v>
      </c>
      <c r="G4117" s="6" t="s">
        <v>38</v>
      </c>
      <c r="H4117" s="6" t="s">
        <v>674</v>
      </c>
      <c r="I4117" s="8"/>
      <c r="J4117" s="9">
        <v>1</v>
      </c>
      <c r="K4117" s="9">
        <v>176</v>
      </c>
      <c r="L4117" s="9">
        <v>2024</v>
      </c>
      <c r="M4117" s="8" t="s">
        <v>24482</v>
      </c>
      <c r="N4117" s="8" t="s">
        <v>41</v>
      </c>
      <c r="O4117" s="8" t="s">
        <v>1007</v>
      </c>
      <c r="P4117" s="6" t="s">
        <v>7629</v>
      </c>
      <c r="Q4117" s="8" t="s">
        <v>44</v>
      </c>
      <c r="R4117" s="10" t="s">
        <v>375</v>
      </c>
      <c r="S4117" s="11"/>
      <c r="T4117" s="6"/>
      <c r="U4117" s="24" t="str">
        <f>HYPERLINK("https://media.infra-m.ru/2054/2054983/cover/2054983.jpg", "Обложка")</f>
        <v>Обложка</v>
      </c>
      <c r="V4117" s="24" t="str">
        <f>HYPERLINK("https://znanium.ru/catalog/product/1818644", "Ознакомиться")</f>
        <v>Ознакомиться</v>
      </c>
      <c r="W4117" s="8" t="s">
        <v>947</v>
      </c>
      <c r="X4117" s="6"/>
      <c r="Y4117" s="6"/>
      <c r="Z4117" s="6"/>
      <c r="AA4117" s="6" t="s">
        <v>555</v>
      </c>
      <c r="AB4117" s="8"/>
    </row>
    <row r="4118" spans="1:28" s="4" customFormat="1" ht="51.95" customHeight="1">
      <c r="A4118" s="5">
        <v>0</v>
      </c>
      <c r="B4118" s="6" t="s">
        <v>24483</v>
      </c>
      <c r="C4118" s="13">
        <v>1210</v>
      </c>
      <c r="D4118" s="8" t="s">
        <v>24484</v>
      </c>
      <c r="E4118" s="8" t="s">
        <v>24485</v>
      </c>
      <c r="F4118" s="8" t="s">
        <v>24486</v>
      </c>
      <c r="G4118" s="6" t="s">
        <v>89</v>
      </c>
      <c r="H4118" s="6" t="s">
        <v>53</v>
      </c>
      <c r="I4118" s="8" t="s">
        <v>560</v>
      </c>
      <c r="J4118" s="9">
        <v>1</v>
      </c>
      <c r="K4118" s="9">
        <v>242</v>
      </c>
      <c r="L4118" s="9">
        <v>2025</v>
      </c>
      <c r="M4118" s="8" t="s">
        <v>24487</v>
      </c>
      <c r="N4118" s="8" t="s">
        <v>41</v>
      </c>
      <c r="O4118" s="8" t="s">
        <v>129</v>
      </c>
      <c r="P4118" s="6" t="s">
        <v>43</v>
      </c>
      <c r="Q4118" s="8" t="s">
        <v>58</v>
      </c>
      <c r="R4118" s="10" t="s">
        <v>24488</v>
      </c>
      <c r="S4118" s="11"/>
      <c r="T4118" s="6"/>
      <c r="U4118" s="24" t="str">
        <f>HYPERLINK("https://media.infra-m.ru/2168/2168382/cover/2168382.jpg", "Обложка")</f>
        <v>Обложка</v>
      </c>
      <c r="V4118" s="24" t="str">
        <f>HYPERLINK("https://znanium.ru/catalog/product/2168382", "Ознакомиться")</f>
        <v>Ознакомиться</v>
      </c>
      <c r="W4118" s="8" t="s">
        <v>564</v>
      </c>
      <c r="X4118" s="6"/>
      <c r="Y4118" s="6"/>
      <c r="Z4118" s="6"/>
      <c r="AA4118" s="6" t="s">
        <v>258</v>
      </c>
      <c r="AB4118" s="8"/>
    </row>
    <row r="4119" spans="1:28" s="4" customFormat="1" ht="51.95" customHeight="1">
      <c r="A4119" s="5">
        <v>0</v>
      </c>
      <c r="B4119" s="6" t="s">
        <v>24489</v>
      </c>
      <c r="C4119" s="13">
        <v>1120</v>
      </c>
      <c r="D4119" s="8" t="s">
        <v>24490</v>
      </c>
      <c r="E4119" s="8" t="s">
        <v>24485</v>
      </c>
      <c r="F4119" s="8" t="s">
        <v>24491</v>
      </c>
      <c r="G4119" s="6" t="s">
        <v>89</v>
      </c>
      <c r="H4119" s="6" t="s">
        <v>53</v>
      </c>
      <c r="I4119" s="8" t="s">
        <v>1868</v>
      </c>
      <c r="J4119" s="9">
        <v>1</v>
      </c>
      <c r="K4119" s="9">
        <v>224</v>
      </c>
      <c r="L4119" s="9">
        <v>2025</v>
      </c>
      <c r="M4119" s="8" t="s">
        <v>24492</v>
      </c>
      <c r="N4119" s="8" t="s">
        <v>41</v>
      </c>
      <c r="O4119" s="8" t="s">
        <v>129</v>
      </c>
      <c r="P4119" s="6" t="s">
        <v>167</v>
      </c>
      <c r="Q4119" s="8" t="s">
        <v>214</v>
      </c>
      <c r="R4119" s="10" t="s">
        <v>24493</v>
      </c>
      <c r="S4119" s="11" t="s">
        <v>24494</v>
      </c>
      <c r="T4119" s="6"/>
      <c r="U4119" s="24" t="str">
        <f>HYPERLINK("https://media.infra-m.ru/2161/2161453/cover/2161453.jpg", "Обложка")</f>
        <v>Обложка</v>
      </c>
      <c r="V4119" s="12"/>
      <c r="W4119" s="8"/>
      <c r="X4119" s="6"/>
      <c r="Y4119" s="6"/>
      <c r="Z4119" s="6"/>
      <c r="AA4119" s="6" t="s">
        <v>207</v>
      </c>
      <c r="AB4119" s="8"/>
    </row>
    <row r="4120" spans="1:28" s="4" customFormat="1" ht="51.95" customHeight="1">
      <c r="A4120" s="5">
        <v>0</v>
      </c>
      <c r="B4120" s="6" t="s">
        <v>24495</v>
      </c>
      <c r="C4120" s="13">
        <v>2994</v>
      </c>
      <c r="D4120" s="8" t="s">
        <v>24496</v>
      </c>
      <c r="E4120" s="8" t="s">
        <v>24497</v>
      </c>
      <c r="F4120" s="8" t="s">
        <v>24498</v>
      </c>
      <c r="G4120" s="6" t="s">
        <v>89</v>
      </c>
      <c r="H4120" s="6" t="s">
        <v>649</v>
      </c>
      <c r="I4120" s="8" t="s">
        <v>90</v>
      </c>
      <c r="J4120" s="9">
        <v>1</v>
      </c>
      <c r="K4120" s="9">
        <v>592</v>
      </c>
      <c r="L4120" s="9">
        <v>2025</v>
      </c>
      <c r="M4120" s="8" t="s">
        <v>24499</v>
      </c>
      <c r="N4120" s="8" t="s">
        <v>79</v>
      </c>
      <c r="O4120" s="8" t="s">
        <v>537</v>
      </c>
      <c r="P4120" s="6" t="s">
        <v>167</v>
      </c>
      <c r="Q4120" s="8" t="s">
        <v>44</v>
      </c>
      <c r="R4120" s="10" t="s">
        <v>24500</v>
      </c>
      <c r="S4120" s="11" t="s">
        <v>24501</v>
      </c>
      <c r="T4120" s="6"/>
      <c r="U4120" s="24" t="str">
        <f>HYPERLINK("https://media.infra-m.ru/2179/2179732/cover/2179732.jpg", "Обложка")</f>
        <v>Обложка</v>
      </c>
      <c r="V4120" s="24" t="str">
        <f>HYPERLINK("https://znanium.ru/catalog/product/1856718", "Ознакомиться")</f>
        <v>Ознакомиться</v>
      </c>
      <c r="W4120" s="8" t="s">
        <v>9885</v>
      </c>
      <c r="X4120" s="6"/>
      <c r="Y4120" s="6"/>
      <c r="Z4120" s="6"/>
      <c r="AA4120" s="6" t="s">
        <v>160</v>
      </c>
      <c r="AB4120" s="8"/>
    </row>
    <row r="4121" spans="1:28" s="4" customFormat="1" ht="51.95" customHeight="1">
      <c r="A4121" s="5">
        <v>0</v>
      </c>
      <c r="B4121" s="6" t="s">
        <v>24502</v>
      </c>
      <c r="C4121" s="13">
        <v>1890</v>
      </c>
      <c r="D4121" s="8" t="s">
        <v>24503</v>
      </c>
      <c r="E4121" s="8" t="s">
        <v>24504</v>
      </c>
      <c r="F4121" s="8" t="s">
        <v>24505</v>
      </c>
      <c r="G4121" s="6" t="s">
        <v>89</v>
      </c>
      <c r="H4121" s="6" t="s">
        <v>53</v>
      </c>
      <c r="I4121" s="8" t="s">
        <v>1868</v>
      </c>
      <c r="J4121" s="9">
        <v>1</v>
      </c>
      <c r="K4121" s="9">
        <v>400</v>
      </c>
      <c r="L4121" s="9">
        <v>2024</v>
      </c>
      <c r="M4121" s="8" t="s">
        <v>24506</v>
      </c>
      <c r="N4121" s="8" t="s">
        <v>79</v>
      </c>
      <c r="O4121" s="8" t="s">
        <v>537</v>
      </c>
      <c r="P4121" s="6" t="s">
        <v>167</v>
      </c>
      <c r="Q4121" s="8" t="s">
        <v>58</v>
      </c>
      <c r="R4121" s="10" t="s">
        <v>24507</v>
      </c>
      <c r="S4121" s="11" t="s">
        <v>24508</v>
      </c>
      <c r="T4121" s="6"/>
      <c r="U4121" s="24" t="str">
        <f>HYPERLINK("https://media.infra-m.ru/2134/2134106/cover/2134106.jpg", "Обложка")</f>
        <v>Обложка</v>
      </c>
      <c r="V4121" s="12"/>
      <c r="W4121" s="8" t="s">
        <v>784</v>
      </c>
      <c r="X4121" s="6"/>
      <c r="Y4121" s="6"/>
      <c r="Z4121" s="6"/>
      <c r="AA4121" s="6" t="s">
        <v>442</v>
      </c>
      <c r="AB4121" s="8"/>
    </row>
    <row r="4122" spans="1:28" s="4" customFormat="1" ht="51.95" customHeight="1">
      <c r="A4122" s="5">
        <v>0</v>
      </c>
      <c r="B4122" s="6" t="s">
        <v>24509</v>
      </c>
      <c r="C4122" s="13">
        <v>1630</v>
      </c>
      <c r="D4122" s="8" t="s">
        <v>24510</v>
      </c>
      <c r="E4122" s="8" t="s">
        <v>24511</v>
      </c>
      <c r="F4122" s="8" t="s">
        <v>24512</v>
      </c>
      <c r="G4122" s="6" t="s">
        <v>89</v>
      </c>
      <c r="H4122" s="6" t="s">
        <v>53</v>
      </c>
      <c r="I4122" s="8" t="s">
        <v>100</v>
      </c>
      <c r="J4122" s="9">
        <v>1</v>
      </c>
      <c r="K4122" s="9">
        <v>325</v>
      </c>
      <c r="L4122" s="9">
        <v>2025</v>
      </c>
      <c r="M4122" s="8" t="s">
        <v>24513</v>
      </c>
      <c r="N4122" s="8" t="s">
        <v>79</v>
      </c>
      <c r="O4122" s="8" t="s">
        <v>537</v>
      </c>
      <c r="P4122" s="6" t="s">
        <v>167</v>
      </c>
      <c r="Q4122" s="8" t="s">
        <v>102</v>
      </c>
      <c r="R4122" s="10" t="s">
        <v>24514</v>
      </c>
      <c r="S4122" s="11"/>
      <c r="T4122" s="6"/>
      <c r="U4122" s="24" t="str">
        <f>HYPERLINK("https://media.infra-m.ru/2172/2172141/cover/2172141.jpg", "Обложка")</f>
        <v>Обложка</v>
      </c>
      <c r="V4122" s="24" t="str">
        <f>HYPERLINK("https://znanium.ru/catalog/product/2172141", "Ознакомиться")</f>
        <v>Ознакомиться</v>
      </c>
      <c r="W4122" s="8" t="s">
        <v>24515</v>
      </c>
      <c r="X4122" s="6" t="s">
        <v>785</v>
      </c>
      <c r="Y4122" s="6"/>
      <c r="Z4122" s="6" t="s">
        <v>2565</v>
      </c>
      <c r="AA4122" s="6" t="s">
        <v>61</v>
      </c>
      <c r="AB4122" s="8"/>
    </row>
    <row r="4123" spans="1:28" s="4" customFormat="1" ht="44.1" customHeight="1">
      <c r="A4123" s="5">
        <v>0</v>
      </c>
      <c r="B4123" s="6" t="s">
        <v>24516</v>
      </c>
      <c r="C4123" s="13">
        <v>1460</v>
      </c>
      <c r="D4123" s="8" t="s">
        <v>24517</v>
      </c>
      <c r="E4123" s="8" t="s">
        <v>24511</v>
      </c>
      <c r="F4123" s="8" t="s">
        <v>24512</v>
      </c>
      <c r="G4123" s="6" t="s">
        <v>89</v>
      </c>
      <c r="H4123" s="6" t="s">
        <v>53</v>
      </c>
      <c r="I4123" s="8" t="s">
        <v>212</v>
      </c>
      <c r="J4123" s="9">
        <v>1</v>
      </c>
      <c r="K4123" s="9">
        <v>325</v>
      </c>
      <c r="L4123" s="9">
        <v>2023</v>
      </c>
      <c r="M4123" s="8" t="s">
        <v>24518</v>
      </c>
      <c r="N4123" s="8" t="s">
        <v>79</v>
      </c>
      <c r="O4123" s="8" t="s">
        <v>537</v>
      </c>
      <c r="P4123" s="6" t="s">
        <v>167</v>
      </c>
      <c r="Q4123" s="8" t="s">
        <v>214</v>
      </c>
      <c r="R4123" s="10" t="s">
        <v>24519</v>
      </c>
      <c r="S4123" s="11"/>
      <c r="T4123" s="6"/>
      <c r="U4123" s="24" t="str">
        <f>HYPERLINK("https://media.infra-m.ru/1900/1900939/cover/1900939.jpg", "Обложка")</f>
        <v>Обложка</v>
      </c>
      <c r="V4123" s="24" t="str">
        <f>HYPERLINK("https://znanium.ru/catalog/product/1900939", "Ознакомиться")</f>
        <v>Ознакомиться</v>
      </c>
      <c r="W4123" s="8" t="s">
        <v>24515</v>
      </c>
      <c r="X4123" s="6"/>
      <c r="Y4123" s="6"/>
      <c r="Z4123" s="6"/>
      <c r="AA4123" s="6" t="s">
        <v>258</v>
      </c>
      <c r="AB4123" s="8"/>
    </row>
    <row r="4124" spans="1:28" s="4" customFormat="1" ht="51.95" customHeight="1">
      <c r="A4124" s="5">
        <v>0</v>
      </c>
      <c r="B4124" s="6" t="s">
        <v>24520</v>
      </c>
      <c r="C4124" s="13">
        <v>1644</v>
      </c>
      <c r="D4124" s="8" t="s">
        <v>24521</v>
      </c>
      <c r="E4124" s="8" t="s">
        <v>24522</v>
      </c>
      <c r="F4124" s="8" t="s">
        <v>24523</v>
      </c>
      <c r="G4124" s="6" t="s">
        <v>89</v>
      </c>
      <c r="H4124" s="6" t="s">
        <v>53</v>
      </c>
      <c r="I4124" s="8" t="s">
        <v>116</v>
      </c>
      <c r="J4124" s="9">
        <v>1</v>
      </c>
      <c r="K4124" s="9">
        <v>348</v>
      </c>
      <c r="L4124" s="9">
        <v>2024</v>
      </c>
      <c r="M4124" s="8" t="s">
        <v>24524</v>
      </c>
      <c r="N4124" s="8" t="s">
        <v>79</v>
      </c>
      <c r="O4124" s="8" t="s">
        <v>537</v>
      </c>
      <c r="P4124" s="6" t="s">
        <v>167</v>
      </c>
      <c r="Q4124" s="8" t="s">
        <v>44</v>
      </c>
      <c r="R4124" s="10" t="s">
        <v>24525</v>
      </c>
      <c r="S4124" s="11" t="s">
        <v>24526</v>
      </c>
      <c r="T4124" s="6"/>
      <c r="U4124" s="24" t="str">
        <f>HYPERLINK("https://media.infra-m.ru/2140/2140022/cover/2140022.jpg", "Обложка")</f>
        <v>Обложка</v>
      </c>
      <c r="V4124" s="24" t="str">
        <f>HYPERLINK("https://znanium.ru/catalog/product/2057734", "Ознакомиться")</f>
        <v>Ознакомиться</v>
      </c>
      <c r="W4124" s="8" t="s">
        <v>24515</v>
      </c>
      <c r="X4124" s="6"/>
      <c r="Y4124" s="6"/>
      <c r="Z4124" s="6"/>
      <c r="AA4124" s="6" t="s">
        <v>84</v>
      </c>
      <c r="AB4124" s="8"/>
    </row>
    <row r="4125" spans="1:28" s="4" customFormat="1" ht="42" customHeight="1">
      <c r="A4125" s="5">
        <v>0</v>
      </c>
      <c r="B4125" s="6" t="s">
        <v>24527</v>
      </c>
      <c r="C4125" s="13">
        <v>1790</v>
      </c>
      <c r="D4125" s="8" t="s">
        <v>24528</v>
      </c>
      <c r="E4125" s="8" t="s">
        <v>24529</v>
      </c>
      <c r="F4125" s="8" t="s">
        <v>24530</v>
      </c>
      <c r="G4125" s="6" t="s">
        <v>89</v>
      </c>
      <c r="H4125" s="6" t="s">
        <v>39</v>
      </c>
      <c r="I4125" s="8" t="s">
        <v>100</v>
      </c>
      <c r="J4125" s="9">
        <v>1</v>
      </c>
      <c r="K4125" s="9">
        <v>352</v>
      </c>
      <c r="L4125" s="9">
        <v>2025</v>
      </c>
      <c r="M4125" s="8" t="s">
        <v>24531</v>
      </c>
      <c r="N4125" s="8" t="s">
        <v>79</v>
      </c>
      <c r="O4125" s="8" t="s">
        <v>537</v>
      </c>
      <c r="P4125" s="6" t="s">
        <v>43</v>
      </c>
      <c r="Q4125" s="8" t="s">
        <v>102</v>
      </c>
      <c r="R4125" s="10" t="s">
        <v>24532</v>
      </c>
      <c r="S4125" s="11"/>
      <c r="T4125" s="6"/>
      <c r="U4125" s="24" t="str">
        <f>HYPERLINK("https://media.infra-m.ru/2170/2170456/cover/2170456.jpg", "Обложка")</f>
        <v>Обложка</v>
      </c>
      <c r="V4125" s="24" t="str">
        <f>HYPERLINK("https://znanium.ru/catalog/product/2170456", "Ознакомиться")</f>
        <v>Ознакомиться</v>
      </c>
      <c r="W4125" s="8" t="s">
        <v>9885</v>
      </c>
      <c r="X4125" s="6" t="s">
        <v>785</v>
      </c>
      <c r="Y4125" s="6"/>
      <c r="Z4125" s="6" t="s">
        <v>104</v>
      </c>
      <c r="AA4125" s="6" t="s">
        <v>61</v>
      </c>
      <c r="AB4125" s="8"/>
    </row>
    <row r="4126" spans="1:28" s="4" customFormat="1" ht="51.95" customHeight="1">
      <c r="A4126" s="5">
        <v>0</v>
      </c>
      <c r="B4126" s="6" t="s">
        <v>24533</v>
      </c>
      <c r="C4126" s="13">
        <v>1650</v>
      </c>
      <c r="D4126" s="8" t="s">
        <v>24534</v>
      </c>
      <c r="E4126" s="8" t="s">
        <v>24529</v>
      </c>
      <c r="F4126" s="8" t="s">
        <v>24530</v>
      </c>
      <c r="G4126" s="6" t="s">
        <v>89</v>
      </c>
      <c r="H4126" s="6" t="s">
        <v>39</v>
      </c>
      <c r="I4126" s="8" t="s">
        <v>116</v>
      </c>
      <c r="J4126" s="9">
        <v>1</v>
      </c>
      <c r="K4126" s="9">
        <v>352</v>
      </c>
      <c r="L4126" s="9">
        <v>2024</v>
      </c>
      <c r="M4126" s="8" t="s">
        <v>24535</v>
      </c>
      <c r="N4126" s="8" t="s">
        <v>79</v>
      </c>
      <c r="O4126" s="8" t="s">
        <v>537</v>
      </c>
      <c r="P4126" s="6" t="s">
        <v>43</v>
      </c>
      <c r="Q4126" s="8" t="s">
        <v>44</v>
      </c>
      <c r="R4126" s="10" t="s">
        <v>3293</v>
      </c>
      <c r="S4126" s="11" t="s">
        <v>24536</v>
      </c>
      <c r="T4126" s="6"/>
      <c r="U4126" s="24" t="str">
        <f>HYPERLINK("https://media.infra-m.ru/2152/2152105/cover/2152105.jpg", "Обложка")</f>
        <v>Обложка</v>
      </c>
      <c r="V4126" s="24" t="str">
        <f>HYPERLINK("https://znanium.ru/catalog/product/2152105", "Ознакомиться")</f>
        <v>Ознакомиться</v>
      </c>
      <c r="W4126" s="8" t="s">
        <v>9885</v>
      </c>
      <c r="X4126" s="6"/>
      <c r="Y4126" s="6"/>
      <c r="Z4126" s="6"/>
      <c r="AA4126" s="6" t="s">
        <v>111</v>
      </c>
      <c r="AB4126" s="8"/>
    </row>
    <row r="4127" spans="1:28" s="4" customFormat="1" ht="51.95" customHeight="1">
      <c r="A4127" s="5">
        <v>0</v>
      </c>
      <c r="B4127" s="6" t="s">
        <v>24537</v>
      </c>
      <c r="C4127" s="13">
        <v>2494</v>
      </c>
      <c r="D4127" s="8" t="s">
        <v>24538</v>
      </c>
      <c r="E4127" s="8" t="s">
        <v>24539</v>
      </c>
      <c r="F4127" s="8" t="s">
        <v>24530</v>
      </c>
      <c r="G4127" s="6" t="s">
        <v>89</v>
      </c>
      <c r="H4127" s="6" t="s">
        <v>39</v>
      </c>
      <c r="I4127" s="8" t="s">
        <v>276</v>
      </c>
      <c r="J4127" s="9">
        <v>1</v>
      </c>
      <c r="K4127" s="9">
        <v>498</v>
      </c>
      <c r="L4127" s="9">
        <v>2025</v>
      </c>
      <c r="M4127" s="8" t="s">
        <v>24540</v>
      </c>
      <c r="N4127" s="8" t="s">
        <v>79</v>
      </c>
      <c r="O4127" s="8" t="s">
        <v>537</v>
      </c>
      <c r="P4127" s="6" t="s">
        <v>43</v>
      </c>
      <c r="Q4127" s="8" t="s">
        <v>279</v>
      </c>
      <c r="R4127" s="10" t="s">
        <v>3293</v>
      </c>
      <c r="S4127" s="11" t="s">
        <v>24541</v>
      </c>
      <c r="T4127" s="6"/>
      <c r="U4127" s="24" t="str">
        <f>HYPERLINK("https://media.infra-m.ru/2185/2185638/cover/2185638.jpg", "Обложка")</f>
        <v>Обложка</v>
      </c>
      <c r="V4127" s="24" t="str">
        <f>HYPERLINK("https://znanium.ru/catalog/product/1909193", "Ознакомиться")</f>
        <v>Ознакомиться</v>
      </c>
      <c r="W4127" s="8" t="s">
        <v>9885</v>
      </c>
      <c r="X4127" s="6"/>
      <c r="Y4127" s="6"/>
      <c r="Z4127" s="6"/>
      <c r="AA4127" s="6" t="s">
        <v>2423</v>
      </c>
      <c r="AB4127" s="8"/>
    </row>
    <row r="4128" spans="1:28" s="4" customFormat="1" ht="51.95" customHeight="1">
      <c r="A4128" s="5">
        <v>0</v>
      </c>
      <c r="B4128" s="6" t="s">
        <v>24542</v>
      </c>
      <c r="C4128" s="13">
        <v>1234.9000000000001</v>
      </c>
      <c r="D4128" s="8" t="s">
        <v>24543</v>
      </c>
      <c r="E4128" s="8" t="s">
        <v>24544</v>
      </c>
      <c r="F4128" s="8" t="s">
        <v>24545</v>
      </c>
      <c r="G4128" s="6" t="s">
        <v>52</v>
      </c>
      <c r="H4128" s="6" t="s">
        <v>39</v>
      </c>
      <c r="I4128" s="8" t="s">
        <v>90</v>
      </c>
      <c r="J4128" s="9">
        <v>1</v>
      </c>
      <c r="K4128" s="9">
        <v>432</v>
      </c>
      <c r="L4128" s="9">
        <v>2017</v>
      </c>
      <c r="M4128" s="8" t="s">
        <v>24546</v>
      </c>
      <c r="N4128" s="8" t="s">
        <v>79</v>
      </c>
      <c r="O4128" s="8" t="s">
        <v>537</v>
      </c>
      <c r="P4128" s="6" t="s">
        <v>43</v>
      </c>
      <c r="Q4128" s="8" t="s">
        <v>44</v>
      </c>
      <c r="R4128" s="10" t="s">
        <v>3293</v>
      </c>
      <c r="S4128" s="11" t="s">
        <v>24541</v>
      </c>
      <c r="T4128" s="6"/>
      <c r="U4128" s="24" t="str">
        <f>HYPERLINK("https://media.infra-m.ru/0754/0754417/cover/754417.jpg", "Обложка")</f>
        <v>Обложка</v>
      </c>
      <c r="V4128" s="24" t="str">
        <f>HYPERLINK("https://znanium.ru/catalog/product/1909193", "Ознакомиться")</f>
        <v>Ознакомиться</v>
      </c>
      <c r="W4128" s="8" t="s">
        <v>9885</v>
      </c>
      <c r="X4128" s="6"/>
      <c r="Y4128" s="6"/>
      <c r="Z4128" s="6"/>
      <c r="AA4128" s="6" t="s">
        <v>644</v>
      </c>
      <c r="AB4128" s="8"/>
    </row>
    <row r="4129" spans="1:28" s="4" customFormat="1" ht="51.95" customHeight="1">
      <c r="A4129" s="5">
        <v>0</v>
      </c>
      <c r="B4129" s="6" t="s">
        <v>24547</v>
      </c>
      <c r="C4129" s="13">
        <v>1494</v>
      </c>
      <c r="D4129" s="8" t="s">
        <v>24548</v>
      </c>
      <c r="E4129" s="8" t="s">
        <v>24549</v>
      </c>
      <c r="F4129" s="8" t="s">
        <v>24550</v>
      </c>
      <c r="G4129" s="6" t="s">
        <v>89</v>
      </c>
      <c r="H4129" s="6" t="s">
        <v>53</v>
      </c>
      <c r="I4129" s="8" t="s">
        <v>212</v>
      </c>
      <c r="J4129" s="9">
        <v>1</v>
      </c>
      <c r="K4129" s="9">
        <v>299</v>
      </c>
      <c r="L4129" s="9">
        <v>2025</v>
      </c>
      <c r="M4129" s="8" t="s">
        <v>24551</v>
      </c>
      <c r="N4129" s="8" t="s">
        <v>79</v>
      </c>
      <c r="O4129" s="8" t="s">
        <v>570</v>
      </c>
      <c r="P4129" s="6" t="s">
        <v>43</v>
      </c>
      <c r="Q4129" s="8" t="s">
        <v>214</v>
      </c>
      <c r="R4129" s="10" t="s">
        <v>24552</v>
      </c>
      <c r="S4129" s="11" t="s">
        <v>24553</v>
      </c>
      <c r="T4129" s="6"/>
      <c r="U4129" s="24" t="str">
        <f>HYPERLINK("https://media.infra-m.ru/2179/2179029/cover/2179029.jpg", "Обложка")</f>
        <v>Обложка</v>
      </c>
      <c r="V4129" s="24" t="str">
        <f>HYPERLINK("https://znanium.ru/catalog/product/2171281", "Ознакомиться")</f>
        <v>Ознакомиться</v>
      </c>
      <c r="W4129" s="8" t="s">
        <v>24554</v>
      </c>
      <c r="X4129" s="6"/>
      <c r="Y4129" s="6"/>
      <c r="Z4129" s="6"/>
      <c r="AA4129" s="6" t="s">
        <v>219</v>
      </c>
      <c r="AB4129" s="8"/>
    </row>
    <row r="4130" spans="1:28" s="4" customFormat="1" ht="51.95" customHeight="1">
      <c r="A4130" s="5">
        <v>0</v>
      </c>
      <c r="B4130" s="6" t="s">
        <v>24555</v>
      </c>
      <c r="C4130" s="7">
        <v>820</v>
      </c>
      <c r="D4130" s="8" t="s">
        <v>24556</v>
      </c>
      <c r="E4130" s="8" t="s">
        <v>24557</v>
      </c>
      <c r="F4130" s="8" t="s">
        <v>19423</v>
      </c>
      <c r="G4130" s="6" t="s">
        <v>38</v>
      </c>
      <c r="H4130" s="6" t="s">
        <v>39</v>
      </c>
      <c r="I4130" s="8" t="s">
        <v>90</v>
      </c>
      <c r="J4130" s="9">
        <v>1</v>
      </c>
      <c r="K4130" s="9">
        <v>160</v>
      </c>
      <c r="L4130" s="9">
        <v>2023</v>
      </c>
      <c r="M4130" s="8" t="s">
        <v>24558</v>
      </c>
      <c r="N4130" s="8" t="s">
        <v>79</v>
      </c>
      <c r="O4130" s="8" t="s">
        <v>424</v>
      </c>
      <c r="P4130" s="6" t="s">
        <v>43</v>
      </c>
      <c r="Q4130" s="8" t="s">
        <v>44</v>
      </c>
      <c r="R4130" s="10" t="s">
        <v>16550</v>
      </c>
      <c r="S4130" s="11" t="s">
        <v>24559</v>
      </c>
      <c r="T4130" s="6"/>
      <c r="U4130" s="24" t="str">
        <f>HYPERLINK("https://media.infra-m.ru/1903/1903730/cover/1903730.jpg", "Обложка")</f>
        <v>Обложка</v>
      </c>
      <c r="V4130" s="24" t="str">
        <f>HYPERLINK("https://znanium.ru/catalog/product/1903730", "Ознакомиться")</f>
        <v>Ознакомиться</v>
      </c>
      <c r="W4130" s="8" t="s">
        <v>1563</v>
      </c>
      <c r="X4130" s="6"/>
      <c r="Y4130" s="6"/>
      <c r="Z4130" s="6"/>
      <c r="AA4130" s="6" t="s">
        <v>418</v>
      </c>
      <c r="AB4130" s="8"/>
    </row>
    <row r="4131" spans="1:28" s="4" customFormat="1" ht="42" customHeight="1">
      <c r="A4131" s="5">
        <v>0</v>
      </c>
      <c r="B4131" s="6" t="s">
        <v>24560</v>
      </c>
      <c r="C4131" s="13">
        <v>1180</v>
      </c>
      <c r="D4131" s="8" t="s">
        <v>24561</v>
      </c>
      <c r="E4131" s="8" t="s">
        <v>24562</v>
      </c>
      <c r="F4131" s="8" t="s">
        <v>24563</v>
      </c>
      <c r="G4131" s="6" t="s">
        <v>89</v>
      </c>
      <c r="H4131" s="6" t="s">
        <v>438</v>
      </c>
      <c r="I4131" s="8"/>
      <c r="J4131" s="9">
        <v>1</v>
      </c>
      <c r="K4131" s="9">
        <v>256</v>
      </c>
      <c r="L4131" s="9">
        <v>2023</v>
      </c>
      <c r="M4131" s="8" t="s">
        <v>24564</v>
      </c>
      <c r="N4131" s="8" t="s">
        <v>79</v>
      </c>
      <c r="O4131" s="8" t="s">
        <v>684</v>
      </c>
      <c r="P4131" s="6" t="s">
        <v>167</v>
      </c>
      <c r="Q4131" s="8" t="s">
        <v>44</v>
      </c>
      <c r="R4131" s="10" t="s">
        <v>6246</v>
      </c>
      <c r="S4131" s="11"/>
      <c r="T4131" s="6"/>
      <c r="U4131" s="24" t="str">
        <f>HYPERLINK("https://media.infra-m.ru/2110/2110052/cover/2110052.jpg", "Обложка")</f>
        <v>Обложка</v>
      </c>
      <c r="V4131" s="24" t="str">
        <f>HYPERLINK("https://znanium.ru/catalog/product/2110052", "Ознакомиться")</f>
        <v>Ознакомиться</v>
      </c>
      <c r="W4131" s="8" t="s">
        <v>7224</v>
      </c>
      <c r="X4131" s="6"/>
      <c r="Y4131" s="6"/>
      <c r="Z4131" s="6"/>
      <c r="AA4131" s="6" t="s">
        <v>196</v>
      </c>
      <c r="AB4131" s="8"/>
    </row>
    <row r="4132" spans="1:28" s="4" customFormat="1" ht="51.95" customHeight="1">
      <c r="A4132" s="5">
        <v>0</v>
      </c>
      <c r="B4132" s="6" t="s">
        <v>24565</v>
      </c>
      <c r="C4132" s="13">
        <v>1680</v>
      </c>
      <c r="D4132" s="8" t="s">
        <v>24566</v>
      </c>
      <c r="E4132" s="8" t="s">
        <v>24567</v>
      </c>
      <c r="F4132" s="8" t="s">
        <v>24568</v>
      </c>
      <c r="G4132" s="6" t="s">
        <v>52</v>
      </c>
      <c r="H4132" s="6" t="s">
        <v>53</v>
      </c>
      <c r="I4132" s="8" t="s">
        <v>116</v>
      </c>
      <c r="J4132" s="9">
        <v>1</v>
      </c>
      <c r="K4132" s="9">
        <v>255</v>
      </c>
      <c r="L4132" s="9">
        <v>2024</v>
      </c>
      <c r="M4132" s="8" t="s">
        <v>24569</v>
      </c>
      <c r="N4132" s="8" t="s">
        <v>41</v>
      </c>
      <c r="O4132" s="8" t="s">
        <v>118</v>
      </c>
      <c r="P4132" s="6" t="s">
        <v>43</v>
      </c>
      <c r="Q4132" s="8" t="s">
        <v>58</v>
      </c>
      <c r="R4132" s="10" t="s">
        <v>24570</v>
      </c>
      <c r="S4132" s="11"/>
      <c r="T4132" s="6"/>
      <c r="U4132" s="24" t="str">
        <f>HYPERLINK("https://media.infra-m.ru/2104/2104842/cover/2104842.jpg", "Обложка")</f>
        <v>Обложка</v>
      </c>
      <c r="V4132" s="24" t="str">
        <f>HYPERLINK("https://znanium.ru/catalog/product/2104842", "Ознакомиться")</f>
        <v>Ознакомиться</v>
      </c>
      <c r="W4132" s="8" t="s">
        <v>2216</v>
      </c>
      <c r="X4132" s="6" t="s">
        <v>132</v>
      </c>
      <c r="Y4132" s="6"/>
      <c r="Z4132" s="6"/>
      <c r="AA4132" s="6" t="s">
        <v>133</v>
      </c>
      <c r="AB4132" s="8"/>
    </row>
    <row r="4133" spans="1:28" s="4" customFormat="1" ht="51.95" customHeight="1">
      <c r="A4133" s="5">
        <v>0</v>
      </c>
      <c r="B4133" s="6" t="s">
        <v>24571</v>
      </c>
      <c r="C4133" s="7">
        <v>810</v>
      </c>
      <c r="D4133" s="8" t="s">
        <v>24572</v>
      </c>
      <c r="E4133" s="8" t="s">
        <v>24573</v>
      </c>
      <c r="F4133" s="8" t="s">
        <v>24574</v>
      </c>
      <c r="G4133" s="6" t="s">
        <v>89</v>
      </c>
      <c r="H4133" s="6" t="s">
        <v>53</v>
      </c>
      <c r="I4133" s="8" t="s">
        <v>4767</v>
      </c>
      <c r="J4133" s="9">
        <v>1</v>
      </c>
      <c r="K4133" s="9">
        <v>162</v>
      </c>
      <c r="L4133" s="9">
        <v>2024</v>
      </c>
      <c r="M4133" s="8" t="s">
        <v>24575</v>
      </c>
      <c r="N4133" s="8" t="s">
        <v>997</v>
      </c>
      <c r="O4133" s="8" t="s">
        <v>998</v>
      </c>
      <c r="P4133" s="6" t="s">
        <v>937</v>
      </c>
      <c r="Q4133" s="8" t="s">
        <v>58</v>
      </c>
      <c r="R4133" s="10" t="s">
        <v>24576</v>
      </c>
      <c r="S4133" s="11" t="s">
        <v>24577</v>
      </c>
      <c r="T4133" s="6"/>
      <c r="U4133" s="24" t="str">
        <f>HYPERLINK("https://media.infra-m.ru/2137/2137508/cover/2137508.jpg", "Обложка")</f>
        <v>Обложка</v>
      </c>
      <c r="V4133" s="24" t="str">
        <f>HYPERLINK("https://znanium.ru/catalog/product/2137508", "Ознакомиться")</f>
        <v>Ознакомиться</v>
      </c>
      <c r="W4133" s="8" t="s">
        <v>7276</v>
      </c>
      <c r="X4133" s="6"/>
      <c r="Y4133" s="6"/>
      <c r="Z4133" s="6"/>
      <c r="AA4133" s="6" t="s">
        <v>258</v>
      </c>
      <c r="AB4133" s="8"/>
    </row>
    <row r="4134" spans="1:28" s="4" customFormat="1" ht="51.95" customHeight="1">
      <c r="A4134" s="5">
        <v>0</v>
      </c>
      <c r="B4134" s="6" t="s">
        <v>24578</v>
      </c>
      <c r="C4134" s="13">
        <v>1270</v>
      </c>
      <c r="D4134" s="8" t="s">
        <v>24579</v>
      </c>
      <c r="E4134" s="8" t="s">
        <v>24580</v>
      </c>
      <c r="F4134" s="8" t="s">
        <v>24581</v>
      </c>
      <c r="G4134" s="6" t="s">
        <v>52</v>
      </c>
      <c r="H4134" s="6" t="s">
        <v>53</v>
      </c>
      <c r="I4134" s="8" t="s">
        <v>116</v>
      </c>
      <c r="J4134" s="9">
        <v>1</v>
      </c>
      <c r="K4134" s="9">
        <v>253</v>
      </c>
      <c r="L4134" s="9">
        <v>2024</v>
      </c>
      <c r="M4134" s="8" t="s">
        <v>24582</v>
      </c>
      <c r="N4134" s="8" t="s">
        <v>41</v>
      </c>
      <c r="O4134" s="8" t="s">
        <v>1007</v>
      </c>
      <c r="P4134" s="6" t="s">
        <v>167</v>
      </c>
      <c r="Q4134" s="8" t="s">
        <v>58</v>
      </c>
      <c r="R4134" s="10" t="s">
        <v>24583</v>
      </c>
      <c r="S4134" s="11"/>
      <c r="T4134" s="6"/>
      <c r="U4134" s="24" t="str">
        <f>HYPERLINK("https://media.infra-m.ru/1978/1978003/cover/1978003.jpg", "Обложка")</f>
        <v>Обложка</v>
      </c>
      <c r="V4134" s="24" t="str">
        <f>HYPERLINK("https://znanium.ru/catalog/product/1978003", "Ознакомиться")</f>
        <v>Ознакомиться</v>
      </c>
      <c r="W4134" s="8" t="s">
        <v>189</v>
      </c>
      <c r="X4134" s="6" t="s">
        <v>772</v>
      </c>
      <c r="Y4134" s="6"/>
      <c r="Z4134" s="6"/>
      <c r="AA4134" s="6" t="s">
        <v>133</v>
      </c>
      <c r="AB4134" s="8"/>
    </row>
    <row r="4135" spans="1:28" s="4" customFormat="1" ht="51.95" customHeight="1">
      <c r="A4135" s="5">
        <v>0</v>
      </c>
      <c r="B4135" s="6" t="s">
        <v>24584</v>
      </c>
      <c r="C4135" s="13">
        <v>1490</v>
      </c>
      <c r="D4135" s="8" t="s">
        <v>24585</v>
      </c>
      <c r="E4135" s="8" t="s">
        <v>24586</v>
      </c>
      <c r="F4135" s="8" t="s">
        <v>24587</v>
      </c>
      <c r="G4135" s="6" t="s">
        <v>89</v>
      </c>
      <c r="H4135" s="6" t="s">
        <v>53</v>
      </c>
      <c r="I4135" s="8" t="s">
        <v>116</v>
      </c>
      <c r="J4135" s="9">
        <v>1</v>
      </c>
      <c r="K4135" s="9">
        <v>325</v>
      </c>
      <c r="L4135" s="9">
        <v>2024</v>
      </c>
      <c r="M4135" s="8" t="s">
        <v>24588</v>
      </c>
      <c r="N4135" s="8" t="s">
        <v>79</v>
      </c>
      <c r="O4135" s="8" t="s">
        <v>396</v>
      </c>
      <c r="P4135" s="6" t="s">
        <v>43</v>
      </c>
      <c r="Q4135" s="8" t="s">
        <v>44</v>
      </c>
      <c r="R4135" s="10" t="s">
        <v>24589</v>
      </c>
      <c r="S4135" s="11" t="s">
        <v>15568</v>
      </c>
      <c r="T4135" s="6"/>
      <c r="U4135" s="24" t="str">
        <f>HYPERLINK("https://media.infra-m.ru/2079/2079287/cover/2079287.jpg", "Обложка")</f>
        <v>Обложка</v>
      </c>
      <c r="V4135" s="24" t="str">
        <f>HYPERLINK("https://znanium.ru/catalog/product/2079287", "Ознакомиться")</f>
        <v>Ознакомиться</v>
      </c>
      <c r="W4135" s="8" t="s">
        <v>71</v>
      </c>
      <c r="X4135" s="6"/>
      <c r="Y4135" s="6"/>
      <c r="Z4135" s="6"/>
      <c r="AA4135" s="6" t="s">
        <v>442</v>
      </c>
      <c r="AB4135" s="8"/>
    </row>
    <row r="4136" spans="1:28" s="4" customFormat="1" ht="51.95" customHeight="1">
      <c r="A4136" s="5">
        <v>0</v>
      </c>
      <c r="B4136" s="6" t="s">
        <v>24590</v>
      </c>
      <c r="C4136" s="13">
        <v>1380</v>
      </c>
      <c r="D4136" s="8" t="s">
        <v>24591</v>
      </c>
      <c r="E4136" s="8" t="s">
        <v>24592</v>
      </c>
      <c r="F4136" s="8" t="s">
        <v>12845</v>
      </c>
      <c r="G4136" s="6" t="s">
        <v>89</v>
      </c>
      <c r="H4136" s="6" t="s">
        <v>53</v>
      </c>
      <c r="I4136" s="8" t="s">
        <v>116</v>
      </c>
      <c r="J4136" s="9">
        <v>1</v>
      </c>
      <c r="K4136" s="9">
        <v>278</v>
      </c>
      <c r="L4136" s="9">
        <v>2024</v>
      </c>
      <c r="M4136" s="8" t="s">
        <v>24593</v>
      </c>
      <c r="N4136" s="8" t="s">
        <v>997</v>
      </c>
      <c r="O4136" s="8" t="s">
        <v>998</v>
      </c>
      <c r="P4136" s="6" t="s">
        <v>43</v>
      </c>
      <c r="Q4136" s="8" t="s">
        <v>44</v>
      </c>
      <c r="R4136" s="10" t="s">
        <v>1598</v>
      </c>
      <c r="S4136" s="11" t="s">
        <v>24594</v>
      </c>
      <c r="T4136" s="6" t="s">
        <v>299</v>
      </c>
      <c r="U4136" s="24" t="str">
        <f>HYPERLINK("https://media.infra-m.ru/2078/2078387/cover/2078387.jpg", "Обложка")</f>
        <v>Обложка</v>
      </c>
      <c r="V4136" s="24" t="str">
        <f>HYPERLINK("https://znanium.ru/catalog/product/2078387", "Ознакомиться")</f>
        <v>Ознакомиться</v>
      </c>
      <c r="W4136" s="8" t="s">
        <v>12849</v>
      </c>
      <c r="X4136" s="6"/>
      <c r="Y4136" s="6"/>
      <c r="Z4136" s="6"/>
      <c r="AA4136" s="6" t="s">
        <v>1374</v>
      </c>
      <c r="AB4136" s="8"/>
    </row>
    <row r="4137" spans="1:28" s="4" customFormat="1" ht="51.95" customHeight="1">
      <c r="A4137" s="5">
        <v>0</v>
      </c>
      <c r="B4137" s="6" t="s">
        <v>24595</v>
      </c>
      <c r="C4137" s="13">
        <v>1504</v>
      </c>
      <c r="D4137" s="8" t="s">
        <v>24596</v>
      </c>
      <c r="E4137" s="8" t="s">
        <v>24592</v>
      </c>
      <c r="F4137" s="8" t="s">
        <v>12845</v>
      </c>
      <c r="G4137" s="6" t="s">
        <v>52</v>
      </c>
      <c r="H4137" s="6" t="s">
        <v>53</v>
      </c>
      <c r="I4137" s="8" t="s">
        <v>100</v>
      </c>
      <c r="J4137" s="9">
        <v>1</v>
      </c>
      <c r="K4137" s="9">
        <v>300</v>
      </c>
      <c r="L4137" s="9">
        <v>2025</v>
      </c>
      <c r="M4137" s="8" t="s">
        <v>24597</v>
      </c>
      <c r="N4137" s="8" t="s">
        <v>997</v>
      </c>
      <c r="O4137" s="8" t="s">
        <v>998</v>
      </c>
      <c r="P4137" s="6" t="s">
        <v>43</v>
      </c>
      <c r="Q4137" s="8" t="s">
        <v>102</v>
      </c>
      <c r="R4137" s="10" t="s">
        <v>7235</v>
      </c>
      <c r="S4137" s="11" t="s">
        <v>19729</v>
      </c>
      <c r="T4137" s="6"/>
      <c r="U4137" s="24" t="str">
        <f>HYPERLINK("https://media.infra-m.ru/2170/2170082/cover/2170082.jpg", "Обложка")</f>
        <v>Обложка</v>
      </c>
      <c r="V4137" s="24" t="str">
        <f>HYPERLINK("https://znanium.ru/catalog/product/2169223", "Ознакомиться")</f>
        <v>Ознакомиться</v>
      </c>
      <c r="W4137" s="8" t="s">
        <v>12849</v>
      </c>
      <c r="X4137" s="6"/>
      <c r="Y4137" s="6"/>
      <c r="Z4137" s="6" t="s">
        <v>104</v>
      </c>
      <c r="AA4137" s="6" t="s">
        <v>1259</v>
      </c>
      <c r="AB4137" s="8"/>
    </row>
    <row r="4138" spans="1:28" s="4" customFormat="1" ht="51.95" customHeight="1">
      <c r="A4138" s="5">
        <v>0</v>
      </c>
      <c r="B4138" s="6" t="s">
        <v>24598</v>
      </c>
      <c r="C4138" s="7">
        <v>984</v>
      </c>
      <c r="D4138" s="8" t="s">
        <v>24599</v>
      </c>
      <c r="E4138" s="8" t="s">
        <v>24600</v>
      </c>
      <c r="F4138" s="8" t="s">
        <v>24601</v>
      </c>
      <c r="G4138" s="6" t="s">
        <v>89</v>
      </c>
      <c r="H4138" s="6" t="s">
        <v>53</v>
      </c>
      <c r="I4138" s="8" t="s">
        <v>100</v>
      </c>
      <c r="J4138" s="9">
        <v>1</v>
      </c>
      <c r="K4138" s="9">
        <v>197</v>
      </c>
      <c r="L4138" s="9">
        <v>2025</v>
      </c>
      <c r="M4138" s="8" t="s">
        <v>24602</v>
      </c>
      <c r="N4138" s="8" t="s">
        <v>997</v>
      </c>
      <c r="O4138" s="8" t="s">
        <v>998</v>
      </c>
      <c r="P4138" s="6" t="s">
        <v>43</v>
      </c>
      <c r="Q4138" s="8" t="s">
        <v>102</v>
      </c>
      <c r="R4138" s="10" t="s">
        <v>14284</v>
      </c>
      <c r="S4138" s="11" t="s">
        <v>24603</v>
      </c>
      <c r="T4138" s="6"/>
      <c r="U4138" s="24" t="str">
        <f>HYPERLINK("https://media.infra-m.ru/2172/2172845/cover/2172845.jpg", "Обложка")</f>
        <v>Обложка</v>
      </c>
      <c r="V4138" s="24" t="str">
        <f>HYPERLINK("https://znanium.ru/catalog/product/1869678", "Ознакомиться")</f>
        <v>Ознакомиться</v>
      </c>
      <c r="W4138" s="8" t="s">
        <v>9720</v>
      </c>
      <c r="X4138" s="6"/>
      <c r="Y4138" s="6"/>
      <c r="Z4138" s="6"/>
      <c r="AA4138" s="6" t="s">
        <v>95</v>
      </c>
      <c r="AB4138" s="8"/>
    </row>
    <row r="4139" spans="1:28" s="4" customFormat="1" ht="51.95" customHeight="1">
      <c r="A4139" s="5">
        <v>0</v>
      </c>
      <c r="B4139" s="6" t="s">
        <v>24604</v>
      </c>
      <c r="C4139" s="13">
        <v>1244</v>
      </c>
      <c r="D4139" s="8" t="s">
        <v>24605</v>
      </c>
      <c r="E4139" s="8" t="s">
        <v>24606</v>
      </c>
      <c r="F4139" s="8" t="s">
        <v>24607</v>
      </c>
      <c r="G4139" s="6" t="s">
        <v>89</v>
      </c>
      <c r="H4139" s="6" t="s">
        <v>53</v>
      </c>
      <c r="I4139" s="8" t="s">
        <v>100</v>
      </c>
      <c r="J4139" s="9">
        <v>1</v>
      </c>
      <c r="K4139" s="9">
        <v>248</v>
      </c>
      <c r="L4139" s="9">
        <v>2024</v>
      </c>
      <c r="M4139" s="8" t="s">
        <v>24608</v>
      </c>
      <c r="N4139" s="8" t="s">
        <v>997</v>
      </c>
      <c r="O4139" s="8" t="s">
        <v>998</v>
      </c>
      <c r="P4139" s="6" t="s">
        <v>175</v>
      </c>
      <c r="Q4139" s="8" t="s">
        <v>102</v>
      </c>
      <c r="R4139" s="10" t="s">
        <v>22959</v>
      </c>
      <c r="S4139" s="11" t="s">
        <v>24609</v>
      </c>
      <c r="T4139" s="6"/>
      <c r="U4139" s="24" t="str">
        <f>HYPERLINK("https://media.infra-m.ru/2192/2192098/cover/2192098.jpg", "Обложка")</f>
        <v>Обложка</v>
      </c>
      <c r="V4139" s="24" t="str">
        <f>HYPERLINK("https://znanium.ru/catalog/product/2192058", "Ознакомиться")</f>
        <v>Ознакомиться</v>
      </c>
      <c r="W4139" s="8" t="s">
        <v>6838</v>
      </c>
      <c r="X4139" s="6"/>
      <c r="Y4139" s="6"/>
      <c r="Z4139" s="6" t="s">
        <v>104</v>
      </c>
      <c r="AA4139" s="6" t="s">
        <v>219</v>
      </c>
      <c r="AB4139" s="8"/>
    </row>
    <row r="4140" spans="1:28" s="4" customFormat="1" ht="51.95" customHeight="1">
      <c r="A4140" s="5">
        <v>0</v>
      </c>
      <c r="B4140" s="6" t="s">
        <v>24610</v>
      </c>
      <c r="C4140" s="13">
        <v>1240</v>
      </c>
      <c r="D4140" s="8" t="s">
        <v>24611</v>
      </c>
      <c r="E4140" s="8" t="s">
        <v>24606</v>
      </c>
      <c r="F4140" s="8" t="s">
        <v>24607</v>
      </c>
      <c r="G4140" s="6" t="s">
        <v>89</v>
      </c>
      <c r="H4140" s="6" t="s">
        <v>53</v>
      </c>
      <c r="I4140" s="8" t="s">
        <v>116</v>
      </c>
      <c r="J4140" s="9">
        <v>1</v>
      </c>
      <c r="K4140" s="9">
        <v>248</v>
      </c>
      <c r="L4140" s="9">
        <v>2025</v>
      </c>
      <c r="M4140" s="8" t="s">
        <v>24612</v>
      </c>
      <c r="N4140" s="8" t="s">
        <v>997</v>
      </c>
      <c r="O4140" s="8" t="s">
        <v>998</v>
      </c>
      <c r="P4140" s="6" t="s">
        <v>175</v>
      </c>
      <c r="Q4140" s="8" t="s">
        <v>44</v>
      </c>
      <c r="R4140" s="10" t="s">
        <v>24613</v>
      </c>
      <c r="S4140" s="11" t="s">
        <v>24614</v>
      </c>
      <c r="T4140" s="6"/>
      <c r="U4140" s="24" t="str">
        <f>HYPERLINK("https://media.infra-m.ru/2186/2186902/cover/2186902.jpg", "Обложка")</f>
        <v>Обложка</v>
      </c>
      <c r="V4140" s="24" t="str">
        <f>HYPERLINK("https://znanium.ru/catalog/product/2186902", "Ознакомиться")</f>
        <v>Ознакомиться</v>
      </c>
      <c r="W4140" s="8" t="s">
        <v>6838</v>
      </c>
      <c r="X4140" s="6"/>
      <c r="Y4140" s="6"/>
      <c r="Z4140" s="6"/>
      <c r="AA4140" s="6" t="s">
        <v>793</v>
      </c>
      <c r="AB4140" s="8"/>
    </row>
    <row r="4141" spans="1:28" s="4" customFormat="1" ht="51.95" customHeight="1">
      <c r="A4141" s="5">
        <v>0</v>
      </c>
      <c r="B4141" s="6" t="s">
        <v>24615</v>
      </c>
      <c r="C4141" s="7">
        <v>850</v>
      </c>
      <c r="D4141" s="8" t="s">
        <v>24616</v>
      </c>
      <c r="E4141" s="8" t="s">
        <v>24617</v>
      </c>
      <c r="F4141" s="8" t="s">
        <v>24618</v>
      </c>
      <c r="G4141" s="6" t="s">
        <v>89</v>
      </c>
      <c r="H4141" s="6" t="s">
        <v>53</v>
      </c>
      <c r="I4141" s="8" t="s">
        <v>100</v>
      </c>
      <c r="J4141" s="9">
        <v>1</v>
      </c>
      <c r="K4141" s="9">
        <v>158</v>
      </c>
      <c r="L4141" s="9">
        <v>2025</v>
      </c>
      <c r="M4141" s="8" t="s">
        <v>24619</v>
      </c>
      <c r="N4141" s="8" t="s">
        <v>997</v>
      </c>
      <c r="O4141" s="8" t="s">
        <v>998</v>
      </c>
      <c r="P4141" s="6" t="s">
        <v>175</v>
      </c>
      <c r="Q4141" s="8" t="s">
        <v>102</v>
      </c>
      <c r="R4141" s="10" t="s">
        <v>17465</v>
      </c>
      <c r="S4141" s="11" t="s">
        <v>24620</v>
      </c>
      <c r="T4141" s="6"/>
      <c r="U4141" s="24" t="str">
        <f>HYPERLINK("https://media.infra-m.ru/2166/2166626/cover/2166626.jpg", "Обложка")</f>
        <v>Обложка</v>
      </c>
      <c r="V4141" s="24" t="str">
        <f>HYPERLINK("https://znanium.ru/catalog/product/2166626", "Ознакомиться")</f>
        <v>Ознакомиться</v>
      </c>
      <c r="W4141" s="8" t="s">
        <v>6838</v>
      </c>
      <c r="X4141" s="6"/>
      <c r="Y4141" s="6"/>
      <c r="Z4141" s="6" t="s">
        <v>104</v>
      </c>
      <c r="AA4141" s="6" t="s">
        <v>219</v>
      </c>
      <c r="AB4141" s="8"/>
    </row>
    <row r="4142" spans="1:28" s="4" customFormat="1" ht="51.95" customHeight="1">
      <c r="A4142" s="5">
        <v>0</v>
      </c>
      <c r="B4142" s="6" t="s">
        <v>24621</v>
      </c>
      <c r="C4142" s="7">
        <v>770</v>
      </c>
      <c r="D4142" s="8" t="s">
        <v>24622</v>
      </c>
      <c r="E4142" s="8" t="s">
        <v>24617</v>
      </c>
      <c r="F4142" s="8" t="s">
        <v>24618</v>
      </c>
      <c r="G4142" s="6" t="s">
        <v>89</v>
      </c>
      <c r="H4142" s="6" t="s">
        <v>53</v>
      </c>
      <c r="I4142" s="8" t="s">
        <v>90</v>
      </c>
      <c r="J4142" s="9">
        <v>1</v>
      </c>
      <c r="K4142" s="9">
        <v>158</v>
      </c>
      <c r="L4142" s="9">
        <v>2024</v>
      </c>
      <c r="M4142" s="8" t="s">
        <v>24623</v>
      </c>
      <c r="N4142" s="8" t="s">
        <v>997</v>
      </c>
      <c r="O4142" s="8" t="s">
        <v>998</v>
      </c>
      <c r="P4142" s="6" t="s">
        <v>175</v>
      </c>
      <c r="Q4142" s="8" t="s">
        <v>44</v>
      </c>
      <c r="R4142" s="10" t="s">
        <v>6390</v>
      </c>
      <c r="S4142" s="11" t="s">
        <v>24624</v>
      </c>
      <c r="T4142" s="6"/>
      <c r="U4142" s="24" t="str">
        <f>HYPERLINK("https://media.infra-m.ru/2116/2116855/cover/2116855.jpg", "Обложка")</f>
        <v>Обложка</v>
      </c>
      <c r="V4142" s="24" t="str">
        <f>HYPERLINK("https://znanium.ru/catalog/product/2116855", "Ознакомиться")</f>
        <v>Ознакомиться</v>
      </c>
      <c r="W4142" s="8" t="s">
        <v>6838</v>
      </c>
      <c r="X4142" s="6"/>
      <c r="Y4142" s="6"/>
      <c r="Z4142" s="6"/>
      <c r="AA4142" s="6" t="s">
        <v>793</v>
      </c>
      <c r="AB4142" s="8"/>
    </row>
    <row r="4143" spans="1:28" s="4" customFormat="1" ht="42" customHeight="1">
      <c r="A4143" s="5">
        <v>0</v>
      </c>
      <c r="B4143" s="6" t="s">
        <v>24625</v>
      </c>
      <c r="C4143" s="13">
        <v>1034</v>
      </c>
      <c r="D4143" s="8" t="s">
        <v>24626</v>
      </c>
      <c r="E4143" s="8" t="s">
        <v>24627</v>
      </c>
      <c r="F4143" s="8" t="s">
        <v>24628</v>
      </c>
      <c r="G4143" s="6" t="s">
        <v>52</v>
      </c>
      <c r="H4143" s="6" t="s">
        <v>1738</v>
      </c>
      <c r="I4143" s="8"/>
      <c r="J4143" s="9">
        <v>1</v>
      </c>
      <c r="K4143" s="9">
        <v>224</v>
      </c>
      <c r="L4143" s="9">
        <v>2024</v>
      </c>
      <c r="M4143" s="8" t="s">
        <v>24629</v>
      </c>
      <c r="N4143" s="8" t="s">
        <v>41</v>
      </c>
      <c r="O4143" s="8" t="s">
        <v>676</v>
      </c>
      <c r="P4143" s="6" t="s">
        <v>43</v>
      </c>
      <c r="Q4143" s="8" t="s">
        <v>44</v>
      </c>
      <c r="R4143" s="10" t="s">
        <v>969</v>
      </c>
      <c r="S4143" s="11"/>
      <c r="T4143" s="6"/>
      <c r="U4143" s="24" t="str">
        <f>HYPERLINK("https://media.infra-m.ru/2092/2092496/cover/2092496.jpg", "Обложка")</f>
        <v>Обложка</v>
      </c>
      <c r="V4143" s="24" t="str">
        <f>HYPERLINK("https://znanium.ru/catalog/product/353362", "Ознакомиться")</f>
        <v>Ознакомиться</v>
      </c>
      <c r="W4143" s="8" t="s">
        <v>11355</v>
      </c>
      <c r="X4143" s="6"/>
      <c r="Y4143" s="6"/>
      <c r="Z4143" s="6"/>
      <c r="AA4143" s="6" t="s">
        <v>47</v>
      </c>
      <c r="AB4143" s="8"/>
    </row>
    <row r="4144" spans="1:28" s="4" customFormat="1" ht="42" customHeight="1">
      <c r="A4144" s="5">
        <v>0</v>
      </c>
      <c r="B4144" s="6" t="s">
        <v>24630</v>
      </c>
      <c r="C4144" s="13">
        <v>1450</v>
      </c>
      <c r="D4144" s="8" t="s">
        <v>24631</v>
      </c>
      <c r="E4144" s="8" t="s">
        <v>24632</v>
      </c>
      <c r="F4144" s="8" t="s">
        <v>24633</v>
      </c>
      <c r="G4144" s="6" t="s">
        <v>52</v>
      </c>
      <c r="H4144" s="6" t="s">
        <v>184</v>
      </c>
      <c r="I4144" s="8" t="s">
        <v>2511</v>
      </c>
      <c r="J4144" s="9">
        <v>1</v>
      </c>
      <c r="K4144" s="9">
        <v>345</v>
      </c>
      <c r="L4144" s="9">
        <v>2022</v>
      </c>
      <c r="M4144" s="8" t="s">
        <v>24634</v>
      </c>
      <c r="N4144" s="8" t="s">
        <v>41</v>
      </c>
      <c r="O4144" s="8" t="s">
        <v>1007</v>
      </c>
      <c r="P4144" s="6" t="s">
        <v>1046</v>
      </c>
      <c r="Q4144" s="8" t="s">
        <v>58</v>
      </c>
      <c r="R4144" s="10" t="s">
        <v>24635</v>
      </c>
      <c r="S4144" s="11"/>
      <c r="T4144" s="6"/>
      <c r="U4144" s="24" t="str">
        <f>HYPERLINK("https://media.infra-m.ru/1865/1865742/cover/1865742.jpg", "Обложка")</f>
        <v>Обложка</v>
      </c>
      <c r="V4144" s="12"/>
      <c r="W4144" s="8"/>
      <c r="X4144" s="6"/>
      <c r="Y4144" s="6"/>
      <c r="Z4144" s="6"/>
      <c r="AA4144" s="6" t="s">
        <v>235</v>
      </c>
      <c r="AB4144" s="8"/>
    </row>
    <row r="4145" spans="1:28" s="4" customFormat="1" ht="51.95" customHeight="1">
      <c r="A4145" s="5">
        <v>0</v>
      </c>
      <c r="B4145" s="6" t="s">
        <v>24636</v>
      </c>
      <c r="C4145" s="7">
        <v>559</v>
      </c>
      <c r="D4145" s="8" t="s">
        <v>24637</v>
      </c>
      <c r="E4145" s="8" t="s">
        <v>24638</v>
      </c>
      <c r="F4145" s="8" t="s">
        <v>24639</v>
      </c>
      <c r="G4145" s="6" t="s">
        <v>4902</v>
      </c>
      <c r="H4145" s="6" t="s">
        <v>53</v>
      </c>
      <c r="I4145" s="8" t="s">
        <v>90</v>
      </c>
      <c r="J4145" s="9">
        <v>20</v>
      </c>
      <c r="K4145" s="9">
        <v>281</v>
      </c>
      <c r="L4145" s="9">
        <v>2016</v>
      </c>
      <c r="M4145" s="8" t="s">
        <v>24640</v>
      </c>
      <c r="N4145" s="8" t="s">
        <v>41</v>
      </c>
      <c r="O4145" s="8" t="s">
        <v>1007</v>
      </c>
      <c r="P4145" s="6" t="s">
        <v>43</v>
      </c>
      <c r="Q4145" s="8" t="s">
        <v>44</v>
      </c>
      <c r="R4145" s="10" t="s">
        <v>3001</v>
      </c>
      <c r="S4145" s="11" t="s">
        <v>24641</v>
      </c>
      <c r="T4145" s="6" t="s">
        <v>299</v>
      </c>
      <c r="U4145" s="24" t="str">
        <f>HYPERLINK("https://media.infra-m.ru/0512/0512004/cover/512004.jpg", "Обложка")</f>
        <v>Обложка</v>
      </c>
      <c r="V4145" s="24" t="str">
        <f>HYPERLINK("https://znanium.ru/catalog/product/1042461", "Ознакомиться")</f>
        <v>Ознакомиться</v>
      </c>
      <c r="W4145" s="8" t="s">
        <v>189</v>
      </c>
      <c r="X4145" s="6"/>
      <c r="Y4145" s="6"/>
      <c r="Z4145" s="6"/>
      <c r="AA4145" s="6" t="s">
        <v>418</v>
      </c>
      <c r="AB4145" s="8"/>
    </row>
    <row r="4146" spans="1:28" s="4" customFormat="1" ht="51.95" customHeight="1">
      <c r="A4146" s="5">
        <v>0</v>
      </c>
      <c r="B4146" s="6" t="s">
        <v>24642</v>
      </c>
      <c r="C4146" s="13">
        <v>1264.9000000000001</v>
      </c>
      <c r="D4146" s="8" t="s">
        <v>24643</v>
      </c>
      <c r="E4146" s="8" t="s">
        <v>24644</v>
      </c>
      <c r="F4146" s="8" t="s">
        <v>24639</v>
      </c>
      <c r="G4146" s="6" t="s">
        <v>52</v>
      </c>
      <c r="H4146" s="6" t="s">
        <v>53</v>
      </c>
      <c r="I4146" s="8" t="s">
        <v>90</v>
      </c>
      <c r="J4146" s="9">
        <v>1</v>
      </c>
      <c r="K4146" s="9">
        <v>281</v>
      </c>
      <c r="L4146" s="9">
        <v>2023</v>
      </c>
      <c r="M4146" s="8" t="s">
        <v>24645</v>
      </c>
      <c r="N4146" s="8" t="s">
        <v>41</v>
      </c>
      <c r="O4146" s="8" t="s">
        <v>1007</v>
      </c>
      <c r="P4146" s="6" t="s">
        <v>43</v>
      </c>
      <c r="Q4146" s="8" t="s">
        <v>44</v>
      </c>
      <c r="R4146" s="10" t="s">
        <v>3001</v>
      </c>
      <c r="S4146" s="11" t="s">
        <v>24641</v>
      </c>
      <c r="T4146" s="6"/>
      <c r="U4146" s="24" t="str">
        <f>HYPERLINK("https://media.infra-m.ru/1913/1913027/cover/1913027.jpg", "Обложка")</f>
        <v>Обложка</v>
      </c>
      <c r="V4146" s="24" t="str">
        <f>HYPERLINK("https://znanium.ru/catalog/product/1042461", "Ознакомиться")</f>
        <v>Ознакомиться</v>
      </c>
      <c r="W4146" s="8" t="s">
        <v>189</v>
      </c>
      <c r="X4146" s="6"/>
      <c r="Y4146" s="6"/>
      <c r="Z4146" s="6"/>
      <c r="AA4146" s="6" t="s">
        <v>196</v>
      </c>
      <c r="AB4146" s="8"/>
    </row>
    <row r="4147" spans="1:28" s="4" customFormat="1" ht="51.95" customHeight="1">
      <c r="A4147" s="5">
        <v>0</v>
      </c>
      <c r="B4147" s="6" t="s">
        <v>24646</v>
      </c>
      <c r="C4147" s="7">
        <v>620</v>
      </c>
      <c r="D4147" s="8" t="s">
        <v>24647</v>
      </c>
      <c r="E4147" s="8" t="s">
        <v>24648</v>
      </c>
      <c r="F4147" s="8" t="s">
        <v>24649</v>
      </c>
      <c r="G4147" s="6" t="s">
        <v>38</v>
      </c>
      <c r="H4147" s="6" t="s">
        <v>53</v>
      </c>
      <c r="I4147" s="8" t="s">
        <v>116</v>
      </c>
      <c r="J4147" s="9">
        <v>1</v>
      </c>
      <c r="K4147" s="9">
        <v>115</v>
      </c>
      <c r="L4147" s="9">
        <v>2025</v>
      </c>
      <c r="M4147" s="8" t="s">
        <v>24650</v>
      </c>
      <c r="N4147" s="8" t="s">
        <v>56</v>
      </c>
      <c r="O4147" s="8" t="s">
        <v>57</v>
      </c>
      <c r="P4147" s="6" t="s">
        <v>43</v>
      </c>
      <c r="Q4147" s="8" t="s">
        <v>58</v>
      </c>
      <c r="R4147" s="10" t="s">
        <v>24651</v>
      </c>
      <c r="S4147" s="11"/>
      <c r="T4147" s="6" t="s">
        <v>299</v>
      </c>
      <c r="U4147" s="24" t="str">
        <f>HYPERLINK("https://media.infra-m.ru/2169/2169355/cover/2169355.jpg", "Обложка")</f>
        <v>Обложка</v>
      </c>
      <c r="V4147" s="24" t="str">
        <f>HYPERLINK("https://znanium.ru/catalog/product/2169355", "Ознакомиться")</f>
        <v>Ознакомиться</v>
      </c>
      <c r="W4147" s="8" t="s">
        <v>6076</v>
      </c>
      <c r="X4147" s="6"/>
      <c r="Y4147" s="6"/>
      <c r="Z4147" s="6"/>
      <c r="AA4147" s="6" t="s">
        <v>418</v>
      </c>
      <c r="AB4147" s="8"/>
    </row>
    <row r="4148" spans="1:28" s="4" customFormat="1" ht="42" customHeight="1">
      <c r="A4148" s="5">
        <v>0</v>
      </c>
      <c r="B4148" s="6" t="s">
        <v>24652</v>
      </c>
      <c r="C4148" s="7">
        <v>924</v>
      </c>
      <c r="D4148" s="8" t="s">
        <v>24653</v>
      </c>
      <c r="E4148" s="8" t="s">
        <v>24654</v>
      </c>
      <c r="F4148" s="8" t="s">
        <v>24655</v>
      </c>
      <c r="G4148" s="6" t="s">
        <v>52</v>
      </c>
      <c r="H4148" s="6" t="s">
        <v>674</v>
      </c>
      <c r="I4148" s="8"/>
      <c r="J4148" s="9">
        <v>1</v>
      </c>
      <c r="K4148" s="9">
        <v>184</v>
      </c>
      <c r="L4148" s="9">
        <v>2025</v>
      </c>
      <c r="M4148" s="8" t="s">
        <v>24656</v>
      </c>
      <c r="N4148" s="8" t="s">
        <v>41</v>
      </c>
      <c r="O4148" s="8" t="s">
        <v>676</v>
      </c>
      <c r="P4148" s="6" t="s">
        <v>43</v>
      </c>
      <c r="Q4148" s="8" t="s">
        <v>44</v>
      </c>
      <c r="R4148" s="10" t="s">
        <v>969</v>
      </c>
      <c r="S4148" s="11"/>
      <c r="T4148" s="6"/>
      <c r="U4148" s="24" t="str">
        <f>HYPERLINK("https://media.infra-m.ru/2169/2169280/cover/2169280.jpg", "Обложка")</f>
        <v>Обложка</v>
      </c>
      <c r="V4148" s="24" t="str">
        <f>HYPERLINK("https://znanium.ru/catalog/product/2045928", "Ознакомиться")</f>
        <v>Ознакомиться</v>
      </c>
      <c r="W4148" s="8" t="s">
        <v>792</v>
      </c>
      <c r="X4148" s="6"/>
      <c r="Y4148" s="6"/>
      <c r="Z4148" s="6"/>
      <c r="AA4148" s="6" t="s">
        <v>219</v>
      </c>
      <c r="AB4148" s="8"/>
    </row>
    <row r="4149" spans="1:28" s="4" customFormat="1" ht="51.95" customHeight="1">
      <c r="A4149" s="5">
        <v>0</v>
      </c>
      <c r="B4149" s="6" t="s">
        <v>24657</v>
      </c>
      <c r="C4149" s="13">
        <v>1120</v>
      </c>
      <c r="D4149" s="8" t="s">
        <v>24658</v>
      </c>
      <c r="E4149" s="8" t="s">
        <v>24659</v>
      </c>
      <c r="F4149" s="8" t="s">
        <v>24660</v>
      </c>
      <c r="G4149" s="6" t="s">
        <v>89</v>
      </c>
      <c r="H4149" s="6" t="s">
        <v>39</v>
      </c>
      <c r="I4149" s="8" t="s">
        <v>185</v>
      </c>
      <c r="J4149" s="9">
        <v>1</v>
      </c>
      <c r="K4149" s="9">
        <v>224</v>
      </c>
      <c r="L4149" s="9">
        <v>2025</v>
      </c>
      <c r="M4149" s="8" t="s">
        <v>24661</v>
      </c>
      <c r="N4149" s="8" t="s">
        <v>79</v>
      </c>
      <c r="O4149" s="8" t="s">
        <v>80</v>
      </c>
      <c r="P4149" s="6" t="s">
        <v>167</v>
      </c>
      <c r="Q4149" s="8" t="s">
        <v>102</v>
      </c>
      <c r="R4149" s="10" t="s">
        <v>24662</v>
      </c>
      <c r="S4149" s="11" t="s">
        <v>24663</v>
      </c>
      <c r="T4149" s="6"/>
      <c r="U4149" s="24" t="str">
        <f>HYPERLINK("https://media.infra-m.ru/2185/2185895/cover/2185895.jpg", "Обложка")</f>
        <v>Обложка</v>
      </c>
      <c r="V4149" s="24" t="str">
        <f>HYPERLINK("https://znanium.ru/catalog/product/2185895", "Ознакомиться")</f>
        <v>Ознакомиться</v>
      </c>
      <c r="W4149" s="8" t="s">
        <v>10383</v>
      </c>
      <c r="X4149" s="6"/>
      <c r="Y4149" s="6"/>
      <c r="Z4149" s="6"/>
      <c r="AA4149" s="6" t="s">
        <v>2644</v>
      </c>
      <c r="AB4149" s="8"/>
    </row>
    <row r="4150" spans="1:28" s="4" customFormat="1" ht="51.95" customHeight="1">
      <c r="A4150" s="5">
        <v>0</v>
      </c>
      <c r="B4150" s="6" t="s">
        <v>24664</v>
      </c>
      <c r="C4150" s="13">
        <v>1080</v>
      </c>
      <c r="D4150" s="8" t="s">
        <v>24665</v>
      </c>
      <c r="E4150" s="8" t="s">
        <v>24666</v>
      </c>
      <c r="F4150" s="8" t="s">
        <v>24667</v>
      </c>
      <c r="G4150" s="6" t="s">
        <v>89</v>
      </c>
      <c r="H4150" s="6" t="s">
        <v>53</v>
      </c>
      <c r="I4150" s="8" t="s">
        <v>100</v>
      </c>
      <c r="J4150" s="9">
        <v>1</v>
      </c>
      <c r="K4150" s="9">
        <v>215</v>
      </c>
      <c r="L4150" s="9">
        <v>2025</v>
      </c>
      <c r="M4150" s="8" t="s">
        <v>24668</v>
      </c>
      <c r="N4150" s="8" t="s">
        <v>41</v>
      </c>
      <c r="O4150" s="8" t="s">
        <v>278</v>
      </c>
      <c r="P4150" s="6" t="s">
        <v>43</v>
      </c>
      <c r="Q4150" s="8" t="s">
        <v>102</v>
      </c>
      <c r="R4150" s="10" t="s">
        <v>24669</v>
      </c>
      <c r="S4150" s="11"/>
      <c r="T4150" s="6" t="s">
        <v>299</v>
      </c>
      <c r="U4150" s="24" t="str">
        <f>HYPERLINK("https://media.infra-m.ru/2174/2174886/cover/2174886.jpg", "Обложка")</f>
        <v>Обложка</v>
      </c>
      <c r="V4150" s="24" t="str">
        <f>HYPERLINK("https://znanium.ru/catalog/product/2174886", "Ознакомиться")</f>
        <v>Ознакомиться</v>
      </c>
      <c r="W4150" s="8" t="s">
        <v>3570</v>
      </c>
      <c r="X4150" s="6" t="s">
        <v>785</v>
      </c>
      <c r="Y4150" s="6"/>
      <c r="Z4150" s="6" t="s">
        <v>104</v>
      </c>
      <c r="AA4150" s="6" t="s">
        <v>549</v>
      </c>
      <c r="AB4150" s="8"/>
    </row>
    <row r="4151" spans="1:28" s="4" customFormat="1" ht="51.95" customHeight="1">
      <c r="A4151" s="5">
        <v>0</v>
      </c>
      <c r="B4151" s="6" t="s">
        <v>24670</v>
      </c>
      <c r="C4151" s="13">
        <v>1080</v>
      </c>
      <c r="D4151" s="8" t="s">
        <v>24671</v>
      </c>
      <c r="E4151" s="8" t="s">
        <v>24666</v>
      </c>
      <c r="F4151" s="8" t="s">
        <v>24667</v>
      </c>
      <c r="G4151" s="6" t="s">
        <v>89</v>
      </c>
      <c r="H4151" s="6" t="s">
        <v>53</v>
      </c>
      <c r="I4151" s="8" t="s">
        <v>116</v>
      </c>
      <c r="J4151" s="9">
        <v>1</v>
      </c>
      <c r="K4151" s="9">
        <v>215</v>
      </c>
      <c r="L4151" s="9">
        <v>2025</v>
      </c>
      <c r="M4151" s="8" t="s">
        <v>24672</v>
      </c>
      <c r="N4151" s="8" t="s">
        <v>41</v>
      </c>
      <c r="O4151" s="8" t="s">
        <v>278</v>
      </c>
      <c r="P4151" s="6" t="s">
        <v>43</v>
      </c>
      <c r="Q4151" s="8" t="s">
        <v>44</v>
      </c>
      <c r="R4151" s="10" t="s">
        <v>24673</v>
      </c>
      <c r="S4151" s="11" t="s">
        <v>24674</v>
      </c>
      <c r="T4151" s="6" t="s">
        <v>299</v>
      </c>
      <c r="U4151" s="24" t="str">
        <f>HYPERLINK("https://media.infra-m.ru/2185/2185779/cover/2185779.jpg", "Обложка")</f>
        <v>Обложка</v>
      </c>
      <c r="V4151" s="24" t="str">
        <f>HYPERLINK("https://znanium.ru/catalog/product/2185779", "Ознакомиться")</f>
        <v>Ознакомиться</v>
      </c>
      <c r="W4151" s="8" t="s">
        <v>3570</v>
      </c>
      <c r="X4151" s="6"/>
      <c r="Y4151" s="6"/>
      <c r="Z4151" s="6"/>
      <c r="AA4151" s="6" t="s">
        <v>326</v>
      </c>
      <c r="AB4151" s="8"/>
    </row>
    <row r="4152" spans="1:28" s="4" customFormat="1" ht="51.95" customHeight="1">
      <c r="A4152" s="5">
        <v>0</v>
      </c>
      <c r="B4152" s="6" t="s">
        <v>24675</v>
      </c>
      <c r="C4152" s="13">
        <v>1410</v>
      </c>
      <c r="D4152" s="8" t="s">
        <v>24676</v>
      </c>
      <c r="E4152" s="8" t="s">
        <v>24677</v>
      </c>
      <c r="F4152" s="8" t="s">
        <v>76</v>
      </c>
      <c r="G4152" s="6" t="s">
        <v>89</v>
      </c>
      <c r="H4152" s="6" t="s">
        <v>53</v>
      </c>
      <c r="I4152" s="8" t="s">
        <v>165</v>
      </c>
      <c r="J4152" s="9">
        <v>1</v>
      </c>
      <c r="K4152" s="9">
        <v>305</v>
      </c>
      <c r="L4152" s="9">
        <v>2024</v>
      </c>
      <c r="M4152" s="8" t="s">
        <v>24678</v>
      </c>
      <c r="N4152" s="8" t="s">
        <v>79</v>
      </c>
      <c r="O4152" s="8" t="s">
        <v>80</v>
      </c>
      <c r="P4152" s="6" t="s">
        <v>43</v>
      </c>
      <c r="Q4152" s="8" t="s">
        <v>44</v>
      </c>
      <c r="R4152" s="10" t="s">
        <v>81</v>
      </c>
      <c r="S4152" s="11" t="s">
        <v>24679</v>
      </c>
      <c r="T4152" s="6" t="s">
        <v>299</v>
      </c>
      <c r="U4152" s="24" t="str">
        <f>HYPERLINK("https://media.infra-m.ru/2080/2080466/cover/2080466.jpg", "Обложка")</f>
        <v>Обложка</v>
      </c>
      <c r="V4152" s="24" t="str">
        <f>HYPERLINK("https://znanium.ru/catalog/product/2080466", "Ознакомиться")</f>
        <v>Ознакомиться</v>
      </c>
      <c r="W4152" s="8" t="s">
        <v>83</v>
      </c>
      <c r="X4152" s="6"/>
      <c r="Y4152" s="6"/>
      <c r="Z4152" s="6"/>
      <c r="AA4152" s="6" t="s">
        <v>1374</v>
      </c>
      <c r="AB4152" s="8"/>
    </row>
    <row r="4153" spans="1:28" s="4" customFormat="1" ht="51.95" customHeight="1">
      <c r="A4153" s="5">
        <v>0</v>
      </c>
      <c r="B4153" s="6" t="s">
        <v>24680</v>
      </c>
      <c r="C4153" s="13">
        <v>1530</v>
      </c>
      <c r="D4153" s="8" t="s">
        <v>24681</v>
      </c>
      <c r="E4153" s="8" t="s">
        <v>24682</v>
      </c>
      <c r="F4153" s="8" t="s">
        <v>76</v>
      </c>
      <c r="G4153" s="6" t="s">
        <v>89</v>
      </c>
      <c r="H4153" s="6" t="s">
        <v>53</v>
      </c>
      <c r="I4153" s="8" t="s">
        <v>100</v>
      </c>
      <c r="J4153" s="9">
        <v>1</v>
      </c>
      <c r="K4153" s="9">
        <v>305</v>
      </c>
      <c r="L4153" s="9">
        <v>2024</v>
      </c>
      <c r="M4153" s="8" t="s">
        <v>24683</v>
      </c>
      <c r="N4153" s="8" t="s">
        <v>79</v>
      </c>
      <c r="O4153" s="8" t="s">
        <v>80</v>
      </c>
      <c r="P4153" s="6" t="s">
        <v>43</v>
      </c>
      <c r="Q4153" s="8" t="s">
        <v>102</v>
      </c>
      <c r="R4153" s="10" t="s">
        <v>3882</v>
      </c>
      <c r="S4153" s="11" t="s">
        <v>24684</v>
      </c>
      <c r="T4153" s="6" t="s">
        <v>299</v>
      </c>
      <c r="U4153" s="24" t="str">
        <f>HYPERLINK("https://media.infra-m.ru/2136/2136717/cover/2136717.jpg", "Обложка")</f>
        <v>Обложка</v>
      </c>
      <c r="V4153" s="24" t="str">
        <f>HYPERLINK("https://znanium.ru/catalog/product/2136717", "Ознакомиться")</f>
        <v>Ознакомиться</v>
      </c>
      <c r="W4153" s="8" t="s">
        <v>83</v>
      </c>
      <c r="X4153" s="6"/>
      <c r="Y4153" s="6"/>
      <c r="Z4153" s="6" t="s">
        <v>104</v>
      </c>
      <c r="AA4153" s="6" t="s">
        <v>219</v>
      </c>
      <c r="AB4153" s="8"/>
    </row>
    <row r="4154" spans="1:28" s="4" customFormat="1" ht="51.95" customHeight="1">
      <c r="A4154" s="5">
        <v>0</v>
      </c>
      <c r="B4154" s="6" t="s">
        <v>24685</v>
      </c>
      <c r="C4154" s="13">
        <v>1780</v>
      </c>
      <c r="D4154" s="8" t="s">
        <v>24686</v>
      </c>
      <c r="E4154" s="8" t="s">
        <v>24687</v>
      </c>
      <c r="F4154" s="8" t="s">
        <v>19900</v>
      </c>
      <c r="G4154" s="6" t="s">
        <v>52</v>
      </c>
      <c r="H4154" s="6" t="s">
        <v>53</v>
      </c>
      <c r="I4154" s="8" t="s">
        <v>100</v>
      </c>
      <c r="J4154" s="9">
        <v>1</v>
      </c>
      <c r="K4154" s="9">
        <v>358</v>
      </c>
      <c r="L4154" s="9">
        <v>2025</v>
      </c>
      <c r="M4154" s="8" t="s">
        <v>24688</v>
      </c>
      <c r="N4154" s="8" t="s">
        <v>79</v>
      </c>
      <c r="O4154" s="8" t="s">
        <v>80</v>
      </c>
      <c r="P4154" s="6" t="s">
        <v>43</v>
      </c>
      <c r="Q4154" s="8" t="s">
        <v>102</v>
      </c>
      <c r="R4154" s="10" t="s">
        <v>24689</v>
      </c>
      <c r="S4154" s="11"/>
      <c r="T4154" s="6"/>
      <c r="U4154" s="24" t="str">
        <f>HYPERLINK("https://media.infra-m.ru/1985/1985727/cover/1985727.jpg", "Обложка")</f>
        <v>Обложка</v>
      </c>
      <c r="V4154" s="24" t="str">
        <f>HYPERLINK("https://znanium.ru/catalog/product/1985727", "Ознакомиться")</f>
        <v>Ознакомиться</v>
      </c>
      <c r="W4154" s="8" t="s">
        <v>2216</v>
      </c>
      <c r="X4154" s="6" t="s">
        <v>389</v>
      </c>
      <c r="Y4154" s="6"/>
      <c r="Z4154" s="6"/>
      <c r="AA4154" s="6" t="s">
        <v>549</v>
      </c>
      <c r="AB4154" s="8"/>
    </row>
    <row r="4155" spans="1:28" s="4" customFormat="1" ht="51.95" customHeight="1">
      <c r="A4155" s="5">
        <v>0</v>
      </c>
      <c r="B4155" s="6" t="s">
        <v>24690</v>
      </c>
      <c r="C4155" s="13">
        <v>1390</v>
      </c>
      <c r="D4155" s="8" t="s">
        <v>24691</v>
      </c>
      <c r="E4155" s="8" t="s">
        <v>24692</v>
      </c>
      <c r="F4155" s="8" t="s">
        <v>24693</v>
      </c>
      <c r="G4155" s="6" t="s">
        <v>89</v>
      </c>
      <c r="H4155" s="6" t="s">
        <v>649</v>
      </c>
      <c r="I4155" s="8" t="s">
        <v>100</v>
      </c>
      <c r="J4155" s="9">
        <v>1</v>
      </c>
      <c r="K4155" s="9">
        <v>384</v>
      </c>
      <c r="L4155" s="9">
        <v>2021</v>
      </c>
      <c r="M4155" s="8" t="s">
        <v>24694</v>
      </c>
      <c r="N4155" s="8" t="s">
        <v>79</v>
      </c>
      <c r="O4155" s="8" t="s">
        <v>80</v>
      </c>
      <c r="P4155" s="6" t="s">
        <v>43</v>
      </c>
      <c r="Q4155" s="8" t="s">
        <v>102</v>
      </c>
      <c r="R4155" s="10" t="s">
        <v>24689</v>
      </c>
      <c r="S4155" s="11" t="s">
        <v>24695</v>
      </c>
      <c r="T4155" s="6"/>
      <c r="U4155" s="24" t="str">
        <f>HYPERLINK("https://media.infra-m.ru/1214/1214882/cover/1214882.jpg", "Обложка")</f>
        <v>Обложка</v>
      </c>
      <c r="V4155" s="24" t="str">
        <f>HYPERLINK("https://znanium.ru/catalog/product/1985727", "Ознакомиться")</f>
        <v>Ознакомиться</v>
      </c>
      <c r="W4155" s="8" t="s">
        <v>2216</v>
      </c>
      <c r="X4155" s="6"/>
      <c r="Y4155" s="6"/>
      <c r="Z4155" s="6"/>
      <c r="AA4155" s="6" t="s">
        <v>1135</v>
      </c>
      <c r="AB4155" s="8"/>
    </row>
    <row r="4156" spans="1:28" s="4" customFormat="1" ht="51.95" customHeight="1">
      <c r="A4156" s="5">
        <v>0</v>
      </c>
      <c r="B4156" s="6" t="s">
        <v>24696</v>
      </c>
      <c r="C4156" s="7">
        <v>790</v>
      </c>
      <c r="D4156" s="8" t="s">
        <v>24697</v>
      </c>
      <c r="E4156" s="8" t="s">
        <v>24698</v>
      </c>
      <c r="F4156" s="8" t="s">
        <v>8178</v>
      </c>
      <c r="G4156" s="6" t="s">
        <v>52</v>
      </c>
      <c r="H4156" s="6" t="s">
        <v>53</v>
      </c>
      <c r="I4156" s="8" t="s">
        <v>100</v>
      </c>
      <c r="J4156" s="9">
        <v>1</v>
      </c>
      <c r="K4156" s="9">
        <v>178</v>
      </c>
      <c r="L4156" s="9">
        <v>2022</v>
      </c>
      <c r="M4156" s="8" t="s">
        <v>24699</v>
      </c>
      <c r="N4156" s="8" t="s">
        <v>79</v>
      </c>
      <c r="O4156" s="8" t="s">
        <v>80</v>
      </c>
      <c r="P4156" s="6" t="s">
        <v>43</v>
      </c>
      <c r="Q4156" s="8" t="s">
        <v>102</v>
      </c>
      <c r="R4156" s="10" t="s">
        <v>8434</v>
      </c>
      <c r="S4156" s="11" t="s">
        <v>24700</v>
      </c>
      <c r="T4156" s="6"/>
      <c r="U4156" s="24" t="str">
        <f>HYPERLINK("https://media.infra-m.ru/1853/1853495/cover/1853495.jpg", "Обложка")</f>
        <v>Обложка</v>
      </c>
      <c r="V4156" s="24" t="str">
        <f>HYPERLINK("https://znanium.ru/catalog/product/1853495", "Ознакомиться")</f>
        <v>Ознакомиться</v>
      </c>
      <c r="W4156" s="8" t="s">
        <v>8182</v>
      </c>
      <c r="X4156" s="6"/>
      <c r="Y4156" s="6"/>
      <c r="Z4156" s="6"/>
      <c r="AA4156" s="6" t="s">
        <v>235</v>
      </c>
      <c r="AB4156" s="8"/>
    </row>
    <row r="4157" spans="1:28" s="4" customFormat="1" ht="42" customHeight="1">
      <c r="A4157" s="5">
        <v>0</v>
      </c>
      <c r="B4157" s="6" t="s">
        <v>24701</v>
      </c>
      <c r="C4157" s="7">
        <v>710</v>
      </c>
      <c r="D4157" s="8" t="s">
        <v>24702</v>
      </c>
      <c r="E4157" s="8" t="s">
        <v>24703</v>
      </c>
      <c r="F4157" s="8" t="s">
        <v>19523</v>
      </c>
      <c r="G4157" s="6" t="s">
        <v>38</v>
      </c>
      <c r="H4157" s="6" t="s">
        <v>53</v>
      </c>
      <c r="I4157" s="8" t="s">
        <v>100</v>
      </c>
      <c r="J4157" s="9">
        <v>1</v>
      </c>
      <c r="K4157" s="9">
        <v>136</v>
      </c>
      <c r="L4157" s="9">
        <v>2025</v>
      </c>
      <c r="M4157" s="8" t="s">
        <v>24704</v>
      </c>
      <c r="N4157" s="8" t="s">
        <v>79</v>
      </c>
      <c r="O4157" s="8" t="s">
        <v>396</v>
      </c>
      <c r="P4157" s="6" t="s">
        <v>43</v>
      </c>
      <c r="Q4157" s="8" t="s">
        <v>102</v>
      </c>
      <c r="R4157" s="10" t="s">
        <v>24705</v>
      </c>
      <c r="S4157" s="11"/>
      <c r="T4157" s="6"/>
      <c r="U4157" s="24" t="str">
        <f>HYPERLINK("https://media.infra-m.ru/2174/2174988/cover/2174988.jpg", "Обложка")</f>
        <v>Обложка</v>
      </c>
      <c r="V4157" s="24" t="str">
        <f>HYPERLINK("https://znanium.ru/catalog/product/2174988", "Ознакомиться")</f>
        <v>Ознакомиться</v>
      </c>
      <c r="W4157" s="8" t="s">
        <v>19527</v>
      </c>
      <c r="X4157" s="6" t="s">
        <v>785</v>
      </c>
      <c r="Y4157" s="6"/>
      <c r="Z4157" s="6" t="s">
        <v>502</v>
      </c>
      <c r="AA4157" s="6" t="s">
        <v>61</v>
      </c>
      <c r="AB4157" s="8"/>
    </row>
    <row r="4158" spans="1:28" s="4" customFormat="1" ht="51.95" customHeight="1">
      <c r="A4158" s="5">
        <v>0</v>
      </c>
      <c r="B4158" s="6" t="s">
        <v>24706</v>
      </c>
      <c r="C4158" s="7">
        <v>630</v>
      </c>
      <c r="D4158" s="8" t="s">
        <v>24707</v>
      </c>
      <c r="E4158" s="8" t="s">
        <v>24703</v>
      </c>
      <c r="F4158" s="8" t="s">
        <v>19523</v>
      </c>
      <c r="G4158" s="6" t="s">
        <v>38</v>
      </c>
      <c r="H4158" s="6" t="s">
        <v>53</v>
      </c>
      <c r="I4158" s="8" t="s">
        <v>116</v>
      </c>
      <c r="J4158" s="9">
        <v>1</v>
      </c>
      <c r="K4158" s="9">
        <v>136</v>
      </c>
      <c r="L4158" s="9">
        <v>2024</v>
      </c>
      <c r="M4158" s="8" t="s">
        <v>24708</v>
      </c>
      <c r="N4158" s="8" t="s">
        <v>79</v>
      </c>
      <c r="O4158" s="8" t="s">
        <v>396</v>
      </c>
      <c r="P4158" s="6" t="s">
        <v>43</v>
      </c>
      <c r="Q4158" s="8" t="s">
        <v>58</v>
      </c>
      <c r="R4158" s="10" t="s">
        <v>24709</v>
      </c>
      <c r="S4158" s="11" t="s">
        <v>23123</v>
      </c>
      <c r="T4158" s="6"/>
      <c r="U4158" s="24" t="str">
        <f>HYPERLINK("https://media.infra-m.ru/2056/2056735/cover/2056735.jpg", "Обложка")</f>
        <v>Обложка</v>
      </c>
      <c r="V4158" s="24" t="str">
        <f>HYPERLINK("https://znanium.ru/catalog/product/2056735", "Ознакомиться")</f>
        <v>Ознакомиться</v>
      </c>
      <c r="W4158" s="8" t="s">
        <v>19527</v>
      </c>
      <c r="X4158" s="6"/>
      <c r="Y4158" s="6"/>
      <c r="Z4158" s="6"/>
      <c r="AA4158" s="6" t="s">
        <v>84</v>
      </c>
      <c r="AB4158" s="8"/>
    </row>
    <row r="4159" spans="1:28" s="4" customFormat="1" ht="51.95" customHeight="1">
      <c r="A4159" s="5">
        <v>0</v>
      </c>
      <c r="B4159" s="6" t="s">
        <v>24710</v>
      </c>
      <c r="C4159" s="13">
        <v>1284</v>
      </c>
      <c r="D4159" s="8" t="s">
        <v>24711</v>
      </c>
      <c r="E4159" s="8" t="s">
        <v>24712</v>
      </c>
      <c r="F4159" s="8" t="s">
        <v>24713</v>
      </c>
      <c r="G4159" s="6" t="s">
        <v>52</v>
      </c>
      <c r="H4159" s="6" t="s">
        <v>77</v>
      </c>
      <c r="I4159" s="8" t="s">
        <v>116</v>
      </c>
      <c r="J4159" s="9">
        <v>1</v>
      </c>
      <c r="K4159" s="9">
        <v>256</v>
      </c>
      <c r="L4159" s="9">
        <v>2025</v>
      </c>
      <c r="M4159" s="8" t="s">
        <v>24714</v>
      </c>
      <c r="N4159" s="8" t="s">
        <v>41</v>
      </c>
      <c r="O4159" s="8" t="s">
        <v>278</v>
      </c>
      <c r="P4159" s="6" t="s">
        <v>43</v>
      </c>
      <c r="Q4159" s="8" t="s">
        <v>58</v>
      </c>
      <c r="R4159" s="10" t="s">
        <v>24715</v>
      </c>
      <c r="S4159" s="11" t="s">
        <v>24716</v>
      </c>
      <c r="T4159" s="6"/>
      <c r="U4159" s="24" t="str">
        <f>HYPERLINK("https://media.infra-m.ru/2188/2188885/cover/2188885.jpg", "Обложка")</f>
        <v>Обложка</v>
      </c>
      <c r="V4159" s="24" t="str">
        <f>HYPERLINK("https://znanium.ru/catalog/product/2188885", "Ознакомиться")</f>
        <v>Ознакомиться</v>
      </c>
      <c r="W4159" s="8" t="s">
        <v>189</v>
      </c>
      <c r="X4159" s="6"/>
      <c r="Y4159" s="6"/>
      <c r="Z4159" s="6"/>
      <c r="AA4159" s="6" t="s">
        <v>622</v>
      </c>
      <c r="AB4159" s="8"/>
    </row>
    <row r="4160" spans="1:28" s="4" customFormat="1" ht="51.95" customHeight="1">
      <c r="A4160" s="5">
        <v>0</v>
      </c>
      <c r="B4160" s="6" t="s">
        <v>24717</v>
      </c>
      <c r="C4160" s="7">
        <v>884</v>
      </c>
      <c r="D4160" s="8" t="s">
        <v>24718</v>
      </c>
      <c r="E4160" s="8" t="s">
        <v>24719</v>
      </c>
      <c r="F4160" s="8" t="s">
        <v>11723</v>
      </c>
      <c r="G4160" s="6" t="s">
        <v>52</v>
      </c>
      <c r="H4160" s="6" t="s">
        <v>53</v>
      </c>
      <c r="I4160" s="8" t="s">
        <v>90</v>
      </c>
      <c r="J4160" s="9">
        <v>1</v>
      </c>
      <c r="K4160" s="9">
        <v>176</v>
      </c>
      <c r="L4160" s="9">
        <v>2025</v>
      </c>
      <c r="M4160" s="8" t="s">
        <v>24720</v>
      </c>
      <c r="N4160" s="8" t="s">
        <v>79</v>
      </c>
      <c r="O4160" s="8" t="s">
        <v>396</v>
      </c>
      <c r="P4160" s="6" t="s">
        <v>43</v>
      </c>
      <c r="Q4160" s="8" t="s">
        <v>44</v>
      </c>
      <c r="R4160" s="10" t="s">
        <v>14357</v>
      </c>
      <c r="S4160" s="11" t="s">
        <v>24721</v>
      </c>
      <c r="T4160" s="6"/>
      <c r="U4160" s="24" t="str">
        <f>HYPERLINK("https://media.infra-m.ru/2141/2141742/cover/2141742.jpg", "Обложка")</f>
        <v>Обложка</v>
      </c>
      <c r="V4160" s="24" t="str">
        <f>HYPERLINK("https://znanium.ru/catalog/product/1816759", "Ознакомиться")</f>
        <v>Ознакомиться</v>
      </c>
      <c r="W4160" s="8" t="s">
        <v>462</v>
      </c>
      <c r="X4160" s="6"/>
      <c r="Y4160" s="6"/>
      <c r="Z4160" s="6"/>
      <c r="AA4160" s="6" t="s">
        <v>513</v>
      </c>
      <c r="AB4160" s="8"/>
    </row>
    <row r="4161" spans="1:28" s="4" customFormat="1" ht="51.95" customHeight="1">
      <c r="A4161" s="5">
        <v>0</v>
      </c>
      <c r="B4161" s="6" t="s">
        <v>24722</v>
      </c>
      <c r="C4161" s="7">
        <v>644</v>
      </c>
      <c r="D4161" s="8" t="s">
        <v>24723</v>
      </c>
      <c r="E4161" s="8" t="s">
        <v>24724</v>
      </c>
      <c r="F4161" s="8" t="s">
        <v>24725</v>
      </c>
      <c r="G4161" s="6" t="s">
        <v>38</v>
      </c>
      <c r="H4161" s="6" t="s">
        <v>53</v>
      </c>
      <c r="I4161" s="8" t="s">
        <v>90</v>
      </c>
      <c r="J4161" s="9">
        <v>1</v>
      </c>
      <c r="K4161" s="9">
        <v>128</v>
      </c>
      <c r="L4161" s="9">
        <v>2025</v>
      </c>
      <c r="M4161" s="8" t="s">
        <v>24726</v>
      </c>
      <c r="N4161" s="8" t="s">
        <v>41</v>
      </c>
      <c r="O4161" s="8" t="s">
        <v>118</v>
      </c>
      <c r="P4161" s="6" t="s">
        <v>43</v>
      </c>
      <c r="Q4161" s="8" t="s">
        <v>44</v>
      </c>
      <c r="R4161" s="10" t="s">
        <v>24727</v>
      </c>
      <c r="S4161" s="11" t="s">
        <v>24728</v>
      </c>
      <c r="T4161" s="6"/>
      <c r="U4161" s="24" t="str">
        <f>HYPERLINK("https://media.infra-m.ru/2188/2188766/cover/2188766.jpg", "Обложка")</f>
        <v>Обложка</v>
      </c>
      <c r="V4161" s="24" t="str">
        <f>HYPERLINK("https://znanium.ru/catalog/product/1150321", "Ознакомиться")</f>
        <v>Ознакомиться</v>
      </c>
      <c r="W4161" s="8" t="s">
        <v>46</v>
      </c>
      <c r="X4161" s="6"/>
      <c r="Y4161" s="6"/>
      <c r="Z4161" s="6"/>
      <c r="AA4161" s="6" t="s">
        <v>122</v>
      </c>
      <c r="AB4161" s="8"/>
    </row>
    <row r="4162" spans="1:28" s="4" customFormat="1" ht="51.95" customHeight="1">
      <c r="A4162" s="5">
        <v>0</v>
      </c>
      <c r="B4162" s="6" t="s">
        <v>24729</v>
      </c>
      <c r="C4162" s="13">
        <v>1744</v>
      </c>
      <c r="D4162" s="8" t="s">
        <v>24730</v>
      </c>
      <c r="E4162" s="8" t="s">
        <v>24731</v>
      </c>
      <c r="F4162" s="8" t="s">
        <v>24732</v>
      </c>
      <c r="G4162" s="6" t="s">
        <v>89</v>
      </c>
      <c r="H4162" s="6" t="s">
        <v>438</v>
      </c>
      <c r="I4162" s="8" t="s">
        <v>100</v>
      </c>
      <c r="J4162" s="9">
        <v>1</v>
      </c>
      <c r="K4162" s="9">
        <v>336</v>
      </c>
      <c r="L4162" s="9">
        <v>2025</v>
      </c>
      <c r="M4162" s="8" t="s">
        <v>24733</v>
      </c>
      <c r="N4162" s="8" t="s">
        <v>79</v>
      </c>
      <c r="O4162" s="8" t="s">
        <v>80</v>
      </c>
      <c r="P4162" s="6" t="s">
        <v>43</v>
      </c>
      <c r="Q4162" s="8" t="s">
        <v>102</v>
      </c>
      <c r="R4162" s="10" t="s">
        <v>24734</v>
      </c>
      <c r="S4162" s="11" t="s">
        <v>24735</v>
      </c>
      <c r="T4162" s="6"/>
      <c r="U4162" s="24" t="str">
        <f>HYPERLINK("https://media.infra-m.ru/2181/2181614/cover/2181614.jpg", "Обложка")</f>
        <v>Обложка</v>
      </c>
      <c r="V4162" s="24" t="str">
        <f>HYPERLINK("https://znanium.ru/catalog/product/2083407", "Ознакомиться")</f>
        <v>Ознакомиться</v>
      </c>
      <c r="W4162" s="8" t="s">
        <v>24736</v>
      </c>
      <c r="X4162" s="6"/>
      <c r="Y4162" s="6" t="s">
        <v>30</v>
      </c>
      <c r="Z4162" s="6"/>
      <c r="AA4162" s="6" t="s">
        <v>418</v>
      </c>
      <c r="AB4162" s="8"/>
    </row>
    <row r="4163" spans="1:28" s="4" customFormat="1" ht="51.95" customHeight="1">
      <c r="A4163" s="5">
        <v>0</v>
      </c>
      <c r="B4163" s="6" t="s">
        <v>24737</v>
      </c>
      <c r="C4163" s="7">
        <v>624.9</v>
      </c>
      <c r="D4163" s="8" t="s">
        <v>24738</v>
      </c>
      <c r="E4163" s="8" t="s">
        <v>24739</v>
      </c>
      <c r="F4163" s="8" t="s">
        <v>13564</v>
      </c>
      <c r="G4163" s="6" t="s">
        <v>38</v>
      </c>
      <c r="H4163" s="6" t="s">
        <v>184</v>
      </c>
      <c r="I4163" s="8" t="s">
        <v>116</v>
      </c>
      <c r="J4163" s="9">
        <v>1</v>
      </c>
      <c r="K4163" s="9">
        <v>148</v>
      </c>
      <c r="L4163" s="9">
        <v>2022</v>
      </c>
      <c r="M4163" s="8" t="s">
        <v>24740</v>
      </c>
      <c r="N4163" s="8" t="s">
        <v>41</v>
      </c>
      <c r="O4163" s="8" t="s">
        <v>676</v>
      </c>
      <c r="P4163" s="6" t="s">
        <v>43</v>
      </c>
      <c r="Q4163" s="8" t="s">
        <v>214</v>
      </c>
      <c r="R4163" s="10" t="s">
        <v>262</v>
      </c>
      <c r="S4163" s="11"/>
      <c r="T4163" s="6"/>
      <c r="U4163" s="24" t="str">
        <f>HYPERLINK("https://media.infra-m.ru/1850/1850716/cover/1850716.jpg", "Обложка")</f>
        <v>Обложка</v>
      </c>
      <c r="V4163" s="12"/>
      <c r="W4163" s="8" t="s">
        <v>5204</v>
      </c>
      <c r="X4163" s="6"/>
      <c r="Y4163" s="6"/>
      <c r="Z4163" s="6"/>
      <c r="AA4163" s="6" t="s">
        <v>793</v>
      </c>
      <c r="AB4163" s="8"/>
    </row>
    <row r="4164" spans="1:28" s="4" customFormat="1" ht="51.95" customHeight="1">
      <c r="A4164" s="5">
        <v>0</v>
      </c>
      <c r="B4164" s="6" t="s">
        <v>24741</v>
      </c>
      <c r="C4164" s="13">
        <v>1544</v>
      </c>
      <c r="D4164" s="8" t="s">
        <v>24742</v>
      </c>
      <c r="E4164" s="8" t="s">
        <v>24743</v>
      </c>
      <c r="F4164" s="8" t="s">
        <v>17761</v>
      </c>
      <c r="G4164" s="6" t="s">
        <v>52</v>
      </c>
      <c r="H4164" s="6" t="s">
        <v>53</v>
      </c>
      <c r="I4164" s="8" t="s">
        <v>90</v>
      </c>
      <c r="J4164" s="9">
        <v>1</v>
      </c>
      <c r="K4164" s="9">
        <v>336</v>
      </c>
      <c r="L4164" s="9">
        <v>2023</v>
      </c>
      <c r="M4164" s="8" t="s">
        <v>24744</v>
      </c>
      <c r="N4164" s="8" t="s">
        <v>79</v>
      </c>
      <c r="O4164" s="8" t="s">
        <v>396</v>
      </c>
      <c r="P4164" s="6" t="s">
        <v>43</v>
      </c>
      <c r="Q4164" s="8" t="s">
        <v>44</v>
      </c>
      <c r="R4164" s="10" t="s">
        <v>24745</v>
      </c>
      <c r="S4164" s="11"/>
      <c r="T4164" s="6"/>
      <c r="U4164" s="24" t="str">
        <f>HYPERLINK("https://media.infra-m.ru/1981/1981615/cover/1981615.jpg", "Обложка")</f>
        <v>Обложка</v>
      </c>
      <c r="V4164" s="24" t="str">
        <f>HYPERLINK("https://znanium.ru/catalog/product/1981615", "Ознакомиться")</f>
        <v>Ознакомиться</v>
      </c>
      <c r="W4164" s="8" t="s">
        <v>784</v>
      </c>
      <c r="X4164" s="6"/>
      <c r="Y4164" s="6"/>
      <c r="Z4164" s="6"/>
      <c r="AA4164" s="6" t="s">
        <v>111</v>
      </c>
      <c r="AB4164" s="8"/>
    </row>
    <row r="4165" spans="1:28" s="4" customFormat="1" ht="51.95" customHeight="1">
      <c r="A4165" s="5">
        <v>0</v>
      </c>
      <c r="B4165" s="6" t="s">
        <v>24746</v>
      </c>
      <c r="C4165" s="13">
        <v>2034</v>
      </c>
      <c r="D4165" s="8" t="s">
        <v>24747</v>
      </c>
      <c r="E4165" s="8" t="s">
        <v>24748</v>
      </c>
      <c r="F4165" s="8" t="s">
        <v>24749</v>
      </c>
      <c r="G4165" s="6" t="s">
        <v>52</v>
      </c>
      <c r="H4165" s="6" t="s">
        <v>53</v>
      </c>
      <c r="I4165" s="8" t="s">
        <v>90</v>
      </c>
      <c r="J4165" s="9">
        <v>1</v>
      </c>
      <c r="K4165" s="9">
        <v>392</v>
      </c>
      <c r="L4165" s="9">
        <v>2025</v>
      </c>
      <c r="M4165" s="8" t="s">
        <v>24750</v>
      </c>
      <c r="N4165" s="8" t="s">
        <v>413</v>
      </c>
      <c r="O4165" s="8" t="s">
        <v>414</v>
      </c>
      <c r="P4165" s="6" t="s">
        <v>43</v>
      </c>
      <c r="Q4165" s="8" t="s">
        <v>44</v>
      </c>
      <c r="R4165" s="10" t="s">
        <v>24751</v>
      </c>
      <c r="S4165" s="11" t="s">
        <v>24752</v>
      </c>
      <c r="T4165" s="6"/>
      <c r="U4165" s="24" t="str">
        <f>HYPERLINK("https://media.infra-m.ru/2197/2197032/cover/2197032.jpg", "Обложка")</f>
        <v>Обложка</v>
      </c>
      <c r="V4165" s="24" t="str">
        <f>HYPERLINK("https://znanium.ru/catalog/product/914159", "Ознакомиться")</f>
        <v>Ознакомиться</v>
      </c>
      <c r="W4165" s="8" t="s">
        <v>784</v>
      </c>
      <c r="X4165" s="6"/>
      <c r="Y4165" s="6"/>
      <c r="Z4165" s="6"/>
      <c r="AA4165" s="6" t="s">
        <v>160</v>
      </c>
      <c r="AB4165" s="8"/>
    </row>
    <row r="4166" spans="1:28" s="4" customFormat="1" ht="51.95" customHeight="1">
      <c r="A4166" s="5">
        <v>0</v>
      </c>
      <c r="B4166" s="6" t="s">
        <v>24753</v>
      </c>
      <c r="C4166" s="13">
        <v>1090</v>
      </c>
      <c r="D4166" s="8" t="s">
        <v>24754</v>
      </c>
      <c r="E4166" s="8" t="s">
        <v>24755</v>
      </c>
      <c r="F4166" s="8" t="s">
        <v>24756</v>
      </c>
      <c r="G4166" s="6" t="s">
        <v>52</v>
      </c>
      <c r="H4166" s="6" t="s">
        <v>53</v>
      </c>
      <c r="I4166" s="8" t="s">
        <v>116</v>
      </c>
      <c r="J4166" s="9">
        <v>1</v>
      </c>
      <c r="K4166" s="9">
        <v>185</v>
      </c>
      <c r="L4166" s="9">
        <v>2025</v>
      </c>
      <c r="M4166" s="8" t="s">
        <v>24757</v>
      </c>
      <c r="N4166" s="8" t="s">
        <v>413</v>
      </c>
      <c r="O4166" s="8" t="s">
        <v>1141</v>
      </c>
      <c r="P4166" s="6" t="s">
        <v>43</v>
      </c>
      <c r="Q4166" s="8" t="s">
        <v>279</v>
      </c>
      <c r="R4166" s="10" t="s">
        <v>24758</v>
      </c>
      <c r="S4166" s="11"/>
      <c r="T4166" s="6"/>
      <c r="U4166" s="24" t="str">
        <f>HYPERLINK("https://media.infra-m.ru/2111/2111834/cover/2111834.jpg", "Обложка")</f>
        <v>Обложка</v>
      </c>
      <c r="V4166" s="24" t="str">
        <f>HYPERLINK("https://znanium.ru/catalog/product/2111834", "Ознакомиться")</f>
        <v>Ознакомиться</v>
      </c>
      <c r="W4166" s="8" t="s">
        <v>5696</v>
      </c>
      <c r="X4166" s="6" t="s">
        <v>132</v>
      </c>
      <c r="Y4166" s="6"/>
      <c r="Z4166" s="6"/>
      <c r="AA4166" s="6" t="s">
        <v>61</v>
      </c>
      <c r="AB4166" s="8"/>
    </row>
    <row r="4167" spans="1:28" s="4" customFormat="1" ht="51.95" customHeight="1">
      <c r="A4167" s="5">
        <v>0</v>
      </c>
      <c r="B4167" s="6" t="s">
        <v>24759</v>
      </c>
      <c r="C4167" s="13">
        <v>1610</v>
      </c>
      <c r="D4167" s="8" t="s">
        <v>24760</v>
      </c>
      <c r="E4167" s="8" t="s">
        <v>24761</v>
      </c>
      <c r="F4167" s="8" t="s">
        <v>24762</v>
      </c>
      <c r="G4167" s="6" t="s">
        <v>89</v>
      </c>
      <c r="H4167" s="6" t="s">
        <v>53</v>
      </c>
      <c r="I4167" s="8" t="s">
        <v>116</v>
      </c>
      <c r="J4167" s="9">
        <v>1</v>
      </c>
      <c r="K4167" s="9">
        <v>322</v>
      </c>
      <c r="L4167" s="9">
        <v>2025</v>
      </c>
      <c r="M4167" s="8" t="s">
        <v>24763</v>
      </c>
      <c r="N4167" s="8" t="s">
        <v>41</v>
      </c>
      <c r="O4167" s="8" t="s">
        <v>676</v>
      </c>
      <c r="P4167" s="6" t="s">
        <v>43</v>
      </c>
      <c r="Q4167" s="8" t="s">
        <v>58</v>
      </c>
      <c r="R4167" s="10" t="s">
        <v>24764</v>
      </c>
      <c r="S4167" s="11"/>
      <c r="T4167" s="6"/>
      <c r="U4167" s="24" t="str">
        <f>HYPERLINK("https://media.infra-m.ru/2172/2172261/cover/2172261.jpg", "Обложка")</f>
        <v>Обложка</v>
      </c>
      <c r="V4167" s="24" t="str">
        <f>HYPERLINK("https://znanium.ru/catalog/product/2172261", "Ознакомиться")</f>
        <v>Ознакомиться</v>
      </c>
      <c r="W4167" s="8" t="s">
        <v>15968</v>
      </c>
      <c r="X4167" s="6"/>
      <c r="Y4167" s="6"/>
      <c r="Z4167" s="6"/>
      <c r="AA4167" s="6" t="s">
        <v>2657</v>
      </c>
      <c r="AB4167" s="8"/>
    </row>
    <row r="4168" spans="1:28" s="4" customFormat="1" ht="51.95" customHeight="1">
      <c r="A4168" s="5">
        <v>0</v>
      </c>
      <c r="B4168" s="6" t="s">
        <v>24765</v>
      </c>
      <c r="C4168" s="7">
        <v>990</v>
      </c>
      <c r="D4168" s="8" t="s">
        <v>24766</v>
      </c>
      <c r="E4168" s="8" t="s">
        <v>24767</v>
      </c>
      <c r="F4168" s="8" t="s">
        <v>24768</v>
      </c>
      <c r="G4168" s="6" t="s">
        <v>52</v>
      </c>
      <c r="H4168" s="6" t="s">
        <v>53</v>
      </c>
      <c r="I4168" s="8" t="s">
        <v>276</v>
      </c>
      <c r="J4168" s="9">
        <v>1</v>
      </c>
      <c r="K4168" s="9">
        <v>210</v>
      </c>
      <c r="L4168" s="9">
        <v>2023</v>
      </c>
      <c r="M4168" s="8" t="s">
        <v>24769</v>
      </c>
      <c r="N4168" s="8" t="s">
        <v>41</v>
      </c>
      <c r="O4168" s="8" t="s">
        <v>676</v>
      </c>
      <c r="P4168" s="6" t="s">
        <v>43</v>
      </c>
      <c r="Q4168" s="8" t="s">
        <v>279</v>
      </c>
      <c r="R4168" s="10" t="s">
        <v>990</v>
      </c>
      <c r="S4168" s="11" t="s">
        <v>24770</v>
      </c>
      <c r="T4168" s="6"/>
      <c r="U4168" s="24" t="str">
        <f>HYPERLINK("https://media.infra-m.ru/1870/1870172/cover/1870172.jpg", "Обложка")</f>
        <v>Обложка</v>
      </c>
      <c r="V4168" s="24" t="str">
        <f>HYPERLINK("https://znanium.ru/catalog/product/1870172", "Ознакомиться")</f>
        <v>Ознакомиться</v>
      </c>
      <c r="W4168" s="8" t="s">
        <v>347</v>
      </c>
      <c r="X4168" s="6"/>
      <c r="Y4168" s="6"/>
      <c r="Z4168" s="6"/>
      <c r="AA4168" s="6" t="s">
        <v>207</v>
      </c>
      <c r="AB4168" s="8"/>
    </row>
    <row r="4169" spans="1:28" s="4" customFormat="1" ht="51.95" customHeight="1">
      <c r="A4169" s="5">
        <v>0</v>
      </c>
      <c r="B4169" s="6" t="s">
        <v>24771</v>
      </c>
      <c r="C4169" s="7">
        <v>610</v>
      </c>
      <c r="D4169" s="8" t="s">
        <v>24772</v>
      </c>
      <c r="E4169" s="8" t="s">
        <v>24773</v>
      </c>
      <c r="F4169" s="8" t="s">
        <v>24774</v>
      </c>
      <c r="G4169" s="6" t="s">
        <v>38</v>
      </c>
      <c r="H4169" s="6" t="s">
        <v>53</v>
      </c>
      <c r="I4169" s="8" t="s">
        <v>116</v>
      </c>
      <c r="J4169" s="9">
        <v>1</v>
      </c>
      <c r="K4169" s="9">
        <v>112</v>
      </c>
      <c r="L4169" s="9">
        <v>2025</v>
      </c>
      <c r="M4169" s="8" t="s">
        <v>24775</v>
      </c>
      <c r="N4169" s="8" t="s">
        <v>79</v>
      </c>
      <c r="O4169" s="8" t="s">
        <v>174</v>
      </c>
      <c r="P4169" s="6" t="s">
        <v>43</v>
      </c>
      <c r="Q4169" s="8" t="s">
        <v>44</v>
      </c>
      <c r="R4169" s="10" t="s">
        <v>24776</v>
      </c>
      <c r="S4169" s="11" t="s">
        <v>24777</v>
      </c>
      <c r="T4169" s="6"/>
      <c r="U4169" s="24" t="str">
        <f>HYPERLINK("https://media.infra-m.ru/2198/2198508/cover/2198508.jpg", "Обложка")</f>
        <v>Обложка</v>
      </c>
      <c r="V4169" s="24" t="str">
        <f>HYPERLINK("https://znanium.ru/catalog/product/2083336", "Ознакомиться")</f>
        <v>Ознакомиться</v>
      </c>
      <c r="W4169" s="8" t="s">
        <v>4776</v>
      </c>
      <c r="X4169" s="6"/>
      <c r="Y4169" s="6"/>
      <c r="Z4169" s="6"/>
      <c r="AA4169" s="6" t="s">
        <v>84</v>
      </c>
      <c r="AB4169" s="8"/>
    </row>
    <row r="4170" spans="1:28" s="4" customFormat="1" ht="51.95" customHeight="1">
      <c r="A4170" s="5">
        <v>0</v>
      </c>
      <c r="B4170" s="6" t="s">
        <v>24778</v>
      </c>
      <c r="C4170" s="13">
        <v>1180</v>
      </c>
      <c r="D4170" s="8" t="s">
        <v>24779</v>
      </c>
      <c r="E4170" s="8" t="s">
        <v>24780</v>
      </c>
      <c r="F4170" s="8" t="s">
        <v>24781</v>
      </c>
      <c r="G4170" s="6" t="s">
        <v>89</v>
      </c>
      <c r="H4170" s="6" t="s">
        <v>53</v>
      </c>
      <c r="I4170" s="8" t="s">
        <v>116</v>
      </c>
      <c r="J4170" s="9">
        <v>1</v>
      </c>
      <c r="K4170" s="9">
        <v>255</v>
      </c>
      <c r="L4170" s="9">
        <v>2024</v>
      </c>
      <c r="M4170" s="8" t="s">
        <v>24782</v>
      </c>
      <c r="N4170" s="8" t="s">
        <v>79</v>
      </c>
      <c r="O4170" s="8" t="s">
        <v>684</v>
      </c>
      <c r="P4170" s="6" t="s">
        <v>43</v>
      </c>
      <c r="Q4170" s="8" t="s">
        <v>44</v>
      </c>
      <c r="R4170" s="10" t="s">
        <v>17558</v>
      </c>
      <c r="S4170" s="11" t="s">
        <v>24783</v>
      </c>
      <c r="T4170" s="6"/>
      <c r="U4170" s="24" t="str">
        <f>HYPERLINK("https://media.infra-m.ru/2107/2107418/cover/2107418.jpg", "Обложка")</f>
        <v>Обложка</v>
      </c>
      <c r="V4170" s="24" t="str">
        <f>HYPERLINK("https://znanium.ru/catalog/product/2107418", "Ознакомиться")</f>
        <v>Ознакомиться</v>
      </c>
      <c r="W4170" s="8" t="s">
        <v>637</v>
      </c>
      <c r="X4170" s="6"/>
      <c r="Y4170" s="6"/>
      <c r="Z4170" s="6"/>
      <c r="AA4170" s="6" t="s">
        <v>111</v>
      </c>
      <c r="AB4170" s="8"/>
    </row>
    <row r="4171" spans="1:28" s="4" customFormat="1" ht="51.95" customHeight="1">
      <c r="A4171" s="5">
        <v>0</v>
      </c>
      <c r="B4171" s="6" t="s">
        <v>24784</v>
      </c>
      <c r="C4171" s="13">
        <v>2790</v>
      </c>
      <c r="D4171" s="8" t="s">
        <v>24785</v>
      </c>
      <c r="E4171" s="8" t="s">
        <v>24786</v>
      </c>
      <c r="F4171" s="8" t="s">
        <v>24787</v>
      </c>
      <c r="G4171" s="6" t="s">
        <v>52</v>
      </c>
      <c r="H4171" s="6" t="s">
        <v>53</v>
      </c>
      <c r="I4171" s="8" t="s">
        <v>90</v>
      </c>
      <c r="J4171" s="9">
        <v>1</v>
      </c>
      <c r="K4171" s="9">
        <v>608</v>
      </c>
      <c r="L4171" s="9">
        <v>2023</v>
      </c>
      <c r="M4171" s="8" t="s">
        <v>24788</v>
      </c>
      <c r="N4171" s="8" t="s">
        <v>79</v>
      </c>
      <c r="O4171" s="8" t="s">
        <v>684</v>
      </c>
      <c r="P4171" s="6" t="s">
        <v>167</v>
      </c>
      <c r="Q4171" s="8" t="s">
        <v>44</v>
      </c>
      <c r="R4171" s="10" t="s">
        <v>17558</v>
      </c>
      <c r="S4171" s="11" t="s">
        <v>24789</v>
      </c>
      <c r="T4171" s="6"/>
      <c r="U4171" s="24" t="str">
        <f>HYPERLINK("https://media.infra-m.ru/2126/2126471/cover/2126471.jpg", "Обложка")</f>
        <v>Обложка</v>
      </c>
      <c r="V4171" s="24" t="str">
        <f>HYPERLINK("https://znanium.ru/catalog/product/2126471", "Ознакомиться")</f>
        <v>Ознакомиться</v>
      </c>
      <c r="W4171" s="8" t="s">
        <v>637</v>
      </c>
      <c r="X4171" s="6"/>
      <c r="Y4171" s="6"/>
      <c r="Z4171" s="6"/>
      <c r="AA4171" s="6" t="s">
        <v>418</v>
      </c>
      <c r="AB4171" s="8"/>
    </row>
    <row r="4172" spans="1:28" s="4" customFormat="1" ht="51.95" customHeight="1">
      <c r="A4172" s="5">
        <v>0</v>
      </c>
      <c r="B4172" s="6" t="s">
        <v>24790</v>
      </c>
      <c r="C4172" s="13">
        <v>3180</v>
      </c>
      <c r="D4172" s="8" t="s">
        <v>24791</v>
      </c>
      <c r="E4172" s="8" t="s">
        <v>24786</v>
      </c>
      <c r="F4172" s="8" t="s">
        <v>24792</v>
      </c>
      <c r="G4172" s="6" t="s">
        <v>52</v>
      </c>
      <c r="H4172" s="6" t="s">
        <v>53</v>
      </c>
      <c r="I4172" s="8" t="s">
        <v>116</v>
      </c>
      <c r="J4172" s="9">
        <v>1</v>
      </c>
      <c r="K4172" s="9">
        <v>612</v>
      </c>
      <c r="L4172" s="9">
        <v>2025</v>
      </c>
      <c r="M4172" s="8" t="s">
        <v>24793</v>
      </c>
      <c r="N4172" s="8" t="s">
        <v>79</v>
      </c>
      <c r="O4172" s="8" t="s">
        <v>684</v>
      </c>
      <c r="P4172" s="6" t="s">
        <v>167</v>
      </c>
      <c r="Q4172" s="8" t="s">
        <v>58</v>
      </c>
      <c r="R4172" s="10" t="s">
        <v>4062</v>
      </c>
      <c r="S4172" s="11" t="s">
        <v>24789</v>
      </c>
      <c r="T4172" s="6"/>
      <c r="U4172" s="24" t="str">
        <f>HYPERLINK("https://media.infra-m.ru/2201/2201825/cover/2201825.jpg", "Обложка")</f>
        <v>Обложка</v>
      </c>
      <c r="V4172" s="24" t="str">
        <f>HYPERLINK("https://znanium.ru/catalog/product/2201825", "Ознакомиться")</f>
        <v>Ознакомиться</v>
      </c>
      <c r="W4172" s="8" t="s">
        <v>637</v>
      </c>
      <c r="X4172" s="6"/>
      <c r="Y4172" s="6"/>
      <c r="Z4172" s="6"/>
      <c r="AA4172" s="6" t="s">
        <v>418</v>
      </c>
      <c r="AB4172" s="8"/>
    </row>
    <row r="4173" spans="1:28" s="4" customFormat="1" ht="42" customHeight="1">
      <c r="A4173" s="5">
        <v>0</v>
      </c>
      <c r="B4173" s="6" t="s">
        <v>24794</v>
      </c>
      <c r="C4173" s="13">
        <v>1130</v>
      </c>
      <c r="D4173" s="8" t="s">
        <v>24795</v>
      </c>
      <c r="E4173" s="8" t="s">
        <v>24796</v>
      </c>
      <c r="F4173" s="8" t="s">
        <v>24797</v>
      </c>
      <c r="G4173" s="6" t="s">
        <v>89</v>
      </c>
      <c r="H4173" s="6" t="s">
        <v>438</v>
      </c>
      <c r="I4173" s="8" t="s">
        <v>116</v>
      </c>
      <c r="J4173" s="9">
        <v>1</v>
      </c>
      <c r="K4173" s="9">
        <v>240</v>
      </c>
      <c r="L4173" s="9">
        <v>2024</v>
      </c>
      <c r="M4173" s="8" t="s">
        <v>24798</v>
      </c>
      <c r="N4173" s="8" t="s">
        <v>79</v>
      </c>
      <c r="O4173" s="8" t="s">
        <v>396</v>
      </c>
      <c r="P4173" s="6" t="s">
        <v>167</v>
      </c>
      <c r="Q4173" s="8" t="s">
        <v>58</v>
      </c>
      <c r="R4173" s="10" t="s">
        <v>454</v>
      </c>
      <c r="S4173" s="11"/>
      <c r="T4173" s="6"/>
      <c r="U4173" s="24" t="str">
        <f>HYPERLINK("https://media.infra-m.ru/2149/2149586/cover/2149586.jpg", "Обложка")</f>
        <v>Обложка</v>
      </c>
      <c r="V4173" s="24" t="str">
        <f>HYPERLINK("https://znanium.ru/catalog/product/2149586", "Ознакомиться")</f>
        <v>Ознакомиться</v>
      </c>
      <c r="W4173" s="8" t="s">
        <v>758</v>
      </c>
      <c r="X4173" s="6"/>
      <c r="Y4173" s="6"/>
      <c r="Z4173" s="6"/>
      <c r="AA4173" s="6" t="s">
        <v>151</v>
      </c>
      <c r="AB4173" s="8"/>
    </row>
    <row r="4174" spans="1:28" s="4" customFormat="1" ht="42" customHeight="1">
      <c r="A4174" s="5">
        <v>0</v>
      </c>
      <c r="B4174" s="6" t="s">
        <v>24799</v>
      </c>
      <c r="C4174" s="13">
        <v>1144</v>
      </c>
      <c r="D4174" s="8" t="s">
        <v>24800</v>
      </c>
      <c r="E4174" s="8" t="s">
        <v>24801</v>
      </c>
      <c r="F4174" s="8" t="s">
        <v>24797</v>
      </c>
      <c r="G4174" s="6" t="s">
        <v>89</v>
      </c>
      <c r="H4174" s="6" t="s">
        <v>438</v>
      </c>
      <c r="I4174" s="8" t="s">
        <v>116</v>
      </c>
      <c r="J4174" s="9">
        <v>1</v>
      </c>
      <c r="K4174" s="9">
        <v>248</v>
      </c>
      <c r="L4174" s="9">
        <v>2024</v>
      </c>
      <c r="M4174" s="8" t="s">
        <v>24802</v>
      </c>
      <c r="N4174" s="8" t="s">
        <v>79</v>
      </c>
      <c r="O4174" s="8" t="s">
        <v>396</v>
      </c>
      <c r="P4174" s="6" t="s">
        <v>167</v>
      </c>
      <c r="Q4174" s="8" t="s">
        <v>44</v>
      </c>
      <c r="R4174" s="10" t="s">
        <v>454</v>
      </c>
      <c r="S4174" s="11"/>
      <c r="T4174" s="6"/>
      <c r="U4174" s="24" t="str">
        <f>HYPERLINK("https://media.infra-m.ru/2101/2101486/cover/2101486.jpg", "Обложка")</f>
        <v>Обложка</v>
      </c>
      <c r="V4174" s="24" t="str">
        <f>HYPERLINK("https://znanium.ru/catalog/product/2093937", "Ознакомиться")</f>
        <v>Ознакомиться</v>
      </c>
      <c r="W4174" s="8" t="s">
        <v>758</v>
      </c>
      <c r="X4174" s="6"/>
      <c r="Y4174" s="6"/>
      <c r="Z4174" s="6"/>
      <c r="AA4174" s="6" t="s">
        <v>151</v>
      </c>
      <c r="AB4174" s="8"/>
    </row>
    <row r="4175" spans="1:28" s="4" customFormat="1" ht="51.95" customHeight="1">
      <c r="A4175" s="5">
        <v>0</v>
      </c>
      <c r="B4175" s="6" t="s">
        <v>24803</v>
      </c>
      <c r="C4175" s="13">
        <v>2070</v>
      </c>
      <c r="D4175" s="8" t="s">
        <v>24804</v>
      </c>
      <c r="E4175" s="8" t="s">
        <v>24805</v>
      </c>
      <c r="F4175" s="8" t="s">
        <v>24806</v>
      </c>
      <c r="G4175" s="6" t="s">
        <v>38</v>
      </c>
      <c r="H4175" s="6" t="s">
        <v>53</v>
      </c>
      <c r="I4175" s="8" t="s">
        <v>100</v>
      </c>
      <c r="J4175" s="9">
        <v>1</v>
      </c>
      <c r="K4175" s="9">
        <v>214</v>
      </c>
      <c r="L4175" s="9">
        <v>2024</v>
      </c>
      <c r="M4175" s="8" t="s">
        <v>24807</v>
      </c>
      <c r="N4175" s="8" t="s">
        <v>79</v>
      </c>
      <c r="O4175" s="8" t="s">
        <v>396</v>
      </c>
      <c r="P4175" s="6" t="s">
        <v>43</v>
      </c>
      <c r="Q4175" s="8" t="s">
        <v>102</v>
      </c>
      <c r="R4175" s="10" t="s">
        <v>24808</v>
      </c>
      <c r="S4175" s="11" t="s">
        <v>24809</v>
      </c>
      <c r="T4175" s="6"/>
      <c r="U4175" s="24" t="str">
        <f>HYPERLINK("https://media.infra-m.ru/2116/2116708/cover/2116708.jpg", "Обложка")</f>
        <v>Обложка</v>
      </c>
      <c r="V4175" s="24" t="str">
        <f>HYPERLINK("https://znanium.ru/catalog/product/2116708", "Ознакомиться")</f>
        <v>Ознакомиться</v>
      </c>
      <c r="W4175" s="8"/>
      <c r="X4175" s="6"/>
      <c r="Y4175" s="6"/>
      <c r="Z4175" s="6"/>
      <c r="AA4175" s="6" t="s">
        <v>644</v>
      </c>
      <c r="AB4175" s="8"/>
    </row>
    <row r="4176" spans="1:28" s="4" customFormat="1" ht="42" customHeight="1">
      <c r="A4176" s="5">
        <v>0</v>
      </c>
      <c r="B4176" s="6" t="s">
        <v>24810</v>
      </c>
      <c r="C4176" s="7">
        <v>530</v>
      </c>
      <c r="D4176" s="8" t="s">
        <v>24811</v>
      </c>
      <c r="E4176" s="8" t="s">
        <v>24812</v>
      </c>
      <c r="F4176" s="8" t="s">
        <v>24813</v>
      </c>
      <c r="G4176" s="6" t="s">
        <v>38</v>
      </c>
      <c r="H4176" s="6" t="s">
        <v>53</v>
      </c>
      <c r="I4176" s="8" t="s">
        <v>782</v>
      </c>
      <c r="J4176" s="9">
        <v>1</v>
      </c>
      <c r="K4176" s="9">
        <v>108</v>
      </c>
      <c r="L4176" s="9">
        <v>2024</v>
      </c>
      <c r="M4176" s="8" t="s">
        <v>24814</v>
      </c>
      <c r="N4176" s="8" t="s">
        <v>79</v>
      </c>
      <c r="O4176" s="8" t="s">
        <v>396</v>
      </c>
      <c r="P4176" s="6" t="s">
        <v>43</v>
      </c>
      <c r="Q4176" s="8" t="s">
        <v>58</v>
      </c>
      <c r="R4176" s="10" t="s">
        <v>20586</v>
      </c>
      <c r="S4176" s="11"/>
      <c r="T4176" s="6"/>
      <c r="U4176" s="24" t="str">
        <f>HYPERLINK("https://media.infra-m.ru/2130/2130481/cover/2130481.jpg", "Обложка")</f>
        <v>Обложка</v>
      </c>
      <c r="V4176" s="12"/>
      <c r="W4176" s="8" t="s">
        <v>784</v>
      </c>
      <c r="X4176" s="6"/>
      <c r="Y4176" s="6"/>
      <c r="Z4176" s="6"/>
      <c r="AA4176" s="6" t="s">
        <v>133</v>
      </c>
      <c r="AB4176" s="8"/>
    </row>
    <row r="4177" spans="1:28" s="4" customFormat="1" ht="51.95" customHeight="1">
      <c r="A4177" s="5">
        <v>0</v>
      </c>
      <c r="B4177" s="6" t="s">
        <v>24815</v>
      </c>
      <c r="C4177" s="13">
        <v>2292</v>
      </c>
      <c r="D4177" s="8" t="s">
        <v>24816</v>
      </c>
      <c r="E4177" s="8" t="s">
        <v>24817</v>
      </c>
      <c r="F4177" s="8" t="s">
        <v>24806</v>
      </c>
      <c r="G4177" s="6" t="s">
        <v>89</v>
      </c>
      <c r="H4177" s="6" t="s">
        <v>39</v>
      </c>
      <c r="I4177" s="8" t="s">
        <v>100</v>
      </c>
      <c r="J4177" s="9">
        <v>1</v>
      </c>
      <c r="K4177" s="9">
        <v>352</v>
      </c>
      <c r="L4177" s="9">
        <v>2025</v>
      </c>
      <c r="M4177" s="8" t="s">
        <v>24818</v>
      </c>
      <c r="N4177" s="8" t="s">
        <v>79</v>
      </c>
      <c r="O4177" s="8" t="s">
        <v>396</v>
      </c>
      <c r="P4177" s="6" t="s">
        <v>43</v>
      </c>
      <c r="Q4177" s="8" t="s">
        <v>102</v>
      </c>
      <c r="R4177" s="10" t="s">
        <v>24819</v>
      </c>
      <c r="S4177" s="11" t="s">
        <v>620</v>
      </c>
      <c r="T4177" s="6"/>
      <c r="U4177" s="24" t="str">
        <f>HYPERLINK("https://media.infra-m.ru/2192/2192466/cover/2192466.jpg", "Обложка")</f>
        <v>Обложка</v>
      </c>
      <c r="V4177" s="24" t="str">
        <f>HYPERLINK("https://znanium.ru/catalog/product/2192466", "Ознакомиться")</f>
        <v>Ознакомиться</v>
      </c>
      <c r="W4177" s="8"/>
      <c r="X4177" s="6"/>
      <c r="Y4177" s="6"/>
      <c r="Z4177" s="6"/>
      <c r="AA4177" s="6" t="s">
        <v>494</v>
      </c>
      <c r="AB4177" s="8"/>
    </row>
    <row r="4178" spans="1:28" s="4" customFormat="1" ht="51.95" customHeight="1">
      <c r="A4178" s="5">
        <v>0</v>
      </c>
      <c r="B4178" s="6" t="s">
        <v>24820</v>
      </c>
      <c r="C4178" s="7">
        <v>994</v>
      </c>
      <c r="D4178" s="8" t="s">
        <v>24821</v>
      </c>
      <c r="E4178" s="8" t="s">
        <v>24822</v>
      </c>
      <c r="F4178" s="8" t="s">
        <v>24823</v>
      </c>
      <c r="G4178" s="6" t="s">
        <v>52</v>
      </c>
      <c r="H4178" s="6" t="s">
        <v>53</v>
      </c>
      <c r="I4178" s="8" t="s">
        <v>90</v>
      </c>
      <c r="J4178" s="9">
        <v>1</v>
      </c>
      <c r="K4178" s="9">
        <v>198</v>
      </c>
      <c r="L4178" s="9">
        <v>2025</v>
      </c>
      <c r="M4178" s="8" t="s">
        <v>24824</v>
      </c>
      <c r="N4178" s="8" t="s">
        <v>79</v>
      </c>
      <c r="O4178" s="8" t="s">
        <v>396</v>
      </c>
      <c r="P4178" s="6" t="s">
        <v>43</v>
      </c>
      <c r="Q4178" s="8" t="s">
        <v>44</v>
      </c>
      <c r="R4178" s="10" t="s">
        <v>24825</v>
      </c>
      <c r="S4178" s="11"/>
      <c r="T4178" s="6"/>
      <c r="U4178" s="24" t="str">
        <f>HYPERLINK("https://media.infra-m.ru/2183/2183310/cover/2183310.jpg", "Обложка")</f>
        <v>Обложка</v>
      </c>
      <c r="V4178" s="24" t="str">
        <f>HYPERLINK("https://znanium.ru/catalog/product/959399", "Ознакомиться")</f>
        <v>Ознакомиться</v>
      </c>
      <c r="W4178" s="8" t="s">
        <v>1571</v>
      </c>
      <c r="X4178" s="6"/>
      <c r="Y4178" s="6"/>
      <c r="Z4178" s="6"/>
      <c r="AA4178" s="6" t="s">
        <v>111</v>
      </c>
      <c r="AB4178" s="8"/>
    </row>
    <row r="4179" spans="1:28" s="4" customFormat="1" ht="51.95" customHeight="1">
      <c r="A4179" s="5">
        <v>0</v>
      </c>
      <c r="B4179" s="6" t="s">
        <v>24826</v>
      </c>
      <c r="C4179" s="7">
        <v>550</v>
      </c>
      <c r="D4179" s="8" t="s">
        <v>24827</v>
      </c>
      <c r="E4179" s="8" t="s">
        <v>24828</v>
      </c>
      <c r="F4179" s="8" t="s">
        <v>24829</v>
      </c>
      <c r="G4179" s="6" t="s">
        <v>38</v>
      </c>
      <c r="H4179" s="6" t="s">
        <v>39</v>
      </c>
      <c r="I4179" s="8" t="s">
        <v>100</v>
      </c>
      <c r="J4179" s="9">
        <v>1</v>
      </c>
      <c r="K4179" s="9">
        <v>95</v>
      </c>
      <c r="L4179" s="9">
        <v>2024</v>
      </c>
      <c r="M4179" s="8" t="s">
        <v>24830</v>
      </c>
      <c r="N4179" s="8" t="s">
        <v>79</v>
      </c>
      <c r="O4179" s="8" t="s">
        <v>396</v>
      </c>
      <c r="P4179" s="6" t="s">
        <v>43</v>
      </c>
      <c r="Q4179" s="8" t="s">
        <v>102</v>
      </c>
      <c r="R4179" s="10" t="s">
        <v>24831</v>
      </c>
      <c r="S4179" s="11" t="s">
        <v>24832</v>
      </c>
      <c r="T4179" s="6"/>
      <c r="U4179" s="24" t="str">
        <f>HYPERLINK("https://media.infra-m.ru/2138/2138785/cover/2138785.jpg", "Обложка")</f>
        <v>Обложка</v>
      </c>
      <c r="V4179" s="24" t="str">
        <f>HYPERLINK("https://znanium.ru/catalog/product/2138785", "Ознакомиться")</f>
        <v>Ознакомиться</v>
      </c>
      <c r="W4179" s="8" t="s">
        <v>24833</v>
      </c>
      <c r="X4179" s="6"/>
      <c r="Y4179" s="6"/>
      <c r="Z4179" s="6"/>
      <c r="AA4179" s="6" t="s">
        <v>377</v>
      </c>
      <c r="AB4179" s="8"/>
    </row>
    <row r="4180" spans="1:28" s="4" customFormat="1" ht="51.95" customHeight="1">
      <c r="A4180" s="5">
        <v>0</v>
      </c>
      <c r="B4180" s="6" t="s">
        <v>24834</v>
      </c>
      <c r="C4180" s="13">
        <v>1290</v>
      </c>
      <c r="D4180" s="8" t="s">
        <v>24835</v>
      </c>
      <c r="E4180" s="8" t="s">
        <v>24836</v>
      </c>
      <c r="F4180" s="8" t="s">
        <v>9895</v>
      </c>
      <c r="G4180" s="6" t="s">
        <v>89</v>
      </c>
      <c r="H4180" s="6" t="s">
        <v>53</v>
      </c>
      <c r="I4180" s="8" t="s">
        <v>116</v>
      </c>
      <c r="J4180" s="9">
        <v>1</v>
      </c>
      <c r="K4180" s="9">
        <v>259</v>
      </c>
      <c r="L4180" s="9">
        <v>2024</v>
      </c>
      <c r="M4180" s="8" t="s">
        <v>24837</v>
      </c>
      <c r="N4180" s="8" t="s">
        <v>79</v>
      </c>
      <c r="O4180" s="8" t="s">
        <v>396</v>
      </c>
      <c r="P4180" s="6" t="s">
        <v>43</v>
      </c>
      <c r="Q4180" s="8" t="s">
        <v>44</v>
      </c>
      <c r="R4180" s="10" t="s">
        <v>571</v>
      </c>
      <c r="S4180" s="11" t="s">
        <v>24838</v>
      </c>
      <c r="T4180" s="6" t="s">
        <v>299</v>
      </c>
      <c r="U4180" s="24" t="str">
        <f>HYPERLINK("https://media.infra-m.ru/2102/2102676/cover/2102676.jpg", "Обложка")</f>
        <v>Обложка</v>
      </c>
      <c r="V4180" s="24" t="str">
        <f>HYPERLINK("https://znanium.ru/catalog/product/2102676", "Ознакомиться")</f>
        <v>Ознакомиться</v>
      </c>
      <c r="W4180" s="8" t="s">
        <v>947</v>
      </c>
      <c r="X4180" s="6"/>
      <c r="Y4180" s="6"/>
      <c r="Z4180" s="6"/>
      <c r="AA4180" s="6" t="s">
        <v>235</v>
      </c>
      <c r="AB4180" s="8"/>
    </row>
    <row r="4181" spans="1:28" s="4" customFormat="1" ht="42" customHeight="1">
      <c r="A4181" s="5">
        <v>0</v>
      </c>
      <c r="B4181" s="6" t="s">
        <v>24839</v>
      </c>
      <c r="C4181" s="13">
        <v>1240</v>
      </c>
      <c r="D4181" s="8" t="s">
        <v>24840</v>
      </c>
      <c r="E4181" s="8" t="s">
        <v>24841</v>
      </c>
      <c r="F4181" s="8" t="s">
        <v>24842</v>
      </c>
      <c r="G4181" s="6" t="s">
        <v>52</v>
      </c>
      <c r="H4181" s="6" t="s">
        <v>53</v>
      </c>
      <c r="I4181" s="8" t="s">
        <v>116</v>
      </c>
      <c r="J4181" s="9">
        <v>1</v>
      </c>
      <c r="K4181" s="9">
        <v>256</v>
      </c>
      <c r="L4181" s="9">
        <v>2024</v>
      </c>
      <c r="M4181" s="8" t="s">
        <v>24843</v>
      </c>
      <c r="N4181" s="8" t="s">
        <v>79</v>
      </c>
      <c r="O4181" s="8" t="s">
        <v>396</v>
      </c>
      <c r="P4181" s="6" t="s">
        <v>43</v>
      </c>
      <c r="Q4181" s="8" t="s">
        <v>44</v>
      </c>
      <c r="R4181" s="10" t="s">
        <v>24844</v>
      </c>
      <c r="S4181" s="11"/>
      <c r="T4181" s="6" t="s">
        <v>299</v>
      </c>
      <c r="U4181" s="24" t="str">
        <f>HYPERLINK("https://media.infra-m.ru/1865/1865669/cover/1865669.jpg", "Обложка")</f>
        <v>Обложка</v>
      </c>
      <c r="V4181" s="24" t="str">
        <f>HYPERLINK("https://znanium.ru/catalog/product/1865669", "Ознакомиться")</f>
        <v>Ознакомиться</v>
      </c>
      <c r="W4181" s="8" t="s">
        <v>1563</v>
      </c>
      <c r="X4181" s="6"/>
      <c r="Y4181" s="6"/>
      <c r="Z4181" s="6"/>
      <c r="AA4181" s="6" t="s">
        <v>133</v>
      </c>
      <c r="AB4181" s="8"/>
    </row>
    <row r="4182" spans="1:28" s="4" customFormat="1" ht="51.95" customHeight="1">
      <c r="A4182" s="5">
        <v>0</v>
      </c>
      <c r="B4182" s="6" t="s">
        <v>24845</v>
      </c>
      <c r="C4182" s="13">
        <v>1524</v>
      </c>
      <c r="D4182" s="8" t="s">
        <v>24846</v>
      </c>
      <c r="E4182" s="8" t="s">
        <v>24847</v>
      </c>
      <c r="F4182" s="8" t="s">
        <v>24848</v>
      </c>
      <c r="G4182" s="6" t="s">
        <v>89</v>
      </c>
      <c r="H4182" s="6" t="s">
        <v>649</v>
      </c>
      <c r="I4182" s="8" t="s">
        <v>100</v>
      </c>
      <c r="J4182" s="9">
        <v>1</v>
      </c>
      <c r="K4182" s="9">
        <v>272</v>
      </c>
      <c r="L4182" s="9">
        <v>2024</v>
      </c>
      <c r="M4182" s="8" t="s">
        <v>24849</v>
      </c>
      <c r="N4182" s="8" t="s">
        <v>79</v>
      </c>
      <c r="O4182" s="8" t="s">
        <v>396</v>
      </c>
      <c r="P4182" s="6" t="s">
        <v>43</v>
      </c>
      <c r="Q4182" s="8" t="s">
        <v>102</v>
      </c>
      <c r="R4182" s="10" t="s">
        <v>24850</v>
      </c>
      <c r="S4182" s="11" t="s">
        <v>24851</v>
      </c>
      <c r="T4182" s="6"/>
      <c r="U4182" s="24" t="str">
        <f>HYPERLINK("https://media.infra-m.ru/2138/2138786/cover/2138786.jpg", "Обложка")</f>
        <v>Обложка</v>
      </c>
      <c r="V4182" s="24" t="str">
        <f>HYPERLINK("https://znanium.ru/catalog/product/1447410", "Ознакомиться")</f>
        <v>Ознакомиться</v>
      </c>
      <c r="W4182" s="8" t="s">
        <v>6731</v>
      </c>
      <c r="X4182" s="6"/>
      <c r="Y4182" s="6"/>
      <c r="Z4182" s="6"/>
      <c r="AA4182" s="6" t="s">
        <v>160</v>
      </c>
      <c r="AB4182" s="8"/>
    </row>
    <row r="4183" spans="1:28" s="4" customFormat="1" ht="42" customHeight="1">
      <c r="A4183" s="5">
        <v>0</v>
      </c>
      <c r="B4183" s="6" t="s">
        <v>24852</v>
      </c>
      <c r="C4183" s="13">
        <v>1414</v>
      </c>
      <c r="D4183" s="8" t="s">
        <v>24853</v>
      </c>
      <c r="E4183" s="8" t="s">
        <v>24854</v>
      </c>
      <c r="F4183" s="8" t="s">
        <v>24855</v>
      </c>
      <c r="G4183" s="6" t="s">
        <v>38</v>
      </c>
      <c r="H4183" s="6" t="s">
        <v>952</v>
      </c>
      <c r="I4183" s="8" t="s">
        <v>1171</v>
      </c>
      <c r="J4183" s="9">
        <v>1</v>
      </c>
      <c r="K4183" s="9">
        <v>272</v>
      </c>
      <c r="L4183" s="9">
        <v>2025</v>
      </c>
      <c r="M4183" s="8" t="s">
        <v>24856</v>
      </c>
      <c r="N4183" s="8" t="s">
        <v>41</v>
      </c>
      <c r="O4183" s="8" t="s">
        <v>1007</v>
      </c>
      <c r="P4183" s="6" t="s">
        <v>43</v>
      </c>
      <c r="Q4183" s="8" t="s">
        <v>44</v>
      </c>
      <c r="R4183" s="10" t="s">
        <v>1400</v>
      </c>
      <c r="S4183" s="11"/>
      <c r="T4183" s="6"/>
      <c r="U4183" s="24" t="str">
        <f>HYPERLINK("https://media.infra-m.ru/2192/2192745/cover/2192745.jpg", "Обложка")</f>
        <v>Обложка</v>
      </c>
      <c r="V4183" s="24" t="str">
        <f>HYPERLINK("https://znanium.ru/catalog/product/967131", "Ознакомиться")</f>
        <v>Ознакомиться</v>
      </c>
      <c r="W4183" s="8" t="s">
        <v>2463</v>
      </c>
      <c r="X4183" s="6"/>
      <c r="Y4183" s="6"/>
      <c r="Z4183" s="6"/>
      <c r="AA4183" s="6" t="s">
        <v>111</v>
      </c>
      <c r="AB4183" s="8"/>
    </row>
    <row r="4184" spans="1:28" s="4" customFormat="1" ht="42" customHeight="1">
      <c r="A4184" s="5">
        <v>0</v>
      </c>
      <c r="B4184" s="6" t="s">
        <v>24857</v>
      </c>
      <c r="C4184" s="7">
        <v>934.9</v>
      </c>
      <c r="D4184" s="8" t="s">
        <v>24858</v>
      </c>
      <c r="E4184" s="8" t="s">
        <v>24859</v>
      </c>
      <c r="F4184" s="8" t="s">
        <v>6493</v>
      </c>
      <c r="G4184" s="6" t="s">
        <v>38</v>
      </c>
      <c r="H4184" s="6" t="s">
        <v>39</v>
      </c>
      <c r="I4184" s="8" t="s">
        <v>90</v>
      </c>
      <c r="J4184" s="9">
        <v>1</v>
      </c>
      <c r="K4184" s="9">
        <v>208</v>
      </c>
      <c r="L4184" s="9">
        <v>2023</v>
      </c>
      <c r="M4184" s="8" t="s">
        <v>24860</v>
      </c>
      <c r="N4184" s="8" t="s">
        <v>79</v>
      </c>
      <c r="O4184" s="8" t="s">
        <v>396</v>
      </c>
      <c r="P4184" s="6" t="s">
        <v>43</v>
      </c>
      <c r="Q4184" s="8" t="s">
        <v>44</v>
      </c>
      <c r="R4184" s="10" t="s">
        <v>24861</v>
      </c>
      <c r="S4184" s="11"/>
      <c r="T4184" s="6"/>
      <c r="U4184" s="24" t="str">
        <f>HYPERLINK("https://media.infra-m.ru/1981/1981679/cover/1981679.jpg", "Обложка")</f>
        <v>Обложка</v>
      </c>
      <c r="V4184" s="24" t="str">
        <f>HYPERLINK("https://znanium.ru/catalog/product/1012776", "Ознакомиться")</f>
        <v>Ознакомиться</v>
      </c>
      <c r="W4184" s="8" t="s">
        <v>6489</v>
      </c>
      <c r="X4184" s="6"/>
      <c r="Y4184" s="6"/>
      <c r="Z4184" s="6"/>
      <c r="AA4184" s="6" t="s">
        <v>2414</v>
      </c>
      <c r="AB4184" s="8"/>
    </row>
    <row r="4185" spans="1:28" s="4" customFormat="1" ht="51.95" customHeight="1">
      <c r="A4185" s="5">
        <v>0</v>
      </c>
      <c r="B4185" s="6" t="s">
        <v>24862</v>
      </c>
      <c r="C4185" s="13">
        <v>1034</v>
      </c>
      <c r="D4185" s="8" t="s">
        <v>24863</v>
      </c>
      <c r="E4185" s="8" t="s">
        <v>24864</v>
      </c>
      <c r="F4185" s="8" t="s">
        <v>24865</v>
      </c>
      <c r="G4185" s="6" t="s">
        <v>52</v>
      </c>
      <c r="H4185" s="6" t="s">
        <v>53</v>
      </c>
      <c r="I4185" s="8" t="s">
        <v>90</v>
      </c>
      <c r="J4185" s="9">
        <v>1</v>
      </c>
      <c r="K4185" s="9">
        <v>224</v>
      </c>
      <c r="L4185" s="9">
        <v>2024</v>
      </c>
      <c r="M4185" s="8" t="s">
        <v>24866</v>
      </c>
      <c r="N4185" s="8" t="s">
        <v>79</v>
      </c>
      <c r="O4185" s="8" t="s">
        <v>396</v>
      </c>
      <c r="P4185" s="6" t="s">
        <v>43</v>
      </c>
      <c r="Q4185" s="8" t="s">
        <v>44</v>
      </c>
      <c r="R4185" s="10" t="s">
        <v>24867</v>
      </c>
      <c r="S4185" s="11" t="s">
        <v>24868</v>
      </c>
      <c r="T4185" s="6"/>
      <c r="U4185" s="24" t="str">
        <f>HYPERLINK("https://media.infra-m.ru/2102/2102182/cover/2102182.jpg", "Обложка")</f>
        <v>Обложка</v>
      </c>
      <c r="V4185" s="24" t="str">
        <f>HYPERLINK("https://znanium.ru/catalog/product/1833499", "Ознакомиться")</f>
        <v>Ознакомиться</v>
      </c>
      <c r="W4185" s="8" t="s">
        <v>784</v>
      </c>
      <c r="X4185" s="6"/>
      <c r="Y4185" s="6"/>
      <c r="Z4185" s="6"/>
      <c r="AA4185" s="6" t="s">
        <v>47</v>
      </c>
      <c r="AB4185" s="8"/>
    </row>
    <row r="4186" spans="1:28" s="4" customFormat="1" ht="51.95" customHeight="1">
      <c r="A4186" s="5">
        <v>0</v>
      </c>
      <c r="B4186" s="6" t="s">
        <v>24869</v>
      </c>
      <c r="C4186" s="7">
        <v>734</v>
      </c>
      <c r="D4186" s="8" t="s">
        <v>24870</v>
      </c>
      <c r="E4186" s="8" t="s">
        <v>24871</v>
      </c>
      <c r="F4186" s="8" t="s">
        <v>24872</v>
      </c>
      <c r="G4186" s="6" t="s">
        <v>52</v>
      </c>
      <c r="H4186" s="6" t="s">
        <v>649</v>
      </c>
      <c r="I4186" s="8"/>
      <c r="J4186" s="9">
        <v>1</v>
      </c>
      <c r="K4186" s="9">
        <v>160</v>
      </c>
      <c r="L4186" s="9">
        <v>2023</v>
      </c>
      <c r="M4186" s="8" t="s">
        <v>24873</v>
      </c>
      <c r="N4186" s="8" t="s">
        <v>79</v>
      </c>
      <c r="O4186" s="8" t="s">
        <v>396</v>
      </c>
      <c r="P4186" s="6" t="s">
        <v>43</v>
      </c>
      <c r="Q4186" s="8" t="s">
        <v>102</v>
      </c>
      <c r="R4186" s="10" t="s">
        <v>24874</v>
      </c>
      <c r="S4186" s="11" t="s">
        <v>24875</v>
      </c>
      <c r="T4186" s="6"/>
      <c r="U4186" s="24" t="str">
        <f>HYPERLINK("https://media.infra-m.ru/2021/2021442/cover/2021442.jpg", "Обложка")</f>
        <v>Обложка</v>
      </c>
      <c r="V4186" s="24" t="str">
        <f>HYPERLINK("https://znanium.ru/catalog/product/961662", "Ознакомиться")</f>
        <v>Ознакомиться</v>
      </c>
      <c r="W4186" s="8" t="s">
        <v>71</v>
      </c>
      <c r="X4186" s="6"/>
      <c r="Y4186" s="6"/>
      <c r="Z4186" s="6" t="s">
        <v>104</v>
      </c>
      <c r="AA4186" s="6" t="s">
        <v>258</v>
      </c>
      <c r="AB4186" s="8"/>
    </row>
    <row r="4187" spans="1:28" s="4" customFormat="1" ht="51.95" customHeight="1">
      <c r="A4187" s="5">
        <v>0</v>
      </c>
      <c r="B4187" s="6" t="s">
        <v>24876</v>
      </c>
      <c r="C4187" s="7">
        <v>744</v>
      </c>
      <c r="D4187" s="8" t="s">
        <v>24877</v>
      </c>
      <c r="E4187" s="8" t="s">
        <v>24871</v>
      </c>
      <c r="F4187" s="8" t="s">
        <v>24872</v>
      </c>
      <c r="G4187" s="6" t="s">
        <v>52</v>
      </c>
      <c r="H4187" s="6" t="s">
        <v>649</v>
      </c>
      <c r="I4187" s="8" t="s">
        <v>90</v>
      </c>
      <c r="J4187" s="9">
        <v>1</v>
      </c>
      <c r="K4187" s="9">
        <v>160</v>
      </c>
      <c r="L4187" s="9">
        <v>2024</v>
      </c>
      <c r="M4187" s="8" t="s">
        <v>24878</v>
      </c>
      <c r="N4187" s="8" t="s">
        <v>79</v>
      </c>
      <c r="O4187" s="8" t="s">
        <v>396</v>
      </c>
      <c r="P4187" s="6" t="s">
        <v>43</v>
      </c>
      <c r="Q4187" s="8" t="s">
        <v>44</v>
      </c>
      <c r="R4187" s="10" t="s">
        <v>2106</v>
      </c>
      <c r="S4187" s="11" t="s">
        <v>24879</v>
      </c>
      <c r="T4187" s="6"/>
      <c r="U4187" s="24" t="str">
        <f>HYPERLINK("https://media.infra-m.ru/2054/2054958/cover/2054958.jpg", "Обложка")</f>
        <v>Обложка</v>
      </c>
      <c r="V4187" s="24" t="str">
        <f>HYPERLINK("https://znanium.ru/catalog/product/1003240", "Ознакомиться")</f>
        <v>Ознакомиться</v>
      </c>
      <c r="W4187" s="8" t="s">
        <v>71</v>
      </c>
      <c r="X4187" s="6"/>
      <c r="Y4187" s="6"/>
      <c r="Z4187" s="6"/>
      <c r="AA4187" s="6" t="s">
        <v>555</v>
      </c>
      <c r="AB4187" s="8"/>
    </row>
    <row r="4188" spans="1:28" s="4" customFormat="1" ht="44.1" customHeight="1">
      <c r="A4188" s="5">
        <v>0</v>
      </c>
      <c r="B4188" s="6" t="s">
        <v>24880</v>
      </c>
      <c r="C4188" s="13">
        <v>1804</v>
      </c>
      <c r="D4188" s="8" t="s">
        <v>24881</v>
      </c>
      <c r="E4188" s="8" t="s">
        <v>24882</v>
      </c>
      <c r="F4188" s="8" t="s">
        <v>24883</v>
      </c>
      <c r="G4188" s="6" t="s">
        <v>52</v>
      </c>
      <c r="H4188" s="6" t="s">
        <v>674</v>
      </c>
      <c r="I4188" s="8"/>
      <c r="J4188" s="9">
        <v>1</v>
      </c>
      <c r="K4188" s="9">
        <v>360</v>
      </c>
      <c r="L4188" s="9">
        <v>2025</v>
      </c>
      <c r="M4188" s="8" t="s">
        <v>24884</v>
      </c>
      <c r="N4188" s="8" t="s">
        <v>41</v>
      </c>
      <c r="O4188" s="8" t="s">
        <v>676</v>
      </c>
      <c r="P4188" s="6" t="s">
        <v>43</v>
      </c>
      <c r="Q4188" s="8" t="s">
        <v>44</v>
      </c>
      <c r="R4188" s="10" t="s">
        <v>24885</v>
      </c>
      <c r="S4188" s="11"/>
      <c r="T4188" s="6"/>
      <c r="U4188" s="24" t="str">
        <f>HYPERLINK("https://media.infra-m.ru/2179/2179173/cover/2179173.jpg", "Обложка")</f>
        <v>Обложка</v>
      </c>
      <c r="V4188" s="24" t="str">
        <f>HYPERLINK("https://znanium.ru/catalog/product/2123351", "Ознакомиться")</f>
        <v>Ознакомиться</v>
      </c>
      <c r="W4188" s="8" t="s">
        <v>792</v>
      </c>
      <c r="X4188" s="6"/>
      <c r="Y4188" s="6"/>
      <c r="Z4188" s="6"/>
      <c r="AA4188" s="6" t="s">
        <v>235</v>
      </c>
      <c r="AB4188" s="8"/>
    </row>
    <row r="4189" spans="1:28" s="4" customFormat="1" ht="51.95" customHeight="1">
      <c r="A4189" s="5">
        <v>0</v>
      </c>
      <c r="B4189" s="6" t="s">
        <v>24886</v>
      </c>
      <c r="C4189" s="13">
        <v>1260</v>
      </c>
      <c r="D4189" s="8" t="s">
        <v>24887</v>
      </c>
      <c r="E4189" s="8" t="s">
        <v>24888</v>
      </c>
      <c r="F4189" s="8" t="s">
        <v>24889</v>
      </c>
      <c r="G4189" s="6" t="s">
        <v>89</v>
      </c>
      <c r="H4189" s="6" t="s">
        <v>53</v>
      </c>
      <c r="I4189" s="8" t="s">
        <v>165</v>
      </c>
      <c r="J4189" s="9">
        <v>1</v>
      </c>
      <c r="K4189" s="9">
        <v>267</v>
      </c>
      <c r="L4189" s="9">
        <v>2024</v>
      </c>
      <c r="M4189" s="8" t="s">
        <v>24890</v>
      </c>
      <c r="N4189" s="8" t="s">
        <v>41</v>
      </c>
      <c r="O4189" s="8" t="s">
        <v>676</v>
      </c>
      <c r="P4189" s="6" t="s">
        <v>43</v>
      </c>
      <c r="Q4189" s="8" t="s">
        <v>58</v>
      </c>
      <c r="R4189" s="10" t="s">
        <v>24891</v>
      </c>
      <c r="S4189" s="11"/>
      <c r="T4189" s="6"/>
      <c r="U4189" s="24" t="str">
        <f>HYPERLINK("https://media.infra-m.ru/2146/2146550/cover/2146550.jpg", "Обложка")</f>
        <v>Обложка</v>
      </c>
      <c r="V4189" s="24" t="str">
        <f>HYPERLINK("https://znanium.ru/catalog/product/2146550", "Ознакомиться")</f>
        <v>Ознакомиться</v>
      </c>
      <c r="W4189" s="8" t="s">
        <v>83</v>
      </c>
      <c r="X4189" s="6"/>
      <c r="Y4189" s="6"/>
      <c r="Z4189" s="6"/>
      <c r="AA4189" s="6" t="s">
        <v>207</v>
      </c>
      <c r="AB4189" s="8" t="s">
        <v>7988</v>
      </c>
    </row>
    <row r="4190" spans="1:28" s="4" customFormat="1" ht="51.95" customHeight="1">
      <c r="A4190" s="5">
        <v>0</v>
      </c>
      <c r="B4190" s="6" t="s">
        <v>24892</v>
      </c>
      <c r="C4190" s="13">
        <v>1194</v>
      </c>
      <c r="D4190" s="8" t="s">
        <v>24893</v>
      </c>
      <c r="E4190" s="8" t="s">
        <v>24894</v>
      </c>
      <c r="F4190" s="8" t="s">
        <v>7468</v>
      </c>
      <c r="G4190" s="6" t="s">
        <v>89</v>
      </c>
      <c r="H4190" s="6" t="s">
        <v>53</v>
      </c>
      <c r="I4190" s="8" t="s">
        <v>90</v>
      </c>
      <c r="J4190" s="9">
        <v>1</v>
      </c>
      <c r="K4190" s="9">
        <v>265</v>
      </c>
      <c r="L4190" s="9">
        <v>2023</v>
      </c>
      <c r="M4190" s="8" t="s">
        <v>24895</v>
      </c>
      <c r="N4190" s="8" t="s">
        <v>41</v>
      </c>
      <c r="O4190" s="8" t="s">
        <v>1007</v>
      </c>
      <c r="P4190" s="6" t="s">
        <v>43</v>
      </c>
      <c r="Q4190" s="8" t="s">
        <v>44</v>
      </c>
      <c r="R4190" s="10" t="s">
        <v>7519</v>
      </c>
      <c r="S4190" s="11" t="s">
        <v>24896</v>
      </c>
      <c r="T4190" s="6"/>
      <c r="U4190" s="24" t="str">
        <f>HYPERLINK("https://media.infra-m.ru/2006/2006043/cover/2006043.jpg", "Обложка")</f>
        <v>Обложка</v>
      </c>
      <c r="V4190" s="24" t="str">
        <f>HYPERLINK("https://znanium.ru/catalog/product/2006043", "Ознакомиться")</f>
        <v>Ознакомиться</v>
      </c>
      <c r="W4190" s="8" t="s">
        <v>913</v>
      </c>
      <c r="X4190" s="6"/>
      <c r="Y4190" s="6"/>
      <c r="Z4190" s="6"/>
      <c r="AA4190" s="6" t="s">
        <v>151</v>
      </c>
      <c r="AB4190" s="8"/>
    </row>
    <row r="4191" spans="1:28" s="4" customFormat="1" ht="51.95" customHeight="1">
      <c r="A4191" s="5">
        <v>0</v>
      </c>
      <c r="B4191" s="6" t="s">
        <v>24897</v>
      </c>
      <c r="C4191" s="7">
        <v>950</v>
      </c>
      <c r="D4191" s="8" t="s">
        <v>24898</v>
      </c>
      <c r="E4191" s="8" t="s">
        <v>24899</v>
      </c>
      <c r="F4191" s="8" t="s">
        <v>24900</v>
      </c>
      <c r="G4191" s="6" t="s">
        <v>52</v>
      </c>
      <c r="H4191" s="6" t="s">
        <v>53</v>
      </c>
      <c r="I4191" s="8" t="s">
        <v>212</v>
      </c>
      <c r="J4191" s="9">
        <v>1</v>
      </c>
      <c r="K4191" s="9">
        <v>218</v>
      </c>
      <c r="L4191" s="9">
        <v>2022</v>
      </c>
      <c r="M4191" s="8" t="s">
        <v>24901</v>
      </c>
      <c r="N4191" s="8" t="s">
        <v>41</v>
      </c>
      <c r="O4191" s="8" t="s">
        <v>1007</v>
      </c>
      <c r="P4191" s="6" t="s">
        <v>43</v>
      </c>
      <c r="Q4191" s="8" t="s">
        <v>214</v>
      </c>
      <c r="R4191" s="10" t="s">
        <v>10967</v>
      </c>
      <c r="S4191" s="11" t="s">
        <v>24902</v>
      </c>
      <c r="T4191" s="6"/>
      <c r="U4191" s="24" t="str">
        <f>HYPERLINK("https://media.infra-m.ru/1474/1474226/cover/1474226.jpg", "Обложка")</f>
        <v>Обложка</v>
      </c>
      <c r="V4191" s="24" t="str">
        <f>HYPERLINK("https://znanium.ru/catalog/product/1474226", "Ознакомиться")</f>
        <v>Ознакомиться</v>
      </c>
      <c r="W4191" s="8" t="s">
        <v>1233</v>
      </c>
      <c r="X4191" s="6"/>
      <c r="Y4191" s="6"/>
      <c r="Z4191" s="6"/>
      <c r="AA4191" s="6" t="s">
        <v>235</v>
      </c>
      <c r="AB4191" s="8"/>
    </row>
    <row r="4192" spans="1:28" s="4" customFormat="1" ht="44.1" customHeight="1">
      <c r="A4192" s="5">
        <v>0</v>
      </c>
      <c r="B4192" s="6" t="s">
        <v>24903</v>
      </c>
      <c r="C4192" s="7">
        <v>540</v>
      </c>
      <c r="D4192" s="8" t="s">
        <v>24904</v>
      </c>
      <c r="E4192" s="8" t="s">
        <v>24905</v>
      </c>
      <c r="F4192" s="8" t="s">
        <v>2510</v>
      </c>
      <c r="G4192" s="6" t="s">
        <v>38</v>
      </c>
      <c r="H4192" s="6" t="s">
        <v>53</v>
      </c>
      <c r="I4192" s="8" t="s">
        <v>2511</v>
      </c>
      <c r="J4192" s="9">
        <v>1</v>
      </c>
      <c r="K4192" s="9">
        <v>172</v>
      </c>
      <c r="L4192" s="9">
        <v>2018</v>
      </c>
      <c r="M4192" s="8" t="s">
        <v>24906</v>
      </c>
      <c r="N4192" s="8" t="s">
        <v>56</v>
      </c>
      <c r="O4192" s="8" t="s">
        <v>57</v>
      </c>
      <c r="P4192" s="6" t="s">
        <v>1046</v>
      </c>
      <c r="Q4192" s="8" t="s">
        <v>58</v>
      </c>
      <c r="R4192" s="10" t="s">
        <v>24907</v>
      </c>
      <c r="S4192" s="11"/>
      <c r="T4192" s="6"/>
      <c r="U4192" s="12"/>
      <c r="V4192" s="24" t="str">
        <f>HYPERLINK("https://znanium.ru/catalog/product/1070324", "Ознакомиться")</f>
        <v>Ознакомиться</v>
      </c>
      <c r="W4192" s="8" t="s">
        <v>2514</v>
      </c>
      <c r="X4192" s="6"/>
      <c r="Y4192" s="6"/>
      <c r="Z4192" s="6"/>
      <c r="AA4192" s="6" t="s">
        <v>151</v>
      </c>
      <c r="AB4192" s="8"/>
    </row>
    <row r="4193" spans="1:28" s="4" customFormat="1" ht="51.95" customHeight="1">
      <c r="A4193" s="5">
        <v>0</v>
      </c>
      <c r="B4193" s="6" t="s">
        <v>24908</v>
      </c>
      <c r="C4193" s="13">
        <v>2400</v>
      </c>
      <c r="D4193" s="8" t="s">
        <v>24909</v>
      </c>
      <c r="E4193" s="8" t="s">
        <v>24910</v>
      </c>
      <c r="F4193" s="8" t="s">
        <v>24911</v>
      </c>
      <c r="G4193" s="6" t="s">
        <v>52</v>
      </c>
      <c r="H4193" s="6" t="s">
        <v>53</v>
      </c>
      <c r="I4193" s="8" t="s">
        <v>116</v>
      </c>
      <c r="J4193" s="9">
        <v>1</v>
      </c>
      <c r="K4193" s="9">
        <v>481</v>
      </c>
      <c r="L4193" s="9">
        <v>2025</v>
      </c>
      <c r="M4193" s="8" t="s">
        <v>24912</v>
      </c>
      <c r="N4193" s="8" t="s">
        <v>41</v>
      </c>
      <c r="O4193" s="8" t="s">
        <v>1007</v>
      </c>
      <c r="P4193" s="6" t="s">
        <v>43</v>
      </c>
      <c r="Q4193" s="8" t="s">
        <v>44</v>
      </c>
      <c r="R4193" s="10" t="s">
        <v>24913</v>
      </c>
      <c r="S4193" s="11" t="s">
        <v>24914</v>
      </c>
      <c r="T4193" s="6"/>
      <c r="U4193" s="24" t="str">
        <f>HYPERLINK("https://media.infra-m.ru/2188/2188217/cover/2188217.jpg", "Обложка")</f>
        <v>Обложка</v>
      </c>
      <c r="V4193" s="24" t="str">
        <f>HYPERLINK("https://znanium.ru/catalog/product/2188217", "Ознакомиться")</f>
        <v>Ознакомиться</v>
      </c>
      <c r="W4193" s="8" t="s">
        <v>4293</v>
      </c>
      <c r="X4193" s="6"/>
      <c r="Y4193" s="6"/>
      <c r="Z4193" s="6"/>
      <c r="AA4193" s="6" t="s">
        <v>3922</v>
      </c>
      <c r="AB4193" s="8"/>
    </row>
    <row r="4194" spans="1:28" s="4" customFormat="1" ht="51.95" customHeight="1">
      <c r="A4194" s="5">
        <v>0</v>
      </c>
      <c r="B4194" s="6" t="s">
        <v>24915</v>
      </c>
      <c r="C4194" s="13">
        <v>1280</v>
      </c>
      <c r="D4194" s="8" t="s">
        <v>24916</v>
      </c>
      <c r="E4194" s="8" t="s">
        <v>24917</v>
      </c>
      <c r="F4194" s="8" t="s">
        <v>24918</v>
      </c>
      <c r="G4194" s="6" t="s">
        <v>52</v>
      </c>
      <c r="H4194" s="6" t="s">
        <v>53</v>
      </c>
      <c r="I4194" s="8" t="s">
        <v>2048</v>
      </c>
      <c r="J4194" s="9">
        <v>1</v>
      </c>
      <c r="K4194" s="9">
        <v>258</v>
      </c>
      <c r="L4194" s="9">
        <v>2025</v>
      </c>
      <c r="M4194" s="8" t="s">
        <v>24919</v>
      </c>
      <c r="N4194" s="8" t="s">
        <v>41</v>
      </c>
      <c r="O4194" s="8" t="s">
        <v>1007</v>
      </c>
      <c r="P4194" s="6" t="s">
        <v>43</v>
      </c>
      <c r="Q4194" s="8" t="s">
        <v>58</v>
      </c>
      <c r="R4194" s="10" t="s">
        <v>24920</v>
      </c>
      <c r="S4194" s="11"/>
      <c r="T4194" s="6"/>
      <c r="U4194" s="24" t="str">
        <f>HYPERLINK("https://media.infra-m.ru/2105/2105262/cover/2105262.jpg", "Обложка")</f>
        <v>Обложка</v>
      </c>
      <c r="V4194" s="24" t="str">
        <f>HYPERLINK("https://znanium.ru/catalog/product/2105262", "Ознакомиться")</f>
        <v>Ознакомиться</v>
      </c>
      <c r="W4194" s="8" t="s">
        <v>189</v>
      </c>
      <c r="X4194" s="6" t="s">
        <v>548</v>
      </c>
      <c r="Y4194" s="6"/>
      <c r="Z4194" s="6"/>
      <c r="AA4194" s="6" t="s">
        <v>61</v>
      </c>
      <c r="AB4194" s="8"/>
    </row>
    <row r="4195" spans="1:28" s="4" customFormat="1" ht="51.95" customHeight="1">
      <c r="A4195" s="5">
        <v>0</v>
      </c>
      <c r="B4195" s="6" t="s">
        <v>24921</v>
      </c>
      <c r="C4195" s="13">
        <v>1444</v>
      </c>
      <c r="D4195" s="8" t="s">
        <v>24922</v>
      </c>
      <c r="E4195" s="8" t="s">
        <v>24923</v>
      </c>
      <c r="F4195" s="8" t="s">
        <v>24924</v>
      </c>
      <c r="G4195" s="6" t="s">
        <v>89</v>
      </c>
      <c r="H4195" s="6" t="s">
        <v>53</v>
      </c>
      <c r="I4195" s="8" t="s">
        <v>90</v>
      </c>
      <c r="J4195" s="9">
        <v>1</v>
      </c>
      <c r="K4195" s="9">
        <v>289</v>
      </c>
      <c r="L4195" s="9">
        <v>2025</v>
      </c>
      <c r="M4195" s="8" t="s">
        <v>24925</v>
      </c>
      <c r="N4195" s="8" t="s">
        <v>41</v>
      </c>
      <c r="O4195" s="8" t="s">
        <v>1007</v>
      </c>
      <c r="P4195" s="6" t="s">
        <v>43</v>
      </c>
      <c r="Q4195" s="8" t="s">
        <v>44</v>
      </c>
      <c r="R4195" s="10" t="s">
        <v>24926</v>
      </c>
      <c r="S4195" s="11" t="s">
        <v>24927</v>
      </c>
      <c r="T4195" s="6"/>
      <c r="U4195" s="24" t="str">
        <f>HYPERLINK("https://media.infra-m.ru/2188/2188711/cover/2188711.jpg", "Обложка")</f>
        <v>Обложка</v>
      </c>
      <c r="V4195" s="24" t="str">
        <f>HYPERLINK("https://znanium.ru/catalog/product/1984077", "Ознакомиться")</f>
        <v>Ознакомиться</v>
      </c>
      <c r="W4195" s="8" t="s">
        <v>913</v>
      </c>
      <c r="X4195" s="6"/>
      <c r="Y4195" s="6"/>
      <c r="Z4195" s="6"/>
      <c r="AA4195" s="6" t="s">
        <v>326</v>
      </c>
      <c r="AB4195" s="8"/>
    </row>
    <row r="4196" spans="1:28" s="4" customFormat="1" ht="51.95" customHeight="1">
      <c r="A4196" s="5">
        <v>0</v>
      </c>
      <c r="B4196" s="6" t="s">
        <v>24928</v>
      </c>
      <c r="C4196" s="13">
        <v>1830</v>
      </c>
      <c r="D4196" s="8" t="s">
        <v>24929</v>
      </c>
      <c r="E4196" s="8" t="s">
        <v>24930</v>
      </c>
      <c r="F4196" s="8" t="s">
        <v>24931</v>
      </c>
      <c r="G4196" s="6" t="s">
        <v>89</v>
      </c>
      <c r="H4196" s="6" t="s">
        <v>53</v>
      </c>
      <c r="I4196" s="8" t="s">
        <v>116</v>
      </c>
      <c r="J4196" s="9">
        <v>1</v>
      </c>
      <c r="K4196" s="9">
        <v>366</v>
      </c>
      <c r="L4196" s="9">
        <v>2025</v>
      </c>
      <c r="M4196" s="8" t="s">
        <v>24932</v>
      </c>
      <c r="N4196" s="8" t="s">
        <v>41</v>
      </c>
      <c r="O4196" s="8" t="s">
        <v>1007</v>
      </c>
      <c r="P4196" s="6" t="s">
        <v>167</v>
      </c>
      <c r="Q4196" s="8" t="s">
        <v>44</v>
      </c>
      <c r="R4196" s="10" t="s">
        <v>12424</v>
      </c>
      <c r="S4196" s="11" t="s">
        <v>24933</v>
      </c>
      <c r="T4196" s="6"/>
      <c r="U4196" s="24" t="str">
        <f>HYPERLINK("https://media.infra-m.ru/2169/2169229/cover/2169229.jpg", "Обложка")</f>
        <v>Обложка</v>
      </c>
      <c r="V4196" s="24" t="str">
        <f>HYPERLINK("https://znanium.ru/catalog/product/2169229", "Ознакомиться")</f>
        <v>Ознакомиться</v>
      </c>
      <c r="W4196" s="8" t="s">
        <v>1345</v>
      </c>
      <c r="X4196" s="6"/>
      <c r="Y4196" s="6"/>
      <c r="Z4196" s="6"/>
      <c r="AA4196" s="6" t="s">
        <v>793</v>
      </c>
      <c r="AB4196" s="8"/>
    </row>
    <row r="4197" spans="1:28" s="4" customFormat="1" ht="51.95" customHeight="1">
      <c r="A4197" s="5">
        <v>0</v>
      </c>
      <c r="B4197" s="6" t="s">
        <v>24934</v>
      </c>
      <c r="C4197" s="13">
        <v>2160</v>
      </c>
      <c r="D4197" s="8" t="s">
        <v>24935</v>
      </c>
      <c r="E4197" s="8" t="s">
        <v>24930</v>
      </c>
      <c r="F4197" s="8" t="s">
        <v>24936</v>
      </c>
      <c r="G4197" s="6" t="s">
        <v>52</v>
      </c>
      <c r="H4197" s="6" t="s">
        <v>53</v>
      </c>
      <c r="I4197" s="8" t="s">
        <v>116</v>
      </c>
      <c r="J4197" s="9">
        <v>1</v>
      </c>
      <c r="K4197" s="9">
        <v>469</v>
      </c>
      <c r="L4197" s="9">
        <v>2024</v>
      </c>
      <c r="M4197" s="8" t="s">
        <v>24937</v>
      </c>
      <c r="N4197" s="8" t="s">
        <v>41</v>
      </c>
      <c r="O4197" s="8" t="s">
        <v>1007</v>
      </c>
      <c r="P4197" s="6" t="s">
        <v>167</v>
      </c>
      <c r="Q4197" s="8" t="s">
        <v>44</v>
      </c>
      <c r="R4197" s="10" t="s">
        <v>2461</v>
      </c>
      <c r="S4197" s="11" t="s">
        <v>24938</v>
      </c>
      <c r="T4197" s="6"/>
      <c r="U4197" s="24" t="str">
        <f>HYPERLINK("https://media.infra-m.ru/2079/2079696/cover/2079696.jpg", "Обложка")</f>
        <v>Обложка</v>
      </c>
      <c r="V4197" s="24" t="str">
        <f>HYPERLINK("https://znanium.ru/catalog/product/2079696", "Ознакомиться")</f>
        <v>Ознакомиться</v>
      </c>
      <c r="W4197" s="8" t="s">
        <v>1076</v>
      </c>
      <c r="X4197" s="6"/>
      <c r="Y4197" s="6"/>
      <c r="Z4197" s="6"/>
      <c r="AA4197" s="6" t="s">
        <v>418</v>
      </c>
      <c r="AB4197" s="8"/>
    </row>
    <row r="4198" spans="1:28" s="4" customFormat="1" ht="51.95" customHeight="1">
      <c r="A4198" s="5">
        <v>0</v>
      </c>
      <c r="B4198" s="6" t="s">
        <v>24939</v>
      </c>
      <c r="C4198" s="13">
        <v>2084</v>
      </c>
      <c r="D4198" s="8" t="s">
        <v>24940</v>
      </c>
      <c r="E4198" s="8" t="s">
        <v>24930</v>
      </c>
      <c r="F4198" s="8" t="s">
        <v>24941</v>
      </c>
      <c r="G4198" s="6" t="s">
        <v>52</v>
      </c>
      <c r="H4198" s="6" t="s">
        <v>1738</v>
      </c>
      <c r="I4198" s="8" t="s">
        <v>1171</v>
      </c>
      <c r="J4198" s="9">
        <v>1</v>
      </c>
      <c r="K4198" s="9">
        <v>400</v>
      </c>
      <c r="L4198" s="9">
        <v>2025</v>
      </c>
      <c r="M4198" s="8" t="s">
        <v>24942</v>
      </c>
      <c r="N4198" s="8" t="s">
        <v>41</v>
      </c>
      <c r="O4198" s="8" t="s">
        <v>1007</v>
      </c>
      <c r="P4198" s="6" t="s">
        <v>43</v>
      </c>
      <c r="Q4198" s="8" t="s">
        <v>44</v>
      </c>
      <c r="R4198" s="10" t="s">
        <v>24943</v>
      </c>
      <c r="S4198" s="11" t="s">
        <v>24944</v>
      </c>
      <c r="T4198" s="6"/>
      <c r="U4198" s="24" t="str">
        <f>HYPERLINK("https://media.infra-m.ru/2194/2194372/cover/2194372.jpg", "Обложка")</f>
        <v>Обложка</v>
      </c>
      <c r="V4198" s="24" t="str">
        <f>HYPERLINK("https://znanium.ru/catalog/product/1851548", "Ознакомиться")</f>
        <v>Ознакомиться</v>
      </c>
      <c r="W4198" s="8" t="s">
        <v>189</v>
      </c>
      <c r="X4198" s="6"/>
      <c r="Y4198" s="6"/>
      <c r="Z4198" s="6"/>
      <c r="AA4198" s="6" t="s">
        <v>84</v>
      </c>
      <c r="AB4198" s="8"/>
    </row>
    <row r="4199" spans="1:28" s="4" customFormat="1" ht="42" customHeight="1">
      <c r="A4199" s="5">
        <v>0</v>
      </c>
      <c r="B4199" s="6" t="s">
        <v>24945</v>
      </c>
      <c r="C4199" s="13">
        <v>1034.9000000000001</v>
      </c>
      <c r="D4199" s="8" t="s">
        <v>24946</v>
      </c>
      <c r="E4199" s="8" t="s">
        <v>24930</v>
      </c>
      <c r="F4199" s="8" t="s">
        <v>24947</v>
      </c>
      <c r="G4199" s="6" t="s">
        <v>52</v>
      </c>
      <c r="H4199" s="6" t="s">
        <v>184</v>
      </c>
      <c r="I4199" s="8" t="s">
        <v>90</v>
      </c>
      <c r="J4199" s="9">
        <v>1</v>
      </c>
      <c r="K4199" s="9">
        <v>304</v>
      </c>
      <c r="L4199" s="9">
        <v>2020</v>
      </c>
      <c r="M4199" s="8" t="s">
        <v>24948</v>
      </c>
      <c r="N4199" s="8" t="s">
        <v>41</v>
      </c>
      <c r="O4199" s="8" t="s">
        <v>1007</v>
      </c>
      <c r="P4199" s="6" t="s">
        <v>43</v>
      </c>
      <c r="Q4199" s="8" t="s">
        <v>44</v>
      </c>
      <c r="R4199" s="10" t="s">
        <v>13761</v>
      </c>
      <c r="S4199" s="11"/>
      <c r="T4199" s="6" t="s">
        <v>299</v>
      </c>
      <c r="U4199" s="24" t="str">
        <f>HYPERLINK("https://media.infra-m.ru/1052/1052188/cover/1052188.jpg", "Обложка")</f>
        <v>Обложка</v>
      </c>
      <c r="V4199" s="24" t="str">
        <f>HYPERLINK("https://znanium.ru/catalog/product/1052188", "Ознакомиться")</f>
        <v>Ознакомиться</v>
      </c>
      <c r="W4199" s="8" t="s">
        <v>24949</v>
      </c>
      <c r="X4199" s="6"/>
      <c r="Y4199" s="6"/>
      <c r="Z4199" s="6"/>
      <c r="AA4199" s="6" t="s">
        <v>418</v>
      </c>
      <c r="AB4199" s="8"/>
    </row>
    <row r="4200" spans="1:28" s="4" customFormat="1" ht="51.95" customHeight="1">
      <c r="A4200" s="5">
        <v>0</v>
      </c>
      <c r="B4200" s="6" t="s">
        <v>24950</v>
      </c>
      <c r="C4200" s="7">
        <v>924</v>
      </c>
      <c r="D4200" s="8" t="s">
        <v>24951</v>
      </c>
      <c r="E4200" s="8" t="s">
        <v>24952</v>
      </c>
      <c r="F4200" s="8" t="s">
        <v>5068</v>
      </c>
      <c r="G4200" s="6" t="s">
        <v>89</v>
      </c>
      <c r="H4200" s="6" t="s">
        <v>53</v>
      </c>
      <c r="I4200" s="8" t="s">
        <v>90</v>
      </c>
      <c r="J4200" s="9">
        <v>1</v>
      </c>
      <c r="K4200" s="9">
        <v>177</v>
      </c>
      <c r="L4200" s="9">
        <v>2025</v>
      </c>
      <c r="M4200" s="8" t="s">
        <v>24953</v>
      </c>
      <c r="N4200" s="8" t="s">
        <v>413</v>
      </c>
      <c r="O4200" s="8" t="s">
        <v>414</v>
      </c>
      <c r="P4200" s="6" t="s">
        <v>43</v>
      </c>
      <c r="Q4200" s="8" t="s">
        <v>44</v>
      </c>
      <c r="R4200" s="10" t="s">
        <v>14802</v>
      </c>
      <c r="S4200" s="11" t="s">
        <v>24954</v>
      </c>
      <c r="T4200" s="6"/>
      <c r="U4200" s="24" t="str">
        <f>HYPERLINK("https://media.infra-m.ru/2196/2196135/cover/2196135.jpg", "Обложка")</f>
        <v>Обложка</v>
      </c>
      <c r="V4200" s="24" t="str">
        <f>HYPERLINK("https://znanium.ru/catalog/product/2002656", "Ознакомиться")</f>
        <v>Ознакомиться</v>
      </c>
      <c r="W4200" s="8" t="s">
        <v>5071</v>
      </c>
      <c r="X4200" s="6"/>
      <c r="Y4200" s="6"/>
      <c r="Z4200" s="6"/>
      <c r="AA4200" s="6" t="s">
        <v>196</v>
      </c>
      <c r="AB4200" s="8"/>
    </row>
    <row r="4201" spans="1:28" s="4" customFormat="1" ht="51.95" customHeight="1">
      <c r="A4201" s="5">
        <v>0</v>
      </c>
      <c r="B4201" s="6" t="s">
        <v>24955</v>
      </c>
      <c r="C4201" s="13">
        <v>1094.9000000000001</v>
      </c>
      <c r="D4201" s="8" t="s">
        <v>24956</v>
      </c>
      <c r="E4201" s="8" t="s">
        <v>24957</v>
      </c>
      <c r="F4201" s="8" t="s">
        <v>24958</v>
      </c>
      <c r="G4201" s="6" t="s">
        <v>52</v>
      </c>
      <c r="H4201" s="6" t="s">
        <v>53</v>
      </c>
      <c r="I4201" s="8" t="s">
        <v>90</v>
      </c>
      <c r="J4201" s="9">
        <v>1</v>
      </c>
      <c r="K4201" s="9">
        <v>288</v>
      </c>
      <c r="L4201" s="9">
        <v>2022</v>
      </c>
      <c r="M4201" s="8" t="s">
        <v>24959</v>
      </c>
      <c r="N4201" s="8" t="s">
        <v>41</v>
      </c>
      <c r="O4201" s="8" t="s">
        <v>118</v>
      </c>
      <c r="P4201" s="6" t="s">
        <v>167</v>
      </c>
      <c r="Q4201" s="8" t="s">
        <v>44</v>
      </c>
      <c r="R4201" s="10" t="s">
        <v>24960</v>
      </c>
      <c r="S4201" s="11" t="s">
        <v>24961</v>
      </c>
      <c r="T4201" s="6"/>
      <c r="U4201" s="24" t="str">
        <f>HYPERLINK("https://media.infra-m.ru/1840/1840935/cover/1840935.jpg", "Обложка")</f>
        <v>Обложка</v>
      </c>
      <c r="V4201" s="24" t="str">
        <f>HYPERLINK("https://znanium.ru/catalog/product/2144979", "Ознакомиться")</f>
        <v>Ознакомиться</v>
      </c>
      <c r="W4201" s="8" t="s">
        <v>12607</v>
      </c>
      <c r="X4201" s="6"/>
      <c r="Y4201" s="6"/>
      <c r="Z4201" s="6"/>
      <c r="AA4201" s="6" t="s">
        <v>47</v>
      </c>
      <c r="AB4201" s="8"/>
    </row>
    <row r="4202" spans="1:28" s="4" customFormat="1" ht="51.95" customHeight="1">
      <c r="A4202" s="5">
        <v>0</v>
      </c>
      <c r="B4202" s="6" t="s">
        <v>24962</v>
      </c>
      <c r="C4202" s="13">
        <v>1600</v>
      </c>
      <c r="D4202" s="8" t="s">
        <v>24963</v>
      </c>
      <c r="E4202" s="8" t="s">
        <v>24964</v>
      </c>
      <c r="F4202" s="8" t="s">
        <v>19648</v>
      </c>
      <c r="G4202" s="6" t="s">
        <v>52</v>
      </c>
      <c r="H4202" s="6" t="s">
        <v>53</v>
      </c>
      <c r="I4202" s="8" t="s">
        <v>116</v>
      </c>
      <c r="J4202" s="9">
        <v>1</v>
      </c>
      <c r="K4202" s="9">
        <v>305</v>
      </c>
      <c r="L4202" s="9">
        <v>2025</v>
      </c>
      <c r="M4202" s="8" t="s">
        <v>24965</v>
      </c>
      <c r="N4202" s="8" t="s">
        <v>41</v>
      </c>
      <c r="O4202" s="8" t="s">
        <v>118</v>
      </c>
      <c r="P4202" s="6" t="s">
        <v>167</v>
      </c>
      <c r="Q4202" s="8" t="s">
        <v>44</v>
      </c>
      <c r="R4202" s="10" t="s">
        <v>24960</v>
      </c>
      <c r="S4202" s="11" t="s">
        <v>24966</v>
      </c>
      <c r="T4202" s="6"/>
      <c r="U4202" s="24" t="str">
        <f>HYPERLINK("https://media.infra-m.ru/2144/2144979/cover/2144979.jpg", "Обложка")</f>
        <v>Обложка</v>
      </c>
      <c r="V4202" s="24" t="str">
        <f>HYPERLINK("https://znanium.ru/catalog/product/2144979", "Ознакомиться")</f>
        <v>Ознакомиться</v>
      </c>
      <c r="W4202" s="8" t="s">
        <v>12607</v>
      </c>
      <c r="X4202" s="6" t="s">
        <v>60</v>
      </c>
      <c r="Y4202" s="6"/>
      <c r="Z4202" s="6"/>
      <c r="AA4202" s="6" t="s">
        <v>549</v>
      </c>
      <c r="AB4202" s="8"/>
    </row>
    <row r="4203" spans="1:28" s="4" customFormat="1" ht="42" customHeight="1">
      <c r="A4203" s="5">
        <v>0</v>
      </c>
      <c r="B4203" s="6" t="s">
        <v>24967</v>
      </c>
      <c r="C4203" s="7">
        <v>614.9</v>
      </c>
      <c r="D4203" s="8" t="s">
        <v>24968</v>
      </c>
      <c r="E4203" s="8" t="s">
        <v>24957</v>
      </c>
      <c r="F4203" s="8" t="s">
        <v>24969</v>
      </c>
      <c r="G4203" s="6" t="s">
        <v>38</v>
      </c>
      <c r="H4203" s="6" t="s">
        <v>952</v>
      </c>
      <c r="I4203" s="8"/>
      <c r="J4203" s="9">
        <v>1</v>
      </c>
      <c r="K4203" s="9">
        <v>128</v>
      </c>
      <c r="L4203" s="9">
        <v>2022</v>
      </c>
      <c r="M4203" s="8" t="s">
        <v>24970</v>
      </c>
      <c r="N4203" s="8" t="s">
        <v>41</v>
      </c>
      <c r="O4203" s="8" t="s">
        <v>118</v>
      </c>
      <c r="P4203" s="6" t="s">
        <v>43</v>
      </c>
      <c r="Q4203" s="8" t="s">
        <v>44</v>
      </c>
      <c r="R4203" s="10" t="s">
        <v>1958</v>
      </c>
      <c r="S4203" s="11"/>
      <c r="T4203" s="6"/>
      <c r="U4203" s="24" t="str">
        <f>HYPERLINK("https://media.infra-m.ru/1864/1864119/cover/1864119.jpg", "Обложка")</f>
        <v>Обложка</v>
      </c>
      <c r="V4203" s="24" t="str">
        <f>HYPERLINK("https://znanium.ru/catalog/product/1089636", "Ознакомиться")</f>
        <v>Ознакомиться</v>
      </c>
      <c r="W4203" s="8" t="s">
        <v>3282</v>
      </c>
      <c r="X4203" s="6"/>
      <c r="Y4203" s="6"/>
      <c r="Z4203" s="6"/>
      <c r="AA4203" s="6" t="s">
        <v>793</v>
      </c>
      <c r="AB4203" s="8"/>
    </row>
    <row r="4204" spans="1:28" s="4" customFormat="1" ht="51.95" customHeight="1">
      <c r="A4204" s="5">
        <v>0</v>
      </c>
      <c r="B4204" s="6" t="s">
        <v>24971</v>
      </c>
      <c r="C4204" s="7">
        <v>574</v>
      </c>
      <c r="D4204" s="8" t="s">
        <v>24972</v>
      </c>
      <c r="E4204" s="8" t="s">
        <v>24973</v>
      </c>
      <c r="F4204" s="8" t="s">
        <v>24974</v>
      </c>
      <c r="G4204" s="6" t="s">
        <v>38</v>
      </c>
      <c r="H4204" s="6" t="s">
        <v>53</v>
      </c>
      <c r="I4204" s="8" t="s">
        <v>90</v>
      </c>
      <c r="J4204" s="9">
        <v>1</v>
      </c>
      <c r="K4204" s="9">
        <v>127</v>
      </c>
      <c r="L4204" s="9">
        <v>2023</v>
      </c>
      <c r="M4204" s="8" t="s">
        <v>24975</v>
      </c>
      <c r="N4204" s="8" t="s">
        <v>41</v>
      </c>
      <c r="O4204" s="8" t="s">
        <v>118</v>
      </c>
      <c r="P4204" s="6" t="s">
        <v>43</v>
      </c>
      <c r="Q4204" s="8" t="s">
        <v>44</v>
      </c>
      <c r="R4204" s="10" t="s">
        <v>24976</v>
      </c>
      <c r="S4204" s="11" t="s">
        <v>24977</v>
      </c>
      <c r="T4204" s="6"/>
      <c r="U4204" s="24" t="str">
        <f>HYPERLINK("https://media.infra-m.ru/2002/2002623/cover/2002623.jpg", "Обложка")</f>
        <v>Обложка</v>
      </c>
      <c r="V4204" s="24" t="str">
        <f>HYPERLINK("https://znanium.ru/catalog/product/2002623", "Ознакомиться")</f>
        <v>Ознакомиться</v>
      </c>
      <c r="W4204" s="8" t="s">
        <v>24978</v>
      </c>
      <c r="X4204" s="6"/>
      <c r="Y4204" s="6"/>
      <c r="Z4204" s="6"/>
      <c r="AA4204" s="6" t="s">
        <v>442</v>
      </c>
      <c r="AB4204" s="8"/>
    </row>
    <row r="4205" spans="1:28" s="4" customFormat="1" ht="51.95" customHeight="1">
      <c r="A4205" s="5">
        <v>0</v>
      </c>
      <c r="B4205" s="6" t="s">
        <v>24979</v>
      </c>
      <c r="C4205" s="13">
        <v>1164</v>
      </c>
      <c r="D4205" s="8" t="s">
        <v>24980</v>
      </c>
      <c r="E4205" s="8" t="s">
        <v>24957</v>
      </c>
      <c r="F4205" s="8" t="s">
        <v>24981</v>
      </c>
      <c r="G4205" s="6" t="s">
        <v>89</v>
      </c>
      <c r="H4205" s="6" t="s">
        <v>53</v>
      </c>
      <c r="I4205" s="8" t="s">
        <v>90</v>
      </c>
      <c r="J4205" s="9">
        <v>1</v>
      </c>
      <c r="K4205" s="9">
        <v>224</v>
      </c>
      <c r="L4205" s="9">
        <v>2025</v>
      </c>
      <c r="M4205" s="8" t="s">
        <v>24982</v>
      </c>
      <c r="N4205" s="8" t="s">
        <v>41</v>
      </c>
      <c r="O4205" s="8" t="s">
        <v>1007</v>
      </c>
      <c r="P4205" s="6" t="s">
        <v>43</v>
      </c>
      <c r="Q4205" s="8" t="s">
        <v>44</v>
      </c>
      <c r="R4205" s="10" t="s">
        <v>1709</v>
      </c>
      <c r="S4205" s="11" t="s">
        <v>24983</v>
      </c>
      <c r="T4205" s="6" t="s">
        <v>299</v>
      </c>
      <c r="U4205" s="24" t="str">
        <f>HYPERLINK("https://media.infra-m.ru/2196/2196903/cover/2196903.jpg", "Обложка")</f>
        <v>Обложка</v>
      </c>
      <c r="V4205" s="24" t="str">
        <f>HYPERLINK("https://znanium.ru/catalog/product/1290956", "Ознакомиться")</f>
        <v>Ознакомиться</v>
      </c>
      <c r="W4205" s="8" t="s">
        <v>14403</v>
      </c>
      <c r="X4205" s="6"/>
      <c r="Y4205" s="6"/>
      <c r="Z4205" s="6"/>
      <c r="AA4205" s="6" t="s">
        <v>111</v>
      </c>
      <c r="AB4205" s="8"/>
    </row>
    <row r="4206" spans="1:28" s="4" customFormat="1" ht="51.95" customHeight="1">
      <c r="A4206" s="5">
        <v>0</v>
      </c>
      <c r="B4206" s="6" t="s">
        <v>24984</v>
      </c>
      <c r="C4206" s="13">
        <v>1124</v>
      </c>
      <c r="D4206" s="8" t="s">
        <v>24985</v>
      </c>
      <c r="E4206" s="8" t="s">
        <v>24986</v>
      </c>
      <c r="F4206" s="8" t="s">
        <v>24987</v>
      </c>
      <c r="G4206" s="6" t="s">
        <v>52</v>
      </c>
      <c r="H4206" s="6" t="s">
        <v>674</v>
      </c>
      <c r="I4206" s="8"/>
      <c r="J4206" s="9">
        <v>1</v>
      </c>
      <c r="K4206" s="9">
        <v>240</v>
      </c>
      <c r="L4206" s="9">
        <v>2024</v>
      </c>
      <c r="M4206" s="8" t="s">
        <v>24988</v>
      </c>
      <c r="N4206" s="8" t="s">
        <v>41</v>
      </c>
      <c r="O4206" s="8" t="s">
        <v>676</v>
      </c>
      <c r="P4206" s="6" t="s">
        <v>43</v>
      </c>
      <c r="Q4206" s="8" t="s">
        <v>279</v>
      </c>
      <c r="R4206" s="10" t="s">
        <v>24989</v>
      </c>
      <c r="S4206" s="11"/>
      <c r="T4206" s="6"/>
      <c r="U4206" s="24" t="str">
        <f>HYPERLINK("https://media.infra-m.ru/2006/2006853/cover/2006853.jpg", "Обложка")</f>
        <v>Обложка</v>
      </c>
      <c r="V4206" s="24" t="str">
        <f>HYPERLINK("https://znanium.ru/catalog/product/2006853", "Ознакомиться")</f>
        <v>Ознакомиться</v>
      </c>
      <c r="W4206" s="8" t="s">
        <v>792</v>
      </c>
      <c r="X4206" s="6"/>
      <c r="Y4206" s="6"/>
      <c r="Z4206" s="6"/>
      <c r="AA4206" s="6" t="s">
        <v>151</v>
      </c>
      <c r="AB4206" s="8"/>
    </row>
    <row r="4207" spans="1:28" s="4" customFormat="1" ht="51.95" customHeight="1">
      <c r="A4207" s="5">
        <v>0</v>
      </c>
      <c r="B4207" s="6" t="s">
        <v>24990</v>
      </c>
      <c r="C4207" s="7">
        <v>944</v>
      </c>
      <c r="D4207" s="8" t="s">
        <v>24991</v>
      </c>
      <c r="E4207" s="8" t="s">
        <v>24992</v>
      </c>
      <c r="F4207" s="8" t="s">
        <v>24993</v>
      </c>
      <c r="G4207" s="6" t="s">
        <v>89</v>
      </c>
      <c r="H4207" s="6" t="s">
        <v>53</v>
      </c>
      <c r="I4207" s="8" t="s">
        <v>90</v>
      </c>
      <c r="J4207" s="9">
        <v>1</v>
      </c>
      <c r="K4207" s="9">
        <v>188</v>
      </c>
      <c r="L4207" s="9">
        <v>2025</v>
      </c>
      <c r="M4207" s="8" t="s">
        <v>24994</v>
      </c>
      <c r="N4207" s="8" t="s">
        <v>41</v>
      </c>
      <c r="O4207" s="8" t="s">
        <v>1007</v>
      </c>
      <c r="P4207" s="6" t="s">
        <v>43</v>
      </c>
      <c r="Q4207" s="8" t="s">
        <v>44</v>
      </c>
      <c r="R4207" s="10" t="s">
        <v>10144</v>
      </c>
      <c r="S4207" s="11" t="s">
        <v>24995</v>
      </c>
      <c r="T4207" s="6" t="s">
        <v>299</v>
      </c>
      <c r="U4207" s="24" t="str">
        <f>HYPERLINK("https://media.infra-m.ru/2187/2187972/cover/2187972.jpg", "Обложка")</f>
        <v>Обложка</v>
      </c>
      <c r="V4207" s="24" t="str">
        <f>HYPERLINK("https://znanium.ru/catalog/product/1850674", "Ознакомиться")</f>
        <v>Ознакомиться</v>
      </c>
      <c r="W4207" s="8" t="s">
        <v>189</v>
      </c>
      <c r="X4207" s="6"/>
      <c r="Y4207" s="6"/>
      <c r="Z4207" s="6"/>
      <c r="AA4207" s="6" t="s">
        <v>84</v>
      </c>
      <c r="AB4207" s="8"/>
    </row>
    <row r="4208" spans="1:28" s="4" customFormat="1" ht="51.95" customHeight="1">
      <c r="A4208" s="5">
        <v>0</v>
      </c>
      <c r="B4208" s="6" t="s">
        <v>24996</v>
      </c>
      <c r="C4208" s="13">
        <v>1720</v>
      </c>
      <c r="D4208" s="8" t="s">
        <v>24997</v>
      </c>
      <c r="E4208" s="8" t="s">
        <v>24998</v>
      </c>
      <c r="F4208" s="8" t="s">
        <v>7752</v>
      </c>
      <c r="G4208" s="6" t="s">
        <v>89</v>
      </c>
      <c r="H4208" s="6" t="s">
        <v>53</v>
      </c>
      <c r="I4208" s="8" t="s">
        <v>90</v>
      </c>
      <c r="J4208" s="9">
        <v>1</v>
      </c>
      <c r="K4208" s="9">
        <v>383</v>
      </c>
      <c r="L4208" s="9">
        <v>2021</v>
      </c>
      <c r="M4208" s="8" t="s">
        <v>24999</v>
      </c>
      <c r="N4208" s="8" t="s">
        <v>41</v>
      </c>
      <c r="O4208" s="8" t="s">
        <v>1007</v>
      </c>
      <c r="P4208" s="6" t="s">
        <v>43</v>
      </c>
      <c r="Q4208" s="8" t="s">
        <v>44</v>
      </c>
      <c r="R4208" s="10" t="s">
        <v>25000</v>
      </c>
      <c r="S4208" s="11" t="s">
        <v>25001</v>
      </c>
      <c r="T4208" s="6"/>
      <c r="U4208" s="24" t="str">
        <f>HYPERLINK("https://media.infra-m.ru/1948/1948195/cover/1948195.jpg", "Обложка")</f>
        <v>Обложка</v>
      </c>
      <c r="V4208" s="24" t="str">
        <f>HYPERLINK("https://znanium.ru/catalog/product/1003198", "Ознакомиться")</f>
        <v>Ознакомиться</v>
      </c>
      <c r="W4208" s="8" t="s">
        <v>19673</v>
      </c>
      <c r="X4208" s="6"/>
      <c r="Y4208" s="6"/>
      <c r="Z4208" s="6"/>
      <c r="AA4208" s="6" t="s">
        <v>219</v>
      </c>
      <c r="AB4208" s="8"/>
    </row>
    <row r="4209" spans="1:28" s="4" customFormat="1" ht="51.95" customHeight="1">
      <c r="A4209" s="5">
        <v>0</v>
      </c>
      <c r="B4209" s="6" t="s">
        <v>25002</v>
      </c>
      <c r="C4209" s="7">
        <v>800</v>
      </c>
      <c r="D4209" s="8" t="s">
        <v>25003</v>
      </c>
      <c r="E4209" s="8" t="s">
        <v>25004</v>
      </c>
      <c r="F4209" s="8" t="s">
        <v>25005</v>
      </c>
      <c r="G4209" s="6" t="s">
        <v>52</v>
      </c>
      <c r="H4209" s="6" t="s">
        <v>25006</v>
      </c>
      <c r="I4209" s="8"/>
      <c r="J4209" s="9">
        <v>1</v>
      </c>
      <c r="K4209" s="9">
        <v>208</v>
      </c>
      <c r="L4209" s="9">
        <v>2020</v>
      </c>
      <c r="M4209" s="8" t="s">
        <v>25007</v>
      </c>
      <c r="N4209" s="8" t="s">
        <v>41</v>
      </c>
      <c r="O4209" s="8" t="s">
        <v>1007</v>
      </c>
      <c r="P4209" s="6" t="s">
        <v>1046</v>
      </c>
      <c r="Q4209" s="8" t="s">
        <v>279</v>
      </c>
      <c r="R4209" s="10" t="s">
        <v>25008</v>
      </c>
      <c r="S4209" s="11"/>
      <c r="T4209" s="6"/>
      <c r="U4209" s="24" t="str">
        <f>HYPERLINK("https://media.infra-m.ru/1197/1197156/cover/1197156.jpg", "Обложка")</f>
        <v>Обложка</v>
      </c>
      <c r="V4209" s="24" t="str">
        <f>HYPERLINK("https://znanium.ru/catalog/product/1197156", "Ознакомиться")</f>
        <v>Ознакомиться</v>
      </c>
      <c r="W4209" s="8" t="s">
        <v>3282</v>
      </c>
      <c r="X4209" s="6"/>
      <c r="Y4209" s="6"/>
      <c r="Z4209" s="6"/>
      <c r="AA4209" s="6" t="s">
        <v>793</v>
      </c>
      <c r="AB4209" s="8"/>
    </row>
    <row r="4210" spans="1:28" s="4" customFormat="1" ht="51.95" customHeight="1">
      <c r="A4210" s="5">
        <v>0</v>
      </c>
      <c r="B4210" s="6" t="s">
        <v>25009</v>
      </c>
      <c r="C4210" s="13">
        <v>1184</v>
      </c>
      <c r="D4210" s="8" t="s">
        <v>25010</v>
      </c>
      <c r="E4210" s="8" t="s">
        <v>25011</v>
      </c>
      <c r="F4210" s="8" t="s">
        <v>25012</v>
      </c>
      <c r="G4210" s="6" t="s">
        <v>52</v>
      </c>
      <c r="H4210" s="6" t="s">
        <v>53</v>
      </c>
      <c r="I4210" s="8" t="s">
        <v>90</v>
      </c>
      <c r="J4210" s="9">
        <v>1</v>
      </c>
      <c r="K4210" s="9">
        <v>256</v>
      </c>
      <c r="L4210" s="9">
        <v>2024</v>
      </c>
      <c r="M4210" s="8" t="s">
        <v>25013</v>
      </c>
      <c r="N4210" s="8" t="s">
        <v>79</v>
      </c>
      <c r="O4210" s="8" t="s">
        <v>396</v>
      </c>
      <c r="P4210" s="6" t="s">
        <v>43</v>
      </c>
      <c r="Q4210" s="8" t="s">
        <v>44</v>
      </c>
      <c r="R4210" s="10" t="s">
        <v>25014</v>
      </c>
      <c r="S4210" s="11" t="s">
        <v>25015</v>
      </c>
      <c r="T4210" s="6"/>
      <c r="U4210" s="24" t="str">
        <f>HYPERLINK("https://media.infra-m.ru/2078/2078391/cover/2078391.jpg", "Обложка")</f>
        <v>Обложка</v>
      </c>
      <c r="V4210" s="12"/>
      <c r="W4210" s="8" t="s">
        <v>71</v>
      </c>
      <c r="X4210" s="6"/>
      <c r="Y4210" s="6"/>
      <c r="Z4210" s="6"/>
      <c r="AA4210" s="6" t="s">
        <v>122</v>
      </c>
      <c r="AB4210" s="8"/>
    </row>
    <row r="4211" spans="1:28" s="4" customFormat="1" ht="51.95" customHeight="1">
      <c r="A4211" s="5">
        <v>0</v>
      </c>
      <c r="B4211" s="6" t="s">
        <v>25016</v>
      </c>
      <c r="C4211" s="13">
        <v>2084</v>
      </c>
      <c r="D4211" s="8" t="s">
        <v>25017</v>
      </c>
      <c r="E4211" s="8" t="s">
        <v>25018</v>
      </c>
      <c r="F4211" s="8" t="s">
        <v>25019</v>
      </c>
      <c r="G4211" s="6" t="s">
        <v>52</v>
      </c>
      <c r="H4211" s="6" t="s">
        <v>53</v>
      </c>
      <c r="I4211" s="8" t="s">
        <v>90</v>
      </c>
      <c r="J4211" s="9">
        <v>1</v>
      </c>
      <c r="K4211" s="9">
        <v>415</v>
      </c>
      <c r="L4211" s="9">
        <v>2025</v>
      </c>
      <c r="M4211" s="8" t="s">
        <v>25020</v>
      </c>
      <c r="N4211" s="8" t="s">
        <v>79</v>
      </c>
      <c r="O4211" s="8" t="s">
        <v>396</v>
      </c>
      <c r="P4211" s="6" t="s">
        <v>43</v>
      </c>
      <c r="Q4211" s="8" t="s">
        <v>44</v>
      </c>
      <c r="R4211" s="10" t="s">
        <v>25021</v>
      </c>
      <c r="S4211" s="11" t="s">
        <v>25022</v>
      </c>
      <c r="T4211" s="6"/>
      <c r="U4211" s="24" t="str">
        <f>HYPERLINK("https://media.infra-m.ru/2188/2188200/cover/2188200.jpg", "Обложка")</f>
        <v>Обложка</v>
      </c>
      <c r="V4211" s="24" t="str">
        <f>HYPERLINK("https://znanium.ru/catalog/product/2125464", "Ознакомиться")</f>
        <v>Ознакомиться</v>
      </c>
      <c r="W4211" s="8" t="s">
        <v>25023</v>
      </c>
      <c r="X4211" s="6"/>
      <c r="Y4211" s="6"/>
      <c r="Z4211" s="6"/>
      <c r="AA4211" s="6" t="s">
        <v>72</v>
      </c>
      <c r="AB4211" s="8"/>
    </row>
    <row r="4212" spans="1:28" s="4" customFormat="1" ht="51.95" customHeight="1">
      <c r="A4212" s="5">
        <v>0</v>
      </c>
      <c r="B4212" s="6" t="s">
        <v>25024</v>
      </c>
      <c r="C4212" s="13">
        <v>1744.9</v>
      </c>
      <c r="D4212" s="8" t="s">
        <v>25025</v>
      </c>
      <c r="E4212" s="8" t="s">
        <v>25018</v>
      </c>
      <c r="F4212" s="8" t="s">
        <v>25019</v>
      </c>
      <c r="G4212" s="6" t="s">
        <v>89</v>
      </c>
      <c r="H4212" s="6" t="s">
        <v>53</v>
      </c>
      <c r="I4212" s="8" t="s">
        <v>100</v>
      </c>
      <c r="J4212" s="9">
        <v>1</v>
      </c>
      <c r="K4212" s="9">
        <v>415</v>
      </c>
      <c r="L4212" s="9">
        <v>2022</v>
      </c>
      <c r="M4212" s="8" t="s">
        <v>25026</v>
      </c>
      <c r="N4212" s="8" t="s">
        <v>79</v>
      </c>
      <c r="O4212" s="8" t="s">
        <v>396</v>
      </c>
      <c r="P4212" s="6" t="s">
        <v>43</v>
      </c>
      <c r="Q4212" s="8" t="s">
        <v>102</v>
      </c>
      <c r="R4212" s="10" t="s">
        <v>25027</v>
      </c>
      <c r="S4212" s="11" t="s">
        <v>25028</v>
      </c>
      <c r="T4212" s="6"/>
      <c r="U4212" s="24" t="str">
        <f>HYPERLINK("https://media.infra-m.ru/1876/1876292/cover/1876292.jpg", "Обложка")</f>
        <v>Обложка</v>
      </c>
      <c r="V4212" s="24" t="str">
        <f>HYPERLINK("https://znanium.ru/catalog/product/1113506", "Ознакомиться")</f>
        <v>Ознакомиться</v>
      </c>
      <c r="W4212" s="8" t="s">
        <v>25023</v>
      </c>
      <c r="X4212" s="6"/>
      <c r="Y4212" s="6"/>
      <c r="Z4212" s="6" t="s">
        <v>104</v>
      </c>
      <c r="AA4212" s="6" t="s">
        <v>258</v>
      </c>
      <c r="AB4212" s="8"/>
    </row>
    <row r="4213" spans="1:28" s="4" customFormat="1" ht="51.95" customHeight="1">
      <c r="A4213" s="5">
        <v>0</v>
      </c>
      <c r="B4213" s="6" t="s">
        <v>25029</v>
      </c>
      <c r="C4213" s="7">
        <v>650</v>
      </c>
      <c r="D4213" s="8" t="s">
        <v>25030</v>
      </c>
      <c r="E4213" s="8" t="s">
        <v>25031</v>
      </c>
      <c r="F4213" s="8" t="s">
        <v>12487</v>
      </c>
      <c r="G4213" s="6" t="s">
        <v>89</v>
      </c>
      <c r="H4213" s="6" t="s">
        <v>53</v>
      </c>
      <c r="I4213" s="8" t="s">
        <v>90</v>
      </c>
      <c r="J4213" s="9">
        <v>1</v>
      </c>
      <c r="K4213" s="9">
        <v>170</v>
      </c>
      <c r="L4213" s="9">
        <v>2022</v>
      </c>
      <c r="M4213" s="8" t="s">
        <v>25032</v>
      </c>
      <c r="N4213" s="8" t="s">
        <v>41</v>
      </c>
      <c r="O4213" s="8" t="s">
        <v>278</v>
      </c>
      <c r="P4213" s="6" t="s">
        <v>167</v>
      </c>
      <c r="Q4213" s="8" t="s">
        <v>44</v>
      </c>
      <c r="R4213" s="10" t="s">
        <v>25033</v>
      </c>
      <c r="S4213" s="11" t="s">
        <v>25034</v>
      </c>
      <c r="T4213" s="6"/>
      <c r="U4213" s="24" t="str">
        <f>HYPERLINK("https://media.infra-m.ru/1855/1855506/cover/1855506.jpg", "Обложка")</f>
        <v>Обложка</v>
      </c>
      <c r="V4213" s="24" t="str">
        <f>HYPERLINK("https://znanium.ru/catalog/product/1855506", "Ознакомиться")</f>
        <v>Ознакомиться</v>
      </c>
      <c r="W4213" s="8"/>
      <c r="X4213" s="6"/>
      <c r="Y4213" s="6"/>
      <c r="Z4213" s="6"/>
      <c r="AA4213" s="6" t="s">
        <v>122</v>
      </c>
      <c r="AB4213" s="8"/>
    </row>
    <row r="4214" spans="1:28" s="4" customFormat="1" ht="51.95" customHeight="1">
      <c r="A4214" s="5">
        <v>0</v>
      </c>
      <c r="B4214" s="6" t="s">
        <v>25035</v>
      </c>
      <c r="C4214" s="7">
        <v>770</v>
      </c>
      <c r="D4214" s="8" t="s">
        <v>25036</v>
      </c>
      <c r="E4214" s="8" t="s">
        <v>25037</v>
      </c>
      <c r="F4214" s="8" t="s">
        <v>12494</v>
      </c>
      <c r="G4214" s="6" t="s">
        <v>89</v>
      </c>
      <c r="H4214" s="6" t="s">
        <v>53</v>
      </c>
      <c r="I4214" s="8" t="s">
        <v>116</v>
      </c>
      <c r="J4214" s="9">
        <v>1</v>
      </c>
      <c r="K4214" s="9">
        <v>158</v>
      </c>
      <c r="L4214" s="9">
        <v>2024</v>
      </c>
      <c r="M4214" s="8" t="s">
        <v>25038</v>
      </c>
      <c r="N4214" s="8" t="s">
        <v>41</v>
      </c>
      <c r="O4214" s="8" t="s">
        <v>278</v>
      </c>
      <c r="P4214" s="6" t="s">
        <v>43</v>
      </c>
      <c r="Q4214" s="8" t="s">
        <v>44</v>
      </c>
      <c r="R4214" s="10" t="s">
        <v>25039</v>
      </c>
      <c r="S4214" s="11" t="s">
        <v>25040</v>
      </c>
      <c r="T4214" s="6"/>
      <c r="U4214" s="24" t="str">
        <f>HYPERLINK("https://media.infra-m.ru/2134/2134046/cover/2134046.jpg", "Обложка")</f>
        <v>Обложка</v>
      </c>
      <c r="V4214" s="24" t="str">
        <f>HYPERLINK("https://znanium.ru/catalog/product/2134046", "Ознакомиться")</f>
        <v>Ознакомиться</v>
      </c>
      <c r="W4214" s="8" t="s">
        <v>71</v>
      </c>
      <c r="X4214" s="6"/>
      <c r="Y4214" s="6"/>
      <c r="Z4214" s="6"/>
      <c r="AA4214" s="6" t="s">
        <v>25041</v>
      </c>
      <c r="AB4214" s="8"/>
    </row>
    <row r="4215" spans="1:28" s="4" customFormat="1" ht="51.95" customHeight="1">
      <c r="A4215" s="5">
        <v>0</v>
      </c>
      <c r="B4215" s="6" t="s">
        <v>25042</v>
      </c>
      <c r="C4215" s="7">
        <v>674.9</v>
      </c>
      <c r="D4215" s="8" t="s">
        <v>25043</v>
      </c>
      <c r="E4215" s="8" t="s">
        <v>25044</v>
      </c>
      <c r="F4215" s="8" t="s">
        <v>3342</v>
      </c>
      <c r="G4215" s="6" t="s">
        <v>52</v>
      </c>
      <c r="H4215" s="6" t="s">
        <v>184</v>
      </c>
      <c r="I4215" s="8" t="s">
        <v>8004</v>
      </c>
      <c r="J4215" s="9">
        <v>1</v>
      </c>
      <c r="K4215" s="9">
        <v>208</v>
      </c>
      <c r="L4215" s="9">
        <v>2019</v>
      </c>
      <c r="M4215" s="8" t="s">
        <v>25045</v>
      </c>
      <c r="N4215" s="8" t="s">
        <v>41</v>
      </c>
      <c r="O4215" s="8" t="s">
        <v>278</v>
      </c>
      <c r="P4215" s="6" t="s">
        <v>43</v>
      </c>
      <c r="Q4215" s="8" t="s">
        <v>44</v>
      </c>
      <c r="R4215" s="10" t="s">
        <v>25046</v>
      </c>
      <c r="S4215" s="11" t="s">
        <v>25047</v>
      </c>
      <c r="T4215" s="6"/>
      <c r="U4215" s="24" t="str">
        <f>HYPERLINK("https://media.infra-m.ru/1002/1002350/cover/1002350.jpg", "Обложка")</f>
        <v>Обложка</v>
      </c>
      <c r="V4215" s="24" t="str">
        <f>HYPERLINK("https://znanium.ru/catalog/product/1002350", "Ознакомиться")</f>
        <v>Ознакомиться</v>
      </c>
      <c r="W4215" s="8" t="s">
        <v>354</v>
      </c>
      <c r="X4215" s="6"/>
      <c r="Y4215" s="6"/>
      <c r="Z4215" s="6"/>
      <c r="AA4215" s="6" t="s">
        <v>72</v>
      </c>
      <c r="AB4215" s="8"/>
    </row>
    <row r="4216" spans="1:28" s="4" customFormat="1" ht="42" customHeight="1">
      <c r="A4216" s="5">
        <v>0</v>
      </c>
      <c r="B4216" s="6" t="s">
        <v>25048</v>
      </c>
      <c r="C4216" s="13">
        <v>1694</v>
      </c>
      <c r="D4216" s="8" t="s">
        <v>25049</v>
      </c>
      <c r="E4216" s="8" t="s">
        <v>25050</v>
      </c>
      <c r="F4216" s="8" t="s">
        <v>25051</v>
      </c>
      <c r="G4216" s="6" t="s">
        <v>52</v>
      </c>
      <c r="H4216" s="6" t="s">
        <v>649</v>
      </c>
      <c r="I4216" s="8" t="s">
        <v>116</v>
      </c>
      <c r="J4216" s="9">
        <v>1</v>
      </c>
      <c r="K4216" s="9">
        <v>368</v>
      </c>
      <c r="L4216" s="9">
        <v>2024</v>
      </c>
      <c r="M4216" s="8" t="s">
        <v>25052</v>
      </c>
      <c r="N4216" s="8" t="s">
        <v>41</v>
      </c>
      <c r="O4216" s="8" t="s">
        <v>278</v>
      </c>
      <c r="P4216" s="6" t="s">
        <v>167</v>
      </c>
      <c r="Q4216" s="8" t="s">
        <v>44</v>
      </c>
      <c r="R4216" s="10" t="s">
        <v>25053</v>
      </c>
      <c r="S4216" s="11"/>
      <c r="T4216" s="6"/>
      <c r="U4216" s="24" t="str">
        <f>HYPERLINK("https://media.infra-m.ru/2102/2102171/cover/2102171.jpg", "Обложка")</f>
        <v>Обложка</v>
      </c>
      <c r="V4216" s="24" t="str">
        <f>HYPERLINK("https://znanium.ru/catalog/product/1136780", "Ознакомиться")</f>
        <v>Ознакомиться</v>
      </c>
      <c r="W4216" s="8" t="s">
        <v>189</v>
      </c>
      <c r="X4216" s="6"/>
      <c r="Y4216" s="6"/>
      <c r="Z4216" s="6"/>
      <c r="AA4216" s="6" t="s">
        <v>47</v>
      </c>
      <c r="AB4216" s="8"/>
    </row>
    <row r="4217" spans="1:28" s="4" customFormat="1" ht="42" customHeight="1">
      <c r="A4217" s="5">
        <v>0</v>
      </c>
      <c r="B4217" s="6" t="s">
        <v>25054</v>
      </c>
      <c r="C4217" s="13">
        <v>1450</v>
      </c>
      <c r="D4217" s="8" t="s">
        <v>25055</v>
      </c>
      <c r="E4217" s="8" t="s">
        <v>25056</v>
      </c>
      <c r="F4217" s="8" t="s">
        <v>25057</v>
      </c>
      <c r="G4217" s="6" t="s">
        <v>52</v>
      </c>
      <c r="H4217" s="6" t="s">
        <v>53</v>
      </c>
      <c r="I4217" s="8" t="s">
        <v>100</v>
      </c>
      <c r="J4217" s="9">
        <v>1</v>
      </c>
      <c r="K4217" s="9">
        <v>282</v>
      </c>
      <c r="L4217" s="9">
        <v>2025</v>
      </c>
      <c r="M4217" s="8" t="s">
        <v>25058</v>
      </c>
      <c r="N4217" s="8" t="s">
        <v>41</v>
      </c>
      <c r="O4217" s="8" t="s">
        <v>278</v>
      </c>
      <c r="P4217" s="6" t="s">
        <v>167</v>
      </c>
      <c r="Q4217" s="8" t="s">
        <v>102</v>
      </c>
      <c r="R4217" s="10" t="s">
        <v>25059</v>
      </c>
      <c r="S4217" s="11"/>
      <c r="T4217" s="6" t="s">
        <v>299</v>
      </c>
      <c r="U4217" s="24" t="str">
        <f>HYPERLINK("https://media.infra-m.ru/2169/2169303/cover/2169303.jpg", "Обложка")</f>
        <v>Обложка</v>
      </c>
      <c r="V4217" s="24" t="str">
        <f>HYPERLINK("https://znanium.ru/catalog/product/2169303", "Ознакомиться")</f>
        <v>Ознакомиться</v>
      </c>
      <c r="W4217" s="8" t="s">
        <v>2988</v>
      </c>
      <c r="X4217" s="6" t="s">
        <v>785</v>
      </c>
      <c r="Y4217" s="6"/>
      <c r="Z4217" s="6" t="s">
        <v>104</v>
      </c>
      <c r="AA4217" s="6" t="s">
        <v>61</v>
      </c>
      <c r="AB4217" s="8"/>
    </row>
    <row r="4218" spans="1:28" s="4" customFormat="1" ht="51.95" customHeight="1">
      <c r="A4218" s="5">
        <v>0</v>
      </c>
      <c r="B4218" s="6" t="s">
        <v>25060</v>
      </c>
      <c r="C4218" s="13">
        <v>1464</v>
      </c>
      <c r="D4218" s="8" t="s">
        <v>25061</v>
      </c>
      <c r="E4218" s="8" t="s">
        <v>25056</v>
      </c>
      <c r="F4218" s="8" t="s">
        <v>7835</v>
      </c>
      <c r="G4218" s="6" t="s">
        <v>52</v>
      </c>
      <c r="H4218" s="6" t="s">
        <v>53</v>
      </c>
      <c r="I4218" s="8" t="s">
        <v>90</v>
      </c>
      <c r="J4218" s="9">
        <v>1</v>
      </c>
      <c r="K4218" s="9">
        <v>282</v>
      </c>
      <c r="L4218" s="9">
        <v>2025</v>
      </c>
      <c r="M4218" s="8" t="s">
        <v>25062</v>
      </c>
      <c r="N4218" s="8" t="s">
        <v>41</v>
      </c>
      <c r="O4218" s="8" t="s">
        <v>278</v>
      </c>
      <c r="P4218" s="6" t="s">
        <v>167</v>
      </c>
      <c r="Q4218" s="8" t="s">
        <v>44</v>
      </c>
      <c r="R4218" s="10" t="s">
        <v>25063</v>
      </c>
      <c r="S4218" s="11" t="s">
        <v>25064</v>
      </c>
      <c r="T4218" s="6" t="s">
        <v>299</v>
      </c>
      <c r="U4218" s="24" t="str">
        <f>HYPERLINK("https://media.infra-m.ru/2085/2085535/cover/2085535.jpg", "Обложка")</f>
        <v>Обложка</v>
      </c>
      <c r="V4218" s="24" t="str">
        <f>HYPERLINK("https://znanium.ru/catalog/product/1844283", "Ознакомиться")</f>
        <v>Ознакомиться</v>
      </c>
      <c r="W4218" s="8" t="s">
        <v>2988</v>
      </c>
      <c r="X4218" s="6"/>
      <c r="Y4218" s="6"/>
      <c r="Z4218" s="6"/>
      <c r="AA4218" s="6" t="s">
        <v>47</v>
      </c>
      <c r="AB4218" s="8"/>
    </row>
    <row r="4219" spans="1:28" s="4" customFormat="1" ht="51.95" customHeight="1">
      <c r="A4219" s="5">
        <v>0</v>
      </c>
      <c r="B4219" s="6" t="s">
        <v>25065</v>
      </c>
      <c r="C4219" s="13">
        <v>1444</v>
      </c>
      <c r="D4219" s="8" t="s">
        <v>25066</v>
      </c>
      <c r="E4219" s="8" t="s">
        <v>25056</v>
      </c>
      <c r="F4219" s="8" t="s">
        <v>25067</v>
      </c>
      <c r="G4219" s="6" t="s">
        <v>52</v>
      </c>
      <c r="H4219" s="6" t="s">
        <v>53</v>
      </c>
      <c r="I4219" s="8" t="s">
        <v>90</v>
      </c>
      <c r="J4219" s="9">
        <v>1</v>
      </c>
      <c r="K4219" s="9">
        <v>313</v>
      </c>
      <c r="L4219" s="9">
        <v>2024</v>
      </c>
      <c r="M4219" s="8" t="s">
        <v>25068</v>
      </c>
      <c r="N4219" s="8" t="s">
        <v>41</v>
      </c>
      <c r="O4219" s="8" t="s">
        <v>278</v>
      </c>
      <c r="P4219" s="6" t="s">
        <v>167</v>
      </c>
      <c r="Q4219" s="8" t="s">
        <v>44</v>
      </c>
      <c r="R4219" s="10" t="s">
        <v>25069</v>
      </c>
      <c r="S4219" s="11" t="s">
        <v>25070</v>
      </c>
      <c r="T4219" s="6"/>
      <c r="U4219" s="24" t="str">
        <f>HYPERLINK("https://media.infra-m.ru/1998/1998957/cover/1998957.jpg", "Обложка")</f>
        <v>Обложка</v>
      </c>
      <c r="V4219" s="12"/>
      <c r="W4219" s="8" t="s">
        <v>189</v>
      </c>
      <c r="X4219" s="6"/>
      <c r="Y4219" s="6"/>
      <c r="Z4219" s="6"/>
      <c r="AA4219" s="6" t="s">
        <v>47</v>
      </c>
      <c r="AB4219" s="8"/>
    </row>
    <row r="4220" spans="1:28" s="4" customFormat="1" ht="42" customHeight="1">
      <c r="A4220" s="5">
        <v>0</v>
      </c>
      <c r="B4220" s="6" t="s">
        <v>25071</v>
      </c>
      <c r="C4220" s="13">
        <v>1680</v>
      </c>
      <c r="D4220" s="8" t="s">
        <v>25072</v>
      </c>
      <c r="E4220" s="8" t="s">
        <v>25073</v>
      </c>
      <c r="F4220" s="8" t="s">
        <v>12511</v>
      </c>
      <c r="G4220" s="6" t="s">
        <v>52</v>
      </c>
      <c r="H4220" s="6" t="s">
        <v>53</v>
      </c>
      <c r="I4220" s="8" t="s">
        <v>116</v>
      </c>
      <c r="J4220" s="9">
        <v>1</v>
      </c>
      <c r="K4220" s="9">
        <v>359</v>
      </c>
      <c r="L4220" s="9">
        <v>2023</v>
      </c>
      <c r="M4220" s="8" t="s">
        <v>25074</v>
      </c>
      <c r="N4220" s="8" t="s">
        <v>41</v>
      </c>
      <c r="O4220" s="8" t="s">
        <v>278</v>
      </c>
      <c r="P4220" s="6" t="s">
        <v>43</v>
      </c>
      <c r="Q4220" s="8" t="s">
        <v>44</v>
      </c>
      <c r="R4220" s="10" t="s">
        <v>7543</v>
      </c>
      <c r="S4220" s="11"/>
      <c r="T4220" s="6"/>
      <c r="U4220" s="24" t="str">
        <f>HYPERLINK("https://media.infra-m.ru/1852/1852505/cover/1852505.jpg", "Обложка")</f>
        <v>Обложка</v>
      </c>
      <c r="V4220" s="24" t="str">
        <f>HYPERLINK("https://znanium.ru/catalog/product/1852505", "Ознакомиться")</f>
        <v>Ознакомиться</v>
      </c>
      <c r="W4220" s="8" t="s">
        <v>243</v>
      </c>
      <c r="X4220" s="6"/>
      <c r="Y4220" s="6"/>
      <c r="Z4220" s="6"/>
      <c r="AA4220" s="6" t="s">
        <v>207</v>
      </c>
      <c r="AB4220" s="8"/>
    </row>
    <row r="4221" spans="1:28" s="4" customFormat="1" ht="42" customHeight="1">
      <c r="A4221" s="5">
        <v>0</v>
      </c>
      <c r="B4221" s="6" t="s">
        <v>25075</v>
      </c>
      <c r="C4221" s="13">
        <v>1690</v>
      </c>
      <c r="D4221" s="8" t="s">
        <v>25076</v>
      </c>
      <c r="E4221" s="8" t="s">
        <v>25073</v>
      </c>
      <c r="F4221" s="8" t="s">
        <v>12511</v>
      </c>
      <c r="G4221" s="6" t="s">
        <v>89</v>
      </c>
      <c r="H4221" s="6" t="s">
        <v>53</v>
      </c>
      <c r="I4221" s="8" t="s">
        <v>100</v>
      </c>
      <c r="J4221" s="9">
        <v>1</v>
      </c>
      <c r="K4221" s="9">
        <v>359</v>
      </c>
      <c r="L4221" s="9">
        <v>2024</v>
      </c>
      <c r="M4221" s="8" t="s">
        <v>25077</v>
      </c>
      <c r="N4221" s="8" t="s">
        <v>41</v>
      </c>
      <c r="O4221" s="8" t="s">
        <v>278</v>
      </c>
      <c r="P4221" s="6" t="s">
        <v>43</v>
      </c>
      <c r="Q4221" s="8" t="s">
        <v>102</v>
      </c>
      <c r="R4221" s="10" t="s">
        <v>25078</v>
      </c>
      <c r="S4221" s="11"/>
      <c r="T4221" s="6"/>
      <c r="U4221" s="24" t="str">
        <f>HYPERLINK("https://media.infra-m.ru/2137/2137498/cover/2137498.jpg", "Обложка")</f>
        <v>Обложка</v>
      </c>
      <c r="V4221" s="24" t="str">
        <f>HYPERLINK("https://znanium.ru/catalog/product/2137498", "Ознакомиться")</f>
        <v>Ознакомиться</v>
      </c>
      <c r="W4221" s="8" t="s">
        <v>243</v>
      </c>
      <c r="X4221" s="6"/>
      <c r="Y4221" s="6"/>
      <c r="Z4221" s="6" t="s">
        <v>104</v>
      </c>
      <c r="AA4221" s="6" t="s">
        <v>207</v>
      </c>
      <c r="AB4221" s="8"/>
    </row>
    <row r="4222" spans="1:28" s="4" customFormat="1" ht="51.95" customHeight="1">
      <c r="A4222" s="5">
        <v>0</v>
      </c>
      <c r="B4222" s="6" t="s">
        <v>25079</v>
      </c>
      <c r="C4222" s="13">
        <v>1660</v>
      </c>
      <c r="D4222" s="8" t="s">
        <v>25080</v>
      </c>
      <c r="E4222" s="8" t="s">
        <v>25081</v>
      </c>
      <c r="F4222" s="8" t="s">
        <v>25082</v>
      </c>
      <c r="G4222" s="6" t="s">
        <v>89</v>
      </c>
      <c r="H4222" s="6" t="s">
        <v>438</v>
      </c>
      <c r="I4222" s="8"/>
      <c r="J4222" s="9">
        <v>1</v>
      </c>
      <c r="K4222" s="9">
        <v>352</v>
      </c>
      <c r="L4222" s="9">
        <v>2024</v>
      </c>
      <c r="M4222" s="8" t="s">
        <v>25083</v>
      </c>
      <c r="N4222" s="8" t="s">
        <v>41</v>
      </c>
      <c r="O4222" s="8" t="s">
        <v>278</v>
      </c>
      <c r="P4222" s="6" t="s">
        <v>43</v>
      </c>
      <c r="Q4222" s="8" t="s">
        <v>44</v>
      </c>
      <c r="R4222" s="10" t="s">
        <v>25084</v>
      </c>
      <c r="S4222" s="11" t="s">
        <v>25085</v>
      </c>
      <c r="T4222" s="6"/>
      <c r="U4222" s="24" t="str">
        <f>HYPERLINK("https://media.infra-m.ru/2142/2142266/cover/2142266.jpg", "Обложка")</f>
        <v>Обложка</v>
      </c>
      <c r="V4222" s="24" t="str">
        <f>HYPERLINK("https://znanium.ru/catalog/product/2142266", "Ознакомиться")</f>
        <v>Ознакомиться</v>
      </c>
      <c r="W4222" s="8" t="s">
        <v>25086</v>
      </c>
      <c r="X4222" s="6"/>
      <c r="Y4222" s="6"/>
      <c r="Z4222" s="6"/>
      <c r="AA4222" s="6" t="s">
        <v>122</v>
      </c>
      <c r="AB4222" s="8"/>
    </row>
    <row r="4223" spans="1:28" s="4" customFormat="1" ht="51.95" customHeight="1">
      <c r="A4223" s="5">
        <v>0</v>
      </c>
      <c r="B4223" s="6" t="s">
        <v>25087</v>
      </c>
      <c r="C4223" s="13">
        <v>1114</v>
      </c>
      <c r="D4223" s="8" t="s">
        <v>25088</v>
      </c>
      <c r="E4223" s="8" t="s">
        <v>25089</v>
      </c>
      <c r="F4223" s="8" t="s">
        <v>25090</v>
      </c>
      <c r="G4223" s="6" t="s">
        <v>89</v>
      </c>
      <c r="H4223" s="6" t="s">
        <v>53</v>
      </c>
      <c r="I4223" s="8" t="s">
        <v>276</v>
      </c>
      <c r="J4223" s="9">
        <v>1</v>
      </c>
      <c r="K4223" s="9">
        <v>191</v>
      </c>
      <c r="L4223" s="9">
        <v>2025</v>
      </c>
      <c r="M4223" s="8" t="s">
        <v>25091</v>
      </c>
      <c r="N4223" s="8" t="s">
        <v>79</v>
      </c>
      <c r="O4223" s="8" t="s">
        <v>424</v>
      </c>
      <c r="P4223" s="6" t="s">
        <v>43</v>
      </c>
      <c r="Q4223" s="8" t="s">
        <v>279</v>
      </c>
      <c r="R4223" s="10" t="s">
        <v>4598</v>
      </c>
      <c r="S4223" s="11" t="s">
        <v>25092</v>
      </c>
      <c r="T4223" s="6"/>
      <c r="U4223" s="12"/>
      <c r="V4223" s="24" t="str">
        <f>HYPERLINK("https://znanium.ru/catalog/product/1068771", "Ознакомиться")</f>
        <v>Ознакомиться</v>
      </c>
      <c r="W4223" s="8" t="s">
        <v>462</v>
      </c>
      <c r="X4223" s="6"/>
      <c r="Y4223" s="6"/>
      <c r="Z4223" s="6"/>
      <c r="AA4223" s="6" t="s">
        <v>258</v>
      </c>
      <c r="AB4223" s="8"/>
    </row>
    <row r="4224" spans="1:28" s="4" customFormat="1" ht="51.95" customHeight="1">
      <c r="A4224" s="5">
        <v>0</v>
      </c>
      <c r="B4224" s="6" t="s">
        <v>25093</v>
      </c>
      <c r="C4224" s="13">
        <v>1040</v>
      </c>
      <c r="D4224" s="8" t="s">
        <v>25094</v>
      </c>
      <c r="E4224" s="8" t="s">
        <v>25095</v>
      </c>
      <c r="F4224" s="8" t="s">
        <v>25096</v>
      </c>
      <c r="G4224" s="6" t="s">
        <v>89</v>
      </c>
      <c r="H4224" s="6" t="s">
        <v>53</v>
      </c>
      <c r="I4224" s="8" t="s">
        <v>116</v>
      </c>
      <c r="J4224" s="9">
        <v>1</v>
      </c>
      <c r="K4224" s="9">
        <v>224</v>
      </c>
      <c r="L4224" s="9">
        <v>2024</v>
      </c>
      <c r="M4224" s="8" t="s">
        <v>25097</v>
      </c>
      <c r="N4224" s="8" t="s">
        <v>79</v>
      </c>
      <c r="O4224" s="8" t="s">
        <v>424</v>
      </c>
      <c r="P4224" s="6" t="s">
        <v>43</v>
      </c>
      <c r="Q4224" s="8" t="s">
        <v>44</v>
      </c>
      <c r="R4224" s="10" t="s">
        <v>4598</v>
      </c>
      <c r="S4224" s="11" t="s">
        <v>25098</v>
      </c>
      <c r="T4224" s="6"/>
      <c r="U4224" s="24" t="str">
        <f>HYPERLINK("https://media.infra-m.ru/2104/2104276/cover/2104276.jpg", "Обложка")</f>
        <v>Обложка</v>
      </c>
      <c r="V4224" s="24" t="str">
        <f>HYPERLINK("https://znanium.ru/catalog/product/2104276", "Ознакомиться")</f>
        <v>Ознакомиться</v>
      </c>
      <c r="W4224" s="8" t="s">
        <v>977</v>
      </c>
      <c r="X4224" s="6"/>
      <c r="Y4224" s="6"/>
      <c r="Z4224" s="6"/>
      <c r="AA4224" s="6" t="s">
        <v>654</v>
      </c>
      <c r="AB4224" s="8"/>
    </row>
    <row r="4225" spans="1:28" s="4" customFormat="1" ht="51.95" customHeight="1">
      <c r="A4225" s="5">
        <v>0</v>
      </c>
      <c r="B4225" s="6" t="s">
        <v>25099</v>
      </c>
      <c r="C4225" s="13">
        <v>1164</v>
      </c>
      <c r="D4225" s="8" t="s">
        <v>25100</v>
      </c>
      <c r="E4225" s="8" t="s">
        <v>25095</v>
      </c>
      <c r="F4225" s="8" t="s">
        <v>25101</v>
      </c>
      <c r="G4225" s="6" t="s">
        <v>89</v>
      </c>
      <c r="H4225" s="6" t="s">
        <v>53</v>
      </c>
      <c r="I4225" s="8" t="s">
        <v>100</v>
      </c>
      <c r="J4225" s="9">
        <v>1</v>
      </c>
      <c r="K4225" s="9">
        <v>224</v>
      </c>
      <c r="L4225" s="9">
        <v>2025</v>
      </c>
      <c r="M4225" s="8" t="s">
        <v>25102</v>
      </c>
      <c r="N4225" s="8" t="s">
        <v>79</v>
      </c>
      <c r="O4225" s="8" t="s">
        <v>424</v>
      </c>
      <c r="P4225" s="6" t="s">
        <v>43</v>
      </c>
      <c r="Q4225" s="8" t="s">
        <v>102</v>
      </c>
      <c r="R4225" s="10" t="s">
        <v>17066</v>
      </c>
      <c r="S4225" s="11" t="s">
        <v>25103</v>
      </c>
      <c r="T4225" s="6"/>
      <c r="U4225" s="24" t="str">
        <f>HYPERLINK("https://media.infra-m.ru/2187/2187247/cover/2187247.jpg", "Обложка")</f>
        <v>Обложка</v>
      </c>
      <c r="V4225" s="24" t="str">
        <f>HYPERLINK("https://znanium.ru/catalog/product/2184839", "Ознакомиться")</f>
        <v>Ознакомиться</v>
      </c>
      <c r="W4225" s="8" t="s">
        <v>977</v>
      </c>
      <c r="X4225" s="6"/>
      <c r="Y4225" s="6"/>
      <c r="Z4225" s="6" t="s">
        <v>104</v>
      </c>
      <c r="AA4225" s="6" t="s">
        <v>258</v>
      </c>
      <c r="AB4225" s="8"/>
    </row>
    <row r="4226" spans="1:28" s="4" customFormat="1" ht="51.95" customHeight="1">
      <c r="A4226" s="5">
        <v>0</v>
      </c>
      <c r="B4226" s="6" t="s">
        <v>25104</v>
      </c>
      <c r="C4226" s="13">
        <v>1040</v>
      </c>
      <c r="D4226" s="8" t="s">
        <v>25105</v>
      </c>
      <c r="E4226" s="8" t="s">
        <v>25106</v>
      </c>
      <c r="F4226" s="8" t="s">
        <v>25107</v>
      </c>
      <c r="G4226" s="6" t="s">
        <v>89</v>
      </c>
      <c r="H4226" s="6" t="s">
        <v>53</v>
      </c>
      <c r="I4226" s="8" t="s">
        <v>100</v>
      </c>
      <c r="J4226" s="9">
        <v>1</v>
      </c>
      <c r="K4226" s="9">
        <v>208</v>
      </c>
      <c r="L4226" s="9">
        <v>2025</v>
      </c>
      <c r="M4226" s="8" t="s">
        <v>25108</v>
      </c>
      <c r="N4226" s="8" t="s">
        <v>79</v>
      </c>
      <c r="O4226" s="8" t="s">
        <v>424</v>
      </c>
      <c r="P4226" s="6" t="s">
        <v>167</v>
      </c>
      <c r="Q4226" s="8" t="s">
        <v>102</v>
      </c>
      <c r="R4226" s="10" t="s">
        <v>25109</v>
      </c>
      <c r="S4226" s="11" t="s">
        <v>25110</v>
      </c>
      <c r="T4226" s="6"/>
      <c r="U4226" s="24" t="str">
        <f>HYPERLINK("https://media.infra-m.ru/2192/2192468/cover/2192468.jpg", "Обложка")</f>
        <v>Обложка</v>
      </c>
      <c r="V4226" s="24" t="str">
        <f>HYPERLINK("https://znanium.ru/catalog/product/2192468", "Ознакомиться")</f>
        <v>Ознакомиться</v>
      </c>
      <c r="W4226" s="8" t="s">
        <v>977</v>
      </c>
      <c r="X4226" s="6"/>
      <c r="Y4226" s="6"/>
      <c r="Z4226" s="6"/>
      <c r="AA4226" s="6" t="s">
        <v>8847</v>
      </c>
      <c r="AB4226" s="8"/>
    </row>
    <row r="4227" spans="1:28" s="4" customFormat="1" ht="51.95" customHeight="1">
      <c r="A4227" s="5">
        <v>0</v>
      </c>
      <c r="B4227" s="6" t="s">
        <v>25111</v>
      </c>
      <c r="C4227" s="7">
        <v>980</v>
      </c>
      <c r="D4227" s="8" t="s">
        <v>25112</v>
      </c>
      <c r="E4227" s="8" t="s">
        <v>25106</v>
      </c>
      <c r="F4227" s="8" t="s">
        <v>25107</v>
      </c>
      <c r="G4227" s="6" t="s">
        <v>89</v>
      </c>
      <c r="H4227" s="6" t="s">
        <v>53</v>
      </c>
      <c r="I4227" s="8" t="s">
        <v>116</v>
      </c>
      <c r="J4227" s="9">
        <v>1</v>
      </c>
      <c r="K4227" s="9">
        <v>208</v>
      </c>
      <c r="L4227" s="9">
        <v>2024</v>
      </c>
      <c r="M4227" s="8" t="s">
        <v>25113</v>
      </c>
      <c r="N4227" s="8" t="s">
        <v>79</v>
      </c>
      <c r="O4227" s="8" t="s">
        <v>424</v>
      </c>
      <c r="P4227" s="6" t="s">
        <v>167</v>
      </c>
      <c r="Q4227" s="8" t="s">
        <v>58</v>
      </c>
      <c r="R4227" s="10" t="s">
        <v>5274</v>
      </c>
      <c r="S4227" s="11" t="s">
        <v>25114</v>
      </c>
      <c r="T4227" s="6"/>
      <c r="U4227" s="24" t="str">
        <f>HYPERLINK("https://media.infra-m.ru/2144/2144237/cover/2144237.jpg", "Обложка")</f>
        <v>Обложка</v>
      </c>
      <c r="V4227" s="24" t="str">
        <f>HYPERLINK("https://znanium.ru/catalog/product/2144237", "Ознакомиться")</f>
        <v>Ознакомиться</v>
      </c>
      <c r="W4227" s="8" t="s">
        <v>977</v>
      </c>
      <c r="X4227" s="6"/>
      <c r="Y4227" s="6"/>
      <c r="Z4227" s="6" t="s">
        <v>2627</v>
      </c>
      <c r="AA4227" s="6" t="s">
        <v>793</v>
      </c>
      <c r="AB4227" s="8"/>
    </row>
    <row r="4228" spans="1:28" s="4" customFormat="1" ht="51.95" customHeight="1">
      <c r="A4228" s="5">
        <v>0</v>
      </c>
      <c r="B4228" s="6" t="s">
        <v>25115</v>
      </c>
      <c r="C4228" s="13">
        <v>1120</v>
      </c>
      <c r="D4228" s="8" t="s">
        <v>25116</v>
      </c>
      <c r="E4228" s="8" t="s">
        <v>25117</v>
      </c>
      <c r="F4228" s="8" t="s">
        <v>15634</v>
      </c>
      <c r="G4228" s="6" t="s">
        <v>89</v>
      </c>
      <c r="H4228" s="6" t="s">
        <v>53</v>
      </c>
      <c r="I4228" s="8" t="s">
        <v>100</v>
      </c>
      <c r="J4228" s="9">
        <v>1</v>
      </c>
      <c r="K4228" s="9">
        <v>238</v>
      </c>
      <c r="L4228" s="9">
        <v>2024</v>
      </c>
      <c r="M4228" s="8" t="s">
        <v>25118</v>
      </c>
      <c r="N4228" s="8" t="s">
        <v>79</v>
      </c>
      <c r="O4228" s="8" t="s">
        <v>424</v>
      </c>
      <c r="P4228" s="6" t="s">
        <v>43</v>
      </c>
      <c r="Q4228" s="8" t="s">
        <v>102</v>
      </c>
      <c r="R4228" s="10" t="s">
        <v>25119</v>
      </c>
      <c r="S4228" s="11" t="s">
        <v>25120</v>
      </c>
      <c r="T4228" s="6"/>
      <c r="U4228" s="24" t="str">
        <f>HYPERLINK("https://media.infra-m.ru/2048/2048136/cover/2048136.jpg", "Обложка")</f>
        <v>Обложка</v>
      </c>
      <c r="V4228" s="24" t="str">
        <f>HYPERLINK("https://znanium.ru/catalog/product/2048136", "Ознакомиться")</f>
        <v>Ознакомиться</v>
      </c>
      <c r="W4228" s="8" t="s">
        <v>450</v>
      </c>
      <c r="X4228" s="6"/>
      <c r="Y4228" s="6"/>
      <c r="Z4228" s="6"/>
      <c r="AA4228" s="6" t="s">
        <v>654</v>
      </c>
      <c r="AB4228" s="8"/>
    </row>
    <row r="4229" spans="1:28" s="4" customFormat="1" ht="51.95" customHeight="1">
      <c r="A4229" s="5">
        <v>0</v>
      </c>
      <c r="B4229" s="6" t="s">
        <v>25121</v>
      </c>
      <c r="C4229" s="13">
        <v>1320</v>
      </c>
      <c r="D4229" s="8" t="s">
        <v>25122</v>
      </c>
      <c r="E4229" s="8" t="s">
        <v>25123</v>
      </c>
      <c r="F4229" s="8" t="s">
        <v>25124</v>
      </c>
      <c r="G4229" s="6" t="s">
        <v>52</v>
      </c>
      <c r="H4229" s="6" t="s">
        <v>53</v>
      </c>
      <c r="I4229" s="8" t="s">
        <v>712</v>
      </c>
      <c r="J4229" s="9">
        <v>1</v>
      </c>
      <c r="K4229" s="9">
        <v>280</v>
      </c>
      <c r="L4229" s="9">
        <v>2024</v>
      </c>
      <c r="M4229" s="8" t="s">
        <v>25125</v>
      </c>
      <c r="N4229" s="8" t="s">
        <v>413</v>
      </c>
      <c r="O4229" s="8" t="s">
        <v>414</v>
      </c>
      <c r="P4229" s="6" t="s">
        <v>43</v>
      </c>
      <c r="Q4229" s="8" t="s">
        <v>58</v>
      </c>
      <c r="R4229" s="10" t="s">
        <v>25126</v>
      </c>
      <c r="S4229" s="11" t="s">
        <v>11875</v>
      </c>
      <c r="T4229" s="6"/>
      <c r="U4229" s="24" t="str">
        <f>HYPERLINK("https://media.infra-m.ru/2082/2082608/cover/2082608.jpg", "Обложка")</f>
        <v>Обложка</v>
      </c>
      <c r="V4229" s="24" t="str">
        <f>HYPERLINK("https://znanium.ru/catalog/product/2082608", "Ознакомиться")</f>
        <v>Ознакомиться</v>
      </c>
      <c r="W4229" s="8" t="s">
        <v>716</v>
      </c>
      <c r="X4229" s="6"/>
      <c r="Y4229" s="6"/>
      <c r="Z4229" s="6"/>
      <c r="AA4229" s="6" t="s">
        <v>133</v>
      </c>
      <c r="AB4229" s="8"/>
    </row>
    <row r="4230" spans="1:28" s="4" customFormat="1" ht="44.1" customHeight="1">
      <c r="A4230" s="5">
        <v>0</v>
      </c>
      <c r="B4230" s="6" t="s">
        <v>25127</v>
      </c>
      <c r="C4230" s="7">
        <v>990</v>
      </c>
      <c r="D4230" s="8" t="s">
        <v>25128</v>
      </c>
      <c r="E4230" s="8" t="s">
        <v>25129</v>
      </c>
      <c r="F4230" s="8" t="s">
        <v>25130</v>
      </c>
      <c r="G4230" s="6" t="s">
        <v>52</v>
      </c>
      <c r="H4230" s="6" t="s">
        <v>53</v>
      </c>
      <c r="I4230" s="8" t="s">
        <v>1779</v>
      </c>
      <c r="J4230" s="9">
        <v>1</v>
      </c>
      <c r="K4230" s="9">
        <v>207</v>
      </c>
      <c r="L4230" s="9">
        <v>2024</v>
      </c>
      <c r="M4230" s="8" t="s">
        <v>25131</v>
      </c>
      <c r="N4230" s="8" t="s">
        <v>41</v>
      </c>
      <c r="O4230" s="8" t="s">
        <v>278</v>
      </c>
      <c r="P4230" s="6" t="s">
        <v>43</v>
      </c>
      <c r="Q4230" s="8" t="s">
        <v>44</v>
      </c>
      <c r="R4230" s="10" t="s">
        <v>25132</v>
      </c>
      <c r="S4230" s="11"/>
      <c r="T4230" s="6"/>
      <c r="U4230" s="24" t="str">
        <f>HYPERLINK("https://media.infra-m.ru/1895/1895314/cover/1895314.jpg", "Обложка")</f>
        <v>Обложка</v>
      </c>
      <c r="V4230" s="24" t="str">
        <f>HYPERLINK("https://znanium.ru/catalog/product/1895314", "Ознакомиться")</f>
        <v>Ознакомиться</v>
      </c>
      <c r="W4230" s="8" t="s">
        <v>25133</v>
      </c>
      <c r="X4230" s="6"/>
      <c r="Y4230" s="6"/>
      <c r="Z4230" s="6"/>
      <c r="AA4230" s="6" t="s">
        <v>133</v>
      </c>
      <c r="AB4230" s="8"/>
    </row>
    <row r="4231" spans="1:28" s="4" customFormat="1" ht="42" customHeight="1">
      <c r="A4231" s="5">
        <v>0</v>
      </c>
      <c r="B4231" s="6" t="s">
        <v>25134</v>
      </c>
      <c r="C4231" s="13">
        <v>1230</v>
      </c>
      <c r="D4231" s="8" t="s">
        <v>25135</v>
      </c>
      <c r="E4231" s="8" t="s">
        <v>25136</v>
      </c>
      <c r="F4231" s="8" t="s">
        <v>25137</v>
      </c>
      <c r="G4231" s="6" t="s">
        <v>52</v>
      </c>
      <c r="H4231" s="6" t="s">
        <v>53</v>
      </c>
      <c r="I4231" s="8" t="s">
        <v>276</v>
      </c>
      <c r="J4231" s="9">
        <v>1</v>
      </c>
      <c r="K4231" s="9">
        <v>245</v>
      </c>
      <c r="L4231" s="9">
        <v>2024</v>
      </c>
      <c r="M4231" s="8" t="s">
        <v>25138</v>
      </c>
      <c r="N4231" s="8" t="s">
        <v>41</v>
      </c>
      <c r="O4231" s="8" t="s">
        <v>118</v>
      </c>
      <c r="P4231" s="6" t="s">
        <v>43</v>
      </c>
      <c r="Q4231" s="8" t="s">
        <v>58</v>
      </c>
      <c r="R4231" s="10" t="s">
        <v>1107</v>
      </c>
      <c r="S4231" s="11"/>
      <c r="T4231" s="6"/>
      <c r="U4231" s="24" t="str">
        <f>HYPERLINK("https://media.infra-m.ru/1989/1989241/cover/1989241.jpg", "Обложка")</f>
        <v>Обложка</v>
      </c>
      <c r="V4231" s="24" t="str">
        <f>HYPERLINK("https://znanium.ru/catalog/product/1989241", "Ознакомиться")</f>
        <v>Ознакомиться</v>
      </c>
      <c r="W4231" s="8" t="s">
        <v>13721</v>
      </c>
      <c r="X4231" s="6"/>
      <c r="Y4231" s="6"/>
      <c r="Z4231" s="6"/>
      <c r="AA4231" s="6" t="s">
        <v>133</v>
      </c>
      <c r="AB4231" s="8"/>
    </row>
    <row r="4232" spans="1:28" s="4" customFormat="1" ht="51.95" customHeight="1">
      <c r="A4232" s="5">
        <v>0</v>
      </c>
      <c r="B4232" s="6" t="s">
        <v>25139</v>
      </c>
      <c r="C4232" s="13">
        <v>1190</v>
      </c>
      <c r="D4232" s="8" t="s">
        <v>25140</v>
      </c>
      <c r="E4232" s="8" t="s">
        <v>25141</v>
      </c>
      <c r="F4232" s="8" t="s">
        <v>25142</v>
      </c>
      <c r="G4232" s="6" t="s">
        <v>89</v>
      </c>
      <c r="H4232" s="6" t="s">
        <v>53</v>
      </c>
      <c r="I4232" s="8" t="s">
        <v>116</v>
      </c>
      <c r="J4232" s="9">
        <v>1</v>
      </c>
      <c r="K4232" s="9">
        <v>197</v>
      </c>
      <c r="L4232" s="9">
        <v>2025</v>
      </c>
      <c r="M4232" s="8" t="s">
        <v>25143</v>
      </c>
      <c r="N4232" s="8" t="s">
        <v>79</v>
      </c>
      <c r="O4232" s="8" t="s">
        <v>396</v>
      </c>
      <c r="P4232" s="6" t="s">
        <v>43</v>
      </c>
      <c r="Q4232" s="8" t="s">
        <v>44</v>
      </c>
      <c r="R4232" s="10" t="s">
        <v>6409</v>
      </c>
      <c r="S4232" s="11" t="s">
        <v>25144</v>
      </c>
      <c r="T4232" s="6"/>
      <c r="U4232" s="24" t="str">
        <f>HYPERLINK("https://media.infra-m.ru/2184/2184049/cover/2184049.jpg", "Обложка")</f>
        <v>Обложка</v>
      </c>
      <c r="V4232" s="24" t="str">
        <f>HYPERLINK("https://znanium.ru/catalog/product/2184049", "Ознакомиться")</f>
        <v>Ознакомиться</v>
      </c>
      <c r="W4232" s="8" t="s">
        <v>3201</v>
      </c>
      <c r="X4232" s="6"/>
      <c r="Y4232" s="6"/>
      <c r="Z4232" s="6"/>
      <c r="AA4232" s="6" t="s">
        <v>793</v>
      </c>
      <c r="AB4232" s="8"/>
    </row>
    <row r="4233" spans="1:28" s="4" customFormat="1" ht="51.95" customHeight="1">
      <c r="A4233" s="5">
        <v>0</v>
      </c>
      <c r="B4233" s="6" t="s">
        <v>25145</v>
      </c>
      <c r="C4233" s="7">
        <v>990</v>
      </c>
      <c r="D4233" s="8" t="s">
        <v>25146</v>
      </c>
      <c r="E4233" s="8" t="s">
        <v>25141</v>
      </c>
      <c r="F4233" s="8" t="s">
        <v>25147</v>
      </c>
      <c r="G4233" s="6" t="s">
        <v>89</v>
      </c>
      <c r="H4233" s="6" t="s">
        <v>53</v>
      </c>
      <c r="I4233" s="8" t="s">
        <v>116</v>
      </c>
      <c r="J4233" s="9">
        <v>1</v>
      </c>
      <c r="K4233" s="9">
        <v>191</v>
      </c>
      <c r="L4233" s="9">
        <v>2025</v>
      </c>
      <c r="M4233" s="8" t="s">
        <v>25148</v>
      </c>
      <c r="N4233" s="8" t="s">
        <v>79</v>
      </c>
      <c r="O4233" s="8" t="s">
        <v>396</v>
      </c>
      <c r="P4233" s="6" t="s">
        <v>43</v>
      </c>
      <c r="Q4233" s="8" t="s">
        <v>44</v>
      </c>
      <c r="R4233" s="10" t="s">
        <v>25149</v>
      </c>
      <c r="S4233" s="11" t="s">
        <v>25150</v>
      </c>
      <c r="T4233" s="6"/>
      <c r="U4233" s="24" t="str">
        <f>HYPERLINK("https://media.infra-m.ru/2184/2184900/cover/2184900.jpg", "Обложка")</f>
        <v>Обложка</v>
      </c>
      <c r="V4233" s="24" t="str">
        <f>HYPERLINK("https://znanium.ru/catalog/product/2184900", "Ознакомиться")</f>
        <v>Ознакомиться</v>
      </c>
      <c r="W4233" s="8" t="s">
        <v>7781</v>
      </c>
      <c r="X4233" s="6"/>
      <c r="Y4233" s="6"/>
      <c r="Z4233" s="6"/>
      <c r="AA4233" s="6" t="s">
        <v>219</v>
      </c>
      <c r="AB4233" s="8"/>
    </row>
    <row r="4234" spans="1:28" s="4" customFormat="1" ht="44.1" customHeight="1">
      <c r="A4234" s="5">
        <v>0</v>
      </c>
      <c r="B4234" s="6" t="s">
        <v>25151</v>
      </c>
      <c r="C4234" s="13">
        <v>1574</v>
      </c>
      <c r="D4234" s="8" t="s">
        <v>25152</v>
      </c>
      <c r="E4234" s="8" t="s">
        <v>25153</v>
      </c>
      <c r="F4234" s="8" t="s">
        <v>11593</v>
      </c>
      <c r="G4234" s="6" t="s">
        <v>52</v>
      </c>
      <c r="H4234" s="6" t="s">
        <v>53</v>
      </c>
      <c r="I4234" s="8" t="s">
        <v>90</v>
      </c>
      <c r="J4234" s="9">
        <v>1</v>
      </c>
      <c r="K4234" s="9">
        <v>335</v>
      </c>
      <c r="L4234" s="9">
        <v>2024</v>
      </c>
      <c r="M4234" s="8" t="s">
        <v>25154</v>
      </c>
      <c r="N4234" s="8" t="s">
        <v>56</v>
      </c>
      <c r="O4234" s="8" t="s">
        <v>9271</v>
      </c>
      <c r="P4234" s="6" t="s">
        <v>167</v>
      </c>
      <c r="Q4234" s="8" t="s">
        <v>44</v>
      </c>
      <c r="R4234" s="10" t="s">
        <v>25155</v>
      </c>
      <c r="S4234" s="11"/>
      <c r="T4234" s="6"/>
      <c r="U4234" s="24" t="str">
        <f>HYPERLINK("https://media.infra-m.ru/2058/2058776/cover/2058776.jpg", "Обложка")</f>
        <v>Обложка</v>
      </c>
      <c r="V4234" s="24" t="str">
        <f>HYPERLINK("https://znanium.ru/catalog/product/2058776", "Ознакомиться")</f>
        <v>Ознакомиться</v>
      </c>
      <c r="W4234" s="8" t="s">
        <v>11595</v>
      </c>
      <c r="X4234" s="6"/>
      <c r="Y4234" s="6"/>
      <c r="Z4234" s="6"/>
      <c r="AA4234" s="6" t="s">
        <v>377</v>
      </c>
      <c r="AB4234" s="8"/>
    </row>
    <row r="4235" spans="1:28" s="4" customFormat="1" ht="51.95" customHeight="1">
      <c r="A4235" s="5">
        <v>0</v>
      </c>
      <c r="B4235" s="6" t="s">
        <v>25156</v>
      </c>
      <c r="C4235" s="13">
        <v>1710</v>
      </c>
      <c r="D4235" s="8" t="s">
        <v>25157</v>
      </c>
      <c r="E4235" s="8" t="s">
        <v>25158</v>
      </c>
      <c r="F4235" s="8" t="s">
        <v>25159</v>
      </c>
      <c r="G4235" s="6" t="s">
        <v>89</v>
      </c>
      <c r="H4235" s="6" t="s">
        <v>53</v>
      </c>
      <c r="I4235" s="8" t="s">
        <v>116</v>
      </c>
      <c r="J4235" s="9">
        <v>1</v>
      </c>
      <c r="K4235" s="9">
        <v>370</v>
      </c>
      <c r="L4235" s="9">
        <v>2024</v>
      </c>
      <c r="M4235" s="8" t="s">
        <v>25160</v>
      </c>
      <c r="N4235" s="8" t="s">
        <v>56</v>
      </c>
      <c r="O4235" s="8" t="s">
        <v>9271</v>
      </c>
      <c r="P4235" s="6" t="s">
        <v>43</v>
      </c>
      <c r="Q4235" s="8" t="s">
        <v>44</v>
      </c>
      <c r="R4235" s="10" t="s">
        <v>25161</v>
      </c>
      <c r="S4235" s="11" t="s">
        <v>25162</v>
      </c>
      <c r="T4235" s="6" t="s">
        <v>299</v>
      </c>
      <c r="U4235" s="24" t="str">
        <f>HYPERLINK("https://media.infra-m.ru/2091/2091883/cover/2091883.jpg", "Обложка")</f>
        <v>Обложка</v>
      </c>
      <c r="V4235" s="24" t="str">
        <f>HYPERLINK("https://znanium.ru/catalog/product/2091883", "Ознакомиться")</f>
        <v>Ознакомиться</v>
      </c>
      <c r="W4235" s="8" t="s">
        <v>478</v>
      </c>
      <c r="X4235" s="6"/>
      <c r="Y4235" s="6"/>
      <c r="Z4235" s="6"/>
      <c r="AA4235" s="6" t="s">
        <v>418</v>
      </c>
      <c r="AB4235" s="8"/>
    </row>
    <row r="4236" spans="1:28" s="4" customFormat="1" ht="44.1" customHeight="1">
      <c r="A4236" s="5">
        <v>0</v>
      </c>
      <c r="B4236" s="6" t="s">
        <v>25163</v>
      </c>
      <c r="C4236" s="7">
        <v>920</v>
      </c>
      <c r="D4236" s="8" t="s">
        <v>25164</v>
      </c>
      <c r="E4236" s="8" t="s">
        <v>25165</v>
      </c>
      <c r="F4236" s="8" t="s">
        <v>9299</v>
      </c>
      <c r="G4236" s="6" t="s">
        <v>52</v>
      </c>
      <c r="H4236" s="6" t="s">
        <v>53</v>
      </c>
      <c r="I4236" s="8" t="s">
        <v>116</v>
      </c>
      <c r="J4236" s="9">
        <v>1</v>
      </c>
      <c r="K4236" s="9">
        <v>188</v>
      </c>
      <c r="L4236" s="9">
        <v>2024</v>
      </c>
      <c r="M4236" s="8" t="s">
        <v>25166</v>
      </c>
      <c r="N4236" s="8" t="s">
        <v>56</v>
      </c>
      <c r="O4236" s="8" t="s">
        <v>9271</v>
      </c>
      <c r="P4236" s="6" t="s">
        <v>43</v>
      </c>
      <c r="Q4236" s="8" t="s">
        <v>44</v>
      </c>
      <c r="R4236" s="10" t="s">
        <v>25167</v>
      </c>
      <c r="S4236" s="11"/>
      <c r="T4236" s="6"/>
      <c r="U4236" s="24" t="str">
        <f>HYPERLINK("https://media.infra-m.ru/1214/1214579/cover/1214579.jpg", "Обложка")</f>
        <v>Обложка</v>
      </c>
      <c r="V4236" s="24" t="str">
        <f>HYPERLINK("https://znanium.ru/catalog/product/1214579", "Ознакомиться")</f>
        <v>Ознакомиться</v>
      </c>
      <c r="W4236" s="8" t="s">
        <v>9301</v>
      </c>
      <c r="X4236" s="6"/>
      <c r="Y4236" s="6"/>
      <c r="Z4236" s="6"/>
      <c r="AA4236" s="6" t="s">
        <v>133</v>
      </c>
      <c r="AB4236" s="8"/>
    </row>
    <row r="4237" spans="1:28" s="4" customFormat="1" ht="51.95" customHeight="1">
      <c r="A4237" s="5">
        <v>0</v>
      </c>
      <c r="B4237" s="6" t="s">
        <v>25168</v>
      </c>
      <c r="C4237" s="13">
        <v>1784</v>
      </c>
      <c r="D4237" s="8" t="s">
        <v>25169</v>
      </c>
      <c r="E4237" s="8" t="s">
        <v>25170</v>
      </c>
      <c r="F4237" s="8" t="s">
        <v>18407</v>
      </c>
      <c r="G4237" s="6" t="s">
        <v>89</v>
      </c>
      <c r="H4237" s="6" t="s">
        <v>53</v>
      </c>
      <c r="I4237" s="8" t="s">
        <v>100</v>
      </c>
      <c r="J4237" s="9">
        <v>1</v>
      </c>
      <c r="K4237" s="9">
        <v>358</v>
      </c>
      <c r="L4237" s="9">
        <v>2025</v>
      </c>
      <c r="M4237" s="8" t="s">
        <v>25171</v>
      </c>
      <c r="N4237" s="8" t="s">
        <v>79</v>
      </c>
      <c r="O4237" s="8" t="s">
        <v>570</v>
      </c>
      <c r="P4237" s="6" t="s">
        <v>43</v>
      </c>
      <c r="Q4237" s="8" t="s">
        <v>102</v>
      </c>
      <c r="R4237" s="10" t="s">
        <v>25172</v>
      </c>
      <c r="S4237" s="11" t="s">
        <v>25173</v>
      </c>
      <c r="T4237" s="6"/>
      <c r="U4237" s="24" t="str">
        <f>HYPERLINK("https://media.infra-m.ru/2187/2187000/cover/2187000.jpg", "Обложка")</f>
        <v>Обложка</v>
      </c>
      <c r="V4237" s="24" t="str">
        <f>HYPERLINK("https://znanium.ru/catalog/product/2139017", "Ознакомиться")</f>
        <v>Ознакомиться</v>
      </c>
      <c r="W4237" s="8" t="s">
        <v>18409</v>
      </c>
      <c r="X4237" s="6"/>
      <c r="Y4237" s="6"/>
      <c r="Z4237" s="6"/>
      <c r="AA4237" s="6" t="s">
        <v>235</v>
      </c>
      <c r="AB4237" s="8"/>
    </row>
    <row r="4238" spans="1:28" s="4" customFormat="1" ht="51.95" customHeight="1">
      <c r="A4238" s="5">
        <v>0</v>
      </c>
      <c r="B4238" s="6" t="s">
        <v>25174</v>
      </c>
      <c r="C4238" s="13">
        <v>1104</v>
      </c>
      <c r="D4238" s="8" t="s">
        <v>25175</v>
      </c>
      <c r="E4238" s="8" t="s">
        <v>25176</v>
      </c>
      <c r="F4238" s="8" t="s">
        <v>25177</v>
      </c>
      <c r="G4238" s="6" t="s">
        <v>52</v>
      </c>
      <c r="H4238" s="6" t="s">
        <v>53</v>
      </c>
      <c r="I4238" s="8" t="s">
        <v>100</v>
      </c>
      <c r="J4238" s="9">
        <v>1</v>
      </c>
      <c r="K4238" s="9">
        <v>235</v>
      </c>
      <c r="L4238" s="9">
        <v>2024</v>
      </c>
      <c r="M4238" s="8" t="s">
        <v>25178</v>
      </c>
      <c r="N4238" s="8" t="s">
        <v>79</v>
      </c>
      <c r="O4238" s="8" t="s">
        <v>570</v>
      </c>
      <c r="P4238" s="6" t="s">
        <v>43</v>
      </c>
      <c r="Q4238" s="8" t="s">
        <v>102</v>
      </c>
      <c r="R4238" s="10" t="s">
        <v>6527</v>
      </c>
      <c r="S4238" s="11" t="s">
        <v>25179</v>
      </c>
      <c r="T4238" s="6"/>
      <c r="U4238" s="24" t="str">
        <f>HYPERLINK("https://media.infra-m.ru/2079/2079247/cover/2079247.jpg", "Обложка")</f>
        <v>Обложка</v>
      </c>
      <c r="V4238" s="24" t="str">
        <f>HYPERLINK("https://znanium.ru/catalog/product/1236299", "Ознакомиться")</f>
        <v>Ознакомиться</v>
      </c>
      <c r="W4238" s="8" t="s">
        <v>25180</v>
      </c>
      <c r="X4238" s="6"/>
      <c r="Y4238" s="6"/>
      <c r="Z4238" s="6"/>
      <c r="AA4238" s="6" t="s">
        <v>72</v>
      </c>
      <c r="AB4238" s="8"/>
    </row>
    <row r="4239" spans="1:28" s="4" customFormat="1" ht="51.95" customHeight="1">
      <c r="A4239" s="5">
        <v>0</v>
      </c>
      <c r="B4239" s="6" t="s">
        <v>25181</v>
      </c>
      <c r="C4239" s="7">
        <v>700</v>
      </c>
      <c r="D4239" s="8" t="s">
        <v>25182</v>
      </c>
      <c r="E4239" s="8" t="s">
        <v>25183</v>
      </c>
      <c r="F4239" s="8" t="s">
        <v>18533</v>
      </c>
      <c r="G4239" s="6" t="s">
        <v>38</v>
      </c>
      <c r="H4239" s="6" t="s">
        <v>53</v>
      </c>
      <c r="I4239" s="8" t="s">
        <v>560</v>
      </c>
      <c r="J4239" s="9">
        <v>1</v>
      </c>
      <c r="K4239" s="9">
        <v>102</v>
      </c>
      <c r="L4239" s="9">
        <v>2024</v>
      </c>
      <c r="M4239" s="8" t="s">
        <v>25184</v>
      </c>
      <c r="N4239" s="8" t="s">
        <v>41</v>
      </c>
      <c r="O4239" s="8" t="s">
        <v>129</v>
      </c>
      <c r="P4239" s="6" t="s">
        <v>43</v>
      </c>
      <c r="Q4239" s="8" t="s">
        <v>58</v>
      </c>
      <c r="R4239" s="10" t="s">
        <v>25185</v>
      </c>
      <c r="S4239" s="11" t="s">
        <v>25186</v>
      </c>
      <c r="T4239" s="6"/>
      <c r="U4239" s="24" t="str">
        <f>HYPERLINK("https://media.infra-m.ru/2125/2125104/cover/2125104.jpg", "Обложка")</f>
        <v>Обложка</v>
      </c>
      <c r="V4239" s="24" t="str">
        <f>HYPERLINK("https://znanium.ru/catalog/product/2125104", "Ознакомиться")</f>
        <v>Ознакомиться</v>
      </c>
      <c r="W4239" s="8" t="s">
        <v>564</v>
      </c>
      <c r="X4239" s="6"/>
      <c r="Y4239" s="6"/>
      <c r="Z4239" s="6"/>
      <c r="AA4239" s="6" t="s">
        <v>258</v>
      </c>
      <c r="AB4239" s="8"/>
    </row>
    <row r="4240" spans="1:28" s="4" customFormat="1" ht="51.95" customHeight="1">
      <c r="A4240" s="5">
        <v>0</v>
      </c>
      <c r="B4240" s="6" t="s">
        <v>25187</v>
      </c>
      <c r="C4240" s="13">
        <v>1664</v>
      </c>
      <c r="D4240" s="8" t="s">
        <v>25188</v>
      </c>
      <c r="E4240" s="8" t="s">
        <v>25189</v>
      </c>
      <c r="F4240" s="8" t="s">
        <v>25190</v>
      </c>
      <c r="G4240" s="6" t="s">
        <v>52</v>
      </c>
      <c r="H4240" s="6" t="s">
        <v>53</v>
      </c>
      <c r="I4240" s="8" t="s">
        <v>560</v>
      </c>
      <c r="J4240" s="9">
        <v>1</v>
      </c>
      <c r="K4240" s="9">
        <v>320</v>
      </c>
      <c r="L4240" s="9">
        <v>2025</v>
      </c>
      <c r="M4240" s="8" t="s">
        <v>25191</v>
      </c>
      <c r="N4240" s="8" t="s">
        <v>41</v>
      </c>
      <c r="O4240" s="8" t="s">
        <v>129</v>
      </c>
      <c r="P4240" s="6" t="s">
        <v>167</v>
      </c>
      <c r="Q4240" s="8" t="s">
        <v>58</v>
      </c>
      <c r="R4240" s="10" t="s">
        <v>25192</v>
      </c>
      <c r="S4240" s="11" t="s">
        <v>25193</v>
      </c>
      <c r="T4240" s="6"/>
      <c r="U4240" s="24" t="str">
        <f>HYPERLINK("https://media.infra-m.ru/2197/2197275/cover/2197275.jpg", "Обложка")</f>
        <v>Обложка</v>
      </c>
      <c r="V4240" s="24" t="str">
        <f>HYPERLINK("https://znanium.ru/catalog/product/1901552", "Ознакомиться")</f>
        <v>Ознакомиться</v>
      </c>
      <c r="W4240" s="8" t="s">
        <v>564</v>
      </c>
      <c r="X4240" s="6"/>
      <c r="Y4240" s="6"/>
      <c r="Z4240" s="6"/>
      <c r="AA4240" s="6" t="s">
        <v>219</v>
      </c>
      <c r="AB4240" s="8"/>
    </row>
    <row r="4241" spans="1:28" s="4" customFormat="1" ht="51.95" customHeight="1">
      <c r="A4241" s="5">
        <v>0</v>
      </c>
      <c r="B4241" s="6" t="s">
        <v>25194</v>
      </c>
      <c r="C4241" s="7">
        <v>864</v>
      </c>
      <c r="D4241" s="8" t="s">
        <v>25195</v>
      </c>
      <c r="E4241" s="8" t="s">
        <v>25196</v>
      </c>
      <c r="F4241" s="8" t="s">
        <v>25197</v>
      </c>
      <c r="G4241" s="6" t="s">
        <v>89</v>
      </c>
      <c r="H4241" s="6" t="s">
        <v>53</v>
      </c>
      <c r="I4241" s="8" t="s">
        <v>127</v>
      </c>
      <c r="J4241" s="9">
        <v>1</v>
      </c>
      <c r="K4241" s="9">
        <v>184</v>
      </c>
      <c r="L4241" s="9">
        <v>2024</v>
      </c>
      <c r="M4241" s="8" t="s">
        <v>25198</v>
      </c>
      <c r="N4241" s="8" t="s">
        <v>41</v>
      </c>
      <c r="O4241" s="8" t="s">
        <v>129</v>
      </c>
      <c r="P4241" s="6" t="s">
        <v>43</v>
      </c>
      <c r="Q4241" s="8" t="s">
        <v>44</v>
      </c>
      <c r="R4241" s="10" t="s">
        <v>583</v>
      </c>
      <c r="S4241" s="11" t="s">
        <v>25199</v>
      </c>
      <c r="T4241" s="6"/>
      <c r="U4241" s="24" t="str">
        <f>HYPERLINK("https://media.infra-m.ru/2134/2134174/cover/2134174.jpg", "Обложка")</f>
        <v>Обложка</v>
      </c>
      <c r="V4241" s="24" t="str">
        <f>HYPERLINK("https://znanium.ru/catalog/product/2116744", "Ознакомиться")</f>
        <v>Ознакомиться</v>
      </c>
      <c r="W4241" s="8" t="s">
        <v>4730</v>
      </c>
      <c r="X4241" s="6"/>
      <c r="Y4241" s="6"/>
      <c r="Z4241" s="6"/>
      <c r="AA4241" s="6" t="s">
        <v>258</v>
      </c>
      <c r="AB4241" s="8"/>
    </row>
    <row r="4242" spans="1:28" s="4" customFormat="1" ht="51.95" customHeight="1">
      <c r="A4242" s="5">
        <v>0</v>
      </c>
      <c r="B4242" s="6" t="s">
        <v>25200</v>
      </c>
      <c r="C4242" s="13">
        <v>1250</v>
      </c>
      <c r="D4242" s="8" t="s">
        <v>25201</v>
      </c>
      <c r="E4242" s="8" t="s">
        <v>25202</v>
      </c>
      <c r="F4242" s="8" t="s">
        <v>25203</v>
      </c>
      <c r="G4242" s="6" t="s">
        <v>89</v>
      </c>
      <c r="H4242" s="6" t="s">
        <v>53</v>
      </c>
      <c r="I4242" s="8" t="s">
        <v>90</v>
      </c>
      <c r="J4242" s="9">
        <v>1</v>
      </c>
      <c r="K4242" s="9">
        <v>264</v>
      </c>
      <c r="L4242" s="9">
        <v>2023</v>
      </c>
      <c r="M4242" s="8" t="s">
        <v>25204</v>
      </c>
      <c r="N4242" s="8" t="s">
        <v>79</v>
      </c>
      <c r="O4242" s="8" t="s">
        <v>570</v>
      </c>
      <c r="P4242" s="6" t="s">
        <v>167</v>
      </c>
      <c r="Q4242" s="8" t="s">
        <v>44</v>
      </c>
      <c r="R4242" s="10" t="s">
        <v>25205</v>
      </c>
      <c r="S4242" s="11" t="s">
        <v>25206</v>
      </c>
      <c r="T4242" s="6"/>
      <c r="U4242" s="24" t="str">
        <f>HYPERLINK("https://media.infra-m.ru/1931/1931508/cover/1931508.jpg", "Обложка")</f>
        <v>Обложка</v>
      </c>
      <c r="V4242" s="24" t="str">
        <f>HYPERLINK("https://znanium.ru/catalog/product/1931508", "Ознакомиться")</f>
        <v>Ознакомиться</v>
      </c>
      <c r="W4242" s="8" t="s">
        <v>2938</v>
      </c>
      <c r="X4242" s="6"/>
      <c r="Y4242" s="6"/>
      <c r="Z4242" s="6"/>
      <c r="AA4242" s="6" t="s">
        <v>793</v>
      </c>
      <c r="AB4242" s="8"/>
    </row>
    <row r="4243" spans="1:28" s="4" customFormat="1" ht="51.95" customHeight="1">
      <c r="A4243" s="5">
        <v>0</v>
      </c>
      <c r="B4243" s="6" t="s">
        <v>25207</v>
      </c>
      <c r="C4243" s="13">
        <v>1660</v>
      </c>
      <c r="D4243" s="8" t="s">
        <v>25208</v>
      </c>
      <c r="E4243" s="8" t="s">
        <v>25209</v>
      </c>
      <c r="F4243" s="8" t="s">
        <v>25210</v>
      </c>
      <c r="G4243" s="6" t="s">
        <v>89</v>
      </c>
      <c r="H4243" s="6" t="s">
        <v>53</v>
      </c>
      <c r="I4243" s="8" t="s">
        <v>116</v>
      </c>
      <c r="J4243" s="9">
        <v>1</v>
      </c>
      <c r="K4243" s="9">
        <v>320</v>
      </c>
      <c r="L4243" s="9">
        <v>2025</v>
      </c>
      <c r="M4243" s="8" t="s">
        <v>25211</v>
      </c>
      <c r="N4243" s="8" t="s">
        <v>79</v>
      </c>
      <c r="O4243" s="8" t="s">
        <v>570</v>
      </c>
      <c r="P4243" s="6" t="s">
        <v>43</v>
      </c>
      <c r="Q4243" s="8" t="s">
        <v>44</v>
      </c>
      <c r="R4243" s="10" t="s">
        <v>8088</v>
      </c>
      <c r="S4243" s="11" t="s">
        <v>25212</v>
      </c>
      <c r="T4243" s="6"/>
      <c r="U4243" s="24" t="str">
        <f>HYPERLINK("https://media.infra-m.ru/2125/2125853/cover/2125853.jpg", "Обложка")</f>
        <v>Обложка</v>
      </c>
      <c r="V4243" s="24" t="str">
        <f>HYPERLINK("https://znanium.ru/catalog/product/2125853", "Ознакомиться")</f>
        <v>Ознакомиться</v>
      </c>
      <c r="W4243" s="8" t="s">
        <v>5825</v>
      </c>
      <c r="X4243" s="6"/>
      <c r="Y4243" s="6"/>
      <c r="Z4243" s="6"/>
      <c r="AA4243" s="6" t="s">
        <v>122</v>
      </c>
      <c r="AB4243" s="8"/>
    </row>
    <row r="4244" spans="1:28" s="4" customFormat="1" ht="42" customHeight="1">
      <c r="A4244" s="5">
        <v>0</v>
      </c>
      <c r="B4244" s="6" t="s">
        <v>25213</v>
      </c>
      <c r="C4244" s="7">
        <v>940</v>
      </c>
      <c r="D4244" s="8" t="s">
        <v>25214</v>
      </c>
      <c r="E4244" s="8" t="s">
        <v>25215</v>
      </c>
      <c r="F4244" s="8" t="s">
        <v>25216</v>
      </c>
      <c r="G4244" s="6" t="s">
        <v>89</v>
      </c>
      <c r="H4244" s="6" t="s">
        <v>53</v>
      </c>
      <c r="I4244" s="8" t="s">
        <v>560</v>
      </c>
      <c r="J4244" s="9">
        <v>1</v>
      </c>
      <c r="K4244" s="9">
        <v>187</v>
      </c>
      <c r="L4244" s="9">
        <v>2025</v>
      </c>
      <c r="M4244" s="8" t="s">
        <v>25217</v>
      </c>
      <c r="N4244" s="8" t="s">
        <v>41</v>
      </c>
      <c r="O4244" s="8" t="s">
        <v>129</v>
      </c>
      <c r="P4244" s="6" t="s">
        <v>43</v>
      </c>
      <c r="Q4244" s="8" t="s">
        <v>58</v>
      </c>
      <c r="R4244" s="10" t="s">
        <v>25218</v>
      </c>
      <c r="S4244" s="11"/>
      <c r="T4244" s="6"/>
      <c r="U4244" s="24" t="str">
        <f>HYPERLINK("https://media.infra-m.ru/2187/2187591/cover/2187591.jpg", "Обложка")</f>
        <v>Обложка</v>
      </c>
      <c r="V4244" s="24" t="str">
        <f>HYPERLINK("https://znanium.ru/catalog/product/2187591", "Ознакомиться")</f>
        <v>Ознакомиться</v>
      </c>
      <c r="W4244" s="8" t="s">
        <v>564</v>
      </c>
      <c r="X4244" s="6"/>
      <c r="Y4244" s="6"/>
      <c r="Z4244" s="6"/>
      <c r="AA4244" s="6" t="s">
        <v>207</v>
      </c>
      <c r="AB4244" s="8"/>
    </row>
    <row r="4245" spans="1:28" s="4" customFormat="1" ht="51.95" customHeight="1">
      <c r="A4245" s="5">
        <v>0</v>
      </c>
      <c r="B4245" s="6" t="s">
        <v>25219</v>
      </c>
      <c r="C4245" s="13">
        <v>1300</v>
      </c>
      <c r="D4245" s="8" t="s">
        <v>25220</v>
      </c>
      <c r="E4245" s="8" t="s">
        <v>25221</v>
      </c>
      <c r="F4245" s="8" t="s">
        <v>25222</v>
      </c>
      <c r="G4245" s="6" t="s">
        <v>89</v>
      </c>
      <c r="H4245" s="6" t="s">
        <v>53</v>
      </c>
      <c r="I4245" s="8" t="s">
        <v>560</v>
      </c>
      <c r="J4245" s="9">
        <v>1</v>
      </c>
      <c r="K4245" s="9">
        <v>275</v>
      </c>
      <c r="L4245" s="9">
        <v>2023</v>
      </c>
      <c r="M4245" s="8" t="s">
        <v>25223</v>
      </c>
      <c r="N4245" s="8" t="s">
        <v>41</v>
      </c>
      <c r="O4245" s="8" t="s">
        <v>129</v>
      </c>
      <c r="P4245" s="6" t="s">
        <v>43</v>
      </c>
      <c r="Q4245" s="8" t="s">
        <v>58</v>
      </c>
      <c r="R4245" s="10" t="s">
        <v>10876</v>
      </c>
      <c r="S4245" s="11"/>
      <c r="T4245" s="6"/>
      <c r="U4245" s="24" t="str">
        <f>HYPERLINK("https://media.infra-m.ru/2126/2126227/cover/2126227.jpg", "Обложка")</f>
        <v>Обложка</v>
      </c>
      <c r="V4245" s="24" t="str">
        <f>HYPERLINK("https://znanium.ru/catalog/product/2125105", "Ознакомиться")</f>
        <v>Ознакомиться</v>
      </c>
      <c r="W4245" s="8"/>
      <c r="X4245" s="6"/>
      <c r="Y4245" s="6"/>
      <c r="Z4245" s="6"/>
      <c r="AA4245" s="6" t="s">
        <v>207</v>
      </c>
      <c r="AB4245" s="8"/>
    </row>
    <row r="4246" spans="1:28" s="4" customFormat="1" ht="42" customHeight="1">
      <c r="A4246" s="5">
        <v>0</v>
      </c>
      <c r="B4246" s="6" t="s">
        <v>25224</v>
      </c>
      <c r="C4246" s="13">
        <v>1654</v>
      </c>
      <c r="D4246" s="8" t="s">
        <v>25225</v>
      </c>
      <c r="E4246" s="8" t="s">
        <v>25226</v>
      </c>
      <c r="F4246" s="8" t="s">
        <v>25227</v>
      </c>
      <c r="G4246" s="6" t="s">
        <v>52</v>
      </c>
      <c r="H4246" s="6" t="s">
        <v>438</v>
      </c>
      <c r="I4246" s="8" t="s">
        <v>1171</v>
      </c>
      <c r="J4246" s="9">
        <v>1</v>
      </c>
      <c r="K4246" s="9">
        <v>352</v>
      </c>
      <c r="L4246" s="9">
        <v>2024</v>
      </c>
      <c r="M4246" s="8" t="s">
        <v>25228</v>
      </c>
      <c r="N4246" s="8" t="s">
        <v>79</v>
      </c>
      <c r="O4246" s="8" t="s">
        <v>396</v>
      </c>
      <c r="P4246" s="6" t="s">
        <v>167</v>
      </c>
      <c r="Q4246" s="8" t="s">
        <v>58</v>
      </c>
      <c r="R4246" s="10" t="s">
        <v>25229</v>
      </c>
      <c r="S4246" s="11"/>
      <c r="T4246" s="6"/>
      <c r="U4246" s="24" t="str">
        <f>HYPERLINK("https://media.infra-m.ru/2147/2147610/cover/2147610.jpg", "Обложка")</f>
        <v>Обложка</v>
      </c>
      <c r="V4246" s="24" t="str">
        <f>HYPERLINK("https://znanium.ru/catalog/product/944189", "Ознакомиться")</f>
        <v>Ознакомиться</v>
      </c>
      <c r="W4246" s="8" t="s">
        <v>758</v>
      </c>
      <c r="X4246" s="6"/>
      <c r="Y4246" s="6" t="s">
        <v>30</v>
      </c>
      <c r="Z4246" s="6"/>
      <c r="AA4246" s="6" t="s">
        <v>151</v>
      </c>
      <c r="AB4246" s="8"/>
    </row>
    <row r="4247" spans="1:28" s="4" customFormat="1" ht="51.95" customHeight="1">
      <c r="A4247" s="5">
        <v>0</v>
      </c>
      <c r="B4247" s="6" t="s">
        <v>25230</v>
      </c>
      <c r="C4247" s="7">
        <v>840</v>
      </c>
      <c r="D4247" s="8" t="s">
        <v>25231</v>
      </c>
      <c r="E4247" s="8" t="s">
        <v>25232</v>
      </c>
      <c r="F4247" s="8" t="s">
        <v>25233</v>
      </c>
      <c r="G4247" s="6" t="s">
        <v>52</v>
      </c>
      <c r="H4247" s="6" t="s">
        <v>53</v>
      </c>
      <c r="I4247" s="8" t="s">
        <v>712</v>
      </c>
      <c r="J4247" s="9">
        <v>1</v>
      </c>
      <c r="K4247" s="9">
        <v>164</v>
      </c>
      <c r="L4247" s="9">
        <v>2024</v>
      </c>
      <c r="M4247" s="8" t="s">
        <v>25234</v>
      </c>
      <c r="N4247" s="8" t="s">
        <v>79</v>
      </c>
      <c r="O4247" s="8" t="s">
        <v>396</v>
      </c>
      <c r="P4247" s="6" t="s">
        <v>43</v>
      </c>
      <c r="Q4247" s="8" t="s">
        <v>58</v>
      </c>
      <c r="R4247" s="10" t="s">
        <v>5343</v>
      </c>
      <c r="S4247" s="11" t="s">
        <v>25235</v>
      </c>
      <c r="T4247" s="6"/>
      <c r="U4247" s="24" t="str">
        <f>HYPERLINK("https://media.infra-m.ru/2091/2091438/cover/2091438.jpg", "Обложка")</f>
        <v>Обложка</v>
      </c>
      <c r="V4247" s="24" t="str">
        <f>HYPERLINK("https://znanium.ru/catalog/product/2091438", "Ознакомиться")</f>
        <v>Ознакомиться</v>
      </c>
      <c r="W4247" s="8" t="s">
        <v>716</v>
      </c>
      <c r="X4247" s="6"/>
      <c r="Y4247" s="6"/>
      <c r="Z4247" s="6"/>
      <c r="AA4247" s="6" t="s">
        <v>133</v>
      </c>
      <c r="AB4247" s="8"/>
    </row>
    <row r="4248" spans="1:28" s="4" customFormat="1" ht="51.95" customHeight="1">
      <c r="A4248" s="5">
        <v>0</v>
      </c>
      <c r="B4248" s="6" t="s">
        <v>25236</v>
      </c>
      <c r="C4248" s="13">
        <v>1650</v>
      </c>
      <c r="D4248" s="8" t="s">
        <v>25237</v>
      </c>
      <c r="E4248" s="8" t="s">
        <v>25238</v>
      </c>
      <c r="F4248" s="8" t="s">
        <v>25239</v>
      </c>
      <c r="G4248" s="6" t="s">
        <v>89</v>
      </c>
      <c r="H4248" s="6" t="s">
        <v>53</v>
      </c>
      <c r="I4248" s="8" t="s">
        <v>560</v>
      </c>
      <c r="J4248" s="9">
        <v>1</v>
      </c>
      <c r="K4248" s="9">
        <v>360</v>
      </c>
      <c r="L4248" s="9">
        <v>2023</v>
      </c>
      <c r="M4248" s="8" t="s">
        <v>25240</v>
      </c>
      <c r="N4248" s="8" t="s">
        <v>41</v>
      </c>
      <c r="O4248" s="8" t="s">
        <v>129</v>
      </c>
      <c r="P4248" s="6" t="s">
        <v>43</v>
      </c>
      <c r="Q4248" s="8" t="s">
        <v>58</v>
      </c>
      <c r="R4248" s="10" t="s">
        <v>25241</v>
      </c>
      <c r="S4248" s="11" t="s">
        <v>25242</v>
      </c>
      <c r="T4248" s="6"/>
      <c r="U4248" s="24" t="str">
        <f>HYPERLINK("https://media.infra-m.ru/1965/1965776/cover/1965776.jpg", "Обложка")</f>
        <v>Обложка</v>
      </c>
      <c r="V4248" s="24" t="str">
        <f>HYPERLINK("https://znanium.ru/catalog/product/1965776", "Ознакомиться")</f>
        <v>Ознакомиться</v>
      </c>
      <c r="W4248" s="8" t="s">
        <v>564</v>
      </c>
      <c r="X4248" s="6"/>
      <c r="Y4248" s="6"/>
      <c r="Z4248" s="6"/>
      <c r="AA4248" s="6" t="s">
        <v>258</v>
      </c>
      <c r="AB4248" s="8"/>
    </row>
    <row r="4249" spans="1:28" s="4" customFormat="1" ht="51.95" customHeight="1">
      <c r="A4249" s="5">
        <v>0</v>
      </c>
      <c r="B4249" s="6" t="s">
        <v>25243</v>
      </c>
      <c r="C4249" s="13">
        <v>1324</v>
      </c>
      <c r="D4249" s="8" t="s">
        <v>25244</v>
      </c>
      <c r="E4249" s="8" t="s">
        <v>25245</v>
      </c>
      <c r="F4249" s="8" t="s">
        <v>25246</v>
      </c>
      <c r="G4249" s="6" t="s">
        <v>52</v>
      </c>
      <c r="H4249" s="6" t="s">
        <v>39</v>
      </c>
      <c r="I4249" s="8" t="s">
        <v>90</v>
      </c>
      <c r="J4249" s="9">
        <v>1</v>
      </c>
      <c r="K4249" s="9">
        <v>254</v>
      </c>
      <c r="L4249" s="9">
        <v>2025</v>
      </c>
      <c r="M4249" s="8" t="s">
        <v>25247</v>
      </c>
      <c r="N4249" s="8" t="s">
        <v>79</v>
      </c>
      <c r="O4249" s="8" t="s">
        <v>396</v>
      </c>
      <c r="P4249" s="6" t="s">
        <v>167</v>
      </c>
      <c r="Q4249" s="8" t="s">
        <v>58</v>
      </c>
      <c r="R4249" s="10" t="s">
        <v>11473</v>
      </c>
      <c r="S4249" s="11" t="s">
        <v>25248</v>
      </c>
      <c r="T4249" s="6"/>
      <c r="U4249" s="24" t="str">
        <f>HYPERLINK("https://media.infra-m.ru/2188/2188763/cover/2188763.jpg", "Обложка")</f>
        <v>Обложка</v>
      </c>
      <c r="V4249" s="24" t="str">
        <f>HYPERLINK("https://znanium.ru/catalog/product/1842534", "Ознакомиться")</f>
        <v>Ознакомиться</v>
      </c>
      <c r="W4249" s="8" t="s">
        <v>14979</v>
      </c>
      <c r="X4249" s="6"/>
      <c r="Y4249" s="6"/>
      <c r="Z4249" s="6"/>
      <c r="AA4249" s="6" t="s">
        <v>1259</v>
      </c>
      <c r="AB4249" s="8"/>
    </row>
    <row r="4250" spans="1:28" s="4" customFormat="1" ht="51.95" customHeight="1">
      <c r="A4250" s="5">
        <v>0</v>
      </c>
      <c r="B4250" s="6" t="s">
        <v>25249</v>
      </c>
      <c r="C4250" s="7">
        <v>874.9</v>
      </c>
      <c r="D4250" s="8" t="s">
        <v>25250</v>
      </c>
      <c r="E4250" s="8" t="s">
        <v>25251</v>
      </c>
      <c r="F4250" s="8" t="s">
        <v>25246</v>
      </c>
      <c r="G4250" s="6" t="s">
        <v>52</v>
      </c>
      <c r="H4250" s="6" t="s">
        <v>39</v>
      </c>
      <c r="I4250" s="8"/>
      <c r="J4250" s="9">
        <v>1</v>
      </c>
      <c r="K4250" s="9">
        <v>272</v>
      </c>
      <c r="L4250" s="9">
        <v>2019</v>
      </c>
      <c r="M4250" s="8" t="s">
        <v>25252</v>
      </c>
      <c r="N4250" s="8" t="s">
        <v>79</v>
      </c>
      <c r="O4250" s="8" t="s">
        <v>396</v>
      </c>
      <c r="P4250" s="6" t="s">
        <v>167</v>
      </c>
      <c r="Q4250" s="8" t="s">
        <v>44</v>
      </c>
      <c r="R4250" s="10" t="s">
        <v>11473</v>
      </c>
      <c r="S4250" s="11" t="s">
        <v>25253</v>
      </c>
      <c r="T4250" s="6"/>
      <c r="U4250" s="24" t="str">
        <f>HYPERLINK("https://media.infra-m.ru/0987/0987283/cover/987283.jpg", "Обложка")</f>
        <v>Обложка</v>
      </c>
      <c r="V4250" s="24" t="str">
        <f>HYPERLINK("https://znanium.ru/catalog/product/1842534", "Ознакомиться")</f>
        <v>Ознакомиться</v>
      </c>
      <c r="W4250" s="8" t="s">
        <v>14979</v>
      </c>
      <c r="X4250" s="6"/>
      <c r="Y4250" s="6"/>
      <c r="Z4250" s="6"/>
      <c r="AA4250" s="6" t="s">
        <v>122</v>
      </c>
      <c r="AB4250" s="8"/>
    </row>
    <row r="4251" spans="1:28" s="4" customFormat="1" ht="51.95" customHeight="1">
      <c r="A4251" s="5">
        <v>0</v>
      </c>
      <c r="B4251" s="6" t="s">
        <v>25254</v>
      </c>
      <c r="C4251" s="7">
        <v>680</v>
      </c>
      <c r="D4251" s="8" t="s">
        <v>25255</v>
      </c>
      <c r="E4251" s="8" t="s">
        <v>25256</v>
      </c>
      <c r="F4251" s="8" t="s">
        <v>1699</v>
      </c>
      <c r="G4251" s="6" t="s">
        <v>89</v>
      </c>
      <c r="H4251" s="6" t="s">
        <v>53</v>
      </c>
      <c r="I4251" s="8" t="s">
        <v>90</v>
      </c>
      <c r="J4251" s="9">
        <v>1</v>
      </c>
      <c r="K4251" s="9">
        <v>144</v>
      </c>
      <c r="L4251" s="9">
        <v>2023</v>
      </c>
      <c r="M4251" s="8" t="s">
        <v>25257</v>
      </c>
      <c r="N4251" s="8" t="s">
        <v>56</v>
      </c>
      <c r="O4251" s="8" t="s">
        <v>57</v>
      </c>
      <c r="P4251" s="6" t="s">
        <v>43</v>
      </c>
      <c r="Q4251" s="8" t="s">
        <v>44</v>
      </c>
      <c r="R4251" s="10" t="s">
        <v>25258</v>
      </c>
      <c r="S4251" s="11" t="s">
        <v>25259</v>
      </c>
      <c r="T4251" s="6"/>
      <c r="U4251" s="24" t="str">
        <f>HYPERLINK("https://media.infra-m.ru/2000/2000023/cover/2000023.jpg", "Обложка")</f>
        <v>Обложка</v>
      </c>
      <c r="V4251" s="24" t="str">
        <f>HYPERLINK("https://znanium.ru/catalog/product/2000023", "Ознакомиться")</f>
        <v>Ознакомиться</v>
      </c>
      <c r="W4251" s="8" t="s">
        <v>1703</v>
      </c>
      <c r="X4251" s="6"/>
      <c r="Y4251" s="6"/>
      <c r="Z4251" s="6"/>
      <c r="AA4251" s="6" t="s">
        <v>258</v>
      </c>
      <c r="AB4251" s="8"/>
    </row>
    <row r="4252" spans="1:28" s="4" customFormat="1" ht="51.95" customHeight="1">
      <c r="A4252" s="5">
        <v>0</v>
      </c>
      <c r="B4252" s="6" t="s">
        <v>25260</v>
      </c>
      <c r="C4252" s="7">
        <v>774</v>
      </c>
      <c r="D4252" s="8" t="s">
        <v>25261</v>
      </c>
      <c r="E4252" s="8" t="s">
        <v>25262</v>
      </c>
      <c r="F4252" s="8" t="s">
        <v>25263</v>
      </c>
      <c r="G4252" s="6" t="s">
        <v>52</v>
      </c>
      <c r="H4252" s="6" t="s">
        <v>53</v>
      </c>
      <c r="I4252" s="8" t="s">
        <v>276</v>
      </c>
      <c r="J4252" s="9">
        <v>1</v>
      </c>
      <c r="K4252" s="9">
        <v>153</v>
      </c>
      <c r="L4252" s="9">
        <v>2025</v>
      </c>
      <c r="M4252" s="8" t="s">
        <v>25264</v>
      </c>
      <c r="N4252" s="8" t="s">
        <v>56</v>
      </c>
      <c r="O4252" s="8" t="s">
        <v>57</v>
      </c>
      <c r="P4252" s="6" t="s">
        <v>43</v>
      </c>
      <c r="Q4252" s="8" t="s">
        <v>279</v>
      </c>
      <c r="R4252" s="10" t="s">
        <v>25265</v>
      </c>
      <c r="S4252" s="11" t="s">
        <v>25266</v>
      </c>
      <c r="T4252" s="6"/>
      <c r="U4252" s="24" t="str">
        <f>HYPERLINK("https://media.infra-m.ru/2166/2166993/cover/2166993.jpg", "Обложка")</f>
        <v>Обложка</v>
      </c>
      <c r="V4252" s="24" t="str">
        <f>HYPERLINK("https://znanium.ru/catalog/product/2157030", "Ознакомиться")</f>
        <v>Ознакомиться</v>
      </c>
      <c r="W4252" s="8" t="s">
        <v>1345</v>
      </c>
      <c r="X4252" s="6"/>
      <c r="Y4252" s="6"/>
      <c r="Z4252" s="6"/>
      <c r="AA4252" s="6" t="s">
        <v>235</v>
      </c>
      <c r="AB4252" s="8"/>
    </row>
    <row r="4253" spans="1:28" s="4" customFormat="1" ht="42" customHeight="1">
      <c r="A4253" s="5">
        <v>0</v>
      </c>
      <c r="B4253" s="6" t="s">
        <v>25267</v>
      </c>
      <c r="C4253" s="13">
        <v>1190</v>
      </c>
      <c r="D4253" s="8" t="s">
        <v>25268</v>
      </c>
      <c r="E4253" s="8" t="s">
        <v>25269</v>
      </c>
      <c r="F4253" s="8" t="s">
        <v>16434</v>
      </c>
      <c r="G4253" s="6" t="s">
        <v>52</v>
      </c>
      <c r="H4253" s="6" t="s">
        <v>53</v>
      </c>
      <c r="I4253" s="8" t="s">
        <v>2511</v>
      </c>
      <c r="J4253" s="9">
        <v>1</v>
      </c>
      <c r="K4253" s="9">
        <v>230</v>
      </c>
      <c r="L4253" s="9">
        <v>2025</v>
      </c>
      <c r="M4253" s="8" t="s">
        <v>25270</v>
      </c>
      <c r="N4253" s="8" t="s">
        <v>997</v>
      </c>
      <c r="O4253" s="8" t="s">
        <v>998</v>
      </c>
      <c r="P4253" s="6" t="s">
        <v>1046</v>
      </c>
      <c r="Q4253" s="8" t="s">
        <v>214</v>
      </c>
      <c r="R4253" s="10" t="s">
        <v>25271</v>
      </c>
      <c r="S4253" s="11"/>
      <c r="T4253" s="6"/>
      <c r="U4253" s="24" t="str">
        <f>HYPERLINK("https://media.infra-m.ru/2174/2174707/cover/2174707.jpg", "Обложка")</f>
        <v>Обложка</v>
      </c>
      <c r="V4253" s="24" t="str">
        <f>HYPERLINK("https://znanium.ru/catalog/product/2174707", "Ознакомиться")</f>
        <v>Ознакомиться</v>
      </c>
      <c r="W4253" s="8" t="s">
        <v>16430</v>
      </c>
      <c r="X4253" s="6" t="s">
        <v>60</v>
      </c>
      <c r="Y4253" s="6"/>
      <c r="Z4253" s="6"/>
      <c r="AA4253" s="6" t="s">
        <v>61</v>
      </c>
      <c r="AB4253" s="8"/>
    </row>
    <row r="4254" spans="1:28" s="4" customFormat="1" ht="51.95" customHeight="1">
      <c r="A4254" s="5">
        <v>0</v>
      </c>
      <c r="B4254" s="6" t="s">
        <v>25272</v>
      </c>
      <c r="C4254" s="13">
        <v>2564</v>
      </c>
      <c r="D4254" s="8" t="s">
        <v>25273</v>
      </c>
      <c r="E4254" s="8" t="s">
        <v>25274</v>
      </c>
      <c r="F4254" s="8" t="s">
        <v>25275</v>
      </c>
      <c r="G4254" s="6" t="s">
        <v>52</v>
      </c>
      <c r="H4254" s="6" t="s">
        <v>77</v>
      </c>
      <c r="I4254" s="8"/>
      <c r="J4254" s="9">
        <v>1</v>
      </c>
      <c r="K4254" s="9">
        <v>512</v>
      </c>
      <c r="L4254" s="9">
        <v>2025</v>
      </c>
      <c r="M4254" s="8" t="s">
        <v>25276</v>
      </c>
      <c r="N4254" s="8" t="s">
        <v>41</v>
      </c>
      <c r="O4254" s="8" t="s">
        <v>4035</v>
      </c>
      <c r="P4254" s="6" t="s">
        <v>43</v>
      </c>
      <c r="Q4254" s="8" t="s">
        <v>44</v>
      </c>
      <c r="R4254" s="10" t="s">
        <v>168</v>
      </c>
      <c r="S4254" s="11" t="s">
        <v>4943</v>
      </c>
      <c r="T4254" s="6"/>
      <c r="U4254" s="24" t="str">
        <f>HYPERLINK("https://media.infra-m.ru/2188/2188219/cover/2188219.jpg", "Обложка")</f>
        <v>Обложка</v>
      </c>
      <c r="V4254" s="24" t="str">
        <f>HYPERLINK("https://znanium.ru/catalog/product/1905749", "Ознакомиться")</f>
        <v>Ознакомиться</v>
      </c>
      <c r="W4254" s="8" t="s">
        <v>83</v>
      </c>
      <c r="X4254" s="6"/>
      <c r="Y4254" s="6"/>
      <c r="Z4254" s="6"/>
      <c r="AA4254" s="6" t="s">
        <v>644</v>
      </c>
      <c r="AB4254" s="8"/>
    </row>
    <row r="4255" spans="1:28" s="4" customFormat="1" ht="51.95" customHeight="1">
      <c r="A4255" s="5">
        <v>0</v>
      </c>
      <c r="B4255" s="6" t="s">
        <v>25277</v>
      </c>
      <c r="C4255" s="13">
        <v>1290</v>
      </c>
      <c r="D4255" s="8" t="s">
        <v>25278</v>
      </c>
      <c r="E4255" s="8" t="s">
        <v>25279</v>
      </c>
      <c r="F4255" s="8" t="s">
        <v>25280</v>
      </c>
      <c r="G4255" s="6" t="s">
        <v>89</v>
      </c>
      <c r="H4255" s="6" t="s">
        <v>53</v>
      </c>
      <c r="I4255" s="8" t="s">
        <v>116</v>
      </c>
      <c r="J4255" s="9">
        <v>1</v>
      </c>
      <c r="K4255" s="9">
        <v>286</v>
      </c>
      <c r="L4255" s="9">
        <v>2023</v>
      </c>
      <c r="M4255" s="8" t="s">
        <v>25281</v>
      </c>
      <c r="N4255" s="8" t="s">
        <v>56</v>
      </c>
      <c r="O4255" s="8" t="s">
        <v>57</v>
      </c>
      <c r="P4255" s="6" t="s">
        <v>167</v>
      </c>
      <c r="Q4255" s="8" t="s">
        <v>58</v>
      </c>
      <c r="R4255" s="10" t="s">
        <v>9456</v>
      </c>
      <c r="S4255" s="11" t="s">
        <v>25282</v>
      </c>
      <c r="T4255" s="6"/>
      <c r="U4255" s="24" t="str">
        <f>HYPERLINK("https://media.infra-m.ru/2012/2012502/cover/2012502.jpg", "Обложка")</f>
        <v>Обложка</v>
      </c>
      <c r="V4255" s="24" t="str">
        <f>HYPERLINK("https://znanium.ru/catalog/product/1914129", "Ознакомиться")</f>
        <v>Ознакомиться</v>
      </c>
      <c r="W4255" s="8" t="s">
        <v>3010</v>
      </c>
      <c r="X4255" s="6"/>
      <c r="Y4255" s="6"/>
      <c r="Z4255" s="6"/>
      <c r="AA4255" s="6" t="s">
        <v>638</v>
      </c>
      <c r="AB4255" s="8"/>
    </row>
    <row r="4256" spans="1:28" s="4" customFormat="1" ht="51.95" customHeight="1">
      <c r="A4256" s="5">
        <v>0</v>
      </c>
      <c r="B4256" s="6" t="s">
        <v>25283</v>
      </c>
      <c r="C4256" s="13">
        <v>1330</v>
      </c>
      <c r="D4256" s="8" t="s">
        <v>25284</v>
      </c>
      <c r="E4256" s="8" t="s">
        <v>25279</v>
      </c>
      <c r="F4256" s="8" t="s">
        <v>25280</v>
      </c>
      <c r="G4256" s="6" t="s">
        <v>89</v>
      </c>
      <c r="H4256" s="6" t="s">
        <v>53</v>
      </c>
      <c r="I4256" s="8" t="s">
        <v>100</v>
      </c>
      <c r="J4256" s="9">
        <v>1</v>
      </c>
      <c r="K4256" s="9">
        <v>286</v>
      </c>
      <c r="L4256" s="9">
        <v>2024</v>
      </c>
      <c r="M4256" s="8" t="s">
        <v>25285</v>
      </c>
      <c r="N4256" s="8" t="s">
        <v>56</v>
      </c>
      <c r="O4256" s="8" t="s">
        <v>57</v>
      </c>
      <c r="P4256" s="6" t="s">
        <v>167</v>
      </c>
      <c r="Q4256" s="8" t="s">
        <v>102</v>
      </c>
      <c r="R4256" s="10" t="s">
        <v>25286</v>
      </c>
      <c r="S4256" s="11" t="s">
        <v>25287</v>
      </c>
      <c r="T4256" s="6"/>
      <c r="U4256" s="24" t="str">
        <f>HYPERLINK("https://media.infra-m.ru/2129/2129206/cover/2129206.jpg", "Обложка")</f>
        <v>Обложка</v>
      </c>
      <c r="V4256" s="24" t="str">
        <f>HYPERLINK("https://znanium.ru/catalog/product/2129206", "Ознакомиться")</f>
        <v>Ознакомиться</v>
      </c>
      <c r="W4256" s="8" t="s">
        <v>3010</v>
      </c>
      <c r="X4256" s="6"/>
      <c r="Y4256" s="6"/>
      <c r="Z4256" s="6" t="s">
        <v>502</v>
      </c>
      <c r="AA4256" s="6" t="s">
        <v>1382</v>
      </c>
      <c r="AB4256" s="8"/>
    </row>
    <row r="4257" spans="1:28" s="4" customFormat="1" ht="51.95" customHeight="1">
      <c r="A4257" s="5">
        <v>0</v>
      </c>
      <c r="B4257" s="6" t="s">
        <v>25288</v>
      </c>
      <c r="C4257" s="7">
        <v>960</v>
      </c>
      <c r="D4257" s="8" t="s">
        <v>25289</v>
      </c>
      <c r="E4257" s="8" t="s">
        <v>25290</v>
      </c>
      <c r="F4257" s="8" t="s">
        <v>25291</v>
      </c>
      <c r="G4257" s="6" t="s">
        <v>89</v>
      </c>
      <c r="H4257" s="6" t="s">
        <v>53</v>
      </c>
      <c r="I4257" s="8" t="s">
        <v>100</v>
      </c>
      <c r="J4257" s="9">
        <v>1</v>
      </c>
      <c r="K4257" s="9">
        <v>192</v>
      </c>
      <c r="L4257" s="9">
        <v>2025</v>
      </c>
      <c r="M4257" s="8" t="s">
        <v>25292</v>
      </c>
      <c r="N4257" s="8" t="s">
        <v>997</v>
      </c>
      <c r="O4257" s="8" t="s">
        <v>998</v>
      </c>
      <c r="P4257" s="6" t="s">
        <v>175</v>
      </c>
      <c r="Q4257" s="8" t="s">
        <v>102</v>
      </c>
      <c r="R4257" s="10" t="s">
        <v>25293</v>
      </c>
      <c r="S4257" s="11" t="s">
        <v>25294</v>
      </c>
      <c r="T4257" s="6"/>
      <c r="U4257" s="24" t="str">
        <f>HYPERLINK("https://media.infra-m.ru/2185/2185186/cover/2185186.jpg", "Обложка")</f>
        <v>Обложка</v>
      </c>
      <c r="V4257" s="24" t="str">
        <f>HYPERLINK("https://znanium.ru/catalog/product/2185186", "Ознакомиться")</f>
        <v>Ознакомиться</v>
      </c>
      <c r="W4257" s="8" t="s">
        <v>6648</v>
      </c>
      <c r="X4257" s="6"/>
      <c r="Y4257" s="6"/>
      <c r="Z4257" s="6" t="s">
        <v>502</v>
      </c>
      <c r="AA4257" s="6" t="s">
        <v>793</v>
      </c>
      <c r="AB4257" s="8"/>
    </row>
    <row r="4258" spans="1:28" s="4" customFormat="1" ht="51.95" customHeight="1">
      <c r="A4258" s="5">
        <v>0</v>
      </c>
      <c r="B4258" s="6" t="s">
        <v>25295</v>
      </c>
      <c r="C4258" s="7">
        <v>990</v>
      </c>
      <c r="D4258" s="8" t="s">
        <v>25296</v>
      </c>
      <c r="E4258" s="8" t="s">
        <v>25297</v>
      </c>
      <c r="F4258" s="8" t="s">
        <v>25291</v>
      </c>
      <c r="G4258" s="6" t="s">
        <v>38</v>
      </c>
      <c r="H4258" s="6" t="s">
        <v>39</v>
      </c>
      <c r="I4258" s="8" t="s">
        <v>116</v>
      </c>
      <c r="J4258" s="9">
        <v>1</v>
      </c>
      <c r="K4258" s="9">
        <v>192</v>
      </c>
      <c r="L4258" s="9">
        <v>2025</v>
      </c>
      <c r="M4258" s="8" t="s">
        <v>25298</v>
      </c>
      <c r="N4258" s="8" t="s">
        <v>997</v>
      </c>
      <c r="O4258" s="8" t="s">
        <v>998</v>
      </c>
      <c r="P4258" s="6" t="s">
        <v>175</v>
      </c>
      <c r="Q4258" s="8" t="s">
        <v>58</v>
      </c>
      <c r="R4258" s="10" t="s">
        <v>25299</v>
      </c>
      <c r="S4258" s="11" t="s">
        <v>25300</v>
      </c>
      <c r="T4258" s="6"/>
      <c r="U4258" s="24" t="str">
        <f>HYPERLINK("https://media.infra-m.ru/2143/2143229/cover/2143229.jpg", "Обложка")</f>
        <v>Обложка</v>
      </c>
      <c r="V4258" s="24" t="str">
        <f>HYPERLINK("https://znanium.ru/catalog/product/2143229", "Ознакомиться")</f>
        <v>Ознакомиться</v>
      </c>
      <c r="W4258" s="8" t="s">
        <v>6648</v>
      </c>
      <c r="X4258" s="6"/>
      <c r="Y4258" s="6"/>
      <c r="Z4258" s="6"/>
      <c r="AA4258" s="6" t="s">
        <v>111</v>
      </c>
      <c r="AB4258" s="8"/>
    </row>
    <row r="4259" spans="1:28" s="4" customFormat="1" ht="51.95" customHeight="1">
      <c r="A4259" s="5">
        <v>0</v>
      </c>
      <c r="B4259" s="6" t="s">
        <v>25301</v>
      </c>
      <c r="C4259" s="13">
        <v>4490</v>
      </c>
      <c r="D4259" s="8" t="s">
        <v>25302</v>
      </c>
      <c r="E4259" s="8" t="s">
        <v>25303</v>
      </c>
      <c r="F4259" s="8" t="s">
        <v>25304</v>
      </c>
      <c r="G4259" s="6" t="s">
        <v>52</v>
      </c>
      <c r="H4259" s="6" t="s">
        <v>53</v>
      </c>
      <c r="I4259" s="8" t="s">
        <v>116</v>
      </c>
      <c r="J4259" s="9">
        <v>1</v>
      </c>
      <c r="K4259" s="9">
        <v>473</v>
      </c>
      <c r="L4259" s="9">
        <v>2024</v>
      </c>
      <c r="M4259" s="8" t="s">
        <v>25305</v>
      </c>
      <c r="N4259" s="8" t="s">
        <v>413</v>
      </c>
      <c r="O4259" s="8" t="s">
        <v>414</v>
      </c>
      <c r="P4259" s="6" t="s">
        <v>167</v>
      </c>
      <c r="Q4259" s="8" t="s">
        <v>279</v>
      </c>
      <c r="R4259" s="10" t="s">
        <v>25306</v>
      </c>
      <c r="S4259" s="11" t="s">
        <v>25307</v>
      </c>
      <c r="T4259" s="6"/>
      <c r="U4259" s="24" t="str">
        <f>HYPERLINK("https://media.infra-m.ru/1984/1984076/cover/1984076.jpg", "Обложка")</f>
        <v>Обложка</v>
      </c>
      <c r="V4259" s="24" t="str">
        <f>HYPERLINK("https://znanium.ru/catalog/product/1984076", "Ознакомиться")</f>
        <v>Ознакомиться</v>
      </c>
      <c r="W4259" s="8" t="s">
        <v>4293</v>
      </c>
      <c r="X4259" s="6" t="s">
        <v>1049</v>
      </c>
      <c r="Y4259" s="6"/>
      <c r="Z4259" s="6"/>
      <c r="AA4259" s="6" t="s">
        <v>133</v>
      </c>
      <c r="AB4259" s="8"/>
    </row>
    <row r="4260" spans="1:28" s="4" customFormat="1" ht="51.95" customHeight="1">
      <c r="A4260" s="5">
        <v>0</v>
      </c>
      <c r="B4260" s="6" t="s">
        <v>25308</v>
      </c>
      <c r="C4260" s="7">
        <v>850</v>
      </c>
      <c r="D4260" s="8" t="s">
        <v>25309</v>
      </c>
      <c r="E4260" s="8" t="s">
        <v>25310</v>
      </c>
      <c r="F4260" s="8" t="s">
        <v>25311</v>
      </c>
      <c r="G4260" s="6" t="s">
        <v>89</v>
      </c>
      <c r="H4260" s="6" t="s">
        <v>53</v>
      </c>
      <c r="I4260" s="8" t="s">
        <v>276</v>
      </c>
      <c r="J4260" s="9">
        <v>1</v>
      </c>
      <c r="K4260" s="9">
        <v>127</v>
      </c>
      <c r="L4260" s="9">
        <v>2022</v>
      </c>
      <c r="M4260" s="8" t="s">
        <v>25312</v>
      </c>
      <c r="N4260" s="8" t="s">
        <v>56</v>
      </c>
      <c r="O4260" s="8" t="s">
        <v>57</v>
      </c>
      <c r="P4260" s="6" t="s">
        <v>43</v>
      </c>
      <c r="Q4260" s="8" t="s">
        <v>279</v>
      </c>
      <c r="R4260" s="10" t="s">
        <v>25313</v>
      </c>
      <c r="S4260" s="11" t="s">
        <v>25314</v>
      </c>
      <c r="T4260" s="6"/>
      <c r="U4260" s="24" t="str">
        <f>HYPERLINK("https://media.infra-m.ru/1856/1856726/cover/1856726.jpg", "Обложка")</f>
        <v>Обложка</v>
      </c>
      <c r="V4260" s="24" t="str">
        <f>HYPERLINK("https://znanium.ru/catalog/product/1856726", "Ознакомиться")</f>
        <v>Ознакомиться</v>
      </c>
      <c r="W4260" s="8" t="s">
        <v>1345</v>
      </c>
      <c r="X4260" s="6"/>
      <c r="Y4260" s="6"/>
      <c r="Z4260" s="6"/>
      <c r="AA4260" s="6" t="s">
        <v>258</v>
      </c>
      <c r="AB4260" s="8"/>
    </row>
    <row r="4261" spans="1:28" s="4" customFormat="1" ht="42" customHeight="1">
      <c r="A4261" s="5">
        <v>0</v>
      </c>
      <c r="B4261" s="6" t="s">
        <v>25315</v>
      </c>
      <c r="C4261" s="13">
        <v>1024</v>
      </c>
      <c r="D4261" s="8" t="s">
        <v>25316</v>
      </c>
      <c r="E4261" s="8" t="s">
        <v>25317</v>
      </c>
      <c r="F4261" s="8" t="s">
        <v>21914</v>
      </c>
      <c r="G4261" s="6" t="s">
        <v>89</v>
      </c>
      <c r="H4261" s="6" t="s">
        <v>53</v>
      </c>
      <c r="I4261" s="8" t="s">
        <v>90</v>
      </c>
      <c r="J4261" s="9">
        <v>1</v>
      </c>
      <c r="K4261" s="9">
        <v>222</v>
      </c>
      <c r="L4261" s="9">
        <v>2024</v>
      </c>
      <c r="M4261" s="8" t="s">
        <v>25318</v>
      </c>
      <c r="N4261" s="8" t="s">
        <v>413</v>
      </c>
      <c r="O4261" s="8" t="s">
        <v>1141</v>
      </c>
      <c r="P4261" s="6" t="s">
        <v>43</v>
      </c>
      <c r="Q4261" s="8" t="s">
        <v>44</v>
      </c>
      <c r="R4261" s="10" t="s">
        <v>25319</v>
      </c>
      <c r="S4261" s="11"/>
      <c r="T4261" s="6"/>
      <c r="U4261" s="24" t="str">
        <f>HYPERLINK("https://media.infra-m.ru/1894/1894492/cover/1894492.jpg", "Обложка")</f>
        <v>Обложка</v>
      </c>
      <c r="V4261" s="24" t="str">
        <f>HYPERLINK("https://znanium.ru/catalog/product/1894492", "Ознакомиться")</f>
        <v>Ознакомиться</v>
      </c>
      <c r="W4261" s="8" t="s">
        <v>1144</v>
      </c>
      <c r="X4261" s="6"/>
      <c r="Y4261" s="6"/>
      <c r="Z4261" s="6"/>
      <c r="AA4261" s="6" t="s">
        <v>1259</v>
      </c>
      <c r="AB4261" s="8"/>
    </row>
    <row r="4262" spans="1:28" s="4" customFormat="1" ht="51.95" customHeight="1">
      <c r="A4262" s="5">
        <v>0</v>
      </c>
      <c r="B4262" s="6" t="s">
        <v>25320</v>
      </c>
      <c r="C4262" s="7">
        <v>694.9</v>
      </c>
      <c r="D4262" s="8" t="s">
        <v>25321</v>
      </c>
      <c r="E4262" s="8" t="s">
        <v>25322</v>
      </c>
      <c r="F4262" s="8" t="s">
        <v>21914</v>
      </c>
      <c r="G4262" s="6" t="s">
        <v>52</v>
      </c>
      <c r="H4262" s="6" t="s">
        <v>53</v>
      </c>
      <c r="I4262" s="8" t="s">
        <v>90</v>
      </c>
      <c r="J4262" s="9">
        <v>1</v>
      </c>
      <c r="K4262" s="9">
        <v>216</v>
      </c>
      <c r="L4262" s="9">
        <v>2019</v>
      </c>
      <c r="M4262" s="8" t="s">
        <v>25323</v>
      </c>
      <c r="N4262" s="8" t="s">
        <v>413</v>
      </c>
      <c r="O4262" s="8" t="s">
        <v>1141</v>
      </c>
      <c r="P4262" s="6" t="s">
        <v>43</v>
      </c>
      <c r="Q4262" s="8" t="s">
        <v>44</v>
      </c>
      <c r="R4262" s="10" t="s">
        <v>25319</v>
      </c>
      <c r="S4262" s="11" t="s">
        <v>25324</v>
      </c>
      <c r="T4262" s="6"/>
      <c r="U4262" s="24" t="str">
        <f>HYPERLINK("https://media.infra-m.ru/1021/1021962/cover/1021962.jpg", "Обложка")</f>
        <v>Обложка</v>
      </c>
      <c r="V4262" s="24" t="str">
        <f>HYPERLINK("https://znanium.ru/catalog/product/1894492", "Ознакомиться")</f>
        <v>Ознакомиться</v>
      </c>
      <c r="W4262" s="8" t="s">
        <v>1144</v>
      </c>
      <c r="X4262" s="6"/>
      <c r="Y4262" s="6"/>
      <c r="Z4262" s="6"/>
      <c r="AA4262" s="6" t="s">
        <v>111</v>
      </c>
      <c r="AB4262" s="8"/>
    </row>
    <row r="4263" spans="1:28" s="4" customFormat="1" ht="42" customHeight="1">
      <c r="A4263" s="5">
        <v>0</v>
      </c>
      <c r="B4263" s="6" t="s">
        <v>25325</v>
      </c>
      <c r="C4263" s="13">
        <v>2094</v>
      </c>
      <c r="D4263" s="8" t="s">
        <v>25326</v>
      </c>
      <c r="E4263" s="8" t="s">
        <v>25327</v>
      </c>
      <c r="F4263" s="8" t="s">
        <v>25328</v>
      </c>
      <c r="G4263" s="6" t="s">
        <v>52</v>
      </c>
      <c r="H4263" s="6" t="s">
        <v>1094</v>
      </c>
      <c r="I4263" s="8" t="s">
        <v>13682</v>
      </c>
      <c r="J4263" s="9">
        <v>1</v>
      </c>
      <c r="K4263" s="9">
        <v>576</v>
      </c>
      <c r="L4263" s="9">
        <v>2025</v>
      </c>
      <c r="M4263" s="8" t="s">
        <v>25329</v>
      </c>
      <c r="N4263" s="8" t="s">
        <v>41</v>
      </c>
      <c r="O4263" s="8" t="s">
        <v>676</v>
      </c>
      <c r="P4263" s="6" t="s">
        <v>366</v>
      </c>
      <c r="Q4263" s="8" t="s">
        <v>44</v>
      </c>
      <c r="R4263" s="10" t="s">
        <v>969</v>
      </c>
      <c r="S4263" s="11"/>
      <c r="T4263" s="6"/>
      <c r="U4263" s="24" t="str">
        <f>HYPERLINK("https://media.infra-m.ru/2174/2174659/cover/2174659.jpg", "Обложка")</f>
        <v>Обложка</v>
      </c>
      <c r="V4263" s="24" t="str">
        <f>HYPERLINK("https://znanium.ru/catalog/product/933863", "Ознакомиться")</f>
        <v>Ознакомиться</v>
      </c>
      <c r="W4263" s="8" t="s">
        <v>11673</v>
      </c>
      <c r="X4263" s="6"/>
      <c r="Y4263" s="6"/>
      <c r="Z4263" s="6"/>
      <c r="AA4263" s="6" t="s">
        <v>2217</v>
      </c>
      <c r="AB4263" s="8"/>
    </row>
    <row r="4264" spans="1:28" s="4" customFormat="1" ht="51.95" customHeight="1">
      <c r="A4264" s="5">
        <v>0</v>
      </c>
      <c r="B4264" s="6" t="s">
        <v>25330</v>
      </c>
      <c r="C4264" s="13">
        <v>3500</v>
      </c>
      <c r="D4264" s="8" t="s">
        <v>25331</v>
      </c>
      <c r="E4264" s="8" t="s">
        <v>25332</v>
      </c>
      <c r="F4264" s="8" t="s">
        <v>25333</v>
      </c>
      <c r="G4264" s="6" t="s">
        <v>52</v>
      </c>
      <c r="H4264" s="6" t="s">
        <v>1094</v>
      </c>
      <c r="I4264" s="8"/>
      <c r="J4264" s="9">
        <v>1</v>
      </c>
      <c r="K4264" s="9">
        <v>784</v>
      </c>
      <c r="L4264" s="9">
        <v>2025</v>
      </c>
      <c r="M4264" s="8" t="s">
        <v>25334</v>
      </c>
      <c r="N4264" s="8" t="s">
        <v>41</v>
      </c>
      <c r="O4264" s="8" t="s">
        <v>676</v>
      </c>
      <c r="P4264" s="6" t="s">
        <v>167</v>
      </c>
      <c r="Q4264" s="8" t="s">
        <v>44</v>
      </c>
      <c r="R4264" s="10" t="s">
        <v>806</v>
      </c>
      <c r="S4264" s="11" t="s">
        <v>25335</v>
      </c>
      <c r="T4264" s="6"/>
      <c r="U4264" s="24" t="str">
        <f>HYPERLINK("https://media.infra-m.ru/2187/2187719/cover/2187719.jpg", "Обложка")</f>
        <v>Обложка</v>
      </c>
      <c r="V4264" s="24" t="str">
        <f>HYPERLINK("https://znanium.ru/catalog/product/2187719", "Ознакомиться")</f>
        <v>Ознакомиться</v>
      </c>
      <c r="W4264" s="8" t="s">
        <v>11673</v>
      </c>
      <c r="X4264" s="6"/>
      <c r="Y4264" s="6"/>
      <c r="Z4264" s="6"/>
      <c r="AA4264" s="6" t="s">
        <v>11085</v>
      </c>
      <c r="AB4264" s="8"/>
    </row>
    <row r="4265" spans="1:28" s="4" customFormat="1" ht="51.95" customHeight="1">
      <c r="A4265" s="5">
        <v>0</v>
      </c>
      <c r="B4265" s="6" t="s">
        <v>25336</v>
      </c>
      <c r="C4265" s="13">
        <v>1694</v>
      </c>
      <c r="D4265" s="8" t="s">
        <v>25337</v>
      </c>
      <c r="E4265" s="8" t="s">
        <v>25338</v>
      </c>
      <c r="F4265" s="8" t="s">
        <v>25339</v>
      </c>
      <c r="G4265" s="6" t="s">
        <v>52</v>
      </c>
      <c r="H4265" s="6" t="s">
        <v>1738</v>
      </c>
      <c r="I4265" s="8" t="s">
        <v>2699</v>
      </c>
      <c r="J4265" s="9">
        <v>1</v>
      </c>
      <c r="K4265" s="9">
        <v>368</v>
      </c>
      <c r="L4265" s="9">
        <v>2024</v>
      </c>
      <c r="M4265" s="8" t="s">
        <v>25340</v>
      </c>
      <c r="N4265" s="8" t="s">
        <v>41</v>
      </c>
      <c r="O4265" s="8" t="s">
        <v>118</v>
      </c>
      <c r="P4265" s="6" t="s">
        <v>43</v>
      </c>
      <c r="Q4265" s="8" t="s">
        <v>44</v>
      </c>
      <c r="R4265" s="10" t="s">
        <v>25341</v>
      </c>
      <c r="S4265" s="11"/>
      <c r="T4265" s="6"/>
      <c r="U4265" s="24" t="str">
        <f>HYPERLINK("https://media.infra-m.ru/2091/2091921/cover/2091921.jpg", "Обложка")</f>
        <v>Обложка</v>
      </c>
      <c r="V4265" s="24" t="str">
        <f>HYPERLINK("https://znanium.ru/catalog/product/967710", "Ознакомиться")</f>
        <v>Ознакомиться</v>
      </c>
      <c r="W4265" s="8" t="s">
        <v>83</v>
      </c>
      <c r="X4265" s="6"/>
      <c r="Y4265" s="6"/>
      <c r="Z4265" s="6"/>
      <c r="AA4265" s="6" t="s">
        <v>47</v>
      </c>
      <c r="AB4265" s="8"/>
    </row>
    <row r="4266" spans="1:28" s="4" customFormat="1" ht="42" customHeight="1">
      <c r="A4266" s="5">
        <v>0</v>
      </c>
      <c r="B4266" s="6" t="s">
        <v>25342</v>
      </c>
      <c r="C4266" s="13">
        <v>1180</v>
      </c>
      <c r="D4266" s="8" t="s">
        <v>25343</v>
      </c>
      <c r="E4266" s="8" t="s">
        <v>25344</v>
      </c>
      <c r="F4266" s="8" t="s">
        <v>25345</v>
      </c>
      <c r="G4266" s="6" t="s">
        <v>89</v>
      </c>
      <c r="H4266" s="6" t="s">
        <v>952</v>
      </c>
      <c r="I4266" s="8"/>
      <c r="J4266" s="9">
        <v>1</v>
      </c>
      <c r="K4266" s="9">
        <v>256</v>
      </c>
      <c r="L4266" s="9">
        <v>2024</v>
      </c>
      <c r="M4266" s="8" t="s">
        <v>25346</v>
      </c>
      <c r="N4266" s="8" t="s">
        <v>41</v>
      </c>
      <c r="O4266" s="8" t="s">
        <v>118</v>
      </c>
      <c r="P4266" s="6" t="s">
        <v>43</v>
      </c>
      <c r="Q4266" s="8" t="s">
        <v>279</v>
      </c>
      <c r="R4266" s="10" t="s">
        <v>2098</v>
      </c>
      <c r="S4266" s="11"/>
      <c r="T4266" s="6"/>
      <c r="U4266" s="24" t="str">
        <f>HYPERLINK("https://media.infra-m.ru/2079/2079309/cover/2079309.jpg", "Обложка")</f>
        <v>Обложка</v>
      </c>
      <c r="V4266" s="24" t="str">
        <f>HYPERLINK("https://znanium.ru/catalog/product/2079309", "Ознакомиться")</f>
        <v>Ознакомиться</v>
      </c>
      <c r="W4266" s="8" t="s">
        <v>83</v>
      </c>
      <c r="X4266" s="6"/>
      <c r="Y4266" s="6"/>
      <c r="Z4266" s="6"/>
      <c r="AA4266" s="6" t="s">
        <v>151</v>
      </c>
      <c r="AB4266" s="8" t="s">
        <v>840</v>
      </c>
    </row>
    <row r="4267" spans="1:28" s="4" customFormat="1" ht="51.95" customHeight="1">
      <c r="A4267" s="5">
        <v>0</v>
      </c>
      <c r="B4267" s="6" t="s">
        <v>25347</v>
      </c>
      <c r="C4267" s="13">
        <v>2130</v>
      </c>
      <c r="D4267" s="8" t="s">
        <v>25348</v>
      </c>
      <c r="E4267" s="8" t="s">
        <v>25349</v>
      </c>
      <c r="F4267" s="8" t="s">
        <v>25350</v>
      </c>
      <c r="G4267" s="6" t="s">
        <v>52</v>
      </c>
      <c r="H4267" s="6" t="s">
        <v>53</v>
      </c>
      <c r="I4267" s="8" t="s">
        <v>116</v>
      </c>
      <c r="J4267" s="9">
        <v>1</v>
      </c>
      <c r="K4267" s="9">
        <v>463</v>
      </c>
      <c r="L4267" s="9">
        <v>2024</v>
      </c>
      <c r="M4267" s="8" t="s">
        <v>25351</v>
      </c>
      <c r="N4267" s="8" t="s">
        <v>41</v>
      </c>
      <c r="O4267" s="8" t="s">
        <v>1007</v>
      </c>
      <c r="P4267" s="6" t="s">
        <v>43</v>
      </c>
      <c r="Q4267" s="8" t="s">
        <v>44</v>
      </c>
      <c r="R4267" s="10" t="s">
        <v>25352</v>
      </c>
      <c r="S4267" s="11"/>
      <c r="T4267" s="6"/>
      <c r="U4267" s="24" t="str">
        <f>HYPERLINK("https://media.infra-m.ru/1901/1901877/cover/1901877.jpg", "Обложка")</f>
        <v>Обложка</v>
      </c>
      <c r="V4267" s="24" t="str">
        <f>HYPERLINK("https://znanium.ru/catalog/product/1901877", "Ознакомиться")</f>
        <v>Ознакомиться</v>
      </c>
      <c r="W4267" s="8" t="s">
        <v>206</v>
      </c>
      <c r="X4267" s="6"/>
      <c r="Y4267" s="6"/>
      <c r="Z4267" s="6"/>
      <c r="AA4267" s="6" t="s">
        <v>133</v>
      </c>
      <c r="AB4267" s="8"/>
    </row>
    <row r="4268" spans="1:28" s="4" customFormat="1" ht="51.95" customHeight="1">
      <c r="A4268" s="5">
        <v>0</v>
      </c>
      <c r="B4268" s="6" t="s">
        <v>25353</v>
      </c>
      <c r="C4268" s="7">
        <v>650</v>
      </c>
      <c r="D4268" s="8" t="s">
        <v>25354</v>
      </c>
      <c r="E4268" s="8" t="s">
        <v>25355</v>
      </c>
      <c r="F4268" s="8" t="s">
        <v>25356</v>
      </c>
      <c r="G4268" s="6" t="s">
        <v>38</v>
      </c>
      <c r="H4268" s="6" t="s">
        <v>438</v>
      </c>
      <c r="I4268" s="8" t="s">
        <v>116</v>
      </c>
      <c r="J4268" s="9">
        <v>1</v>
      </c>
      <c r="K4268" s="9">
        <v>112</v>
      </c>
      <c r="L4268" s="9">
        <v>2023</v>
      </c>
      <c r="M4268" s="8" t="s">
        <v>25357</v>
      </c>
      <c r="N4268" s="8" t="s">
        <v>56</v>
      </c>
      <c r="O4268" s="8" t="s">
        <v>2183</v>
      </c>
      <c r="P4268" s="6" t="s">
        <v>43</v>
      </c>
      <c r="Q4268" s="8" t="s">
        <v>58</v>
      </c>
      <c r="R4268" s="10" t="s">
        <v>25358</v>
      </c>
      <c r="S4268" s="11" t="s">
        <v>25359</v>
      </c>
      <c r="T4268" s="6"/>
      <c r="U4268" s="24" t="str">
        <f>HYPERLINK("https://media.infra-m.ru/1995/1995390/cover/1995390.jpg", "Обложка")</f>
        <v>Обложка</v>
      </c>
      <c r="V4268" s="24" t="str">
        <f>HYPERLINK("https://znanium.ru/catalog/product/1995390", "Ознакомиться")</f>
        <v>Ознакомиться</v>
      </c>
      <c r="W4268" s="8" t="s">
        <v>1853</v>
      </c>
      <c r="X4268" s="6"/>
      <c r="Y4268" s="6"/>
      <c r="Z4268" s="6"/>
      <c r="AA4268" s="6" t="s">
        <v>122</v>
      </c>
      <c r="AB4268" s="8"/>
    </row>
    <row r="4269" spans="1:28" s="4" customFormat="1" ht="51.95" customHeight="1">
      <c r="A4269" s="5">
        <v>0</v>
      </c>
      <c r="B4269" s="6" t="s">
        <v>25360</v>
      </c>
      <c r="C4269" s="13">
        <v>1762</v>
      </c>
      <c r="D4269" s="8" t="s">
        <v>25361</v>
      </c>
      <c r="E4269" s="8" t="s">
        <v>25362</v>
      </c>
      <c r="F4269" s="8" t="s">
        <v>25363</v>
      </c>
      <c r="G4269" s="6" t="s">
        <v>89</v>
      </c>
      <c r="H4269" s="6" t="s">
        <v>53</v>
      </c>
      <c r="I4269" s="8" t="s">
        <v>100</v>
      </c>
      <c r="J4269" s="9">
        <v>1</v>
      </c>
      <c r="K4269" s="9">
        <v>256</v>
      </c>
      <c r="L4269" s="9">
        <v>2025</v>
      </c>
      <c r="M4269" s="8" t="s">
        <v>25364</v>
      </c>
      <c r="N4269" s="8" t="s">
        <v>56</v>
      </c>
      <c r="O4269" s="8" t="s">
        <v>2183</v>
      </c>
      <c r="P4269" s="6" t="s">
        <v>43</v>
      </c>
      <c r="Q4269" s="8" t="s">
        <v>102</v>
      </c>
      <c r="R4269" s="10" t="s">
        <v>25365</v>
      </c>
      <c r="S4269" s="11" t="s">
        <v>25366</v>
      </c>
      <c r="T4269" s="6"/>
      <c r="U4269" s="24" t="str">
        <f>HYPERLINK("https://media.infra-m.ru/2179/2179087/cover/2179087.jpg", "Обложка")</f>
        <v>Обложка</v>
      </c>
      <c r="V4269" s="24" t="str">
        <f>HYPERLINK("https://znanium.ru/catalog/product/2179087", "Ознакомиться")</f>
        <v>Ознакомиться</v>
      </c>
      <c r="W4269" s="8" t="s">
        <v>71</v>
      </c>
      <c r="X4269" s="6"/>
      <c r="Y4269" s="6"/>
      <c r="Z4269" s="6"/>
      <c r="AA4269" s="6" t="s">
        <v>555</v>
      </c>
      <c r="AB4269" s="8"/>
    </row>
    <row r="4270" spans="1:28" s="4" customFormat="1" ht="51.95" customHeight="1">
      <c r="A4270" s="5">
        <v>0</v>
      </c>
      <c r="B4270" s="6" t="s">
        <v>25367</v>
      </c>
      <c r="C4270" s="13">
        <v>2440</v>
      </c>
      <c r="D4270" s="8" t="s">
        <v>25368</v>
      </c>
      <c r="E4270" s="8" t="s">
        <v>25369</v>
      </c>
      <c r="F4270" s="8" t="s">
        <v>11846</v>
      </c>
      <c r="G4270" s="6" t="s">
        <v>52</v>
      </c>
      <c r="H4270" s="6" t="s">
        <v>53</v>
      </c>
      <c r="I4270" s="8" t="s">
        <v>116</v>
      </c>
      <c r="J4270" s="9">
        <v>1</v>
      </c>
      <c r="K4270" s="9">
        <v>480</v>
      </c>
      <c r="L4270" s="9">
        <v>2025</v>
      </c>
      <c r="M4270" s="8" t="s">
        <v>25370</v>
      </c>
      <c r="N4270" s="8" t="s">
        <v>56</v>
      </c>
      <c r="O4270" s="8" t="s">
        <v>57</v>
      </c>
      <c r="P4270" s="6" t="s">
        <v>167</v>
      </c>
      <c r="Q4270" s="8" t="s">
        <v>44</v>
      </c>
      <c r="R4270" s="10" t="s">
        <v>25371</v>
      </c>
      <c r="S4270" s="11" t="s">
        <v>25372</v>
      </c>
      <c r="T4270" s="6"/>
      <c r="U4270" s="24" t="str">
        <f>HYPERLINK("https://media.infra-m.ru/2186/2186004/cover/2186004.jpg", "Обложка")</f>
        <v>Обложка</v>
      </c>
      <c r="V4270" s="24" t="str">
        <f>HYPERLINK("https://znanium.ru/catalog/product/2186004", "Ознакомиться")</f>
        <v>Ознакомиться</v>
      </c>
      <c r="W4270" s="8" t="s">
        <v>11850</v>
      </c>
      <c r="X4270" s="6"/>
      <c r="Y4270" s="6"/>
      <c r="Z4270" s="6"/>
      <c r="AA4270" s="6" t="s">
        <v>258</v>
      </c>
      <c r="AB4270" s="8"/>
    </row>
    <row r="4271" spans="1:28" s="4" customFormat="1" ht="51.95" customHeight="1">
      <c r="A4271" s="5">
        <v>0</v>
      </c>
      <c r="B4271" s="6" t="s">
        <v>25373</v>
      </c>
      <c r="C4271" s="7">
        <v>874</v>
      </c>
      <c r="D4271" s="8" t="s">
        <v>25374</v>
      </c>
      <c r="E4271" s="8" t="s">
        <v>25375</v>
      </c>
      <c r="F4271" s="8" t="s">
        <v>25376</v>
      </c>
      <c r="G4271" s="6" t="s">
        <v>52</v>
      </c>
      <c r="H4271" s="6" t="s">
        <v>53</v>
      </c>
      <c r="I4271" s="8" t="s">
        <v>4855</v>
      </c>
      <c r="J4271" s="9">
        <v>1</v>
      </c>
      <c r="K4271" s="9">
        <v>192</v>
      </c>
      <c r="L4271" s="9">
        <v>2023</v>
      </c>
      <c r="M4271" s="8" t="s">
        <v>25377</v>
      </c>
      <c r="N4271" s="8" t="s">
        <v>413</v>
      </c>
      <c r="O4271" s="8" t="s">
        <v>2771</v>
      </c>
      <c r="P4271" s="6" t="s">
        <v>43</v>
      </c>
      <c r="Q4271" s="8" t="s">
        <v>44</v>
      </c>
      <c r="R4271" s="10" t="s">
        <v>9928</v>
      </c>
      <c r="S4271" s="11" t="s">
        <v>9412</v>
      </c>
      <c r="T4271" s="6"/>
      <c r="U4271" s="24" t="str">
        <f>HYPERLINK("https://media.infra-m.ru/2006/2006874/cover/2006874.jpg", "Обложка")</f>
        <v>Обложка</v>
      </c>
      <c r="V4271" s="12"/>
      <c r="W4271" s="8" t="s">
        <v>784</v>
      </c>
      <c r="X4271" s="6"/>
      <c r="Y4271" s="6"/>
      <c r="Z4271" s="6"/>
      <c r="AA4271" s="6" t="s">
        <v>151</v>
      </c>
      <c r="AB4271" s="8"/>
    </row>
    <row r="4272" spans="1:28" s="4" customFormat="1" ht="42" customHeight="1">
      <c r="A4272" s="5">
        <v>0</v>
      </c>
      <c r="B4272" s="6" t="s">
        <v>25378</v>
      </c>
      <c r="C4272" s="13">
        <v>1040</v>
      </c>
      <c r="D4272" s="8" t="s">
        <v>25379</v>
      </c>
      <c r="E4272" s="8" t="s">
        <v>25380</v>
      </c>
      <c r="F4272" s="8" t="s">
        <v>25381</v>
      </c>
      <c r="G4272" s="6" t="s">
        <v>89</v>
      </c>
      <c r="H4272" s="6" t="s">
        <v>53</v>
      </c>
      <c r="I4272" s="8" t="s">
        <v>6088</v>
      </c>
      <c r="J4272" s="9">
        <v>1</v>
      </c>
      <c r="K4272" s="9">
        <v>196</v>
      </c>
      <c r="L4272" s="9">
        <v>2025</v>
      </c>
      <c r="M4272" s="8" t="s">
        <v>25382</v>
      </c>
      <c r="N4272" s="8" t="s">
        <v>41</v>
      </c>
      <c r="O4272" s="8" t="s">
        <v>4035</v>
      </c>
      <c r="P4272" s="6" t="s">
        <v>6090</v>
      </c>
      <c r="Q4272" s="8" t="s">
        <v>58</v>
      </c>
      <c r="R4272" s="10" t="s">
        <v>8810</v>
      </c>
      <c r="S4272" s="11"/>
      <c r="T4272" s="6"/>
      <c r="U4272" s="24" t="str">
        <f>HYPERLINK("https://media.infra-m.ru/2183/2183785/cover/2183785.jpg", "Обложка")</f>
        <v>Обложка</v>
      </c>
      <c r="V4272" s="24" t="str">
        <f>HYPERLINK("https://znanium.ru/catalog/product/2183785", "Ознакомиться")</f>
        <v>Ознакомиться</v>
      </c>
      <c r="W4272" s="8" t="s">
        <v>2672</v>
      </c>
      <c r="X4272" s="6"/>
      <c r="Y4272" s="6"/>
      <c r="Z4272" s="6"/>
      <c r="AA4272" s="6" t="s">
        <v>61</v>
      </c>
      <c r="AB4272" s="8"/>
    </row>
    <row r="4273" spans="1:28" s="4" customFormat="1" ht="42" customHeight="1">
      <c r="A4273" s="5">
        <v>0</v>
      </c>
      <c r="B4273" s="6" t="s">
        <v>25383</v>
      </c>
      <c r="C4273" s="13">
        <v>1099</v>
      </c>
      <c r="D4273" s="8" t="s">
        <v>25384</v>
      </c>
      <c r="E4273" s="8" t="s">
        <v>25380</v>
      </c>
      <c r="F4273" s="8" t="s">
        <v>25381</v>
      </c>
      <c r="G4273" s="6" t="s">
        <v>52</v>
      </c>
      <c r="H4273" s="6" t="s">
        <v>53</v>
      </c>
      <c r="I4273" s="8" t="s">
        <v>116</v>
      </c>
      <c r="J4273" s="9">
        <v>1</v>
      </c>
      <c r="K4273" s="9">
        <v>212</v>
      </c>
      <c r="L4273" s="9">
        <v>2024</v>
      </c>
      <c r="M4273" s="8" t="s">
        <v>25385</v>
      </c>
      <c r="N4273" s="8" t="s">
        <v>41</v>
      </c>
      <c r="O4273" s="8" t="s">
        <v>4035</v>
      </c>
      <c r="P4273" s="6" t="s">
        <v>43</v>
      </c>
      <c r="Q4273" s="8" t="s">
        <v>44</v>
      </c>
      <c r="R4273" s="10" t="s">
        <v>25386</v>
      </c>
      <c r="S4273" s="11"/>
      <c r="T4273" s="6"/>
      <c r="U4273" s="24" t="str">
        <f>HYPERLINK("https://media.infra-m.ru/1852/1852455/cover/1852455.jpg", "Обложка")</f>
        <v>Обложка</v>
      </c>
      <c r="V4273" s="24" t="str">
        <f>HYPERLINK("https://znanium.ru/catalog/product/1852455", "Ознакомиться")</f>
        <v>Ознакомиться</v>
      </c>
      <c r="W4273" s="8" t="s">
        <v>2672</v>
      </c>
      <c r="X4273" s="6"/>
      <c r="Y4273" s="6"/>
      <c r="Z4273" s="6"/>
      <c r="AA4273" s="6" t="s">
        <v>133</v>
      </c>
      <c r="AB4273" s="8"/>
    </row>
    <row r="4274" spans="1:28" s="4" customFormat="1" ht="44.1" customHeight="1">
      <c r="A4274" s="5">
        <v>0</v>
      </c>
      <c r="B4274" s="6" t="s">
        <v>25387</v>
      </c>
      <c r="C4274" s="7">
        <v>950</v>
      </c>
      <c r="D4274" s="8" t="s">
        <v>25388</v>
      </c>
      <c r="E4274" s="8" t="s">
        <v>25389</v>
      </c>
      <c r="F4274" s="8" t="s">
        <v>25390</v>
      </c>
      <c r="G4274" s="6" t="s">
        <v>52</v>
      </c>
      <c r="H4274" s="6" t="s">
        <v>184</v>
      </c>
      <c r="I4274" s="8"/>
      <c r="J4274" s="9">
        <v>1</v>
      </c>
      <c r="K4274" s="9">
        <v>184</v>
      </c>
      <c r="L4274" s="9">
        <v>2025</v>
      </c>
      <c r="M4274" s="8" t="s">
        <v>25391</v>
      </c>
      <c r="N4274" s="8" t="s">
        <v>56</v>
      </c>
      <c r="O4274" s="8" t="s">
        <v>4042</v>
      </c>
      <c r="P4274" s="6" t="s">
        <v>43</v>
      </c>
      <c r="Q4274" s="8" t="s">
        <v>58</v>
      </c>
      <c r="R4274" s="10" t="s">
        <v>20126</v>
      </c>
      <c r="S4274" s="11"/>
      <c r="T4274" s="6"/>
      <c r="U4274" s="24" t="str">
        <f>HYPERLINK("https://media.infra-m.ru/2160/2160725/cover/2160725.jpg", "Обложка")</f>
        <v>Обложка</v>
      </c>
      <c r="V4274" s="24" t="str">
        <f>HYPERLINK("https://znanium.ru/catalog/product/2160725", "Ознакомиться")</f>
        <v>Ознакомиться</v>
      </c>
      <c r="W4274" s="8" t="s">
        <v>2343</v>
      </c>
      <c r="X4274" s="6" t="s">
        <v>389</v>
      </c>
      <c r="Y4274" s="6"/>
      <c r="Z4274" s="6"/>
      <c r="AA4274" s="6" t="s">
        <v>61</v>
      </c>
      <c r="AB4274" s="8"/>
    </row>
    <row r="4275" spans="1:28" s="4" customFormat="1" ht="51.95" customHeight="1">
      <c r="A4275" s="5">
        <v>0</v>
      </c>
      <c r="B4275" s="6" t="s">
        <v>25392</v>
      </c>
      <c r="C4275" s="13">
        <v>1190</v>
      </c>
      <c r="D4275" s="8" t="s">
        <v>25393</v>
      </c>
      <c r="E4275" s="8" t="s">
        <v>25394</v>
      </c>
      <c r="F4275" s="8" t="s">
        <v>25395</v>
      </c>
      <c r="G4275" s="6" t="s">
        <v>52</v>
      </c>
      <c r="H4275" s="6" t="s">
        <v>53</v>
      </c>
      <c r="I4275" s="8" t="s">
        <v>90</v>
      </c>
      <c r="J4275" s="9">
        <v>1</v>
      </c>
      <c r="K4275" s="9">
        <v>254</v>
      </c>
      <c r="L4275" s="9">
        <v>2023</v>
      </c>
      <c r="M4275" s="8" t="s">
        <v>25396</v>
      </c>
      <c r="N4275" s="8" t="s">
        <v>41</v>
      </c>
      <c r="O4275" s="8" t="s">
        <v>1204</v>
      </c>
      <c r="P4275" s="6" t="s">
        <v>167</v>
      </c>
      <c r="Q4275" s="8" t="s">
        <v>44</v>
      </c>
      <c r="R4275" s="10" t="s">
        <v>25397</v>
      </c>
      <c r="S4275" s="11" t="s">
        <v>25398</v>
      </c>
      <c r="T4275" s="6"/>
      <c r="U4275" s="24" t="str">
        <f>HYPERLINK("https://media.infra-m.ru/1524/1524033/cover/1524033.jpg", "Обложка")</f>
        <v>Обложка</v>
      </c>
      <c r="V4275" s="24" t="str">
        <f>HYPERLINK("https://znanium.ru/catalog/product/1524033", "Ознакомиться")</f>
        <v>Ознакомиться</v>
      </c>
      <c r="W4275" s="8" t="s">
        <v>25399</v>
      </c>
      <c r="X4275" s="6"/>
      <c r="Y4275" s="6"/>
      <c r="Z4275" s="6"/>
      <c r="AA4275" s="6" t="s">
        <v>207</v>
      </c>
      <c r="AB4275" s="8"/>
    </row>
    <row r="4276" spans="1:28" s="4" customFormat="1" ht="51.95" customHeight="1">
      <c r="A4276" s="5">
        <v>0</v>
      </c>
      <c r="B4276" s="6" t="s">
        <v>25400</v>
      </c>
      <c r="C4276" s="13">
        <v>2180</v>
      </c>
      <c r="D4276" s="8" t="s">
        <v>25401</v>
      </c>
      <c r="E4276" s="8" t="s">
        <v>25402</v>
      </c>
      <c r="F4276" s="8" t="s">
        <v>25403</v>
      </c>
      <c r="G4276" s="6" t="s">
        <v>38</v>
      </c>
      <c r="H4276" s="6" t="s">
        <v>53</v>
      </c>
      <c r="I4276" s="8" t="s">
        <v>116</v>
      </c>
      <c r="J4276" s="9">
        <v>1</v>
      </c>
      <c r="K4276" s="9">
        <v>230</v>
      </c>
      <c r="L4276" s="9">
        <v>2024</v>
      </c>
      <c r="M4276" s="8" t="s">
        <v>25404</v>
      </c>
      <c r="N4276" s="8" t="s">
        <v>413</v>
      </c>
      <c r="O4276" s="8" t="s">
        <v>1584</v>
      </c>
      <c r="P4276" s="6" t="s">
        <v>43</v>
      </c>
      <c r="Q4276" s="8" t="s">
        <v>44</v>
      </c>
      <c r="R4276" s="10" t="s">
        <v>25405</v>
      </c>
      <c r="S4276" s="11" t="s">
        <v>25406</v>
      </c>
      <c r="T4276" s="6" t="s">
        <v>299</v>
      </c>
      <c r="U4276" s="24" t="str">
        <f>HYPERLINK("https://media.infra-m.ru/2126/2126889/cover/2126889.jpg", "Обложка")</f>
        <v>Обложка</v>
      </c>
      <c r="V4276" s="24" t="str">
        <f>HYPERLINK("https://znanium.ru/catalog/product/2126889", "Ознакомиться")</f>
        <v>Ознакомиться</v>
      </c>
      <c r="W4276" s="8" t="s">
        <v>18919</v>
      </c>
      <c r="X4276" s="6"/>
      <c r="Y4276" s="6"/>
      <c r="Z4276" s="6"/>
      <c r="AA4276" s="6" t="s">
        <v>160</v>
      </c>
      <c r="AB4276" s="8"/>
    </row>
    <row r="4277" spans="1:28" s="4" customFormat="1" ht="51.95" customHeight="1">
      <c r="A4277" s="5">
        <v>0</v>
      </c>
      <c r="B4277" s="6" t="s">
        <v>25407</v>
      </c>
      <c r="C4277" s="13">
        <v>3280</v>
      </c>
      <c r="D4277" s="8" t="s">
        <v>25408</v>
      </c>
      <c r="E4277" s="8" t="s">
        <v>25409</v>
      </c>
      <c r="F4277" s="8" t="s">
        <v>25410</v>
      </c>
      <c r="G4277" s="6" t="s">
        <v>52</v>
      </c>
      <c r="H4277" s="6" t="s">
        <v>674</v>
      </c>
      <c r="I4277" s="8"/>
      <c r="J4277" s="9">
        <v>1</v>
      </c>
      <c r="K4277" s="9">
        <v>656</v>
      </c>
      <c r="L4277" s="9">
        <v>2025</v>
      </c>
      <c r="M4277" s="8" t="s">
        <v>25411</v>
      </c>
      <c r="N4277" s="8" t="s">
        <v>41</v>
      </c>
      <c r="O4277" s="8" t="s">
        <v>676</v>
      </c>
      <c r="P4277" s="6" t="s">
        <v>366</v>
      </c>
      <c r="Q4277" s="8" t="s">
        <v>58</v>
      </c>
      <c r="R4277" s="10" t="s">
        <v>25412</v>
      </c>
      <c r="S4277" s="11" t="s">
        <v>25413</v>
      </c>
      <c r="T4277" s="6"/>
      <c r="U4277" s="24" t="str">
        <f>HYPERLINK("https://media.infra-m.ru/2192/2192334/cover/2192334.jpg", "Обложка")</f>
        <v>Обложка</v>
      </c>
      <c r="V4277" s="24" t="str">
        <f>HYPERLINK("https://znanium.ru/catalog/product/2192334", "Ознакомиться")</f>
        <v>Ознакомиться</v>
      </c>
      <c r="W4277" s="8" t="s">
        <v>1626</v>
      </c>
      <c r="X4277" s="6"/>
      <c r="Y4277" s="6"/>
      <c r="Z4277" s="6"/>
      <c r="AA4277" s="6" t="s">
        <v>47</v>
      </c>
      <c r="AB4277" s="8" t="s">
        <v>840</v>
      </c>
    </row>
    <row r="4278" spans="1:28" s="4" customFormat="1" ht="51.95" customHeight="1">
      <c r="A4278" s="5">
        <v>0</v>
      </c>
      <c r="B4278" s="6" t="s">
        <v>25414</v>
      </c>
      <c r="C4278" s="7">
        <v>870</v>
      </c>
      <c r="D4278" s="8" t="s">
        <v>25415</v>
      </c>
      <c r="E4278" s="8" t="s">
        <v>25416</v>
      </c>
      <c r="F4278" s="8" t="s">
        <v>25417</v>
      </c>
      <c r="G4278" s="6" t="s">
        <v>89</v>
      </c>
      <c r="H4278" s="6" t="s">
        <v>53</v>
      </c>
      <c r="I4278" s="8" t="s">
        <v>127</v>
      </c>
      <c r="J4278" s="9">
        <v>1</v>
      </c>
      <c r="K4278" s="9">
        <v>178</v>
      </c>
      <c r="L4278" s="9">
        <v>2024</v>
      </c>
      <c r="M4278" s="8" t="s">
        <v>25418</v>
      </c>
      <c r="N4278" s="8" t="s">
        <v>68</v>
      </c>
      <c r="O4278" s="8" t="s">
        <v>69</v>
      </c>
      <c r="P4278" s="6" t="s">
        <v>43</v>
      </c>
      <c r="Q4278" s="8" t="s">
        <v>58</v>
      </c>
      <c r="R4278" s="10" t="s">
        <v>25419</v>
      </c>
      <c r="S4278" s="11"/>
      <c r="T4278" s="6"/>
      <c r="U4278" s="24" t="str">
        <f>HYPERLINK("https://media.infra-m.ru/2079/2079874/cover/2079874.jpg", "Обложка")</f>
        <v>Обложка</v>
      </c>
      <c r="V4278" s="24" t="str">
        <f>HYPERLINK("https://znanium.ru/catalog/product/2079874", "Ознакомиться")</f>
        <v>Ознакомиться</v>
      </c>
      <c r="W4278" s="8" t="s">
        <v>21995</v>
      </c>
      <c r="X4278" s="6"/>
      <c r="Y4278" s="6"/>
      <c r="Z4278" s="6"/>
      <c r="AA4278" s="6" t="s">
        <v>219</v>
      </c>
      <c r="AB4278" s="8"/>
    </row>
    <row r="4279" spans="1:28" s="4" customFormat="1" ht="51.95" customHeight="1">
      <c r="A4279" s="5">
        <v>0</v>
      </c>
      <c r="B4279" s="6" t="s">
        <v>25420</v>
      </c>
      <c r="C4279" s="13">
        <v>2620</v>
      </c>
      <c r="D4279" s="8" t="s">
        <v>25421</v>
      </c>
      <c r="E4279" s="8" t="s">
        <v>25422</v>
      </c>
      <c r="F4279" s="8" t="s">
        <v>25423</v>
      </c>
      <c r="G4279" s="6" t="s">
        <v>52</v>
      </c>
      <c r="H4279" s="6" t="s">
        <v>53</v>
      </c>
      <c r="I4279" s="8" t="s">
        <v>116</v>
      </c>
      <c r="J4279" s="9">
        <v>1</v>
      </c>
      <c r="K4279" s="9">
        <v>569</v>
      </c>
      <c r="L4279" s="9">
        <v>2023</v>
      </c>
      <c r="M4279" s="8" t="s">
        <v>25424</v>
      </c>
      <c r="N4279" s="8" t="s">
        <v>413</v>
      </c>
      <c r="O4279" s="8" t="s">
        <v>414</v>
      </c>
      <c r="P4279" s="6" t="s">
        <v>43</v>
      </c>
      <c r="Q4279" s="8" t="s">
        <v>44</v>
      </c>
      <c r="R4279" s="10" t="s">
        <v>14252</v>
      </c>
      <c r="S4279" s="11" t="s">
        <v>25425</v>
      </c>
      <c r="T4279" s="6"/>
      <c r="U4279" s="24" t="str">
        <f>HYPERLINK("https://media.infra-m.ru/2126/2126522/cover/2126522.jpg", "Обложка")</f>
        <v>Обложка</v>
      </c>
      <c r="V4279" s="24" t="str">
        <f>HYPERLINK("https://znanium.ru/catalog/product/2126522", "Ознакомиться")</f>
        <v>Ознакомиться</v>
      </c>
      <c r="W4279" s="8" t="s">
        <v>9937</v>
      </c>
      <c r="X4279" s="6"/>
      <c r="Y4279" s="6"/>
      <c r="Z4279" s="6"/>
      <c r="AA4279" s="6" t="s">
        <v>418</v>
      </c>
      <c r="AB4279" s="8"/>
    </row>
    <row r="4280" spans="1:28" s="4" customFormat="1" ht="51.95" customHeight="1">
      <c r="A4280" s="5">
        <v>0</v>
      </c>
      <c r="B4280" s="6" t="s">
        <v>25426</v>
      </c>
      <c r="C4280" s="13">
        <v>2564</v>
      </c>
      <c r="D4280" s="8" t="s">
        <v>25427</v>
      </c>
      <c r="E4280" s="8" t="s">
        <v>25428</v>
      </c>
      <c r="F4280" s="8" t="s">
        <v>25429</v>
      </c>
      <c r="G4280" s="6" t="s">
        <v>52</v>
      </c>
      <c r="H4280" s="6" t="s">
        <v>53</v>
      </c>
      <c r="I4280" s="8" t="s">
        <v>100</v>
      </c>
      <c r="J4280" s="9">
        <v>1</v>
      </c>
      <c r="K4280" s="9">
        <v>512</v>
      </c>
      <c r="L4280" s="9">
        <v>2025</v>
      </c>
      <c r="M4280" s="8" t="s">
        <v>25430</v>
      </c>
      <c r="N4280" s="8" t="s">
        <v>56</v>
      </c>
      <c r="O4280" s="8" t="s">
        <v>57</v>
      </c>
      <c r="P4280" s="6" t="s">
        <v>167</v>
      </c>
      <c r="Q4280" s="8" t="s">
        <v>102</v>
      </c>
      <c r="R4280" s="10" t="s">
        <v>25431</v>
      </c>
      <c r="S4280" s="11" t="s">
        <v>5082</v>
      </c>
      <c r="T4280" s="6"/>
      <c r="U4280" s="24" t="str">
        <f>HYPERLINK("https://media.infra-m.ru/2187/2187046/cover/2187046.jpg", "Обложка")</f>
        <v>Обложка</v>
      </c>
      <c r="V4280" s="24" t="str">
        <f>HYPERLINK("https://znanium.ru/catalog/product/1902835", "Ознакомиться")</f>
        <v>Ознакомиться</v>
      </c>
      <c r="W4280" s="8" t="s">
        <v>46</v>
      </c>
      <c r="X4280" s="6"/>
      <c r="Y4280" s="6"/>
      <c r="Z4280" s="6"/>
      <c r="AA4280" s="6" t="s">
        <v>122</v>
      </c>
      <c r="AB4280" s="8"/>
    </row>
    <row r="4281" spans="1:28" s="4" customFormat="1" ht="51.95" customHeight="1">
      <c r="A4281" s="5">
        <v>0</v>
      </c>
      <c r="B4281" s="6" t="s">
        <v>25432</v>
      </c>
      <c r="C4281" s="13">
        <v>1820</v>
      </c>
      <c r="D4281" s="8" t="s">
        <v>25433</v>
      </c>
      <c r="E4281" s="8" t="s">
        <v>25434</v>
      </c>
      <c r="F4281" s="8" t="s">
        <v>25435</v>
      </c>
      <c r="G4281" s="6" t="s">
        <v>38</v>
      </c>
      <c r="H4281" s="6" t="s">
        <v>77</v>
      </c>
      <c r="I4281" s="8"/>
      <c r="J4281" s="9">
        <v>1</v>
      </c>
      <c r="K4281" s="9">
        <v>395</v>
      </c>
      <c r="L4281" s="9">
        <v>2024</v>
      </c>
      <c r="M4281" s="8" t="s">
        <v>25436</v>
      </c>
      <c r="N4281" s="8" t="s">
        <v>56</v>
      </c>
      <c r="O4281" s="8" t="s">
        <v>57</v>
      </c>
      <c r="P4281" s="6" t="s">
        <v>43</v>
      </c>
      <c r="Q4281" s="8" t="s">
        <v>279</v>
      </c>
      <c r="R4281" s="10" t="s">
        <v>25437</v>
      </c>
      <c r="S4281" s="11"/>
      <c r="T4281" s="6" t="s">
        <v>299</v>
      </c>
      <c r="U4281" s="24" t="str">
        <f>HYPERLINK("https://media.infra-m.ru/2119/2119967/cover/2119967.jpg", "Обложка")</f>
        <v>Обложка</v>
      </c>
      <c r="V4281" s="24" t="str">
        <f>HYPERLINK("https://znanium.ru/catalog/product/2119967", "Ознакомиться")</f>
        <v>Ознакомиться</v>
      </c>
      <c r="W4281" s="8" t="s">
        <v>2514</v>
      </c>
      <c r="X4281" s="6"/>
      <c r="Y4281" s="6"/>
      <c r="Z4281" s="6"/>
      <c r="AA4281" s="6" t="s">
        <v>84</v>
      </c>
      <c r="AB4281" s="8"/>
    </row>
    <row r="4282" spans="1:28" s="4" customFormat="1" ht="51.95" customHeight="1">
      <c r="A4282" s="5">
        <v>0</v>
      </c>
      <c r="B4282" s="6" t="s">
        <v>25438</v>
      </c>
      <c r="C4282" s="13">
        <v>1034</v>
      </c>
      <c r="D4282" s="8" t="s">
        <v>25439</v>
      </c>
      <c r="E4282" s="8" t="s">
        <v>25440</v>
      </c>
      <c r="F4282" s="8" t="s">
        <v>6978</v>
      </c>
      <c r="G4282" s="6" t="s">
        <v>38</v>
      </c>
      <c r="H4282" s="6" t="s">
        <v>53</v>
      </c>
      <c r="I4282" s="8" t="s">
        <v>90</v>
      </c>
      <c r="J4282" s="9">
        <v>1</v>
      </c>
      <c r="K4282" s="9">
        <v>199</v>
      </c>
      <c r="L4282" s="9">
        <v>2025</v>
      </c>
      <c r="M4282" s="8" t="s">
        <v>25441</v>
      </c>
      <c r="N4282" s="8" t="s">
        <v>41</v>
      </c>
      <c r="O4282" s="8" t="s">
        <v>1204</v>
      </c>
      <c r="P4282" s="6" t="s">
        <v>43</v>
      </c>
      <c r="Q4282" s="8" t="s">
        <v>44</v>
      </c>
      <c r="R4282" s="10" t="s">
        <v>17270</v>
      </c>
      <c r="S4282" s="11" t="s">
        <v>6981</v>
      </c>
      <c r="T4282" s="6"/>
      <c r="U4282" s="24" t="str">
        <f>HYPERLINK("https://media.infra-m.ru/2133/2133067/cover/2133067.jpg", "Обложка")</f>
        <v>Обложка</v>
      </c>
      <c r="V4282" s="24" t="str">
        <f>HYPERLINK("https://znanium.ru/catalog/product/1009964", "Ознакомиться")</f>
        <v>Ознакомиться</v>
      </c>
      <c r="W4282" s="8" t="s">
        <v>4293</v>
      </c>
      <c r="X4282" s="6"/>
      <c r="Y4282" s="6"/>
      <c r="Z4282" s="6"/>
      <c r="AA4282" s="6" t="s">
        <v>418</v>
      </c>
      <c r="AB4282" s="8"/>
    </row>
    <row r="4283" spans="1:28" s="4" customFormat="1" ht="42" customHeight="1">
      <c r="A4283" s="5">
        <v>0</v>
      </c>
      <c r="B4283" s="6" t="s">
        <v>25442</v>
      </c>
      <c r="C4283" s="7">
        <v>794</v>
      </c>
      <c r="D4283" s="8" t="s">
        <v>25443</v>
      </c>
      <c r="E4283" s="8" t="s">
        <v>25440</v>
      </c>
      <c r="F4283" s="8" t="s">
        <v>25444</v>
      </c>
      <c r="G4283" s="6" t="s">
        <v>38</v>
      </c>
      <c r="H4283" s="6" t="s">
        <v>53</v>
      </c>
      <c r="I4283" s="8" t="s">
        <v>90</v>
      </c>
      <c r="J4283" s="9">
        <v>1</v>
      </c>
      <c r="K4283" s="9">
        <v>159</v>
      </c>
      <c r="L4283" s="9">
        <v>2024</v>
      </c>
      <c r="M4283" s="8" t="s">
        <v>25445</v>
      </c>
      <c r="N4283" s="8" t="s">
        <v>41</v>
      </c>
      <c r="O4283" s="8" t="s">
        <v>1204</v>
      </c>
      <c r="P4283" s="6" t="s">
        <v>43</v>
      </c>
      <c r="Q4283" s="8" t="s">
        <v>44</v>
      </c>
      <c r="R4283" s="10" t="s">
        <v>9500</v>
      </c>
      <c r="S4283" s="11"/>
      <c r="T4283" s="6"/>
      <c r="U4283" s="24" t="str">
        <f>HYPERLINK("https://media.infra-m.ru/2157/2157035/cover/2157035.jpg", "Обложка")</f>
        <v>Обложка</v>
      </c>
      <c r="V4283" s="24" t="str">
        <f>HYPERLINK("https://znanium.ru/catalog/product/1009626", "Ознакомиться")</f>
        <v>Ознакомиться</v>
      </c>
      <c r="W4283" s="8" t="s">
        <v>4293</v>
      </c>
      <c r="X4283" s="6"/>
      <c r="Y4283" s="6"/>
      <c r="Z4283" s="6"/>
      <c r="AA4283" s="6" t="s">
        <v>111</v>
      </c>
      <c r="AB4283" s="8"/>
    </row>
    <row r="4284" spans="1:28" s="4" customFormat="1" ht="42" customHeight="1">
      <c r="A4284" s="5">
        <v>0</v>
      </c>
      <c r="B4284" s="6" t="s">
        <v>25446</v>
      </c>
      <c r="C4284" s="13">
        <v>1140</v>
      </c>
      <c r="D4284" s="8" t="s">
        <v>25447</v>
      </c>
      <c r="E4284" s="8" t="s">
        <v>25448</v>
      </c>
      <c r="F4284" s="8" t="s">
        <v>25449</v>
      </c>
      <c r="G4284" s="6" t="s">
        <v>52</v>
      </c>
      <c r="H4284" s="6" t="s">
        <v>53</v>
      </c>
      <c r="I4284" s="8" t="s">
        <v>100</v>
      </c>
      <c r="J4284" s="9">
        <v>1</v>
      </c>
      <c r="K4284" s="9">
        <v>225</v>
      </c>
      <c r="L4284" s="9">
        <v>2024</v>
      </c>
      <c r="M4284" s="8" t="s">
        <v>25450</v>
      </c>
      <c r="N4284" s="8" t="s">
        <v>56</v>
      </c>
      <c r="O4284" s="8" t="s">
        <v>57</v>
      </c>
      <c r="P4284" s="6" t="s">
        <v>43</v>
      </c>
      <c r="Q4284" s="8" t="s">
        <v>102</v>
      </c>
      <c r="R4284" s="10" t="s">
        <v>256</v>
      </c>
      <c r="S4284" s="11"/>
      <c r="T4284" s="6"/>
      <c r="U4284" s="24" t="str">
        <f>HYPERLINK("https://media.infra-m.ru/2137/2137809/cover/2137809.jpg", "Обложка")</f>
        <v>Обложка</v>
      </c>
      <c r="V4284" s="24" t="str">
        <f>HYPERLINK("https://znanium.ru/catalog/product/2137809", "Ознакомиться")</f>
        <v>Ознакомиться</v>
      </c>
      <c r="W4284" s="8" t="s">
        <v>21995</v>
      </c>
      <c r="X4284" s="6" t="s">
        <v>772</v>
      </c>
      <c r="Y4284" s="6"/>
      <c r="Z4284" s="6"/>
      <c r="AA4284" s="6" t="s">
        <v>133</v>
      </c>
      <c r="AB4284" s="8"/>
    </row>
    <row r="4285" spans="1:28" s="4" customFormat="1" ht="44.1" customHeight="1">
      <c r="A4285" s="5">
        <v>0</v>
      </c>
      <c r="B4285" s="6" t="s">
        <v>25451</v>
      </c>
      <c r="C4285" s="13">
        <v>1680</v>
      </c>
      <c r="D4285" s="8" t="s">
        <v>25452</v>
      </c>
      <c r="E4285" s="8" t="s">
        <v>25453</v>
      </c>
      <c r="F4285" s="8" t="s">
        <v>25454</v>
      </c>
      <c r="G4285" s="6" t="s">
        <v>89</v>
      </c>
      <c r="H4285" s="6" t="s">
        <v>53</v>
      </c>
      <c r="I4285" s="8" t="s">
        <v>6088</v>
      </c>
      <c r="J4285" s="9">
        <v>1</v>
      </c>
      <c r="K4285" s="9">
        <v>323</v>
      </c>
      <c r="L4285" s="9">
        <v>2025</v>
      </c>
      <c r="M4285" s="8" t="s">
        <v>25455</v>
      </c>
      <c r="N4285" s="8" t="s">
        <v>56</v>
      </c>
      <c r="O4285" s="8" t="s">
        <v>57</v>
      </c>
      <c r="P4285" s="6" t="s">
        <v>6090</v>
      </c>
      <c r="Q4285" s="8" t="s">
        <v>58</v>
      </c>
      <c r="R4285" s="10" t="s">
        <v>25456</v>
      </c>
      <c r="S4285" s="11"/>
      <c r="T4285" s="6"/>
      <c r="U4285" s="24" t="str">
        <f>HYPERLINK("https://media.infra-m.ru/2186/2186448/cover/2186448.jpg", "Обложка")</f>
        <v>Обложка</v>
      </c>
      <c r="V4285" s="24" t="str">
        <f>HYPERLINK("https://znanium.ru/catalog/product/2186448", "Ознакомиться")</f>
        <v>Ознакомиться</v>
      </c>
      <c r="W4285" s="8" t="s">
        <v>12849</v>
      </c>
      <c r="X4285" s="6"/>
      <c r="Y4285" s="6"/>
      <c r="Z4285" s="6"/>
      <c r="AA4285" s="6" t="s">
        <v>61</v>
      </c>
      <c r="AB4285" s="8"/>
    </row>
    <row r="4286" spans="1:28" s="4" customFormat="1" ht="51.95" customHeight="1">
      <c r="A4286" s="5">
        <v>0</v>
      </c>
      <c r="B4286" s="6" t="s">
        <v>25457</v>
      </c>
      <c r="C4286" s="13">
        <v>1494</v>
      </c>
      <c r="D4286" s="8" t="s">
        <v>25458</v>
      </c>
      <c r="E4286" s="8" t="s">
        <v>25453</v>
      </c>
      <c r="F4286" s="8" t="s">
        <v>25454</v>
      </c>
      <c r="G4286" s="6" t="s">
        <v>89</v>
      </c>
      <c r="H4286" s="6" t="s">
        <v>53</v>
      </c>
      <c r="I4286" s="8" t="s">
        <v>212</v>
      </c>
      <c r="J4286" s="9">
        <v>1</v>
      </c>
      <c r="K4286" s="9">
        <v>323</v>
      </c>
      <c r="L4286" s="9">
        <v>2023</v>
      </c>
      <c r="M4286" s="8" t="s">
        <v>25459</v>
      </c>
      <c r="N4286" s="8" t="s">
        <v>56</v>
      </c>
      <c r="O4286" s="8" t="s">
        <v>57</v>
      </c>
      <c r="P4286" s="6" t="s">
        <v>167</v>
      </c>
      <c r="Q4286" s="8" t="s">
        <v>214</v>
      </c>
      <c r="R4286" s="10" t="s">
        <v>25460</v>
      </c>
      <c r="S4286" s="11" t="s">
        <v>25461</v>
      </c>
      <c r="T4286" s="6"/>
      <c r="U4286" s="24" t="str">
        <f>HYPERLINK("https://media.infra-m.ru/2111/2111405/cover/2111405.jpg", "Обложка")</f>
        <v>Обложка</v>
      </c>
      <c r="V4286" s="24" t="str">
        <f>HYPERLINK("https://znanium.ru/catalog/product/2111404", "Ознакомиться")</f>
        <v>Ознакомиться</v>
      </c>
      <c r="W4286" s="8" t="s">
        <v>12849</v>
      </c>
      <c r="X4286" s="6"/>
      <c r="Y4286" s="6"/>
      <c r="Z4286" s="6" t="s">
        <v>218</v>
      </c>
      <c r="AA4286" s="6" t="s">
        <v>219</v>
      </c>
      <c r="AB4286" s="8"/>
    </row>
    <row r="4287" spans="1:28" s="4" customFormat="1" ht="51.95" customHeight="1">
      <c r="A4287" s="5">
        <v>0</v>
      </c>
      <c r="B4287" s="6" t="s">
        <v>25462</v>
      </c>
      <c r="C4287" s="13">
        <v>1620</v>
      </c>
      <c r="D4287" s="8" t="s">
        <v>25463</v>
      </c>
      <c r="E4287" s="8" t="s">
        <v>25453</v>
      </c>
      <c r="F4287" s="8" t="s">
        <v>25454</v>
      </c>
      <c r="G4287" s="6" t="s">
        <v>89</v>
      </c>
      <c r="H4287" s="6" t="s">
        <v>53</v>
      </c>
      <c r="I4287" s="8" t="s">
        <v>100</v>
      </c>
      <c r="J4287" s="9">
        <v>1</v>
      </c>
      <c r="K4287" s="9">
        <v>323</v>
      </c>
      <c r="L4287" s="9">
        <v>2025</v>
      </c>
      <c r="M4287" s="8" t="s">
        <v>25464</v>
      </c>
      <c r="N4287" s="8" t="s">
        <v>56</v>
      </c>
      <c r="O4287" s="8" t="s">
        <v>57</v>
      </c>
      <c r="P4287" s="6" t="s">
        <v>167</v>
      </c>
      <c r="Q4287" s="8" t="s">
        <v>102</v>
      </c>
      <c r="R4287" s="10" t="s">
        <v>25465</v>
      </c>
      <c r="S4287" s="11" t="s">
        <v>25466</v>
      </c>
      <c r="T4287" s="6"/>
      <c r="U4287" s="24" t="str">
        <f>HYPERLINK("https://media.infra-m.ru/2185/2185076/cover/2185076.jpg", "Обложка")</f>
        <v>Обложка</v>
      </c>
      <c r="V4287" s="24" t="str">
        <f>HYPERLINK("https://znanium.ru/catalog/product/2185076", "Ознакомиться")</f>
        <v>Ознакомиться</v>
      </c>
      <c r="W4287" s="8" t="s">
        <v>12849</v>
      </c>
      <c r="X4287" s="6"/>
      <c r="Y4287" s="6"/>
      <c r="Z4287" s="6" t="s">
        <v>104</v>
      </c>
      <c r="AA4287" s="6" t="s">
        <v>151</v>
      </c>
      <c r="AB4287" s="8"/>
    </row>
    <row r="4288" spans="1:28" s="4" customFormat="1" ht="51.95" customHeight="1">
      <c r="A4288" s="5">
        <v>0</v>
      </c>
      <c r="B4288" s="6" t="s">
        <v>25467</v>
      </c>
      <c r="C4288" s="13">
        <v>1684</v>
      </c>
      <c r="D4288" s="8" t="s">
        <v>25468</v>
      </c>
      <c r="E4288" s="8" t="s">
        <v>25453</v>
      </c>
      <c r="F4288" s="8" t="s">
        <v>25454</v>
      </c>
      <c r="G4288" s="6" t="s">
        <v>89</v>
      </c>
      <c r="H4288" s="6" t="s">
        <v>53</v>
      </c>
      <c r="I4288" s="8" t="s">
        <v>90</v>
      </c>
      <c r="J4288" s="9">
        <v>1</v>
      </c>
      <c r="K4288" s="9">
        <v>323</v>
      </c>
      <c r="L4288" s="9">
        <v>2025</v>
      </c>
      <c r="M4288" s="8" t="s">
        <v>25469</v>
      </c>
      <c r="N4288" s="8" t="s">
        <v>56</v>
      </c>
      <c r="O4288" s="8" t="s">
        <v>57</v>
      </c>
      <c r="P4288" s="6" t="s">
        <v>167</v>
      </c>
      <c r="Q4288" s="8" t="s">
        <v>44</v>
      </c>
      <c r="R4288" s="10" t="s">
        <v>25470</v>
      </c>
      <c r="S4288" s="11" t="s">
        <v>25471</v>
      </c>
      <c r="T4288" s="6"/>
      <c r="U4288" s="24" t="str">
        <f>HYPERLINK("https://media.infra-m.ru/2202/2202111/cover/2202111.jpg", "Обложка")</f>
        <v>Обложка</v>
      </c>
      <c r="V4288" s="24" t="str">
        <f>HYPERLINK("https://znanium.ru/catalog/product/2185077", "Ознакомиться")</f>
        <v>Ознакомиться</v>
      </c>
      <c r="W4288" s="8" t="s">
        <v>12849</v>
      </c>
      <c r="X4288" s="6"/>
      <c r="Y4288" s="6"/>
      <c r="Z4288" s="6"/>
      <c r="AA4288" s="6" t="s">
        <v>418</v>
      </c>
      <c r="AB4288" s="8"/>
    </row>
    <row r="4289" spans="1:28" s="4" customFormat="1" ht="51.95" customHeight="1">
      <c r="A4289" s="5">
        <v>0</v>
      </c>
      <c r="B4289" s="6" t="s">
        <v>25472</v>
      </c>
      <c r="C4289" s="7">
        <v>320</v>
      </c>
      <c r="D4289" s="8" t="s">
        <v>25473</v>
      </c>
      <c r="E4289" s="8" t="s">
        <v>25474</v>
      </c>
      <c r="F4289" s="8" t="s">
        <v>19659</v>
      </c>
      <c r="G4289" s="6" t="s">
        <v>38</v>
      </c>
      <c r="H4289" s="6" t="s">
        <v>53</v>
      </c>
      <c r="I4289" s="8" t="s">
        <v>116</v>
      </c>
      <c r="J4289" s="9">
        <v>1</v>
      </c>
      <c r="K4289" s="9">
        <v>56</v>
      </c>
      <c r="L4289" s="9">
        <v>2024</v>
      </c>
      <c r="M4289" s="8" t="s">
        <v>25475</v>
      </c>
      <c r="N4289" s="8" t="s">
        <v>56</v>
      </c>
      <c r="O4289" s="8" t="s">
        <v>57</v>
      </c>
      <c r="P4289" s="6" t="s">
        <v>43</v>
      </c>
      <c r="Q4289" s="8" t="s">
        <v>44</v>
      </c>
      <c r="R4289" s="10" t="s">
        <v>59</v>
      </c>
      <c r="S4289" s="11" t="s">
        <v>25476</v>
      </c>
      <c r="T4289" s="6"/>
      <c r="U4289" s="24" t="str">
        <f>HYPERLINK("https://media.infra-m.ru/1913/1913241/cover/1913241.jpg", "Обложка")</f>
        <v>Обложка</v>
      </c>
      <c r="V4289" s="24" t="str">
        <f>HYPERLINK("https://znanium.ru/catalog/product/1913241", "Ознакомиться")</f>
        <v>Ознакомиться</v>
      </c>
      <c r="W4289" s="8" t="s">
        <v>19662</v>
      </c>
      <c r="X4289" s="6"/>
      <c r="Y4289" s="6"/>
      <c r="Z4289" s="6"/>
      <c r="AA4289" s="6" t="s">
        <v>442</v>
      </c>
      <c r="AB4289" s="8"/>
    </row>
    <row r="4290" spans="1:28" s="4" customFormat="1" ht="51.95" customHeight="1">
      <c r="A4290" s="5">
        <v>0</v>
      </c>
      <c r="B4290" s="6" t="s">
        <v>25477</v>
      </c>
      <c r="C4290" s="13">
        <v>2840</v>
      </c>
      <c r="D4290" s="8" t="s">
        <v>25478</v>
      </c>
      <c r="E4290" s="8" t="s">
        <v>25479</v>
      </c>
      <c r="F4290" s="8" t="s">
        <v>25480</v>
      </c>
      <c r="G4290" s="6" t="s">
        <v>52</v>
      </c>
      <c r="H4290" s="6" t="s">
        <v>53</v>
      </c>
      <c r="I4290" s="8" t="s">
        <v>100</v>
      </c>
      <c r="J4290" s="9">
        <v>1</v>
      </c>
      <c r="K4290" s="9">
        <v>630</v>
      </c>
      <c r="L4290" s="9">
        <v>2023</v>
      </c>
      <c r="M4290" s="8" t="s">
        <v>25481</v>
      </c>
      <c r="N4290" s="8" t="s">
        <v>56</v>
      </c>
      <c r="O4290" s="8" t="s">
        <v>57</v>
      </c>
      <c r="P4290" s="6" t="s">
        <v>43</v>
      </c>
      <c r="Q4290" s="8" t="s">
        <v>102</v>
      </c>
      <c r="R4290" s="10" t="s">
        <v>25482</v>
      </c>
      <c r="S4290" s="11" t="s">
        <v>25483</v>
      </c>
      <c r="T4290" s="6" t="s">
        <v>299</v>
      </c>
      <c r="U4290" s="24" t="str">
        <f>HYPERLINK("https://media.infra-m.ru/1014/1014771/cover/1014771.jpg", "Обложка")</f>
        <v>Обложка</v>
      </c>
      <c r="V4290" s="24" t="str">
        <f>HYPERLINK("https://znanium.ru/catalog/product/1014771", "Ознакомиться")</f>
        <v>Ознакомиться</v>
      </c>
      <c r="W4290" s="8" t="s">
        <v>4343</v>
      </c>
      <c r="X4290" s="6"/>
      <c r="Y4290" s="6"/>
      <c r="Z4290" s="6"/>
      <c r="AA4290" s="6" t="s">
        <v>207</v>
      </c>
      <c r="AB4290" s="8"/>
    </row>
    <row r="4291" spans="1:28" s="4" customFormat="1" ht="51.95" customHeight="1">
      <c r="A4291" s="5">
        <v>0</v>
      </c>
      <c r="B4291" s="6" t="s">
        <v>25484</v>
      </c>
      <c r="C4291" s="13">
        <v>3700</v>
      </c>
      <c r="D4291" s="8" t="s">
        <v>25485</v>
      </c>
      <c r="E4291" s="8" t="s">
        <v>25486</v>
      </c>
      <c r="F4291" s="8" t="s">
        <v>25480</v>
      </c>
      <c r="G4291" s="6" t="s">
        <v>52</v>
      </c>
      <c r="H4291" s="6" t="s">
        <v>53</v>
      </c>
      <c r="I4291" s="8" t="s">
        <v>100</v>
      </c>
      <c r="J4291" s="9">
        <v>1</v>
      </c>
      <c r="K4291" s="9">
        <v>823</v>
      </c>
      <c r="L4291" s="9">
        <v>2023</v>
      </c>
      <c r="M4291" s="8" t="s">
        <v>25487</v>
      </c>
      <c r="N4291" s="8" t="s">
        <v>56</v>
      </c>
      <c r="O4291" s="8" t="s">
        <v>57</v>
      </c>
      <c r="P4291" s="6" t="s">
        <v>167</v>
      </c>
      <c r="Q4291" s="8" t="s">
        <v>102</v>
      </c>
      <c r="R4291" s="10" t="s">
        <v>25482</v>
      </c>
      <c r="S4291" s="11" t="s">
        <v>25488</v>
      </c>
      <c r="T4291" s="6" t="s">
        <v>299</v>
      </c>
      <c r="U4291" s="24" t="str">
        <f>HYPERLINK("https://media.infra-m.ru/2036/2036505/cover/2036505.jpg", "Обложка")</f>
        <v>Обложка</v>
      </c>
      <c r="V4291" s="24" t="str">
        <f>HYPERLINK("https://znanium.ru/catalog/product/1013721", "Ознакомиться")</f>
        <v>Ознакомиться</v>
      </c>
      <c r="W4291" s="8" t="s">
        <v>4343</v>
      </c>
      <c r="X4291" s="6"/>
      <c r="Y4291" s="6"/>
      <c r="Z4291" s="6"/>
      <c r="AA4291" s="6" t="s">
        <v>207</v>
      </c>
      <c r="AB4291" s="8"/>
    </row>
    <row r="4292" spans="1:28" s="4" customFormat="1" ht="51.95" customHeight="1">
      <c r="A4292" s="5">
        <v>0</v>
      </c>
      <c r="B4292" s="6" t="s">
        <v>25489</v>
      </c>
      <c r="C4292" s="13">
        <v>1200</v>
      </c>
      <c r="D4292" s="8" t="s">
        <v>25490</v>
      </c>
      <c r="E4292" s="8" t="s">
        <v>25491</v>
      </c>
      <c r="F4292" s="8" t="s">
        <v>316</v>
      </c>
      <c r="G4292" s="6" t="s">
        <v>89</v>
      </c>
      <c r="H4292" s="6" t="s">
        <v>77</v>
      </c>
      <c r="I4292" s="8" t="s">
        <v>100</v>
      </c>
      <c r="J4292" s="9">
        <v>1</v>
      </c>
      <c r="K4292" s="9">
        <v>267</v>
      </c>
      <c r="L4292" s="9">
        <v>2023</v>
      </c>
      <c r="M4292" s="8" t="s">
        <v>25492</v>
      </c>
      <c r="N4292" s="8" t="s">
        <v>56</v>
      </c>
      <c r="O4292" s="8" t="s">
        <v>57</v>
      </c>
      <c r="P4292" s="6" t="s">
        <v>43</v>
      </c>
      <c r="Q4292" s="8" t="s">
        <v>102</v>
      </c>
      <c r="R4292" s="10" t="s">
        <v>25493</v>
      </c>
      <c r="S4292" s="11" t="s">
        <v>25494</v>
      </c>
      <c r="T4292" s="6"/>
      <c r="U4292" s="24" t="str">
        <f>HYPERLINK("https://media.infra-m.ru/1914/1914132/cover/1914132.jpg", "Обложка")</f>
        <v>Обложка</v>
      </c>
      <c r="V4292" s="24" t="str">
        <f>HYPERLINK("https://znanium.ru/catalog/product/1914132", "Ознакомиться")</f>
        <v>Ознакомиться</v>
      </c>
      <c r="W4292" s="8" t="s">
        <v>320</v>
      </c>
      <c r="X4292" s="6"/>
      <c r="Y4292" s="6"/>
      <c r="Z4292" s="6" t="s">
        <v>502</v>
      </c>
      <c r="AA4292" s="6" t="s">
        <v>793</v>
      </c>
      <c r="AB4292" s="8"/>
    </row>
    <row r="4293" spans="1:28" s="4" customFormat="1" ht="42" customHeight="1">
      <c r="A4293" s="5">
        <v>0</v>
      </c>
      <c r="B4293" s="6" t="s">
        <v>25495</v>
      </c>
      <c r="C4293" s="13">
        <v>1204</v>
      </c>
      <c r="D4293" s="8" t="s">
        <v>25496</v>
      </c>
      <c r="E4293" s="8" t="s">
        <v>25491</v>
      </c>
      <c r="F4293" s="8" t="s">
        <v>4708</v>
      </c>
      <c r="G4293" s="6" t="s">
        <v>52</v>
      </c>
      <c r="H4293" s="6" t="s">
        <v>77</v>
      </c>
      <c r="I4293" s="8" t="s">
        <v>116</v>
      </c>
      <c r="J4293" s="9">
        <v>1</v>
      </c>
      <c r="K4293" s="9">
        <v>267</v>
      </c>
      <c r="L4293" s="9">
        <v>2024</v>
      </c>
      <c r="M4293" s="8" t="s">
        <v>25497</v>
      </c>
      <c r="N4293" s="8" t="s">
        <v>56</v>
      </c>
      <c r="O4293" s="8" t="s">
        <v>57</v>
      </c>
      <c r="P4293" s="6" t="s">
        <v>43</v>
      </c>
      <c r="Q4293" s="8" t="s">
        <v>58</v>
      </c>
      <c r="R4293" s="10" t="s">
        <v>59</v>
      </c>
      <c r="S4293" s="11"/>
      <c r="T4293" s="6"/>
      <c r="U4293" s="24" t="str">
        <f>HYPERLINK("https://media.infra-m.ru/2058/2058762/cover/2058762.jpg", "Обложка")</f>
        <v>Обложка</v>
      </c>
      <c r="V4293" s="24" t="str">
        <f>HYPERLINK("https://znanium.ru/catalog/product/1836598", "Ознакомиться")</f>
        <v>Ознакомиться</v>
      </c>
      <c r="W4293" s="8" t="s">
        <v>320</v>
      </c>
      <c r="X4293" s="6"/>
      <c r="Y4293" s="6"/>
      <c r="Z4293" s="6"/>
      <c r="AA4293" s="6" t="s">
        <v>2217</v>
      </c>
      <c r="AB4293" s="8"/>
    </row>
    <row r="4294" spans="1:28" s="4" customFormat="1" ht="42" customHeight="1">
      <c r="A4294" s="5">
        <v>0</v>
      </c>
      <c r="B4294" s="6" t="s">
        <v>25498</v>
      </c>
      <c r="C4294" s="13">
        <v>1284</v>
      </c>
      <c r="D4294" s="8" t="s">
        <v>25499</v>
      </c>
      <c r="E4294" s="8" t="s">
        <v>25500</v>
      </c>
      <c r="F4294" s="8" t="s">
        <v>25501</v>
      </c>
      <c r="G4294" s="6" t="s">
        <v>38</v>
      </c>
      <c r="H4294" s="6" t="s">
        <v>39</v>
      </c>
      <c r="I4294" s="8"/>
      <c r="J4294" s="9">
        <v>1</v>
      </c>
      <c r="K4294" s="9">
        <v>256</v>
      </c>
      <c r="L4294" s="9">
        <v>2025</v>
      </c>
      <c r="M4294" s="8" t="s">
        <v>25502</v>
      </c>
      <c r="N4294" s="8" t="s">
        <v>56</v>
      </c>
      <c r="O4294" s="8" t="s">
        <v>57</v>
      </c>
      <c r="P4294" s="6" t="s">
        <v>187</v>
      </c>
      <c r="Q4294" s="8" t="s">
        <v>44</v>
      </c>
      <c r="R4294" s="10" t="s">
        <v>59</v>
      </c>
      <c r="S4294" s="11"/>
      <c r="T4294" s="6"/>
      <c r="U4294" s="24" t="str">
        <f>HYPERLINK("https://media.infra-m.ru/2188/2188769/cover/2188769.jpg", "Обложка")</f>
        <v>Обложка</v>
      </c>
      <c r="V4294" s="12"/>
      <c r="W4294" s="8" t="s">
        <v>744</v>
      </c>
      <c r="X4294" s="6"/>
      <c r="Y4294" s="6"/>
      <c r="Z4294" s="6"/>
      <c r="AA4294" s="6" t="s">
        <v>122</v>
      </c>
      <c r="AB4294" s="8"/>
    </row>
    <row r="4295" spans="1:28" s="4" customFormat="1" ht="51.95" customHeight="1">
      <c r="A4295" s="5">
        <v>0</v>
      </c>
      <c r="B4295" s="6" t="s">
        <v>25503</v>
      </c>
      <c r="C4295" s="13">
        <v>1840</v>
      </c>
      <c r="D4295" s="8" t="s">
        <v>25504</v>
      </c>
      <c r="E4295" s="8" t="s">
        <v>25505</v>
      </c>
      <c r="F4295" s="8" t="s">
        <v>25506</v>
      </c>
      <c r="G4295" s="6" t="s">
        <v>89</v>
      </c>
      <c r="H4295" s="6" t="s">
        <v>53</v>
      </c>
      <c r="I4295" s="8" t="s">
        <v>100</v>
      </c>
      <c r="J4295" s="9">
        <v>1</v>
      </c>
      <c r="K4295" s="9">
        <v>368</v>
      </c>
      <c r="L4295" s="9">
        <v>2025</v>
      </c>
      <c r="M4295" s="8" t="s">
        <v>25507</v>
      </c>
      <c r="N4295" s="8" t="s">
        <v>56</v>
      </c>
      <c r="O4295" s="8" t="s">
        <v>57</v>
      </c>
      <c r="P4295" s="6" t="s">
        <v>167</v>
      </c>
      <c r="Q4295" s="8" t="s">
        <v>102</v>
      </c>
      <c r="R4295" s="10" t="s">
        <v>25508</v>
      </c>
      <c r="S4295" s="11" t="s">
        <v>25509</v>
      </c>
      <c r="T4295" s="6"/>
      <c r="U4295" s="24" t="str">
        <f>HYPERLINK("https://media.infra-m.ru/2139/2139070/cover/2139070.jpg", "Обложка")</f>
        <v>Обложка</v>
      </c>
      <c r="V4295" s="24" t="str">
        <f>HYPERLINK("https://znanium.ru/catalog/product/2139070", "Ознакомиться")</f>
        <v>Ознакомиться</v>
      </c>
      <c r="W4295" s="8"/>
      <c r="X4295" s="6"/>
      <c r="Y4295" s="6"/>
      <c r="Z4295" s="6"/>
      <c r="AA4295" s="6" t="s">
        <v>9218</v>
      </c>
      <c r="AB4295" s="8"/>
    </row>
    <row r="4296" spans="1:28" s="4" customFormat="1" ht="51.95" customHeight="1">
      <c r="A4296" s="5">
        <v>0</v>
      </c>
      <c r="B4296" s="6" t="s">
        <v>25510</v>
      </c>
      <c r="C4296" s="13">
        <v>1124.9000000000001</v>
      </c>
      <c r="D4296" s="8" t="s">
        <v>25511</v>
      </c>
      <c r="E4296" s="8" t="s">
        <v>25512</v>
      </c>
      <c r="F4296" s="8" t="s">
        <v>25513</v>
      </c>
      <c r="G4296" s="6" t="s">
        <v>89</v>
      </c>
      <c r="H4296" s="6" t="s">
        <v>53</v>
      </c>
      <c r="I4296" s="8" t="s">
        <v>90</v>
      </c>
      <c r="J4296" s="9">
        <v>1</v>
      </c>
      <c r="K4296" s="9">
        <v>240</v>
      </c>
      <c r="L4296" s="9">
        <v>2023</v>
      </c>
      <c r="M4296" s="8" t="s">
        <v>25514</v>
      </c>
      <c r="N4296" s="8" t="s">
        <v>56</v>
      </c>
      <c r="O4296" s="8" t="s">
        <v>57</v>
      </c>
      <c r="P4296" s="6" t="s">
        <v>167</v>
      </c>
      <c r="Q4296" s="8" t="s">
        <v>44</v>
      </c>
      <c r="R4296" s="10" t="s">
        <v>25515</v>
      </c>
      <c r="S4296" s="11" t="s">
        <v>25516</v>
      </c>
      <c r="T4296" s="6"/>
      <c r="U4296" s="24" t="str">
        <f>HYPERLINK("https://media.infra-m.ru/1998/1998849/cover/1998849.jpg", "Обложка")</f>
        <v>Обложка</v>
      </c>
      <c r="V4296" s="24" t="str">
        <f>HYPERLINK("https://znanium.ru/catalog/product/1043836", "Ознакомиться")</f>
        <v>Ознакомиться</v>
      </c>
      <c r="W4296" s="8" t="s">
        <v>3010</v>
      </c>
      <c r="X4296" s="6"/>
      <c r="Y4296" s="6"/>
      <c r="Z4296" s="6"/>
      <c r="AA4296" s="6" t="s">
        <v>1442</v>
      </c>
      <c r="AB4296" s="8"/>
    </row>
    <row r="4297" spans="1:28" s="4" customFormat="1" ht="51.95" customHeight="1">
      <c r="A4297" s="5">
        <v>0</v>
      </c>
      <c r="B4297" s="6" t="s">
        <v>25517</v>
      </c>
      <c r="C4297" s="13">
        <v>1110</v>
      </c>
      <c r="D4297" s="8" t="s">
        <v>25518</v>
      </c>
      <c r="E4297" s="8" t="s">
        <v>25512</v>
      </c>
      <c r="F4297" s="8" t="s">
        <v>25513</v>
      </c>
      <c r="G4297" s="6" t="s">
        <v>89</v>
      </c>
      <c r="H4297" s="6" t="s">
        <v>53</v>
      </c>
      <c r="I4297" s="8" t="s">
        <v>100</v>
      </c>
      <c r="J4297" s="9">
        <v>1</v>
      </c>
      <c r="K4297" s="9">
        <v>240</v>
      </c>
      <c r="L4297" s="9">
        <v>2024</v>
      </c>
      <c r="M4297" s="8" t="s">
        <v>25519</v>
      </c>
      <c r="N4297" s="8" t="s">
        <v>56</v>
      </c>
      <c r="O4297" s="8" t="s">
        <v>57</v>
      </c>
      <c r="P4297" s="6" t="s">
        <v>167</v>
      </c>
      <c r="Q4297" s="8" t="s">
        <v>102</v>
      </c>
      <c r="R4297" s="10" t="s">
        <v>25520</v>
      </c>
      <c r="S4297" s="11" t="s">
        <v>25521</v>
      </c>
      <c r="T4297" s="6"/>
      <c r="U4297" s="24" t="str">
        <f>HYPERLINK("https://media.infra-m.ru/2132/2132079/cover/2132079.jpg", "Обложка")</f>
        <v>Обложка</v>
      </c>
      <c r="V4297" s="24" t="str">
        <f>HYPERLINK("https://znanium.ru/catalog/product/2132079", "Ознакомиться")</f>
        <v>Ознакомиться</v>
      </c>
      <c r="W4297" s="8" t="s">
        <v>3010</v>
      </c>
      <c r="X4297" s="6"/>
      <c r="Y4297" s="6"/>
      <c r="Z4297" s="6" t="s">
        <v>104</v>
      </c>
      <c r="AA4297" s="6" t="s">
        <v>1259</v>
      </c>
      <c r="AB4297" s="8" t="s">
        <v>2336</v>
      </c>
    </row>
    <row r="4298" spans="1:28" s="4" customFormat="1" ht="42" customHeight="1">
      <c r="A4298" s="5">
        <v>0</v>
      </c>
      <c r="B4298" s="6" t="s">
        <v>25522</v>
      </c>
      <c r="C4298" s="13">
        <v>1864</v>
      </c>
      <c r="D4298" s="8" t="s">
        <v>25523</v>
      </c>
      <c r="E4298" s="8" t="s">
        <v>25500</v>
      </c>
      <c r="F4298" s="8" t="s">
        <v>25524</v>
      </c>
      <c r="G4298" s="6" t="s">
        <v>89</v>
      </c>
      <c r="H4298" s="6" t="s">
        <v>53</v>
      </c>
      <c r="I4298" s="8" t="s">
        <v>116</v>
      </c>
      <c r="J4298" s="9">
        <v>1</v>
      </c>
      <c r="K4298" s="9">
        <v>373</v>
      </c>
      <c r="L4298" s="9">
        <v>2025</v>
      </c>
      <c r="M4298" s="8" t="s">
        <v>25525</v>
      </c>
      <c r="N4298" s="8" t="s">
        <v>56</v>
      </c>
      <c r="O4298" s="8" t="s">
        <v>57</v>
      </c>
      <c r="P4298" s="6" t="s">
        <v>167</v>
      </c>
      <c r="Q4298" s="8" t="s">
        <v>58</v>
      </c>
      <c r="R4298" s="10" t="s">
        <v>45</v>
      </c>
      <c r="S4298" s="11"/>
      <c r="T4298" s="6"/>
      <c r="U4298" s="24" t="str">
        <f>HYPERLINK("https://media.infra-m.ru/2172/2172593/cover/2172593.jpg", "Обложка")</f>
        <v>Обложка</v>
      </c>
      <c r="V4298" s="24" t="str">
        <f>HYPERLINK("https://znanium.ru/catalog/product/2161941", "Ознакомиться")</f>
        <v>Ознакомиться</v>
      </c>
      <c r="W4298" s="8" t="s">
        <v>25526</v>
      </c>
      <c r="X4298" s="6"/>
      <c r="Y4298" s="6"/>
      <c r="Z4298" s="6"/>
      <c r="AA4298" s="6" t="s">
        <v>207</v>
      </c>
      <c r="AB4298" s="8"/>
    </row>
    <row r="4299" spans="1:28" s="4" customFormat="1" ht="51.95" customHeight="1">
      <c r="A4299" s="5">
        <v>0</v>
      </c>
      <c r="B4299" s="6" t="s">
        <v>25527</v>
      </c>
      <c r="C4299" s="7">
        <v>724</v>
      </c>
      <c r="D4299" s="8" t="s">
        <v>25528</v>
      </c>
      <c r="E4299" s="8" t="s">
        <v>25500</v>
      </c>
      <c r="F4299" s="8" t="s">
        <v>25529</v>
      </c>
      <c r="G4299" s="6" t="s">
        <v>89</v>
      </c>
      <c r="H4299" s="6" t="s">
        <v>649</v>
      </c>
      <c r="I4299" s="8" t="s">
        <v>185</v>
      </c>
      <c r="J4299" s="9">
        <v>1</v>
      </c>
      <c r="K4299" s="9">
        <v>144</v>
      </c>
      <c r="L4299" s="9">
        <v>2025</v>
      </c>
      <c r="M4299" s="8" t="s">
        <v>25530</v>
      </c>
      <c r="N4299" s="8" t="s">
        <v>56</v>
      </c>
      <c r="O4299" s="8" t="s">
        <v>57</v>
      </c>
      <c r="P4299" s="6" t="s">
        <v>43</v>
      </c>
      <c r="Q4299" s="8" t="s">
        <v>102</v>
      </c>
      <c r="R4299" s="10" t="s">
        <v>25531</v>
      </c>
      <c r="S4299" s="11" t="s">
        <v>25532</v>
      </c>
      <c r="T4299" s="6"/>
      <c r="U4299" s="24" t="str">
        <f>HYPERLINK("https://media.infra-m.ru/2187/2187048/cover/2187048.jpg", "Обложка")</f>
        <v>Обложка</v>
      </c>
      <c r="V4299" s="24" t="str">
        <f>HYPERLINK("https://znanium.ru/catalog/product/1915889", "Ознакомиться")</f>
        <v>Ознакомиться</v>
      </c>
      <c r="W4299" s="8" t="s">
        <v>17905</v>
      </c>
      <c r="X4299" s="6"/>
      <c r="Y4299" s="6" t="s">
        <v>30</v>
      </c>
      <c r="Z4299" s="6"/>
      <c r="AA4299" s="6" t="s">
        <v>2217</v>
      </c>
      <c r="AB4299" s="8"/>
    </row>
    <row r="4300" spans="1:28" s="4" customFormat="1" ht="51.95" customHeight="1">
      <c r="A4300" s="5">
        <v>0</v>
      </c>
      <c r="B4300" s="6" t="s">
        <v>25533</v>
      </c>
      <c r="C4300" s="7">
        <v>824</v>
      </c>
      <c r="D4300" s="8" t="s">
        <v>25534</v>
      </c>
      <c r="E4300" s="8" t="s">
        <v>25500</v>
      </c>
      <c r="F4300" s="8" t="s">
        <v>25535</v>
      </c>
      <c r="G4300" s="6" t="s">
        <v>89</v>
      </c>
      <c r="H4300" s="6" t="s">
        <v>184</v>
      </c>
      <c r="I4300" s="8" t="s">
        <v>185</v>
      </c>
      <c r="J4300" s="9">
        <v>1</v>
      </c>
      <c r="K4300" s="9">
        <v>168</v>
      </c>
      <c r="L4300" s="9">
        <v>2024</v>
      </c>
      <c r="M4300" s="8" t="s">
        <v>25536</v>
      </c>
      <c r="N4300" s="8" t="s">
        <v>56</v>
      </c>
      <c r="O4300" s="8" t="s">
        <v>57</v>
      </c>
      <c r="P4300" s="6" t="s">
        <v>43</v>
      </c>
      <c r="Q4300" s="8" t="s">
        <v>102</v>
      </c>
      <c r="R4300" s="10" t="s">
        <v>25537</v>
      </c>
      <c r="S4300" s="11"/>
      <c r="T4300" s="6"/>
      <c r="U4300" s="24" t="str">
        <f>HYPERLINK("https://media.infra-m.ru/1960/1960111/cover/1960111.jpg", "Обложка")</f>
        <v>Обложка</v>
      </c>
      <c r="V4300" s="24" t="str">
        <f>HYPERLINK("https://znanium.ru/catalog/product/1841657", "Ознакомиться")</f>
        <v>Ознакомиться</v>
      </c>
      <c r="W4300" s="8" t="s">
        <v>9301</v>
      </c>
      <c r="X4300" s="6"/>
      <c r="Y4300" s="6"/>
      <c r="Z4300" s="6" t="s">
        <v>104</v>
      </c>
      <c r="AA4300" s="6" t="s">
        <v>793</v>
      </c>
      <c r="AB4300" s="8"/>
    </row>
    <row r="4301" spans="1:28" s="4" customFormat="1" ht="51.95" customHeight="1">
      <c r="A4301" s="5">
        <v>0</v>
      </c>
      <c r="B4301" s="6" t="s">
        <v>25538</v>
      </c>
      <c r="C4301" s="7">
        <v>774</v>
      </c>
      <c r="D4301" s="8" t="s">
        <v>25539</v>
      </c>
      <c r="E4301" s="8" t="s">
        <v>25512</v>
      </c>
      <c r="F4301" s="8" t="s">
        <v>25535</v>
      </c>
      <c r="G4301" s="6" t="s">
        <v>52</v>
      </c>
      <c r="H4301" s="6" t="s">
        <v>184</v>
      </c>
      <c r="I4301" s="8" t="s">
        <v>116</v>
      </c>
      <c r="J4301" s="9">
        <v>1</v>
      </c>
      <c r="K4301" s="9">
        <v>168</v>
      </c>
      <c r="L4301" s="9">
        <v>2024</v>
      </c>
      <c r="M4301" s="8" t="s">
        <v>25540</v>
      </c>
      <c r="N4301" s="8" t="s">
        <v>56</v>
      </c>
      <c r="O4301" s="8" t="s">
        <v>57</v>
      </c>
      <c r="P4301" s="6" t="s">
        <v>43</v>
      </c>
      <c r="Q4301" s="8" t="s">
        <v>58</v>
      </c>
      <c r="R4301" s="10" t="s">
        <v>59</v>
      </c>
      <c r="S4301" s="11" t="s">
        <v>25541</v>
      </c>
      <c r="T4301" s="6"/>
      <c r="U4301" s="24" t="str">
        <f>HYPERLINK("https://media.infra-m.ru/1841/1841697/cover/1841697.jpg", "Обложка")</f>
        <v>Обложка</v>
      </c>
      <c r="V4301" s="24" t="str">
        <f>HYPERLINK("https://znanium.ru/catalog/product/1090565", "Ознакомиться")</f>
        <v>Ознакомиться</v>
      </c>
      <c r="W4301" s="8" t="s">
        <v>9301</v>
      </c>
      <c r="X4301" s="6"/>
      <c r="Y4301" s="6"/>
      <c r="Z4301" s="6"/>
      <c r="AA4301" s="6" t="s">
        <v>407</v>
      </c>
      <c r="AB4301" s="8"/>
    </row>
    <row r="4302" spans="1:28" s="4" customFormat="1" ht="51.95" customHeight="1">
      <c r="A4302" s="5">
        <v>0</v>
      </c>
      <c r="B4302" s="6" t="s">
        <v>25542</v>
      </c>
      <c r="C4302" s="7">
        <v>900</v>
      </c>
      <c r="D4302" s="8" t="s">
        <v>25543</v>
      </c>
      <c r="E4302" s="8" t="s">
        <v>25544</v>
      </c>
      <c r="F4302" s="8" t="s">
        <v>25545</v>
      </c>
      <c r="G4302" s="6" t="s">
        <v>89</v>
      </c>
      <c r="H4302" s="6" t="s">
        <v>53</v>
      </c>
      <c r="I4302" s="8" t="s">
        <v>100</v>
      </c>
      <c r="J4302" s="9">
        <v>1</v>
      </c>
      <c r="K4302" s="9">
        <v>195</v>
      </c>
      <c r="L4302" s="9">
        <v>2024</v>
      </c>
      <c r="M4302" s="8" t="s">
        <v>25546</v>
      </c>
      <c r="N4302" s="8" t="s">
        <v>56</v>
      </c>
      <c r="O4302" s="8" t="s">
        <v>57</v>
      </c>
      <c r="P4302" s="6" t="s">
        <v>43</v>
      </c>
      <c r="Q4302" s="8" t="s">
        <v>102</v>
      </c>
      <c r="R4302" s="10" t="s">
        <v>25547</v>
      </c>
      <c r="S4302" s="11" t="s">
        <v>25548</v>
      </c>
      <c r="T4302" s="6"/>
      <c r="U4302" s="24" t="str">
        <f>HYPERLINK("https://media.infra-m.ru/2128/2128446/cover/2128446.jpg", "Обложка")</f>
        <v>Обложка</v>
      </c>
      <c r="V4302" s="24" t="str">
        <f>HYPERLINK("https://znanium.ru/catalog/product/2128446", "Ознакомиться")</f>
        <v>Ознакомиться</v>
      </c>
      <c r="W4302" s="8" t="s">
        <v>2514</v>
      </c>
      <c r="X4302" s="6"/>
      <c r="Y4302" s="6"/>
      <c r="Z4302" s="6"/>
      <c r="AA4302" s="6" t="s">
        <v>258</v>
      </c>
      <c r="AB4302" s="8"/>
    </row>
    <row r="4303" spans="1:28" s="4" customFormat="1" ht="51.95" customHeight="1">
      <c r="A4303" s="5">
        <v>0</v>
      </c>
      <c r="B4303" s="6" t="s">
        <v>25549</v>
      </c>
      <c r="C4303" s="13">
        <v>1670</v>
      </c>
      <c r="D4303" s="8" t="s">
        <v>25550</v>
      </c>
      <c r="E4303" s="8" t="s">
        <v>25544</v>
      </c>
      <c r="F4303" s="8" t="s">
        <v>25545</v>
      </c>
      <c r="G4303" s="6" t="s">
        <v>89</v>
      </c>
      <c r="H4303" s="6" t="s">
        <v>53</v>
      </c>
      <c r="I4303" s="8" t="s">
        <v>100</v>
      </c>
      <c r="J4303" s="9">
        <v>1</v>
      </c>
      <c r="K4303" s="9">
        <v>363</v>
      </c>
      <c r="L4303" s="9">
        <v>2024</v>
      </c>
      <c r="M4303" s="8" t="s">
        <v>25551</v>
      </c>
      <c r="N4303" s="8" t="s">
        <v>56</v>
      </c>
      <c r="O4303" s="8" t="s">
        <v>57</v>
      </c>
      <c r="P4303" s="6" t="s">
        <v>167</v>
      </c>
      <c r="Q4303" s="8" t="s">
        <v>102</v>
      </c>
      <c r="R4303" s="10" t="s">
        <v>25552</v>
      </c>
      <c r="S4303" s="11" t="s">
        <v>24208</v>
      </c>
      <c r="T4303" s="6"/>
      <c r="U4303" s="24" t="str">
        <f>HYPERLINK("https://media.infra-m.ru/2075/2075105/cover/2075105.jpg", "Обложка")</f>
        <v>Обложка</v>
      </c>
      <c r="V4303" s="24" t="str">
        <f>HYPERLINK("https://znanium.ru/catalog/product/2075105", "Ознакомиться")</f>
        <v>Ознакомиться</v>
      </c>
      <c r="W4303" s="8" t="s">
        <v>2514</v>
      </c>
      <c r="X4303" s="6"/>
      <c r="Y4303" s="6"/>
      <c r="Z4303" s="6"/>
      <c r="AA4303" s="6" t="s">
        <v>258</v>
      </c>
      <c r="AB4303" s="8"/>
    </row>
    <row r="4304" spans="1:28" s="4" customFormat="1" ht="51.95" customHeight="1">
      <c r="A4304" s="5">
        <v>0</v>
      </c>
      <c r="B4304" s="6" t="s">
        <v>25553</v>
      </c>
      <c r="C4304" s="13">
        <v>2260</v>
      </c>
      <c r="D4304" s="8" t="s">
        <v>25554</v>
      </c>
      <c r="E4304" s="8" t="s">
        <v>25544</v>
      </c>
      <c r="F4304" s="8" t="s">
        <v>25555</v>
      </c>
      <c r="G4304" s="6" t="s">
        <v>52</v>
      </c>
      <c r="H4304" s="6" t="s">
        <v>53</v>
      </c>
      <c r="I4304" s="8" t="s">
        <v>100</v>
      </c>
      <c r="J4304" s="9">
        <v>1</v>
      </c>
      <c r="K4304" s="9">
        <v>491</v>
      </c>
      <c r="L4304" s="9">
        <v>2024</v>
      </c>
      <c r="M4304" s="8" t="s">
        <v>25556</v>
      </c>
      <c r="N4304" s="8" t="s">
        <v>56</v>
      </c>
      <c r="O4304" s="8" t="s">
        <v>57</v>
      </c>
      <c r="P4304" s="6" t="s">
        <v>167</v>
      </c>
      <c r="Q4304" s="8" t="s">
        <v>102</v>
      </c>
      <c r="R4304" s="10" t="s">
        <v>12056</v>
      </c>
      <c r="S4304" s="11" t="s">
        <v>21084</v>
      </c>
      <c r="T4304" s="6"/>
      <c r="U4304" s="24" t="str">
        <f>HYPERLINK("https://media.infra-m.ru/2115/2115755/cover/2115755.jpg", "Обложка")</f>
        <v>Обложка</v>
      </c>
      <c r="V4304" s="24" t="str">
        <f>HYPERLINK("https://znanium.ru/catalog/product/2115755", "Ознакомиться")</f>
        <v>Ознакомиться</v>
      </c>
      <c r="W4304" s="8" t="s">
        <v>46</v>
      </c>
      <c r="X4304" s="6"/>
      <c r="Y4304" s="6"/>
      <c r="Z4304" s="6"/>
      <c r="AA4304" s="6" t="s">
        <v>258</v>
      </c>
      <c r="AB4304" s="8"/>
    </row>
    <row r="4305" spans="1:28" s="4" customFormat="1" ht="51.95" customHeight="1">
      <c r="A4305" s="5">
        <v>0</v>
      </c>
      <c r="B4305" s="6" t="s">
        <v>25557</v>
      </c>
      <c r="C4305" s="7">
        <v>990</v>
      </c>
      <c r="D4305" s="8" t="s">
        <v>25558</v>
      </c>
      <c r="E4305" s="8" t="s">
        <v>25559</v>
      </c>
      <c r="F4305" s="8" t="s">
        <v>25560</v>
      </c>
      <c r="G4305" s="6" t="s">
        <v>89</v>
      </c>
      <c r="H4305" s="6" t="s">
        <v>53</v>
      </c>
      <c r="I4305" s="8" t="s">
        <v>100</v>
      </c>
      <c r="J4305" s="9">
        <v>1</v>
      </c>
      <c r="K4305" s="9">
        <v>215</v>
      </c>
      <c r="L4305" s="9">
        <v>2024</v>
      </c>
      <c r="M4305" s="8" t="s">
        <v>25561</v>
      </c>
      <c r="N4305" s="8" t="s">
        <v>56</v>
      </c>
      <c r="O4305" s="8" t="s">
        <v>57</v>
      </c>
      <c r="P4305" s="6" t="s">
        <v>43</v>
      </c>
      <c r="Q4305" s="8" t="s">
        <v>102</v>
      </c>
      <c r="R4305" s="10" t="s">
        <v>25562</v>
      </c>
      <c r="S4305" s="11" t="s">
        <v>25563</v>
      </c>
      <c r="T4305" s="6"/>
      <c r="U4305" s="24" t="str">
        <f>HYPERLINK("https://media.infra-m.ru/2127/2127878/cover/2127878.jpg", "Обложка")</f>
        <v>Обложка</v>
      </c>
      <c r="V4305" s="24" t="str">
        <f>HYPERLINK("https://znanium.ru/catalog/product/2127878", "Ознакомиться")</f>
        <v>Ознакомиться</v>
      </c>
      <c r="W4305" s="8" t="s">
        <v>1689</v>
      </c>
      <c r="X4305" s="6"/>
      <c r="Y4305" s="6"/>
      <c r="Z4305" s="6"/>
      <c r="AA4305" s="6" t="s">
        <v>219</v>
      </c>
      <c r="AB4305" s="8"/>
    </row>
    <row r="4306" spans="1:28" s="4" customFormat="1" ht="51.95" customHeight="1">
      <c r="A4306" s="5">
        <v>0</v>
      </c>
      <c r="B4306" s="6" t="s">
        <v>25564</v>
      </c>
      <c r="C4306" s="13">
        <v>1704</v>
      </c>
      <c r="D4306" s="8" t="s">
        <v>25565</v>
      </c>
      <c r="E4306" s="8" t="s">
        <v>25566</v>
      </c>
      <c r="F4306" s="8" t="s">
        <v>25567</v>
      </c>
      <c r="G4306" s="6" t="s">
        <v>89</v>
      </c>
      <c r="H4306" s="6" t="s">
        <v>438</v>
      </c>
      <c r="I4306" s="8"/>
      <c r="J4306" s="9">
        <v>1</v>
      </c>
      <c r="K4306" s="9">
        <v>360</v>
      </c>
      <c r="L4306" s="9">
        <v>2024</v>
      </c>
      <c r="M4306" s="8" t="s">
        <v>25568</v>
      </c>
      <c r="N4306" s="8" t="s">
        <v>56</v>
      </c>
      <c r="O4306" s="8" t="s">
        <v>2183</v>
      </c>
      <c r="P4306" s="6" t="s">
        <v>43</v>
      </c>
      <c r="Q4306" s="8" t="s">
        <v>44</v>
      </c>
      <c r="R4306" s="10" t="s">
        <v>25569</v>
      </c>
      <c r="S4306" s="11" t="s">
        <v>25570</v>
      </c>
      <c r="T4306" s="6"/>
      <c r="U4306" s="24" t="str">
        <f>HYPERLINK("https://media.infra-m.ru/2157/2157027/cover/2157027.jpg", "Обложка")</f>
        <v>Обложка</v>
      </c>
      <c r="V4306" s="24" t="str">
        <f>HYPERLINK("https://znanium.ru/catalog/product/2149180", "Ознакомиться")</f>
        <v>Ознакомиться</v>
      </c>
      <c r="W4306" s="8"/>
      <c r="X4306" s="6"/>
      <c r="Y4306" s="6"/>
      <c r="Z4306" s="6"/>
      <c r="AA4306" s="6" t="s">
        <v>122</v>
      </c>
      <c r="AB4306" s="8"/>
    </row>
    <row r="4307" spans="1:28" s="4" customFormat="1" ht="51.95" customHeight="1">
      <c r="A4307" s="5">
        <v>0</v>
      </c>
      <c r="B4307" s="6" t="s">
        <v>25571</v>
      </c>
      <c r="C4307" s="13">
        <v>1160</v>
      </c>
      <c r="D4307" s="8" t="s">
        <v>25572</v>
      </c>
      <c r="E4307" s="8" t="s">
        <v>25573</v>
      </c>
      <c r="F4307" s="8" t="s">
        <v>25574</v>
      </c>
      <c r="G4307" s="6" t="s">
        <v>89</v>
      </c>
      <c r="H4307" s="6" t="s">
        <v>53</v>
      </c>
      <c r="I4307" s="8" t="s">
        <v>782</v>
      </c>
      <c r="J4307" s="9">
        <v>1</v>
      </c>
      <c r="K4307" s="9">
        <v>257</v>
      </c>
      <c r="L4307" s="9">
        <v>2023</v>
      </c>
      <c r="M4307" s="8" t="s">
        <v>25575</v>
      </c>
      <c r="N4307" s="8" t="s">
        <v>56</v>
      </c>
      <c r="O4307" s="8" t="s">
        <v>2183</v>
      </c>
      <c r="P4307" s="6" t="s">
        <v>43</v>
      </c>
      <c r="Q4307" s="8" t="s">
        <v>44</v>
      </c>
      <c r="R4307" s="10" t="s">
        <v>25576</v>
      </c>
      <c r="S4307" s="11" t="s">
        <v>25577</v>
      </c>
      <c r="T4307" s="6"/>
      <c r="U4307" s="24" t="str">
        <f>HYPERLINK("https://media.infra-m.ru/1995/1995391/cover/1995391.jpg", "Обложка")</f>
        <v>Обложка</v>
      </c>
      <c r="V4307" s="12"/>
      <c r="W4307" s="8" t="s">
        <v>25578</v>
      </c>
      <c r="X4307" s="6"/>
      <c r="Y4307" s="6"/>
      <c r="Z4307" s="6"/>
      <c r="AA4307" s="6" t="s">
        <v>151</v>
      </c>
      <c r="AB4307" s="8"/>
    </row>
    <row r="4308" spans="1:28" s="4" customFormat="1" ht="51.95" customHeight="1">
      <c r="A4308" s="5">
        <v>0</v>
      </c>
      <c r="B4308" s="6" t="s">
        <v>25579</v>
      </c>
      <c r="C4308" s="13">
        <v>2104</v>
      </c>
      <c r="D4308" s="8" t="s">
        <v>25580</v>
      </c>
      <c r="E4308" s="8" t="s">
        <v>25581</v>
      </c>
      <c r="F4308" s="8" t="s">
        <v>12633</v>
      </c>
      <c r="G4308" s="6" t="s">
        <v>89</v>
      </c>
      <c r="H4308" s="6" t="s">
        <v>53</v>
      </c>
      <c r="I4308" s="8" t="s">
        <v>90</v>
      </c>
      <c r="J4308" s="9">
        <v>1</v>
      </c>
      <c r="K4308" s="9">
        <v>404</v>
      </c>
      <c r="L4308" s="9">
        <v>2025</v>
      </c>
      <c r="M4308" s="8" t="s">
        <v>25582</v>
      </c>
      <c r="N4308" s="8" t="s">
        <v>79</v>
      </c>
      <c r="O4308" s="8" t="s">
        <v>80</v>
      </c>
      <c r="P4308" s="6" t="s">
        <v>167</v>
      </c>
      <c r="Q4308" s="8" t="s">
        <v>44</v>
      </c>
      <c r="R4308" s="10" t="s">
        <v>25583</v>
      </c>
      <c r="S4308" s="11" t="s">
        <v>25584</v>
      </c>
      <c r="T4308" s="6"/>
      <c r="U4308" s="24" t="str">
        <f>HYPERLINK("https://media.infra-m.ru/2196/2196101/cover/2196101.jpg", "Обложка")</f>
        <v>Обложка</v>
      </c>
      <c r="V4308" s="24" t="str">
        <f>HYPERLINK("https://znanium.ru/catalog/product/2001668", "Ознакомиться")</f>
        <v>Ознакомиться</v>
      </c>
      <c r="W4308" s="8" t="s">
        <v>1076</v>
      </c>
      <c r="X4308" s="6"/>
      <c r="Y4308" s="6"/>
      <c r="Z4308" s="6"/>
      <c r="AA4308" s="6" t="s">
        <v>442</v>
      </c>
      <c r="AB4308" s="8"/>
    </row>
    <row r="4309" spans="1:28" s="4" customFormat="1" ht="51.95" customHeight="1">
      <c r="A4309" s="5">
        <v>0</v>
      </c>
      <c r="B4309" s="6" t="s">
        <v>25585</v>
      </c>
      <c r="C4309" s="13">
        <v>2074</v>
      </c>
      <c r="D4309" s="8" t="s">
        <v>25586</v>
      </c>
      <c r="E4309" s="8" t="s">
        <v>25587</v>
      </c>
      <c r="F4309" s="8" t="s">
        <v>23642</v>
      </c>
      <c r="G4309" s="6" t="s">
        <v>52</v>
      </c>
      <c r="H4309" s="6" t="s">
        <v>53</v>
      </c>
      <c r="I4309" s="8" t="s">
        <v>116</v>
      </c>
      <c r="J4309" s="9">
        <v>1</v>
      </c>
      <c r="K4309" s="9">
        <v>414</v>
      </c>
      <c r="L4309" s="9">
        <v>2025</v>
      </c>
      <c r="M4309" s="8" t="s">
        <v>25588</v>
      </c>
      <c r="N4309" s="8" t="s">
        <v>41</v>
      </c>
      <c r="O4309" s="8" t="s">
        <v>1007</v>
      </c>
      <c r="P4309" s="6" t="s">
        <v>167</v>
      </c>
      <c r="Q4309" s="8" t="s">
        <v>58</v>
      </c>
      <c r="R4309" s="10" t="s">
        <v>1008</v>
      </c>
      <c r="S4309" s="11" t="s">
        <v>406</v>
      </c>
      <c r="T4309" s="6"/>
      <c r="U4309" s="24" t="str">
        <f>HYPERLINK("https://media.infra-m.ru/2185/2185907/cover/2185907.jpg", "Обложка")</f>
        <v>Обложка</v>
      </c>
      <c r="V4309" s="24" t="str">
        <f>HYPERLINK("https://znanium.ru/catalog/product/2185907", "Ознакомиться")</f>
        <v>Ознакомиться</v>
      </c>
      <c r="W4309" s="8" t="s">
        <v>189</v>
      </c>
      <c r="X4309" s="6"/>
      <c r="Y4309" s="6"/>
      <c r="Z4309" s="6"/>
      <c r="AA4309" s="6" t="s">
        <v>326</v>
      </c>
      <c r="AB4309" s="8"/>
    </row>
    <row r="4310" spans="1:28" s="4" customFormat="1" ht="42" customHeight="1">
      <c r="A4310" s="5">
        <v>0</v>
      </c>
      <c r="B4310" s="6" t="s">
        <v>25589</v>
      </c>
      <c r="C4310" s="13">
        <v>2799</v>
      </c>
      <c r="D4310" s="8" t="s">
        <v>25590</v>
      </c>
      <c r="E4310" s="8" t="s">
        <v>25591</v>
      </c>
      <c r="F4310" s="8" t="s">
        <v>25592</v>
      </c>
      <c r="G4310" s="6" t="s">
        <v>52</v>
      </c>
      <c r="H4310" s="6" t="s">
        <v>53</v>
      </c>
      <c r="I4310" s="8" t="s">
        <v>1631</v>
      </c>
      <c r="J4310" s="9">
        <v>1</v>
      </c>
      <c r="K4310" s="9">
        <v>376</v>
      </c>
      <c r="L4310" s="9">
        <v>2025</v>
      </c>
      <c r="M4310" s="8" t="s">
        <v>25593</v>
      </c>
      <c r="N4310" s="8" t="s">
        <v>56</v>
      </c>
      <c r="O4310" s="8" t="s">
        <v>2183</v>
      </c>
      <c r="P4310" s="6" t="s">
        <v>43</v>
      </c>
      <c r="Q4310" s="8" t="s">
        <v>102</v>
      </c>
      <c r="R4310" s="10" t="s">
        <v>11838</v>
      </c>
      <c r="S4310" s="11"/>
      <c r="T4310" s="6"/>
      <c r="U4310" s="24" t="str">
        <f>HYPERLINK("https://media.infra-m.ru/2169/2169863/cover/2169863.jpg", "Обложка")</f>
        <v>Обложка</v>
      </c>
      <c r="V4310" s="24" t="str">
        <f>HYPERLINK("https://znanium.ru/catalog/product/2169863", "Ознакомиться")</f>
        <v>Ознакомиться</v>
      </c>
      <c r="W4310" s="8" t="s">
        <v>716</v>
      </c>
      <c r="X4310" s="6" t="s">
        <v>785</v>
      </c>
      <c r="Y4310" s="6"/>
      <c r="Z4310" s="6" t="s">
        <v>104</v>
      </c>
      <c r="AA4310" s="6" t="s">
        <v>61</v>
      </c>
      <c r="AB4310" s="8"/>
    </row>
    <row r="4311" spans="1:28" s="4" customFormat="1" ht="51.95" customHeight="1">
      <c r="A4311" s="5">
        <v>0</v>
      </c>
      <c r="B4311" s="6" t="s">
        <v>25594</v>
      </c>
      <c r="C4311" s="13">
        <v>2789</v>
      </c>
      <c r="D4311" s="8" t="s">
        <v>25595</v>
      </c>
      <c r="E4311" s="8" t="s">
        <v>25591</v>
      </c>
      <c r="F4311" s="8" t="s">
        <v>25592</v>
      </c>
      <c r="G4311" s="6" t="s">
        <v>52</v>
      </c>
      <c r="H4311" s="6" t="s">
        <v>53</v>
      </c>
      <c r="I4311" s="8" t="s">
        <v>21694</v>
      </c>
      <c r="J4311" s="9">
        <v>1</v>
      </c>
      <c r="K4311" s="9">
        <v>376</v>
      </c>
      <c r="L4311" s="9">
        <v>2023</v>
      </c>
      <c r="M4311" s="8" t="s">
        <v>25596</v>
      </c>
      <c r="N4311" s="8" t="s">
        <v>56</v>
      </c>
      <c r="O4311" s="8" t="s">
        <v>2183</v>
      </c>
      <c r="P4311" s="6" t="s">
        <v>43</v>
      </c>
      <c r="Q4311" s="8" t="s">
        <v>44</v>
      </c>
      <c r="R4311" s="10" t="s">
        <v>25597</v>
      </c>
      <c r="S4311" s="11" t="s">
        <v>25598</v>
      </c>
      <c r="T4311" s="6"/>
      <c r="U4311" s="24" t="str">
        <f>HYPERLINK("https://media.infra-m.ru/1910/1910646/cover/1910646.jpg", "Обложка")</f>
        <v>Обложка</v>
      </c>
      <c r="V4311" s="24" t="str">
        <f>HYPERLINK("https://znanium.ru/catalog/product/1910646", "Ознакомиться")</f>
        <v>Ознакомиться</v>
      </c>
      <c r="W4311" s="8" t="s">
        <v>716</v>
      </c>
      <c r="X4311" s="6"/>
      <c r="Y4311" s="6"/>
      <c r="Z4311" s="6"/>
      <c r="AA4311" s="6" t="s">
        <v>207</v>
      </c>
      <c r="AB4311" s="8"/>
    </row>
    <row r="4312" spans="1:28" s="4" customFormat="1" ht="42" customHeight="1">
      <c r="A4312" s="5">
        <v>0</v>
      </c>
      <c r="B4312" s="6" t="s">
        <v>25599</v>
      </c>
      <c r="C4312" s="13">
        <v>1830</v>
      </c>
      <c r="D4312" s="8" t="s">
        <v>25600</v>
      </c>
      <c r="E4312" s="8" t="s">
        <v>25601</v>
      </c>
      <c r="F4312" s="8" t="s">
        <v>25602</v>
      </c>
      <c r="G4312" s="6" t="s">
        <v>38</v>
      </c>
      <c r="H4312" s="6" t="s">
        <v>438</v>
      </c>
      <c r="I4312" s="8" t="s">
        <v>116</v>
      </c>
      <c r="J4312" s="9">
        <v>1</v>
      </c>
      <c r="K4312" s="9">
        <v>110</v>
      </c>
      <c r="L4312" s="9">
        <v>2024</v>
      </c>
      <c r="M4312" s="8" t="s">
        <v>25603</v>
      </c>
      <c r="N4312" s="8" t="s">
        <v>56</v>
      </c>
      <c r="O4312" s="8" t="s">
        <v>57</v>
      </c>
      <c r="P4312" s="6" t="s">
        <v>43</v>
      </c>
      <c r="Q4312" s="8" t="s">
        <v>44</v>
      </c>
      <c r="R4312" s="10" t="s">
        <v>11802</v>
      </c>
      <c r="S4312" s="11"/>
      <c r="T4312" s="6"/>
      <c r="U4312" s="24" t="str">
        <f>HYPERLINK("https://media.infra-m.ru/2082/2082767/cover/2082767.jpg", "Обложка")</f>
        <v>Обложка</v>
      </c>
      <c r="V4312" s="24" t="str">
        <f>HYPERLINK("https://znanium.ru/catalog/product/2082767", "Ознакомиться")</f>
        <v>Ознакомиться</v>
      </c>
      <c r="W4312" s="8" t="s">
        <v>6198</v>
      </c>
      <c r="X4312" s="6"/>
      <c r="Y4312" s="6"/>
      <c r="Z4312" s="6"/>
      <c r="AA4312" s="6" t="s">
        <v>151</v>
      </c>
      <c r="AB4312" s="8"/>
    </row>
    <row r="4313" spans="1:28" s="4" customFormat="1" ht="51.95" customHeight="1">
      <c r="A4313" s="5">
        <v>0</v>
      </c>
      <c r="B4313" s="6" t="s">
        <v>25604</v>
      </c>
      <c r="C4313" s="13">
        <v>1844</v>
      </c>
      <c r="D4313" s="8" t="s">
        <v>25605</v>
      </c>
      <c r="E4313" s="8" t="s">
        <v>25606</v>
      </c>
      <c r="F4313" s="8" t="s">
        <v>25607</v>
      </c>
      <c r="G4313" s="6" t="s">
        <v>52</v>
      </c>
      <c r="H4313" s="6" t="s">
        <v>1738</v>
      </c>
      <c r="I4313" s="8"/>
      <c r="J4313" s="9">
        <v>12</v>
      </c>
      <c r="K4313" s="9">
        <v>400</v>
      </c>
      <c r="L4313" s="9">
        <v>2024</v>
      </c>
      <c r="M4313" s="8" t="s">
        <v>25608</v>
      </c>
      <c r="N4313" s="8" t="s">
        <v>41</v>
      </c>
      <c r="O4313" s="8" t="s">
        <v>118</v>
      </c>
      <c r="P4313" s="6" t="s">
        <v>167</v>
      </c>
      <c r="Q4313" s="8" t="s">
        <v>44</v>
      </c>
      <c r="R4313" s="10" t="s">
        <v>25609</v>
      </c>
      <c r="S4313" s="11"/>
      <c r="T4313" s="6"/>
      <c r="U4313" s="24" t="str">
        <f>HYPERLINK("https://media.infra-m.ru/2063/2063447/cover/2063447.jpg", "Обложка")</f>
        <v>Обложка</v>
      </c>
      <c r="V4313" s="24" t="str">
        <f>HYPERLINK("https://znanium.ru/catalog/product/1383531", "Ознакомиться")</f>
        <v>Ознакомиться</v>
      </c>
      <c r="W4313" s="8" t="s">
        <v>25610</v>
      </c>
      <c r="X4313" s="6"/>
      <c r="Y4313" s="6"/>
      <c r="Z4313" s="6"/>
      <c r="AA4313" s="6" t="s">
        <v>622</v>
      </c>
      <c r="AB4313" s="8"/>
    </row>
    <row r="4314" spans="1:28" s="4" customFormat="1" ht="51.95" customHeight="1">
      <c r="A4314" s="5">
        <v>0</v>
      </c>
      <c r="B4314" s="6" t="s">
        <v>25611</v>
      </c>
      <c r="C4314" s="13">
        <v>1794</v>
      </c>
      <c r="D4314" s="8" t="s">
        <v>25612</v>
      </c>
      <c r="E4314" s="8" t="s">
        <v>25606</v>
      </c>
      <c r="F4314" s="8" t="s">
        <v>25613</v>
      </c>
      <c r="G4314" s="6" t="s">
        <v>52</v>
      </c>
      <c r="H4314" s="6" t="s">
        <v>53</v>
      </c>
      <c r="I4314" s="8" t="s">
        <v>100</v>
      </c>
      <c r="J4314" s="9">
        <v>1</v>
      </c>
      <c r="K4314" s="9">
        <v>397</v>
      </c>
      <c r="L4314" s="9">
        <v>2023</v>
      </c>
      <c r="M4314" s="8" t="s">
        <v>25614</v>
      </c>
      <c r="N4314" s="8" t="s">
        <v>41</v>
      </c>
      <c r="O4314" s="8" t="s">
        <v>118</v>
      </c>
      <c r="P4314" s="6" t="s">
        <v>167</v>
      </c>
      <c r="Q4314" s="8" t="s">
        <v>102</v>
      </c>
      <c r="R4314" s="10" t="s">
        <v>25615</v>
      </c>
      <c r="S4314" s="11" t="s">
        <v>25616</v>
      </c>
      <c r="T4314" s="6"/>
      <c r="U4314" s="24" t="str">
        <f>HYPERLINK("https://media.infra-m.ru/2021/2021443/cover/2021443.jpg", "Обложка")</f>
        <v>Обложка</v>
      </c>
      <c r="V4314" s="24" t="str">
        <f>HYPERLINK("https://znanium.ru/catalog/product/961667", "Ознакомиться")</f>
        <v>Ознакомиться</v>
      </c>
      <c r="W4314" s="8" t="s">
        <v>25610</v>
      </c>
      <c r="X4314" s="6"/>
      <c r="Y4314" s="6"/>
      <c r="Z4314" s="6" t="s">
        <v>104</v>
      </c>
      <c r="AA4314" s="6" t="s">
        <v>219</v>
      </c>
      <c r="AB4314" s="8"/>
    </row>
    <row r="4315" spans="1:28" s="4" customFormat="1" ht="51.95" customHeight="1">
      <c r="A4315" s="5">
        <v>0</v>
      </c>
      <c r="B4315" s="6" t="s">
        <v>25617</v>
      </c>
      <c r="C4315" s="7">
        <v>970</v>
      </c>
      <c r="D4315" s="8" t="s">
        <v>25618</v>
      </c>
      <c r="E4315" s="8" t="s">
        <v>25619</v>
      </c>
      <c r="F4315" s="8" t="s">
        <v>6846</v>
      </c>
      <c r="G4315" s="6" t="s">
        <v>89</v>
      </c>
      <c r="H4315" s="6" t="s">
        <v>53</v>
      </c>
      <c r="I4315" s="8" t="s">
        <v>100</v>
      </c>
      <c r="J4315" s="9">
        <v>1</v>
      </c>
      <c r="K4315" s="9">
        <v>205</v>
      </c>
      <c r="L4315" s="9">
        <v>2024</v>
      </c>
      <c r="M4315" s="8" t="s">
        <v>25620</v>
      </c>
      <c r="N4315" s="8" t="s">
        <v>41</v>
      </c>
      <c r="O4315" s="8" t="s">
        <v>278</v>
      </c>
      <c r="P4315" s="6" t="s">
        <v>43</v>
      </c>
      <c r="Q4315" s="8" t="s">
        <v>102</v>
      </c>
      <c r="R4315" s="10" t="s">
        <v>18040</v>
      </c>
      <c r="S4315" s="11" t="s">
        <v>25621</v>
      </c>
      <c r="T4315" s="6"/>
      <c r="U4315" s="24" t="str">
        <f>HYPERLINK("https://media.infra-m.ru/2149/2149185/cover/2149185.jpg", "Обложка")</f>
        <v>Обложка</v>
      </c>
      <c r="V4315" s="24" t="str">
        <f>HYPERLINK("https://znanium.ru/catalog/product/2149185", "Ознакомиться")</f>
        <v>Ознакомиться</v>
      </c>
      <c r="W4315" s="8" t="s">
        <v>3605</v>
      </c>
      <c r="X4315" s="6"/>
      <c r="Y4315" s="6"/>
      <c r="Z4315" s="6"/>
      <c r="AA4315" s="6" t="s">
        <v>219</v>
      </c>
      <c r="AB4315" s="8"/>
    </row>
    <row r="4316" spans="1:28" s="4" customFormat="1" ht="42" customHeight="1">
      <c r="A4316" s="5">
        <v>0</v>
      </c>
      <c r="B4316" s="6" t="s">
        <v>25622</v>
      </c>
      <c r="C4316" s="13">
        <v>2504</v>
      </c>
      <c r="D4316" s="8" t="s">
        <v>25623</v>
      </c>
      <c r="E4316" s="8" t="s">
        <v>25624</v>
      </c>
      <c r="F4316" s="8" t="s">
        <v>25625</v>
      </c>
      <c r="G4316" s="6" t="s">
        <v>52</v>
      </c>
      <c r="H4316" s="6" t="s">
        <v>952</v>
      </c>
      <c r="I4316" s="8"/>
      <c r="J4316" s="9">
        <v>1</v>
      </c>
      <c r="K4316" s="9">
        <v>544</v>
      </c>
      <c r="L4316" s="9">
        <v>2024</v>
      </c>
      <c r="M4316" s="8" t="s">
        <v>25626</v>
      </c>
      <c r="N4316" s="8" t="s">
        <v>79</v>
      </c>
      <c r="O4316" s="8" t="s">
        <v>396</v>
      </c>
      <c r="P4316" s="6" t="s">
        <v>167</v>
      </c>
      <c r="Q4316" s="8" t="s">
        <v>44</v>
      </c>
      <c r="R4316" s="10" t="s">
        <v>25627</v>
      </c>
      <c r="S4316" s="11"/>
      <c r="T4316" s="6"/>
      <c r="U4316" s="24" t="str">
        <f>HYPERLINK("https://media.infra-m.ru/2122/2122429/cover/2122429.jpg", "Обложка")</f>
        <v>Обложка</v>
      </c>
      <c r="V4316" s="24" t="str">
        <f>HYPERLINK("https://znanium.ru/catalog/product/2084412", "Ознакомиться")</f>
        <v>Ознакомиться</v>
      </c>
      <c r="W4316" s="8" t="s">
        <v>2463</v>
      </c>
      <c r="X4316" s="6"/>
      <c r="Y4316" s="6"/>
      <c r="Z4316" s="6"/>
      <c r="AA4316" s="6" t="s">
        <v>151</v>
      </c>
      <c r="AB4316" s="8"/>
    </row>
    <row r="4317" spans="1:28" s="4" customFormat="1" ht="51.95" customHeight="1">
      <c r="A4317" s="5">
        <v>0</v>
      </c>
      <c r="B4317" s="6" t="s">
        <v>25628</v>
      </c>
      <c r="C4317" s="13">
        <v>1174</v>
      </c>
      <c r="D4317" s="8" t="s">
        <v>25629</v>
      </c>
      <c r="E4317" s="8" t="s">
        <v>25630</v>
      </c>
      <c r="F4317" s="8" t="s">
        <v>25631</v>
      </c>
      <c r="G4317" s="6" t="s">
        <v>89</v>
      </c>
      <c r="H4317" s="6" t="s">
        <v>53</v>
      </c>
      <c r="I4317" s="8" t="s">
        <v>100</v>
      </c>
      <c r="J4317" s="9">
        <v>1</v>
      </c>
      <c r="K4317" s="9">
        <v>249</v>
      </c>
      <c r="L4317" s="9">
        <v>2024</v>
      </c>
      <c r="M4317" s="8" t="s">
        <v>25632</v>
      </c>
      <c r="N4317" s="8" t="s">
        <v>79</v>
      </c>
      <c r="O4317" s="8" t="s">
        <v>424</v>
      </c>
      <c r="P4317" s="6" t="s">
        <v>167</v>
      </c>
      <c r="Q4317" s="8" t="s">
        <v>102</v>
      </c>
      <c r="R4317" s="10" t="s">
        <v>25633</v>
      </c>
      <c r="S4317" s="11" t="s">
        <v>25634</v>
      </c>
      <c r="T4317" s="6"/>
      <c r="U4317" s="24" t="str">
        <f>HYPERLINK("https://media.infra-m.ru/2139/2139786/cover/2139786.jpg", "Обложка")</f>
        <v>Обложка</v>
      </c>
      <c r="V4317" s="24" t="str">
        <f>HYPERLINK("https://znanium.ru/catalog/product/2135973", "Ознакомиться")</f>
        <v>Ознакомиться</v>
      </c>
      <c r="W4317" s="8" t="s">
        <v>478</v>
      </c>
      <c r="X4317" s="6"/>
      <c r="Y4317" s="6" t="s">
        <v>30</v>
      </c>
      <c r="Z4317" s="6"/>
      <c r="AA4317" s="6" t="s">
        <v>3065</v>
      </c>
      <c r="AB4317" s="8"/>
    </row>
    <row r="4318" spans="1:28" s="4" customFormat="1" ht="42" customHeight="1">
      <c r="A4318" s="5">
        <v>0</v>
      </c>
      <c r="B4318" s="6" t="s">
        <v>25635</v>
      </c>
      <c r="C4318" s="13">
        <v>1324</v>
      </c>
      <c r="D4318" s="8" t="s">
        <v>25636</v>
      </c>
      <c r="E4318" s="8" t="s">
        <v>25637</v>
      </c>
      <c r="F4318" s="8" t="s">
        <v>25638</v>
      </c>
      <c r="G4318" s="6" t="s">
        <v>52</v>
      </c>
      <c r="H4318" s="6" t="s">
        <v>39</v>
      </c>
      <c r="I4318" s="8" t="s">
        <v>116</v>
      </c>
      <c r="J4318" s="9">
        <v>1</v>
      </c>
      <c r="K4318" s="9">
        <v>288</v>
      </c>
      <c r="L4318" s="9">
        <v>2024</v>
      </c>
      <c r="M4318" s="8" t="s">
        <v>25639</v>
      </c>
      <c r="N4318" s="8" t="s">
        <v>79</v>
      </c>
      <c r="O4318" s="8" t="s">
        <v>396</v>
      </c>
      <c r="P4318" s="6" t="s">
        <v>167</v>
      </c>
      <c r="Q4318" s="8" t="s">
        <v>44</v>
      </c>
      <c r="R4318" s="10" t="s">
        <v>7643</v>
      </c>
      <c r="S4318" s="11"/>
      <c r="T4318" s="6"/>
      <c r="U4318" s="24" t="str">
        <f>HYPERLINK("https://media.infra-m.ru/2088/2088255/cover/2088255.jpg", "Обложка")</f>
        <v>Обложка</v>
      </c>
      <c r="V4318" s="24" t="str">
        <f>HYPERLINK("https://znanium.ru/catalog/product/988233", "Ознакомиться")</f>
        <v>Ознакомиться</v>
      </c>
      <c r="W4318" s="8" t="s">
        <v>450</v>
      </c>
      <c r="X4318" s="6"/>
      <c r="Y4318" s="6"/>
      <c r="Z4318" s="6"/>
      <c r="AA4318" s="6" t="s">
        <v>111</v>
      </c>
      <c r="AB4318" s="8"/>
    </row>
    <row r="4319" spans="1:28" s="4" customFormat="1" ht="51.95" customHeight="1">
      <c r="A4319" s="5">
        <v>0</v>
      </c>
      <c r="B4319" s="6" t="s">
        <v>25640</v>
      </c>
      <c r="C4319" s="13">
        <v>1494</v>
      </c>
      <c r="D4319" s="8" t="s">
        <v>25641</v>
      </c>
      <c r="E4319" s="8" t="s">
        <v>25637</v>
      </c>
      <c r="F4319" s="8" t="s">
        <v>25642</v>
      </c>
      <c r="G4319" s="6" t="s">
        <v>89</v>
      </c>
      <c r="H4319" s="6" t="s">
        <v>39</v>
      </c>
      <c r="I4319" s="8" t="s">
        <v>100</v>
      </c>
      <c r="J4319" s="9">
        <v>1</v>
      </c>
      <c r="K4319" s="9">
        <v>288</v>
      </c>
      <c r="L4319" s="9">
        <v>2025</v>
      </c>
      <c r="M4319" s="8" t="s">
        <v>25643</v>
      </c>
      <c r="N4319" s="8" t="s">
        <v>79</v>
      </c>
      <c r="O4319" s="8" t="s">
        <v>396</v>
      </c>
      <c r="P4319" s="6" t="s">
        <v>167</v>
      </c>
      <c r="Q4319" s="8" t="s">
        <v>102</v>
      </c>
      <c r="R4319" s="10" t="s">
        <v>25644</v>
      </c>
      <c r="S4319" s="11" t="s">
        <v>25645</v>
      </c>
      <c r="T4319" s="6"/>
      <c r="U4319" s="24" t="str">
        <f>HYPERLINK("https://media.infra-m.ru/2198/2198388/cover/2198388.jpg", "Обложка")</f>
        <v>Обложка</v>
      </c>
      <c r="V4319" s="24" t="str">
        <f>HYPERLINK("https://znanium.ru/catalog/product/2188079", "Ознакомиться")</f>
        <v>Ознакомиться</v>
      </c>
      <c r="W4319" s="8" t="s">
        <v>450</v>
      </c>
      <c r="X4319" s="6"/>
      <c r="Y4319" s="6"/>
      <c r="Z4319" s="6" t="s">
        <v>104</v>
      </c>
      <c r="AA4319" s="6" t="s">
        <v>151</v>
      </c>
      <c r="AB4319" s="8"/>
    </row>
    <row r="4320" spans="1:28" s="4" customFormat="1" ht="44.1" customHeight="1">
      <c r="A4320" s="5">
        <v>0</v>
      </c>
      <c r="B4320" s="6" t="s">
        <v>25646</v>
      </c>
      <c r="C4320" s="13">
        <v>1510</v>
      </c>
      <c r="D4320" s="8" t="s">
        <v>25647</v>
      </c>
      <c r="E4320" s="8" t="s">
        <v>25648</v>
      </c>
      <c r="F4320" s="8" t="s">
        <v>25642</v>
      </c>
      <c r="G4320" s="6" t="s">
        <v>89</v>
      </c>
      <c r="H4320" s="6" t="s">
        <v>39</v>
      </c>
      <c r="I4320" s="8" t="s">
        <v>116</v>
      </c>
      <c r="J4320" s="9">
        <v>1</v>
      </c>
      <c r="K4320" s="9">
        <v>336</v>
      </c>
      <c r="L4320" s="9">
        <v>2022</v>
      </c>
      <c r="M4320" s="8" t="s">
        <v>25649</v>
      </c>
      <c r="N4320" s="8" t="s">
        <v>79</v>
      </c>
      <c r="O4320" s="8" t="s">
        <v>396</v>
      </c>
      <c r="P4320" s="6" t="s">
        <v>167</v>
      </c>
      <c r="Q4320" s="8" t="s">
        <v>44</v>
      </c>
      <c r="R4320" s="10" t="s">
        <v>25650</v>
      </c>
      <c r="S4320" s="11"/>
      <c r="T4320" s="6"/>
      <c r="U4320" s="24" t="str">
        <f>HYPERLINK("https://media.infra-m.ru/1947/1947416/cover/1947416.jpg", "Обложка")</f>
        <v>Обложка</v>
      </c>
      <c r="V4320" s="24" t="str">
        <f>HYPERLINK("https://znanium.ru/catalog/product/1840885", "Ознакомиться")</f>
        <v>Ознакомиться</v>
      </c>
      <c r="W4320" s="8" t="s">
        <v>450</v>
      </c>
      <c r="X4320" s="6"/>
      <c r="Y4320" s="6"/>
      <c r="Z4320" s="6"/>
      <c r="AA4320" s="6" t="s">
        <v>111</v>
      </c>
      <c r="AB4320" s="8"/>
    </row>
    <row r="4321" spans="1:28" s="4" customFormat="1" ht="51.95" customHeight="1">
      <c r="A4321" s="5">
        <v>0</v>
      </c>
      <c r="B4321" s="6" t="s">
        <v>25651</v>
      </c>
      <c r="C4321" s="13">
        <v>1710</v>
      </c>
      <c r="D4321" s="8" t="s">
        <v>25652</v>
      </c>
      <c r="E4321" s="8" t="s">
        <v>25653</v>
      </c>
      <c r="F4321" s="8" t="s">
        <v>25642</v>
      </c>
      <c r="G4321" s="6" t="s">
        <v>52</v>
      </c>
      <c r="H4321" s="6" t="s">
        <v>39</v>
      </c>
      <c r="I4321" s="8" t="s">
        <v>100</v>
      </c>
      <c r="J4321" s="9">
        <v>1</v>
      </c>
      <c r="K4321" s="9">
        <v>336</v>
      </c>
      <c r="L4321" s="9">
        <v>2025</v>
      </c>
      <c r="M4321" s="8" t="s">
        <v>25654</v>
      </c>
      <c r="N4321" s="8" t="s">
        <v>79</v>
      </c>
      <c r="O4321" s="8" t="s">
        <v>396</v>
      </c>
      <c r="P4321" s="6" t="s">
        <v>167</v>
      </c>
      <c r="Q4321" s="8" t="s">
        <v>102</v>
      </c>
      <c r="R4321" s="10" t="s">
        <v>25655</v>
      </c>
      <c r="S4321" s="11"/>
      <c r="T4321" s="6"/>
      <c r="U4321" s="24" t="str">
        <f>HYPERLINK("https://media.infra-m.ru/2172/2172172/cover/2172172.jpg", "Обложка")</f>
        <v>Обложка</v>
      </c>
      <c r="V4321" s="24" t="str">
        <f>HYPERLINK("https://znanium.ru/catalog/product/2172172", "Ознакомиться")</f>
        <v>Ознакомиться</v>
      </c>
      <c r="W4321" s="8" t="s">
        <v>450</v>
      </c>
      <c r="X4321" s="6" t="s">
        <v>785</v>
      </c>
      <c r="Y4321" s="6"/>
      <c r="Z4321" s="6" t="s">
        <v>104</v>
      </c>
      <c r="AA4321" s="6" t="s">
        <v>61</v>
      </c>
      <c r="AB4321" s="8"/>
    </row>
    <row r="4322" spans="1:28" s="4" customFormat="1" ht="51.95" customHeight="1">
      <c r="A4322" s="5">
        <v>0</v>
      </c>
      <c r="B4322" s="6" t="s">
        <v>25656</v>
      </c>
      <c r="C4322" s="13">
        <v>1050</v>
      </c>
      <c r="D4322" s="8" t="s">
        <v>25657</v>
      </c>
      <c r="E4322" s="8" t="s">
        <v>25658</v>
      </c>
      <c r="F4322" s="8" t="s">
        <v>25659</v>
      </c>
      <c r="G4322" s="6" t="s">
        <v>89</v>
      </c>
      <c r="H4322" s="6" t="s">
        <v>53</v>
      </c>
      <c r="I4322" s="8" t="s">
        <v>6259</v>
      </c>
      <c r="J4322" s="9">
        <v>1</v>
      </c>
      <c r="K4322" s="9">
        <v>199</v>
      </c>
      <c r="L4322" s="9">
        <v>2024</v>
      </c>
      <c r="M4322" s="8" t="s">
        <v>25660</v>
      </c>
      <c r="N4322" s="8" t="s">
        <v>79</v>
      </c>
      <c r="O4322" s="8" t="s">
        <v>174</v>
      </c>
      <c r="P4322" s="6" t="s">
        <v>43</v>
      </c>
      <c r="Q4322" s="8" t="s">
        <v>214</v>
      </c>
      <c r="R4322" s="10" t="s">
        <v>9952</v>
      </c>
      <c r="S4322" s="11" t="s">
        <v>25661</v>
      </c>
      <c r="T4322" s="6"/>
      <c r="U4322" s="24" t="str">
        <f>HYPERLINK("https://media.infra-m.ru/2148/2148516/cover/2148516.jpg", "Обложка")</f>
        <v>Обложка</v>
      </c>
      <c r="V4322" s="24" t="str">
        <f>HYPERLINK("https://znanium.ru/catalog/product/2148516", "Ознакомиться")</f>
        <v>Ознакомиться</v>
      </c>
      <c r="W4322" s="8" t="s">
        <v>206</v>
      </c>
      <c r="X4322" s="6"/>
      <c r="Y4322" s="6"/>
      <c r="Z4322" s="6"/>
      <c r="AA4322" s="6" t="s">
        <v>258</v>
      </c>
      <c r="AB4322" s="8"/>
    </row>
    <row r="4323" spans="1:28" s="4" customFormat="1" ht="51.95" customHeight="1">
      <c r="A4323" s="5">
        <v>0</v>
      </c>
      <c r="B4323" s="6" t="s">
        <v>25662</v>
      </c>
      <c r="C4323" s="13">
        <v>1484.9</v>
      </c>
      <c r="D4323" s="8" t="s">
        <v>25663</v>
      </c>
      <c r="E4323" s="8" t="s">
        <v>25664</v>
      </c>
      <c r="F4323" s="8" t="s">
        <v>25665</v>
      </c>
      <c r="G4323" s="6" t="s">
        <v>52</v>
      </c>
      <c r="H4323" s="6" t="s">
        <v>53</v>
      </c>
      <c r="I4323" s="8" t="s">
        <v>100</v>
      </c>
      <c r="J4323" s="9">
        <v>1</v>
      </c>
      <c r="K4323" s="9">
        <v>392</v>
      </c>
      <c r="L4323" s="9">
        <v>2022</v>
      </c>
      <c r="M4323" s="8" t="s">
        <v>25666</v>
      </c>
      <c r="N4323" s="8" t="s">
        <v>79</v>
      </c>
      <c r="O4323" s="8" t="s">
        <v>148</v>
      </c>
      <c r="P4323" s="6" t="s">
        <v>43</v>
      </c>
      <c r="Q4323" s="8" t="s">
        <v>102</v>
      </c>
      <c r="R4323" s="10" t="s">
        <v>25667</v>
      </c>
      <c r="S4323" s="11"/>
      <c r="T4323" s="6"/>
      <c r="U4323" s="24" t="str">
        <f>HYPERLINK("https://media.infra-m.ru/1851/1851444/cover/1851444.jpg", "Обложка")</f>
        <v>Обложка</v>
      </c>
      <c r="V4323" s="12"/>
      <c r="W4323" s="8" t="s">
        <v>1651</v>
      </c>
      <c r="X4323" s="6"/>
      <c r="Y4323" s="6"/>
      <c r="Z4323" s="6"/>
      <c r="AA4323" s="6" t="s">
        <v>111</v>
      </c>
      <c r="AB4323" s="8"/>
    </row>
    <row r="4324" spans="1:28" s="4" customFormat="1" ht="51.95" customHeight="1">
      <c r="A4324" s="5">
        <v>0</v>
      </c>
      <c r="B4324" s="6" t="s">
        <v>25668</v>
      </c>
      <c r="C4324" s="7">
        <v>790</v>
      </c>
      <c r="D4324" s="8" t="s">
        <v>25669</v>
      </c>
      <c r="E4324" s="8" t="s">
        <v>25670</v>
      </c>
      <c r="F4324" s="8" t="s">
        <v>25671</v>
      </c>
      <c r="G4324" s="6" t="s">
        <v>89</v>
      </c>
      <c r="H4324" s="6" t="s">
        <v>53</v>
      </c>
      <c r="I4324" s="8" t="s">
        <v>90</v>
      </c>
      <c r="J4324" s="9">
        <v>1</v>
      </c>
      <c r="K4324" s="9">
        <v>170</v>
      </c>
      <c r="L4324" s="9">
        <v>2023</v>
      </c>
      <c r="M4324" s="8" t="s">
        <v>25672</v>
      </c>
      <c r="N4324" s="8" t="s">
        <v>79</v>
      </c>
      <c r="O4324" s="8" t="s">
        <v>684</v>
      </c>
      <c r="P4324" s="6" t="s">
        <v>43</v>
      </c>
      <c r="Q4324" s="8" t="s">
        <v>44</v>
      </c>
      <c r="R4324" s="10" t="s">
        <v>4062</v>
      </c>
      <c r="S4324" s="11" t="s">
        <v>20992</v>
      </c>
      <c r="T4324" s="6"/>
      <c r="U4324" s="24" t="str">
        <f>HYPERLINK("https://media.infra-m.ru/2126/2126817/cover/2126817.jpg", "Обложка")</f>
        <v>Обложка</v>
      </c>
      <c r="V4324" s="24" t="str">
        <f>HYPERLINK("https://znanium.ru/catalog/product/2126817", "Ознакомиться")</f>
        <v>Ознакомиться</v>
      </c>
      <c r="W4324" s="8" t="s">
        <v>71</v>
      </c>
      <c r="X4324" s="6"/>
      <c r="Y4324" s="6"/>
      <c r="Z4324" s="6"/>
      <c r="AA4324" s="6" t="s">
        <v>151</v>
      </c>
      <c r="AB4324" s="8"/>
    </row>
    <row r="4325" spans="1:28" s="4" customFormat="1" ht="51.95" customHeight="1">
      <c r="A4325" s="5">
        <v>0</v>
      </c>
      <c r="B4325" s="6" t="s">
        <v>25673</v>
      </c>
      <c r="C4325" s="13">
        <v>1274</v>
      </c>
      <c r="D4325" s="8" t="s">
        <v>25674</v>
      </c>
      <c r="E4325" s="8" t="s">
        <v>25675</v>
      </c>
      <c r="F4325" s="8" t="s">
        <v>25676</v>
      </c>
      <c r="G4325" s="6" t="s">
        <v>89</v>
      </c>
      <c r="H4325" s="6" t="s">
        <v>649</v>
      </c>
      <c r="I4325" s="8" t="s">
        <v>58</v>
      </c>
      <c r="J4325" s="9">
        <v>1</v>
      </c>
      <c r="K4325" s="9">
        <v>255</v>
      </c>
      <c r="L4325" s="9">
        <v>2025</v>
      </c>
      <c r="M4325" s="8" t="s">
        <v>25677</v>
      </c>
      <c r="N4325" s="8" t="s">
        <v>79</v>
      </c>
      <c r="O4325" s="8" t="s">
        <v>80</v>
      </c>
      <c r="P4325" s="6" t="s">
        <v>43</v>
      </c>
      <c r="Q4325" s="8" t="s">
        <v>102</v>
      </c>
      <c r="R4325" s="10" t="s">
        <v>25678</v>
      </c>
      <c r="S4325" s="11" t="s">
        <v>6590</v>
      </c>
      <c r="T4325" s="6"/>
      <c r="U4325" s="24" t="str">
        <f>HYPERLINK("https://media.infra-m.ru/2188/2188199/cover/2188199.jpg", "Обложка")</f>
        <v>Обложка</v>
      </c>
      <c r="V4325" s="24" t="str">
        <f>HYPERLINK("https://znanium.ru/catalog/product/1841781", "Ознакомиться")</f>
        <v>Ознакомиться</v>
      </c>
      <c r="W4325" s="8" t="s">
        <v>2216</v>
      </c>
      <c r="X4325" s="6"/>
      <c r="Y4325" s="6"/>
      <c r="Z4325" s="6"/>
      <c r="AA4325" s="6" t="s">
        <v>1135</v>
      </c>
      <c r="AB4325" s="8"/>
    </row>
    <row r="4326" spans="1:28" s="4" customFormat="1" ht="51.95" customHeight="1">
      <c r="A4326" s="5">
        <v>0</v>
      </c>
      <c r="B4326" s="6" t="s">
        <v>25679</v>
      </c>
      <c r="C4326" s="13">
        <v>1480</v>
      </c>
      <c r="D4326" s="8" t="s">
        <v>25680</v>
      </c>
      <c r="E4326" s="8" t="s">
        <v>25681</v>
      </c>
      <c r="F4326" s="8" t="s">
        <v>25682</v>
      </c>
      <c r="G4326" s="6" t="s">
        <v>89</v>
      </c>
      <c r="H4326" s="6" t="s">
        <v>53</v>
      </c>
      <c r="I4326" s="8" t="s">
        <v>116</v>
      </c>
      <c r="J4326" s="9">
        <v>1</v>
      </c>
      <c r="K4326" s="9">
        <v>319</v>
      </c>
      <c r="L4326" s="9">
        <v>2024</v>
      </c>
      <c r="M4326" s="8" t="s">
        <v>25683</v>
      </c>
      <c r="N4326" s="8" t="s">
        <v>413</v>
      </c>
      <c r="O4326" s="8" t="s">
        <v>1528</v>
      </c>
      <c r="P4326" s="6" t="s">
        <v>43</v>
      </c>
      <c r="Q4326" s="8" t="s">
        <v>44</v>
      </c>
      <c r="R4326" s="10" t="s">
        <v>21442</v>
      </c>
      <c r="S4326" s="11" t="s">
        <v>25684</v>
      </c>
      <c r="T4326" s="6"/>
      <c r="U4326" s="24" t="str">
        <f>HYPERLINK("https://media.infra-m.ru/2091/2091902/cover/2091902.jpg", "Обложка")</f>
        <v>Обложка</v>
      </c>
      <c r="V4326" s="24" t="str">
        <f>HYPERLINK("https://znanium.ru/catalog/product/2091902", "Ознакомиться")</f>
        <v>Ознакомиться</v>
      </c>
      <c r="W4326" s="8" t="s">
        <v>46</v>
      </c>
      <c r="X4326" s="6"/>
      <c r="Y4326" s="6"/>
      <c r="Z4326" s="6"/>
      <c r="AA4326" s="6" t="s">
        <v>2001</v>
      </c>
      <c r="AB4326" s="8"/>
    </row>
    <row r="4327" spans="1:28" s="4" customFormat="1" ht="51.95" customHeight="1">
      <c r="A4327" s="5">
        <v>0</v>
      </c>
      <c r="B4327" s="6" t="s">
        <v>25685</v>
      </c>
      <c r="C4327" s="7">
        <v>574.9</v>
      </c>
      <c r="D4327" s="8" t="s">
        <v>25686</v>
      </c>
      <c r="E4327" s="8" t="s">
        <v>25687</v>
      </c>
      <c r="F4327" s="8" t="s">
        <v>16434</v>
      </c>
      <c r="G4327" s="6" t="s">
        <v>52</v>
      </c>
      <c r="H4327" s="6" t="s">
        <v>53</v>
      </c>
      <c r="I4327" s="8" t="s">
        <v>90</v>
      </c>
      <c r="J4327" s="9">
        <v>1</v>
      </c>
      <c r="K4327" s="9">
        <v>127</v>
      </c>
      <c r="L4327" s="9">
        <v>2023</v>
      </c>
      <c r="M4327" s="8" t="s">
        <v>25688</v>
      </c>
      <c r="N4327" s="8" t="s">
        <v>413</v>
      </c>
      <c r="O4327" s="8" t="s">
        <v>1141</v>
      </c>
      <c r="P4327" s="6" t="s">
        <v>43</v>
      </c>
      <c r="Q4327" s="8" t="s">
        <v>44</v>
      </c>
      <c r="R4327" s="10" t="s">
        <v>16497</v>
      </c>
      <c r="S4327" s="11" t="s">
        <v>25570</v>
      </c>
      <c r="T4327" s="6"/>
      <c r="U4327" s="24" t="str">
        <f>HYPERLINK("https://media.infra-m.ru/2044/2044326/cover/2044326.jpg", "Обложка")</f>
        <v>Обложка</v>
      </c>
      <c r="V4327" s="24" t="str">
        <f>HYPERLINK("https://znanium.ru/catalog/product/2195341", "Ознакомиться")</f>
        <v>Ознакомиться</v>
      </c>
      <c r="W4327" s="8" t="s">
        <v>16430</v>
      </c>
      <c r="X4327" s="6"/>
      <c r="Y4327" s="6"/>
      <c r="Z4327" s="6"/>
      <c r="AA4327" s="6" t="s">
        <v>47</v>
      </c>
      <c r="AB4327" s="8"/>
    </row>
    <row r="4328" spans="1:28" s="4" customFormat="1" ht="42" customHeight="1">
      <c r="A4328" s="5">
        <v>0</v>
      </c>
      <c r="B4328" s="6" t="s">
        <v>25689</v>
      </c>
      <c r="C4328" s="7">
        <v>740</v>
      </c>
      <c r="D4328" s="8" t="s">
        <v>25690</v>
      </c>
      <c r="E4328" s="8" t="s">
        <v>25691</v>
      </c>
      <c r="F4328" s="8" t="s">
        <v>16426</v>
      </c>
      <c r="G4328" s="6" t="s">
        <v>52</v>
      </c>
      <c r="H4328" s="6" t="s">
        <v>53</v>
      </c>
      <c r="I4328" s="8" t="s">
        <v>100</v>
      </c>
      <c r="J4328" s="9">
        <v>1</v>
      </c>
      <c r="K4328" s="9">
        <v>127</v>
      </c>
      <c r="L4328" s="9">
        <v>2025</v>
      </c>
      <c r="M4328" s="8" t="s">
        <v>25692</v>
      </c>
      <c r="N4328" s="8" t="s">
        <v>413</v>
      </c>
      <c r="O4328" s="8" t="s">
        <v>1141</v>
      </c>
      <c r="P4328" s="6" t="s">
        <v>43</v>
      </c>
      <c r="Q4328" s="8" t="s">
        <v>102</v>
      </c>
      <c r="R4328" s="10" t="s">
        <v>16491</v>
      </c>
      <c r="S4328" s="11"/>
      <c r="T4328" s="6"/>
      <c r="U4328" s="24" t="str">
        <f>HYPERLINK("https://media.infra-m.ru/2175/2175113/cover/2175113.jpg", "Обложка")</f>
        <v>Обложка</v>
      </c>
      <c r="V4328" s="24" t="str">
        <f>HYPERLINK("https://znanium.ru/catalog/product/2175113", "Ознакомиться")</f>
        <v>Ознакомиться</v>
      </c>
      <c r="W4328" s="8" t="s">
        <v>16430</v>
      </c>
      <c r="X4328" s="6" t="s">
        <v>785</v>
      </c>
      <c r="Y4328" s="6"/>
      <c r="Z4328" s="6" t="s">
        <v>104</v>
      </c>
      <c r="AA4328" s="6" t="s">
        <v>549</v>
      </c>
      <c r="AB4328" s="8"/>
    </row>
    <row r="4329" spans="1:28" s="4" customFormat="1" ht="51.95" customHeight="1">
      <c r="A4329" s="5">
        <v>0</v>
      </c>
      <c r="B4329" s="6" t="s">
        <v>25693</v>
      </c>
      <c r="C4329" s="7">
        <v>670</v>
      </c>
      <c r="D4329" s="8" t="s">
        <v>25694</v>
      </c>
      <c r="E4329" s="8" t="s">
        <v>25691</v>
      </c>
      <c r="F4329" s="8" t="s">
        <v>16426</v>
      </c>
      <c r="G4329" s="6" t="s">
        <v>38</v>
      </c>
      <c r="H4329" s="6" t="s">
        <v>53</v>
      </c>
      <c r="I4329" s="8" t="s">
        <v>116</v>
      </c>
      <c r="J4329" s="9">
        <v>1</v>
      </c>
      <c r="K4329" s="9">
        <v>127</v>
      </c>
      <c r="L4329" s="9">
        <v>2025</v>
      </c>
      <c r="M4329" s="8" t="s">
        <v>25695</v>
      </c>
      <c r="N4329" s="8" t="s">
        <v>413</v>
      </c>
      <c r="O4329" s="8" t="s">
        <v>1141</v>
      </c>
      <c r="P4329" s="6" t="s">
        <v>43</v>
      </c>
      <c r="Q4329" s="8" t="s">
        <v>44</v>
      </c>
      <c r="R4329" s="10" t="s">
        <v>16497</v>
      </c>
      <c r="S4329" s="11" t="s">
        <v>25696</v>
      </c>
      <c r="T4329" s="6"/>
      <c r="U4329" s="24" t="str">
        <f>HYPERLINK("https://media.infra-m.ru/2195/2195341/cover/2195341.jpg", "Обложка")</f>
        <v>Обложка</v>
      </c>
      <c r="V4329" s="24" t="str">
        <f>HYPERLINK("https://znanium.ru/catalog/product/2195341", "Ознакомиться")</f>
        <v>Ознакомиться</v>
      </c>
      <c r="W4329" s="8" t="s">
        <v>16430</v>
      </c>
      <c r="X4329" s="6" t="s">
        <v>60</v>
      </c>
      <c r="Y4329" s="6"/>
      <c r="Z4329" s="6"/>
      <c r="AA4329" s="6" t="s">
        <v>326</v>
      </c>
      <c r="AB4329" s="8"/>
    </row>
    <row r="4330" spans="1:28" s="4" customFormat="1" ht="51.95" customHeight="1">
      <c r="A4330" s="5">
        <v>0</v>
      </c>
      <c r="B4330" s="6" t="s">
        <v>25697</v>
      </c>
      <c r="C4330" s="13">
        <v>2040</v>
      </c>
      <c r="D4330" s="8" t="s">
        <v>25698</v>
      </c>
      <c r="E4330" s="8" t="s">
        <v>25699</v>
      </c>
      <c r="F4330" s="8" t="s">
        <v>12144</v>
      </c>
      <c r="G4330" s="6" t="s">
        <v>89</v>
      </c>
      <c r="H4330" s="6" t="s">
        <v>438</v>
      </c>
      <c r="I4330" s="8"/>
      <c r="J4330" s="9">
        <v>1</v>
      </c>
      <c r="K4330" s="9">
        <v>392</v>
      </c>
      <c r="L4330" s="9">
        <v>2025</v>
      </c>
      <c r="M4330" s="8" t="s">
        <v>25700</v>
      </c>
      <c r="N4330" s="8" t="s">
        <v>413</v>
      </c>
      <c r="O4330" s="8" t="s">
        <v>1141</v>
      </c>
      <c r="P4330" s="6" t="s">
        <v>43</v>
      </c>
      <c r="Q4330" s="8" t="s">
        <v>44</v>
      </c>
      <c r="R4330" s="10" t="s">
        <v>25701</v>
      </c>
      <c r="S4330" s="11"/>
      <c r="T4330" s="6"/>
      <c r="U4330" s="24" t="str">
        <f>HYPERLINK("https://media.infra-m.ru/2198/2198384/cover/2198384.jpg", "Обложка")</f>
        <v>Обложка</v>
      </c>
      <c r="V4330" s="24" t="str">
        <f>HYPERLINK("https://znanium.ru/catalog/product/986940", "Ознакомиться")</f>
        <v>Ознакомиться</v>
      </c>
      <c r="W4330" s="8" t="s">
        <v>4331</v>
      </c>
      <c r="X4330" s="6"/>
      <c r="Y4330" s="6"/>
      <c r="Z4330" s="6"/>
      <c r="AA4330" s="6" t="s">
        <v>442</v>
      </c>
      <c r="AB4330" s="8"/>
    </row>
    <row r="4331" spans="1:28" s="4" customFormat="1" ht="51.95" customHeight="1">
      <c r="A4331" s="5">
        <v>0</v>
      </c>
      <c r="B4331" s="6" t="s">
        <v>25702</v>
      </c>
      <c r="C4331" s="13">
        <v>1764</v>
      </c>
      <c r="D4331" s="8" t="s">
        <v>25703</v>
      </c>
      <c r="E4331" s="8" t="s">
        <v>25704</v>
      </c>
      <c r="F4331" s="8" t="s">
        <v>5169</v>
      </c>
      <c r="G4331" s="6" t="s">
        <v>52</v>
      </c>
      <c r="H4331" s="6" t="s">
        <v>39</v>
      </c>
      <c r="I4331" s="8" t="s">
        <v>185</v>
      </c>
      <c r="J4331" s="9">
        <v>1</v>
      </c>
      <c r="K4331" s="9">
        <v>352</v>
      </c>
      <c r="L4331" s="9">
        <v>2025</v>
      </c>
      <c r="M4331" s="8" t="s">
        <v>25705</v>
      </c>
      <c r="N4331" s="8" t="s">
        <v>413</v>
      </c>
      <c r="O4331" s="8" t="s">
        <v>1141</v>
      </c>
      <c r="P4331" s="6" t="s">
        <v>43</v>
      </c>
      <c r="Q4331" s="8" t="s">
        <v>102</v>
      </c>
      <c r="R4331" s="10" t="s">
        <v>5191</v>
      </c>
      <c r="S4331" s="11" t="s">
        <v>25706</v>
      </c>
      <c r="T4331" s="6"/>
      <c r="U4331" s="24" t="str">
        <f>HYPERLINK("https://media.infra-m.ru/2185/2185901/cover/2185901.jpg", "Обложка")</f>
        <v>Обложка</v>
      </c>
      <c r="V4331" s="24" t="str">
        <f>HYPERLINK("https://znanium.ru/catalog/product/1362444", "Ознакомиться")</f>
        <v>Ознакомиться</v>
      </c>
      <c r="W4331" s="8" t="s">
        <v>4343</v>
      </c>
      <c r="X4331" s="6"/>
      <c r="Y4331" s="6"/>
      <c r="Z4331" s="6"/>
      <c r="AA4331" s="6" t="s">
        <v>2414</v>
      </c>
      <c r="AB4331" s="8"/>
    </row>
    <row r="4332" spans="1:28" s="4" customFormat="1" ht="51.95" customHeight="1">
      <c r="A4332" s="5">
        <v>0</v>
      </c>
      <c r="B4332" s="6" t="s">
        <v>25707</v>
      </c>
      <c r="C4332" s="13">
        <v>1994</v>
      </c>
      <c r="D4332" s="8" t="s">
        <v>25708</v>
      </c>
      <c r="E4332" s="8" t="s">
        <v>25709</v>
      </c>
      <c r="F4332" s="8" t="s">
        <v>25710</v>
      </c>
      <c r="G4332" s="6" t="s">
        <v>52</v>
      </c>
      <c r="H4332" s="6" t="s">
        <v>674</v>
      </c>
      <c r="I4332" s="8"/>
      <c r="J4332" s="9">
        <v>1</v>
      </c>
      <c r="K4332" s="9">
        <v>432</v>
      </c>
      <c r="L4332" s="9">
        <v>2023</v>
      </c>
      <c r="M4332" s="8" t="s">
        <v>25711</v>
      </c>
      <c r="N4332" s="8" t="s">
        <v>41</v>
      </c>
      <c r="O4332" s="8" t="s">
        <v>1007</v>
      </c>
      <c r="P4332" s="6" t="s">
        <v>43</v>
      </c>
      <c r="Q4332" s="8" t="s">
        <v>44</v>
      </c>
      <c r="R4332" s="10" t="s">
        <v>9599</v>
      </c>
      <c r="S4332" s="11"/>
      <c r="T4332" s="6"/>
      <c r="U4332" s="24" t="str">
        <f>HYPERLINK("https://media.infra-m.ru/2053/2053238/cover/2053238.jpg", "Обложка")</f>
        <v>Обложка</v>
      </c>
      <c r="V4332" s="24" t="str">
        <f>HYPERLINK("https://znanium.ru/catalog/product/2053238", "Ознакомиться")</f>
        <v>Ознакомиться</v>
      </c>
      <c r="W4332" s="8" t="s">
        <v>947</v>
      </c>
      <c r="X4332" s="6"/>
      <c r="Y4332" s="6"/>
      <c r="Z4332" s="6"/>
      <c r="AA4332" s="6" t="s">
        <v>25712</v>
      </c>
      <c r="AB4332" s="8"/>
    </row>
    <row r="4333" spans="1:28" s="4" customFormat="1" ht="42" customHeight="1">
      <c r="A4333" s="5">
        <v>0</v>
      </c>
      <c r="B4333" s="6" t="s">
        <v>25713</v>
      </c>
      <c r="C4333" s="7">
        <v>664.9</v>
      </c>
      <c r="D4333" s="8" t="s">
        <v>25714</v>
      </c>
      <c r="E4333" s="8" t="s">
        <v>25715</v>
      </c>
      <c r="F4333" s="8" t="s">
        <v>25716</v>
      </c>
      <c r="G4333" s="6" t="s">
        <v>38</v>
      </c>
      <c r="H4333" s="6" t="s">
        <v>39</v>
      </c>
      <c r="I4333" s="8" t="s">
        <v>116</v>
      </c>
      <c r="J4333" s="9">
        <v>1</v>
      </c>
      <c r="K4333" s="9">
        <v>112</v>
      </c>
      <c r="L4333" s="9">
        <v>2023</v>
      </c>
      <c r="M4333" s="8" t="s">
        <v>25717</v>
      </c>
      <c r="N4333" s="8" t="s">
        <v>79</v>
      </c>
      <c r="O4333" s="8" t="s">
        <v>148</v>
      </c>
      <c r="P4333" s="6" t="s">
        <v>43</v>
      </c>
      <c r="Q4333" s="8" t="s">
        <v>44</v>
      </c>
      <c r="R4333" s="10" t="s">
        <v>25718</v>
      </c>
      <c r="S4333" s="11"/>
      <c r="T4333" s="6"/>
      <c r="U4333" s="24" t="str">
        <f>HYPERLINK("https://media.infra-m.ru/1911/1911789/cover/1911789.jpg", "Обложка")</f>
        <v>Обложка</v>
      </c>
      <c r="V4333" s="24" t="str">
        <f>HYPERLINK("https://znanium.ru/catalog/product/1000138", "Ознакомиться")</f>
        <v>Ознакомиться</v>
      </c>
      <c r="W4333" s="8" t="s">
        <v>1563</v>
      </c>
      <c r="X4333" s="6"/>
      <c r="Y4333" s="6"/>
      <c r="Z4333" s="6"/>
      <c r="AA4333" s="6" t="s">
        <v>111</v>
      </c>
      <c r="AB4333" s="8"/>
    </row>
    <row r="4334" spans="1:28" s="4" customFormat="1" ht="51.95" customHeight="1">
      <c r="A4334" s="5">
        <v>0</v>
      </c>
      <c r="B4334" s="6" t="s">
        <v>25719</v>
      </c>
      <c r="C4334" s="13">
        <v>2500</v>
      </c>
      <c r="D4334" s="8" t="s">
        <v>25720</v>
      </c>
      <c r="E4334" s="8" t="s">
        <v>25715</v>
      </c>
      <c r="F4334" s="8" t="s">
        <v>25721</v>
      </c>
      <c r="G4334" s="6" t="s">
        <v>52</v>
      </c>
      <c r="H4334" s="6" t="s">
        <v>53</v>
      </c>
      <c r="I4334" s="8" t="s">
        <v>212</v>
      </c>
      <c r="J4334" s="9">
        <v>1</v>
      </c>
      <c r="K4334" s="9">
        <v>546</v>
      </c>
      <c r="L4334" s="9">
        <v>2023</v>
      </c>
      <c r="M4334" s="8" t="s">
        <v>25722</v>
      </c>
      <c r="N4334" s="8" t="s">
        <v>79</v>
      </c>
      <c r="O4334" s="8" t="s">
        <v>148</v>
      </c>
      <c r="P4334" s="6" t="s">
        <v>43</v>
      </c>
      <c r="Q4334" s="8" t="s">
        <v>214</v>
      </c>
      <c r="R4334" s="10" t="s">
        <v>25723</v>
      </c>
      <c r="S4334" s="11" t="s">
        <v>25724</v>
      </c>
      <c r="T4334" s="6"/>
      <c r="U4334" s="24" t="str">
        <f>HYPERLINK("https://media.infra-m.ru/2127/2127135/cover/2127135.jpg", "Обложка")</f>
        <v>Обложка</v>
      </c>
      <c r="V4334" s="24" t="str">
        <f>HYPERLINK("https://znanium.ru/catalog/product/2127135", "Ознакомиться")</f>
        <v>Ознакомиться</v>
      </c>
      <c r="W4334" s="8" t="s">
        <v>8022</v>
      </c>
      <c r="X4334" s="6"/>
      <c r="Y4334" s="6"/>
      <c r="Z4334" s="6"/>
      <c r="AA4334" s="6" t="s">
        <v>793</v>
      </c>
      <c r="AB4334" s="8"/>
    </row>
    <row r="4335" spans="1:28" s="4" customFormat="1" ht="51.95" customHeight="1">
      <c r="A4335" s="5">
        <v>0</v>
      </c>
      <c r="B4335" s="6" t="s">
        <v>25725</v>
      </c>
      <c r="C4335" s="7">
        <v>724</v>
      </c>
      <c r="D4335" s="8" t="s">
        <v>25726</v>
      </c>
      <c r="E4335" s="8" t="s">
        <v>25727</v>
      </c>
      <c r="F4335" s="8" t="s">
        <v>25728</v>
      </c>
      <c r="G4335" s="6" t="s">
        <v>89</v>
      </c>
      <c r="H4335" s="6" t="s">
        <v>53</v>
      </c>
      <c r="I4335" s="8" t="s">
        <v>100</v>
      </c>
      <c r="J4335" s="9">
        <v>1</v>
      </c>
      <c r="K4335" s="9">
        <v>143</v>
      </c>
      <c r="L4335" s="9">
        <v>2025</v>
      </c>
      <c r="M4335" s="8" t="s">
        <v>25729</v>
      </c>
      <c r="N4335" s="8" t="s">
        <v>79</v>
      </c>
      <c r="O4335" s="8" t="s">
        <v>424</v>
      </c>
      <c r="P4335" s="6" t="s">
        <v>43</v>
      </c>
      <c r="Q4335" s="8" t="s">
        <v>102</v>
      </c>
      <c r="R4335" s="10" t="s">
        <v>25730</v>
      </c>
      <c r="S4335" s="11" t="s">
        <v>25731</v>
      </c>
      <c r="T4335" s="6"/>
      <c r="U4335" s="24" t="str">
        <f>HYPERLINK("https://media.infra-m.ru/2192/2192683/cover/2192683.jpg", "Обложка")</f>
        <v>Обложка</v>
      </c>
      <c r="V4335" s="24" t="str">
        <f>HYPERLINK("https://znanium.ru/catalog/product/2185527", "Ознакомиться")</f>
        <v>Ознакомиться</v>
      </c>
      <c r="W4335" s="8" t="s">
        <v>71</v>
      </c>
      <c r="X4335" s="6"/>
      <c r="Y4335" s="6"/>
      <c r="Z4335" s="6"/>
      <c r="AA4335" s="6" t="s">
        <v>3065</v>
      </c>
      <c r="AB4335" s="8"/>
    </row>
    <row r="4336" spans="1:28" s="4" customFormat="1" ht="51.95" customHeight="1">
      <c r="A4336" s="5">
        <v>0</v>
      </c>
      <c r="B4336" s="6" t="s">
        <v>25732</v>
      </c>
      <c r="C4336" s="13">
        <v>1230</v>
      </c>
      <c r="D4336" s="8" t="s">
        <v>25733</v>
      </c>
      <c r="E4336" s="8" t="s">
        <v>25734</v>
      </c>
      <c r="F4336" s="8" t="s">
        <v>25735</v>
      </c>
      <c r="G4336" s="6" t="s">
        <v>52</v>
      </c>
      <c r="H4336" s="6" t="s">
        <v>53</v>
      </c>
      <c r="I4336" s="8" t="s">
        <v>116</v>
      </c>
      <c r="J4336" s="9">
        <v>1</v>
      </c>
      <c r="K4336" s="9">
        <v>238</v>
      </c>
      <c r="L4336" s="9">
        <v>2024</v>
      </c>
      <c r="M4336" s="8" t="s">
        <v>25736</v>
      </c>
      <c r="N4336" s="8" t="s">
        <v>413</v>
      </c>
      <c r="O4336" s="8" t="s">
        <v>1528</v>
      </c>
      <c r="P4336" s="6" t="s">
        <v>43</v>
      </c>
      <c r="Q4336" s="8" t="s">
        <v>58</v>
      </c>
      <c r="R4336" s="10" t="s">
        <v>25737</v>
      </c>
      <c r="S4336" s="11" t="s">
        <v>25738</v>
      </c>
      <c r="T4336" s="6"/>
      <c r="U4336" s="24" t="str">
        <f>HYPERLINK("https://media.infra-m.ru/2063/2063439/cover/2063439.jpg", "Обложка")</f>
        <v>Обложка</v>
      </c>
      <c r="V4336" s="24" t="str">
        <f>HYPERLINK("https://znanium.ru/catalog/product/2063439", "Ознакомиться")</f>
        <v>Ознакомиться</v>
      </c>
      <c r="W4336" s="8" t="s">
        <v>637</v>
      </c>
      <c r="X4336" s="6"/>
      <c r="Y4336" s="6"/>
      <c r="Z4336" s="6"/>
      <c r="AA4336" s="6" t="s">
        <v>133</v>
      </c>
      <c r="AB4336" s="8"/>
    </row>
    <row r="4337" spans="1:28" s="4" customFormat="1" ht="51.95" customHeight="1">
      <c r="A4337" s="5">
        <v>0</v>
      </c>
      <c r="B4337" s="6" t="s">
        <v>25739</v>
      </c>
      <c r="C4337" s="7">
        <v>710</v>
      </c>
      <c r="D4337" s="8" t="s">
        <v>25740</v>
      </c>
      <c r="E4337" s="8" t="s">
        <v>25741</v>
      </c>
      <c r="F4337" s="8" t="s">
        <v>25742</v>
      </c>
      <c r="G4337" s="6" t="s">
        <v>89</v>
      </c>
      <c r="H4337" s="6" t="s">
        <v>53</v>
      </c>
      <c r="I4337" s="8" t="s">
        <v>4855</v>
      </c>
      <c r="J4337" s="9">
        <v>1</v>
      </c>
      <c r="K4337" s="9">
        <v>220</v>
      </c>
      <c r="L4337" s="9">
        <v>2019</v>
      </c>
      <c r="M4337" s="8" t="s">
        <v>25743</v>
      </c>
      <c r="N4337" s="8" t="s">
        <v>413</v>
      </c>
      <c r="O4337" s="8" t="s">
        <v>1141</v>
      </c>
      <c r="P4337" s="6" t="s">
        <v>43</v>
      </c>
      <c r="Q4337" s="8" t="s">
        <v>44</v>
      </c>
      <c r="R4337" s="10"/>
      <c r="S4337" s="11" t="s">
        <v>25744</v>
      </c>
      <c r="T4337" s="6"/>
      <c r="U4337" s="24" t="str">
        <f>HYPERLINK("https://media.infra-m.ru/1018/1018911/cover/1018911.jpg", "Обложка")</f>
        <v>Обложка</v>
      </c>
      <c r="V4337" s="12"/>
      <c r="W4337" s="8" t="s">
        <v>784</v>
      </c>
      <c r="X4337" s="6"/>
      <c r="Y4337" s="6"/>
      <c r="Z4337" s="6"/>
      <c r="AA4337" s="6" t="s">
        <v>326</v>
      </c>
      <c r="AB4337" s="8"/>
    </row>
    <row r="4338" spans="1:28" s="4" customFormat="1" ht="51.95" customHeight="1">
      <c r="A4338" s="5">
        <v>0</v>
      </c>
      <c r="B4338" s="6" t="s">
        <v>25745</v>
      </c>
      <c r="C4338" s="7">
        <v>750</v>
      </c>
      <c r="D4338" s="8" t="s">
        <v>25746</v>
      </c>
      <c r="E4338" s="8" t="s">
        <v>25747</v>
      </c>
      <c r="F4338" s="8" t="s">
        <v>25748</v>
      </c>
      <c r="G4338" s="6" t="s">
        <v>52</v>
      </c>
      <c r="H4338" s="6" t="s">
        <v>53</v>
      </c>
      <c r="I4338" s="8" t="s">
        <v>4855</v>
      </c>
      <c r="J4338" s="9">
        <v>1</v>
      </c>
      <c r="K4338" s="9">
        <v>146</v>
      </c>
      <c r="L4338" s="9">
        <v>2023</v>
      </c>
      <c r="M4338" s="8" t="s">
        <v>25749</v>
      </c>
      <c r="N4338" s="8" t="s">
        <v>79</v>
      </c>
      <c r="O4338" s="8" t="s">
        <v>396</v>
      </c>
      <c r="P4338" s="6" t="s">
        <v>43</v>
      </c>
      <c r="Q4338" s="8" t="s">
        <v>44</v>
      </c>
      <c r="R4338" s="10" t="s">
        <v>25750</v>
      </c>
      <c r="S4338" s="11" t="s">
        <v>25751</v>
      </c>
      <c r="T4338" s="6"/>
      <c r="U4338" s="24" t="str">
        <f>HYPERLINK("https://media.infra-m.ru/1910/1910888/cover/1910888.jpg", "Обложка")</f>
        <v>Обложка</v>
      </c>
      <c r="V4338" s="12"/>
      <c r="W4338" s="8" t="s">
        <v>71</v>
      </c>
      <c r="X4338" s="6"/>
      <c r="Y4338" s="6"/>
      <c r="Z4338" s="6"/>
      <c r="AA4338" s="6" t="s">
        <v>207</v>
      </c>
      <c r="AB4338" s="8"/>
    </row>
    <row r="4339" spans="1:28" s="4" customFormat="1" ht="51.95" customHeight="1">
      <c r="A4339" s="5">
        <v>0</v>
      </c>
      <c r="B4339" s="6" t="s">
        <v>25752</v>
      </c>
      <c r="C4339" s="13">
        <v>1550</v>
      </c>
      <c r="D4339" s="8" t="s">
        <v>25753</v>
      </c>
      <c r="E4339" s="8" t="s">
        <v>25754</v>
      </c>
      <c r="F4339" s="8" t="s">
        <v>25755</v>
      </c>
      <c r="G4339" s="6" t="s">
        <v>89</v>
      </c>
      <c r="H4339" s="6" t="s">
        <v>1738</v>
      </c>
      <c r="I4339" s="8" t="s">
        <v>1171</v>
      </c>
      <c r="J4339" s="9">
        <v>1</v>
      </c>
      <c r="K4339" s="9">
        <v>336</v>
      </c>
      <c r="L4339" s="9">
        <v>2024</v>
      </c>
      <c r="M4339" s="8" t="s">
        <v>25756</v>
      </c>
      <c r="N4339" s="8" t="s">
        <v>79</v>
      </c>
      <c r="O4339" s="8" t="s">
        <v>396</v>
      </c>
      <c r="P4339" s="6" t="s">
        <v>43</v>
      </c>
      <c r="Q4339" s="8" t="s">
        <v>44</v>
      </c>
      <c r="R4339" s="10" t="s">
        <v>13210</v>
      </c>
      <c r="S4339" s="11" t="s">
        <v>25757</v>
      </c>
      <c r="T4339" s="6" t="s">
        <v>299</v>
      </c>
      <c r="U4339" s="24" t="str">
        <f>HYPERLINK("https://media.infra-m.ru/2087/2087265/cover/2087265.jpg", "Обложка")</f>
        <v>Обложка</v>
      </c>
      <c r="V4339" s="24" t="str">
        <f>HYPERLINK("https://znanium.ru/catalog/product/2087265", "Ознакомиться")</f>
        <v>Ознакомиться</v>
      </c>
      <c r="W4339" s="8" t="s">
        <v>1514</v>
      </c>
      <c r="X4339" s="6"/>
      <c r="Y4339" s="6"/>
      <c r="Z4339" s="6"/>
      <c r="AA4339" s="6" t="s">
        <v>84</v>
      </c>
      <c r="AB4339" s="8"/>
    </row>
    <row r="4340" spans="1:28" s="4" customFormat="1" ht="51.95" customHeight="1">
      <c r="A4340" s="5">
        <v>0</v>
      </c>
      <c r="B4340" s="6" t="s">
        <v>25758</v>
      </c>
      <c r="C4340" s="13">
        <v>1997</v>
      </c>
      <c r="D4340" s="8" t="s">
        <v>25759</v>
      </c>
      <c r="E4340" s="8" t="s">
        <v>25760</v>
      </c>
      <c r="F4340" s="8" t="s">
        <v>25761</v>
      </c>
      <c r="G4340" s="6" t="s">
        <v>89</v>
      </c>
      <c r="H4340" s="6" t="s">
        <v>53</v>
      </c>
      <c r="I4340" s="8" t="s">
        <v>100</v>
      </c>
      <c r="J4340" s="9">
        <v>1</v>
      </c>
      <c r="K4340" s="9">
        <v>309</v>
      </c>
      <c r="L4340" s="9">
        <v>2025</v>
      </c>
      <c r="M4340" s="8" t="s">
        <v>25762</v>
      </c>
      <c r="N4340" s="8" t="s">
        <v>79</v>
      </c>
      <c r="O4340" s="8" t="s">
        <v>396</v>
      </c>
      <c r="P4340" s="6" t="s">
        <v>43</v>
      </c>
      <c r="Q4340" s="8" t="s">
        <v>102</v>
      </c>
      <c r="R4340" s="10" t="s">
        <v>25763</v>
      </c>
      <c r="S4340" s="11" t="s">
        <v>25764</v>
      </c>
      <c r="T4340" s="6"/>
      <c r="U4340" s="24" t="str">
        <f>HYPERLINK("https://media.infra-m.ru/2168/2168381/cover/2168381.jpg", "Обложка")</f>
        <v>Обложка</v>
      </c>
      <c r="V4340" s="24" t="str">
        <f>HYPERLINK("https://znanium.ru/catalog/product/1895656", "Ознакомиться")</f>
        <v>Ознакомиться</v>
      </c>
      <c r="W4340" s="8" t="s">
        <v>3577</v>
      </c>
      <c r="X4340" s="6"/>
      <c r="Y4340" s="6"/>
      <c r="Z4340" s="6" t="s">
        <v>104</v>
      </c>
      <c r="AA4340" s="6" t="s">
        <v>219</v>
      </c>
      <c r="AB4340" s="8"/>
    </row>
    <row r="4341" spans="1:28" s="4" customFormat="1" ht="51.95" customHeight="1">
      <c r="A4341" s="5">
        <v>0</v>
      </c>
      <c r="B4341" s="6" t="s">
        <v>25765</v>
      </c>
      <c r="C4341" s="13">
        <v>2012</v>
      </c>
      <c r="D4341" s="8" t="s">
        <v>25766</v>
      </c>
      <c r="E4341" s="8" t="s">
        <v>25760</v>
      </c>
      <c r="F4341" s="8" t="s">
        <v>25761</v>
      </c>
      <c r="G4341" s="6" t="s">
        <v>89</v>
      </c>
      <c r="H4341" s="6" t="s">
        <v>53</v>
      </c>
      <c r="I4341" s="8" t="s">
        <v>20562</v>
      </c>
      <c r="J4341" s="9">
        <v>1</v>
      </c>
      <c r="K4341" s="9">
        <v>309</v>
      </c>
      <c r="L4341" s="9">
        <v>2025</v>
      </c>
      <c r="M4341" s="8" t="s">
        <v>25767</v>
      </c>
      <c r="N4341" s="8" t="s">
        <v>79</v>
      </c>
      <c r="O4341" s="8" t="s">
        <v>396</v>
      </c>
      <c r="P4341" s="6" t="s">
        <v>43</v>
      </c>
      <c r="Q4341" s="8" t="s">
        <v>44</v>
      </c>
      <c r="R4341" s="10" t="s">
        <v>4857</v>
      </c>
      <c r="S4341" s="11" t="s">
        <v>25768</v>
      </c>
      <c r="T4341" s="6"/>
      <c r="U4341" s="24" t="str">
        <f>HYPERLINK("https://media.infra-m.ru/2162/2162477/cover/2162477.jpg", "Обложка")</f>
        <v>Обложка</v>
      </c>
      <c r="V4341" s="24" t="str">
        <f>HYPERLINK("https://znanium.ru/catalog/product/1908797", "Ознакомиться")</f>
        <v>Ознакомиться</v>
      </c>
      <c r="W4341" s="8" t="s">
        <v>3577</v>
      </c>
      <c r="X4341" s="6"/>
      <c r="Y4341" s="6"/>
      <c r="Z4341" s="6"/>
      <c r="AA4341" s="6" t="s">
        <v>793</v>
      </c>
      <c r="AB4341" s="8"/>
    </row>
    <row r="4342" spans="1:28" s="4" customFormat="1" ht="51.95" customHeight="1">
      <c r="A4342" s="5">
        <v>0</v>
      </c>
      <c r="B4342" s="6" t="s">
        <v>25769</v>
      </c>
      <c r="C4342" s="13">
        <v>2634</v>
      </c>
      <c r="D4342" s="8" t="s">
        <v>25770</v>
      </c>
      <c r="E4342" s="8" t="s">
        <v>25771</v>
      </c>
      <c r="F4342" s="8" t="s">
        <v>25772</v>
      </c>
      <c r="G4342" s="6" t="s">
        <v>89</v>
      </c>
      <c r="H4342" s="6" t="s">
        <v>952</v>
      </c>
      <c r="I4342" s="8" t="s">
        <v>2699</v>
      </c>
      <c r="J4342" s="9">
        <v>1</v>
      </c>
      <c r="K4342" s="9">
        <v>560</v>
      </c>
      <c r="L4342" s="9">
        <v>2024</v>
      </c>
      <c r="M4342" s="8" t="s">
        <v>25773</v>
      </c>
      <c r="N4342" s="8" t="s">
        <v>41</v>
      </c>
      <c r="O4342" s="8" t="s">
        <v>1007</v>
      </c>
      <c r="P4342" s="6" t="s">
        <v>43</v>
      </c>
      <c r="Q4342" s="8" t="s">
        <v>279</v>
      </c>
      <c r="R4342" s="10" t="s">
        <v>15309</v>
      </c>
      <c r="S4342" s="11"/>
      <c r="T4342" s="6"/>
      <c r="U4342" s="24" t="str">
        <f>HYPERLINK("https://media.infra-m.ru/2135/2135043/cover/2135043.jpg", "Обложка")</f>
        <v>Обложка</v>
      </c>
      <c r="V4342" s="24" t="str">
        <f>HYPERLINK("https://znanium.ru/catalog/product/2135043", "Ознакомиться")</f>
        <v>Ознакомиться</v>
      </c>
      <c r="W4342" s="8" t="s">
        <v>3282</v>
      </c>
      <c r="X4342" s="6"/>
      <c r="Y4342" s="6"/>
      <c r="Z4342" s="6"/>
      <c r="AA4342" s="6" t="s">
        <v>47</v>
      </c>
      <c r="AB4342" s="8"/>
    </row>
    <row r="4343" spans="1:28" s="4" customFormat="1" ht="51.95" customHeight="1">
      <c r="A4343" s="5">
        <v>0</v>
      </c>
      <c r="B4343" s="6" t="s">
        <v>25774</v>
      </c>
      <c r="C4343" s="7">
        <v>874</v>
      </c>
      <c r="D4343" s="8" t="s">
        <v>25775</v>
      </c>
      <c r="E4343" s="8" t="s">
        <v>25776</v>
      </c>
      <c r="F4343" s="8" t="s">
        <v>25777</v>
      </c>
      <c r="G4343" s="6" t="s">
        <v>38</v>
      </c>
      <c r="H4343" s="6" t="s">
        <v>53</v>
      </c>
      <c r="I4343" s="8" t="s">
        <v>90</v>
      </c>
      <c r="J4343" s="9">
        <v>1</v>
      </c>
      <c r="K4343" s="9">
        <v>190</v>
      </c>
      <c r="L4343" s="9">
        <v>2024</v>
      </c>
      <c r="M4343" s="8" t="s">
        <v>25778</v>
      </c>
      <c r="N4343" s="8" t="s">
        <v>41</v>
      </c>
      <c r="O4343" s="8" t="s">
        <v>278</v>
      </c>
      <c r="P4343" s="6" t="s">
        <v>43</v>
      </c>
      <c r="Q4343" s="8" t="s">
        <v>44</v>
      </c>
      <c r="R4343" s="10" t="s">
        <v>25779</v>
      </c>
      <c r="S4343" s="11" t="s">
        <v>25780</v>
      </c>
      <c r="T4343" s="6"/>
      <c r="U4343" s="24" t="str">
        <f>HYPERLINK("https://media.infra-m.ru/2091/2091918/cover/2091918.jpg", "Обложка")</f>
        <v>Обложка</v>
      </c>
      <c r="V4343" s="24" t="str">
        <f>HYPERLINK("https://znanium.ru/catalog/product/2091918", "Ознакомиться")</f>
        <v>Ознакомиться</v>
      </c>
      <c r="W4343" s="8" t="s">
        <v>1076</v>
      </c>
      <c r="X4343" s="6"/>
      <c r="Y4343" s="6"/>
      <c r="Z4343" s="6"/>
      <c r="AA4343" s="6" t="s">
        <v>84</v>
      </c>
      <c r="AB4343" s="8"/>
    </row>
    <row r="4344" spans="1:28" s="4" customFormat="1" ht="44.1" customHeight="1">
      <c r="A4344" s="5">
        <v>0</v>
      </c>
      <c r="B4344" s="6" t="s">
        <v>25781</v>
      </c>
      <c r="C4344" s="13">
        <v>1190</v>
      </c>
      <c r="D4344" s="8" t="s">
        <v>25782</v>
      </c>
      <c r="E4344" s="8" t="s">
        <v>25783</v>
      </c>
      <c r="F4344" s="8" t="s">
        <v>3111</v>
      </c>
      <c r="G4344" s="6" t="s">
        <v>52</v>
      </c>
      <c r="H4344" s="6" t="s">
        <v>53</v>
      </c>
      <c r="I4344" s="8" t="s">
        <v>116</v>
      </c>
      <c r="J4344" s="9">
        <v>1</v>
      </c>
      <c r="K4344" s="9">
        <v>245</v>
      </c>
      <c r="L4344" s="9">
        <v>2024</v>
      </c>
      <c r="M4344" s="8" t="s">
        <v>25784</v>
      </c>
      <c r="N4344" s="8" t="s">
        <v>79</v>
      </c>
      <c r="O4344" s="8" t="s">
        <v>684</v>
      </c>
      <c r="P4344" s="6" t="s">
        <v>43</v>
      </c>
      <c r="Q4344" s="8" t="s">
        <v>44</v>
      </c>
      <c r="R4344" s="10" t="s">
        <v>25785</v>
      </c>
      <c r="S4344" s="11"/>
      <c r="T4344" s="6"/>
      <c r="U4344" s="24" t="str">
        <f>HYPERLINK("https://media.infra-m.ru/1907/1907722/cover/1907722.jpg", "Обложка")</f>
        <v>Обложка</v>
      </c>
      <c r="V4344" s="24" t="str">
        <f>HYPERLINK("https://znanium.ru/catalog/product/1907722", "Ознакомиться")</f>
        <v>Ознакомиться</v>
      </c>
      <c r="W4344" s="8" t="s">
        <v>637</v>
      </c>
      <c r="X4344" s="6"/>
      <c r="Y4344" s="6"/>
      <c r="Z4344" s="6"/>
      <c r="AA4344" s="6" t="s">
        <v>133</v>
      </c>
      <c r="AB4344" s="8" t="s">
        <v>7988</v>
      </c>
    </row>
    <row r="4345" spans="1:28" s="4" customFormat="1" ht="51.95" customHeight="1">
      <c r="A4345" s="5">
        <v>0</v>
      </c>
      <c r="B4345" s="6" t="s">
        <v>25786</v>
      </c>
      <c r="C4345" s="13">
        <v>1560</v>
      </c>
      <c r="D4345" s="8" t="s">
        <v>25787</v>
      </c>
      <c r="E4345" s="8" t="s">
        <v>25788</v>
      </c>
      <c r="F4345" s="8" t="s">
        <v>25789</v>
      </c>
      <c r="G4345" s="6" t="s">
        <v>52</v>
      </c>
      <c r="H4345" s="6" t="s">
        <v>53</v>
      </c>
      <c r="I4345" s="8" t="s">
        <v>712</v>
      </c>
      <c r="J4345" s="9">
        <v>1</v>
      </c>
      <c r="K4345" s="9">
        <v>330</v>
      </c>
      <c r="L4345" s="9">
        <v>2024</v>
      </c>
      <c r="M4345" s="8" t="s">
        <v>25790</v>
      </c>
      <c r="N4345" s="8" t="s">
        <v>79</v>
      </c>
      <c r="O4345" s="8" t="s">
        <v>684</v>
      </c>
      <c r="P4345" s="6" t="s">
        <v>43</v>
      </c>
      <c r="Q4345" s="8" t="s">
        <v>58</v>
      </c>
      <c r="R4345" s="10" t="s">
        <v>25791</v>
      </c>
      <c r="S4345" s="11" t="s">
        <v>25792</v>
      </c>
      <c r="T4345" s="6"/>
      <c r="U4345" s="24" t="str">
        <f>HYPERLINK("https://media.infra-m.ru/2098/2098995/cover/2098995.jpg", "Обложка")</f>
        <v>Обложка</v>
      </c>
      <c r="V4345" s="24" t="str">
        <f>HYPERLINK("https://znanium.ru/catalog/product/2098995", "Ознакомиться")</f>
        <v>Ознакомиться</v>
      </c>
      <c r="W4345" s="8" t="s">
        <v>716</v>
      </c>
      <c r="X4345" s="6"/>
      <c r="Y4345" s="6"/>
      <c r="Z4345" s="6"/>
      <c r="AA4345" s="6" t="s">
        <v>133</v>
      </c>
      <c r="AB4345" s="8"/>
    </row>
    <row r="4346" spans="1:28" s="4" customFormat="1" ht="42" customHeight="1">
      <c r="A4346" s="5">
        <v>0</v>
      </c>
      <c r="B4346" s="6" t="s">
        <v>25793</v>
      </c>
      <c r="C4346" s="7">
        <v>770</v>
      </c>
      <c r="D4346" s="8" t="s">
        <v>25794</v>
      </c>
      <c r="E4346" s="8" t="s">
        <v>25795</v>
      </c>
      <c r="F4346" s="8" t="s">
        <v>25796</v>
      </c>
      <c r="G4346" s="6" t="s">
        <v>52</v>
      </c>
      <c r="H4346" s="6" t="s">
        <v>53</v>
      </c>
      <c r="I4346" s="8" t="s">
        <v>782</v>
      </c>
      <c r="J4346" s="9">
        <v>1</v>
      </c>
      <c r="K4346" s="9">
        <v>152</v>
      </c>
      <c r="L4346" s="9">
        <v>2024</v>
      </c>
      <c r="M4346" s="8" t="s">
        <v>25797</v>
      </c>
      <c r="N4346" s="8" t="s">
        <v>79</v>
      </c>
      <c r="O4346" s="8" t="s">
        <v>684</v>
      </c>
      <c r="P4346" s="6" t="s">
        <v>43</v>
      </c>
      <c r="Q4346" s="8" t="s">
        <v>44</v>
      </c>
      <c r="R4346" s="10" t="s">
        <v>4616</v>
      </c>
      <c r="S4346" s="11"/>
      <c r="T4346" s="6"/>
      <c r="U4346" s="24" t="str">
        <f>HYPERLINK("https://media.infra-m.ru/2125/2125175/cover/2125175.jpg", "Обложка")</f>
        <v>Обложка</v>
      </c>
      <c r="V4346" s="12"/>
      <c r="W4346" s="8" t="s">
        <v>784</v>
      </c>
      <c r="X4346" s="6"/>
      <c r="Y4346" s="6"/>
      <c r="Z4346" s="6"/>
      <c r="AA4346" s="6" t="s">
        <v>133</v>
      </c>
      <c r="AB4346" s="8"/>
    </row>
    <row r="4347" spans="1:28" s="4" customFormat="1" ht="51.95" customHeight="1">
      <c r="A4347" s="5">
        <v>0</v>
      </c>
      <c r="B4347" s="6" t="s">
        <v>25798</v>
      </c>
      <c r="C4347" s="13">
        <v>1454</v>
      </c>
      <c r="D4347" s="8" t="s">
        <v>25799</v>
      </c>
      <c r="E4347" s="8" t="s">
        <v>25800</v>
      </c>
      <c r="F4347" s="8" t="s">
        <v>25801</v>
      </c>
      <c r="G4347" s="6" t="s">
        <v>52</v>
      </c>
      <c r="H4347" s="6" t="s">
        <v>53</v>
      </c>
      <c r="I4347" s="8" t="s">
        <v>90</v>
      </c>
      <c r="J4347" s="9">
        <v>1</v>
      </c>
      <c r="K4347" s="9">
        <v>280</v>
      </c>
      <c r="L4347" s="9">
        <v>2025</v>
      </c>
      <c r="M4347" s="8" t="s">
        <v>25802</v>
      </c>
      <c r="N4347" s="8" t="s">
        <v>79</v>
      </c>
      <c r="O4347" s="8" t="s">
        <v>684</v>
      </c>
      <c r="P4347" s="6" t="s">
        <v>43</v>
      </c>
      <c r="Q4347" s="8" t="s">
        <v>44</v>
      </c>
      <c r="R4347" s="10" t="s">
        <v>5343</v>
      </c>
      <c r="S4347" s="11" t="s">
        <v>25803</v>
      </c>
      <c r="T4347" s="6"/>
      <c r="U4347" s="24" t="str">
        <f>HYPERLINK("https://media.infra-m.ru/2162/2162891/cover/2162891.jpg", "Обложка")</f>
        <v>Обложка</v>
      </c>
      <c r="V4347" s="24" t="str">
        <f>HYPERLINK("https://znanium.ru/catalog/product/2159763", "Ознакомиться")</f>
        <v>Ознакомиться</v>
      </c>
      <c r="W4347" s="8" t="s">
        <v>159</v>
      </c>
      <c r="X4347" s="6"/>
      <c r="Y4347" s="6"/>
      <c r="Z4347" s="6"/>
      <c r="AA4347" s="6" t="s">
        <v>111</v>
      </c>
      <c r="AB4347" s="8"/>
    </row>
    <row r="4348" spans="1:28" s="4" customFormat="1" ht="51.95" customHeight="1">
      <c r="A4348" s="5">
        <v>0</v>
      </c>
      <c r="B4348" s="6" t="s">
        <v>25804</v>
      </c>
      <c r="C4348" s="13">
        <v>1030</v>
      </c>
      <c r="D4348" s="8" t="s">
        <v>25805</v>
      </c>
      <c r="E4348" s="8" t="s">
        <v>25806</v>
      </c>
      <c r="F4348" s="8" t="s">
        <v>25807</v>
      </c>
      <c r="G4348" s="6" t="s">
        <v>89</v>
      </c>
      <c r="H4348" s="6" t="s">
        <v>53</v>
      </c>
      <c r="I4348" s="8" t="s">
        <v>100</v>
      </c>
      <c r="J4348" s="9">
        <v>1</v>
      </c>
      <c r="K4348" s="9">
        <v>197</v>
      </c>
      <c r="L4348" s="9">
        <v>2025</v>
      </c>
      <c r="M4348" s="8" t="s">
        <v>25808</v>
      </c>
      <c r="N4348" s="8" t="s">
        <v>997</v>
      </c>
      <c r="O4348" s="8" t="s">
        <v>998</v>
      </c>
      <c r="P4348" s="6" t="s">
        <v>167</v>
      </c>
      <c r="Q4348" s="8" t="s">
        <v>102</v>
      </c>
      <c r="R4348" s="10" t="s">
        <v>25809</v>
      </c>
      <c r="S4348" s="11" t="s">
        <v>25810</v>
      </c>
      <c r="T4348" s="6"/>
      <c r="U4348" s="24" t="str">
        <f>HYPERLINK("https://media.infra-m.ru/2187/2187648/cover/2187648.jpg", "Обложка")</f>
        <v>Обложка</v>
      </c>
      <c r="V4348" s="24" t="str">
        <f>HYPERLINK("https://znanium.ru/catalog/product/2187648", "Ознакомиться")</f>
        <v>Ознакомиться</v>
      </c>
      <c r="W4348" s="8" t="s">
        <v>2514</v>
      </c>
      <c r="X4348" s="6"/>
      <c r="Y4348" s="6"/>
      <c r="Z4348" s="6"/>
      <c r="AA4348" s="6" t="s">
        <v>219</v>
      </c>
      <c r="AB4348" s="8"/>
    </row>
    <row r="4349" spans="1:28" s="4" customFormat="1" ht="42" customHeight="1">
      <c r="A4349" s="5">
        <v>0</v>
      </c>
      <c r="B4349" s="6" t="s">
        <v>25811</v>
      </c>
      <c r="C4349" s="13">
        <v>1240</v>
      </c>
      <c r="D4349" s="8" t="s">
        <v>25812</v>
      </c>
      <c r="E4349" s="8" t="s">
        <v>25813</v>
      </c>
      <c r="F4349" s="8" t="s">
        <v>25814</v>
      </c>
      <c r="G4349" s="6" t="s">
        <v>52</v>
      </c>
      <c r="H4349" s="6" t="s">
        <v>53</v>
      </c>
      <c r="I4349" s="8" t="s">
        <v>116</v>
      </c>
      <c r="J4349" s="9">
        <v>1</v>
      </c>
      <c r="K4349" s="9">
        <v>235</v>
      </c>
      <c r="L4349" s="9">
        <v>2025</v>
      </c>
      <c r="M4349" s="8" t="s">
        <v>25815</v>
      </c>
      <c r="N4349" s="8" t="s">
        <v>997</v>
      </c>
      <c r="O4349" s="8" t="s">
        <v>998</v>
      </c>
      <c r="P4349" s="6" t="s">
        <v>43</v>
      </c>
      <c r="Q4349" s="8" t="s">
        <v>44</v>
      </c>
      <c r="R4349" s="10" t="s">
        <v>1598</v>
      </c>
      <c r="S4349" s="11"/>
      <c r="T4349" s="6"/>
      <c r="U4349" s="24" t="str">
        <f>HYPERLINK("https://media.infra-m.ru/1900/1900609/cover/1900609.jpg", "Обложка")</f>
        <v>Обложка</v>
      </c>
      <c r="V4349" s="24" t="str">
        <f>HYPERLINK("https://znanium.ru/catalog/product/1900609", "Ознакомиться")</f>
        <v>Ознакомиться</v>
      </c>
      <c r="W4349" s="8" t="s">
        <v>4215</v>
      </c>
      <c r="X4349" s="6" t="s">
        <v>389</v>
      </c>
      <c r="Y4349" s="6"/>
      <c r="Z4349" s="6"/>
      <c r="AA4349" s="6" t="s">
        <v>61</v>
      </c>
      <c r="AB4349" s="8"/>
    </row>
    <row r="4350" spans="1:28" s="4" customFormat="1" ht="51.95" customHeight="1">
      <c r="A4350" s="5">
        <v>0</v>
      </c>
      <c r="B4350" s="6" t="s">
        <v>25816</v>
      </c>
      <c r="C4350" s="7">
        <v>960</v>
      </c>
      <c r="D4350" s="8" t="s">
        <v>25817</v>
      </c>
      <c r="E4350" s="8" t="s">
        <v>25818</v>
      </c>
      <c r="F4350" s="8" t="s">
        <v>25819</v>
      </c>
      <c r="G4350" s="6" t="s">
        <v>89</v>
      </c>
      <c r="H4350" s="6" t="s">
        <v>649</v>
      </c>
      <c r="I4350" s="8" t="s">
        <v>90</v>
      </c>
      <c r="J4350" s="9">
        <v>1</v>
      </c>
      <c r="K4350" s="9">
        <v>301</v>
      </c>
      <c r="L4350" s="9">
        <v>2019</v>
      </c>
      <c r="M4350" s="8" t="s">
        <v>25820</v>
      </c>
      <c r="N4350" s="8" t="s">
        <v>41</v>
      </c>
      <c r="O4350" s="8" t="s">
        <v>676</v>
      </c>
      <c r="P4350" s="6" t="s">
        <v>167</v>
      </c>
      <c r="Q4350" s="8" t="s">
        <v>44</v>
      </c>
      <c r="R4350" s="10" t="s">
        <v>13621</v>
      </c>
      <c r="S4350" s="11" t="s">
        <v>25821</v>
      </c>
      <c r="T4350" s="6"/>
      <c r="U4350" s="24" t="str">
        <f>HYPERLINK("https://media.infra-m.ru/0987/0987732/cover/987732.jpg", "Обложка")</f>
        <v>Обложка</v>
      </c>
      <c r="V4350" s="24" t="str">
        <f>HYPERLINK("https://znanium.ru/catalog/product/2061321", "Ознакомиться")</f>
        <v>Ознакомиться</v>
      </c>
      <c r="W4350" s="8" t="s">
        <v>5869</v>
      </c>
      <c r="X4350" s="6"/>
      <c r="Y4350" s="6"/>
      <c r="Z4350" s="6"/>
      <c r="AA4350" s="6" t="s">
        <v>479</v>
      </c>
      <c r="AB4350" s="8"/>
    </row>
    <row r="4351" spans="1:28" s="4" customFormat="1" ht="51.95" customHeight="1">
      <c r="A4351" s="5">
        <v>0</v>
      </c>
      <c r="B4351" s="6" t="s">
        <v>25822</v>
      </c>
      <c r="C4351" s="13">
        <v>1354.9</v>
      </c>
      <c r="D4351" s="8" t="s">
        <v>25823</v>
      </c>
      <c r="E4351" s="8" t="s">
        <v>25818</v>
      </c>
      <c r="F4351" s="8" t="s">
        <v>25819</v>
      </c>
      <c r="G4351" s="6" t="s">
        <v>89</v>
      </c>
      <c r="H4351" s="6" t="s">
        <v>649</v>
      </c>
      <c r="I4351" s="8" t="s">
        <v>100</v>
      </c>
      <c r="J4351" s="9">
        <v>1</v>
      </c>
      <c r="K4351" s="9">
        <v>301</v>
      </c>
      <c r="L4351" s="9">
        <v>2023</v>
      </c>
      <c r="M4351" s="8" t="s">
        <v>25824</v>
      </c>
      <c r="N4351" s="8" t="s">
        <v>41</v>
      </c>
      <c r="O4351" s="8" t="s">
        <v>676</v>
      </c>
      <c r="P4351" s="6" t="s">
        <v>167</v>
      </c>
      <c r="Q4351" s="8" t="s">
        <v>102</v>
      </c>
      <c r="R4351" s="10" t="s">
        <v>256</v>
      </c>
      <c r="S4351" s="11" t="s">
        <v>25825</v>
      </c>
      <c r="T4351" s="6"/>
      <c r="U4351" s="24" t="str">
        <f>HYPERLINK("https://media.infra-m.ru/1893/1893948/cover/1893948.jpg", "Обложка")</f>
        <v>Обложка</v>
      </c>
      <c r="V4351" s="24" t="str">
        <f>HYPERLINK("https://znanium.ru/catalog/product/2107419", "Ознакомиться")</f>
        <v>Ознакомиться</v>
      </c>
      <c r="W4351" s="8" t="s">
        <v>5869</v>
      </c>
      <c r="X4351" s="6"/>
      <c r="Y4351" s="6"/>
      <c r="Z4351" s="6" t="s">
        <v>104</v>
      </c>
      <c r="AA4351" s="6" t="s">
        <v>196</v>
      </c>
      <c r="AB4351" s="8"/>
    </row>
    <row r="4352" spans="1:28" s="4" customFormat="1" ht="51.95" customHeight="1">
      <c r="A4352" s="5">
        <v>0</v>
      </c>
      <c r="B4352" s="6" t="s">
        <v>25826</v>
      </c>
      <c r="C4352" s="13">
        <v>1390</v>
      </c>
      <c r="D4352" s="8" t="s">
        <v>25827</v>
      </c>
      <c r="E4352" s="8" t="s">
        <v>25828</v>
      </c>
      <c r="F4352" s="8" t="s">
        <v>25819</v>
      </c>
      <c r="G4352" s="6" t="s">
        <v>89</v>
      </c>
      <c r="H4352" s="6" t="s">
        <v>53</v>
      </c>
      <c r="I4352" s="8" t="s">
        <v>100</v>
      </c>
      <c r="J4352" s="9">
        <v>1</v>
      </c>
      <c r="K4352" s="9">
        <v>291</v>
      </c>
      <c r="L4352" s="9">
        <v>2024</v>
      </c>
      <c r="M4352" s="8" t="s">
        <v>25829</v>
      </c>
      <c r="N4352" s="8" t="s">
        <v>41</v>
      </c>
      <c r="O4352" s="8" t="s">
        <v>676</v>
      </c>
      <c r="P4352" s="6" t="s">
        <v>167</v>
      </c>
      <c r="Q4352" s="8" t="s">
        <v>102</v>
      </c>
      <c r="R4352" s="10" t="s">
        <v>256</v>
      </c>
      <c r="S4352" s="11" t="s">
        <v>25825</v>
      </c>
      <c r="T4352" s="6"/>
      <c r="U4352" s="24" t="str">
        <f>HYPERLINK("https://media.infra-m.ru/2107/2107419/cover/2107419.jpg", "Обложка")</f>
        <v>Обложка</v>
      </c>
      <c r="V4352" s="24" t="str">
        <f>HYPERLINK("https://znanium.ru/catalog/product/2107419", "Ознакомиться")</f>
        <v>Ознакомиться</v>
      </c>
      <c r="W4352" s="8" t="s">
        <v>5869</v>
      </c>
      <c r="X4352" s="6"/>
      <c r="Y4352" s="6"/>
      <c r="Z4352" s="6" t="s">
        <v>104</v>
      </c>
      <c r="AA4352" s="6" t="s">
        <v>3787</v>
      </c>
      <c r="AB4352" s="8"/>
    </row>
    <row r="4353" spans="1:28" s="4" customFormat="1" ht="51.95" customHeight="1">
      <c r="A4353" s="5">
        <v>0</v>
      </c>
      <c r="B4353" s="6" t="s">
        <v>25830</v>
      </c>
      <c r="C4353" s="13">
        <v>1370</v>
      </c>
      <c r="D4353" s="8" t="s">
        <v>25831</v>
      </c>
      <c r="E4353" s="8" t="s">
        <v>25828</v>
      </c>
      <c r="F4353" s="8" t="s">
        <v>25832</v>
      </c>
      <c r="G4353" s="6" t="s">
        <v>89</v>
      </c>
      <c r="H4353" s="6" t="s">
        <v>53</v>
      </c>
      <c r="I4353" s="8" t="s">
        <v>116</v>
      </c>
      <c r="J4353" s="9">
        <v>1</v>
      </c>
      <c r="K4353" s="9">
        <v>291</v>
      </c>
      <c r="L4353" s="9">
        <v>2024</v>
      </c>
      <c r="M4353" s="8" t="s">
        <v>25833</v>
      </c>
      <c r="N4353" s="8" t="s">
        <v>41</v>
      </c>
      <c r="O4353" s="8" t="s">
        <v>676</v>
      </c>
      <c r="P4353" s="6" t="s">
        <v>167</v>
      </c>
      <c r="Q4353" s="8" t="s">
        <v>44</v>
      </c>
      <c r="R4353" s="10" t="s">
        <v>13621</v>
      </c>
      <c r="S4353" s="11" t="s">
        <v>25834</v>
      </c>
      <c r="T4353" s="6"/>
      <c r="U4353" s="24" t="str">
        <f>HYPERLINK("https://media.infra-m.ru/2061/2061321/cover/2061321.jpg", "Обложка")</f>
        <v>Обложка</v>
      </c>
      <c r="V4353" s="24" t="str">
        <f>HYPERLINK("https://znanium.ru/catalog/product/2061321", "Ознакомиться")</f>
        <v>Ознакомиться</v>
      </c>
      <c r="W4353" s="8" t="s">
        <v>5869</v>
      </c>
      <c r="X4353" s="6"/>
      <c r="Y4353" s="6"/>
      <c r="Z4353" s="6"/>
      <c r="AA4353" s="6" t="s">
        <v>1382</v>
      </c>
      <c r="AB4353" s="8"/>
    </row>
    <row r="4354" spans="1:28" s="4" customFormat="1" ht="51.95" customHeight="1">
      <c r="A4354" s="5">
        <v>0</v>
      </c>
      <c r="B4354" s="6" t="s">
        <v>25835</v>
      </c>
      <c r="C4354" s="13">
        <v>2394</v>
      </c>
      <c r="D4354" s="8" t="s">
        <v>25836</v>
      </c>
      <c r="E4354" s="8" t="s">
        <v>25837</v>
      </c>
      <c r="F4354" s="8" t="s">
        <v>25838</v>
      </c>
      <c r="G4354" s="6" t="s">
        <v>89</v>
      </c>
      <c r="H4354" s="6" t="s">
        <v>53</v>
      </c>
      <c r="I4354" s="8" t="s">
        <v>90</v>
      </c>
      <c r="J4354" s="9">
        <v>1</v>
      </c>
      <c r="K4354" s="9">
        <v>501</v>
      </c>
      <c r="L4354" s="9">
        <v>2024</v>
      </c>
      <c r="M4354" s="8" t="s">
        <v>25839</v>
      </c>
      <c r="N4354" s="8" t="s">
        <v>41</v>
      </c>
      <c r="O4354" s="8" t="s">
        <v>676</v>
      </c>
      <c r="P4354" s="6" t="s">
        <v>167</v>
      </c>
      <c r="Q4354" s="8" t="s">
        <v>44</v>
      </c>
      <c r="R4354" s="10" t="s">
        <v>791</v>
      </c>
      <c r="S4354" s="11" t="s">
        <v>16893</v>
      </c>
      <c r="T4354" s="6"/>
      <c r="U4354" s="24" t="str">
        <f>HYPERLINK("https://media.infra-m.ru/2185/2185784/cover/2185784.jpg", "Обложка")</f>
        <v>Обложка</v>
      </c>
      <c r="V4354" s="24" t="str">
        <f>HYPERLINK("https://znanium.ru/catalog/product/2134234", "Ознакомиться")</f>
        <v>Ознакомиться</v>
      </c>
      <c r="W4354" s="8" t="s">
        <v>25840</v>
      </c>
      <c r="X4354" s="6"/>
      <c r="Y4354" s="6"/>
      <c r="Z4354" s="6"/>
      <c r="AA4354" s="6" t="s">
        <v>219</v>
      </c>
      <c r="AB4354" s="8"/>
    </row>
    <row r="4355" spans="1:28" s="4" customFormat="1" ht="51.95" customHeight="1">
      <c r="A4355" s="5">
        <v>0</v>
      </c>
      <c r="B4355" s="6" t="s">
        <v>25841</v>
      </c>
      <c r="C4355" s="13">
        <v>1690</v>
      </c>
      <c r="D4355" s="8" t="s">
        <v>25842</v>
      </c>
      <c r="E4355" s="8" t="s">
        <v>25843</v>
      </c>
      <c r="F4355" s="8" t="s">
        <v>25844</v>
      </c>
      <c r="G4355" s="6" t="s">
        <v>89</v>
      </c>
      <c r="H4355" s="6" t="s">
        <v>674</v>
      </c>
      <c r="I4355" s="8"/>
      <c r="J4355" s="9">
        <v>1</v>
      </c>
      <c r="K4355" s="9">
        <v>368</v>
      </c>
      <c r="L4355" s="9">
        <v>2023</v>
      </c>
      <c r="M4355" s="8" t="s">
        <v>25845</v>
      </c>
      <c r="N4355" s="8" t="s">
        <v>41</v>
      </c>
      <c r="O4355" s="8" t="s">
        <v>676</v>
      </c>
      <c r="P4355" s="6" t="s">
        <v>167</v>
      </c>
      <c r="Q4355" s="8" t="s">
        <v>44</v>
      </c>
      <c r="R4355" s="10" t="s">
        <v>677</v>
      </c>
      <c r="S4355" s="11"/>
      <c r="T4355" s="6"/>
      <c r="U4355" s="24" t="str">
        <f>HYPERLINK("https://media.infra-m.ru/1959/1959267/cover/1959267.jpg", "Обложка")</f>
        <v>Обложка</v>
      </c>
      <c r="V4355" s="24" t="str">
        <f>HYPERLINK("https://znanium.ru/catalog/product/2146089", "Ознакомиться")</f>
        <v>Ознакомиться</v>
      </c>
      <c r="W4355" s="8" t="s">
        <v>792</v>
      </c>
      <c r="X4355" s="6"/>
      <c r="Y4355" s="6"/>
      <c r="Z4355" s="6"/>
      <c r="AA4355" s="6" t="s">
        <v>898</v>
      </c>
      <c r="AB4355" s="8"/>
    </row>
    <row r="4356" spans="1:28" s="4" customFormat="1" ht="51.95" customHeight="1">
      <c r="A4356" s="5">
        <v>0</v>
      </c>
      <c r="B4356" s="6" t="s">
        <v>25846</v>
      </c>
      <c r="C4356" s="13">
        <v>1700</v>
      </c>
      <c r="D4356" s="8" t="s">
        <v>25847</v>
      </c>
      <c r="E4356" s="8" t="s">
        <v>25848</v>
      </c>
      <c r="F4356" s="8" t="s">
        <v>25844</v>
      </c>
      <c r="G4356" s="6" t="s">
        <v>89</v>
      </c>
      <c r="H4356" s="6" t="s">
        <v>674</v>
      </c>
      <c r="I4356" s="8"/>
      <c r="J4356" s="9">
        <v>1</v>
      </c>
      <c r="K4356" s="9">
        <v>384</v>
      </c>
      <c r="L4356" s="9">
        <v>2024</v>
      </c>
      <c r="M4356" s="8" t="s">
        <v>25849</v>
      </c>
      <c r="N4356" s="8" t="s">
        <v>41</v>
      </c>
      <c r="O4356" s="8" t="s">
        <v>676</v>
      </c>
      <c r="P4356" s="6" t="s">
        <v>167</v>
      </c>
      <c r="Q4356" s="8" t="s">
        <v>44</v>
      </c>
      <c r="R4356" s="10" t="s">
        <v>677</v>
      </c>
      <c r="S4356" s="11"/>
      <c r="T4356" s="6"/>
      <c r="U4356" s="24" t="str">
        <f>HYPERLINK("https://media.infra-m.ru/2146/2146089/cover/2146089.jpg", "Обложка")</f>
        <v>Обложка</v>
      </c>
      <c r="V4356" s="24" t="str">
        <f>HYPERLINK("https://znanium.ru/catalog/product/2146089", "Ознакомиться")</f>
        <v>Ознакомиться</v>
      </c>
      <c r="W4356" s="8" t="s">
        <v>792</v>
      </c>
      <c r="X4356" s="6" t="s">
        <v>389</v>
      </c>
      <c r="Y4356" s="6"/>
      <c r="Z4356" s="6"/>
      <c r="AA4356" s="6" t="s">
        <v>25850</v>
      </c>
      <c r="AB4356" s="8"/>
    </row>
    <row r="4357" spans="1:28" s="4" customFormat="1" ht="44.1" customHeight="1">
      <c r="A4357" s="5">
        <v>0</v>
      </c>
      <c r="B4357" s="6" t="s">
        <v>25851</v>
      </c>
      <c r="C4357" s="13">
        <v>1080</v>
      </c>
      <c r="D4357" s="8" t="s">
        <v>25852</v>
      </c>
      <c r="E4357" s="8" t="s">
        <v>25853</v>
      </c>
      <c r="F4357" s="8" t="s">
        <v>25854</v>
      </c>
      <c r="G4357" s="6" t="s">
        <v>52</v>
      </c>
      <c r="H4357" s="6" t="s">
        <v>53</v>
      </c>
      <c r="I4357" s="8" t="s">
        <v>165</v>
      </c>
      <c r="J4357" s="9">
        <v>1</v>
      </c>
      <c r="K4357" s="9">
        <v>203</v>
      </c>
      <c r="L4357" s="9">
        <v>2025</v>
      </c>
      <c r="M4357" s="8" t="s">
        <v>25855</v>
      </c>
      <c r="N4357" s="8" t="s">
        <v>41</v>
      </c>
      <c r="O4357" s="8" t="s">
        <v>676</v>
      </c>
      <c r="P4357" s="6" t="s">
        <v>43</v>
      </c>
      <c r="Q4357" s="8" t="s">
        <v>58</v>
      </c>
      <c r="R4357" s="10" t="s">
        <v>25856</v>
      </c>
      <c r="S4357" s="11"/>
      <c r="T4357" s="6"/>
      <c r="U4357" s="24" t="str">
        <f>HYPERLINK("https://media.infra-m.ru/2163/2163330/cover/2163330.jpg", "Обложка")</f>
        <v>Обложка</v>
      </c>
      <c r="V4357" s="24" t="str">
        <f>HYPERLINK("https://znanium.ru/catalog/product/2163330", "Ознакомиться")</f>
        <v>Ознакомиться</v>
      </c>
      <c r="W4357" s="8" t="s">
        <v>83</v>
      </c>
      <c r="X4357" s="6" t="s">
        <v>2790</v>
      </c>
      <c r="Y4357" s="6"/>
      <c r="Z4357" s="6"/>
      <c r="AA4357" s="6" t="s">
        <v>61</v>
      </c>
      <c r="AB4357" s="8" t="s">
        <v>7908</v>
      </c>
    </row>
    <row r="4358" spans="1:28" s="4" customFormat="1" ht="51.95" customHeight="1">
      <c r="A4358" s="5">
        <v>0</v>
      </c>
      <c r="B4358" s="6" t="s">
        <v>25857</v>
      </c>
      <c r="C4358" s="13">
        <v>1524</v>
      </c>
      <c r="D4358" s="8" t="s">
        <v>25858</v>
      </c>
      <c r="E4358" s="8" t="s">
        <v>25859</v>
      </c>
      <c r="F4358" s="8" t="s">
        <v>25860</v>
      </c>
      <c r="G4358" s="6" t="s">
        <v>38</v>
      </c>
      <c r="H4358" s="6" t="s">
        <v>39</v>
      </c>
      <c r="I4358" s="8"/>
      <c r="J4358" s="9">
        <v>1</v>
      </c>
      <c r="K4358" s="9">
        <v>304</v>
      </c>
      <c r="L4358" s="9">
        <v>2025</v>
      </c>
      <c r="M4358" s="8" t="s">
        <v>25861</v>
      </c>
      <c r="N4358" s="8" t="s">
        <v>997</v>
      </c>
      <c r="O4358" s="8" t="s">
        <v>998</v>
      </c>
      <c r="P4358" s="6" t="s">
        <v>43</v>
      </c>
      <c r="Q4358" s="8" t="s">
        <v>44</v>
      </c>
      <c r="R4358" s="10" t="s">
        <v>25862</v>
      </c>
      <c r="S4358" s="11" t="s">
        <v>25863</v>
      </c>
      <c r="T4358" s="6"/>
      <c r="U4358" s="24" t="str">
        <f>HYPERLINK("https://media.infra-m.ru/2186/2186886/cover/2186886.jpg", "Обложка")</f>
        <v>Обложка</v>
      </c>
      <c r="V4358" s="12"/>
      <c r="W4358" s="8" t="s">
        <v>25864</v>
      </c>
      <c r="X4358" s="6"/>
      <c r="Y4358" s="6"/>
      <c r="Z4358" s="6"/>
      <c r="AA4358" s="6" t="s">
        <v>47</v>
      </c>
      <c r="AB4358" s="8"/>
    </row>
    <row r="4359" spans="1:28" s="4" customFormat="1" ht="42" customHeight="1">
      <c r="A4359" s="5">
        <v>0</v>
      </c>
      <c r="B4359" s="6" t="s">
        <v>25865</v>
      </c>
      <c r="C4359" s="7">
        <v>870</v>
      </c>
      <c r="D4359" s="8" t="s">
        <v>25866</v>
      </c>
      <c r="E4359" s="8" t="s">
        <v>25867</v>
      </c>
      <c r="F4359" s="8" t="s">
        <v>25868</v>
      </c>
      <c r="G4359" s="6" t="s">
        <v>89</v>
      </c>
      <c r="H4359" s="6" t="s">
        <v>53</v>
      </c>
      <c r="I4359" s="8" t="s">
        <v>116</v>
      </c>
      <c r="J4359" s="9">
        <v>1</v>
      </c>
      <c r="K4359" s="9">
        <v>162</v>
      </c>
      <c r="L4359" s="9">
        <v>2025</v>
      </c>
      <c r="M4359" s="8" t="s">
        <v>25869</v>
      </c>
      <c r="N4359" s="8" t="s">
        <v>79</v>
      </c>
      <c r="O4359" s="8" t="s">
        <v>684</v>
      </c>
      <c r="P4359" s="6" t="s">
        <v>43</v>
      </c>
      <c r="Q4359" s="8" t="s">
        <v>44</v>
      </c>
      <c r="R4359" s="10" t="s">
        <v>25870</v>
      </c>
      <c r="S4359" s="11"/>
      <c r="T4359" s="6"/>
      <c r="U4359" s="24" t="str">
        <f>HYPERLINK("https://media.infra-m.ru/2168/2168393/cover/2168393.jpg", "Обложка")</f>
        <v>Обложка</v>
      </c>
      <c r="V4359" s="24" t="str">
        <f>HYPERLINK("https://znanium.ru/catalog/product/2168393", "Ознакомиться")</f>
        <v>Ознакомиться</v>
      </c>
      <c r="W4359" s="8" t="s">
        <v>9841</v>
      </c>
      <c r="X4359" s="6"/>
      <c r="Y4359" s="6"/>
      <c r="Z4359" s="6"/>
      <c r="AA4359" s="6" t="s">
        <v>207</v>
      </c>
      <c r="AB4359" s="8" t="s">
        <v>1035</v>
      </c>
    </row>
    <row r="4360" spans="1:28" s="4" customFormat="1" ht="51.95" customHeight="1">
      <c r="A4360" s="5">
        <v>0</v>
      </c>
      <c r="B4360" s="6" t="s">
        <v>25871</v>
      </c>
      <c r="C4360" s="13">
        <v>1094.9000000000001</v>
      </c>
      <c r="D4360" s="8" t="s">
        <v>25872</v>
      </c>
      <c r="E4360" s="8" t="s">
        <v>25873</v>
      </c>
      <c r="F4360" s="8" t="s">
        <v>25874</v>
      </c>
      <c r="G4360" s="6" t="s">
        <v>38</v>
      </c>
      <c r="H4360" s="6" t="s">
        <v>39</v>
      </c>
      <c r="I4360" s="8" t="s">
        <v>116</v>
      </c>
      <c r="J4360" s="9">
        <v>1</v>
      </c>
      <c r="K4360" s="9">
        <v>336</v>
      </c>
      <c r="L4360" s="9">
        <v>2019</v>
      </c>
      <c r="M4360" s="8" t="s">
        <v>25875</v>
      </c>
      <c r="N4360" s="8" t="s">
        <v>79</v>
      </c>
      <c r="O4360" s="8" t="s">
        <v>174</v>
      </c>
      <c r="P4360" s="6" t="s">
        <v>43</v>
      </c>
      <c r="Q4360" s="8" t="s">
        <v>214</v>
      </c>
      <c r="R4360" s="10" t="s">
        <v>25876</v>
      </c>
      <c r="S4360" s="11" t="s">
        <v>25877</v>
      </c>
      <c r="T4360" s="6"/>
      <c r="U4360" s="24" t="str">
        <f>HYPERLINK("https://media.infra-m.ru/1007/1007834/cover/1007834.jpg", "Обложка")</f>
        <v>Обложка</v>
      </c>
      <c r="V4360" s="24" t="str">
        <f>HYPERLINK("https://znanium.ru/catalog/product/2197608", "Ознакомиться")</f>
        <v>Ознакомиться</v>
      </c>
      <c r="W4360" s="8" t="s">
        <v>24266</v>
      </c>
      <c r="X4360" s="6"/>
      <c r="Y4360" s="6"/>
      <c r="Z4360" s="6"/>
      <c r="AA4360" s="6" t="s">
        <v>111</v>
      </c>
      <c r="AB4360" s="8"/>
    </row>
    <row r="4361" spans="1:28" s="4" customFormat="1" ht="51.95" customHeight="1">
      <c r="A4361" s="5">
        <v>0</v>
      </c>
      <c r="B4361" s="6" t="s">
        <v>25878</v>
      </c>
      <c r="C4361" s="13">
        <v>2190</v>
      </c>
      <c r="D4361" s="8" t="s">
        <v>25879</v>
      </c>
      <c r="E4361" s="8" t="s">
        <v>25880</v>
      </c>
      <c r="F4361" s="8" t="s">
        <v>25874</v>
      </c>
      <c r="G4361" s="6" t="s">
        <v>52</v>
      </c>
      <c r="H4361" s="6" t="s">
        <v>39</v>
      </c>
      <c r="I4361" s="8" t="s">
        <v>116</v>
      </c>
      <c r="J4361" s="9">
        <v>1</v>
      </c>
      <c r="K4361" s="9">
        <v>420</v>
      </c>
      <c r="L4361" s="9">
        <v>2025</v>
      </c>
      <c r="M4361" s="8" t="s">
        <v>25881</v>
      </c>
      <c r="N4361" s="8" t="s">
        <v>79</v>
      </c>
      <c r="O4361" s="8" t="s">
        <v>174</v>
      </c>
      <c r="P4361" s="6" t="s">
        <v>43</v>
      </c>
      <c r="Q4361" s="8" t="s">
        <v>214</v>
      </c>
      <c r="R4361" s="10" t="s">
        <v>25876</v>
      </c>
      <c r="S4361" s="11" t="s">
        <v>25882</v>
      </c>
      <c r="T4361" s="6"/>
      <c r="U4361" s="24" t="str">
        <f>HYPERLINK("https://media.infra-m.ru/2197/2197608/cover/2197608.jpg", "Обложка")</f>
        <v>Обложка</v>
      </c>
      <c r="V4361" s="24" t="str">
        <f>HYPERLINK("https://znanium.ru/catalog/product/2197608", "Ознакомиться")</f>
        <v>Ознакомиться</v>
      </c>
      <c r="W4361" s="8" t="s">
        <v>24266</v>
      </c>
      <c r="X4361" s="6"/>
      <c r="Y4361" s="6"/>
      <c r="Z4361" s="6"/>
      <c r="AA4361" s="6" t="s">
        <v>513</v>
      </c>
      <c r="AB4361" s="8"/>
    </row>
    <row r="4362" spans="1:28" s="4" customFormat="1" ht="42" customHeight="1">
      <c r="A4362" s="5">
        <v>0</v>
      </c>
      <c r="B4362" s="6" t="s">
        <v>25883</v>
      </c>
      <c r="C4362" s="13">
        <v>1124</v>
      </c>
      <c r="D4362" s="8" t="s">
        <v>25884</v>
      </c>
      <c r="E4362" s="8" t="s">
        <v>25885</v>
      </c>
      <c r="F4362" s="8" t="s">
        <v>25886</v>
      </c>
      <c r="G4362" s="6" t="s">
        <v>52</v>
      </c>
      <c r="H4362" s="6" t="s">
        <v>184</v>
      </c>
      <c r="I4362" s="8"/>
      <c r="J4362" s="9">
        <v>1</v>
      </c>
      <c r="K4362" s="9">
        <v>224</v>
      </c>
      <c r="L4362" s="9">
        <v>2025</v>
      </c>
      <c r="M4362" s="8" t="s">
        <v>25887</v>
      </c>
      <c r="N4362" s="8" t="s">
        <v>41</v>
      </c>
      <c r="O4362" s="8" t="s">
        <v>1204</v>
      </c>
      <c r="P4362" s="6" t="s">
        <v>43</v>
      </c>
      <c r="Q4362" s="8" t="s">
        <v>44</v>
      </c>
      <c r="R4362" s="10" t="s">
        <v>25888</v>
      </c>
      <c r="S4362" s="11"/>
      <c r="T4362" s="6"/>
      <c r="U4362" s="24" t="str">
        <f>HYPERLINK("https://media.infra-m.ru/2186/2186882/cover/2186882.jpg", "Обложка")</f>
        <v>Обложка</v>
      </c>
      <c r="V4362" s="24" t="str">
        <f>HYPERLINK("https://znanium.ru/catalog/product/2006064", "Ознакомиться")</f>
        <v>Ознакомиться</v>
      </c>
      <c r="W4362" s="8" t="s">
        <v>913</v>
      </c>
      <c r="X4362" s="6"/>
      <c r="Y4362" s="6"/>
      <c r="Z4362" s="6"/>
      <c r="AA4362" s="6" t="s">
        <v>151</v>
      </c>
      <c r="AB4362" s="8"/>
    </row>
    <row r="4363" spans="1:28" s="4" customFormat="1" ht="51.95" customHeight="1">
      <c r="A4363" s="5">
        <v>0</v>
      </c>
      <c r="B4363" s="6" t="s">
        <v>25889</v>
      </c>
      <c r="C4363" s="13">
        <v>1210</v>
      </c>
      <c r="D4363" s="8" t="s">
        <v>25890</v>
      </c>
      <c r="E4363" s="8" t="s">
        <v>25891</v>
      </c>
      <c r="F4363" s="8" t="s">
        <v>25892</v>
      </c>
      <c r="G4363" s="6" t="s">
        <v>89</v>
      </c>
      <c r="H4363" s="6" t="s">
        <v>53</v>
      </c>
      <c r="I4363" s="8" t="s">
        <v>90</v>
      </c>
      <c r="J4363" s="9">
        <v>1</v>
      </c>
      <c r="K4363" s="9">
        <v>242</v>
      </c>
      <c r="L4363" s="9">
        <v>2025</v>
      </c>
      <c r="M4363" s="8" t="s">
        <v>25893</v>
      </c>
      <c r="N4363" s="8" t="s">
        <v>41</v>
      </c>
      <c r="O4363" s="8" t="s">
        <v>1204</v>
      </c>
      <c r="P4363" s="6" t="s">
        <v>43</v>
      </c>
      <c r="Q4363" s="8" t="s">
        <v>44</v>
      </c>
      <c r="R4363" s="10" t="s">
        <v>25894</v>
      </c>
      <c r="S4363" s="11" t="s">
        <v>25895</v>
      </c>
      <c r="T4363" s="6"/>
      <c r="U4363" s="24" t="str">
        <f>HYPERLINK("https://media.infra-m.ru/2188/2188708/cover/2188708.jpg", "Обложка")</f>
        <v>Обложка</v>
      </c>
      <c r="V4363" s="24" t="str">
        <f>HYPERLINK("https://znanium.ru/catalog/product/2188708", "Ознакомиться")</f>
        <v>Ознакомиться</v>
      </c>
      <c r="W4363" s="8"/>
      <c r="X4363" s="6"/>
      <c r="Y4363" s="6"/>
      <c r="Z4363" s="6"/>
      <c r="AA4363" s="6" t="s">
        <v>813</v>
      </c>
      <c r="AB4363" s="8"/>
    </row>
    <row r="4364" spans="1:28" s="4" customFormat="1" ht="51.95" customHeight="1">
      <c r="A4364" s="5">
        <v>0</v>
      </c>
      <c r="B4364" s="6" t="s">
        <v>25896</v>
      </c>
      <c r="C4364" s="7">
        <v>774.9</v>
      </c>
      <c r="D4364" s="8" t="s">
        <v>25897</v>
      </c>
      <c r="E4364" s="8" t="s">
        <v>25885</v>
      </c>
      <c r="F4364" s="8" t="s">
        <v>25898</v>
      </c>
      <c r="G4364" s="6" t="s">
        <v>52</v>
      </c>
      <c r="H4364" s="6" t="s">
        <v>53</v>
      </c>
      <c r="I4364" s="8" t="s">
        <v>90</v>
      </c>
      <c r="J4364" s="9">
        <v>1</v>
      </c>
      <c r="K4364" s="9">
        <v>265</v>
      </c>
      <c r="L4364" s="9">
        <v>2017</v>
      </c>
      <c r="M4364" s="8" t="s">
        <v>25899</v>
      </c>
      <c r="N4364" s="8" t="s">
        <v>41</v>
      </c>
      <c r="O4364" s="8" t="s">
        <v>1204</v>
      </c>
      <c r="P4364" s="6" t="s">
        <v>43</v>
      </c>
      <c r="Q4364" s="8" t="s">
        <v>44</v>
      </c>
      <c r="R4364" s="10" t="s">
        <v>25894</v>
      </c>
      <c r="S4364" s="11" t="s">
        <v>25900</v>
      </c>
      <c r="T4364" s="6"/>
      <c r="U4364" s="24" t="str">
        <f>HYPERLINK("https://media.infra-m.ru/0775/0775234/cover/775234.jpg", "Обложка")</f>
        <v>Обложка</v>
      </c>
      <c r="V4364" s="24" t="str">
        <f>HYPERLINK("https://znanium.ru/catalog/product/2188708", "Ознакомиться")</f>
        <v>Ознакомиться</v>
      </c>
      <c r="W4364" s="8"/>
      <c r="X4364" s="6"/>
      <c r="Y4364" s="6"/>
      <c r="Z4364" s="6"/>
      <c r="AA4364" s="6" t="s">
        <v>2217</v>
      </c>
      <c r="AB4364" s="8"/>
    </row>
    <row r="4365" spans="1:28" s="4" customFormat="1" ht="51.95" customHeight="1">
      <c r="A4365" s="5">
        <v>0</v>
      </c>
      <c r="B4365" s="6" t="s">
        <v>25901</v>
      </c>
      <c r="C4365" s="13">
        <v>1200</v>
      </c>
      <c r="D4365" s="8" t="s">
        <v>25902</v>
      </c>
      <c r="E4365" s="8" t="s">
        <v>25903</v>
      </c>
      <c r="F4365" s="8" t="s">
        <v>25904</v>
      </c>
      <c r="G4365" s="6" t="s">
        <v>52</v>
      </c>
      <c r="H4365" s="6" t="s">
        <v>53</v>
      </c>
      <c r="I4365" s="8" t="s">
        <v>90</v>
      </c>
      <c r="J4365" s="9">
        <v>1</v>
      </c>
      <c r="K4365" s="9">
        <v>260</v>
      </c>
      <c r="L4365" s="9">
        <v>2024</v>
      </c>
      <c r="M4365" s="8" t="s">
        <v>25905</v>
      </c>
      <c r="N4365" s="8" t="s">
        <v>79</v>
      </c>
      <c r="O4365" s="8" t="s">
        <v>537</v>
      </c>
      <c r="P4365" s="6" t="s">
        <v>43</v>
      </c>
      <c r="Q4365" s="8" t="s">
        <v>44</v>
      </c>
      <c r="R4365" s="10" t="s">
        <v>25906</v>
      </c>
      <c r="S4365" s="11" t="s">
        <v>25907</v>
      </c>
      <c r="T4365" s="6"/>
      <c r="U4365" s="24" t="str">
        <f>HYPERLINK("https://media.infra-m.ru/2119/2119096/cover/2119096.jpg", "Обложка")</f>
        <v>Обложка</v>
      </c>
      <c r="V4365" s="24" t="str">
        <f>HYPERLINK("https://znanium.ru/catalog/product/1012426", "Ознакомиться")</f>
        <v>Ознакомиться</v>
      </c>
      <c r="W4365" s="8" t="s">
        <v>784</v>
      </c>
      <c r="X4365" s="6"/>
      <c r="Y4365" s="6"/>
      <c r="Z4365" s="6"/>
      <c r="AA4365" s="6" t="s">
        <v>84</v>
      </c>
      <c r="AB4365" s="8"/>
    </row>
    <row r="4366" spans="1:28" s="4" customFormat="1" ht="51.95" customHeight="1">
      <c r="A4366" s="5">
        <v>0</v>
      </c>
      <c r="B4366" s="6" t="s">
        <v>25908</v>
      </c>
      <c r="C4366" s="7">
        <v>840</v>
      </c>
      <c r="D4366" s="8" t="s">
        <v>25909</v>
      </c>
      <c r="E4366" s="8" t="s">
        <v>25910</v>
      </c>
      <c r="F4366" s="8" t="s">
        <v>25911</v>
      </c>
      <c r="G4366" s="6" t="s">
        <v>89</v>
      </c>
      <c r="H4366" s="6" t="s">
        <v>53</v>
      </c>
      <c r="I4366" s="8" t="s">
        <v>90</v>
      </c>
      <c r="J4366" s="9">
        <v>1</v>
      </c>
      <c r="K4366" s="9">
        <v>172</v>
      </c>
      <c r="L4366" s="9">
        <v>2023</v>
      </c>
      <c r="M4366" s="8" t="s">
        <v>25912</v>
      </c>
      <c r="N4366" s="8" t="s">
        <v>41</v>
      </c>
      <c r="O4366" s="8" t="s">
        <v>278</v>
      </c>
      <c r="P4366" s="6" t="s">
        <v>167</v>
      </c>
      <c r="Q4366" s="8" t="s">
        <v>44</v>
      </c>
      <c r="R4366" s="10" t="s">
        <v>25913</v>
      </c>
      <c r="S4366" s="11" t="s">
        <v>25914</v>
      </c>
      <c r="T4366" s="6"/>
      <c r="U4366" s="24" t="str">
        <f>HYPERLINK("https://media.infra-m.ru/2126/2126204/cover/2126204.jpg", "Обложка")</f>
        <v>Обложка</v>
      </c>
      <c r="V4366" s="24" t="str">
        <f>HYPERLINK("https://znanium.ru/catalog/product/2125277", "Ознакомиться")</f>
        <v>Ознакомиться</v>
      </c>
      <c r="W4366" s="8" t="s">
        <v>2915</v>
      </c>
      <c r="X4366" s="6"/>
      <c r="Y4366" s="6"/>
      <c r="Z4366" s="6"/>
      <c r="AA4366" s="6" t="s">
        <v>813</v>
      </c>
      <c r="AB4366" s="8"/>
    </row>
    <row r="4367" spans="1:28" s="4" customFormat="1" ht="51.95" customHeight="1">
      <c r="A4367" s="5">
        <v>0</v>
      </c>
      <c r="B4367" s="6" t="s">
        <v>25915</v>
      </c>
      <c r="C4367" s="7">
        <v>574.9</v>
      </c>
      <c r="D4367" s="8" t="s">
        <v>25916</v>
      </c>
      <c r="E4367" s="8" t="s">
        <v>25917</v>
      </c>
      <c r="F4367" s="8" t="s">
        <v>25911</v>
      </c>
      <c r="G4367" s="6" t="s">
        <v>38</v>
      </c>
      <c r="H4367" s="6" t="s">
        <v>53</v>
      </c>
      <c r="I4367" s="8" t="s">
        <v>90</v>
      </c>
      <c r="J4367" s="9">
        <v>1</v>
      </c>
      <c r="K4367" s="9">
        <v>144</v>
      </c>
      <c r="L4367" s="9">
        <v>2022</v>
      </c>
      <c r="M4367" s="8" t="s">
        <v>25918</v>
      </c>
      <c r="N4367" s="8" t="s">
        <v>41</v>
      </c>
      <c r="O4367" s="8" t="s">
        <v>278</v>
      </c>
      <c r="P4367" s="6" t="s">
        <v>167</v>
      </c>
      <c r="Q4367" s="8" t="s">
        <v>44</v>
      </c>
      <c r="R4367" s="10" t="s">
        <v>25913</v>
      </c>
      <c r="S4367" s="11" t="s">
        <v>25919</v>
      </c>
      <c r="T4367" s="6"/>
      <c r="U4367" s="24" t="str">
        <f>HYPERLINK("https://media.infra-m.ru/1865/1865778/cover/1865778.jpg", "Обложка")</f>
        <v>Обложка</v>
      </c>
      <c r="V4367" s="24" t="str">
        <f>HYPERLINK("https://znanium.ru/catalog/product/2125277", "Ознакомиться")</f>
        <v>Ознакомиться</v>
      </c>
      <c r="W4367" s="8" t="s">
        <v>2915</v>
      </c>
      <c r="X4367" s="6"/>
      <c r="Y4367" s="6"/>
      <c r="Z4367" s="6"/>
      <c r="AA4367" s="6" t="s">
        <v>418</v>
      </c>
      <c r="AB4367" s="8"/>
    </row>
    <row r="4368" spans="1:28" s="4" customFormat="1" ht="51.95" customHeight="1">
      <c r="A4368" s="5">
        <v>0</v>
      </c>
      <c r="B4368" s="6" t="s">
        <v>25920</v>
      </c>
      <c r="C4368" s="13">
        <v>1014</v>
      </c>
      <c r="D4368" s="8" t="s">
        <v>25921</v>
      </c>
      <c r="E4368" s="8" t="s">
        <v>25922</v>
      </c>
      <c r="F4368" s="8" t="s">
        <v>25923</v>
      </c>
      <c r="G4368" s="6" t="s">
        <v>89</v>
      </c>
      <c r="H4368" s="6" t="s">
        <v>53</v>
      </c>
      <c r="I4368" s="8" t="s">
        <v>100</v>
      </c>
      <c r="J4368" s="9">
        <v>1</v>
      </c>
      <c r="K4368" s="9">
        <v>202</v>
      </c>
      <c r="L4368" s="9">
        <v>2025</v>
      </c>
      <c r="M4368" s="8" t="s">
        <v>25924</v>
      </c>
      <c r="N4368" s="8" t="s">
        <v>41</v>
      </c>
      <c r="O4368" s="8" t="s">
        <v>278</v>
      </c>
      <c r="P4368" s="6" t="s">
        <v>167</v>
      </c>
      <c r="Q4368" s="8" t="s">
        <v>102</v>
      </c>
      <c r="R4368" s="10" t="s">
        <v>25925</v>
      </c>
      <c r="S4368" s="11" t="s">
        <v>25926</v>
      </c>
      <c r="T4368" s="6"/>
      <c r="U4368" s="24" t="str">
        <f>HYPERLINK("https://media.infra-m.ru/2179/2179096/cover/2179096.jpg", "Обложка")</f>
        <v>Обложка</v>
      </c>
      <c r="V4368" s="24" t="str">
        <f>HYPERLINK("https://znanium.ru/catalog/product/1241803", "Ознакомиться")</f>
        <v>Ознакомиться</v>
      </c>
      <c r="W4368" s="8" t="s">
        <v>2080</v>
      </c>
      <c r="X4368" s="6"/>
      <c r="Y4368" s="6"/>
      <c r="Z4368" s="6" t="s">
        <v>104</v>
      </c>
      <c r="AA4368" s="6" t="s">
        <v>793</v>
      </c>
      <c r="AB4368" s="8"/>
    </row>
    <row r="4369" spans="1:28" s="4" customFormat="1" ht="51.95" customHeight="1">
      <c r="A4369" s="5">
        <v>0</v>
      </c>
      <c r="B4369" s="6" t="s">
        <v>25927</v>
      </c>
      <c r="C4369" s="7">
        <v>924</v>
      </c>
      <c r="D4369" s="8" t="s">
        <v>25928</v>
      </c>
      <c r="E4369" s="8" t="s">
        <v>25922</v>
      </c>
      <c r="F4369" s="8" t="s">
        <v>25923</v>
      </c>
      <c r="G4369" s="6" t="s">
        <v>89</v>
      </c>
      <c r="H4369" s="6" t="s">
        <v>53</v>
      </c>
      <c r="I4369" s="8" t="s">
        <v>90</v>
      </c>
      <c r="J4369" s="9">
        <v>1</v>
      </c>
      <c r="K4369" s="9">
        <v>202</v>
      </c>
      <c r="L4369" s="9">
        <v>2024</v>
      </c>
      <c r="M4369" s="8" t="s">
        <v>25929</v>
      </c>
      <c r="N4369" s="8" t="s">
        <v>41</v>
      </c>
      <c r="O4369" s="8" t="s">
        <v>278</v>
      </c>
      <c r="P4369" s="6" t="s">
        <v>167</v>
      </c>
      <c r="Q4369" s="8" t="s">
        <v>44</v>
      </c>
      <c r="R4369" s="10" t="s">
        <v>25930</v>
      </c>
      <c r="S4369" s="11" t="s">
        <v>25931</v>
      </c>
      <c r="T4369" s="6"/>
      <c r="U4369" s="24" t="str">
        <f>HYPERLINK("https://media.infra-m.ru/2102/2102179/cover/2102179.jpg", "Обложка")</f>
        <v>Обложка</v>
      </c>
      <c r="V4369" s="24" t="str">
        <f>HYPERLINK("https://znanium.ru/catalog/product/2102179", "Ознакомиться")</f>
        <v>Ознакомиться</v>
      </c>
      <c r="W4369" s="8" t="s">
        <v>2080</v>
      </c>
      <c r="X4369" s="6"/>
      <c r="Y4369" s="6"/>
      <c r="Z4369" s="6"/>
      <c r="AA4369" s="6" t="s">
        <v>47</v>
      </c>
      <c r="AB4369" s="8"/>
    </row>
    <row r="4370" spans="1:28" s="4" customFormat="1" ht="51.95" customHeight="1">
      <c r="A4370" s="5">
        <v>0</v>
      </c>
      <c r="B4370" s="6" t="s">
        <v>25932</v>
      </c>
      <c r="C4370" s="13">
        <v>1044</v>
      </c>
      <c r="D4370" s="8" t="s">
        <v>25933</v>
      </c>
      <c r="E4370" s="8" t="s">
        <v>25934</v>
      </c>
      <c r="F4370" s="8" t="s">
        <v>658</v>
      </c>
      <c r="G4370" s="6" t="s">
        <v>89</v>
      </c>
      <c r="H4370" s="6" t="s">
        <v>649</v>
      </c>
      <c r="I4370" s="8" t="s">
        <v>100</v>
      </c>
      <c r="J4370" s="9">
        <v>1</v>
      </c>
      <c r="K4370" s="9">
        <v>207</v>
      </c>
      <c r="L4370" s="9">
        <v>2025</v>
      </c>
      <c r="M4370" s="8" t="s">
        <v>25935</v>
      </c>
      <c r="N4370" s="8" t="s">
        <v>79</v>
      </c>
      <c r="O4370" s="8" t="s">
        <v>570</v>
      </c>
      <c r="P4370" s="6" t="s">
        <v>43</v>
      </c>
      <c r="Q4370" s="8" t="s">
        <v>102</v>
      </c>
      <c r="R4370" s="10" t="s">
        <v>25936</v>
      </c>
      <c r="S4370" s="11" t="s">
        <v>25937</v>
      </c>
      <c r="T4370" s="6"/>
      <c r="U4370" s="24" t="str">
        <f>HYPERLINK("https://media.infra-m.ru/2179/2179852/cover/2179852.jpg", "Обложка")</f>
        <v>Обложка</v>
      </c>
      <c r="V4370" s="24" t="str">
        <f>HYPERLINK("https://znanium.ru/catalog/product/2177859", "Ознакомиться")</f>
        <v>Ознакомиться</v>
      </c>
      <c r="W4370" s="8" t="s">
        <v>662</v>
      </c>
      <c r="X4370" s="6"/>
      <c r="Y4370" s="6"/>
      <c r="Z4370" s="6"/>
      <c r="AA4370" s="6" t="s">
        <v>622</v>
      </c>
      <c r="AB4370" s="8"/>
    </row>
    <row r="4371" spans="1:28" s="4" customFormat="1" ht="51.95" customHeight="1">
      <c r="A4371" s="5">
        <v>0</v>
      </c>
      <c r="B4371" s="6" t="s">
        <v>25938</v>
      </c>
      <c r="C4371" s="13">
        <v>2104</v>
      </c>
      <c r="D4371" s="8" t="s">
        <v>25939</v>
      </c>
      <c r="E4371" s="8" t="s">
        <v>25940</v>
      </c>
      <c r="F4371" s="8" t="s">
        <v>11955</v>
      </c>
      <c r="G4371" s="6" t="s">
        <v>89</v>
      </c>
      <c r="H4371" s="6" t="s">
        <v>39</v>
      </c>
      <c r="I4371" s="8" t="s">
        <v>185</v>
      </c>
      <c r="J4371" s="9">
        <v>1</v>
      </c>
      <c r="K4371" s="9">
        <v>432</v>
      </c>
      <c r="L4371" s="9">
        <v>2025</v>
      </c>
      <c r="M4371" s="8" t="s">
        <v>25941</v>
      </c>
      <c r="N4371" s="8" t="s">
        <v>79</v>
      </c>
      <c r="O4371" s="8" t="s">
        <v>174</v>
      </c>
      <c r="P4371" s="6" t="s">
        <v>43</v>
      </c>
      <c r="Q4371" s="8" t="s">
        <v>102</v>
      </c>
      <c r="R4371" s="10" t="s">
        <v>25942</v>
      </c>
      <c r="S4371" s="11" t="s">
        <v>4480</v>
      </c>
      <c r="T4371" s="6"/>
      <c r="U4371" s="24" t="str">
        <f>HYPERLINK("https://media.infra-m.ru/2188/2188215/cover/2188215.jpg", "Обложка")</f>
        <v>Обложка</v>
      </c>
      <c r="V4371" s="24" t="str">
        <f>HYPERLINK("https://znanium.ru/catalog/product/1893798", "Ознакомиться")</f>
        <v>Ознакомиться</v>
      </c>
      <c r="W4371" s="8" t="s">
        <v>5284</v>
      </c>
      <c r="X4371" s="6"/>
      <c r="Y4371" s="6"/>
      <c r="Z4371" s="6"/>
      <c r="AA4371" s="6" t="s">
        <v>701</v>
      </c>
      <c r="AB4371" s="8"/>
    </row>
    <row r="4372" spans="1:28" s="4" customFormat="1" ht="51.95" customHeight="1">
      <c r="A4372" s="5">
        <v>0</v>
      </c>
      <c r="B4372" s="6" t="s">
        <v>25943</v>
      </c>
      <c r="C4372" s="13">
        <v>2724</v>
      </c>
      <c r="D4372" s="8" t="s">
        <v>25944</v>
      </c>
      <c r="E4372" s="8" t="s">
        <v>25945</v>
      </c>
      <c r="F4372" s="8" t="s">
        <v>25946</v>
      </c>
      <c r="G4372" s="6" t="s">
        <v>52</v>
      </c>
      <c r="H4372" s="6" t="s">
        <v>39</v>
      </c>
      <c r="I4372" s="8" t="s">
        <v>185</v>
      </c>
      <c r="J4372" s="9">
        <v>1</v>
      </c>
      <c r="K4372" s="9">
        <v>544</v>
      </c>
      <c r="L4372" s="9">
        <v>2025</v>
      </c>
      <c r="M4372" s="8" t="s">
        <v>25947</v>
      </c>
      <c r="N4372" s="8" t="s">
        <v>79</v>
      </c>
      <c r="O4372" s="8" t="s">
        <v>174</v>
      </c>
      <c r="P4372" s="6" t="s">
        <v>43</v>
      </c>
      <c r="Q4372" s="8" t="s">
        <v>102</v>
      </c>
      <c r="R4372" s="10" t="s">
        <v>6682</v>
      </c>
      <c r="S4372" s="11" t="s">
        <v>3075</v>
      </c>
      <c r="T4372" s="6"/>
      <c r="U4372" s="24" t="str">
        <f>HYPERLINK("https://media.infra-m.ru/2186/2186877/cover/2186877.jpg", "Обложка")</f>
        <v>Обложка</v>
      </c>
      <c r="V4372" s="24" t="str">
        <f>HYPERLINK("https://znanium.ru/catalog/product/2149664", "Ознакомиться")</f>
        <v>Ознакомиться</v>
      </c>
      <c r="W4372" s="8" t="s">
        <v>5284</v>
      </c>
      <c r="X4372" s="6"/>
      <c r="Y4372" s="6"/>
      <c r="Z4372" s="6"/>
      <c r="AA4372" s="6" t="s">
        <v>407</v>
      </c>
      <c r="AB4372" s="8"/>
    </row>
    <row r="4373" spans="1:28" s="4" customFormat="1" ht="51.95" customHeight="1">
      <c r="A4373" s="5">
        <v>0</v>
      </c>
      <c r="B4373" s="6" t="s">
        <v>25948</v>
      </c>
      <c r="C4373" s="13">
        <v>1204</v>
      </c>
      <c r="D4373" s="8" t="s">
        <v>25949</v>
      </c>
      <c r="E4373" s="8" t="s">
        <v>25950</v>
      </c>
      <c r="F4373" s="8" t="s">
        <v>25951</v>
      </c>
      <c r="G4373" s="6" t="s">
        <v>52</v>
      </c>
      <c r="H4373" s="6" t="s">
        <v>184</v>
      </c>
      <c r="I4373" s="8" t="s">
        <v>58</v>
      </c>
      <c r="J4373" s="9">
        <v>1</v>
      </c>
      <c r="K4373" s="9">
        <v>256</v>
      </c>
      <c r="L4373" s="9">
        <v>2024</v>
      </c>
      <c r="M4373" s="8" t="s">
        <v>25952</v>
      </c>
      <c r="N4373" s="8" t="s">
        <v>79</v>
      </c>
      <c r="O4373" s="8" t="s">
        <v>174</v>
      </c>
      <c r="P4373" s="6" t="s">
        <v>43</v>
      </c>
      <c r="Q4373" s="8" t="s">
        <v>102</v>
      </c>
      <c r="R4373" s="10" t="s">
        <v>25953</v>
      </c>
      <c r="S4373" s="11" t="s">
        <v>25954</v>
      </c>
      <c r="T4373" s="6"/>
      <c r="U4373" s="24" t="str">
        <f>HYPERLINK("https://media.infra-m.ru/2130/2130081/cover/2130081.jpg", "Обложка")</f>
        <v>Обложка</v>
      </c>
      <c r="V4373" s="24" t="str">
        <f>HYPERLINK("https://znanium.ru/catalog/product/1058462", "Ознакомиться")</f>
        <v>Ознакомиться</v>
      </c>
      <c r="W4373" s="8"/>
      <c r="X4373" s="6"/>
      <c r="Y4373" s="6"/>
      <c r="Z4373" s="6"/>
      <c r="AA4373" s="6" t="s">
        <v>47</v>
      </c>
      <c r="AB4373" s="8"/>
    </row>
    <row r="4374" spans="1:28" s="4" customFormat="1" ht="51.95" customHeight="1">
      <c r="A4374" s="5">
        <v>0</v>
      </c>
      <c r="B4374" s="6" t="s">
        <v>25955</v>
      </c>
      <c r="C4374" s="13">
        <v>1230</v>
      </c>
      <c r="D4374" s="8" t="s">
        <v>25956</v>
      </c>
      <c r="E4374" s="8" t="s">
        <v>25957</v>
      </c>
      <c r="F4374" s="8" t="s">
        <v>25958</v>
      </c>
      <c r="G4374" s="6" t="s">
        <v>52</v>
      </c>
      <c r="H4374" s="6" t="s">
        <v>53</v>
      </c>
      <c r="I4374" s="8" t="s">
        <v>146</v>
      </c>
      <c r="J4374" s="9">
        <v>1</v>
      </c>
      <c r="K4374" s="9">
        <v>245</v>
      </c>
      <c r="L4374" s="9">
        <v>2024</v>
      </c>
      <c r="M4374" s="8" t="s">
        <v>25959</v>
      </c>
      <c r="N4374" s="8" t="s">
        <v>79</v>
      </c>
      <c r="O4374" s="8" t="s">
        <v>537</v>
      </c>
      <c r="P4374" s="6" t="s">
        <v>167</v>
      </c>
      <c r="Q4374" s="8" t="s">
        <v>44</v>
      </c>
      <c r="R4374" s="10" t="s">
        <v>25960</v>
      </c>
      <c r="S4374" s="11" t="s">
        <v>25961</v>
      </c>
      <c r="T4374" s="6"/>
      <c r="U4374" s="24" t="str">
        <f>HYPERLINK("https://media.infra-m.ru/1852/1852258/cover/1852258.jpg", "Обложка")</f>
        <v>Обложка</v>
      </c>
      <c r="V4374" s="24" t="str">
        <f>HYPERLINK("https://znanium.ru/catalog/product/1852258", "Ознакомиться")</f>
        <v>Ознакомиться</v>
      </c>
      <c r="W4374" s="8" t="s">
        <v>150</v>
      </c>
      <c r="X4374" s="6"/>
      <c r="Y4374" s="6"/>
      <c r="Z4374" s="6"/>
      <c r="AA4374" s="6" t="s">
        <v>133</v>
      </c>
      <c r="AB4374" s="8"/>
    </row>
    <row r="4375" spans="1:28" s="4" customFormat="1" ht="51.95" customHeight="1">
      <c r="A4375" s="5">
        <v>0</v>
      </c>
      <c r="B4375" s="6" t="s">
        <v>25962</v>
      </c>
      <c r="C4375" s="7">
        <v>614</v>
      </c>
      <c r="D4375" s="8" t="s">
        <v>25963</v>
      </c>
      <c r="E4375" s="8" t="s">
        <v>25964</v>
      </c>
      <c r="F4375" s="8" t="s">
        <v>25965</v>
      </c>
      <c r="G4375" s="6" t="s">
        <v>38</v>
      </c>
      <c r="H4375" s="6" t="s">
        <v>53</v>
      </c>
      <c r="I4375" s="8" t="s">
        <v>90</v>
      </c>
      <c r="J4375" s="9">
        <v>1</v>
      </c>
      <c r="K4375" s="9">
        <v>122</v>
      </c>
      <c r="L4375" s="9">
        <v>2025</v>
      </c>
      <c r="M4375" s="8" t="s">
        <v>25966</v>
      </c>
      <c r="N4375" s="8" t="s">
        <v>79</v>
      </c>
      <c r="O4375" s="8" t="s">
        <v>537</v>
      </c>
      <c r="P4375" s="6" t="s">
        <v>43</v>
      </c>
      <c r="Q4375" s="8" t="s">
        <v>44</v>
      </c>
      <c r="R4375" s="10" t="s">
        <v>6409</v>
      </c>
      <c r="S4375" s="11" t="s">
        <v>25967</v>
      </c>
      <c r="T4375" s="6"/>
      <c r="U4375" s="24" t="str">
        <f>HYPERLINK("https://media.infra-m.ru/2161/2161680/cover/2161680.jpg", "Обложка")</f>
        <v>Обложка</v>
      </c>
      <c r="V4375" s="24" t="str">
        <f>HYPERLINK("https://znanium.ru/catalog/product/2157002", "Ознакомиться")</f>
        <v>Ознакомиться</v>
      </c>
      <c r="W4375" s="8" t="s">
        <v>450</v>
      </c>
      <c r="X4375" s="6"/>
      <c r="Y4375" s="6"/>
      <c r="Z4375" s="6"/>
      <c r="AA4375" s="6" t="s">
        <v>418</v>
      </c>
      <c r="AB4375" s="8"/>
    </row>
    <row r="4376" spans="1:28" s="4" customFormat="1" ht="51.95" customHeight="1">
      <c r="A4376" s="5">
        <v>0</v>
      </c>
      <c r="B4376" s="6" t="s">
        <v>25968</v>
      </c>
      <c r="C4376" s="7">
        <v>610</v>
      </c>
      <c r="D4376" s="8" t="s">
        <v>25969</v>
      </c>
      <c r="E4376" s="8" t="s">
        <v>25964</v>
      </c>
      <c r="F4376" s="8" t="s">
        <v>25965</v>
      </c>
      <c r="G4376" s="6" t="s">
        <v>38</v>
      </c>
      <c r="H4376" s="6" t="s">
        <v>53</v>
      </c>
      <c r="I4376" s="8" t="s">
        <v>100</v>
      </c>
      <c r="J4376" s="9">
        <v>1</v>
      </c>
      <c r="K4376" s="9">
        <v>122</v>
      </c>
      <c r="L4376" s="9">
        <v>2025</v>
      </c>
      <c r="M4376" s="8" t="s">
        <v>25970</v>
      </c>
      <c r="N4376" s="8" t="s">
        <v>79</v>
      </c>
      <c r="O4376" s="8" t="s">
        <v>537</v>
      </c>
      <c r="P4376" s="6" t="s">
        <v>43</v>
      </c>
      <c r="Q4376" s="8" t="s">
        <v>102</v>
      </c>
      <c r="R4376" s="10" t="s">
        <v>20173</v>
      </c>
      <c r="S4376" s="11" t="s">
        <v>25971</v>
      </c>
      <c r="T4376" s="6" t="s">
        <v>299</v>
      </c>
      <c r="U4376" s="24" t="str">
        <f>HYPERLINK("https://media.infra-m.ru/2177/2177862/cover/2177862.jpg", "Обложка")</f>
        <v>Обложка</v>
      </c>
      <c r="V4376" s="24" t="str">
        <f>HYPERLINK("https://znanium.ru/catalog/product/2177862", "Ознакомиться")</f>
        <v>Ознакомиться</v>
      </c>
      <c r="W4376" s="8" t="s">
        <v>450</v>
      </c>
      <c r="X4376" s="6"/>
      <c r="Y4376" s="6"/>
      <c r="Z4376" s="6" t="s">
        <v>104</v>
      </c>
      <c r="AA4376" s="6" t="s">
        <v>219</v>
      </c>
      <c r="AB4376" s="8"/>
    </row>
    <row r="4377" spans="1:28" s="4" customFormat="1" ht="51.95" customHeight="1">
      <c r="A4377" s="5">
        <v>0</v>
      </c>
      <c r="B4377" s="6" t="s">
        <v>25972</v>
      </c>
      <c r="C4377" s="13">
        <v>1680</v>
      </c>
      <c r="D4377" s="8" t="s">
        <v>25973</v>
      </c>
      <c r="E4377" s="8" t="s">
        <v>25974</v>
      </c>
      <c r="F4377" s="8" t="s">
        <v>25975</v>
      </c>
      <c r="G4377" s="6" t="s">
        <v>89</v>
      </c>
      <c r="H4377" s="6" t="s">
        <v>53</v>
      </c>
      <c r="I4377" s="8" t="s">
        <v>100</v>
      </c>
      <c r="J4377" s="9">
        <v>1</v>
      </c>
      <c r="K4377" s="9">
        <v>336</v>
      </c>
      <c r="L4377" s="9">
        <v>2025</v>
      </c>
      <c r="M4377" s="8" t="s">
        <v>25976</v>
      </c>
      <c r="N4377" s="8" t="s">
        <v>79</v>
      </c>
      <c r="O4377" s="8" t="s">
        <v>174</v>
      </c>
      <c r="P4377" s="6" t="s">
        <v>43</v>
      </c>
      <c r="Q4377" s="8" t="s">
        <v>102</v>
      </c>
      <c r="R4377" s="10" t="s">
        <v>25977</v>
      </c>
      <c r="S4377" s="11" t="s">
        <v>25978</v>
      </c>
      <c r="T4377" s="6"/>
      <c r="U4377" s="24" t="str">
        <f>HYPERLINK("https://media.infra-m.ru/2185/2185121/cover/2185121.jpg", "Обложка")</f>
        <v>Обложка</v>
      </c>
      <c r="V4377" s="24" t="str">
        <f>HYPERLINK("https://znanium.ru/catalog/product/2185121", "Ознакомиться")</f>
        <v>Ознакомиться</v>
      </c>
      <c r="W4377" s="8" t="s">
        <v>17625</v>
      </c>
      <c r="X4377" s="6"/>
      <c r="Y4377" s="6"/>
      <c r="Z4377" s="6"/>
      <c r="AA4377" s="6" t="s">
        <v>4952</v>
      </c>
      <c r="AB4377" s="8"/>
    </row>
    <row r="4378" spans="1:28" s="4" customFormat="1" ht="51.95" customHeight="1">
      <c r="A4378" s="5">
        <v>0</v>
      </c>
      <c r="B4378" s="6" t="s">
        <v>25979</v>
      </c>
      <c r="C4378" s="13">
        <v>1124</v>
      </c>
      <c r="D4378" s="8" t="s">
        <v>25980</v>
      </c>
      <c r="E4378" s="8" t="s">
        <v>25981</v>
      </c>
      <c r="F4378" s="8" t="s">
        <v>25982</v>
      </c>
      <c r="G4378" s="6" t="s">
        <v>52</v>
      </c>
      <c r="H4378" s="6" t="s">
        <v>53</v>
      </c>
      <c r="I4378" s="8" t="s">
        <v>90</v>
      </c>
      <c r="J4378" s="9">
        <v>1</v>
      </c>
      <c r="K4378" s="9">
        <v>245</v>
      </c>
      <c r="L4378" s="9">
        <v>2024</v>
      </c>
      <c r="M4378" s="8" t="s">
        <v>25983</v>
      </c>
      <c r="N4378" s="8" t="s">
        <v>56</v>
      </c>
      <c r="O4378" s="8" t="s">
        <v>57</v>
      </c>
      <c r="P4378" s="6" t="s">
        <v>43</v>
      </c>
      <c r="Q4378" s="8" t="s">
        <v>44</v>
      </c>
      <c r="R4378" s="10" t="s">
        <v>25984</v>
      </c>
      <c r="S4378" s="11" t="s">
        <v>25985</v>
      </c>
      <c r="T4378" s="6"/>
      <c r="U4378" s="24" t="str">
        <f>HYPERLINK("https://media.infra-m.ru/2085/2085100/cover/2085100.jpg", "Обложка")</f>
        <v>Обложка</v>
      </c>
      <c r="V4378" s="24" t="str">
        <f>HYPERLINK("https://znanium.ru/catalog/product/1002919", "Ознакомиться")</f>
        <v>Ознакомиться</v>
      </c>
      <c r="W4378" s="8" t="s">
        <v>4293</v>
      </c>
      <c r="X4378" s="6"/>
      <c r="Y4378" s="6"/>
      <c r="Z4378" s="6"/>
      <c r="AA4378" s="6" t="s">
        <v>122</v>
      </c>
      <c r="AB4378" s="8"/>
    </row>
    <row r="4379" spans="1:28" s="4" customFormat="1" ht="51.95" customHeight="1">
      <c r="A4379" s="5">
        <v>0</v>
      </c>
      <c r="B4379" s="6" t="s">
        <v>25986</v>
      </c>
      <c r="C4379" s="13">
        <v>1030</v>
      </c>
      <c r="D4379" s="8" t="s">
        <v>25987</v>
      </c>
      <c r="E4379" s="8" t="s">
        <v>25988</v>
      </c>
      <c r="F4379" s="8" t="s">
        <v>22191</v>
      </c>
      <c r="G4379" s="6" t="s">
        <v>38</v>
      </c>
      <c r="H4379" s="6" t="s">
        <v>53</v>
      </c>
      <c r="I4379" s="8" t="s">
        <v>90</v>
      </c>
      <c r="J4379" s="9">
        <v>1</v>
      </c>
      <c r="K4379" s="9">
        <v>229</v>
      </c>
      <c r="L4379" s="9">
        <v>2023</v>
      </c>
      <c r="M4379" s="8" t="s">
        <v>25989</v>
      </c>
      <c r="N4379" s="8" t="s">
        <v>79</v>
      </c>
      <c r="O4379" s="8" t="s">
        <v>396</v>
      </c>
      <c r="P4379" s="6" t="s">
        <v>43</v>
      </c>
      <c r="Q4379" s="8" t="s">
        <v>44</v>
      </c>
      <c r="R4379" s="10" t="s">
        <v>25990</v>
      </c>
      <c r="S4379" s="11" t="s">
        <v>25991</v>
      </c>
      <c r="T4379" s="6"/>
      <c r="U4379" s="24" t="str">
        <f>HYPERLINK("https://media.infra-m.ru/1905/1905621/cover/1905621.jpg", "Обложка")</f>
        <v>Обложка</v>
      </c>
      <c r="V4379" s="24" t="str">
        <f>HYPERLINK("https://znanium.ru/catalog/product/1905621", "Ознакомиться")</f>
        <v>Ознакомиться</v>
      </c>
      <c r="W4379" s="8"/>
      <c r="X4379" s="6"/>
      <c r="Y4379" s="6"/>
      <c r="Z4379" s="6"/>
      <c r="AA4379" s="6" t="s">
        <v>151</v>
      </c>
      <c r="AB4379" s="8"/>
    </row>
    <row r="4380" spans="1:28" s="4" customFormat="1" ht="51.95" customHeight="1">
      <c r="A4380" s="5">
        <v>0</v>
      </c>
      <c r="B4380" s="6" t="s">
        <v>25992</v>
      </c>
      <c r="C4380" s="13">
        <v>1230</v>
      </c>
      <c r="D4380" s="8" t="s">
        <v>25993</v>
      </c>
      <c r="E4380" s="8" t="s">
        <v>25994</v>
      </c>
      <c r="F4380" s="8" t="s">
        <v>5504</v>
      </c>
      <c r="G4380" s="6" t="s">
        <v>52</v>
      </c>
      <c r="H4380" s="6" t="s">
        <v>674</v>
      </c>
      <c r="I4380" s="8"/>
      <c r="J4380" s="9">
        <v>1</v>
      </c>
      <c r="K4380" s="9">
        <v>432</v>
      </c>
      <c r="L4380" s="9">
        <v>2018</v>
      </c>
      <c r="M4380" s="8" t="s">
        <v>25995</v>
      </c>
      <c r="N4380" s="8" t="s">
        <v>41</v>
      </c>
      <c r="O4380" s="8" t="s">
        <v>118</v>
      </c>
      <c r="P4380" s="6" t="s">
        <v>167</v>
      </c>
      <c r="Q4380" s="8" t="s">
        <v>44</v>
      </c>
      <c r="R4380" s="10" t="s">
        <v>25996</v>
      </c>
      <c r="S4380" s="11" t="s">
        <v>25997</v>
      </c>
      <c r="T4380" s="6"/>
      <c r="U4380" s="24" t="str">
        <f>HYPERLINK("https://media.infra-m.ru/0952/0952104/cover/952104.jpg", "Обложка")</f>
        <v>Обложка</v>
      </c>
      <c r="V4380" s="24" t="str">
        <f>HYPERLINK("https://znanium.ru/catalog/product/1986688", "Ознакомиться")</f>
        <v>Ознакомиться</v>
      </c>
      <c r="W4380" s="8" t="s">
        <v>678</v>
      </c>
      <c r="X4380" s="6"/>
      <c r="Y4380" s="6"/>
      <c r="Z4380" s="6"/>
      <c r="AA4380" s="6" t="s">
        <v>2202</v>
      </c>
      <c r="AB4380" s="8"/>
    </row>
    <row r="4381" spans="1:28" s="4" customFormat="1" ht="51.95" customHeight="1">
      <c r="A4381" s="5">
        <v>0</v>
      </c>
      <c r="B4381" s="6" t="s">
        <v>25998</v>
      </c>
      <c r="C4381" s="13">
        <v>1994</v>
      </c>
      <c r="D4381" s="8" t="s">
        <v>25999</v>
      </c>
      <c r="E4381" s="8" t="s">
        <v>26000</v>
      </c>
      <c r="F4381" s="8" t="s">
        <v>5504</v>
      </c>
      <c r="G4381" s="6" t="s">
        <v>89</v>
      </c>
      <c r="H4381" s="6" t="s">
        <v>674</v>
      </c>
      <c r="I4381" s="8"/>
      <c r="J4381" s="9">
        <v>1</v>
      </c>
      <c r="K4381" s="9">
        <v>400</v>
      </c>
      <c r="L4381" s="9">
        <v>2025</v>
      </c>
      <c r="M4381" s="8" t="s">
        <v>26001</v>
      </c>
      <c r="N4381" s="8" t="s">
        <v>41</v>
      </c>
      <c r="O4381" s="8" t="s">
        <v>118</v>
      </c>
      <c r="P4381" s="6" t="s">
        <v>167</v>
      </c>
      <c r="Q4381" s="8" t="s">
        <v>44</v>
      </c>
      <c r="R4381" s="10" t="s">
        <v>25996</v>
      </c>
      <c r="S4381" s="11" t="s">
        <v>25997</v>
      </c>
      <c r="T4381" s="6"/>
      <c r="U4381" s="24" t="str">
        <f>HYPERLINK("https://media.infra-m.ru/2188/2188208/cover/2188208.jpg", "Обложка")</f>
        <v>Обложка</v>
      </c>
      <c r="V4381" s="24" t="str">
        <f>HYPERLINK("https://znanium.ru/catalog/product/1986688", "Ознакомиться")</f>
        <v>Ознакомиться</v>
      </c>
      <c r="W4381" s="8" t="s">
        <v>678</v>
      </c>
      <c r="X4381" s="6"/>
      <c r="Y4381" s="6"/>
      <c r="Z4381" s="6"/>
      <c r="AA4381" s="6" t="s">
        <v>898</v>
      </c>
      <c r="AB4381" s="8"/>
    </row>
    <row r="4382" spans="1:28" s="4" customFormat="1" ht="51.95" customHeight="1">
      <c r="A4382" s="5">
        <v>0</v>
      </c>
      <c r="B4382" s="6" t="s">
        <v>26002</v>
      </c>
      <c r="C4382" s="13">
        <v>2154</v>
      </c>
      <c r="D4382" s="8" t="s">
        <v>26003</v>
      </c>
      <c r="E4382" s="8" t="s">
        <v>26004</v>
      </c>
      <c r="F4382" s="8" t="s">
        <v>9211</v>
      </c>
      <c r="G4382" s="6" t="s">
        <v>52</v>
      </c>
      <c r="H4382" s="6" t="s">
        <v>53</v>
      </c>
      <c r="I4382" s="8" t="s">
        <v>90</v>
      </c>
      <c r="J4382" s="9">
        <v>1</v>
      </c>
      <c r="K4382" s="9">
        <v>414</v>
      </c>
      <c r="L4382" s="9">
        <v>2025</v>
      </c>
      <c r="M4382" s="8" t="s">
        <v>26005</v>
      </c>
      <c r="N4382" s="8" t="s">
        <v>41</v>
      </c>
      <c r="O4382" s="8" t="s">
        <v>118</v>
      </c>
      <c r="P4382" s="6" t="s">
        <v>167</v>
      </c>
      <c r="Q4382" s="8" t="s">
        <v>44</v>
      </c>
      <c r="R4382" s="10" t="s">
        <v>5657</v>
      </c>
      <c r="S4382" s="11" t="s">
        <v>26006</v>
      </c>
      <c r="T4382" s="6"/>
      <c r="U4382" s="24" t="str">
        <f>HYPERLINK("https://media.infra-m.ru/2196/2196133/cover/2196133.jpg", "Обложка")</f>
        <v>Обложка</v>
      </c>
      <c r="V4382" s="24" t="str">
        <f>HYPERLINK("https://znanium.ru/catalog/product/2002652", "Ознакомиться")</f>
        <v>Ознакомиться</v>
      </c>
      <c r="W4382" s="8" t="s">
        <v>354</v>
      </c>
      <c r="X4382" s="6"/>
      <c r="Y4382" s="6"/>
      <c r="Z4382" s="6"/>
      <c r="AA4382" s="6" t="s">
        <v>219</v>
      </c>
      <c r="AB4382" s="8"/>
    </row>
    <row r="4383" spans="1:28" s="4" customFormat="1" ht="51.95" customHeight="1">
      <c r="A4383" s="5">
        <v>0</v>
      </c>
      <c r="B4383" s="6" t="s">
        <v>26007</v>
      </c>
      <c r="C4383" s="13">
        <v>1390</v>
      </c>
      <c r="D4383" s="8" t="s">
        <v>26008</v>
      </c>
      <c r="E4383" s="8" t="s">
        <v>26009</v>
      </c>
      <c r="F4383" s="8" t="s">
        <v>26010</v>
      </c>
      <c r="G4383" s="6" t="s">
        <v>89</v>
      </c>
      <c r="H4383" s="6" t="s">
        <v>53</v>
      </c>
      <c r="I4383" s="8" t="s">
        <v>116</v>
      </c>
      <c r="J4383" s="9">
        <v>1</v>
      </c>
      <c r="K4383" s="9">
        <v>299</v>
      </c>
      <c r="L4383" s="9">
        <v>2024</v>
      </c>
      <c r="M4383" s="8" t="s">
        <v>26011</v>
      </c>
      <c r="N4383" s="8" t="s">
        <v>41</v>
      </c>
      <c r="O4383" s="8" t="s">
        <v>118</v>
      </c>
      <c r="P4383" s="6" t="s">
        <v>43</v>
      </c>
      <c r="Q4383" s="8" t="s">
        <v>44</v>
      </c>
      <c r="R4383" s="10" t="s">
        <v>26012</v>
      </c>
      <c r="S4383" s="11" t="s">
        <v>26013</v>
      </c>
      <c r="T4383" s="6"/>
      <c r="U4383" s="24" t="str">
        <f>HYPERLINK("https://media.infra-m.ru/2124/2124810/cover/2124810.jpg", "Обложка")</f>
        <v>Обложка</v>
      </c>
      <c r="V4383" s="24" t="str">
        <f>HYPERLINK("https://znanium.ru/catalog/product/2124810", "Ознакомиться")</f>
        <v>Ознакомиться</v>
      </c>
      <c r="W4383" s="8" t="s">
        <v>2392</v>
      </c>
      <c r="X4383" s="6"/>
      <c r="Y4383" s="6"/>
      <c r="Z4383" s="6"/>
      <c r="AA4383" s="6" t="s">
        <v>122</v>
      </c>
      <c r="AB4383" s="8"/>
    </row>
    <row r="4384" spans="1:28" s="4" customFormat="1" ht="44.1" customHeight="1">
      <c r="A4384" s="5">
        <v>0</v>
      </c>
      <c r="B4384" s="6" t="s">
        <v>26014</v>
      </c>
      <c r="C4384" s="13">
        <v>1222</v>
      </c>
      <c r="D4384" s="8" t="s">
        <v>26015</v>
      </c>
      <c r="E4384" s="8" t="s">
        <v>26016</v>
      </c>
      <c r="F4384" s="8" t="s">
        <v>26017</v>
      </c>
      <c r="G4384" s="6" t="s">
        <v>52</v>
      </c>
      <c r="H4384" s="6" t="s">
        <v>53</v>
      </c>
      <c r="I4384" s="8" t="s">
        <v>782</v>
      </c>
      <c r="J4384" s="9">
        <v>1</v>
      </c>
      <c r="K4384" s="9">
        <v>188</v>
      </c>
      <c r="L4384" s="9">
        <v>2025</v>
      </c>
      <c r="M4384" s="8" t="s">
        <v>26018</v>
      </c>
      <c r="N4384" s="8" t="s">
        <v>79</v>
      </c>
      <c r="O4384" s="8" t="s">
        <v>396</v>
      </c>
      <c r="P4384" s="6" t="s">
        <v>43</v>
      </c>
      <c r="Q4384" s="8" t="s">
        <v>58</v>
      </c>
      <c r="R4384" s="10" t="s">
        <v>16230</v>
      </c>
      <c r="S4384" s="11"/>
      <c r="T4384" s="6"/>
      <c r="U4384" s="24" t="str">
        <f>HYPERLINK("https://media.infra-m.ru/2162/2162070/cover/2162070.jpg", "Обложка")</f>
        <v>Обложка</v>
      </c>
      <c r="V4384" s="12"/>
      <c r="W4384" s="8" t="s">
        <v>784</v>
      </c>
      <c r="X4384" s="6" t="s">
        <v>785</v>
      </c>
      <c r="Y4384" s="6"/>
      <c r="Z4384" s="6"/>
      <c r="AA4384" s="6" t="s">
        <v>61</v>
      </c>
      <c r="AB4384" s="8"/>
    </row>
    <row r="4385" spans="1:28" s="4" customFormat="1" ht="42" customHeight="1">
      <c r="A4385" s="5">
        <v>0</v>
      </c>
      <c r="B4385" s="6" t="s">
        <v>26019</v>
      </c>
      <c r="C4385" s="7">
        <v>990</v>
      </c>
      <c r="D4385" s="8" t="s">
        <v>26020</v>
      </c>
      <c r="E4385" s="8" t="s">
        <v>26021</v>
      </c>
      <c r="F4385" s="8" t="s">
        <v>26017</v>
      </c>
      <c r="G4385" s="6" t="s">
        <v>52</v>
      </c>
      <c r="H4385" s="6" t="s">
        <v>53</v>
      </c>
      <c r="I4385" s="8" t="s">
        <v>782</v>
      </c>
      <c r="J4385" s="9">
        <v>1</v>
      </c>
      <c r="K4385" s="9">
        <v>190</v>
      </c>
      <c r="L4385" s="9">
        <v>2025</v>
      </c>
      <c r="M4385" s="8" t="s">
        <v>26022</v>
      </c>
      <c r="N4385" s="8" t="s">
        <v>79</v>
      </c>
      <c r="O4385" s="8" t="s">
        <v>396</v>
      </c>
      <c r="P4385" s="6" t="s">
        <v>43</v>
      </c>
      <c r="Q4385" s="8" t="s">
        <v>58</v>
      </c>
      <c r="R4385" s="10" t="s">
        <v>26023</v>
      </c>
      <c r="S4385" s="11"/>
      <c r="T4385" s="6"/>
      <c r="U4385" s="24" t="str">
        <f>HYPERLINK("https://media.infra-m.ru/2162/2162071/cover/2162071.jpg", "Обложка")</f>
        <v>Обложка</v>
      </c>
      <c r="V4385" s="12"/>
      <c r="W4385" s="8" t="s">
        <v>784</v>
      </c>
      <c r="X4385" s="6" t="s">
        <v>548</v>
      </c>
      <c r="Y4385" s="6"/>
      <c r="Z4385" s="6"/>
      <c r="AA4385" s="6" t="s">
        <v>61</v>
      </c>
      <c r="AB4385" s="8"/>
    </row>
    <row r="4386" spans="1:28" s="4" customFormat="1" ht="42" customHeight="1">
      <c r="A4386" s="5">
        <v>0</v>
      </c>
      <c r="B4386" s="6" t="s">
        <v>26024</v>
      </c>
      <c r="C4386" s="13">
        <v>1020</v>
      </c>
      <c r="D4386" s="8" t="s">
        <v>26025</v>
      </c>
      <c r="E4386" s="8" t="s">
        <v>26026</v>
      </c>
      <c r="F4386" s="8" t="s">
        <v>26027</v>
      </c>
      <c r="G4386" s="6" t="s">
        <v>52</v>
      </c>
      <c r="H4386" s="6" t="s">
        <v>53</v>
      </c>
      <c r="I4386" s="8" t="s">
        <v>212</v>
      </c>
      <c r="J4386" s="9">
        <v>1</v>
      </c>
      <c r="K4386" s="9">
        <v>213</v>
      </c>
      <c r="L4386" s="9">
        <v>2024</v>
      </c>
      <c r="M4386" s="8" t="s">
        <v>26028</v>
      </c>
      <c r="N4386" s="8" t="s">
        <v>41</v>
      </c>
      <c r="O4386" s="8" t="s">
        <v>1007</v>
      </c>
      <c r="P4386" s="6" t="s">
        <v>167</v>
      </c>
      <c r="Q4386" s="8" t="s">
        <v>214</v>
      </c>
      <c r="R4386" s="10" t="s">
        <v>6758</v>
      </c>
      <c r="S4386" s="11"/>
      <c r="T4386" s="6"/>
      <c r="U4386" s="24" t="str">
        <f>HYPERLINK("https://media.infra-m.ru/1913/1913591/cover/1913591.jpg", "Обложка")</f>
        <v>Обложка</v>
      </c>
      <c r="V4386" s="24" t="str">
        <f>HYPERLINK("https://znanium.ru/catalog/product/1913591", "Ознакомиться")</f>
        <v>Ознакомиться</v>
      </c>
      <c r="W4386" s="8" t="s">
        <v>3494</v>
      </c>
      <c r="X4386" s="6"/>
      <c r="Y4386" s="6"/>
      <c r="Z4386" s="6"/>
      <c r="AA4386" s="6" t="s">
        <v>133</v>
      </c>
      <c r="AB4386" s="8"/>
    </row>
    <row r="4387" spans="1:28" s="4" customFormat="1" ht="51.95" customHeight="1">
      <c r="A4387" s="5">
        <v>0</v>
      </c>
      <c r="B4387" s="6" t="s">
        <v>26029</v>
      </c>
      <c r="C4387" s="7">
        <v>780</v>
      </c>
      <c r="D4387" s="8" t="s">
        <v>26030</v>
      </c>
      <c r="E4387" s="8" t="s">
        <v>26031</v>
      </c>
      <c r="F4387" s="8" t="s">
        <v>26032</v>
      </c>
      <c r="G4387" s="6" t="s">
        <v>89</v>
      </c>
      <c r="H4387" s="6" t="s">
        <v>53</v>
      </c>
      <c r="I4387" s="8" t="s">
        <v>90</v>
      </c>
      <c r="J4387" s="9">
        <v>1</v>
      </c>
      <c r="K4387" s="9">
        <v>174</v>
      </c>
      <c r="L4387" s="9">
        <v>2023</v>
      </c>
      <c r="M4387" s="8" t="s">
        <v>26033</v>
      </c>
      <c r="N4387" s="8" t="s">
        <v>997</v>
      </c>
      <c r="O4387" s="8" t="s">
        <v>998</v>
      </c>
      <c r="P4387" s="6" t="s">
        <v>43</v>
      </c>
      <c r="Q4387" s="8" t="s">
        <v>44</v>
      </c>
      <c r="R4387" s="10" t="s">
        <v>17606</v>
      </c>
      <c r="S4387" s="11" t="s">
        <v>26034</v>
      </c>
      <c r="T4387" s="6"/>
      <c r="U4387" s="24" t="str">
        <f>HYPERLINK("https://media.infra-m.ru/1981/1981601/cover/1981601.jpg", "Обложка")</f>
        <v>Обложка</v>
      </c>
      <c r="V4387" s="24" t="str">
        <f>HYPERLINK("https://znanium.ru/catalog/product/1981601", "Ознакомиться")</f>
        <v>Ознакомиться</v>
      </c>
      <c r="W4387" s="8" t="s">
        <v>46</v>
      </c>
      <c r="X4387" s="6"/>
      <c r="Y4387" s="6"/>
      <c r="Z4387" s="6"/>
      <c r="AA4387" s="6" t="s">
        <v>2001</v>
      </c>
      <c r="AB4387" s="8"/>
    </row>
    <row r="4388" spans="1:28" s="4" customFormat="1" ht="51.95" customHeight="1">
      <c r="A4388" s="5">
        <v>0</v>
      </c>
      <c r="B4388" s="6" t="s">
        <v>26035</v>
      </c>
      <c r="C4388" s="7">
        <v>790</v>
      </c>
      <c r="D4388" s="8" t="s">
        <v>26036</v>
      </c>
      <c r="E4388" s="8" t="s">
        <v>26031</v>
      </c>
      <c r="F4388" s="8" t="s">
        <v>26032</v>
      </c>
      <c r="G4388" s="6" t="s">
        <v>89</v>
      </c>
      <c r="H4388" s="6" t="s">
        <v>53</v>
      </c>
      <c r="I4388" s="8" t="s">
        <v>100</v>
      </c>
      <c r="J4388" s="9">
        <v>1</v>
      </c>
      <c r="K4388" s="9">
        <v>174</v>
      </c>
      <c r="L4388" s="9">
        <v>2023</v>
      </c>
      <c r="M4388" s="8" t="s">
        <v>26037</v>
      </c>
      <c r="N4388" s="8" t="s">
        <v>997</v>
      </c>
      <c r="O4388" s="8" t="s">
        <v>998</v>
      </c>
      <c r="P4388" s="6" t="s">
        <v>43</v>
      </c>
      <c r="Q4388" s="8" t="s">
        <v>102</v>
      </c>
      <c r="R4388" s="10" t="s">
        <v>26038</v>
      </c>
      <c r="S4388" s="11" t="s">
        <v>26039</v>
      </c>
      <c r="T4388" s="6"/>
      <c r="U4388" s="24" t="str">
        <f>HYPERLINK("https://media.infra-m.ru/1991/1991866/cover/1991866.jpg", "Обложка")</f>
        <v>Обложка</v>
      </c>
      <c r="V4388" s="24" t="str">
        <f>HYPERLINK("https://znanium.ru/catalog/product/1991866", "Ознакомиться")</f>
        <v>Ознакомиться</v>
      </c>
      <c r="W4388" s="8" t="s">
        <v>46</v>
      </c>
      <c r="X4388" s="6"/>
      <c r="Y4388" s="6"/>
      <c r="Z4388" s="6" t="s">
        <v>104</v>
      </c>
      <c r="AA4388" s="6" t="s">
        <v>874</v>
      </c>
      <c r="AB4388" s="8"/>
    </row>
    <row r="4389" spans="1:28" s="4" customFormat="1" ht="51.95" customHeight="1">
      <c r="A4389" s="5">
        <v>0</v>
      </c>
      <c r="B4389" s="6" t="s">
        <v>26040</v>
      </c>
      <c r="C4389" s="13">
        <v>1174</v>
      </c>
      <c r="D4389" s="8" t="s">
        <v>26041</v>
      </c>
      <c r="E4389" s="8" t="s">
        <v>26042</v>
      </c>
      <c r="F4389" s="8" t="s">
        <v>26043</v>
      </c>
      <c r="G4389" s="6" t="s">
        <v>89</v>
      </c>
      <c r="H4389" s="6" t="s">
        <v>53</v>
      </c>
      <c r="I4389" s="8" t="s">
        <v>90</v>
      </c>
      <c r="J4389" s="9">
        <v>1</v>
      </c>
      <c r="K4389" s="9">
        <v>255</v>
      </c>
      <c r="L4389" s="9">
        <v>2022</v>
      </c>
      <c r="M4389" s="8" t="s">
        <v>26044</v>
      </c>
      <c r="N4389" s="8" t="s">
        <v>997</v>
      </c>
      <c r="O4389" s="8" t="s">
        <v>998</v>
      </c>
      <c r="P4389" s="6" t="s">
        <v>43</v>
      </c>
      <c r="Q4389" s="8" t="s">
        <v>44</v>
      </c>
      <c r="R4389" s="10" t="s">
        <v>1598</v>
      </c>
      <c r="S4389" s="11" t="s">
        <v>26045</v>
      </c>
      <c r="T4389" s="6"/>
      <c r="U4389" s="24" t="str">
        <f>HYPERLINK("https://media.infra-m.ru/1852/1852409/cover/1852409.jpg", "Обложка")</f>
        <v>Обложка</v>
      </c>
      <c r="V4389" s="24" t="str">
        <f>HYPERLINK("https://znanium.ru/catalog/product/1860514", "Ознакомиться")</f>
        <v>Ознакомиться</v>
      </c>
      <c r="W4389" s="8" t="s">
        <v>347</v>
      </c>
      <c r="X4389" s="6"/>
      <c r="Y4389" s="6"/>
      <c r="Z4389" s="6"/>
      <c r="AA4389" s="6" t="s">
        <v>160</v>
      </c>
      <c r="AB4389" s="8"/>
    </row>
    <row r="4390" spans="1:28" s="4" customFormat="1" ht="42" customHeight="1">
      <c r="A4390" s="5">
        <v>0</v>
      </c>
      <c r="B4390" s="6" t="s">
        <v>26046</v>
      </c>
      <c r="C4390" s="13">
        <v>1140</v>
      </c>
      <c r="D4390" s="8" t="s">
        <v>26047</v>
      </c>
      <c r="E4390" s="8" t="s">
        <v>26048</v>
      </c>
      <c r="F4390" s="8" t="s">
        <v>26043</v>
      </c>
      <c r="G4390" s="6" t="s">
        <v>52</v>
      </c>
      <c r="H4390" s="6" t="s">
        <v>53</v>
      </c>
      <c r="I4390" s="8" t="s">
        <v>276</v>
      </c>
      <c r="J4390" s="9">
        <v>1</v>
      </c>
      <c r="K4390" s="9">
        <v>247</v>
      </c>
      <c r="L4390" s="9">
        <v>2024</v>
      </c>
      <c r="M4390" s="8" t="s">
        <v>26049</v>
      </c>
      <c r="N4390" s="8" t="s">
        <v>997</v>
      </c>
      <c r="O4390" s="8" t="s">
        <v>998</v>
      </c>
      <c r="P4390" s="6" t="s">
        <v>43</v>
      </c>
      <c r="Q4390" s="8" t="s">
        <v>279</v>
      </c>
      <c r="R4390" s="10" t="s">
        <v>1598</v>
      </c>
      <c r="S4390" s="11"/>
      <c r="T4390" s="6"/>
      <c r="U4390" s="24" t="str">
        <f>HYPERLINK("https://media.infra-m.ru/1860/1860514/cover/1860514.jpg", "Обложка")</f>
        <v>Обложка</v>
      </c>
      <c r="V4390" s="24" t="str">
        <f>HYPERLINK("https://znanium.ru/catalog/product/1860514", "Ознакомиться")</f>
        <v>Ознакомиться</v>
      </c>
      <c r="W4390" s="8" t="s">
        <v>347</v>
      </c>
      <c r="X4390" s="6"/>
      <c r="Y4390" s="6"/>
      <c r="Z4390" s="6"/>
      <c r="AA4390" s="6" t="s">
        <v>3787</v>
      </c>
      <c r="AB4390" s="8"/>
    </row>
    <row r="4391" spans="1:28" s="4" customFormat="1" ht="51.95" customHeight="1">
      <c r="A4391" s="5">
        <v>0</v>
      </c>
      <c r="B4391" s="6" t="s">
        <v>26050</v>
      </c>
      <c r="C4391" s="13">
        <v>1590</v>
      </c>
      <c r="D4391" s="8" t="s">
        <v>26051</v>
      </c>
      <c r="E4391" s="8" t="s">
        <v>26052</v>
      </c>
      <c r="F4391" s="8" t="s">
        <v>26053</v>
      </c>
      <c r="G4391" s="6" t="s">
        <v>89</v>
      </c>
      <c r="H4391" s="6" t="s">
        <v>53</v>
      </c>
      <c r="I4391" s="8" t="s">
        <v>116</v>
      </c>
      <c r="J4391" s="9">
        <v>1</v>
      </c>
      <c r="K4391" s="9">
        <v>300</v>
      </c>
      <c r="L4391" s="9">
        <v>2025</v>
      </c>
      <c r="M4391" s="8" t="s">
        <v>26054</v>
      </c>
      <c r="N4391" s="8" t="s">
        <v>41</v>
      </c>
      <c r="O4391" s="8" t="s">
        <v>1007</v>
      </c>
      <c r="P4391" s="6" t="s">
        <v>43</v>
      </c>
      <c r="Q4391" s="8" t="s">
        <v>58</v>
      </c>
      <c r="R4391" s="10" t="s">
        <v>26055</v>
      </c>
      <c r="S4391" s="11"/>
      <c r="T4391" s="6"/>
      <c r="U4391" s="24" t="str">
        <f>HYPERLINK("https://media.infra-m.ru/2196/2196570/cover/2196570.jpg", "Обложка")</f>
        <v>Обложка</v>
      </c>
      <c r="V4391" s="24" t="str">
        <f>HYPERLINK("https://znanium.ru/catalog/product/2152008", "Ознакомиться")</f>
        <v>Ознакомиться</v>
      </c>
      <c r="W4391" s="8" t="s">
        <v>1233</v>
      </c>
      <c r="X4391" s="6"/>
      <c r="Y4391" s="6"/>
      <c r="Z4391" s="6"/>
      <c r="AA4391" s="6" t="s">
        <v>61</v>
      </c>
      <c r="AB4391" s="8" t="s">
        <v>12397</v>
      </c>
    </row>
    <row r="4392" spans="1:28" s="4" customFormat="1" ht="42" customHeight="1">
      <c r="A4392" s="5">
        <v>0</v>
      </c>
      <c r="B4392" s="6" t="s">
        <v>26056</v>
      </c>
      <c r="C4392" s="13">
        <v>1990</v>
      </c>
      <c r="D4392" s="8" t="s">
        <v>26057</v>
      </c>
      <c r="E4392" s="8" t="s">
        <v>26058</v>
      </c>
      <c r="F4392" s="8" t="s">
        <v>14561</v>
      </c>
      <c r="G4392" s="6" t="s">
        <v>52</v>
      </c>
      <c r="H4392" s="6" t="s">
        <v>53</v>
      </c>
      <c r="I4392" s="8" t="s">
        <v>116</v>
      </c>
      <c r="J4392" s="9">
        <v>1</v>
      </c>
      <c r="K4392" s="9">
        <v>390</v>
      </c>
      <c r="L4392" s="9">
        <v>2025</v>
      </c>
      <c r="M4392" s="8" t="s">
        <v>26059</v>
      </c>
      <c r="N4392" s="8" t="s">
        <v>413</v>
      </c>
      <c r="O4392" s="8" t="s">
        <v>2771</v>
      </c>
      <c r="P4392" s="6" t="s">
        <v>167</v>
      </c>
      <c r="Q4392" s="8" t="s">
        <v>58</v>
      </c>
      <c r="R4392" s="10" t="s">
        <v>9780</v>
      </c>
      <c r="S4392" s="11"/>
      <c r="T4392" s="6"/>
      <c r="U4392" s="24" t="str">
        <f>HYPERLINK("https://media.infra-m.ru/2010/2010442/cover/2010442.jpg", "Обложка")</f>
        <v>Обложка</v>
      </c>
      <c r="V4392" s="24" t="str">
        <f>HYPERLINK("https://znanium.ru/catalog/product/2010442", "Ознакомиться")</f>
        <v>Ознакомиться</v>
      </c>
      <c r="W4392" s="8" t="s">
        <v>4830</v>
      </c>
      <c r="X4392" s="6" t="s">
        <v>389</v>
      </c>
      <c r="Y4392" s="6"/>
      <c r="Z4392" s="6"/>
      <c r="AA4392" s="6" t="s">
        <v>61</v>
      </c>
      <c r="AB4392" s="8"/>
    </row>
    <row r="4393" spans="1:28" s="4" customFormat="1" ht="51.95" customHeight="1">
      <c r="A4393" s="5">
        <v>0</v>
      </c>
      <c r="B4393" s="6" t="s">
        <v>26060</v>
      </c>
      <c r="C4393" s="13">
        <v>1994</v>
      </c>
      <c r="D4393" s="8" t="s">
        <v>26061</v>
      </c>
      <c r="E4393" s="8" t="s">
        <v>26062</v>
      </c>
      <c r="F4393" s="8" t="s">
        <v>26063</v>
      </c>
      <c r="G4393" s="6" t="s">
        <v>52</v>
      </c>
      <c r="H4393" s="6" t="s">
        <v>77</v>
      </c>
      <c r="I4393" s="8"/>
      <c r="J4393" s="9">
        <v>1</v>
      </c>
      <c r="K4393" s="9">
        <v>384</v>
      </c>
      <c r="L4393" s="9">
        <v>2025</v>
      </c>
      <c r="M4393" s="8" t="s">
        <v>26064</v>
      </c>
      <c r="N4393" s="8" t="s">
        <v>41</v>
      </c>
      <c r="O4393" s="8" t="s">
        <v>118</v>
      </c>
      <c r="P4393" s="6" t="s">
        <v>167</v>
      </c>
      <c r="Q4393" s="8" t="s">
        <v>279</v>
      </c>
      <c r="R4393" s="10" t="s">
        <v>26065</v>
      </c>
      <c r="S4393" s="11" t="s">
        <v>26066</v>
      </c>
      <c r="T4393" s="6"/>
      <c r="U4393" s="24" t="str">
        <f>HYPERLINK("https://media.infra-m.ru/2194/2194373/cover/2194373.jpg", "Обложка")</f>
        <v>Обложка</v>
      </c>
      <c r="V4393" s="24" t="str">
        <f>HYPERLINK("https://znanium.ru/catalog/product/1905235", "Ознакомиться")</f>
        <v>Ознакомиться</v>
      </c>
      <c r="W4393" s="8" t="s">
        <v>1313</v>
      </c>
      <c r="X4393" s="6"/>
      <c r="Y4393" s="6"/>
      <c r="Z4393" s="6"/>
      <c r="AA4393" s="6" t="s">
        <v>84</v>
      </c>
      <c r="AB4393" s="8"/>
    </row>
    <row r="4394" spans="1:28" s="4" customFormat="1" ht="51.95" customHeight="1">
      <c r="A4394" s="5">
        <v>0</v>
      </c>
      <c r="B4394" s="6" t="s">
        <v>26067</v>
      </c>
      <c r="C4394" s="13">
        <v>1544</v>
      </c>
      <c r="D4394" s="8" t="s">
        <v>26068</v>
      </c>
      <c r="E4394" s="8" t="s">
        <v>26069</v>
      </c>
      <c r="F4394" s="8" t="s">
        <v>26070</v>
      </c>
      <c r="G4394" s="6" t="s">
        <v>52</v>
      </c>
      <c r="H4394" s="6" t="s">
        <v>53</v>
      </c>
      <c r="I4394" s="8" t="s">
        <v>276</v>
      </c>
      <c r="J4394" s="9">
        <v>1</v>
      </c>
      <c r="K4394" s="9">
        <v>298</v>
      </c>
      <c r="L4394" s="9">
        <v>2025</v>
      </c>
      <c r="M4394" s="8" t="s">
        <v>26071</v>
      </c>
      <c r="N4394" s="8" t="s">
        <v>413</v>
      </c>
      <c r="O4394" s="8" t="s">
        <v>1141</v>
      </c>
      <c r="P4394" s="6" t="s">
        <v>43</v>
      </c>
      <c r="Q4394" s="8" t="s">
        <v>279</v>
      </c>
      <c r="R4394" s="10" t="s">
        <v>26072</v>
      </c>
      <c r="S4394" s="11" t="s">
        <v>26073</v>
      </c>
      <c r="T4394" s="6"/>
      <c r="U4394" s="24" t="str">
        <f>HYPERLINK("https://media.infra-m.ru/2192/2192943/cover/2192943.jpg", "Обложка")</f>
        <v>Обложка</v>
      </c>
      <c r="V4394" s="24" t="str">
        <f>HYPERLINK("https://znanium.ru/catalog/product/1900559", "Ознакомиться")</f>
        <v>Ознакомиться</v>
      </c>
      <c r="W4394" s="8"/>
      <c r="X4394" s="6"/>
      <c r="Y4394" s="6"/>
      <c r="Z4394" s="6"/>
      <c r="AA4394" s="6" t="s">
        <v>2657</v>
      </c>
      <c r="AB4394" s="8"/>
    </row>
    <row r="4395" spans="1:28" s="4" customFormat="1" ht="42" customHeight="1">
      <c r="A4395" s="5">
        <v>0</v>
      </c>
      <c r="B4395" s="6" t="s">
        <v>26074</v>
      </c>
      <c r="C4395" s="13">
        <v>1274</v>
      </c>
      <c r="D4395" s="8" t="s">
        <v>26075</v>
      </c>
      <c r="E4395" s="8" t="s">
        <v>26076</v>
      </c>
      <c r="F4395" s="8" t="s">
        <v>26077</v>
      </c>
      <c r="G4395" s="6" t="s">
        <v>52</v>
      </c>
      <c r="H4395" s="6" t="s">
        <v>438</v>
      </c>
      <c r="I4395" s="8" t="s">
        <v>1171</v>
      </c>
      <c r="J4395" s="9">
        <v>1</v>
      </c>
      <c r="K4395" s="9">
        <v>256</v>
      </c>
      <c r="L4395" s="9">
        <v>2024</v>
      </c>
      <c r="M4395" s="8" t="s">
        <v>26078</v>
      </c>
      <c r="N4395" s="8" t="s">
        <v>41</v>
      </c>
      <c r="O4395" s="8" t="s">
        <v>118</v>
      </c>
      <c r="P4395" s="6" t="s">
        <v>167</v>
      </c>
      <c r="Q4395" s="8" t="s">
        <v>44</v>
      </c>
      <c r="R4395" s="10" t="s">
        <v>26079</v>
      </c>
      <c r="S4395" s="11"/>
      <c r="T4395" s="6"/>
      <c r="U4395" s="24" t="str">
        <f>HYPERLINK("https://media.infra-m.ru/2118/2118088/cover/2118088.jpg", "Обложка")</f>
        <v>Обложка</v>
      </c>
      <c r="V4395" s="24" t="str">
        <f>HYPERLINK("https://znanium.ru/catalog/product/2001695", "Ознакомиться")</f>
        <v>Ознакомиться</v>
      </c>
      <c r="W4395" s="8" t="s">
        <v>758</v>
      </c>
      <c r="X4395" s="6"/>
      <c r="Y4395" s="6"/>
      <c r="Z4395" s="6"/>
      <c r="AA4395" s="6" t="s">
        <v>442</v>
      </c>
      <c r="AB4395" s="8"/>
    </row>
    <row r="4396" spans="1:28" s="4" customFormat="1" ht="51.95" customHeight="1">
      <c r="A4396" s="5">
        <v>0</v>
      </c>
      <c r="B4396" s="6" t="s">
        <v>26080</v>
      </c>
      <c r="C4396" s="13">
        <v>1720</v>
      </c>
      <c r="D4396" s="8" t="s">
        <v>26081</v>
      </c>
      <c r="E4396" s="8" t="s">
        <v>26082</v>
      </c>
      <c r="F4396" s="8" t="s">
        <v>26083</v>
      </c>
      <c r="G4396" s="6" t="s">
        <v>89</v>
      </c>
      <c r="H4396" s="6" t="s">
        <v>53</v>
      </c>
      <c r="I4396" s="8" t="s">
        <v>116</v>
      </c>
      <c r="J4396" s="9">
        <v>1</v>
      </c>
      <c r="K4396" s="9">
        <v>366</v>
      </c>
      <c r="L4396" s="9">
        <v>2024</v>
      </c>
      <c r="M4396" s="8" t="s">
        <v>26084</v>
      </c>
      <c r="N4396" s="8" t="s">
        <v>413</v>
      </c>
      <c r="O4396" s="8" t="s">
        <v>2771</v>
      </c>
      <c r="P4396" s="6" t="s">
        <v>167</v>
      </c>
      <c r="Q4396" s="8" t="s">
        <v>44</v>
      </c>
      <c r="R4396" s="10" t="s">
        <v>26085</v>
      </c>
      <c r="S4396" s="11" t="s">
        <v>26086</v>
      </c>
      <c r="T4396" s="6" t="s">
        <v>299</v>
      </c>
      <c r="U4396" s="24" t="str">
        <f>HYPERLINK("https://media.infra-m.ru/2140/2140960/cover/2140960.jpg", "Обложка")</f>
        <v>Обложка</v>
      </c>
      <c r="V4396" s="24" t="str">
        <f>HYPERLINK("https://znanium.ru/catalog/product/2140960", "Ознакомиться")</f>
        <v>Ознакомиться</v>
      </c>
      <c r="W4396" s="8" t="s">
        <v>26087</v>
      </c>
      <c r="X4396" s="6"/>
      <c r="Y4396" s="6"/>
      <c r="Z4396" s="6"/>
      <c r="AA4396" s="6" t="s">
        <v>5763</v>
      </c>
      <c r="AB4396" s="8"/>
    </row>
    <row r="4397" spans="1:28" s="4" customFormat="1" ht="51.95" customHeight="1">
      <c r="A4397" s="5">
        <v>0</v>
      </c>
      <c r="B4397" s="6" t="s">
        <v>26088</v>
      </c>
      <c r="C4397" s="13">
        <v>1414</v>
      </c>
      <c r="D4397" s="8" t="s">
        <v>26089</v>
      </c>
      <c r="E4397" s="8" t="s">
        <v>26090</v>
      </c>
      <c r="F4397" s="8" t="s">
        <v>26091</v>
      </c>
      <c r="G4397" s="6" t="s">
        <v>52</v>
      </c>
      <c r="H4397" s="6" t="s">
        <v>184</v>
      </c>
      <c r="I4397" s="8" t="s">
        <v>90</v>
      </c>
      <c r="J4397" s="9">
        <v>1</v>
      </c>
      <c r="K4397" s="9">
        <v>308</v>
      </c>
      <c r="L4397" s="9">
        <v>2023</v>
      </c>
      <c r="M4397" s="8" t="s">
        <v>26092</v>
      </c>
      <c r="N4397" s="8" t="s">
        <v>413</v>
      </c>
      <c r="O4397" s="8" t="s">
        <v>2771</v>
      </c>
      <c r="P4397" s="6" t="s">
        <v>167</v>
      </c>
      <c r="Q4397" s="8" t="s">
        <v>44</v>
      </c>
      <c r="R4397" s="10" t="s">
        <v>26093</v>
      </c>
      <c r="S4397" s="11" t="s">
        <v>26094</v>
      </c>
      <c r="T4397" s="6"/>
      <c r="U4397" s="24" t="str">
        <f>HYPERLINK("https://media.infra-m.ru/1021/1021501/cover/1021501.jpg", "Обложка")</f>
        <v>Обложка</v>
      </c>
      <c r="V4397" s="24" t="str">
        <f>HYPERLINK("https://znanium.ru/catalog/product/1021500", "Ознакомиться")</f>
        <v>Ознакомиться</v>
      </c>
      <c r="W4397" s="8" t="s">
        <v>26095</v>
      </c>
      <c r="X4397" s="6"/>
      <c r="Y4397" s="6"/>
      <c r="Z4397" s="6"/>
      <c r="AA4397" s="6" t="s">
        <v>418</v>
      </c>
      <c r="AB4397" s="8"/>
    </row>
    <row r="4398" spans="1:28" s="4" customFormat="1" ht="51.95" customHeight="1">
      <c r="A4398" s="5">
        <v>0</v>
      </c>
      <c r="B4398" s="6" t="s">
        <v>26096</v>
      </c>
      <c r="C4398" s="13">
        <v>1380</v>
      </c>
      <c r="D4398" s="8" t="s">
        <v>26097</v>
      </c>
      <c r="E4398" s="8" t="s">
        <v>26098</v>
      </c>
      <c r="F4398" s="8" t="s">
        <v>26099</v>
      </c>
      <c r="G4398" s="6" t="s">
        <v>52</v>
      </c>
      <c r="H4398" s="6" t="s">
        <v>53</v>
      </c>
      <c r="I4398" s="8" t="s">
        <v>782</v>
      </c>
      <c r="J4398" s="9">
        <v>1</v>
      </c>
      <c r="K4398" s="9">
        <v>274</v>
      </c>
      <c r="L4398" s="9">
        <v>2024</v>
      </c>
      <c r="M4398" s="8" t="s">
        <v>26100</v>
      </c>
      <c r="N4398" s="8" t="s">
        <v>79</v>
      </c>
      <c r="O4398" s="8" t="s">
        <v>570</v>
      </c>
      <c r="P4398" s="6" t="s">
        <v>167</v>
      </c>
      <c r="Q4398" s="8" t="s">
        <v>58</v>
      </c>
      <c r="R4398" s="10" t="s">
        <v>26101</v>
      </c>
      <c r="S4398" s="11" t="s">
        <v>26102</v>
      </c>
      <c r="T4398" s="6"/>
      <c r="U4398" s="24" t="str">
        <f>HYPERLINK("https://media.infra-m.ru/2130/2130590/cover/2130590.jpg", "Обложка")</f>
        <v>Обложка</v>
      </c>
      <c r="V4398" s="12"/>
      <c r="W4398" s="8" t="s">
        <v>784</v>
      </c>
      <c r="X4398" s="6" t="s">
        <v>389</v>
      </c>
      <c r="Y4398" s="6"/>
      <c r="Z4398" s="6"/>
      <c r="AA4398" s="6" t="s">
        <v>133</v>
      </c>
      <c r="AB4398" s="8"/>
    </row>
    <row r="4399" spans="1:28" s="4" customFormat="1" ht="51.95" customHeight="1">
      <c r="A4399" s="5">
        <v>0</v>
      </c>
      <c r="B4399" s="6" t="s">
        <v>26103</v>
      </c>
      <c r="C4399" s="7">
        <v>984</v>
      </c>
      <c r="D4399" s="8" t="s">
        <v>26104</v>
      </c>
      <c r="E4399" s="8" t="s">
        <v>26105</v>
      </c>
      <c r="F4399" s="8" t="s">
        <v>26106</v>
      </c>
      <c r="G4399" s="6" t="s">
        <v>89</v>
      </c>
      <c r="H4399" s="6" t="s">
        <v>53</v>
      </c>
      <c r="I4399" s="8" t="s">
        <v>100</v>
      </c>
      <c r="J4399" s="9">
        <v>1</v>
      </c>
      <c r="K4399" s="9">
        <v>208</v>
      </c>
      <c r="L4399" s="9">
        <v>2024</v>
      </c>
      <c r="M4399" s="8" t="s">
        <v>26107</v>
      </c>
      <c r="N4399" s="8" t="s">
        <v>79</v>
      </c>
      <c r="O4399" s="8" t="s">
        <v>396</v>
      </c>
      <c r="P4399" s="6" t="s">
        <v>167</v>
      </c>
      <c r="Q4399" s="8" t="s">
        <v>102</v>
      </c>
      <c r="R4399" s="10" t="s">
        <v>26108</v>
      </c>
      <c r="S4399" s="11" t="s">
        <v>26109</v>
      </c>
      <c r="T4399" s="6"/>
      <c r="U4399" s="24" t="str">
        <f>HYPERLINK("https://media.infra-m.ru/2150/2150239/cover/2150239.jpg", "Обложка")</f>
        <v>Обложка</v>
      </c>
      <c r="V4399" s="24" t="str">
        <f>HYPERLINK("https://znanium.ru/catalog/product/2148038", "Ознакомиться")</f>
        <v>Ознакомиться</v>
      </c>
      <c r="W4399" s="8" t="s">
        <v>22135</v>
      </c>
      <c r="X4399" s="6"/>
      <c r="Y4399" s="6"/>
      <c r="Z4399" s="6"/>
      <c r="AA4399" s="6" t="s">
        <v>122</v>
      </c>
      <c r="AB4399" s="8"/>
    </row>
    <row r="4400" spans="1:28" s="4" customFormat="1" ht="51.95" customHeight="1">
      <c r="A4400" s="5">
        <v>0</v>
      </c>
      <c r="B4400" s="6" t="s">
        <v>26110</v>
      </c>
      <c r="C4400" s="13">
        <v>2090</v>
      </c>
      <c r="D4400" s="8" t="s">
        <v>26111</v>
      </c>
      <c r="E4400" s="8" t="s">
        <v>26112</v>
      </c>
      <c r="F4400" s="8" t="s">
        <v>26113</v>
      </c>
      <c r="G4400" s="6" t="s">
        <v>52</v>
      </c>
      <c r="H4400" s="6" t="s">
        <v>53</v>
      </c>
      <c r="I4400" s="8" t="s">
        <v>116</v>
      </c>
      <c r="J4400" s="9">
        <v>1</v>
      </c>
      <c r="K4400" s="9">
        <v>445</v>
      </c>
      <c r="L4400" s="9">
        <v>2023</v>
      </c>
      <c r="M4400" s="8" t="s">
        <v>26114</v>
      </c>
      <c r="N4400" s="8" t="s">
        <v>79</v>
      </c>
      <c r="O4400" s="8" t="s">
        <v>570</v>
      </c>
      <c r="P4400" s="6" t="s">
        <v>43</v>
      </c>
      <c r="Q4400" s="8" t="s">
        <v>44</v>
      </c>
      <c r="R4400" s="10" t="s">
        <v>15917</v>
      </c>
      <c r="S4400" s="11" t="s">
        <v>26115</v>
      </c>
      <c r="T4400" s="6"/>
      <c r="U4400" s="24" t="str">
        <f>HYPERLINK("https://media.infra-m.ru/2114/2114823/cover/2114823.jpg", "Обложка")</f>
        <v>Обложка</v>
      </c>
      <c r="V4400" s="24" t="str">
        <f>HYPERLINK("https://znanium.ru/catalog/product/2091886", "Ознакомиться")</f>
        <v>Ознакомиться</v>
      </c>
      <c r="W4400" s="8" t="s">
        <v>5825</v>
      </c>
      <c r="X4400" s="6"/>
      <c r="Y4400" s="6"/>
      <c r="Z4400" s="6"/>
      <c r="AA4400" s="6" t="s">
        <v>418</v>
      </c>
      <c r="AB4400" s="8"/>
    </row>
    <row r="4401" spans="1:28" s="4" customFormat="1" ht="51.95" customHeight="1">
      <c r="A4401" s="5">
        <v>0</v>
      </c>
      <c r="B4401" s="6" t="s">
        <v>26116</v>
      </c>
      <c r="C4401" s="7">
        <v>950</v>
      </c>
      <c r="D4401" s="8" t="s">
        <v>26117</v>
      </c>
      <c r="E4401" s="8" t="s">
        <v>26118</v>
      </c>
      <c r="F4401" s="8" t="s">
        <v>26119</v>
      </c>
      <c r="G4401" s="6" t="s">
        <v>89</v>
      </c>
      <c r="H4401" s="6" t="s">
        <v>53</v>
      </c>
      <c r="I4401" s="8" t="s">
        <v>90</v>
      </c>
      <c r="J4401" s="9">
        <v>1</v>
      </c>
      <c r="K4401" s="9">
        <v>211</v>
      </c>
      <c r="L4401" s="9">
        <v>2022</v>
      </c>
      <c r="M4401" s="8" t="s">
        <v>26120</v>
      </c>
      <c r="N4401" s="8" t="s">
        <v>79</v>
      </c>
      <c r="O4401" s="8" t="s">
        <v>424</v>
      </c>
      <c r="P4401" s="6" t="s">
        <v>43</v>
      </c>
      <c r="Q4401" s="8" t="s">
        <v>44</v>
      </c>
      <c r="R4401" s="10" t="s">
        <v>26121</v>
      </c>
      <c r="S4401" s="11" t="s">
        <v>26122</v>
      </c>
      <c r="T4401" s="6"/>
      <c r="U4401" s="24" t="str">
        <f>HYPERLINK("https://media.infra-m.ru/1869/1869209/cover/1869209.jpg", "Обложка")</f>
        <v>Обложка</v>
      </c>
      <c r="V4401" s="24" t="str">
        <f>HYPERLINK("https://znanium.ru/catalog/product/1869209", "Ознакомиться")</f>
        <v>Ознакомиться</v>
      </c>
      <c r="W4401" s="8" t="s">
        <v>450</v>
      </c>
      <c r="X4401" s="6"/>
      <c r="Y4401" s="6"/>
      <c r="Z4401" s="6"/>
      <c r="AA4401" s="6" t="s">
        <v>258</v>
      </c>
      <c r="AB4401" s="8"/>
    </row>
    <row r="4402" spans="1:28" s="4" customFormat="1" ht="51.95" customHeight="1">
      <c r="A4402" s="5">
        <v>0</v>
      </c>
      <c r="B4402" s="6" t="s">
        <v>26123</v>
      </c>
      <c r="C4402" s="13">
        <v>1304.9000000000001</v>
      </c>
      <c r="D4402" s="8" t="s">
        <v>26124</v>
      </c>
      <c r="E4402" s="8" t="s">
        <v>26125</v>
      </c>
      <c r="F4402" s="8" t="s">
        <v>26126</v>
      </c>
      <c r="G4402" s="6" t="s">
        <v>52</v>
      </c>
      <c r="H4402" s="6" t="s">
        <v>184</v>
      </c>
      <c r="I4402" s="8" t="s">
        <v>90</v>
      </c>
      <c r="J4402" s="9">
        <v>1</v>
      </c>
      <c r="K4402" s="9">
        <v>352</v>
      </c>
      <c r="L4402" s="9">
        <v>2021</v>
      </c>
      <c r="M4402" s="8" t="s">
        <v>26127</v>
      </c>
      <c r="N4402" s="8" t="s">
        <v>79</v>
      </c>
      <c r="O4402" s="8" t="s">
        <v>537</v>
      </c>
      <c r="P4402" s="6" t="s">
        <v>43</v>
      </c>
      <c r="Q4402" s="8" t="s">
        <v>44</v>
      </c>
      <c r="R4402" s="10" t="s">
        <v>15346</v>
      </c>
      <c r="S4402" s="11" t="s">
        <v>26128</v>
      </c>
      <c r="T4402" s="6"/>
      <c r="U4402" s="24" t="str">
        <f>HYPERLINK("https://media.infra-m.ru/1072/1072265/cover/1072265.jpg", "Обложка")</f>
        <v>Обложка</v>
      </c>
      <c r="V4402" s="24" t="str">
        <f>HYPERLINK("https://znanium.ru/catalog/product/1072265", "Ознакомиться")</f>
        <v>Ознакомиться</v>
      </c>
      <c r="W4402" s="8"/>
      <c r="X4402" s="6"/>
      <c r="Y4402" s="6"/>
      <c r="Z4402" s="6"/>
      <c r="AA4402" s="6" t="s">
        <v>72</v>
      </c>
      <c r="AB4402" s="8"/>
    </row>
    <row r="4403" spans="1:28" s="4" customFormat="1" ht="51.95" customHeight="1">
      <c r="A4403" s="5">
        <v>0</v>
      </c>
      <c r="B4403" s="6" t="s">
        <v>26129</v>
      </c>
      <c r="C4403" s="7">
        <v>484</v>
      </c>
      <c r="D4403" s="8" t="s">
        <v>26130</v>
      </c>
      <c r="E4403" s="8" t="s">
        <v>26131</v>
      </c>
      <c r="F4403" s="8" t="s">
        <v>26132</v>
      </c>
      <c r="G4403" s="6" t="s">
        <v>38</v>
      </c>
      <c r="H4403" s="6" t="s">
        <v>39</v>
      </c>
      <c r="I4403" s="8" t="s">
        <v>116</v>
      </c>
      <c r="J4403" s="9">
        <v>1</v>
      </c>
      <c r="K4403" s="9">
        <v>80</v>
      </c>
      <c r="L4403" s="9">
        <v>2024</v>
      </c>
      <c r="M4403" s="8" t="s">
        <v>26133</v>
      </c>
      <c r="N4403" s="8" t="s">
        <v>413</v>
      </c>
      <c r="O4403" s="8" t="s">
        <v>414</v>
      </c>
      <c r="P4403" s="6" t="s">
        <v>43</v>
      </c>
      <c r="Q4403" s="8" t="s">
        <v>44</v>
      </c>
      <c r="R4403" s="10" t="s">
        <v>7726</v>
      </c>
      <c r="S4403" s="11" t="s">
        <v>26134</v>
      </c>
      <c r="T4403" s="6"/>
      <c r="U4403" s="24" t="str">
        <f>HYPERLINK("https://media.infra-m.ru/2091/2091912/cover/2091912.jpg", "Обложка")</f>
        <v>Обложка</v>
      </c>
      <c r="V4403" s="12"/>
      <c r="W4403" s="8" t="s">
        <v>46</v>
      </c>
      <c r="X4403" s="6"/>
      <c r="Y4403" s="6"/>
      <c r="Z4403" s="6"/>
      <c r="AA4403" s="6" t="s">
        <v>47</v>
      </c>
      <c r="AB4403" s="8"/>
    </row>
    <row r="4404" spans="1:28" s="4" customFormat="1" ht="51.95" customHeight="1">
      <c r="A4404" s="5">
        <v>0</v>
      </c>
      <c r="B4404" s="6" t="s">
        <v>26135</v>
      </c>
      <c r="C4404" s="13">
        <v>1094</v>
      </c>
      <c r="D4404" s="8" t="s">
        <v>26136</v>
      </c>
      <c r="E4404" s="8" t="s">
        <v>26137</v>
      </c>
      <c r="F4404" s="8" t="s">
        <v>26138</v>
      </c>
      <c r="G4404" s="6" t="s">
        <v>89</v>
      </c>
      <c r="H4404" s="6" t="s">
        <v>53</v>
      </c>
      <c r="I4404" s="8" t="s">
        <v>100</v>
      </c>
      <c r="J4404" s="9">
        <v>1</v>
      </c>
      <c r="K4404" s="9">
        <v>218</v>
      </c>
      <c r="L4404" s="9">
        <v>2025</v>
      </c>
      <c r="M4404" s="8" t="s">
        <v>26139</v>
      </c>
      <c r="N4404" s="8" t="s">
        <v>79</v>
      </c>
      <c r="O4404" s="8" t="s">
        <v>424</v>
      </c>
      <c r="P4404" s="6" t="s">
        <v>167</v>
      </c>
      <c r="Q4404" s="8" t="s">
        <v>102</v>
      </c>
      <c r="R4404" s="10" t="s">
        <v>26140</v>
      </c>
      <c r="S4404" s="11" t="s">
        <v>26141</v>
      </c>
      <c r="T4404" s="6"/>
      <c r="U4404" s="24" t="str">
        <f>HYPERLINK("https://media.infra-m.ru/2185/2185216/cover/2185216.jpg", "Обложка")</f>
        <v>Обложка</v>
      </c>
      <c r="V4404" s="24" t="str">
        <f>HYPERLINK("https://znanium.ru/catalog/product/2113872", "Ознакомиться")</f>
        <v>Ознакомиться</v>
      </c>
      <c r="W4404" s="8" t="s">
        <v>21095</v>
      </c>
      <c r="X4404" s="6"/>
      <c r="Y4404" s="6" t="s">
        <v>30</v>
      </c>
      <c r="Z4404" s="6"/>
      <c r="AA4404" s="6" t="s">
        <v>160</v>
      </c>
      <c r="AB4404" s="8"/>
    </row>
    <row r="4405" spans="1:28" s="4" customFormat="1" ht="51.95" customHeight="1">
      <c r="A4405" s="5">
        <v>0</v>
      </c>
      <c r="B4405" s="6" t="s">
        <v>26142</v>
      </c>
      <c r="C4405" s="7">
        <v>850</v>
      </c>
      <c r="D4405" s="8" t="s">
        <v>26143</v>
      </c>
      <c r="E4405" s="8" t="s">
        <v>26137</v>
      </c>
      <c r="F4405" s="8" t="s">
        <v>26138</v>
      </c>
      <c r="G4405" s="6" t="s">
        <v>89</v>
      </c>
      <c r="H4405" s="6" t="s">
        <v>53</v>
      </c>
      <c r="I4405" s="8" t="s">
        <v>90</v>
      </c>
      <c r="J4405" s="9">
        <v>1</v>
      </c>
      <c r="K4405" s="9">
        <v>219</v>
      </c>
      <c r="L4405" s="9">
        <v>2022</v>
      </c>
      <c r="M4405" s="8" t="s">
        <v>26144</v>
      </c>
      <c r="N4405" s="8" t="s">
        <v>79</v>
      </c>
      <c r="O4405" s="8" t="s">
        <v>424</v>
      </c>
      <c r="P4405" s="6" t="s">
        <v>167</v>
      </c>
      <c r="Q4405" s="8" t="s">
        <v>44</v>
      </c>
      <c r="R4405" s="10" t="s">
        <v>5274</v>
      </c>
      <c r="S4405" s="11" t="s">
        <v>26145</v>
      </c>
      <c r="T4405" s="6"/>
      <c r="U4405" s="24" t="str">
        <f>HYPERLINK("https://media.infra-m.ru/1832/1832391/cover/1832391.jpg", "Обложка")</f>
        <v>Обложка</v>
      </c>
      <c r="V4405" s="24" t="str">
        <f>HYPERLINK("https://znanium.ru/catalog/product/1832391", "Ознакомиться")</f>
        <v>Ознакомиться</v>
      </c>
      <c r="W4405" s="8" t="s">
        <v>21095</v>
      </c>
      <c r="X4405" s="6"/>
      <c r="Y4405" s="6"/>
      <c r="Z4405" s="6" t="s">
        <v>335</v>
      </c>
      <c r="AA4405" s="6" t="s">
        <v>513</v>
      </c>
      <c r="AB4405" s="8"/>
    </row>
    <row r="4406" spans="1:28" s="4" customFormat="1" ht="51.95" customHeight="1">
      <c r="A4406" s="5">
        <v>0</v>
      </c>
      <c r="B4406" s="6" t="s">
        <v>26146</v>
      </c>
      <c r="C4406" s="13">
        <v>1440</v>
      </c>
      <c r="D4406" s="8" t="s">
        <v>26147</v>
      </c>
      <c r="E4406" s="8" t="s">
        <v>26148</v>
      </c>
      <c r="F4406" s="8" t="s">
        <v>26149</v>
      </c>
      <c r="G4406" s="6" t="s">
        <v>38</v>
      </c>
      <c r="H4406" s="6" t="s">
        <v>39</v>
      </c>
      <c r="I4406" s="8" t="s">
        <v>116</v>
      </c>
      <c r="J4406" s="9">
        <v>1</v>
      </c>
      <c r="K4406" s="9">
        <v>311</v>
      </c>
      <c r="L4406" s="9">
        <v>2024</v>
      </c>
      <c r="M4406" s="8" t="s">
        <v>26150</v>
      </c>
      <c r="N4406" s="8" t="s">
        <v>413</v>
      </c>
      <c r="O4406" s="8" t="s">
        <v>414</v>
      </c>
      <c r="P4406" s="6" t="s">
        <v>43</v>
      </c>
      <c r="Q4406" s="8" t="s">
        <v>44</v>
      </c>
      <c r="R4406" s="10" t="s">
        <v>26151</v>
      </c>
      <c r="S4406" s="11" t="s">
        <v>26152</v>
      </c>
      <c r="T4406" s="6"/>
      <c r="U4406" s="24" t="str">
        <f>HYPERLINK("https://media.infra-m.ru/2120/2120763/cover/2120763.jpg", "Обложка")</f>
        <v>Обложка</v>
      </c>
      <c r="V4406" s="24" t="str">
        <f>HYPERLINK("https://znanium.ru/catalog/product/2120763", "Ознакомиться")</f>
        <v>Ознакомиться</v>
      </c>
      <c r="W4406" s="8" t="s">
        <v>26153</v>
      </c>
      <c r="X4406" s="6"/>
      <c r="Y4406" s="6"/>
      <c r="Z4406" s="6"/>
      <c r="AA4406" s="6" t="s">
        <v>418</v>
      </c>
      <c r="AB4406" s="8"/>
    </row>
    <row r="4407" spans="1:28" s="4" customFormat="1" ht="51.95" customHeight="1">
      <c r="A4407" s="5">
        <v>0</v>
      </c>
      <c r="B4407" s="6" t="s">
        <v>26154</v>
      </c>
      <c r="C4407" s="7">
        <v>760</v>
      </c>
      <c r="D4407" s="8" t="s">
        <v>26155</v>
      </c>
      <c r="E4407" s="8" t="s">
        <v>26156</v>
      </c>
      <c r="F4407" s="8" t="s">
        <v>26157</v>
      </c>
      <c r="G4407" s="6" t="s">
        <v>38</v>
      </c>
      <c r="H4407" s="6" t="s">
        <v>53</v>
      </c>
      <c r="I4407" s="8" t="s">
        <v>116</v>
      </c>
      <c r="J4407" s="9">
        <v>1</v>
      </c>
      <c r="K4407" s="9">
        <v>162</v>
      </c>
      <c r="L4407" s="9">
        <v>2024</v>
      </c>
      <c r="M4407" s="8" t="s">
        <v>26158</v>
      </c>
      <c r="N4407" s="8" t="s">
        <v>413</v>
      </c>
      <c r="O4407" s="8" t="s">
        <v>1584</v>
      </c>
      <c r="P4407" s="6" t="s">
        <v>43</v>
      </c>
      <c r="Q4407" s="8" t="s">
        <v>44</v>
      </c>
      <c r="R4407" s="10" t="s">
        <v>4553</v>
      </c>
      <c r="S4407" s="11" t="s">
        <v>26159</v>
      </c>
      <c r="T4407" s="6"/>
      <c r="U4407" s="24" t="str">
        <f>HYPERLINK("https://media.infra-m.ru/2150/2150109/cover/2150109.jpg", "Обложка")</f>
        <v>Обложка</v>
      </c>
      <c r="V4407" s="24" t="str">
        <f>HYPERLINK("https://znanium.ru/catalog/product/2150109", "Ознакомиться")</f>
        <v>Ознакомиться</v>
      </c>
      <c r="W4407" s="8" t="s">
        <v>7231</v>
      </c>
      <c r="X4407" s="6"/>
      <c r="Y4407" s="6"/>
      <c r="Z4407" s="6"/>
      <c r="AA4407" s="6" t="s">
        <v>160</v>
      </c>
      <c r="AB4407" s="8"/>
    </row>
    <row r="4408" spans="1:28" s="4" customFormat="1" ht="51.95" customHeight="1">
      <c r="A4408" s="5">
        <v>0</v>
      </c>
      <c r="B4408" s="6" t="s">
        <v>26160</v>
      </c>
      <c r="C4408" s="13">
        <v>2460</v>
      </c>
      <c r="D4408" s="8" t="s">
        <v>26161</v>
      </c>
      <c r="E4408" s="8" t="s">
        <v>26162</v>
      </c>
      <c r="F4408" s="8" t="s">
        <v>24512</v>
      </c>
      <c r="G4408" s="6" t="s">
        <v>52</v>
      </c>
      <c r="H4408" s="6" t="s">
        <v>53</v>
      </c>
      <c r="I4408" s="8" t="s">
        <v>116</v>
      </c>
      <c r="J4408" s="9">
        <v>1</v>
      </c>
      <c r="K4408" s="9">
        <v>491</v>
      </c>
      <c r="L4408" s="9">
        <v>2025</v>
      </c>
      <c r="M4408" s="8" t="s">
        <v>26163</v>
      </c>
      <c r="N4408" s="8" t="s">
        <v>79</v>
      </c>
      <c r="O4408" s="8" t="s">
        <v>537</v>
      </c>
      <c r="P4408" s="6" t="s">
        <v>167</v>
      </c>
      <c r="Q4408" s="8" t="s">
        <v>44</v>
      </c>
      <c r="R4408" s="10" t="s">
        <v>26164</v>
      </c>
      <c r="S4408" s="11"/>
      <c r="T4408" s="6"/>
      <c r="U4408" s="24" t="str">
        <f>HYPERLINK("https://media.infra-m.ru/1874/1874250/cover/1874250.jpg", "Обложка")</f>
        <v>Обложка</v>
      </c>
      <c r="V4408" s="24" t="str">
        <f>HYPERLINK("https://znanium.ru/catalog/product/1874250", "Ознакомиться")</f>
        <v>Ознакомиться</v>
      </c>
      <c r="W4408" s="8" t="s">
        <v>24515</v>
      </c>
      <c r="X4408" s="6" t="s">
        <v>389</v>
      </c>
      <c r="Y4408" s="6"/>
      <c r="Z4408" s="6"/>
      <c r="AA4408" s="6" t="s">
        <v>61</v>
      </c>
      <c r="AB4408" s="8" t="s">
        <v>2963</v>
      </c>
    </row>
    <row r="4409" spans="1:28" s="4" customFormat="1" ht="44.1" customHeight="1">
      <c r="A4409" s="5">
        <v>0</v>
      </c>
      <c r="B4409" s="6" t="s">
        <v>26165</v>
      </c>
      <c r="C4409" s="13">
        <v>1150</v>
      </c>
      <c r="D4409" s="8" t="s">
        <v>26166</v>
      </c>
      <c r="E4409" s="8" t="s">
        <v>26167</v>
      </c>
      <c r="F4409" s="8" t="s">
        <v>26168</v>
      </c>
      <c r="G4409" s="6" t="s">
        <v>89</v>
      </c>
      <c r="H4409" s="6" t="s">
        <v>53</v>
      </c>
      <c r="I4409" s="8" t="s">
        <v>1325</v>
      </c>
      <c r="J4409" s="9">
        <v>1</v>
      </c>
      <c r="K4409" s="9">
        <v>224</v>
      </c>
      <c r="L4409" s="9">
        <v>2023</v>
      </c>
      <c r="M4409" s="8" t="s">
        <v>26169</v>
      </c>
      <c r="N4409" s="8" t="s">
        <v>79</v>
      </c>
      <c r="O4409" s="8" t="s">
        <v>80</v>
      </c>
      <c r="P4409" s="6" t="s">
        <v>43</v>
      </c>
      <c r="Q4409" s="8" t="s">
        <v>58</v>
      </c>
      <c r="R4409" s="10" t="s">
        <v>1173</v>
      </c>
      <c r="S4409" s="11"/>
      <c r="T4409" s="6"/>
      <c r="U4409" s="24" t="str">
        <f>HYPERLINK("https://media.infra-m.ru/1965/1965758/cover/1965758.jpg", "Обложка")</f>
        <v>Обложка</v>
      </c>
      <c r="V4409" s="24" t="str">
        <f>HYPERLINK("https://znanium.ru/catalog/product/1965758", "Ознакомиться")</f>
        <v>Ознакомиться</v>
      </c>
      <c r="W4409" s="8" t="s">
        <v>1329</v>
      </c>
      <c r="X4409" s="6"/>
      <c r="Y4409" s="6"/>
      <c r="Z4409" s="6"/>
      <c r="AA4409" s="6" t="s">
        <v>258</v>
      </c>
      <c r="AB4409" s="8"/>
    </row>
    <row r="4410" spans="1:28" s="4" customFormat="1" ht="51.95" customHeight="1">
      <c r="A4410" s="5">
        <v>0</v>
      </c>
      <c r="B4410" s="6" t="s">
        <v>26170</v>
      </c>
      <c r="C4410" s="13">
        <v>1090</v>
      </c>
      <c r="D4410" s="8" t="s">
        <v>26171</v>
      </c>
      <c r="E4410" s="8" t="s">
        <v>26172</v>
      </c>
      <c r="F4410" s="8" t="s">
        <v>26173</v>
      </c>
      <c r="G4410" s="6" t="s">
        <v>52</v>
      </c>
      <c r="H4410" s="6" t="s">
        <v>53</v>
      </c>
      <c r="I4410" s="8" t="s">
        <v>90</v>
      </c>
      <c r="J4410" s="9">
        <v>1</v>
      </c>
      <c r="K4410" s="9">
        <v>218</v>
      </c>
      <c r="L4410" s="9">
        <v>2023</v>
      </c>
      <c r="M4410" s="8" t="s">
        <v>26174</v>
      </c>
      <c r="N4410" s="8" t="s">
        <v>79</v>
      </c>
      <c r="O4410" s="8" t="s">
        <v>26175</v>
      </c>
      <c r="P4410" s="6" t="s">
        <v>43</v>
      </c>
      <c r="Q4410" s="8" t="s">
        <v>44</v>
      </c>
      <c r="R4410" s="10" t="s">
        <v>26176</v>
      </c>
      <c r="S4410" s="11" t="s">
        <v>26177</v>
      </c>
      <c r="T4410" s="6"/>
      <c r="U4410" s="24" t="str">
        <f>HYPERLINK("https://media.infra-m.ru/1852/1852468/cover/1852468.jpg", "Обложка")</f>
        <v>Обложка</v>
      </c>
      <c r="V4410" s="24" t="str">
        <f>HYPERLINK("https://znanium.ru/catalog/product/1852468", "Ознакомиться")</f>
        <v>Ознакомиться</v>
      </c>
      <c r="W4410" s="8" t="s">
        <v>637</v>
      </c>
      <c r="X4410" s="6"/>
      <c r="Y4410" s="6"/>
      <c r="Z4410" s="6"/>
      <c r="AA4410" s="6" t="s">
        <v>207</v>
      </c>
      <c r="AB4410" s="8"/>
    </row>
    <row r="4411" spans="1:28" s="4" customFormat="1" ht="42" customHeight="1">
      <c r="A4411" s="5">
        <v>0</v>
      </c>
      <c r="B4411" s="6" t="s">
        <v>26178</v>
      </c>
      <c r="C4411" s="13">
        <v>1200</v>
      </c>
      <c r="D4411" s="8" t="s">
        <v>26179</v>
      </c>
      <c r="E4411" s="8" t="s">
        <v>26180</v>
      </c>
      <c r="F4411" s="8" t="s">
        <v>1699</v>
      </c>
      <c r="G4411" s="6" t="s">
        <v>52</v>
      </c>
      <c r="H4411" s="6" t="s">
        <v>53</v>
      </c>
      <c r="I4411" s="8" t="s">
        <v>116</v>
      </c>
      <c r="J4411" s="9">
        <v>1</v>
      </c>
      <c r="K4411" s="9">
        <v>225</v>
      </c>
      <c r="L4411" s="9">
        <v>2025</v>
      </c>
      <c r="M4411" s="8" t="s">
        <v>26181</v>
      </c>
      <c r="N4411" s="8" t="s">
        <v>56</v>
      </c>
      <c r="O4411" s="8" t="s">
        <v>57</v>
      </c>
      <c r="P4411" s="6" t="s">
        <v>43</v>
      </c>
      <c r="Q4411" s="8" t="s">
        <v>44</v>
      </c>
      <c r="R4411" s="10" t="s">
        <v>1910</v>
      </c>
      <c r="S4411" s="11"/>
      <c r="T4411" s="6"/>
      <c r="U4411" s="24" t="str">
        <f>HYPERLINK("https://media.infra-m.ru/1981/1981708/cover/1981708.jpg", "Обложка")</f>
        <v>Обложка</v>
      </c>
      <c r="V4411" s="24" t="str">
        <f>HYPERLINK("https://znanium.ru/catalog/product/1981708", "Ознакомиться")</f>
        <v>Ознакомиться</v>
      </c>
      <c r="W4411" s="8" t="s">
        <v>1703</v>
      </c>
      <c r="X4411" s="6" t="s">
        <v>548</v>
      </c>
      <c r="Y4411" s="6"/>
      <c r="Z4411" s="6"/>
      <c r="AA4411" s="6" t="s">
        <v>61</v>
      </c>
      <c r="AB4411" s="8"/>
    </row>
    <row r="4412" spans="1:28" s="4" customFormat="1" ht="51.95" customHeight="1">
      <c r="A4412" s="5">
        <v>0</v>
      </c>
      <c r="B4412" s="6" t="s">
        <v>26182</v>
      </c>
      <c r="C4412" s="7">
        <v>970</v>
      </c>
      <c r="D4412" s="8" t="s">
        <v>26183</v>
      </c>
      <c r="E4412" s="8" t="s">
        <v>26184</v>
      </c>
      <c r="F4412" s="8" t="s">
        <v>26185</v>
      </c>
      <c r="G4412" s="6" t="s">
        <v>38</v>
      </c>
      <c r="H4412" s="6" t="s">
        <v>649</v>
      </c>
      <c r="I4412" s="8" t="s">
        <v>116</v>
      </c>
      <c r="J4412" s="9">
        <v>1</v>
      </c>
      <c r="K4412" s="9">
        <v>192</v>
      </c>
      <c r="L4412" s="9">
        <v>2025</v>
      </c>
      <c r="M4412" s="8" t="s">
        <v>26186</v>
      </c>
      <c r="N4412" s="8" t="s">
        <v>41</v>
      </c>
      <c r="O4412" s="8" t="s">
        <v>118</v>
      </c>
      <c r="P4412" s="6" t="s">
        <v>167</v>
      </c>
      <c r="Q4412" s="8" t="s">
        <v>58</v>
      </c>
      <c r="R4412" s="10" t="s">
        <v>26187</v>
      </c>
      <c r="S4412" s="11" t="s">
        <v>26188</v>
      </c>
      <c r="T4412" s="6"/>
      <c r="U4412" s="24" t="str">
        <f>HYPERLINK("https://media.infra-m.ru/2188/2188266/cover/2188266.jpg", "Обложка")</f>
        <v>Обложка</v>
      </c>
      <c r="V4412" s="24" t="str">
        <f>HYPERLINK("https://znanium.ru/catalog/product/2188266", "Ознакомиться")</f>
        <v>Ознакомиться</v>
      </c>
      <c r="W4412" s="8" t="s">
        <v>189</v>
      </c>
      <c r="X4412" s="6"/>
      <c r="Y4412" s="6"/>
      <c r="Z4412" s="6"/>
      <c r="AA4412" s="6" t="s">
        <v>418</v>
      </c>
      <c r="AB4412" s="8"/>
    </row>
    <row r="4413" spans="1:28" s="4" customFormat="1" ht="42" customHeight="1">
      <c r="A4413" s="5">
        <v>0</v>
      </c>
      <c r="B4413" s="6" t="s">
        <v>26189</v>
      </c>
      <c r="C4413" s="13">
        <v>1000</v>
      </c>
      <c r="D4413" s="8" t="s">
        <v>26190</v>
      </c>
      <c r="E4413" s="8" t="s">
        <v>26184</v>
      </c>
      <c r="F4413" s="8" t="s">
        <v>26185</v>
      </c>
      <c r="G4413" s="6" t="s">
        <v>38</v>
      </c>
      <c r="H4413" s="6" t="s">
        <v>649</v>
      </c>
      <c r="I4413" s="8" t="s">
        <v>100</v>
      </c>
      <c r="J4413" s="9">
        <v>1</v>
      </c>
      <c r="K4413" s="9">
        <v>192</v>
      </c>
      <c r="L4413" s="9">
        <v>2025</v>
      </c>
      <c r="M4413" s="8" t="s">
        <v>26191</v>
      </c>
      <c r="N4413" s="8" t="s">
        <v>41</v>
      </c>
      <c r="O4413" s="8" t="s">
        <v>118</v>
      </c>
      <c r="P4413" s="6" t="s">
        <v>167</v>
      </c>
      <c r="Q4413" s="8" t="s">
        <v>102</v>
      </c>
      <c r="R4413" s="10" t="s">
        <v>26192</v>
      </c>
      <c r="S4413" s="11"/>
      <c r="T4413" s="6"/>
      <c r="U4413" s="24" t="str">
        <f>HYPERLINK("https://media.infra-m.ru/2169/2169673/cover/2169673.jpg", "Обложка")</f>
        <v>Обложка</v>
      </c>
      <c r="V4413" s="24" t="str">
        <f>HYPERLINK("https://znanium.ru/catalog/product/2169673", "Ознакомиться")</f>
        <v>Ознакомиться</v>
      </c>
      <c r="W4413" s="8" t="s">
        <v>189</v>
      </c>
      <c r="X4413" s="6" t="s">
        <v>785</v>
      </c>
      <c r="Y4413" s="6"/>
      <c r="Z4413" s="6" t="s">
        <v>502</v>
      </c>
      <c r="AA4413" s="6" t="s">
        <v>61</v>
      </c>
      <c r="AB4413" s="8"/>
    </row>
    <row r="4414" spans="1:28" s="4" customFormat="1" ht="51.95" customHeight="1">
      <c r="A4414" s="5">
        <v>0</v>
      </c>
      <c r="B4414" s="6" t="s">
        <v>26193</v>
      </c>
      <c r="C4414" s="13">
        <v>1094</v>
      </c>
      <c r="D4414" s="8" t="s">
        <v>26194</v>
      </c>
      <c r="E4414" s="8" t="s">
        <v>26195</v>
      </c>
      <c r="F4414" s="8" t="s">
        <v>26196</v>
      </c>
      <c r="G4414" s="6" t="s">
        <v>89</v>
      </c>
      <c r="H4414" s="6" t="s">
        <v>674</v>
      </c>
      <c r="I4414" s="8"/>
      <c r="J4414" s="9">
        <v>1</v>
      </c>
      <c r="K4414" s="9">
        <v>208</v>
      </c>
      <c r="L4414" s="9">
        <v>2025</v>
      </c>
      <c r="M4414" s="8" t="s">
        <v>26197</v>
      </c>
      <c r="N4414" s="8" t="s">
        <v>41</v>
      </c>
      <c r="O4414" s="8" t="s">
        <v>676</v>
      </c>
      <c r="P4414" s="6" t="s">
        <v>43</v>
      </c>
      <c r="Q4414" s="8" t="s">
        <v>44</v>
      </c>
      <c r="R4414" s="10" t="s">
        <v>13621</v>
      </c>
      <c r="S4414" s="11"/>
      <c r="T4414" s="6"/>
      <c r="U4414" s="24" t="str">
        <f>HYPERLINK("https://media.infra-m.ru/2194/2194930/cover/2194930.jpg", "Обложка")</f>
        <v>Обложка</v>
      </c>
      <c r="V4414" s="24" t="str">
        <f>HYPERLINK("https://znanium.ru/catalog/product/2132119", "Ознакомиться")</f>
        <v>Ознакомиться</v>
      </c>
      <c r="W4414" s="8" t="s">
        <v>26198</v>
      </c>
      <c r="X4414" s="6"/>
      <c r="Y4414" s="6"/>
      <c r="Z4414" s="6"/>
      <c r="AA4414" s="6" t="s">
        <v>258</v>
      </c>
      <c r="AB4414" s="8"/>
    </row>
    <row r="4415" spans="1:28" s="4" customFormat="1" ht="51.95" customHeight="1">
      <c r="A4415" s="5">
        <v>0</v>
      </c>
      <c r="B4415" s="6" t="s">
        <v>26199</v>
      </c>
      <c r="C4415" s="13">
        <v>1240</v>
      </c>
      <c r="D4415" s="8" t="s">
        <v>26200</v>
      </c>
      <c r="E4415" s="8" t="s">
        <v>26201</v>
      </c>
      <c r="F4415" s="8" t="s">
        <v>5534</v>
      </c>
      <c r="G4415" s="6" t="s">
        <v>89</v>
      </c>
      <c r="H4415" s="6" t="s">
        <v>674</v>
      </c>
      <c r="I4415" s="8"/>
      <c r="J4415" s="9">
        <v>1</v>
      </c>
      <c r="K4415" s="9">
        <v>272</v>
      </c>
      <c r="L4415" s="9">
        <v>2024</v>
      </c>
      <c r="M4415" s="8" t="s">
        <v>26202</v>
      </c>
      <c r="N4415" s="8" t="s">
        <v>41</v>
      </c>
      <c r="O4415" s="8" t="s">
        <v>676</v>
      </c>
      <c r="P4415" s="6" t="s">
        <v>43</v>
      </c>
      <c r="Q4415" s="8" t="s">
        <v>44</v>
      </c>
      <c r="R4415" s="10" t="s">
        <v>806</v>
      </c>
      <c r="S4415" s="11"/>
      <c r="T4415" s="6"/>
      <c r="U4415" s="24" t="str">
        <f>HYPERLINK("https://media.infra-m.ru/2081/2081650/cover/2081650.jpg", "Обложка")</f>
        <v>Обложка</v>
      </c>
      <c r="V4415" s="24" t="str">
        <f>HYPERLINK("https://znanium.ru/catalog/product/2081650", "Ознакомиться")</f>
        <v>Ознакомиться</v>
      </c>
      <c r="W4415" s="8" t="s">
        <v>347</v>
      </c>
      <c r="X4415" s="6"/>
      <c r="Y4415" s="6"/>
      <c r="Z4415" s="6"/>
      <c r="AA4415" s="6" t="s">
        <v>258</v>
      </c>
      <c r="AB4415" s="8"/>
    </row>
    <row r="4416" spans="1:28" s="4" customFormat="1" ht="51.95" customHeight="1">
      <c r="A4416" s="5">
        <v>0</v>
      </c>
      <c r="B4416" s="6" t="s">
        <v>26203</v>
      </c>
      <c r="C4416" s="7">
        <v>564</v>
      </c>
      <c r="D4416" s="8" t="s">
        <v>26204</v>
      </c>
      <c r="E4416" s="8" t="s">
        <v>26205</v>
      </c>
      <c r="F4416" s="8" t="s">
        <v>1119</v>
      </c>
      <c r="G4416" s="6" t="s">
        <v>38</v>
      </c>
      <c r="H4416" s="6" t="s">
        <v>39</v>
      </c>
      <c r="I4416" s="8" t="s">
        <v>185</v>
      </c>
      <c r="J4416" s="9">
        <v>1</v>
      </c>
      <c r="K4416" s="9">
        <v>112</v>
      </c>
      <c r="L4416" s="9">
        <v>2025</v>
      </c>
      <c r="M4416" s="8" t="s">
        <v>26206</v>
      </c>
      <c r="N4416" s="8" t="s">
        <v>79</v>
      </c>
      <c r="O4416" s="8" t="s">
        <v>684</v>
      </c>
      <c r="P4416" s="6" t="s">
        <v>5588</v>
      </c>
      <c r="Q4416" s="8" t="s">
        <v>102</v>
      </c>
      <c r="R4416" s="10" t="s">
        <v>26207</v>
      </c>
      <c r="S4416" s="11" t="s">
        <v>26208</v>
      </c>
      <c r="T4416" s="6"/>
      <c r="U4416" s="24" t="str">
        <f>HYPERLINK("https://media.infra-m.ru/2188/2188213/cover/2188213.jpg", "Обложка")</f>
        <v>Обложка</v>
      </c>
      <c r="V4416" s="24" t="str">
        <f>HYPERLINK("https://znanium.ru/catalog/product/1280629", "Ознакомиться")</f>
        <v>Ознакомиться</v>
      </c>
      <c r="W4416" s="8" t="s">
        <v>1123</v>
      </c>
      <c r="X4416" s="6"/>
      <c r="Y4416" s="6"/>
      <c r="Z4416" s="6"/>
      <c r="AA4416" s="6" t="s">
        <v>654</v>
      </c>
      <c r="AB4416" s="8"/>
    </row>
    <row r="4417" spans="1:28" s="4" customFormat="1" ht="42" customHeight="1">
      <c r="A4417" s="5">
        <v>0</v>
      </c>
      <c r="B4417" s="6" t="s">
        <v>26209</v>
      </c>
      <c r="C4417" s="7">
        <v>654</v>
      </c>
      <c r="D4417" s="8" t="s">
        <v>26210</v>
      </c>
      <c r="E4417" s="8" t="s">
        <v>26211</v>
      </c>
      <c r="F4417" s="8" t="s">
        <v>26212</v>
      </c>
      <c r="G4417" s="6" t="s">
        <v>38</v>
      </c>
      <c r="H4417" s="6" t="s">
        <v>53</v>
      </c>
      <c r="I4417" s="8" t="s">
        <v>90</v>
      </c>
      <c r="J4417" s="9">
        <v>1</v>
      </c>
      <c r="K4417" s="9">
        <v>143</v>
      </c>
      <c r="L4417" s="9">
        <v>2024</v>
      </c>
      <c r="M4417" s="8" t="s">
        <v>26213</v>
      </c>
      <c r="N4417" s="8" t="s">
        <v>56</v>
      </c>
      <c r="O4417" s="8" t="s">
        <v>57</v>
      </c>
      <c r="P4417" s="6" t="s">
        <v>43</v>
      </c>
      <c r="Q4417" s="8" t="s">
        <v>44</v>
      </c>
      <c r="R4417" s="10" t="s">
        <v>26214</v>
      </c>
      <c r="S4417" s="11"/>
      <c r="T4417" s="6"/>
      <c r="U4417" s="24" t="str">
        <f>HYPERLINK("https://media.infra-m.ru/2117/2117055/cover/2117055.jpg", "Обложка")</f>
        <v>Обложка</v>
      </c>
      <c r="V4417" s="24" t="str">
        <f>HYPERLINK("https://znanium.ru/catalog/product/2117055", "Ознакомиться")</f>
        <v>Ознакомиться</v>
      </c>
      <c r="W4417" s="8" t="s">
        <v>16738</v>
      </c>
      <c r="X4417" s="6"/>
      <c r="Y4417" s="6"/>
      <c r="Z4417" s="6"/>
      <c r="AA4417" s="6" t="s">
        <v>84</v>
      </c>
      <c r="AB4417" s="8"/>
    </row>
    <row r="4418" spans="1:28" s="4" customFormat="1" ht="42" customHeight="1">
      <c r="A4418" s="5">
        <v>0</v>
      </c>
      <c r="B4418" s="6" t="s">
        <v>26215</v>
      </c>
      <c r="C4418" s="7">
        <v>854.9</v>
      </c>
      <c r="D4418" s="8" t="s">
        <v>26216</v>
      </c>
      <c r="E4418" s="8" t="s">
        <v>26217</v>
      </c>
      <c r="F4418" s="8" t="s">
        <v>26218</v>
      </c>
      <c r="G4418" s="6" t="s">
        <v>38</v>
      </c>
      <c r="H4418" s="6" t="s">
        <v>53</v>
      </c>
      <c r="I4418" s="8" t="s">
        <v>116</v>
      </c>
      <c r="J4418" s="9">
        <v>1</v>
      </c>
      <c r="K4418" s="9">
        <v>268</v>
      </c>
      <c r="L4418" s="9">
        <v>2019</v>
      </c>
      <c r="M4418" s="8" t="s">
        <v>26219</v>
      </c>
      <c r="N4418" s="8" t="s">
        <v>56</v>
      </c>
      <c r="O4418" s="8" t="s">
        <v>57</v>
      </c>
      <c r="P4418" s="6" t="s">
        <v>43</v>
      </c>
      <c r="Q4418" s="8" t="s">
        <v>44</v>
      </c>
      <c r="R4418" s="10" t="s">
        <v>26220</v>
      </c>
      <c r="S4418" s="11"/>
      <c r="T4418" s="6"/>
      <c r="U4418" s="24" t="str">
        <f>HYPERLINK("https://media.infra-m.ru/1010/1010086/cover/1010086.jpg", "Обложка")</f>
        <v>Обложка</v>
      </c>
      <c r="V4418" s="24" t="str">
        <f>HYPERLINK("https://znanium.ru/catalog/product/1010086", "Ознакомиться")</f>
        <v>Ознакомиться</v>
      </c>
      <c r="W4418" s="8" t="s">
        <v>4323</v>
      </c>
      <c r="X4418" s="6"/>
      <c r="Y4418" s="6"/>
      <c r="Z4418" s="6"/>
      <c r="AA4418" s="6" t="s">
        <v>47</v>
      </c>
      <c r="AB4418" s="8"/>
    </row>
    <row r="4419" spans="1:28" s="4" customFormat="1" ht="51.95" customHeight="1">
      <c r="A4419" s="5">
        <v>0</v>
      </c>
      <c r="B4419" s="6" t="s">
        <v>26221</v>
      </c>
      <c r="C4419" s="13">
        <v>1500</v>
      </c>
      <c r="D4419" s="8" t="s">
        <v>26222</v>
      </c>
      <c r="E4419" s="8" t="s">
        <v>26223</v>
      </c>
      <c r="F4419" s="8" t="s">
        <v>26224</v>
      </c>
      <c r="G4419" s="6" t="s">
        <v>89</v>
      </c>
      <c r="H4419" s="6" t="s">
        <v>53</v>
      </c>
      <c r="I4419" s="8" t="s">
        <v>90</v>
      </c>
      <c r="J4419" s="9">
        <v>1</v>
      </c>
      <c r="K4419" s="9">
        <v>418</v>
      </c>
      <c r="L4419" s="9">
        <v>2021</v>
      </c>
      <c r="M4419" s="8" t="s">
        <v>26225</v>
      </c>
      <c r="N4419" s="8" t="s">
        <v>41</v>
      </c>
      <c r="O4419" s="8" t="s">
        <v>676</v>
      </c>
      <c r="P4419" s="6" t="s">
        <v>167</v>
      </c>
      <c r="Q4419" s="8" t="s">
        <v>44</v>
      </c>
      <c r="R4419" s="10" t="s">
        <v>7326</v>
      </c>
      <c r="S4419" s="11" t="s">
        <v>26226</v>
      </c>
      <c r="T4419" s="6"/>
      <c r="U4419" s="24" t="str">
        <f>HYPERLINK("https://media.infra-m.ru/1217/1217734/cover/1217734.jpg", "Обложка")</f>
        <v>Обложка</v>
      </c>
      <c r="V4419" s="24" t="str">
        <f>HYPERLINK("https://znanium.ru/catalog/product/1217734", "Ознакомиться")</f>
        <v>Ознакомиться</v>
      </c>
      <c r="W4419" s="8" t="s">
        <v>11355</v>
      </c>
      <c r="X4419" s="6"/>
      <c r="Y4419" s="6"/>
      <c r="Z4419" s="6"/>
      <c r="AA4419" s="6" t="s">
        <v>1259</v>
      </c>
      <c r="AB4419" s="8"/>
    </row>
    <row r="4420" spans="1:28" s="4" customFormat="1" ht="51.95" customHeight="1">
      <c r="A4420" s="5">
        <v>0</v>
      </c>
      <c r="B4420" s="6" t="s">
        <v>26227</v>
      </c>
      <c r="C4420" s="13">
        <v>1094.9000000000001</v>
      </c>
      <c r="D4420" s="8" t="s">
        <v>26228</v>
      </c>
      <c r="E4420" s="8" t="s">
        <v>26229</v>
      </c>
      <c r="F4420" s="8" t="s">
        <v>26224</v>
      </c>
      <c r="G4420" s="6" t="s">
        <v>52</v>
      </c>
      <c r="H4420" s="6" t="s">
        <v>53</v>
      </c>
      <c r="I4420" s="8" t="s">
        <v>90</v>
      </c>
      <c r="J4420" s="9">
        <v>1</v>
      </c>
      <c r="K4420" s="9">
        <v>376</v>
      </c>
      <c r="L4420" s="9">
        <v>2018</v>
      </c>
      <c r="M4420" s="8" t="s">
        <v>26230</v>
      </c>
      <c r="N4420" s="8" t="s">
        <v>41</v>
      </c>
      <c r="O4420" s="8" t="s">
        <v>676</v>
      </c>
      <c r="P4420" s="6" t="s">
        <v>167</v>
      </c>
      <c r="Q4420" s="8" t="s">
        <v>44</v>
      </c>
      <c r="R4420" s="10" t="s">
        <v>7326</v>
      </c>
      <c r="S4420" s="11" t="s">
        <v>7327</v>
      </c>
      <c r="T4420" s="6"/>
      <c r="U4420" s="24" t="str">
        <f>HYPERLINK("https://media.infra-m.ru/0926/0926864/cover/926864.jpg", "Обложка")</f>
        <v>Обложка</v>
      </c>
      <c r="V4420" s="24" t="str">
        <f>HYPERLINK("https://znanium.ru/catalog/product/1217734", "Ознакомиться")</f>
        <v>Ознакомиться</v>
      </c>
      <c r="W4420" s="8" t="s">
        <v>11355</v>
      </c>
      <c r="X4420" s="6"/>
      <c r="Y4420" s="6"/>
      <c r="Z4420" s="6"/>
      <c r="AA4420" s="6" t="s">
        <v>418</v>
      </c>
      <c r="AB4420" s="8"/>
    </row>
    <row r="4421" spans="1:28" s="4" customFormat="1" ht="51.95" customHeight="1">
      <c r="A4421" s="5">
        <v>0</v>
      </c>
      <c r="B4421" s="6" t="s">
        <v>26231</v>
      </c>
      <c r="C4421" s="7">
        <v>870</v>
      </c>
      <c r="D4421" s="8" t="s">
        <v>26232</v>
      </c>
      <c r="E4421" s="8" t="s">
        <v>26233</v>
      </c>
      <c r="F4421" s="8" t="s">
        <v>26234</v>
      </c>
      <c r="G4421" s="6" t="s">
        <v>38</v>
      </c>
      <c r="H4421" s="6" t="s">
        <v>53</v>
      </c>
      <c r="I4421" s="8" t="s">
        <v>26235</v>
      </c>
      <c r="J4421" s="9">
        <v>1</v>
      </c>
      <c r="K4421" s="9">
        <v>173</v>
      </c>
      <c r="L4421" s="9">
        <v>2025</v>
      </c>
      <c r="M4421" s="8" t="s">
        <v>26236</v>
      </c>
      <c r="N4421" s="8" t="s">
        <v>41</v>
      </c>
      <c r="O4421" s="8" t="s">
        <v>4035</v>
      </c>
      <c r="P4421" s="6" t="s">
        <v>1046</v>
      </c>
      <c r="Q4421" s="8" t="s">
        <v>279</v>
      </c>
      <c r="R4421" s="10" t="s">
        <v>26237</v>
      </c>
      <c r="S4421" s="11"/>
      <c r="T4421" s="6"/>
      <c r="U4421" s="24" t="str">
        <f>HYPERLINK("https://media.infra-m.ru/2184/2184876/cover/2184876.jpg", "Обложка")</f>
        <v>Обложка</v>
      </c>
      <c r="V4421" s="24" t="str">
        <f>HYPERLINK("https://znanium.ru/catalog/product/2184876", "Ознакомиться")</f>
        <v>Ознакомиться</v>
      </c>
      <c r="W4421" s="8" t="s">
        <v>150</v>
      </c>
      <c r="X4421" s="6"/>
      <c r="Y4421" s="6"/>
      <c r="Z4421" s="6"/>
      <c r="AA4421" s="6" t="s">
        <v>793</v>
      </c>
      <c r="AB4421" s="8"/>
    </row>
    <row r="4422" spans="1:28" s="4" customFormat="1" ht="51.95" customHeight="1">
      <c r="A4422" s="5">
        <v>0</v>
      </c>
      <c r="B4422" s="6" t="s">
        <v>26238</v>
      </c>
      <c r="C4422" s="13">
        <v>1500</v>
      </c>
      <c r="D4422" s="8" t="s">
        <v>26239</v>
      </c>
      <c r="E4422" s="8" t="s">
        <v>26240</v>
      </c>
      <c r="F4422" s="8" t="s">
        <v>10429</v>
      </c>
      <c r="G4422" s="6" t="s">
        <v>89</v>
      </c>
      <c r="H4422" s="6" t="s">
        <v>53</v>
      </c>
      <c r="I4422" s="8" t="s">
        <v>116</v>
      </c>
      <c r="J4422" s="9">
        <v>1</v>
      </c>
      <c r="K4422" s="9">
        <v>298</v>
      </c>
      <c r="L4422" s="9">
        <v>2025</v>
      </c>
      <c r="M4422" s="8" t="s">
        <v>26241</v>
      </c>
      <c r="N4422" s="8" t="s">
        <v>41</v>
      </c>
      <c r="O4422" s="8" t="s">
        <v>278</v>
      </c>
      <c r="P4422" s="6" t="s">
        <v>167</v>
      </c>
      <c r="Q4422" s="8" t="s">
        <v>44</v>
      </c>
      <c r="R4422" s="10" t="s">
        <v>13559</v>
      </c>
      <c r="S4422" s="11" t="s">
        <v>10432</v>
      </c>
      <c r="T4422" s="6"/>
      <c r="U4422" s="24" t="str">
        <f>HYPERLINK("https://media.infra-m.ru/2191/2191265/cover/2191265.jpg", "Обложка")</f>
        <v>Обложка</v>
      </c>
      <c r="V4422" s="24" t="str">
        <f>HYPERLINK("https://znanium.ru/catalog/product/2191265", "Ознакомиться")</f>
        <v>Ознакомиться</v>
      </c>
      <c r="W4422" s="8"/>
      <c r="X4422" s="6"/>
      <c r="Y4422" s="6"/>
      <c r="Z4422" s="6"/>
      <c r="AA4422" s="6" t="s">
        <v>219</v>
      </c>
      <c r="AB4422" s="8"/>
    </row>
    <row r="4423" spans="1:28" s="4" customFormat="1" ht="51.95" customHeight="1">
      <c r="A4423" s="5">
        <v>0</v>
      </c>
      <c r="B4423" s="6" t="s">
        <v>26242</v>
      </c>
      <c r="C4423" s="7">
        <v>730</v>
      </c>
      <c r="D4423" s="8" t="s">
        <v>26243</v>
      </c>
      <c r="E4423" s="8" t="s">
        <v>26244</v>
      </c>
      <c r="F4423" s="8" t="s">
        <v>26245</v>
      </c>
      <c r="G4423" s="6" t="s">
        <v>52</v>
      </c>
      <c r="H4423" s="6" t="s">
        <v>53</v>
      </c>
      <c r="I4423" s="8" t="s">
        <v>782</v>
      </c>
      <c r="J4423" s="9">
        <v>1</v>
      </c>
      <c r="K4423" s="9">
        <v>140</v>
      </c>
      <c r="L4423" s="9">
        <v>2024</v>
      </c>
      <c r="M4423" s="8" t="s">
        <v>26246</v>
      </c>
      <c r="N4423" s="8" t="s">
        <v>79</v>
      </c>
      <c r="O4423" s="8" t="s">
        <v>396</v>
      </c>
      <c r="P4423" s="6" t="s">
        <v>43</v>
      </c>
      <c r="Q4423" s="8" t="s">
        <v>58</v>
      </c>
      <c r="R4423" s="10" t="s">
        <v>26247</v>
      </c>
      <c r="S4423" s="11"/>
      <c r="T4423" s="6"/>
      <c r="U4423" s="24" t="str">
        <f>HYPERLINK("https://media.infra-m.ru/2130/2130192/cover/2130192.jpg", "Обложка")</f>
        <v>Обложка</v>
      </c>
      <c r="V4423" s="12"/>
      <c r="W4423" s="8" t="s">
        <v>784</v>
      </c>
      <c r="X4423" s="6" t="s">
        <v>389</v>
      </c>
      <c r="Y4423" s="6"/>
      <c r="Z4423" s="6"/>
      <c r="AA4423" s="6" t="s">
        <v>133</v>
      </c>
      <c r="AB4423" s="8"/>
    </row>
    <row r="4424" spans="1:28" s="4" customFormat="1" ht="51.95" customHeight="1">
      <c r="A4424" s="5">
        <v>0</v>
      </c>
      <c r="B4424" s="6" t="s">
        <v>26248</v>
      </c>
      <c r="C4424" s="13">
        <v>1100</v>
      </c>
      <c r="D4424" s="8" t="s">
        <v>26249</v>
      </c>
      <c r="E4424" s="8" t="s">
        <v>26250</v>
      </c>
      <c r="F4424" s="8" t="s">
        <v>26251</v>
      </c>
      <c r="G4424" s="6" t="s">
        <v>89</v>
      </c>
      <c r="H4424" s="6" t="s">
        <v>53</v>
      </c>
      <c r="I4424" s="8" t="s">
        <v>276</v>
      </c>
      <c r="J4424" s="9">
        <v>1</v>
      </c>
      <c r="K4424" s="9">
        <v>223</v>
      </c>
      <c r="L4424" s="9">
        <v>2024</v>
      </c>
      <c r="M4424" s="8" t="s">
        <v>26252</v>
      </c>
      <c r="N4424" s="8" t="s">
        <v>79</v>
      </c>
      <c r="O4424" s="8" t="s">
        <v>174</v>
      </c>
      <c r="P4424" s="6" t="s">
        <v>43</v>
      </c>
      <c r="Q4424" s="8" t="s">
        <v>279</v>
      </c>
      <c r="R4424" s="10" t="s">
        <v>26253</v>
      </c>
      <c r="S4424" s="11"/>
      <c r="T4424" s="6"/>
      <c r="U4424" s="24" t="str">
        <f>HYPERLINK("https://media.infra-m.ru/2080/2080782/cover/2080782.jpg", "Обложка")</f>
        <v>Обложка</v>
      </c>
      <c r="V4424" s="24" t="str">
        <f>HYPERLINK("https://znanium.ru/catalog/product/2080782", "Ознакомиться")</f>
        <v>Ознакомиться</v>
      </c>
      <c r="W4424" s="8" t="s">
        <v>26254</v>
      </c>
      <c r="X4424" s="6"/>
      <c r="Y4424" s="6"/>
      <c r="Z4424" s="6"/>
      <c r="AA4424" s="6" t="s">
        <v>813</v>
      </c>
      <c r="AB4424" s="8"/>
    </row>
    <row r="4425" spans="1:28" s="4" customFormat="1" ht="51.95" customHeight="1">
      <c r="A4425" s="5">
        <v>0</v>
      </c>
      <c r="B4425" s="6" t="s">
        <v>26255</v>
      </c>
      <c r="C4425" s="13">
        <v>2020</v>
      </c>
      <c r="D4425" s="8" t="s">
        <v>26256</v>
      </c>
      <c r="E4425" s="8" t="s">
        <v>26257</v>
      </c>
      <c r="F4425" s="8" t="s">
        <v>26258</v>
      </c>
      <c r="G4425" s="6" t="s">
        <v>52</v>
      </c>
      <c r="H4425" s="6" t="s">
        <v>53</v>
      </c>
      <c r="I4425" s="8" t="s">
        <v>212</v>
      </c>
      <c r="J4425" s="9">
        <v>1</v>
      </c>
      <c r="K4425" s="9">
        <v>391</v>
      </c>
      <c r="L4425" s="9">
        <v>2025</v>
      </c>
      <c r="M4425" s="8" t="s">
        <v>26259</v>
      </c>
      <c r="N4425" s="8" t="s">
        <v>79</v>
      </c>
      <c r="O4425" s="8" t="s">
        <v>537</v>
      </c>
      <c r="P4425" s="6" t="s">
        <v>167</v>
      </c>
      <c r="Q4425" s="8" t="s">
        <v>214</v>
      </c>
      <c r="R4425" s="10" t="s">
        <v>26260</v>
      </c>
      <c r="S4425" s="11"/>
      <c r="T4425" s="6" t="s">
        <v>299</v>
      </c>
      <c r="U4425" s="24" t="str">
        <f>HYPERLINK("https://media.infra-m.ru/2088/2088236/cover/2088236.jpg", "Обложка")</f>
        <v>Обложка</v>
      </c>
      <c r="V4425" s="24" t="str">
        <f>HYPERLINK("https://znanium.ru/catalog/product/2088236", "Ознакомиться")</f>
        <v>Ознакомиться</v>
      </c>
      <c r="W4425" s="8" t="s">
        <v>1544</v>
      </c>
      <c r="X4425" s="6" t="s">
        <v>785</v>
      </c>
      <c r="Y4425" s="6"/>
      <c r="Z4425" s="6"/>
      <c r="AA4425" s="6" t="s">
        <v>15475</v>
      </c>
      <c r="AB4425" s="8"/>
    </row>
    <row r="4426" spans="1:28" s="4" customFormat="1" ht="51.95" customHeight="1">
      <c r="A4426" s="5">
        <v>0</v>
      </c>
      <c r="B4426" s="6" t="s">
        <v>26261</v>
      </c>
      <c r="C4426" s="13">
        <v>1914</v>
      </c>
      <c r="D4426" s="8" t="s">
        <v>26262</v>
      </c>
      <c r="E4426" s="8" t="s">
        <v>26263</v>
      </c>
      <c r="F4426" s="8" t="s">
        <v>26258</v>
      </c>
      <c r="G4426" s="6" t="s">
        <v>89</v>
      </c>
      <c r="H4426" s="6" t="s">
        <v>53</v>
      </c>
      <c r="I4426" s="8" t="s">
        <v>212</v>
      </c>
      <c r="J4426" s="9">
        <v>1</v>
      </c>
      <c r="K4426" s="9">
        <v>407</v>
      </c>
      <c r="L4426" s="9">
        <v>2024</v>
      </c>
      <c r="M4426" s="8" t="s">
        <v>26264</v>
      </c>
      <c r="N4426" s="8" t="s">
        <v>79</v>
      </c>
      <c r="O4426" s="8" t="s">
        <v>537</v>
      </c>
      <c r="P4426" s="6" t="s">
        <v>167</v>
      </c>
      <c r="Q4426" s="8" t="s">
        <v>214</v>
      </c>
      <c r="R4426" s="10" t="s">
        <v>26260</v>
      </c>
      <c r="S4426" s="11" t="s">
        <v>26265</v>
      </c>
      <c r="T4426" s="6" t="s">
        <v>299</v>
      </c>
      <c r="U4426" s="24" t="str">
        <f>HYPERLINK("https://media.infra-m.ru/2145/2145137/cover/2145137.jpg", "Обложка")</f>
        <v>Обложка</v>
      </c>
      <c r="V4426" s="24" t="str">
        <f>HYPERLINK("https://znanium.ru/catalog/product/2088236", "Ознакомиться")</f>
        <v>Ознакомиться</v>
      </c>
      <c r="W4426" s="8" t="s">
        <v>1544</v>
      </c>
      <c r="X4426" s="6"/>
      <c r="Y4426" s="6"/>
      <c r="Z4426" s="6"/>
      <c r="AA4426" s="6" t="s">
        <v>1382</v>
      </c>
      <c r="AB4426" s="8"/>
    </row>
    <row r="4427" spans="1:28" s="4" customFormat="1" ht="51.95" customHeight="1">
      <c r="A4427" s="5">
        <v>0</v>
      </c>
      <c r="B4427" s="6" t="s">
        <v>26266</v>
      </c>
      <c r="C4427" s="13">
        <v>1370</v>
      </c>
      <c r="D4427" s="8" t="s">
        <v>26267</v>
      </c>
      <c r="E4427" s="8" t="s">
        <v>26268</v>
      </c>
      <c r="F4427" s="8" t="s">
        <v>26258</v>
      </c>
      <c r="G4427" s="6" t="s">
        <v>89</v>
      </c>
      <c r="H4427" s="6" t="s">
        <v>53</v>
      </c>
      <c r="I4427" s="8" t="s">
        <v>116</v>
      </c>
      <c r="J4427" s="9">
        <v>1</v>
      </c>
      <c r="K4427" s="9">
        <v>402</v>
      </c>
      <c r="L4427" s="9">
        <v>2020</v>
      </c>
      <c r="M4427" s="8" t="s">
        <v>26269</v>
      </c>
      <c r="N4427" s="8" t="s">
        <v>79</v>
      </c>
      <c r="O4427" s="8" t="s">
        <v>537</v>
      </c>
      <c r="P4427" s="6" t="s">
        <v>167</v>
      </c>
      <c r="Q4427" s="8" t="s">
        <v>44</v>
      </c>
      <c r="R4427" s="10" t="s">
        <v>26260</v>
      </c>
      <c r="S4427" s="11" t="s">
        <v>26270</v>
      </c>
      <c r="T4427" s="6" t="s">
        <v>299</v>
      </c>
      <c r="U4427" s="24" t="str">
        <f>HYPERLINK("https://media.infra-m.ru/1093/1093431/cover/1093431.jpg", "Обложка")</f>
        <v>Обложка</v>
      </c>
      <c r="V4427" s="24" t="str">
        <f>HYPERLINK("https://znanium.ru/catalog/product/2088236", "Ознакомиться")</f>
        <v>Ознакомиться</v>
      </c>
      <c r="W4427" s="8" t="s">
        <v>1544</v>
      </c>
      <c r="X4427" s="6"/>
      <c r="Y4427" s="6"/>
      <c r="Z4427" s="6"/>
      <c r="AA4427" s="6" t="s">
        <v>47</v>
      </c>
      <c r="AB4427" s="8"/>
    </row>
    <row r="4428" spans="1:28" s="4" customFormat="1" ht="51.95" customHeight="1">
      <c r="A4428" s="5">
        <v>0</v>
      </c>
      <c r="B4428" s="6" t="s">
        <v>26271</v>
      </c>
      <c r="C4428" s="13">
        <v>1160</v>
      </c>
      <c r="D4428" s="8" t="s">
        <v>26272</v>
      </c>
      <c r="E4428" s="8" t="s">
        <v>26273</v>
      </c>
      <c r="F4428" s="8" t="s">
        <v>26258</v>
      </c>
      <c r="G4428" s="6" t="s">
        <v>52</v>
      </c>
      <c r="H4428" s="6" t="s">
        <v>53</v>
      </c>
      <c r="I4428" s="8" t="s">
        <v>90</v>
      </c>
      <c r="J4428" s="9">
        <v>1</v>
      </c>
      <c r="K4428" s="9">
        <v>400</v>
      </c>
      <c r="L4428" s="9">
        <v>2018</v>
      </c>
      <c r="M4428" s="8" t="s">
        <v>26274</v>
      </c>
      <c r="N4428" s="8" t="s">
        <v>79</v>
      </c>
      <c r="O4428" s="8" t="s">
        <v>537</v>
      </c>
      <c r="P4428" s="6" t="s">
        <v>43</v>
      </c>
      <c r="Q4428" s="8" t="s">
        <v>44</v>
      </c>
      <c r="R4428" s="10" t="s">
        <v>26260</v>
      </c>
      <c r="S4428" s="11" t="s">
        <v>26275</v>
      </c>
      <c r="T4428" s="6" t="s">
        <v>299</v>
      </c>
      <c r="U4428" s="24" t="str">
        <f>HYPERLINK("https://media.infra-m.ru/0923/0923354/cover/923354.jpg", "Обложка")</f>
        <v>Обложка</v>
      </c>
      <c r="V4428" s="24" t="str">
        <f>HYPERLINK("https://znanium.ru/catalog/product/2088236", "Ознакомиться")</f>
        <v>Ознакомиться</v>
      </c>
      <c r="W4428" s="8" t="s">
        <v>1544</v>
      </c>
      <c r="X4428" s="6"/>
      <c r="Y4428" s="6"/>
      <c r="Z4428" s="6"/>
      <c r="AA4428" s="6" t="s">
        <v>326</v>
      </c>
      <c r="AB4428" s="8"/>
    </row>
    <row r="4429" spans="1:28" s="4" customFormat="1" ht="51.95" customHeight="1">
      <c r="A4429" s="5">
        <v>0</v>
      </c>
      <c r="B4429" s="6" t="s">
        <v>26276</v>
      </c>
      <c r="C4429" s="7">
        <v>990</v>
      </c>
      <c r="D4429" s="8" t="s">
        <v>26277</v>
      </c>
      <c r="E4429" s="8" t="s">
        <v>26278</v>
      </c>
      <c r="F4429" s="8" t="s">
        <v>1778</v>
      </c>
      <c r="G4429" s="6" t="s">
        <v>89</v>
      </c>
      <c r="H4429" s="6" t="s">
        <v>53</v>
      </c>
      <c r="I4429" s="8" t="s">
        <v>15550</v>
      </c>
      <c r="J4429" s="9">
        <v>1</v>
      </c>
      <c r="K4429" s="9">
        <v>211</v>
      </c>
      <c r="L4429" s="9">
        <v>2024</v>
      </c>
      <c r="M4429" s="8" t="s">
        <v>26279</v>
      </c>
      <c r="N4429" s="8" t="s">
        <v>56</v>
      </c>
      <c r="O4429" s="8" t="s">
        <v>57</v>
      </c>
      <c r="P4429" s="6" t="s">
        <v>43</v>
      </c>
      <c r="Q4429" s="8" t="s">
        <v>279</v>
      </c>
      <c r="R4429" s="10" t="s">
        <v>26280</v>
      </c>
      <c r="S4429" s="11"/>
      <c r="T4429" s="6"/>
      <c r="U4429" s="24" t="str">
        <f>HYPERLINK("https://media.infra-m.ru/2145/2145485/cover/2145485.jpg", "Обложка")</f>
        <v>Обложка</v>
      </c>
      <c r="V4429" s="24" t="str">
        <f>HYPERLINK("https://znanium.ru/catalog/product/2145485", "Ознакомиться")</f>
        <v>Ознакомиться</v>
      </c>
      <c r="W4429" s="8" t="s">
        <v>206</v>
      </c>
      <c r="X4429" s="6"/>
      <c r="Y4429" s="6"/>
      <c r="Z4429" s="6"/>
      <c r="AA4429" s="6" t="s">
        <v>258</v>
      </c>
      <c r="AB4429" s="8"/>
    </row>
    <row r="4430" spans="1:28" s="4" customFormat="1" ht="51.95" customHeight="1">
      <c r="A4430" s="5">
        <v>0</v>
      </c>
      <c r="B4430" s="6" t="s">
        <v>26281</v>
      </c>
      <c r="C4430" s="13">
        <v>1820</v>
      </c>
      <c r="D4430" s="8" t="s">
        <v>26282</v>
      </c>
      <c r="E4430" s="8" t="s">
        <v>26283</v>
      </c>
      <c r="F4430" s="8" t="s">
        <v>26284</v>
      </c>
      <c r="G4430" s="6" t="s">
        <v>89</v>
      </c>
      <c r="H4430" s="6" t="s">
        <v>53</v>
      </c>
      <c r="I4430" s="8" t="s">
        <v>116</v>
      </c>
      <c r="J4430" s="9">
        <v>1</v>
      </c>
      <c r="K4430" s="9">
        <v>304</v>
      </c>
      <c r="L4430" s="9">
        <v>2024</v>
      </c>
      <c r="M4430" s="8" t="s">
        <v>26285</v>
      </c>
      <c r="N4430" s="8" t="s">
        <v>41</v>
      </c>
      <c r="O4430" s="8" t="s">
        <v>1204</v>
      </c>
      <c r="P4430" s="6" t="s">
        <v>43</v>
      </c>
      <c r="Q4430" s="8" t="s">
        <v>44</v>
      </c>
      <c r="R4430" s="10" t="s">
        <v>26286</v>
      </c>
      <c r="S4430" s="11" t="s">
        <v>6981</v>
      </c>
      <c r="T4430" s="6"/>
      <c r="U4430" s="24" t="str">
        <f>HYPERLINK("https://media.infra-m.ru/2130/2130165/cover/2130165.jpg", "Обложка")</f>
        <v>Обложка</v>
      </c>
      <c r="V4430" s="24" t="str">
        <f>HYPERLINK("https://znanium.ru/catalog/product/2130165", "Ознакомиться")</f>
        <v>Ознакомиться</v>
      </c>
      <c r="W4430" s="8" t="s">
        <v>1064</v>
      </c>
      <c r="X4430" s="6"/>
      <c r="Y4430" s="6"/>
      <c r="Z4430" s="6"/>
      <c r="AA4430" s="6" t="s">
        <v>418</v>
      </c>
      <c r="AB4430" s="8"/>
    </row>
    <row r="4431" spans="1:28" s="4" customFormat="1" ht="51.95" customHeight="1">
      <c r="A4431" s="5">
        <v>0</v>
      </c>
      <c r="B4431" s="6" t="s">
        <v>26287</v>
      </c>
      <c r="C4431" s="13">
        <v>1300</v>
      </c>
      <c r="D4431" s="8" t="s">
        <v>26288</v>
      </c>
      <c r="E4431" s="8" t="s">
        <v>26289</v>
      </c>
      <c r="F4431" s="8" t="s">
        <v>3090</v>
      </c>
      <c r="G4431" s="6" t="s">
        <v>89</v>
      </c>
      <c r="H4431" s="6" t="s">
        <v>53</v>
      </c>
      <c r="I4431" s="8" t="s">
        <v>116</v>
      </c>
      <c r="J4431" s="9">
        <v>1</v>
      </c>
      <c r="K4431" s="9">
        <v>277</v>
      </c>
      <c r="L4431" s="9">
        <v>2024</v>
      </c>
      <c r="M4431" s="8" t="s">
        <v>26290</v>
      </c>
      <c r="N4431" s="8" t="s">
        <v>56</v>
      </c>
      <c r="O4431" s="8" t="s">
        <v>4042</v>
      </c>
      <c r="P4431" s="6" t="s">
        <v>167</v>
      </c>
      <c r="Q4431" s="8" t="s">
        <v>58</v>
      </c>
      <c r="R4431" s="10" t="s">
        <v>26291</v>
      </c>
      <c r="S4431" s="11" t="s">
        <v>8216</v>
      </c>
      <c r="T4431" s="6"/>
      <c r="U4431" s="24" t="str">
        <f>HYPERLINK("https://media.infra-m.ru/2064/2064436/cover/2064436.jpg", "Обложка")</f>
        <v>Обложка</v>
      </c>
      <c r="V4431" s="24" t="str">
        <f>HYPERLINK("https://znanium.ru/catalog/product/2064436", "Ознакомиться")</f>
        <v>Ознакомиться</v>
      </c>
      <c r="W4431" s="8" t="s">
        <v>2201</v>
      </c>
      <c r="X4431" s="6"/>
      <c r="Y4431" s="6"/>
      <c r="Z4431" s="6"/>
      <c r="AA4431" s="6" t="s">
        <v>95</v>
      </c>
      <c r="AB4431" s="8"/>
    </row>
    <row r="4432" spans="1:28" s="4" customFormat="1" ht="51.95" customHeight="1">
      <c r="A4432" s="5">
        <v>0</v>
      </c>
      <c r="B4432" s="6" t="s">
        <v>26292</v>
      </c>
      <c r="C4432" s="13">
        <v>1730</v>
      </c>
      <c r="D4432" s="8" t="s">
        <v>26293</v>
      </c>
      <c r="E4432" s="8" t="s">
        <v>26294</v>
      </c>
      <c r="F4432" s="8" t="s">
        <v>26295</v>
      </c>
      <c r="G4432" s="6" t="s">
        <v>89</v>
      </c>
      <c r="H4432" s="6" t="s">
        <v>1094</v>
      </c>
      <c r="I4432" s="8"/>
      <c r="J4432" s="9">
        <v>1</v>
      </c>
      <c r="K4432" s="9">
        <v>368</v>
      </c>
      <c r="L4432" s="9">
        <v>2024</v>
      </c>
      <c r="M4432" s="8" t="s">
        <v>26296</v>
      </c>
      <c r="N4432" s="8" t="s">
        <v>41</v>
      </c>
      <c r="O4432" s="8" t="s">
        <v>676</v>
      </c>
      <c r="P4432" s="6" t="s">
        <v>822</v>
      </c>
      <c r="Q4432" s="8" t="s">
        <v>279</v>
      </c>
      <c r="R4432" s="10" t="s">
        <v>2736</v>
      </c>
      <c r="S4432" s="11"/>
      <c r="T4432" s="6"/>
      <c r="U4432" s="24" t="str">
        <f>HYPERLINK("https://media.infra-m.ru/2143/2143254/cover/2143254.jpg", "Обложка")</f>
        <v>Обложка</v>
      </c>
      <c r="V4432" s="24" t="str">
        <f>HYPERLINK("https://znanium.ru/catalog/product/2143254", "Ознакомиться")</f>
        <v>Ознакомиться</v>
      </c>
      <c r="W4432" s="8" t="s">
        <v>7139</v>
      </c>
      <c r="X4432" s="6"/>
      <c r="Y4432" s="6"/>
      <c r="Z4432" s="6"/>
      <c r="AA4432" s="6" t="s">
        <v>418</v>
      </c>
      <c r="AB4432" s="8"/>
    </row>
    <row r="4433" spans="1:28" s="4" customFormat="1" ht="51.95" customHeight="1">
      <c r="A4433" s="5">
        <v>0</v>
      </c>
      <c r="B4433" s="6" t="s">
        <v>26297</v>
      </c>
      <c r="C4433" s="7">
        <v>530</v>
      </c>
      <c r="D4433" s="8" t="s">
        <v>26298</v>
      </c>
      <c r="E4433" s="8" t="s">
        <v>26299</v>
      </c>
      <c r="F4433" s="8" t="s">
        <v>26300</v>
      </c>
      <c r="G4433" s="6" t="s">
        <v>38</v>
      </c>
      <c r="H4433" s="6" t="s">
        <v>184</v>
      </c>
      <c r="I4433" s="8" t="s">
        <v>90</v>
      </c>
      <c r="J4433" s="9">
        <v>1</v>
      </c>
      <c r="K4433" s="9">
        <v>108</v>
      </c>
      <c r="L4433" s="9">
        <v>2024</v>
      </c>
      <c r="M4433" s="8" t="s">
        <v>26301</v>
      </c>
      <c r="N4433" s="8" t="s">
        <v>56</v>
      </c>
      <c r="O4433" s="8" t="s">
        <v>9271</v>
      </c>
      <c r="P4433" s="6" t="s">
        <v>43</v>
      </c>
      <c r="Q4433" s="8" t="s">
        <v>44</v>
      </c>
      <c r="R4433" s="10" t="s">
        <v>26302</v>
      </c>
      <c r="S4433" s="11" t="s">
        <v>26303</v>
      </c>
      <c r="T4433" s="6"/>
      <c r="U4433" s="24" t="str">
        <f>HYPERLINK("https://media.infra-m.ru/2043/2043282/cover/2043282.jpg", "Обложка")</f>
        <v>Обложка</v>
      </c>
      <c r="V4433" s="24" t="str">
        <f>HYPERLINK("https://znanium.ru/catalog/product/2043282", "Ознакомиться")</f>
        <v>Ознакомиться</v>
      </c>
      <c r="W4433" s="8" t="s">
        <v>6464</v>
      </c>
      <c r="X4433" s="6"/>
      <c r="Y4433" s="6"/>
      <c r="Z4433" s="6"/>
      <c r="AA4433" s="6" t="s">
        <v>418</v>
      </c>
      <c r="AB4433" s="8"/>
    </row>
    <row r="4434" spans="1:28" s="4" customFormat="1" ht="51.95" customHeight="1">
      <c r="A4434" s="5">
        <v>0</v>
      </c>
      <c r="B4434" s="6" t="s">
        <v>26304</v>
      </c>
      <c r="C4434" s="7">
        <v>840</v>
      </c>
      <c r="D4434" s="8" t="s">
        <v>26305</v>
      </c>
      <c r="E4434" s="8" t="s">
        <v>26306</v>
      </c>
      <c r="F4434" s="8" t="s">
        <v>26307</v>
      </c>
      <c r="G4434" s="6" t="s">
        <v>89</v>
      </c>
      <c r="H4434" s="6" t="s">
        <v>53</v>
      </c>
      <c r="I4434" s="8" t="s">
        <v>90</v>
      </c>
      <c r="J4434" s="9">
        <v>1</v>
      </c>
      <c r="K4434" s="9">
        <v>185</v>
      </c>
      <c r="L4434" s="9">
        <v>2023</v>
      </c>
      <c r="M4434" s="8" t="s">
        <v>26308</v>
      </c>
      <c r="N4434" s="8" t="s">
        <v>79</v>
      </c>
      <c r="O4434" s="8" t="s">
        <v>396</v>
      </c>
      <c r="P4434" s="6" t="s">
        <v>43</v>
      </c>
      <c r="Q4434" s="8" t="s">
        <v>44</v>
      </c>
      <c r="R4434" s="10" t="s">
        <v>26309</v>
      </c>
      <c r="S4434" s="11" t="s">
        <v>26310</v>
      </c>
      <c r="T4434" s="6" t="s">
        <v>299</v>
      </c>
      <c r="U4434" s="24" t="str">
        <f>HYPERLINK("https://media.infra-m.ru/1904/1904695/cover/1904695.jpg", "Обложка")</f>
        <v>Обложка</v>
      </c>
      <c r="V4434" s="24" t="str">
        <f>HYPERLINK("https://znanium.ru/catalog/product/1904695", "Ознакомиться")</f>
        <v>Ознакомиться</v>
      </c>
      <c r="W4434" s="8" t="s">
        <v>1571</v>
      </c>
      <c r="X4434" s="6"/>
      <c r="Y4434" s="6"/>
      <c r="Z4434" s="6"/>
      <c r="AA4434" s="6" t="s">
        <v>219</v>
      </c>
      <c r="AB4434" s="8"/>
    </row>
    <row r="4435" spans="1:28" s="4" customFormat="1" ht="44.1" customHeight="1">
      <c r="A4435" s="5">
        <v>0</v>
      </c>
      <c r="B4435" s="6" t="s">
        <v>26311</v>
      </c>
      <c r="C4435" s="7">
        <v>994</v>
      </c>
      <c r="D4435" s="8" t="s">
        <v>26312</v>
      </c>
      <c r="E4435" s="8" t="s">
        <v>26313</v>
      </c>
      <c r="F4435" s="8" t="s">
        <v>26314</v>
      </c>
      <c r="G4435" s="6" t="s">
        <v>52</v>
      </c>
      <c r="H4435" s="6" t="s">
        <v>53</v>
      </c>
      <c r="I4435" s="8" t="s">
        <v>116</v>
      </c>
      <c r="J4435" s="9">
        <v>1</v>
      </c>
      <c r="K4435" s="9">
        <v>217</v>
      </c>
      <c r="L4435" s="9">
        <v>2024</v>
      </c>
      <c r="M4435" s="8" t="s">
        <v>26315</v>
      </c>
      <c r="N4435" s="8" t="s">
        <v>79</v>
      </c>
      <c r="O4435" s="8" t="s">
        <v>174</v>
      </c>
      <c r="P4435" s="6" t="s">
        <v>43</v>
      </c>
      <c r="Q4435" s="8" t="s">
        <v>44</v>
      </c>
      <c r="R4435" s="10" t="s">
        <v>26316</v>
      </c>
      <c r="S4435" s="11"/>
      <c r="T4435" s="6"/>
      <c r="U4435" s="24" t="str">
        <f>HYPERLINK("https://media.infra-m.ru/2125/2125932/cover/2125932.jpg", "Обложка")</f>
        <v>Обложка</v>
      </c>
      <c r="V4435" s="24" t="str">
        <f>HYPERLINK("https://znanium.ru/catalog/product/1027021", "Ознакомиться")</f>
        <v>Ознакомиться</v>
      </c>
      <c r="W4435" s="8" t="s">
        <v>5284</v>
      </c>
      <c r="X4435" s="6"/>
      <c r="Y4435" s="6"/>
      <c r="Z4435" s="6"/>
      <c r="AA4435" s="6" t="s">
        <v>84</v>
      </c>
      <c r="AB4435" s="8"/>
    </row>
    <row r="4436" spans="1:28" s="4" customFormat="1" ht="51.95" customHeight="1">
      <c r="A4436" s="5">
        <v>0</v>
      </c>
      <c r="B4436" s="6" t="s">
        <v>26317</v>
      </c>
      <c r="C4436" s="13">
        <v>1864</v>
      </c>
      <c r="D4436" s="8" t="s">
        <v>26318</v>
      </c>
      <c r="E4436" s="8" t="s">
        <v>26319</v>
      </c>
      <c r="F4436" s="8" t="s">
        <v>26320</v>
      </c>
      <c r="G4436" s="6" t="s">
        <v>89</v>
      </c>
      <c r="H4436" s="6" t="s">
        <v>77</v>
      </c>
      <c r="I4436" s="8" t="s">
        <v>116</v>
      </c>
      <c r="J4436" s="9">
        <v>1</v>
      </c>
      <c r="K4436" s="9">
        <v>373</v>
      </c>
      <c r="L4436" s="9">
        <v>2024</v>
      </c>
      <c r="M4436" s="8" t="s">
        <v>26321</v>
      </c>
      <c r="N4436" s="8" t="s">
        <v>41</v>
      </c>
      <c r="O4436" s="8" t="s">
        <v>118</v>
      </c>
      <c r="P4436" s="6" t="s">
        <v>43</v>
      </c>
      <c r="Q4436" s="8" t="s">
        <v>58</v>
      </c>
      <c r="R4436" s="10" t="s">
        <v>26322</v>
      </c>
      <c r="S4436" s="11"/>
      <c r="T4436" s="6"/>
      <c r="U4436" s="24" t="str">
        <f>HYPERLINK("https://media.infra-m.ru/2158/2158076/cover/2158076.jpg", "Обложка")</f>
        <v>Обложка</v>
      </c>
      <c r="V4436" s="24" t="str">
        <f>HYPERLINK("https://znanium.ru/catalog/product/2138951", "Ознакомиться")</f>
        <v>Ознакомиться</v>
      </c>
      <c r="W4436" s="8" t="s">
        <v>83</v>
      </c>
      <c r="X4436" s="6"/>
      <c r="Y4436" s="6"/>
      <c r="Z4436" s="6"/>
      <c r="AA4436" s="6" t="s">
        <v>442</v>
      </c>
      <c r="AB4436" s="8"/>
    </row>
    <row r="4437" spans="1:28" s="4" customFormat="1" ht="51.95" customHeight="1">
      <c r="A4437" s="5">
        <v>0</v>
      </c>
      <c r="B4437" s="6" t="s">
        <v>26323</v>
      </c>
      <c r="C4437" s="13">
        <v>1034</v>
      </c>
      <c r="D4437" s="8" t="s">
        <v>26324</v>
      </c>
      <c r="E4437" s="8" t="s">
        <v>26325</v>
      </c>
      <c r="F4437" s="8" t="s">
        <v>13809</v>
      </c>
      <c r="G4437" s="6" t="s">
        <v>89</v>
      </c>
      <c r="H4437" s="6" t="s">
        <v>77</v>
      </c>
      <c r="I4437" s="8" t="s">
        <v>9028</v>
      </c>
      <c r="J4437" s="9">
        <v>1</v>
      </c>
      <c r="K4437" s="9">
        <v>228</v>
      </c>
      <c r="L4437" s="9">
        <v>2023</v>
      </c>
      <c r="M4437" s="8" t="s">
        <v>26326</v>
      </c>
      <c r="N4437" s="8" t="s">
        <v>41</v>
      </c>
      <c r="O4437" s="8" t="s">
        <v>1007</v>
      </c>
      <c r="P4437" s="6" t="s">
        <v>167</v>
      </c>
      <c r="Q4437" s="8" t="s">
        <v>279</v>
      </c>
      <c r="R4437" s="10" t="s">
        <v>26327</v>
      </c>
      <c r="S4437" s="11"/>
      <c r="T4437" s="6"/>
      <c r="U4437" s="24" t="str">
        <f>HYPERLINK("https://media.infra-m.ru/2006/2006079/cover/2006079.jpg", "Обложка")</f>
        <v>Обложка</v>
      </c>
      <c r="V4437" s="24" t="str">
        <f>HYPERLINK("https://znanium.ru/catalog/product/996151", "Ознакомиться")</f>
        <v>Ознакомиться</v>
      </c>
      <c r="W4437" s="8" t="s">
        <v>83</v>
      </c>
      <c r="X4437" s="6"/>
      <c r="Y4437" s="6"/>
      <c r="Z4437" s="6"/>
      <c r="AA4437" s="6" t="s">
        <v>151</v>
      </c>
      <c r="AB4437" s="8"/>
    </row>
    <row r="4438" spans="1:28" s="4" customFormat="1" ht="44.1" customHeight="1">
      <c r="A4438" s="5">
        <v>0</v>
      </c>
      <c r="B4438" s="6" t="s">
        <v>26328</v>
      </c>
      <c r="C4438" s="7">
        <v>580</v>
      </c>
      <c r="D4438" s="8" t="s">
        <v>26329</v>
      </c>
      <c r="E4438" s="8" t="s">
        <v>26330</v>
      </c>
      <c r="F4438" s="8" t="s">
        <v>26331</v>
      </c>
      <c r="G4438" s="6" t="s">
        <v>38</v>
      </c>
      <c r="H4438" s="6" t="s">
        <v>53</v>
      </c>
      <c r="I4438" s="8" t="s">
        <v>782</v>
      </c>
      <c r="J4438" s="9">
        <v>1</v>
      </c>
      <c r="K4438" s="9">
        <v>116</v>
      </c>
      <c r="L4438" s="9">
        <v>2024</v>
      </c>
      <c r="M4438" s="8" t="s">
        <v>26332</v>
      </c>
      <c r="N4438" s="8" t="s">
        <v>79</v>
      </c>
      <c r="O4438" s="8" t="s">
        <v>396</v>
      </c>
      <c r="P4438" s="6" t="s">
        <v>43</v>
      </c>
      <c r="Q4438" s="8" t="s">
        <v>279</v>
      </c>
      <c r="R4438" s="10" t="s">
        <v>26333</v>
      </c>
      <c r="S4438" s="11"/>
      <c r="T4438" s="6"/>
      <c r="U4438" s="24" t="str">
        <f>HYPERLINK("https://media.infra-m.ru/2125/2125176/cover/2125176.jpg", "Обложка")</f>
        <v>Обложка</v>
      </c>
      <c r="V4438" s="12"/>
      <c r="W4438" s="8" t="s">
        <v>784</v>
      </c>
      <c r="X4438" s="6"/>
      <c r="Y4438" s="6"/>
      <c r="Z4438" s="6"/>
      <c r="AA4438" s="6" t="s">
        <v>133</v>
      </c>
      <c r="AB4438" s="8"/>
    </row>
    <row r="4439" spans="1:28" s="4" customFormat="1" ht="51.95" customHeight="1">
      <c r="A4439" s="5">
        <v>0</v>
      </c>
      <c r="B4439" s="6" t="s">
        <v>26334</v>
      </c>
      <c r="C4439" s="13">
        <v>1014.9</v>
      </c>
      <c r="D4439" s="8" t="s">
        <v>26335</v>
      </c>
      <c r="E4439" s="8" t="s">
        <v>26336</v>
      </c>
      <c r="F4439" s="8" t="s">
        <v>26337</v>
      </c>
      <c r="G4439" s="6" t="s">
        <v>38</v>
      </c>
      <c r="H4439" s="6" t="s">
        <v>184</v>
      </c>
      <c r="I4439" s="8" t="s">
        <v>276</v>
      </c>
      <c r="J4439" s="9">
        <v>20</v>
      </c>
      <c r="K4439" s="9">
        <v>296</v>
      </c>
      <c r="L4439" s="9">
        <v>2020</v>
      </c>
      <c r="M4439" s="8" t="s">
        <v>26338</v>
      </c>
      <c r="N4439" s="8" t="s">
        <v>41</v>
      </c>
      <c r="O4439" s="8" t="s">
        <v>118</v>
      </c>
      <c r="P4439" s="6" t="s">
        <v>167</v>
      </c>
      <c r="Q4439" s="8" t="s">
        <v>279</v>
      </c>
      <c r="R4439" s="10" t="s">
        <v>2098</v>
      </c>
      <c r="S4439" s="11" t="s">
        <v>26339</v>
      </c>
      <c r="T4439" s="6" t="s">
        <v>299</v>
      </c>
      <c r="U4439" s="24" t="str">
        <f>HYPERLINK("https://media.infra-m.ru/1069/1069920/cover/1069920.jpg", "Обложка")</f>
        <v>Обложка</v>
      </c>
      <c r="V4439" s="24" t="str">
        <f>HYPERLINK("https://znanium.ru/catalog/product/1069920", "Ознакомиться")</f>
        <v>Ознакомиться</v>
      </c>
      <c r="W4439" s="8" t="s">
        <v>26340</v>
      </c>
      <c r="X4439" s="6"/>
      <c r="Y4439" s="6"/>
      <c r="Z4439" s="6"/>
      <c r="AA4439" s="6" t="s">
        <v>418</v>
      </c>
      <c r="AB4439" s="8"/>
    </row>
    <row r="4440" spans="1:28" s="4" customFormat="1" ht="51.95" customHeight="1">
      <c r="A4440" s="5">
        <v>0</v>
      </c>
      <c r="B4440" s="6" t="s">
        <v>26341</v>
      </c>
      <c r="C4440" s="13">
        <v>1104</v>
      </c>
      <c r="D4440" s="8" t="s">
        <v>26342</v>
      </c>
      <c r="E4440" s="8" t="s">
        <v>26343</v>
      </c>
      <c r="F4440" s="8" t="s">
        <v>26344</v>
      </c>
      <c r="G4440" s="6" t="s">
        <v>52</v>
      </c>
      <c r="H4440" s="6" t="s">
        <v>77</v>
      </c>
      <c r="I4440" s="8"/>
      <c r="J4440" s="9">
        <v>1</v>
      </c>
      <c r="K4440" s="9">
        <v>240</v>
      </c>
      <c r="L4440" s="9">
        <v>2023</v>
      </c>
      <c r="M4440" s="8" t="s">
        <v>26345</v>
      </c>
      <c r="N4440" s="8" t="s">
        <v>79</v>
      </c>
      <c r="O4440" s="8" t="s">
        <v>424</v>
      </c>
      <c r="P4440" s="6" t="s">
        <v>43</v>
      </c>
      <c r="Q4440" s="8" t="s">
        <v>279</v>
      </c>
      <c r="R4440" s="10" t="s">
        <v>975</v>
      </c>
      <c r="S4440" s="11" t="s">
        <v>26346</v>
      </c>
      <c r="T4440" s="6"/>
      <c r="U4440" s="24" t="str">
        <f>HYPERLINK("https://media.infra-m.ru/2013/2013713/cover/2013713.jpg", "Обложка")</f>
        <v>Обложка</v>
      </c>
      <c r="V4440" s="24" t="str">
        <f>HYPERLINK("https://znanium.ru/catalog/product/1015203", "Ознакомиться")</f>
        <v>Ознакомиться</v>
      </c>
      <c r="W4440" s="8" t="s">
        <v>1076</v>
      </c>
      <c r="X4440" s="6"/>
      <c r="Y4440" s="6"/>
      <c r="Z4440" s="6"/>
      <c r="AA4440" s="6" t="s">
        <v>418</v>
      </c>
      <c r="AB4440" s="8"/>
    </row>
    <row r="4441" spans="1:28" s="4" customFormat="1" ht="51.95" customHeight="1">
      <c r="A4441" s="5">
        <v>0</v>
      </c>
      <c r="B4441" s="6" t="s">
        <v>26347</v>
      </c>
      <c r="C4441" s="13">
        <v>1804.9</v>
      </c>
      <c r="D4441" s="8" t="s">
        <v>26348</v>
      </c>
      <c r="E4441" s="8" t="s">
        <v>26349</v>
      </c>
      <c r="F4441" s="8" t="s">
        <v>26350</v>
      </c>
      <c r="G4441" s="6" t="s">
        <v>52</v>
      </c>
      <c r="H4441" s="6" t="s">
        <v>952</v>
      </c>
      <c r="I4441" s="8"/>
      <c r="J4441" s="9">
        <v>1</v>
      </c>
      <c r="K4441" s="9">
        <v>400</v>
      </c>
      <c r="L4441" s="9">
        <v>2023</v>
      </c>
      <c r="M4441" s="8" t="s">
        <v>26351</v>
      </c>
      <c r="N4441" s="8" t="s">
        <v>41</v>
      </c>
      <c r="O4441" s="8" t="s">
        <v>118</v>
      </c>
      <c r="P4441" s="6" t="s">
        <v>1046</v>
      </c>
      <c r="Q4441" s="8" t="s">
        <v>44</v>
      </c>
      <c r="R4441" s="10" t="s">
        <v>26352</v>
      </c>
      <c r="S4441" s="11"/>
      <c r="T4441" s="6"/>
      <c r="U4441" s="24" t="str">
        <f>HYPERLINK("https://media.infra-m.ru/1981/1981657/cover/1981657.jpg", "Обложка")</f>
        <v>Обложка</v>
      </c>
      <c r="V4441" s="24" t="str">
        <f>HYPERLINK("https://znanium.ru/catalog/product/960054", "Ознакомиться")</f>
        <v>Ознакомиться</v>
      </c>
      <c r="W4441" s="8" t="s">
        <v>2988</v>
      </c>
      <c r="X4441" s="6"/>
      <c r="Y4441" s="6"/>
      <c r="Z4441" s="6"/>
      <c r="AA4441" s="6" t="s">
        <v>47</v>
      </c>
      <c r="AB4441" s="8"/>
    </row>
    <row r="4442" spans="1:28" s="4" customFormat="1" ht="51.95" customHeight="1">
      <c r="A4442" s="5">
        <v>0</v>
      </c>
      <c r="B4442" s="6" t="s">
        <v>26353</v>
      </c>
      <c r="C4442" s="13">
        <v>1180</v>
      </c>
      <c r="D4442" s="8" t="s">
        <v>26354</v>
      </c>
      <c r="E4442" s="8" t="s">
        <v>26355</v>
      </c>
      <c r="F4442" s="8" t="s">
        <v>19648</v>
      </c>
      <c r="G4442" s="6" t="s">
        <v>89</v>
      </c>
      <c r="H4442" s="6" t="s">
        <v>53</v>
      </c>
      <c r="I4442" s="8" t="s">
        <v>276</v>
      </c>
      <c r="J4442" s="9">
        <v>1</v>
      </c>
      <c r="K4442" s="9">
        <v>309</v>
      </c>
      <c r="L4442" s="9">
        <v>2022</v>
      </c>
      <c r="M4442" s="8" t="s">
        <v>26356</v>
      </c>
      <c r="N4442" s="8" t="s">
        <v>41</v>
      </c>
      <c r="O4442" s="8" t="s">
        <v>118</v>
      </c>
      <c r="P4442" s="6" t="s">
        <v>167</v>
      </c>
      <c r="Q4442" s="8" t="s">
        <v>279</v>
      </c>
      <c r="R4442" s="10" t="s">
        <v>26357</v>
      </c>
      <c r="S4442" s="11" t="s">
        <v>26358</v>
      </c>
      <c r="T4442" s="6" t="s">
        <v>299</v>
      </c>
      <c r="U4442" s="24" t="str">
        <f>HYPERLINK("https://media.infra-m.ru/1856/1856730/cover/1856730.jpg", "Обложка")</f>
        <v>Обложка</v>
      </c>
      <c r="V4442" s="24" t="str">
        <f>HYPERLINK("https://znanium.ru/catalog/product/1856730", "Ознакомиться")</f>
        <v>Ознакомиться</v>
      </c>
      <c r="W4442" s="8" t="s">
        <v>12607</v>
      </c>
      <c r="X4442" s="6"/>
      <c r="Y4442" s="6"/>
      <c r="Z4442" s="6"/>
      <c r="AA4442" s="6" t="s">
        <v>151</v>
      </c>
      <c r="AB4442" s="8"/>
    </row>
    <row r="4443" spans="1:28" s="4" customFormat="1" ht="51.95" customHeight="1">
      <c r="A4443" s="5">
        <v>0</v>
      </c>
      <c r="B4443" s="6" t="s">
        <v>26359</v>
      </c>
      <c r="C4443" s="7">
        <v>790</v>
      </c>
      <c r="D4443" s="8" t="s">
        <v>26360</v>
      </c>
      <c r="E4443" s="8" t="s">
        <v>26361</v>
      </c>
      <c r="F4443" s="8" t="s">
        <v>26362</v>
      </c>
      <c r="G4443" s="6" t="s">
        <v>38</v>
      </c>
      <c r="H4443" s="6" t="s">
        <v>184</v>
      </c>
      <c r="I4443" s="8"/>
      <c r="J4443" s="9">
        <v>1</v>
      </c>
      <c r="K4443" s="9">
        <v>171</v>
      </c>
      <c r="L4443" s="9">
        <v>2024</v>
      </c>
      <c r="M4443" s="8" t="s">
        <v>26363</v>
      </c>
      <c r="N4443" s="8" t="s">
        <v>79</v>
      </c>
      <c r="O4443" s="8" t="s">
        <v>80</v>
      </c>
      <c r="P4443" s="6" t="s">
        <v>43</v>
      </c>
      <c r="Q4443" s="8" t="s">
        <v>44</v>
      </c>
      <c r="R4443" s="10" t="s">
        <v>26364</v>
      </c>
      <c r="S4443" s="11"/>
      <c r="T4443" s="6"/>
      <c r="U4443" s="24" t="str">
        <f>HYPERLINK("https://media.infra-m.ru/2103/2103172/cover/2103172.jpg", "Обложка")</f>
        <v>Обложка</v>
      </c>
      <c r="V4443" s="24" t="str">
        <f>HYPERLINK("https://znanium.ru/catalog/product/1743734", "Ознакомиться")</f>
        <v>Ознакомиться</v>
      </c>
      <c r="W4443" s="8" t="s">
        <v>8577</v>
      </c>
      <c r="X4443" s="6"/>
      <c r="Y4443" s="6"/>
      <c r="Z4443" s="6"/>
      <c r="AA4443" s="6" t="s">
        <v>151</v>
      </c>
      <c r="AB4443" s="8"/>
    </row>
    <row r="4444" spans="1:28" s="4" customFormat="1" ht="51.95" customHeight="1">
      <c r="A4444" s="5">
        <v>0</v>
      </c>
      <c r="B4444" s="6" t="s">
        <v>26365</v>
      </c>
      <c r="C4444" s="13">
        <v>1050</v>
      </c>
      <c r="D4444" s="8" t="s">
        <v>26366</v>
      </c>
      <c r="E4444" s="8" t="s">
        <v>26367</v>
      </c>
      <c r="F4444" s="8" t="s">
        <v>26368</v>
      </c>
      <c r="G4444" s="6" t="s">
        <v>89</v>
      </c>
      <c r="H4444" s="6" t="s">
        <v>53</v>
      </c>
      <c r="I4444" s="8" t="s">
        <v>116</v>
      </c>
      <c r="J4444" s="9">
        <v>1</v>
      </c>
      <c r="K4444" s="9">
        <v>231</v>
      </c>
      <c r="L4444" s="9">
        <v>2023</v>
      </c>
      <c r="M4444" s="8" t="s">
        <v>26369</v>
      </c>
      <c r="N4444" s="8" t="s">
        <v>41</v>
      </c>
      <c r="O4444" s="8" t="s">
        <v>278</v>
      </c>
      <c r="P4444" s="6" t="s">
        <v>43</v>
      </c>
      <c r="Q4444" s="8" t="s">
        <v>44</v>
      </c>
      <c r="R4444" s="10" t="s">
        <v>26370</v>
      </c>
      <c r="S4444" s="11" t="s">
        <v>26371</v>
      </c>
      <c r="T4444" s="6" t="s">
        <v>299</v>
      </c>
      <c r="U4444" s="24" t="str">
        <f>HYPERLINK("https://media.infra-m.ru/2041/2041699/cover/2041699.jpg", "Обложка")</f>
        <v>Обложка</v>
      </c>
      <c r="V4444" s="24" t="str">
        <f>HYPERLINK("https://znanium.ru/catalog/product/2041699", "Ознакомиться")</f>
        <v>Ознакомиться</v>
      </c>
      <c r="W4444" s="8" t="s">
        <v>26372</v>
      </c>
      <c r="X4444" s="6"/>
      <c r="Y4444" s="6"/>
      <c r="Z4444" s="6"/>
      <c r="AA4444" s="6" t="s">
        <v>219</v>
      </c>
      <c r="AB4444" s="8"/>
    </row>
    <row r="4445" spans="1:28" s="4" customFormat="1" ht="51.95" customHeight="1">
      <c r="A4445" s="5">
        <v>0</v>
      </c>
      <c r="B4445" s="6" t="s">
        <v>26373</v>
      </c>
      <c r="C4445" s="13">
        <v>2080</v>
      </c>
      <c r="D4445" s="8" t="s">
        <v>26374</v>
      </c>
      <c r="E4445" s="8" t="s">
        <v>26375</v>
      </c>
      <c r="F4445" s="8" t="s">
        <v>23278</v>
      </c>
      <c r="G4445" s="6" t="s">
        <v>52</v>
      </c>
      <c r="H4445" s="6" t="s">
        <v>53</v>
      </c>
      <c r="I4445" s="8" t="s">
        <v>116</v>
      </c>
      <c r="J4445" s="9">
        <v>1</v>
      </c>
      <c r="K4445" s="9">
        <v>462</v>
      </c>
      <c r="L4445" s="9">
        <v>2024</v>
      </c>
      <c r="M4445" s="8" t="s">
        <v>26376</v>
      </c>
      <c r="N4445" s="8" t="s">
        <v>79</v>
      </c>
      <c r="O4445" s="8" t="s">
        <v>80</v>
      </c>
      <c r="P4445" s="6" t="s">
        <v>167</v>
      </c>
      <c r="Q4445" s="8" t="s">
        <v>44</v>
      </c>
      <c r="R4445" s="10" t="s">
        <v>26377</v>
      </c>
      <c r="S4445" s="11" t="s">
        <v>26378</v>
      </c>
      <c r="T4445" s="6" t="s">
        <v>299</v>
      </c>
      <c r="U4445" s="24" t="str">
        <f>HYPERLINK("https://media.infra-m.ru/1891/1891958/cover/1891958.jpg", "Обложка")</f>
        <v>Обложка</v>
      </c>
      <c r="V4445" s="24" t="str">
        <f>HYPERLINK("https://znanium.ru/catalog/product/1891958", "Ознакомиться")</f>
        <v>Ознакомиться</v>
      </c>
      <c r="W4445" s="8" t="s">
        <v>2392</v>
      </c>
      <c r="X4445" s="6"/>
      <c r="Y4445" s="6"/>
      <c r="Z4445" s="6"/>
      <c r="AA4445" s="6" t="s">
        <v>122</v>
      </c>
      <c r="AB4445" s="8"/>
    </row>
    <row r="4446" spans="1:28" s="4" customFormat="1" ht="51.95" customHeight="1">
      <c r="A4446" s="5">
        <v>0</v>
      </c>
      <c r="B4446" s="6" t="s">
        <v>26379</v>
      </c>
      <c r="C4446" s="13">
        <v>1680</v>
      </c>
      <c r="D4446" s="8" t="s">
        <v>26380</v>
      </c>
      <c r="E4446" s="8" t="s">
        <v>26381</v>
      </c>
      <c r="F4446" s="8" t="s">
        <v>26382</v>
      </c>
      <c r="G4446" s="6" t="s">
        <v>52</v>
      </c>
      <c r="H4446" s="6" t="s">
        <v>53</v>
      </c>
      <c r="I4446" s="8" t="s">
        <v>3356</v>
      </c>
      <c r="J4446" s="9">
        <v>1</v>
      </c>
      <c r="K4446" s="9">
        <v>340</v>
      </c>
      <c r="L4446" s="9">
        <v>2022</v>
      </c>
      <c r="M4446" s="8" t="s">
        <v>26383</v>
      </c>
      <c r="N4446" s="8" t="s">
        <v>79</v>
      </c>
      <c r="O4446" s="8" t="s">
        <v>396</v>
      </c>
      <c r="P4446" s="6" t="s">
        <v>167</v>
      </c>
      <c r="Q4446" s="8" t="s">
        <v>214</v>
      </c>
      <c r="R4446" s="10" t="s">
        <v>26384</v>
      </c>
      <c r="S4446" s="11" t="s">
        <v>26385</v>
      </c>
      <c r="T4446" s="6"/>
      <c r="U4446" s="24" t="str">
        <f>HYPERLINK("https://media.infra-m.ru/1850/1850660/cover/1850660.jpg", "Обложка")</f>
        <v>Обложка</v>
      </c>
      <c r="V4446" s="12"/>
      <c r="W4446" s="8" t="s">
        <v>784</v>
      </c>
      <c r="X4446" s="6"/>
      <c r="Y4446" s="6"/>
      <c r="Z4446" s="6"/>
      <c r="AA4446" s="6" t="s">
        <v>235</v>
      </c>
      <c r="AB4446" s="8"/>
    </row>
    <row r="4447" spans="1:28" s="4" customFormat="1" ht="51.95" customHeight="1">
      <c r="A4447" s="5">
        <v>0</v>
      </c>
      <c r="B4447" s="6" t="s">
        <v>26386</v>
      </c>
      <c r="C4447" s="13">
        <v>1160</v>
      </c>
      <c r="D4447" s="8" t="s">
        <v>26387</v>
      </c>
      <c r="E4447" s="8" t="s">
        <v>26388</v>
      </c>
      <c r="F4447" s="8" t="s">
        <v>26389</v>
      </c>
      <c r="G4447" s="6" t="s">
        <v>89</v>
      </c>
      <c r="H4447" s="6" t="s">
        <v>53</v>
      </c>
      <c r="I4447" s="8" t="s">
        <v>116</v>
      </c>
      <c r="J4447" s="9">
        <v>1</v>
      </c>
      <c r="K4447" s="9">
        <v>251</v>
      </c>
      <c r="L4447" s="9">
        <v>2024</v>
      </c>
      <c r="M4447" s="8" t="s">
        <v>26390</v>
      </c>
      <c r="N4447" s="8" t="s">
        <v>997</v>
      </c>
      <c r="O4447" s="8" t="s">
        <v>998</v>
      </c>
      <c r="P4447" s="6" t="s">
        <v>43</v>
      </c>
      <c r="Q4447" s="8" t="s">
        <v>44</v>
      </c>
      <c r="R4447" s="10" t="s">
        <v>14303</v>
      </c>
      <c r="S4447" s="11" t="s">
        <v>26391</v>
      </c>
      <c r="T4447" s="6"/>
      <c r="U4447" s="24" t="str">
        <f>HYPERLINK("https://media.infra-m.ru/2119/2119107/cover/2119107.jpg", "Обложка")</f>
        <v>Обложка</v>
      </c>
      <c r="V4447" s="24" t="str">
        <f>HYPERLINK("https://znanium.ru/catalog/product/2119107", "Ознакомиться")</f>
        <v>Ознакомиться</v>
      </c>
      <c r="W4447" s="8" t="s">
        <v>26392</v>
      </c>
      <c r="X4447" s="6"/>
      <c r="Y4447" s="6"/>
      <c r="Z4447" s="6"/>
      <c r="AA4447" s="6" t="s">
        <v>793</v>
      </c>
      <c r="AB4447" s="8"/>
    </row>
    <row r="4448" spans="1:28" s="4" customFormat="1" ht="51.95" customHeight="1">
      <c r="A4448" s="5">
        <v>0</v>
      </c>
      <c r="B4448" s="6" t="s">
        <v>26393</v>
      </c>
      <c r="C4448" s="13">
        <v>1290</v>
      </c>
      <c r="D4448" s="8" t="s">
        <v>26394</v>
      </c>
      <c r="E4448" s="8" t="s">
        <v>26388</v>
      </c>
      <c r="F4448" s="8" t="s">
        <v>26389</v>
      </c>
      <c r="G4448" s="6" t="s">
        <v>89</v>
      </c>
      <c r="H4448" s="6" t="s">
        <v>53</v>
      </c>
      <c r="I4448" s="8" t="s">
        <v>100</v>
      </c>
      <c r="J4448" s="9">
        <v>1</v>
      </c>
      <c r="K4448" s="9">
        <v>251</v>
      </c>
      <c r="L4448" s="9">
        <v>2025</v>
      </c>
      <c r="M4448" s="8" t="s">
        <v>26395</v>
      </c>
      <c r="N4448" s="8" t="s">
        <v>997</v>
      </c>
      <c r="O4448" s="8" t="s">
        <v>998</v>
      </c>
      <c r="P4448" s="6" t="s">
        <v>43</v>
      </c>
      <c r="Q4448" s="8" t="s">
        <v>102</v>
      </c>
      <c r="R4448" s="10" t="s">
        <v>6848</v>
      </c>
      <c r="S4448" s="11" t="s">
        <v>26396</v>
      </c>
      <c r="T4448" s="6"/>
      <c r="U4448" s="24" t="str">
        <f>HYPERLINK("https://media.infra-m.ru/2168/2168120/cover/2168120.jpg", "Обложка")</f>
        <v>Обложка</v>
      </c>
      <c r="V4448" s="24" t="str">
        <f>HYPERLINK("https://znanium.ru/catalog/product/2168120", "Ознакомиться")</f>
        <v>Ознакомиться</v>
      </c>
      <c r="W4448" s="8" t="s">
        <v>26392</v>
      </c>
      <c r="X4448" s="6"/>
      <c r="Y4448" s="6"/>
      <c r="Z4448" s="6" t="s">
        <v>104</v>
      </c>
      <c r="AA4448" s="6" t="s">
        <v>219</v>
      </c>
      <c r="AB4448" s="8"/>
    </row>
    <row r="4449" spans="1:28" s="4" customFormat="1" ht="51.95" customHeight="1">
      <c r="A4449" s="5">
        <v>0</v>
      </c>
      <c r="B4449" s="6" t="s">
        <v>26397</v>
      </c>
      <c r="C4449" s="13">
        <v>2404</v>
      </c>
      <c r="D4449" s="8" t="s">
        <v>26398</v>
      </c>
      <c r="E4449" s="8" t="s">
        <v>26375</v>
      </c>
      <c r="F4449" s="8" t="s">
        <v>23278</v>
      </c>
      <c r="G4449" s="6" t="s">
        <v>89</v>
      </c>
      <c r="H4449" s="6" t="s">
        <v>53</v>
      </c>
      <c r="I4449" s="8" t="s">
        <v>100</v>
      </c>
      <c r="J4449" s="9">
        <v>1</v>
      </c>
      <c r="K4449" s="9">
        <v>462</v>
      </c>
      <c r="L4449" s="9">
        <v>2025</v>
      </c>
      <c r="M4449" s="8" t="s">
        <v>26399</v>
      </c>
      <c r="N4449" s="8" t="s">
        <v>79</v>
      </c>
      <c r="O4449" s="8" t="s">
        <v>80</v>
      </c>
      <c r="P4449" s="6" t="s">
        <v>167</v>
      </c>
      <c r="Q4449" s="8" t="s">
        <v>102</v>
      </c>
      <c r="R4449" s="10" t="s">
        <v>26400</v>
      </c>
      <c r="S4449" s="11" t="s">
        <v>26401</v>
      </c>
      <c r="T4449" s="6" t="s">
        <v>299</v>
      </c>
      <c r="U4449" s="24" t="str">
        <f>HYPERLINK("https://media.infra-m.ru/2197/2197804/cover/2197804.jpg", "Обложка")</f>
        <v>Обложка</v>
      </c>
      <c r="V4449" s="24" t="str">
        <f>HYPERLINK("https://znanium.ru/catalog/product/1764799", "Ознакомиться")</f>
        <v>Ознакомиться</v>
      </c>
      <c r="W4449" s="8" t="s">
        <v>2392</v>
      </c>
      <c r="X4449" s="6"/>
      <c r="Y4449" s="6" t="s">
        <v>30</v>
      </c>
      <c r="Z4449" s="6" t="s">
        <v>104</v>
      </c>
      <c r="AA4449" s="6" t="s">
        <v>235</v>
      </c>
      <c r="AB4449" s="8"/>
    </row>
    <row r="4450" spans="1:28" s="4" customFormat="1" ht="51.95" customHeight="1">
      <c r="A4450" s="5">
        <v>0</v>
      </c>
      <c r="B4450" s="6" t="s">
        <v>26402</v>
      </c>
      <c r="C4450" s="13">
        <v>2994</v>
      </c>
      <c r="D4450" s="8" t="s">
        <v>26403</v>
      </c>
      <c r="E4450" s="8" t="s">
        <v>26404</v>
      </c>
      <c r="F4450" s="8" t="s">
        <v>26405</v>
      </c>
      <c r="G4450" s="6" t="s">
        <v>52</v>
      </c>
      <c r="H4450" s="6" t="s">
        <v>952</v>
      </c>
      <c r="I4450" s="8"/>
      <c r="J4450" s="9">
        <v>1</v>
      </c>
      <c r="K4450" s="9">
        <v>640</v>
      </c>
      <c r="L4450" s="9">
        <v>2025</v>
      </c>
      <c r="M4450" s="8" t="s">
        <v>26406</v>
      </c>
      <c r="N4450" s="8" t="s">
        <v>41</v>
      </c>
      <c r="O4450" s="8" t="s">
        <v>118</v>
      </c>
      <c r="P4450" s="6" t="s">
        <v>167</v>
      </c>
      <c r="Q4450" s="8" t="s">
        <v>44</v>
      </c>
      <c r="R4450" s="10" t="s">
        <v>26407</v>
      </c>
      <c r="S4450" s="11" t="s">
        <v>26408</v>
      </c>
      <c r="T4450" s="6"/>
      <c r="U4450" s="24" t="str">
        <f>HYPERLINK("https://media.infra-m.ru/2192/2192161/cover/2192161.jpg", "Обложка")</f>
        <v>Обложка</v>
      </c>
      <c r="V4450" s="24" t="str">
        <f>HYPERLINK("https://znanium.ru/catalog/product/1843589", "Ознакомиться")</f>
        <v>Ознакомиться</v>
      </c>
      <c r="W4450" s="8" t="s">
        <v>2988</v>
      </c>
      <c r="X4450" s="6"/>
      <c r="Y4450" s="6"/>
      <c r="Z4450" s="6"/>
      <c r="AA4450" s="6" t="s">
        <v>122</v>
      </c>
      <c r="AB4450" s="8"/>
    </row>
    <row r="4451" spans="1:28" s="4" customFormat="1" ht="42" customHeight="1">
      <c r="A4451" s="5">
        <v>0</v>
      </c>
      <c r="B4451" s="6" t="s">
        <v>26409</v>
      </c>
      <c r="C4451" s="7">
        <v>750</v>
      </c>
      <c r="D4451" s="8" t="s">
        <v>26410</v>
      </c>
      <c r="E4451" s="8" t="s">
        <v>26411</v>
      </c>
      <c r="F4451" s="8" t="s">
        <v>26412</v>
      </c>
      <c r="G4451" s="6" t="s">
        <v>89</v>
      </c>
      <c r="H4451" s="6" t="s">
        <v>53</v>
      </c>
      <c r="I4451" s="8" t="s">
        <v>276</v>
      </c>
      <c r="J4451" s="9">
        <v>1</v>
      </c>
      <c r="K4451" s="9">
        <v>164</v>
      </c>
      <c r="L4451" s="9">
        <v>2023</v>
      </c>
      <c r="M4451" s="8" t="s">
        <v>26413</v>
      </c>
      <c r="N4451" s="8" t="s">
        <v>56</v>
      </c>
      <c r="O4451" s="8" t="s">
        <v>57</v>
      </c>
      <c r="P4451" s="6" t="s">
        <v>43</v>
      </c>
      <c r="Q4451" s="8" t="s">
        <v>279</v>
      </c>
      <c r="R4451" s="10" t="s">
        <v>14296</v>
      </c>
      <c r="S4451" s="11"/>
      <c r="T4451" s="6"/>
      <c r="U4451" s="24" t="str">
        <f>HYPERLINK("https://media.infra-m.ru/1913/1913847/cover/1913847.jpg", "Обложка")</f>
        <v>Обложка</v>
      </c>
      <c r="V4451" s="24" t="str">
        <f>HYPERLINK("https://znanium.ru/catalog/product/1913847", "Ознакомиться")</f>
        <v>Ознакомиться</v>
      </c>
      <c r="W4451" s="8" t="s">
        <v>46</v>
      </c>
      <c r="X4451" s="6"/>
      <c r="Y4451" s="6"/>
      <c r="Z4451" s="6"/>
      <c r="AA4451" s="6" t="s">
        <v>235</v>
      </c>
      <c r="AB4451" s="8"/>
    </row>
    <row r="4452" spans="1:28" s="4" customFormat="1" ht="42" customHeight="1">
      <c r="A4452" s="5">
        <v>0</v>
      </c>
      <c r="B4452" s="6" t="s">
        <v>26414</v>
      </c>
      <c r="C4452" s="7">
        <v>940</v>
      </c>
      <c r="D4452" s="8" t="s">
        <v>26415</v>
      </c>
      <c r="E4452" s="8" t="s">
        <v>26416</v>
      </c>
      <c r="F4452" s="8" t="s">
        <v>26412</v>
      </c>
      <c r="G4452" s="6" t="s">
        <v>89</v>
      </c>
      <c r="H4452" s="6" t="s">
        <v>53</v>
      </c>
      <c r="I4452" s="8" t="s">
        <v>276</v>
      </c>
      <c r="J4452" s="9">
        <v>1</v>
      </c>
      <c r="K4452" s="9">
        <v>188</v>
      </c>
      <c r="L4452" s="9">
        <v>2024</v>
      </c>
      <c r="M4452" s="8" t="s">
        <v>26417</v>
      </c>
      <c r="N4452" s="8" t="s">
        <v>997</v>
      </c>
      <c r="O4452" s="8" t="s">
        <v>998</v>
      </c>
      <c r="P4452" s="6" t="s">
        <v>43</v>
      </c>
      <c r="Q4452" s="8" t="s">
        <v>58</v>
      </c>
      <c r="R4452" s="10" t="s">
        <v>14296</v>
      </c>
      <c r="S4452" s="11"/>
      <c r="T4452" s="6"/>
      <c r="U4452" s="24" t="str">
        <f>HYPERLINK("https://media.infra-m.ru/1854/1854987/cover/1854987.jpg", "Обложка")</f>
        <v>Обложка</v>
      </c>
      <c r="V4452" s="24" t="str">
        <f>HYPERLINK("https://znanium.ru/catalog/product/1913847", "Ознакомиться")</f>
        <v>Ознакомиться</v>
      </c>
      <c r="W4452" s="8" t="s">
        <v>46</v>
      </c>
      <c r="X4452" s="6" t="s">
        <v>3761</v>
      </c>
      <c r="Y4452" s="6"/>
      <c r="Z4452" s="6"/>
      <c r="AA4452" s="6" t="s">
        <v>105</v>
      </c>
      <c r="AB4452" s="8"/>
    </row>
    <row r="4453" spans="1:28" s="4" customFormat="1" ht="51.95" customHeight="1">
      <c r="A4453" s="5">
        <v>0</v>
      </c>
      <c r="B4453" s="6" t="s">
        <v>26418</v>
      </c>
      <c r="C4453" s="7">
        <v>900</v>
      </c>
      <c r="D4453" s="8" t="s">
        <v>26419</v>
      </c>
      <c r="E4453" s="8" t="s">
        <v>26420</v>
      </c>
      <c r="F4453" s="8" t="s">
        <v>26421</v>
      </c>
      <c r="G4453" s="6" t="s">
        <v>89</v>
      </c>
      <c r="H4453" s="6" t="s">
        <v>53</v>
      </c>
      <c r="I4453" s="8" t="s">
        <v>116</v>
      </c>
      <c r="J4453" s="9">
        <v>1</v>
      </c>
      <c r="K4453" s="9">
        <v>200</v>
      </c>
      <c r="L4453" s="9">
        <v>2023</v>
      </c>
      <c r="M4453" s="8" t="s">
        <v>26422</v>
      </c>
      <c r="N4453" s="8" t="s">
        <v>41</v>
      </c>
      <c r="O4453" s="8" t="s">
        <v>1204</v>
      </c>
      <c r="P4453" s="6" t="s">
        <v>43</v>
      </c>
      <c r="Q4453" s="8" t="s">
        <v>44</v>
      </c>
      <c r="R4453" s="10" t="s">
        <v>9126</v>
      </c>
      <c r="S4453" s="11" t="s">
        <v>26423</v>
      </c>
      <c r="T4453" s="6"/>
      <c r="U4453" s="24" t="str">
        <f>HYPERLINK("https://media.infra-m.ru/1906/1906711/cover/1906711.jpg", "Обложка")</f>
        <v>Обложка</v>
      </c>
      <c r="V4453" s="24" t="str">
        <f>HYPERLINK("https://znanium.ru/catalog/product/1906711", "Ознакомиться")</f>
        <v>Ознакомиться</v>
      </c>
      <c r="W4453" s="8" t="s">
        <v>2122</v>
      </c>
      <c r="X4453" s="6"/>
      <c r="Y4453" s="6"/>
      <c r="Z4453" s="6"/>
      <c r="AA4453" s="6" t="s">
        <v>418</v>
      </c>
      <c r="AB4453" s="8"/>
    </row>
    <row r="4454" spans="1:28" s="4" customFormat="1" ht="51.95" customHeight="1">
      <c r="A4454" s="5">
        <v>0</v>
      </c>
      <c r="B4454" s="6" t="s">
        <v>26424</v>
      </c>
      <c r="C4454" s="7">
        <v>900</v>
      </c>
      <c r="D4454" s="8" t="s">
        <v>26425</v>
      </c>
      <c r="E4454" s="8" t="s">
        <v>26426</v>
      </c>
      <c r="F4454" s="8" t="s">
        <v>76</v>
      </c>
      <c r="G4454" s="6" t="s">
        <v>89</v>
      </c>
      <c r="H4454" s="6" t="s">
        <v>53</v>
      </c>
      <c r="I4454" s="8" t="s">
        <v>165</v>
      </c>
      <c r="J4454" s="9">
        <v>1</v>
      </c>
      <c r="K4454" s="9">
        <v>173</v>
      </c>
      <c r="L4454" s="9">
        <v>2025</v>
      </c>
      <c r="M4454" s="8" t="s">
        <v>26427</v>
      </c>
      <c r="N4454" s="8" t="s">
        <v>79</v>
      </c>
      <c r="O4454" s="8" t="s">
        <v>80</v>
      </c>
      <c r="P4454" s="6" t="s">
        <v>167</v>
      </c>
      <c r="Q4454" s="8" t="s">
        <v>44</v>
      </c>
      <c r="R4454" s="10" t="s">
        <v>26428</v>
      </c>
      <c r="S4454" s="11" t="s">
        <v>8216</v>
      </c>
      <c r="T4454" s="6"/>
      <c r="U4454" s="24" t="str">
        <f>HYPERLINK("https://media.infra-m.ru/2185/2185893/cover/2185893.jpg", "Обложка")</f>
        <v>Обложка</v>
      </c>
      <c r="V4454" s="24" t="str">
        <f>HYPERLINK("https://znanium.ru/catalog/product/2185893", "Ознакомиться")</f>
        <v>Ознакомиться</v>
      </c>
      <c r="W4454" s="8" t="s">
        <v>83</v>
      </c>
      <c r="X4454" s="6"/>
      <c r="Y4454" s="6"/>
      <c r="Z4454" s="6"/>
      <c r="AA4454" s="6" t="s">
        <v>442</v>
      </c>
      <c r="AB4454" s="8"/>
    </row>
    <row r="4455" spans="1:28" s="4" customFormat="1" ht="51.95" customHeight="1">
      <c r="A4455" s="5">
        <v>0</v>
      </c>
      <c r="B4455" s="6" t="s">
        <v>26429</v>
      </c>
      <c r="C4455" s="13">
        <v>1560</v>
      </c>
      <c r="D4455" s="8" t="s">
        <v>26430</v>
      </c>
      <c r="E4455" s="8" t="s">
        <v>26431</v>
      </c>
      <c r="F4455" s="8" t="s">
        <v>76</v>
      </c>
      <c r="G4455" s="6" t="s">
        <v>89</v>
      </c>
      <c r="H4455" s="6" t="s">
        <v>53</v>
      </c>
      <c r="I4455" s="8" t="s">
        <v>165</v>
      </c>
      <c r="J4455" s="9">
        <v>1</v>
      </c>
      <c r="K4455" s="9">
        <v>312</v>
      </c>
      <c r="L4455" s="9">
        <v>2025</v>
      </c>
      <c r="M4455" s="8" t="s">
        <v>26432</v>
      </c>
      <c r="N4455" s="8" t="s">
        <v>79</v>
      </c>
      <c r="O4455" s="8" t="s">
        <v>80</v>
      </c>
      <c r="P4455" s="6" t="s">
        <v>167</v>
      </c>
      <c r="Q4455" s="8" t="s">
        <v>44</v>
      </c>
      <c r="R4455" s="10" t="s">
        <v>26433</v>
      </c>
      <c r="S4455" s="11" t="s">
        <v>26434</v>
      </c>
      <c r="T4455" s="6"/>
      <c r="U4455" s="24" t="str">
        <f>HYPERLINK("https://media.infra-m.ru/2182/2182623/cover/2182623.jpg", "Обложка")</f>
        <v>Обложка</v>
      </c>
      <c r="V4455" s="24" t="str">
        <f>HYPERLINK("https://znanium.ru/catalog/product/2182623", "Ознакомиться")</f>
        <v>Ознакомиться</v>
      </c>
      <c r="W4455" s="8" t="s">
        <v>83</v>
      </c>
      <c r="X4455" s="6"/>
      <c r="Y4455" s="6"/>
      <c r="Z4455" s="6"/>
      <c r="AA4455" s="6" t="s">
        <v>219</v>
      </c>
      <c r="AB4455" s="8"/>
    </row>
    <row r="4456" spans="1:28" s="4" customFormat="1" ht="51.95" customHeight="1">
      <c r="A4456" s="5">
        <v>0</v>
      </c>
      <c r="B4456" s="6" t="s">
        <v>26435</v>
      </c>
      <c r="C4456" s="13">
        <v>1250</v>
      </c>
      <c r="D4456" s="8" t="s">
        <v>26436</v>
      </c>
      <c r="E4456" s="8" t="s">
        <v>26437</v>
      </c>
      <c r="F4456" s="8" t="s">
        <v>76</v>
      </c>
      <c r="G4456" s="6" t="s">
        <v>52</v>
      </c>
      <c r="H4456" s="6" t="s">
        <v>53</v>
      </c>
      <c r="I4456" s="8" t="s">
        <v>1223</v>
      </c>
      <c r="J4456" s="9">
        <v>1</v>
      </c>
      <c r="K4456" s="9">
        <v>335</v>
      </c>
      <c r="L4456" s="9">
        <v>2021</v>
      </c>
      <c r="M4456" s="8" t="s">
        <v>26438</v>
      </c>
      <c r="N4456" s="8" t="s">
        <v>79</v>
      </c>
      <c r="O4456" s="8" t="s">
        <v>80</v>
      </c>
      <c r="P4456" s="6" t="s">
        <v>167</v>
      </c>
      <c r="Q4456" s="8" t="s">
        <v>44</v>
      </c>
      <c r="R4456" s="10" t="s">
        <v>4055</v>
      </c>
      <c r="S4456" s="11" t="s">
        <v>26434</v>
      </c>
      <c r="T4456" s="6"/>
      <c r="U4456" s="24" t="str">
        <f>HYPERLINK("https://media.infra-m.ru/1478/1478383/cover/1478383.jpg", "Обложка")</f>
        <v>Обложка</v>
      </c>
      <c r="V4456" s="24" t="str">
        <f>HYPERLINK("https://znanium.ru/catalog/product/1478383", "Ознакомиться")</f>
        <v>Ознакомиться</v>
      </c>
      <c r="W4456" s="8" t="s">
        <v>83</v>
      </c>
      <c r="X4456" s="6"/>
      <c r="Y4456" s="6"/>
      <c r="Z4456" s="6"/>
      <c r="AA4456" s="6" t="s">
        <v>219</v>
      </c>
      <c r="AB4456" s="8"/>
    </row>
    <row r="4457" spans="1:28" s="4" customFormat="1" ht="44.1" customHeight="1">
      <c r="A4457" s="5">
        <v>0</v>
      </c>
      <c r="B4457" s="6" t="s">
        <v>26439</v>
      </c>
      <c r="C4457" s="13">
        <v>1020</v>
      </c>
      <c r="D4457" s="8" t="s">
        <v>26440</v>
      </c>
      <c r="E4457" s="8" t="s">
        <v>26441</v>
      </c>
      <c r="F4457" s="8" t="s">
        <v>26442</v>
      </c>
      <c r="G4457" s="6" t="s">
        <v>52</v>
      </c>
      <c r="H4457" s="6" t="s">
        <v>53</v>
      </c>
      <c r="I4457" s="8" t="s">
        <v>2048</v>
      </c>
      <c r="J4457" s="9">
        <v>1</v>
      </c>
      <c r="K4457" s="9">
        <v>220</v>
      </c>
      <c r="L4457" s="9">
        <v>2023</v>
      </c>
      <c r="M4457" s="8" t="s">
        <v>26443</v>
      </c>
      <c r="N4457" s="8" t="s">
        <v>41</v>
      </c>
      <c r="O4457" s="8" t="s">
        <v>118</v>
      </c>
      <c r="P4457" s="6" t="s">
        <v>167</v>
      </c>
      <c r="Q4457" s="8" t="s">
        <v>44</v>
      </c>
      <c r="R4457" s="10" t="s">
        <v>26444</v>
      </c>
      <c r="S4457" s="11"/>
      <c r="T4457" s="6"/>
      <c r="U4457" s="24" t="str">
        <f>HYPERLINK("https://media.infra-m.ru/1863/1863127/cover/1863127.jpg", "Обложка")</f>
        <v>Обложка</v>
      </c>
      <c r="V4457" s="24" t="str">
        <f>HYPERLINK("https://znanium.ru/catalog/product/1863127", "Ознакомиться")</f>
        <v>Ознакомиться</v>
      </c>
      <c r="W4457" s="8"/>
      <c r="X4457" s="6"/>
      <c r="Y4457" s="6"/>
      <c r="Z4457" s="6"/>
      <c r="AA4457" s="6" t="s">
        <v>207</v>
      </c>
      <c r="AB4457" s="8"/>
    </row>
    <row r="4458" spans="1:28" s="4" customFormat="1" ht="51.95" customHeight="1">
      <c r="A4458" s="5">
        <v>0</v>
      </c>
      <c r="B4458" s="6" t="s">
        <v>26445</v>
      </c>
      <c r="C4458" s="13">
        <v>1490</v>
      </c>
      <c r="D4458" s="8" t="s">
        <v>26446</v>
      </c>
      <c r="E4458" s="8" t="s">
        <v>26447</v>
      </c>
      <c r="F4458" s="8" t="s">
        <v>26448</v>
      </c>
      <c r="G4458" s="6" t="s">
        <v>89</v>
      </c>
      <c r="H4458" s="6" t="s">
        <v>53</v>
      </c>
      <c r="I4458" s="8" t="s">
        <v>276</v>
      </c>
      <c r="J4458" s="9">
        <v>1</v>
      </c>
      <c r="K4458" s="9">
        <v>320</v>
      </c>
      <c r="L4458" s="9">
        <v>2023</v>
      </c>
      <c r="M4458" s="8" t="s">
        <v>26449</v>
      </c>
      <c r="N4458" s="8" t="s">
        <v>79</v>
      </c>
      <c r="O4458" s="8" t="s">
        <v>396</v>
      </c>
      <c r="P4458" s="6" t="s">
        <v>43</v>
      </c>
      <c r="Q4458" s="8" t="s">
        <v>279</v>
      </c>
      <c r="R4458" s="10" t="s">
        <v>14357</v>
      </c>
      <c r="S4458" s="11" t="s">
        <v>26450</v>
      </c>
      <c r="T4458" s="6"/>
      <c r="U4458" s="24" t="str">
        <f>HYPERLINK("https://media.infra-m.ru/1976/1976144/cover/1976144.jpg", "Обложка")</f>
        <v>Обложка</v>
      </c>
      <c r="V4458" s="24" t="str">
        <f>HYPERLINK("https://znanium.ru/catalog/product/1976144", "Ознакомиться")</f>
        <v>Ознакомиться</v>
      </c>
      <c r="W4458" s="8" t="s">
        <v>2343</v>
      </c>
      <c r="X4458" s="6"/>
      <c r="Y4458" s="6"/>
      <c r="Z4458" s="6"/>
      <c r="AA4458" s="6" t="s">
        <v>1374</v>
      </c>
      <c r="AB4458" s="8"/>
    </row>
    <row r="4459" spans="1:28" s="4" customFormat="1" ht="51.95" customHeight="1">
      <c r="A4459" s="5">
        <v>0</v>
      </c>
      <c r="B4459" s="6" t="s">
        <v>26451</v>
      </c>
      <c r="C4459" s="13">
        <v>2160</v>
      </c>
      <c r="D4459" s="8" t="s">
        <v>26452</v>
      </c>
      <c r="E4459" s="8" t="s">
        <v>26453</v>
      </c>
      <c r="F4459" s="8" t="s">
        <v>26454</v>
      </c>
      <c r="G4459" s="6" t="s">
        <v>52</v>
      </c>
      <c r="H4459" s="6" t="s">
        <v>53</v>
      </c>
      <c r="I4459" s="8" t="s">
        <v>21694</v>
      </c>
      <c r="J4459" s="9">
        <v>1</v>
      </c>
      <c r="K4459" s="9">
        <v>478</v>
      </c>
      <c r="L4459" s="9">
        <v>2023</v>
      </c>
      <c r="M4459" s="8" t="s">
        <v>26455</v>
      </c>
      <c r="N4459" s="8" t="s">
        <v>79</v>
      </c>
      <c r="O4459" s="8" t="s">
        <v>684</v>
      </c>
      <c r="P4459" s="6" t="s">
        <v>43</v>
      </c>
      <c r="Q4459" s="8" t="s">
        <v>44</v>
      </c>
      <c r="R4459" s="10" t="s">
        <v>3247</v>
      </c>
      <c r="S4459" s="11" t="s">
        <v>26456</v>
      </c>
      <c r="T4459" s="6"/>
      <c r="U4459" s="24" t="str">
        <f>HYPERLINK("https://media.infra-m.ru/1921/1921383/cover/1921383.jpg", "Обложка")</f>
        <v>Обложка</v>
      </c>
      <c r="V4459" s="24" t="str">
        <f>HYPERLINK("https://znanium.ru/catalog/product/1921383", "Ознакомиться")</f>
        <v>Ознакомиться</v>
      </c>
      <c r="W4459" s="8" t="s">
        <v>716</v>
      </c>
      <c r="X4459" s="6"/>
      <c r="Y4459" s="6"/>
      <c r="Z4459" s="6"/>
      <c r="AA4459" s="6" t="s">
        <v>207</v>
      </c>
      <c r="AB4459" s="8"/>
    </row>
    <row r="4460" spans="1:28" s="4" customFormat="1" ht="51.95" customHeight="1">
      <c r="A4460" s="5">
        <v>0</v>
      </c>
      <c r="B4460" s="6" t="s">
        <v>26457</v>
      </c>
      <c r="C4460" s="7">
        <v>890</v>
      </c>
      <c r="D4460" s="8" t="s">
        <v>26458</v>
      </c>
      <c r="E4460" s="8" t="s">
        <v>26459</v>
      </c>
      <c r="F4460" s="8" t="s">
        <v>26460</v>
      </c>
      <c r="G4460" s="6" t="s">
        <v>52</v>
      </c>
      <c r="H4460" s="6" t="s">
        <v>53</v>
      </c>
      <c r="I4460" s="8" t="s">
        <v>712</v>
      </c>
      <c r="J4460" s="9">
        <v>1</v>
      </c>
      <c r="K4460" s="9">
        <v>168</v>
      </c>
      <c r="L4460" s="9">
        <v>2024</v>
      </c>
      <c r="M4460" s="8" t="s">
        <v>26461</v>
      </c>
      <c r="N4460" s="8" t="s">
        <v>79</v>
      </c>
      <c r="O4460" s="8" t="s">
        <v>396</v>
      </c>
      <c r="P4460" s="6" t="s">
        <v>43</v>
      </c>
      <c r="Q4460" s="8" t="s">
        <v>279</v>
      </c>
      <c r="R4460" s="10" t="s">
        <v>21797</v>
      </c>
      <c r="S4460" s="11" t="s">
        <v>26462</v>
      </c>
      <c r="T4460" s="6"/>
      <c r="U4460" s="24" t="str">
        <f>HYPERLINK("https://media.infra-m.ru/2133/2133643/cover/2133643.jpg", "Обложка")</f>
        <v>Обложка</v>
      </c>
      <c r="V4460" s="24" t="str">
        <f>HYPERLINK("https://znanium.ru/catalog/product/2133643", "Ознакомиться")</f>
        <v>Ознакомиться</v>
      </c>
      <c r="W4460" s="8" t="s">
        <v>716</v>
      </c>
      <c r="X4460" s="6"/>
      <c r="Y4460" s="6"/>
      <c r="Z4460" s="6"/>
      <c r="AA4460" s="6" t="s">
        <v>133</v>
      </c>
      <c r="AB4460" s="8"/>
    </row>
    <row r="4461" spans="1:28" s="4" customFormat="1" ht="44.1" customHeight="1">
      <c r="A4461" s="5">
        <v>0</v>
      </c>
      <c r="B4461" s="6" t="s">
        <v>26463</v>
      </c>
      <c r="C4461" s="13">
        <v>2430</v>
      </c>
      <c r="D4461" s="8" t="s">
        <v>26464</v>
      </c>
      <c r="E4461" s="8" t="s">
        <v>26465</v>
      </c>
      <c r="F4461" s="8" t="s">
        <v>26466</v>
      </c>
      <c r="G4461" s="6" t="s">
        <v>52</v>
      </c>
      <c r="H4461" s="6" t="s">
        <v>952</v>
      </c>
      <c r="I4461" s="8" t="s">
        <v>1171</v>
      </c>
      <c r="J4461" s="9">
        <v>1</v>
      </c>
      <c r="K4461" s="9">
        <v>528</v>
      </c>
      <c r="L4461" s="9">
        <v>2024</v>
      </c>
      <c r="M4461" s="8" t="s">
        <v>26467</v>
      </c>
      <c r="N4461" s="8" t="s">
        <v>41</v>
      </c>
      <c r="O4461" s="8" t="s">
        <v>278</v>
      </c>
      <c r="P4461" s="6" t="s">
        <v>43</v>
      </c>
      <c r="Q4461" s="8" t="s">
        <v>44</v>
      </c>
      <c r="R4461" s="10" t="s">
        <v>26468</v>
      </c>
      <c r="S4461" s="11"/>
      <c r="T4461" s="6"/>
      <c r="U4461" s="24" t="str">
        <f>HYPERLINK("https://media.infra-m.ru/2079/2079694/cover/2079694.jpg", "Обложка")</f>
        <v>Обложка</v>
      </c>
      <c r="V4461" s="24" t="str">
        <f>HYPERLINK("https://znanium.ru/catalog/product/2079694", "Ознакомиться")</f>
        <v>Ознакомиться</v>
      </c>
      <c r="W4461" s="8" t="s">
        <v>2463</v>
      </c>
      <c r="X4461" s="6"/>
      <c r="Y4461" s="6"/>
      <c r="Z4461" s="6"/>
      <c r="AA4461" s="6" t="s">
        <v>111</v>
      </c>
      <c r="AB4461" s="8"/>
    </row>
    <row r="4462" spans="1:28" s="4" customFormat="1" ht="51.95" customHeight="1">
      <c r="A4462" s="5">
        <v>0</v>
      </c>
      <c r="B4462" s="6" t="s">
        <v>26469</v>
      </c>
      <c r="C4462" s="13">
        <v>2090</v>
      </c>
      <c r="D4462" s="8" t="s">
        <v>26470</v>
      </c>
      <c r="E4462" s="8" t="s">
        <v>26471</v>
      </c>
      <c r="F4462" s="8" t="s">
        <v>22185</v>
      </c>
      <c r="G4462" s="6" t="s">
        <v>52</v>
      </c>
      <c r="H4462" s="6" t="s">
        <v>53</v>
      </c>
      <c r="I4462" s="8" t="s">
        <v>116</v>
      </c>
      <c r="J4462" s="9">
        <v>1</v>
      </c>
      <c r="K4462" s="9">
        <v>417</v>
      </c>
      <c r="L4462" s="9">
        <v>2025</v>
      </c>
      <c r="M4462" s="8" t="s">
        <v>26472</v>
      </c>
      <c r="N4462" s="8" t="s">
        <v>79</v>
      </c>
      <c r="O4462" s="8" t="s">
        <v>396</v>
      </c>
      <c r="P4462" s="6" t="s">
        <v>43</v>
      </c>
      <c r="Q4462" s="8" t="s">
        <v>44</v>
      </c>
      <c r="R4462" s="10" t="s">
        <v>6409</v>
      </c>
      <c r="S4462" s="11" t="s">
        <v>15649</v>
      </c>
      <c r="T4462" s="6"/>
      <c r="U4462" s="24" t="str">
        <f>HYPERLINK("https://media.infra-m.ru/2157/2157004/cover/2157004.jpg", "Обложка")</f>
        <v>Обложка</v>
      </c>
      <c r="V4462" s="24" t="str">
        <f>HYPERLINK("https://znanium.ru/catalog/product/2157004", "Ознакомиться")</f>
        <v>Ознакомиться</v>
      </c>
      <c r="W4462" s="8" t="s">
        <v>71</v>
      </c>
      <c r="X4462" s="6"/>
      <c r="Y4462" s="6"/>
      <c r="Z4462" s="6"/>
      <c r="AA4462" s="6" t="s">
        <v>813</v>
      </c>
      <c r="AB4462" s="8"/>
    </row>
    <row r="4463" spans="1:28" s="4" customFormat="1" ht="42" customHeight="1">
      <c r="A4463" s="5">
        <v>0</v>
      </c>
      <c r="B4463" s="6" t="s">
        <v>26473</v>
      </c>
      <c r="C4463" s="13">
        <v>2554</v>
      </c>
      <c r="D4463" s="8" t="s">
        <v>26474</v>
      </c>
      <c r="E4463" s="8" t="s">
        <v>26475</v>
      </c>
      <c r="F4463" s="8" t="s">
        <v>22185</v>
      </c>
      <c r="G4463" s="6" t="s">
        <v>52</v>
      </c>
      <c r="H4463" s="6" t="s">
        <v>53</v>
      </c>
      <c r="I4463" s="8" t="s">
        <v>100</v>
      </c>
      <c r="J4463" s="9">
        <v>1</v>
      </c>
      <c r="K4463" s="9">
        <v>510</v>
      </c>
      <c r="L4463" s="9">
        <v>2025</v>
      </c>
      <c r="M4463" s="8" t="s">
        <v>26476</v>
      </c>
      <c r="N4463" s="8" t="s">
        <v>79</v>
      </c>
      <c r="O4463" s="8" t="s">
        <v>396</v>
      </c>
      <c r="P4463" s="6" t="s">
        <v>397</v>
      </c>
      <c r="Q4463" s="8" t="s">
        <v>102</v>
      </c>
      <c r="R4463" s="10" t="s">
        <v>26477</v>
      </c>
      <c r="S4463" s="11"/>
      <c r="T4463" s="6"/>
      <c r="U4463" s="24" t="str">
        <f>HYPERLINK("https://media.infra-m.ru/2170/2170077/cover/2170077.jpg", "Обложка")</f>
        <v>Обложка</v>
      </c>
      <c r="V4463" s="24" t="str">
        <f>HYPERLINK("https://znanium.ru/catalog/product/2149827", "Ознакомиться")</f>
        <v>Ознакомиться</v>
      </c>
      <c r="W4463" s="8" t="s">
        <v>71</v>
      </c>
      <c r="X4463" s="6"/>
      <c r="Y4463" s="6"/>
      <c r="Z4463" s="6"/>
      <c r="AA4463" s="6" t="s">
        <v>513</v>
      </c>
      <c r="AB4463" s="8"/>
    </row>
    <row r="4464" spans="1:28" s="4" customFormat="1" ht="51.95" customHeight="1">
      <c r="A4464" s="5">
        <v>0</v>
      </c>
      <c r="B4464" s="6" t="s">
        <v>26478</v>
      </c>
      <c r="C4464" s="13">
        <v>1590</v>
      </c>
      <c r="D4464" s="8" t="s">
        <v>26479</v>
      </c>
      <c r="E4464" s="8" t="s">
        <v>26480</v>
      </c>
      <c r="F4464" s="8" t="s">
        <v>26481</v>
      </c>
      <c r="G4464" s="6" t="s">
        <v>89</v>
      </c>
      <c r="H4464" s="6" t="s">
        <v>184</v>
      </c>
      <c r="I4464" s="8" t="s">
        <v>185</v>
      </c>
      <c r="J4464" s="9">
        <v>1</v>
      </c>
      <c r="K4464" s="9">
        <v>318</v>
      </c>
      <c r="L4464" s="9">
        <v>2025</v>
      </c>
      <c r="M4464" s="8" t="s">
        <v>26482</v>
      </c>
      <c r="N4464" s="8" t="s">
        <v>56</v>
      </c>
      <c r="O4464" s="8" t="s">
        <v>57</v>
      </c>
      <c r="P4464" s="6" t="s">
        <v>43</v>
      </c>
      <c r="Q4464" s="8" t="s">
        <v>44</v>
      </c>
      <c r="R4464" s="10" t="s">
        <v>26483</v>
      </c>
      <c r="S4464" s="11"/>
      <c r="T4464" s="6"/>
      <c r="U4464" s="24" t="str">
        <f>HYPERLINK("https://media.infra-m.ru/2166/2166417/cover/2166417.jpg", "Обложка")</f>
        <v>Обложка</v>
      </c>
      <c r="V4464" s="24" t="str">
        <f>HYPERLINK("https://znanium.ru/catalog/product/2166417", "Ознакомиться")</f>
        <v>Ознакомиться</v>
      </c>
      <c r="W4464" s="8" t="s">
        <v>913</v>
      </c>
      <c r="X4464" s="6"/>
      <c r="Y4464" s="6"/>
      <c r="Z4464" s="6"/>
      <c r="AA4464" s="6" t="s">
        <v>235</v>
      </c>
      <c r="AB4464" s="8"/>
    </row>
    <row r="4465" spans="1:28" s="4" customFormat="1" ht="51.95" customHeight="1">
      <c r="A4465" s="5">
        <v>0</v>
      </c>
      <c r="B4465" s="6" t="s">
        <v>26484</v>
      </c>
      <c r="C4465" s="7">
        <v>920</v>
      </c>
      <c r="D4465" s="8" t="s">
        <v>26485</v>
      </c>
      <c r="E4465" s="8" t="s">
        <v>26486</v>
      </c>
      <c r="F4465" s="8" t="s">
        <v>26487</v>
      </c>
      <c r="G4465" s="6" t="s">
        <v>89</v>
      </c>
      <c r="H4465" s="6" t="s">
        <v>53</v>
      </c>
      <c r="I4465" s="8" t="s">
        <v>4855</v>
      </c>
      <c r="J4465" s="9">
        <v>1</v>
      </c>
      <c r="K4465" s="9">
        <v>201</v>
      </c>
      <c r="L4465" s="9">
        <v>2023</v>
      </c>
      <c r="M4465" s="8" t="s">
        <v>26488</v>
      </c>
      <c r="N4465" s="8" t="s">
        <v>56</v>
      </c>
      <c r="O4465" s="8" t="s">
        <v>57</v>
      </c>
      <c r="P4465" s="6" t="s">
        <v>43</v>
      </c>
      <c r="Q4465" s="8" t="s">
        <v>44</v>
      </c>
      <c r="R4465" s="10" t="s">
        <v>26489</v>
      </c>
      <c r="S4465" s="11" t="s">
        <v>26490</v>
      </c>
      <c r="T4465" s="6"/>
      <c r="U4465" s="24" t="str">
        <f>HYPERLINK("https://media.infra-m.ru/1902/1902899/cover/1902899.jpg", "Обложка")</f>
        <v>Обложка</v>
      </c>
      <c r="V4465" s="12"/>
      <c r="W4465" s="8" t="s">
        <v>784</v>
      </c>
      <c r="X4465" s="6"/>
      <c r="Y4465" s="6"/>
      <c r="Z4465" s="6"/>
      <c r="AA4465" s="6" t="s">
        <v>151</v>
      </c>
      <c r="AB4465" s="8"/>
    </row>
    <row r="4466" spans="1:28" s="4" customFormat="1" ht="51.95" customHeight="1">
      <c r="A4466" s="5">
        <v>0</v>
      </c>
      <c r="B4466" s="6" t="s">
        <v>26491</v>
      </c>
      <c r="C4466" s="7">
        <v>774</v>
      </c>
      <c r="D4466" s="8" t="s">
        <v>26492</v>
      </c>
      <c r="E4466" s="8" t="s">
        <v>26493</v>
      </c>
      <c r="F4466" s="8" t="s">
        <v>26494</v>
      </c>
      <c r="G4466" s="6" t="s">
        <v>38</v>
      </c>
      <c r="H4466" s="6" t="s">
        <v>184</v>
      </c>
      <c r="I4466" s="8" t="s">
        <v>90</v>
      </c>
      <c r="J4466" s="9">
        <v>1</v>
      </c>
      <c r="K4466" s="9">
        <v>163</v>
      </c>
      <c r="L4466" s="9">
        <v>2024</v>
      </c>
      <c r="M4466" s="8" t="s">
        <v>26495</v>
      </c>
      <c r="N4466" s="8" t="s">
        <v>56</v>
      </c>
      <c r="O4466" s="8" t="s">
        <v>57</v>
      </c>
      <c r="P4466" s="6" t="s">
        <v>43</v>
      </c>
      <c r="Q4466" s="8" t="s">
        <v>44</v>
      </c>
      <c r="R4466" s="10" t="s">
        <v>26496</v>
      </c>
      <c r="S4466" s="11" t="s">
        <v>26497</v>
      </c>
      <c r="T4466" s="6"/>
      <c r="U4466" s="24" t="str">
        <f>HYPERLINK("https://media.infra-m.ru/2147/2147919/cover/2147919.jpg", "Обложка")</f>
        <v>Обложка</v>
      </c>
      <c r="V4466" s="24" t="str">
        <f>HYPERLINK("https://znanium.ru/catalog/product/966753", "Ознакомиться")</f>
        <v>Ознакомиться</v>
      </c>
      <c r="W4466" s="8" t="s">
        <v>11304</v>
      </c>
      <c r="X4466" s="6"/>
      <c r="Y4466" s="6"/>
      <c r="Z4466" s="6"/>
      <c r="AA4466" s="6" t="s">
        <v>84</v>
      </c>
      <c r="AB4466" s="8"/>
    </row>
    <row r="4467" spans="1:28" s="4" customFormat="1" ht="51.95" customHeight="1">
      <c r="A4467" s="5">
        <v>0</v>
      </c>
      <c r="B4467" s="6" t="s">
        <v>26498</v>
      </c>
      <c r="C4467" s="7">
        <v>714</v>
      </c>
      <c r="D4467" s="8" t="s">
        <v>26499</v>
      </c>
      <c r="E4467" s="8" t="s">
        <v>26500</v>
      </c>
      <c r="F4467" s="8" t="s">
        <v>26501</v>
      </c>
      <c r="G4467" s="6" t="s">
        <v>38</v>
      </c>
      <c r="H4467" s="6" t="s">
        <v>184</v>
      </c>
      <c r="I4467" s="8" t="s">
        <v>116</v>
      </c>
      <c r="J4467" s="9">
        <v>1</v>
      </c>
      <c r="K4467" s="9">
        <v>140</v>
      </c>
      <c r="L4467" s="9">
        <v>2024</v>
      </c>
      <c r="M4467" s="8" t="s">
        <v>26502</v>
      </c>
      <c r="N4467" s="8" t="s">
        <v>56</v>
      </c>
      <c r="O4467" s="8" t="s">
        <v>57</v>
      </c>
      <c r="P4467" s="6" t="s">
        <v>43</v>
      </c>
      <c r="Q4467" s="8" t="s">
        <v>44</v>
      </c>
      <c r="R4467" s="10" t="s">
        <v>26503</v>
      </c>
      <c r="S4467" s="11"/>
      <c r="T4467" s="6"/>
      <c r="U4467" s="24" t="str">
        <f>HYPERLINK("https://media.infra-m.ru/2167/2167257/cover/2167257.jpg", "Обложка")</f>
        <v>Обложка</v>
      </c>
      <c r="V4467" s="24" t="str">
        <f>HYPERLINK("https://znanium.ru/catalog/product/2166658", "Ознакомиться")</f>
        <v>Ознакомиться</v>
      </c>
      <c r="W4467" s="8" t="s">
        <v>913</v>
      </c>
      <c r="X4467" s="6"/>
      <c r="Y4467" s="6"/>
      <c r="Z4467" s="6"/>
      <c r="AA4467" s="6" t="s">
        <v>258</v>
      </c>
      <c r="AB4467" s="8"/>
    </row>
    <row r="4468" spans="1:28" s="4" customFormat="1" ht="42" customHeight="1">
      <c r="A4468" s="5">
        <v>0</v>
      </c>
      <c r="B4468" s="6" t="s">
        <v>26504</v>
      </c>
      <c r="C4468" s="13">
        <v>1834</v>
      </c>
      <c r="D4468" s="8" t="s">
        <v>26505</v>
      </c>
      <c r="E4468" s="8" t="s">
        <v>26506</v>
      </c>
      <c r="F4468" s="8" t="s">
        <v>8732</v>
      </c>
      <c r="G4468" s="6" t="s">
        <v>52</v>
      </c>
      <c r="H4468" s="6" t="s">
        <v>184</v>
      </c>
      <c r="I4468" s="8" t="s">
        <v>116</v>
      </c>
      <c r="J4468" s="9">
        <v>1</v>
      </c>
      <c r="K4468" s="9">
        <v>352</v>
      </c>
      <c r="L4468" s="9">
        <v>2025</v>
      </c>
      <c r="M4468" s="8" t="s">
        <v>26507</v>
      </c>
      <c r="N4468" s="8" t="s">
        <v>56</v>
      </c>
      <c r="O4468" s="8" t="s">
        <v>57</v>
      </c>
      <c r="P4468" s="6" t="s">
        <v>43</v>
      </c>
      <c r="Q4468" s="8" t="s">
        <v>44</v>
      </c>
      <c r="R4468" s="10" t="s">
        <v>26508</v>
      </c>
      <c r="S4468" s="11"/>
      <c r="T4468" s="6"/>
      <c r="U4468" s="24" t="str">
        <f>HYPERLINK("https://media.infra-m.ru/2192/2192938/cover/2192938.jpg", "Обложка")</f>
        <v>Обложка</v>
      </c>
      <c r="V4468" s="24" t="str">
        <f>HYPERLINK("https://znanium.ru/catalog/product/1145164", "Ознакомиться")</f>
        <v>Ознакомиться</v>
      </c>
      <c r="W4468" s="8" t="s">
        <v>913</v>
      </c>
      <c r="X4468" s="6"/>
      <c r="Y4468" s="6"/>
      <c r="Z4468" s="6"/>
      <c r="AA4468" s="6" t="s">
        <v>219</v>
      </c>
      <c r="AB4468" s="8"/>
    </row>
    <row r="4469" spans="1:28" s="4" customFormat="1" ht="51.95" customHeight="1">
      <c r="A4469" s="5">
        <v>0</v>
      </c>
      <c r="B4469" s="6" t="s">
        <v>26509</v>
      </c>
      <c r="C4469" s="7">
        <v>694</v>
      </c>
      <c r="D4469" s="8" t="s">
        <v>26510</v>
      </c>
      <c r="E4469" s="8" t="s">
        <v>26511</v>
      </c>
      <c r="F4469" s="8" t="s">
        <v>26512</v>
      </c>
      <c r="G4469" s="6" t="s">
        <v>38</v>
      </c>
      <c r="H4469" s="6" t="s">
        <v>184</v>
      </c>
      <c r="I4469" s="8" t="s">
        <v>90</v>
      </c>
      <c r="J4469" s="9">
        <v>1</v>
      </c>
      <c r="K4469" s="9">
        <v>132</v>
      </c>
      <c r="L4469" s="9">
        <v>2025</v>
      </c>
      <c r="M4469" s="8" t="s">
        <v>26513</v>
      </c>
      <c r="N4469" s="8" t="s">
        <v>56</v>
      </c>
      <c r="O4469" s="8" t="s">
        <v>57</v>
      </c>
      <c r="P4469" s="6" t="s">
        <v>43</v>
      </c>
      <c r="Q4469" s="8" t="s">
        <v>44</v>
      </c>
      <c r="R4469" s="10" t="s">
        <v>26514</v>
      </c>
      <c r="S4469" s="11"/>
      <c r="T4469" s="6"/>
      <c r="U4469" s="24" t="str">
        <f>HYPERLINK("https://media.infra-m.ru/2200/2200768/cover/2200768.jpg", "Обложка")</f>
        <v>Обложка</v>
      </c>
      <c r="V4469" s="24" t="str">
        <f>HYPERLINK("https://znanium.ru/catalog/product/1907128", "Ознакомиться")</f>
        <v>Ознакомиться</v>
      </c>
      <c r="W4469" s="8" t="s">
        <v>913</v>
      </c>
      <c r="X4469" s="6"/>
      <c r="Y4469" s="6"/>
      <c r="Z4469" s="6"/>
      <c r="AA4469" s="6" t="s">
        <v>442</v>
      </c>
      <c r="AB4469" s="8"/>
    </row>
    <row r="4470" spans="1:28" s="4" customFormat="1" ht="33" customHeight="1">
      <c r="A4470" s="5">
        <v>0</v>
      </c>
      <c r="B4470" s="6" t="s">
        <v>26515</v>
      </c>
      <c r="C4470" s="13">
        <v>1290</v>
      </c>
      <c r="D4470" s="8" t="s">
        <v>26516</v>
      </c>
      <c r="E4470" s="8" t="s">
        <v>26517</v>
      </c>
      <c r="F4470" s="8" t="s">
        <v>5712</v>
      </c>
      <c r="G4470" s="6" t="s">
        <v>52</v>
      </c>
      <c r="H4470" s="6" t="s">
        <v>66</v>
      </c>
      <c r="I4470" s="8" t="s">
        <v>3162</v>
      </c>
      <c r="J4470" s="9">
        <v>1</v>
      </c>
      <c r="K4470" s="9">
        <v>629</v>
      </c>
      <c r="L4470" s="9">
        <v>2019</v>
      </c>
      <c r="M4470" s="8" t="s">
        <v>26518</v>
      </c>
      <c r="N4470" s="8" t="s">
        <v>41</v>
      </c>
      <c r="O4470" s="8" t="s">
        <v>6721</v>
      </c>
      <c r="P4470" s="6" t="s">
        <v>5588</v>
      </c>
      <c r="Q4470" s="8" t="s">
        <v>44</v>
      </c>
      <c r="R4470" s="10" t="s">
        <v>26519</v>
      </c>
      <c r="S4470" s="11"/>
      <c r="T4470" s="6"/>
      <c r="U4470" s="12"/>
      <c r="V4470" s="24" t="str">
        <f>HYPERLINK("https://znanium.ru/catalog/product/1154378", "Ознакомиться")</f>
        <v>Ознакомиться</v>
      </c>
      <c r="W4470" s="8" t="s">
        <v>5716</v>
      </c>
      <c r="X4470" s="6"/>
      <c r="Y4470" s="6"/>
      <c r="Z4470" s="6"/>
      <c r="AA4470" s="6" t="s">
        <v>2217</v>
      </c>
      <c r="AB4470" s="8"/>
    </row>
    <row r="4471" spans="1:28" s="4" customFormat="1" ht="42" customHeight="1">
      <c r="A4471" s="5">
        <v>0</v>
      </c>
      <c r="B4471" s="6" t="s">
        <v>26520</v>
      </c>
      <c r="C4471" s="13">
        <v>1500</v>
      </c>
      <c r="D4471" s="8" t="s">
        <v>26521</v>
      </c>
      <c r="E4471" s="8" t="s">
        <v>26522</v>
      </c>
      <c r="F4471" s="8" t="s">
        <v>26523</v>
      </c>
      <c r="G4471" s="6" t="s">
        <v>52</v>
      </c>
      <c r="H4471" s="6" t="s">
        <v>53</v>
      </c>
      <c r="I4471" s="8" t="s">
        <v>165</v>
      </c>
      <c r="J4471" s="9">
        <v>1</v>
      </c>
      <c r="K4471" s="9">
        <v>288</v>
      </c>
      <c r="L4471" s="9">
        <v>2024</v>
      </c>
      <c r="M4471" s="8" t="s">
        <v>26524</v>
      </c>
      <c r="N4471" s="8" t="s">
        <v>41</v>
      </c>
      <c r="O4471" s="8" t="s">
        <v>1007</v>
      </c>
      <c r="P4471" s="6" t="s">
        <v>167</v>
      </c>
      <c r="Q4471" s="8" t="s">
        <v>279</v>
      </c>
      <c r="R4471" s="10" t="s">
        <v>26525</v>
      </c>
      <c r="S4471" s="11"/>
      <c r="T4471" s="6"/>
      <c r="U4471" s="24" t="str">
        <f>HYPERLINK("https://media.infra-m.ru/2123/2123833/cover/2123833.jpg", "Обложка")</f>
        <v>Обложка</v>
      </c>
      <c r="V4471" s="24" t="str">
        <f>HYPERLINK("https://znanium.ru/catalog/product/2123833", "Ознакомиться")</f>
        <v>Ознакомиться</v>
      </c>
      <c r="W4471" s="8" t="s">
        <v>83</v>
      </c>
      <c r="X4471" s="6" t="s">
        <v>548</v>
      </c>
      <c r="Y4471" s="6"/>
      <c r="Z4471" s="6"/>
      <c r="AA4471" s="6" t="s">
        <v>133</v>
      </c>
      <c r="AB4471" s="8"/>
    </row>
    <row r="4472" spans="1:28" s="4" customFormat="1" ht="51.95" customHeight="1">
      <c r="A4472" s="5">
        <v>0</v>
      </c>
      <c r="B4472" s="6" t="s">
        <v>26526</v>
      </c>
      <c r="C4472" s="13">
        <v>1174</v>
      </c>
      <c r="D4472" s="8" t="s">
        <v>26527</v>
      </c>
      <c r="E4472" s="8" t="s">
        <v>26522</v>
      </c>
      <c r="F4472" s="8" t="s">
        <v>8946</v>
      </c>
      <c r="G4472" s="6" t="s">
        <v>52</v>
      </c>
      <c r="H4472" s="6" t="s">
        <v>53</v>
      </c>
      <c r="I4472" s="8" t="s">
        <v>276</v>
      </c>
      <c r="J4472" s="9">
        <v>1</v>
      </c>
      <c r="K4472" s="9">
        <v>256</v>
      </c>
      <c r="L4472" s="9">
        <v>2024</v>
      </c>
      <c r="M4472" s="8" t="s">
        <v>26528</v>
      </c>
      <c r="N4472" s="8" t="s">
        <v>41</v>
      </c>
      <c r="O4472" s="8" t="s">
        <v>118</v>
      </c>
      <c r="P4472" s="6" t="s">
        <v>167</v>
      </c>
      <c r="Q4472" s="8" t="s">
        <v>279</v>
      </c>
      <c r="R4472" s="10" t="s">
        <v>1278</v>
      </c>
      <c r="S4472" s="11" t="s">
        <v>26529</v>
      </c>
      <c r="T4472" s="6"/>
      <c r="U4472" s="24" t="str">
        <f>HYPERLINK("https://media.infra-m.ru/2091/2091928/cover/2091928.jpg", "Обложка")</f>
        <v>Обложка</v>
      </c>
      <c r="V4472" s="24" t="str">
        <f>HYPERLINK("https://znanium.ru/catalog/product/1257970", "Ознакомиться")</f>
        <v>Ознакомиться</v>
      </c>
      <c r="W4472" s="8" t="s">
        <v>4161</v>
      </c>
      <c r="X4472" s="6"/>
      <c r="Y4472" s="6"/>
      <c r="Z4472" s="6"/>
      <c r="AA4472" s="6" t="s">
        <v>47</v>
      </c>
      <c r="AB4472" s="8"/>
    </row>
    <row r="4473" spans="1:28" s="4" customFormat="1" ht="51.95" customHeight="1">
      <c r="A4473" s="5">
        <v>0</v>
      </c>
      <c r="B4473" s="6" t="s">
        <v>26530</v>
      </c>
      <c r="C4473" s="13">
        <v>2490</v>
      </c>
      <c r="D4473" s="8" t="s">
        <v>26531</v>
      </c>
      <c r="E4473" s="8" t="s">
        <v>26532</v>
      </c>
      <c r="F4473" s="8" t="s">
        <v>26533</v>
      </c>
      <c r="G4473" s="6" t="s">
        <v>52</v>
      </c>
      <c r="H4473" s="6" t="s">
        <v>53</v>
      </c>
      <c r="I4473" s="8" t="s">
        <v>3162</v>
      </c>
      <c r="J4473" s="9">
        <v>1</v>
      </c>
      <c r="K4473" s="9">
        <v>512</v>
      </c>
      <c r="L4473" s="9">
        <v>2024</v>
      </c>
      <c r="M4473" s="8" t="s">
        <v>26534</v>
      </c>
      <c r="N4473" s="8" t="s">
        <v>41</v>
      </c>
      <c r="O4473" s="8" t="s">
        <v>1007</v>
      </c>
      <c r="P4473" s="6" t="s">
        <v>7733</v>
      </c>
      <c r="Q4473" s="8" t="s">
        <v>58</v>
      </c>
      <c r="R4473" s="10" t="s">
        <v>26535</v>
      </c>
      <c r="S4473" s="11"/>
      <c r="T4473" s="6"/>
      <c r="U4473" s="24" t="str">
        <f>HYPERLINK("https://media.infra-m.ru/2136/2136248/cover/2136248.jpg", "Обложка")</f>
        <v>Обложка</v>
      </c>
      <c r="V4473" s="24" t="str">
        <f>HYPERLINK("https://znanium.ru/catalog/product/2136248", "Ознакомиться")</f>
        <v>Ознакомиться</v>
      </c>
      <c r="W4473" s="8" t="s">
        <v>5716</v>
      </c>
      <c r="X4473" s="6"/>
      <c r="Y4473" s="6"/>
      <c r="Z4473" s="6"/>
      <c r="AA4473" s="6" t="s">
        <v>26536</v>
      </c>
      <c r="AB4473" s="8"/>
    </row>
    <row r="4474" spans="1:28" s="4" customFormat="1" ht="42" customHeight="1">
      <c r="A4474" s="5">
        <v>0</v>
      </c>
      <c r="B4474" s="6" t="s">
        <v>26537</v>
      </c>
      <c r="C4474" s="13">
        <v>1090</v>
      </c>
      <c r="D4474" s="8" t="s">
        <v>26538</v>
      </c>
      <c r="E4474" s="8" t="s">
        <v>26539</v>
      </c>
      <c r="F4474" s="8" t="s">
        <v>6846</v>
      </c>
      <c r="G4474" s="6" t="s">
        <v>52</v>
      </c>
      <c r="H4474" s="6" t="s">
        <v>53</v>
      </c>
      <c r="I4474" s="8" t="s">
        <v>100</v>
      </c>
      <c r="J4474" s="9">
        <v>1</v>
      </c>
      <c r="K4474" s="9">
        <v>201</v>
      </c>
      <c r="L4474" s="9">
        <v>2025</v>
      </c>
      <c r="M4474" s="8" t="s">
        <v>26540</v>
      </c>
      <c r="N4474" s="8" t="s">
        <v>56</v>
      </c>
      <c r="O4474" s="8" t="s">
        <v>2183</v>
      </c>
      <c r="P4474" s="6" t="s">
        <v>43</v>
      </c>
      <c r="Q4474" s="8" t="s">
        <v>102</v>
      </c>
      <c r="R4474" s="10" t="s">
        <v>20775</v>
      </c>
      <c r="S4474" s="11"/>
      <c r="T4474" s="6" t="s">
        <v>299</v>
      </c>
      <c r="U4474" s="24" t="str">
        <f>HYPERLINK("https://media.infra-m.ru/2133/2133659/cover/2133659.jpg", "Обложка")</f>
        <v>Обложка</v>
      </c>
      <c r="V4474" s="24" t="str">
        <f>HYPERLINK("https://znanium.ru/catalog/product/2133659", "Ознакомиться")</f>
        <v>Ознакомиться</v>
      </c>
      <c r="W4474" s="8" t="s">
        <v>19684</v>
      </c>
      <c r="X4474" s="6" t="s">
        <v>226</v>
      </c>
      <c r="Y4474" s="6"/>
      <c r="Z4474" s="6"/>
      <c r="AA4474" s="6" t="s">
        <v>61</v>
      </c>
      <c r="AB4474" s="8" t="s">
        <v>227</v>
      </c>
    </row>
    <row r="4475" spans="1:28" s="4" customFormat="1" ht="51.95" customHeight="1">
      <c r="A4475" s="5">
        <v>0</v>
      </c>
      <c r="B4475" s="6" t="s">
        <v>26541</v>
      </c>
      <c r="C4475" s="13">
        <v>1204</v>
      </c>
      <c r="D4475" s="8" t="s">
        <v>26542</v>
      </c>
      <c r="E4475" s="8" t="s">
        <v>26543</v>
      </c>
      <c r="F4475" s="8" t="s">
        <v>9183</v>
      </c>
      <c r="G4475" s="6" t="s">
        <v>38</v>
      </c>
      <c r="H4475" s="6" t="s">
        <v>674</v>
      </c>
      <c r="I4475" s="8"/>
      <c r="J4475" s="9">
        <v>1</v>
      </c>
      <c r="K4475" s="9">
        <v>240</v>
      </c>
      <c r="L4475" s="9">
        <v>2025</v>
      </c>
      <c r="M4475" s="8" t="s">
        <v>26544</v>
      </c>
      <c r="N4475" s="8" t="s">
        <v>56</v>
      </c>
      <c r="O4475" s="8" t="s">
        <v>4042</v>
      </c>
      <c r="P4475" s="6" t="s">
        <v>1046</v>
      </c>
      <c r="Q4475" s="8" t="s">
        <v>279</v>
      </c>
      <c r="R4475" s="10" t="s">
        <v>26545</v>
      </c>
      <c r="S4475" s="11"/>
      <c r="T4475" s="6"/>
      <c r="U4475" s="24" t="str">
        <f>HYPERLINK("https://media.infra-m.ru/2184/2184382/cover/2184382.jpg", "Обложка")</f>
        <v>Обложка</v>
      </c>
      <c r="V4475" s="24" t="str">
        <f>HYPERLINK("https://znanium.ru/catalog/product/1859045", "Ознакомиться")</f>
        <v>Ознакомиться</v>
      </c>
      <c r="W4475" s="8" t="s">
        <v>678</v>
      </c>
      <c r="X4475" s="6"/>
      <c r="Y4475" s="6"/>
      <c r="Z4475" s="6"/>
      <c r="AA4475" s="6" t="s">
        <v>26546</v>
      </c>
      <c r="AB4475" s="8"/>
    </row>
    <row r="4476" spans="1:28" s="4" customFormat="1" ht="51.95" customHeight="1">
      <c r="A4476" s="5">
        <v>0</v>
      </c>
      <c r="B4476" s="6" t="s">
        <v>26547</v>
      </c>
      <c r="C4476" s="7">
        <v>820</v>
      </c>
      <c r="D4476" s="8" t="s">
        <v>26548</v>
      </c>
      <c r="E4476" s="8" t="s">
        <v>26549</v>
      </c>
      <c r="F4476" s="8" t="s">
        <v>26550</v>
      </c>
      <c r="G4476" s="6" t="s">
        <v>89</v>
      </c>
      <c r="H4476" s="6" t="s">
        <v>53</v>
      </c>
      <c r="I4476" s="8" t="s">
        <v>100</v>
      </c>
      <c r="J4476" s="9">
        <v>1</v>
      </c>
      <c r="K4476" s="9">
        <v>164</v>
      </c>
      <c r="L4476" s="9">
        <v>2025</v>
      </c>
      <c r="M4476" s="8" t="s">
        <v>26551</v>
      </c>
      <c r="N4476" s="8" t="s">
        <v>56</v>
      </c>
      <c r="O4476" s="8" t="s">
        <v>26552</v>
      </c>
      <c r="P4476" s="6" t="s">
        <v>43</v>
      </c>
      <c r="Q4476" s="8" t="s">
        <v>102</v>
      </c>
      <c r="R4476" s="10" t="s">
        <v>26553</v>
      </c>
      <c r="S4476" s="11"/>
      <c r="T4476" s="6"/>
      <c r="U4476" s="24" t="str">
        <f>HYPERLINK("https://media.infra-m.ru/2169/2169124/cover/2169124.jpg", "Обложка")</f>
        <v>Обложка</v>
      </c>
      <c r="V4476" s="24" t="str">
        <f>HYPERLINK("https://znanium.ru/catalog/product/2169124", "Ознакомиться")</f>
        <v>Ознакомиться</v>
      </c>
      <c r="W4476" s="8" t="s">
        <v>26554</v>
      </c>
      <c r="X4476" s="6" t="s">
        <v>785</v>
      </c>
      <c r="Y4476" s="6"/>
      <c r="Z4476" s="6" t="s">
        <v>502</v>
      </c>
      <c r="AA4476" s="6" t="s">
        <v>61</v>
      </c>
      <c r="AB4476" s="8"/>
    </row>
    <row r="4477" spans="1:28" s="4" customFormat="1" ht="51.95" customHeight="1">
      <c r="A4477" s="5">
        <v>0</v>
      </c>
      <c r="B4477" s="6" t="s">
        <v>26555</v>
      </c>
      <c r="C4477" s="7">
        <v>820</v>
      </c>
      <c r="D4477" s="8" t="s">
        <v>26556</v>
      </c>
      <c r="E4477" s="8" t="s">
        <v>26549</v>
      </c>
      <c r="F4477" s="8" t="s">
        <v>26550</v>
      </c>
      <c r="G4477" s="6" t="s">
        <v>89</v>
      </c>
      <c r="H4477" s="6" t="s">
        <v>53</v>
      </c>
      <c r="I4477" s="8" t="s">
        <v>116</v>
      </c>
      <c r="J4477" s="9">
        <v>1</v>
      </c>
      <c r="K4477" s="9">
        <v>164</v>
      </c>
      <c r="L4477" s="9">
        <v>2024</v>
      </c>
      <c r="M4477" s="8" t="s">
        <v>26557</v>
      </c>
      <c r="N4477" s="8" t="s">
        <v>56</v>
      </c>
      <c r="O4477" s="8" t="s">
        <v>26552</v>
      </c>
      <c r="P4477" s="6" t="s">
        <v>43</v>
      </c>
      <c r="Q4477" s="8" t="s">
        <v>58</v>
      </c>
      <c r="R4477" s="10" t="s">
        <v>26558</v>
      </c>
      <c r="S4477" s="11" t="s">
        <v>26559</v>
      </c>
      <c r="T4477" s="6"/>
      <c r="U4477" s="24" t="str">
        <f>HYPERLINK("https://media.infra-m.ru/2157/2157223/cover/2157223.jpg", "Обложка")</f>
        <v>Обложка</v>
      </c>
      <c r="V4477" s="24" t="str">
        <f>HYPERLINK("https://znanium.ru/catalog/product/2157223", "Ознакомиться")</f>
        <v>Ознакомиться</v>
      </c>
      <c r="W4477" s="8" t="s">
        <v>26554</v>
      </c>
      <c r="X4477" s="6"/>
      <c r="Y4477" s="6"/>
      <c r="Z4477" s="6"/>
      <c r="AA4477" s="6" t="s">
        <v>207</v>
      </c>
      <c r="AB4477" s="8"/>
    </row>
    <row r="4478" spans="1:28" s="4" customFormat="1" ht="51.95" customHeight="1">
      <c r="A4478" s="5">
        <v>0</v>
      </c>
      <c r="B4478" s="6" t="s">
        <v>26560</v>
      </c>
      <c r="C4478" s="7">
        <v>930</v>
      </c>
      <c r="D4478" s="8" t="s">
        <v>26561</v>
      </c>
      <c r="E4478" s="8" t="s">
        <v>26562</v>
      </c>
      <c r="F4478" s="8" t="s">
        <v>26563</v>
      </c>
      <c r="G4478" s="6" t="s">
        <v>89</v>
      </c>
      <c r="H4478" s="6" t="s">
        <v>53</v>
      </c>
      <c r="I4478" s="8" t="s">
        <v>116</v>
      </c>
      <c r="J4478" s="9">
        <v>1</v>
      </c>
      <c r="K4478" s="9">
        <v>202</v>
      </c>
      <c r="L4478" s="9">
        <v>2023</v>
      </c>
      <c r="M4478" s="8" t="s">
        <v>26564</v>
      </c>
      <c r="N4478" s="8" t="s">
        <v>79</v>
      </c>
      <c r="O4478" s="8" t="s">
        <v>684</v>
      </c>
      <c r="P4478" s="6" t="s">
        <v>167</v>
      </c>
      <c r="Q4478" s="8" t="s">
        <v>44</v>
      </c>
      <c r="R4478" s="10" t="s">
        <v>1121</v>
      </c>
      <c r="S4478" s="11" t="s">
        <v>26565</v>
      </c>
      <c r="T4478" s="6" t="s">
        <v>299</v>
      </c>
      <c r="U4478" s="24" t="str">
        <f>HYPERLINK("https://media.infra-m.ru/2125/2125314/cover/2125314.jpg", "Обложка")</f>
        <v>Обложка</v>
      </c>
      <c r="V4478" s="24" t="str">
        <f>HYPERLINK("https://znanium.ru/catalog/product/2110948", "Ознакомиться")</f>
        <v>Ознакомиться</v>
      </c>
      <c r="W4478" s="8" t="s">
        <v>3333</v>
      </c>
      <c r="X4478" s="6"/>
      <c r="Y4478" s="6"/>
      <c r="Z4478" s="6"/>
      <c r="AA4478" s="6" t="s">
        <v>442</v>
      </c>
      <c r="AB4478" s="8"/>
    </row>
    <row r="4479" spans="1:28" s="4" customFormat="1" ht="51.95" customHeight="1">
      <c r="A4479" s="5">
        <v>0</v>
      </c>
      <c r="B4479" s="6" t="s">
        <v>26566</v>
      </c>
      <c r="C4479" s="13">
        <v>2327</v>
      </c>
      <c r="D4479" s="8" t="s">
        <v>26567</v>
      </c>
      <c r="E4479" s="8" t="s">
        <v>26568</v>
      </c>
      <c r="F4479" s="8" t="s">
        <v>26569</v>
      </c>
      <c r="G4479" s="6" t="s">
        <v>52</v>
      </c>
      <c r="H4479" s="6" t="s">
        <v>66</v>
      </c>
      <c r="I4479" s="8" t="s">
        <v>116</v>
      </c>
      <c r="J4479" s="9">
        <v>1</v>
      </c>
      <c r="K4479" s="9">
        <v>389</v>
      </c>
      <c r="L4479" s="9">
        <v>2024</v>
      </c>
      <c r="M4479" s="8" t="s">
        <v>26570</v>
      </c>
      <c r="N4479" s="8" t="s">
        <v>79</v>
      </c>
      <c r="O4479" s="8" t="s">
        <v>148</v>
      </c>
      <c r="P4479" s="6" t="s">
        <v>43</v>
      </c>
      <c r="Q4479" s="8" t="s">
        <v>44</v>
      </c>
      <c r="R4479" s="10" t="s">
        <v>26571</v>
      </c>
      <c r="S4479" s="11" t="s">
        <v>26572</v>
      </c>
      <c r="T4479" s="6"/>
      <c r="U4479" s="24" t="str">
        <f>HYPERLINK("https://media.infra-m.ru/2083/2083882/cover/2083882.jpg", "Обложка")</f>
        <v>Обложка</v>
      </c>
      <c r="V4479" s="24" t="str">
        <f>HYPERLINK("https://znanium.ru/catalog/product/1222438", "Ознакомиться")</f>
        <v>Ознакомиться</v>
      </c>
      <c r="W4479" s="8" t="s">
        <v>478</v>
      </c>
      <c r="X4479" s="6"/>
      <c r="Y4479" s="6"/>
      <c r="Z4479" s="6"/>
      <c r="AA4479" s="6" t="s">
        <v>72</v>
      </c>
      <c r="AB4479" s="8"/>
    </row>
    <row r="4480" spans="1:28" s="4" customFormat="1" ht="51.95" customHeight="1">
      <c r="A4480" s="5">
        <v>0</v>
      </c>
      <c r="B4480" s="6" t="s">
        <v>26573</v>
      </c>
      <c r="C4480" s="13">
        <v>1990</v>
      </c>
      <c r="D4480" s="8" t="s">
        <v>26574</v>
      </c>
      <c r="E4480" s="8" t="s">
        <v>26575</v>
      </c>
      <c r="F4480" s="8" t="s">
        <v>26576</v>
      </c>
      <c r="G4480" s="6" t="s">
        <v>52</v>
      </c>
      <c r="H4480" s="6" t="s">
        <v>53</v>
      </c>
      <c r="I4480" s="8" t="s">
        <v>116</v>
      </c>
      <c r="J4480" s="9">
        <v>1</v>
      </c>
      <c r="K4480" s="9">
        <v>428</v>
      </c>
      <c r="L4480" s="9">
        <v>2024</v>
      </c>
      <c r="M4480" s="8" t="s">
        <v>26577</v>
      </c>
      <c r="N4480" s="8" t="s">
        <v>79</v>
      </c>
      <c r="O4480" s="8" t="s">
        <v>148</v>
      </c>
      <c r="P4480" s="6" t="s">
        <v>43</v>
      </c>
      <c r="Q4480" s="8" t="s">
        <v>58</v>
      </c>
      <c r="R4480" s="10" t="s">
        <v>26578</v>
      </c>
      <c r="S4480" s="11" t="s">
        <v>26579</v>
      </c>
      <c r="T4480" s="6"/>
      <c r="U4480" s="24" t="str">
        <f>HYPERLINK("https://media.infra-m.ru/1991/1991017/cover/1991017.jpg", "Обложка")</f>
        <v>Обложка</v>
      </c>
      <c r="V4480" s="24" t="str">
        <f>HYPERLINK("https://znanium.ru/catalog/product/1991017", "Ознакомиться")</f>
        <v>Ознакомиться</v>
      </c>
      <c r="W4480" s="8" t="s">
        <v>478</v>
      </c>
      <c r="X4480" s="6"/>
      <c r="Y4480" s="6"/>
      <c r="Z4480" s="6"/>
      <c r="AA4480" s="6" t="s">
        <v>105</v>
      </c>
      <c r="AB4480" s="8"/>
    </row>
    <row r="4481" spans="1:28" s="4" customFormat="1" ht="51.95" customHeight="1">
      <c r="A4481" s="5">
        <v>0</v>
      </c>
      <c r="B4481" s="6" t="s">
        <v>26580</v>
      </c>
      <c r="C4481" s="7">
        <v>644</v>
      </c>
      <c r="D4481" s="8" t="s">
        <v>26581</v>
      </c>
      <c r="E4481" s="8" t="s">
        <v>26582</v>
      </c>
      <c r="F4481" s="8" t="s">
        <v>26583</v>
      </c>
      <c r="G4481" s="6" t="s">
        <v>38</v>
      </c>
      <c r="H4481" s="6" t="s">
        <v>53</v>
      </c>
      <c r="I4481" s="8" t="s">
        <v>4855</v>
      </c>
      <c r="J4481" s="9">
        <v>1</v>
      </c>
      <c r="K4481" s="9">
        <v>140</v>
      </c>
      <c r="L4481" s="9">
        <v>2023</v>
      </c>
      <c r="M4481" s="8" t="s">
        <v>26584</v>
      </c>
      <c r="N4481" s="8" t="s">
        <v>79</v>
      </c>
      <c r="O4481" s="8" t="s">
        <v>148</v>
      </c>
      <c r="P4481" s="6" t="s">
        <v>43</v>
      </c>
      <c r="Q4481" s="8" t="s">
        <v>44</v>
      </c>
      <c r="R4481" s="10" t="s">
        <v>26585</v>
      </c>
      <c r="S4481" s="11" t="s">
        <v>26586</v>
      </c>
      <c r="T4481" s="6"/>
      <c r="U4481" s="24" t="str">
        <f>HYPERLINK("https://media.infra-m.ru/2006/2006822/cover/2006822.jpg", "Обложка")</f>
        <v>Обложка</v>
      </c>
      <c r="V4481" s="12"/>
      <c r="W4481" s="8" t="s">
        <v>784</v>
      </c>
      <c r="X4481" s="6"/>
      <c r="Y4481" s="6"/>
      <c r="Z4481" s="6"/>
      <c r="AA4481" s="6" t="s">
        <v>442</v>
      </c>
      <c r="AB4481" s="8"/>
    </row>
    <row r="4482" spans="1:28" s="4" customFormat="1" ht="51.95" customHeight="1">
      <c r="A4482" s="5">
        <v>0</v>
      </c>
      <c r="B4482" s="6" t="s">
        <v>26587</v>
      </c>
      <c r="C4482" s="13">
        <v>2184</v>
      </c>
      <c r="D4482" s="8" t="s">
        <v>26588</v>
      </c>
      <c r="E4482" s="8" t="s">
        <v>26589</v>
      </c>
      <c r="F4482" s="8" t="s">
        <v>26590</v>
      </c>
      <c r="G4482" s="6" t="s">
        <v>52</v>
      </c>
      <c r="H4482" s="6" t="s">
        <v>53</v>
      </c>
      <c r="I4482" s="8" t="s">
        <v>212</v>
      </c>
      <c r="J4482" s="9">
        <v>1</v>
      </c>
      <c r="K4482" s="9">
        <v>420</v>
      </c>
      <c r="L4482" s="9">
        <v>2025</v>
      </c>
      <c r="M4482" s="8" t="s">
        <v>26591</v>
      </c>
      <c r="N4482" s="8" t="s">
        <v>79</v>
      </c>
      <c r="O4482" s="8" t="s">
        <v>148</v>
      </c>
      <c r="P4482" s="6" t="s">
        <v>167</v>
      </c>
      <c r="Q4482" s="8" t="s">
        <v>214</v>
      </c>
      <c r="R4482" s="10" t="s">
        <v>26592</v>
      </c>
      <c r="S4482" s="11" t="s">
        <v>26593</v>
      </c>
      <c r="T4482" s="6"/>
      <c r="U4482" s="24" t="str">
        <f>HYPERLINK("https://media.infra-m.ru/2196/2196852/cover/2196852.jpg", "Обложка")</f>
        <v>Обложка</v>
      </c>
      <c r="V4482" s="24" t="str">
        <f>HYPERLINK("https://znanium.ru/catalog/product/2131188", "Ознакомиться")</f>
        <v>Ознакомиться</v>
      </c>
      <c r="W4482" s="8"/>
      <c r="X4482" s="6"/>
      <c r="Y4482" s="6"/>
      <c r="Z4482" s="6"/>
      <c r="AA4482" s="6" t="s">
        <v>235</v>
      </c>
      <c r="AB4482" s="8"/>
    </row>
    <row r="4483" spans="1:28" s="4" customFormat="1" ht="51.95" customHeight="1">
      <c r="A4483" s="5">
        <v>0</v>
      </c>
      <c r="B4483" s="6" t="s">
        <v>26594</v>
      </c>
      <c r="C4483" s="13">
        <v>1830</v>
      </c>
      <c r="D4483" s="8" t="s">
        <v>26595</v>
      </c>
      <c r="E4483" s="8" t="s">
        <v>26596</v>
      </c>
      <c r="F4483" s="8" t="s">
        <v>26576</v>
      </c>
      <c r="G4483" s="6" t="s">
        <v>89</v>
      </c>
      <c r="H4483" s="6" t="s">
        <v>53</v>
      </c>
      <c r="I4483" s="8" t="s">
        <v>90</v>
      </c>
      <c r="J4483" s="9">
        <v>1</v>
      </c>
      <c r="K4483" s="9">
        <v>407</v>
      </c>
      <c r="L4483" s="9">
        <v>2023</v>
      </c>
      <c r="M4483" s="8" t="s">
        <v>26597</v>
      </c>
      <c r="N4483" s="8" t="s">
        <v>79</v>
      </c>
      <c r="O4483" s="8" t="s">
        <v>148</v>
      </c>
      <c r="P4483" s="6" t="s">
        <v>43</v>
      </c>
      <c r="Q4483" s="8" t="s">
        <v>44</v>
      </c>
      <c r="R4483" s="10" t="s">
        <v>26578</v>
      </c>
      <c r="S4483" s="11" t="s">
        <v>26598</v>
      </c>
      <c r="T4483" s="6"/>
      <c r="U4483" s="24" t="str">
        <f>HYPERLINK("https://media.infra-m.ru/1914/1914090/cover/1914090.jpg", "Обложка")</f>
        <v>Обложка</v>
      </c>
      <c r="V4483" s="24" t="str">
        <f>HYPERLINK("https://znanium.ru/catalog/product/1991017", "Ознакомиться")</f>
        <v>Ознакомиться</v>
      </c>
      <c r="W4483" s="8" t="s">
        <v>478</v>
      </c>
      <c r="X4483" s="6"/>
      <c r="Y4483" s="6"/>
      <c r="Z4483" s="6"/>
      <c r="AA4483" s="6" t="s">
        <v>622</v>
      </c>
      <c r="AB4483" s="8"/>
    </row>
    <row r="4484" spans="1:28" s="4" customFormat="1" ht="51.95" customHeight="1">
      <c r="A4484" s="5">
        <v>0</v>
      </c>
      <c r="B4484" s="6" t="s">
        <v>26599</v>
      </c>
      <c r="C4484" s="13">
        <v>2074</v>
      </c>
      <c r="D4484" s="8" t="s">
        <v>26600</v>
      </c>
      <c r="E4484" s="8" t="s">
        <v>26601</v>
      </c>
      <c r="F4484" s="8" t="s">
        <v>26602</v>
      </c>
      <c r="G4484" s="6" t="s">
        <v>52</v>
      </c>
      <c r="H4484" s="6" t="s">
        <v>53</v>
      </c>
      <c r="I4484" s="8" t="s">
        <v>90</v>
      </c>
      <c r="J4484" s="9">
        <v>1</v>
      </c>
      <c r="K4484" s="9">
        <v>416</v>
      </c>
      <c r="L4484" s="9">
        <v>2025</v>
      </c>
      <c r="M4484" s="8" t="s">
        <v>26603</v>
      </c>
      <c r="N4484" s="8" t="s">
        <v>79</v>
      </c>
      <c r="O4484" s="8" t="s">
        <v>148</v>
      </c>
      <c r="P4484" s="6" t="s">
        <v>167</v>
      </c>
      <c r="Q4484" s="8" t="s">
        <v>44</v>
      </c>
      <c r="R4484" s="10" t="s">
        <v>26604</v>
      </c>
      <c r="S4484" s="11" t="s">
        <v>26605</v>
      </c>
      <c r="T4484" s="6" t="s">
        <v>299</v>
      </c>
      <c r="U4484" s="24" t="str">
        <f>HYPERLINK("https://media.infra-m.ru/2184/2184902/cover/2184902.jpg", "Обложка")</f>
        <v>Обложка</v>
      </c>
      <c r="V4484" s="24" t="str">
        <f>HYPERLINK("https://znanium.ru/catalog/product/2000877", "Ознакомиться")</f>
        <v>Ознакомиться</v>
      </c>
      <c r="W4484" s="8" t="s">
        <v>478</v>
      </c>
      <c r="X4484" s="6"/>
      <c r="Y4484" s="6"/>
      <c r="Z4484" s="6"/>
      <c r="AA4484" s="6" t="s">
        <v>494</v>
      </c>
      <c r="AB4484" s="8"/>
    </row>
    <row r="4485" spans="1:28" s="4" customFormat="1" ht="51.95" customHeight="1">
      <c r="A4485" s="5">
        <v>0</v>
      </c>
      <c r="B4485" s="6" t="s">
        <v>26606</v>
      </c>
      <c r="C4485" s="13">
        <v>2310</v>
      </c>
      <c r="D4485" s="8" t="s">
        <v>26607</v>
      </c>
      <c r="E4485" s="8" t="s">
        <v>26608</v>
      </c>
      <c r="F4485" s="8" t="s">
        <v>26609</v>
      </c>
      <c r="G4485" s="6" t="s">
        <v>89</v>
      </c>
      <c r="H4485" s="6" t="s">
        <v>53</v>
      </c>
      <c r="I4485" s="8" t="s">
        <v>90</v>
      </c>
      <c r="J4485" s="9">
        <v>1</v>
      </c>
      <c r="K4485" s="9">
        <v>512</v>
      </c>
      <c r="L4485" s="9">
        <v>2023</v>
      </c>
      <c r="M4485" s="8" t="s">
        <v>26610</v>
      </c>
      <c r="N4485" s="8" t="s">
        <v>79</v>
      </c>
      <c r="O4485" s="8" t="s">
        <v>148</v>
      </c>
      <c r="P4485" s="6" t="s">
        <v>167</v>
      </c>
      <c r="Q4485" s="8" t="s">
        <v>44</v>
      </c>
      <c r="R4485" s="10" t="s">
        <v>4598</v>
      </c>
      <c r="S4485" s="11" t="s">
        <v>26611</v>
      </c>
      <c r="T4485" s="6" t="s">
        <v>299</v>
      </c>
      <c r="U4485" s="24" t="str">
        <f>HYPERLINK("https://media.infra-m.ru/1941/1941755/cover/1941755.jpg", "Обложка")</f>
        <v>Обложка</v>
      </c>
      <c r="V4485" s="24" t="str">
        <f>HYPERLINK("https://znanium.ru/catalog/product/1941755", "Ознакомиться")</f>
        <v>Ознакомиться</v>
      </c>
      <c r="W4485" s="8" t="s">
        <v>478</v>
      </c>
      <c r="X4485" s="6"/>
      <c r="Y4485" s="6"/>
      <c r="Z4485" s="6"/>
      <c r="AA4485" s="6" t="s">
        <v>1461</v>
      </c>
      <c r="AB4485" s="8"/>
    </row>
    <row r="4486" spans="1:28" s="4" customFormat="1" ht="51.95" customHeight="1">
      <c r="A4486" s="5">
        <v>0</v>
      </c>
      <c r="B4486" s="6" t="s">
        <v>26612</v>
      </c>
      <c r="C4486" s="7">
        <v>484.9</v>
      </c>
      <c r="D4486" s="8" t="s">
        <v>26613</v>
      </c>
      <c r="E4486" s="8" t="s">
        <v>26614</v>
      </c>
      <c r="F4486" s="8" t="s">
        <v>26615</v>
      </c>
      <c r="G4486" s="6" t="s">
        <v>38</v>
      </c>
      <c r="H4486" s="6" t="s">
        <v>39</v>
      </c>
      <c r="I4486" s="8" t="s">
        <v>116</v>
      </c>
      <c r="J4486" s="9">
        <v>1</v>
      </c>
      <c r="K4486" s="9">
        <v>128</v>
      </c>
      <c r="L4486" s="9">
        <v>2023</v>
      </c>
      <c r="M4486" s="8" t="s">
        <v>26616</v>
      </c>
      <c r="N4486" s="8" t="s">
        <v>79</v>
      </c>
      <c r="O4486" s="8" t="s">
        <v>148</v>
      </c>
      <c r="P4486" s="6" t="s">
        <v>43</v>
      </c>
      <c r="Q4486" s="8" t="s">
        <v>44</v>
      </c>
      <c r="R4486" s="10" t="s">
        <v>26617</v>
      </c>
      <c r="S4486" s="11" t="s">
        <v>26618</v>
      </c>
      <c r="T4486" s="6"/>
      <c r="U4486" s="24" t="str">
        <f>HYPERLINK("https://media.infra-m.ru/1858/1858424/cover/1858424.jpg", "Обложка")</f>
        <v>Обложка</v>
      </c>
      <c r="V4486" s="24" t="str">
        <f>HYPERLINK("https://znanium.ru/catalog/product/1010032", "Ознакомиться")</f>
        <v>Ознакомиться</v>
      </c>
      <c r="W4486" s="8" t="s">
        <v>487</v>
      </c>
      <c r="X4486" s="6"/>
      <c r="Y4486" s="6"/>
      <c r="Z4486" s="6"/>
      <c r="AA4486" s="6" t="s">
        <v>111</v>
      </c>
      <c r="AB4486" s="8"/>
    </row>
    <row r="4487" spans="1:28" s="4" customFormat="1" ht="42" customHeight="1">
      <c r="A4487" s="5">
        <v>0</v>
      </c>
      <c r="B4487" s="6" t="s">
        <v>26619</v>
      </c>
      <c r="C4487" s="7">
        <v>920</v>
      </c>
      <c r="D4487" s="8" t="s">
        <v>26620</v>
      </c>
      <c r="E4487" s="8" t="s">
        <v>26621</v>
      </c>
      <c r="F4487" s="8" t="s">
        <v>26622</v>
      </c>
      <c r="G4487" s="6" t="s">
        <v>89</v>
      </c>
      <c r="H4487" s="6" t="s">
        <v>184</v>
      </c>
      <c r="I4487" s="8" t="s">
        <v>185</v>
      </c>
      <c r="J4487" s="9">
        <v>1</v>
      </c>
      <c r="K4487" s="9">
        <v>191</v>
      </c>
      <c r="L4487" s="9">
        <v>2023</v>
      </c>
      <c r="M4487" s="8" t="s">
        <v>26623</v>
      </c>
      <c r="N4487" s="8" t="s">
        <v>79</v>
      </c>
      <c r="O4487" s="8" t="s">
        <v>148</v>
      </c>
      <c r="P4487" s="6" t="s">
        <v>43</v>
      </c>
      <c r="Q4487" s="8" t="s">
        <v>44</v>
      </c>
      <c r="R4487" s="10" t="s">
        <v>26585</v>
      </c>
      <c r="S4487" s="11"/>
      <c r="T4487" s="6"/>
      <c r="U4487" s="24" t="str">
        <f>HYPERLINK("https://media.infra-m.ru/1939/1939078/cover/1939078.jpg", "Обложка")</f>
        <v>Обложка</v>
      </c>
      <c r="V4487" s="24" t="str">
        <f>HYPERLINK("https://znanium.ru/catalog/product/1843572", "Ознакомиться")</f>
        <v>Ознакомиться</v>
      </c>
      <c r="W4487" s="8" t="s">
        <v>1544</v>
      </c>
      <c r="X4487" s="6"/>
      <c r="Y4487" s="6"/>
      <c r="Z4487" s="6"/>
      <c r="AA4487" s="6" t="s">
        <v>813</v>
      </c>
      <c r="AB4487" s="8"/>
    </row>
    <row r="4488" spans="1:28" s="4" customFormat="1" ht="51.95" customHeight="1">
      <c r="A4488" s="5">
        <v>0</v>
      </c>
      <c r="B4488" s="6" t="s">
        <v>26624</v>
      </c>
      <c r="C4488" s="13">
        <v>1620</v>
      </c>
      <c r="D4488" s="8" t="s">
        <v>26625</v>
      </c>
      <c r="E4488" s="8" t="s">
        <v>26626</v>
      </c>
      <c r="F4488" s="8" t="s">
        <v>26627</v>
      </c>
      <c r="G4488" s="6" t="s">
        <v>89</v>
      </c>
      <c r="H4488" s="6" t="s">
        <v>184</v>
      </c>
      <c r="I4488" s="8" t="s">
        <v>90</v>
      </c>
      <c r="J4488" s="9">
        <v>1</v>
      </c>
      <c r="K4488" s="9">
        <v>344</v>
      </c>
      <c r="L4488" s="9">
        <v>2023</v>
      </c>
      <c r="M4488" s="8" t="s">
        <v>26628</v>
      </c>
      <c r="N4488" s="8" t="s">
        <v>79</v>
      </c>
      <c r="O4488" s="8" t="s">
        <v>148</v>
      </c>
      <c r="P4488" s="6" t="s">
        <v>43</v>
      </c>
      <c r="Q4488" s="8" t="s">
        <v>44</v>
      </c>
      <c r="R4488" s="10" t="s">
        <v>26629</v>
      </c>
      <c r="S4488" s="11"/>
      <c r="T4488" s="6" t="s">
        <v>299</v>
      </c>
      <c r="U4488" s="24" t="str">
        <f>HYPERLINK("https://media.infra-m.ru/1911/1911174/cover/1911174.jpg", "Обложка")</f>
        <v>Обложка</v>
      </c>
      <c r="V4488" s="24" t="str">
        <f>HYPERLINK("https://znanium.ru/catalog/product/1911174", "Ознакомиться")</f>
        <v>Ознакомиться</v>
      </c>
      <c r="W4488" s="8" t="s">
        <v>427</v>
      </c>
      <c r="X4488" s="6"/>
      <c r="Y4488" s="6"/>
      <c r="Z4488" s="6"/>
      <c r="AA4488" s="6" t="s">
        <v>326</v>
      </c>
      <c r="AB4488" s="8"/>
    </row>
    <row r="4489" spans="1:28" s="4" customFormat="1" ht="42" customHeight="1">
      <c r="A4489" s="5">
        <v>0</v>
      </c>
      <c r="B4489" s="6" t="s">
        <v>26630</v>
      </c>
      <c r="C4489" s="7">
        <v>624.9</v>
      </c>
      <c r="D4489" s="8" t="s">
        <v>26631</v>
      </c>
      <c r="E4489" s="8" t="s">
        <v>26632</v>
      </c>
      <c r="F4489" s="8" t="s">
        <v>26622</v>
      </c>
      <c r="G4489" s="6" t="s">
        <v>52</v>
      </c>
      <c r="H4489" s="6" t="s">
        <v>184</v>
      </c>
      <c r="I4489" s="8" t="s">
        <v>185</v>
      </c>
      <c r="J4489" s="9">
        <v>1</v>
      </c>
      <c r="K4489" s="9">
        <v>184</v>
      </c>
      <c r="L4489" s="9">
        <v>2020</v>
      </c>
      <c r="M4489" s="8" t="s">
        <v>26633</v>
      </c>
      <c r="N4489" s="8" t="s">
        <v>79</v>
      </c>
      <c r="O4489" s="8" t="s">
        <v>148</v>
      </c>
      <c r="P4489" s="6" t="s">
        <v>43</v>
      </c>
      <c r="Q4489" s="8" t="s">
        <v>44</v>
      </c>
      <c r="R4489" s="10" t="s">
        <v>26585</v>
      </c>
      <c r="S4489" s="11"/>
      <c r="T4489" s="6"/>
      <c r="U4489" s="24" t="str">
        <f>HYPERLINK("https://media.infra-m.ru/1047/1047104/cover/1047104.jpg", "Обложка")</f>
        <v>Обложка</v>
      </c>
      <c r="V4489" s="24" t="str">
        <f>HYPERLINK("https://znanium.ru/catalog/product/1843572", "Ознакомиться")</f>
        <v>Ознакомиться</v>
      </c>
      <c r="W4489" s="8" t="s">
        <v>1544</v>
      </c>
      <c r="X4489" s="6"/>
      <c r="Y4489" s="6"/>
      <c r="Z4489" s="6"/>
      <c r="AA4489" s="6" t="s">
        <v>151</v>
      </c>
      <c r="AB4489" s="8"/>
    </row>
    <row r="4490" spans="1:28" s="4" customFormat="1" ht="51.95" customHeight="1">
      <c r="A4490" s="5">
        <v>0</v>
      </c>
      <c r="B4490" s="6" t="s">
        <v>26634</v>
      </c>
      <c r="C4490" s="13">
        <v>2824</v>
      </c>
      <c r="D4490" s="8" t="s">
        <v>26635</v>
      </c>
      <c r="E4490" s="8" t="s">
        <v>26636</v>
      </c>
      <c r="F4490" s="8" t="s">
        <v>26637</v>
      </c>
      <c r="G4490" s="6" t="s">
        <v>52</v>
      </c>
      <c r="H4490" s="6" t="s">
        <v>184</v>
      </c>
      <c r="I4490" s="8" t="s">
        <v>90</v>
      </c>
      <c r="J4490" s="9">
        <v>1</v>
      </c>
      <c r="K4490" s="9">
        <v>543</v>
      </c>
      <c r="L4490" s="9">
        <v>2025</v>
      </c>
      <c r="M4490" s="8" t="s">
        <v>26638</v>
      </c>
      <c r="N4490" s="8" t="s">
        <v>79</v>
      </c>
      <c r="O4490" s="8" t="s">
        <v>148</v>
      </c>
      <c r="P4490" s="6" t="s">
        <v>167</v>
      </c>
      <c r="Q4490" s="8" t="s">
        <v>44</v>
      </c>
      <c r="R4490" s="10" t="s">
        <v>26639</v>
      </c>
      <c r="S4490" s="11" t="s">
        <v>26640</v>
      </c>
      <c r="T4490" s="6"/>
      <c r="U4490" s="24" t="str">
        <f>HYPERLINK("https://media.infra-m.ru/2192/2192247/cover/2192247.jpg", "Обложка")</f>
        <v>Обложка</v>
      </c>
      <c r="V4490" s="24" t="str">
        <f>HYPERLINK("https://znanium.ru/catalog/product/1092631", "Ознакомиться")</f>
        <v>Ознакомиться</v>
      </c>
      <c r="W4490" s="8" t="s">
        <v>470</v>
      </c>
      <c r="X4490" s="6"/>
      <c r="Y4490" s="6"/>
      <c r="Z4490" s="6"/>
      <c r="AA4490" s="6" t="s">
        <v>9405</v>
      </c>
      <c r="AB4490" s="8"/>
    </row>
    <row r="4491" spans="1:28" s="4" customFormat="1" ht="42" customHeight="1">
      <c r="A4491" s="5">
        <v>0</v>
      </c>
      <c r="B4491" s="6" t="s">
        <v>26641</v>
      </c>
      <c r="C4491" s="13">
        <v>1364</v>
      </c>
      <c r="D4491" s="8" t="s">
        <v>26642</v>
      </c>
      <c r="E4491" s="8" t="s">
        <v>26643</v>
      </c>
      <c r="F4491" s="8" t="s">
        <v>26644</v>
      </c>
      <c r="G4491" s="6" t="s">
        <v>52</v>
      </c>
      <c r="H4491" s="6" t="s">
        <v>438</v>
      </c>
      <c r="I4491" s="8"/>
      <c r="J4491" s="9">
        <v>1</v>
      </c>
      <c r="K4491" s="9">
        <v>272</v>
      </c>
      <c r="L4491" s="9">
        <v>2025</v>
      </c>
      <c r="M4491" s="8" t="s">
        <v>26645</v>
      </c>
      <c r="N4491" s="8" t="s">
        <v>79</v>
      </c>
      <c r="O4491" s="8" t="s">
        <v>148</v>
      </c>
      <c r="P4491" s="6" t="s">
        <v>167</v>
      </c>
      <c r="Q4491" s="8" t="s">
        <v>44</v>
      </c>
      <c r="R4491" s="10" t="s">
        <v>5362</v>
      </c>
      <c r="S4491" s="11"/>
      <c r="T4491" s="6"/>
      <c r="U4491" s="24" t="str">
        <f>HYPERLINK("https://media.infra-m.ru/2160/2160657/cover/2160657.jpg", "Обложка")</f>
        <v>Обложка</v>
      </c>
      <c r="V4491" s="24" t="str">
        <f>HYPERLINK("https://znanium.ru/catalog/product/2154958", "Ознакомиться")</f>
        <v>Ознакомиться</v>
      </c>
      <c r="W4491" s="8" t="s">
        <v>758</v>
      </c>
      <c r="X4491" s="6"/>
      <c r="Y4491" s="6"/>
      <c r="Z4491" s="6"/>
      <c r="AA4491" s="6" t="s">
        <v>151</v>
      </c>
      <c r="AB4491" s="8"/>
    </row>
    <row r="4492" spans="1:28" s="4" customFormat="1" ht="42" customHeight="1">
      <c r="A4492" s="5">
        <v>0</v>
      </c>
      <c r="B4492" s="6" t="s">
        <v>26646</v>
      </c>
      <c r="C4492" s="7">
        <v>914</v>
      </c>
      <c r="D4492" s="8" t="s">
        <v>26647</v>
      </c>
      <c r="E4492" s="8" t="s">
        <v>26648</v>
      </c>
      <c r="F4492" s="8" t="s">
        <v>26644</v>
      </c>
      <c r="G4492" s="6" t="s">
        <v>52</v>
      </c>
      <c r="H4492" s="6" t="s">
        <v>438</v>
      </c>
      <c r="I4492" s="8"/>
      <c r="J4492" s="9">
        <v>1</v>
      </c>
      <c r="K4492" s="9">
        <v>192</v>
      </c>
      <c r="L4492" s="9">
        <v>2023</v>
      </c>
      <c r="M4492" s="8" t="s">
        <v>26649</v>
      </c>
      <c r="N4492" s="8" t="s">
        <v>79</v>
      </c>
      <c r="O4492" s="8" t="s">
        <v>148</v>
      </c>
      <c r="P4492" s="6" t="s">
        <v>167</v>
      </c>
      <c r="Q4492" s="8" t="s">
        <v>44</v>
      </c>
      <c r="R4492" s="10" t="s">
        <v>5362</v>
      </c>
      <c r="S4492" s="11"/>
      <c r="T4492" s="6"/>
      <c r="U4492" s="24" t="str">
        <f>HYPERLINK("https://media.infra-m.ru/2006/2006863/cover/2006863.jpg", "Обложка")</f>
        <v>Обложка</v>
      </c>
      <c r="V4492" s="24" t="str">
        <f>HYPERLINK("https://znanium.ru/catalog/product/1945297", "Ознакомиться")</f>
        <v>Ознакомиться</v>
      </c>
      <c r="W4492" s="8" t="s">
        <v>758</v>
      </c>
      <c r="X4492" s="6"/>
      <c r="Y4492" s="6"/>
      <c r="Z4492" s="6"/>
      <c r="AA4492" s="6" t="s">
        <v>151</v>
      </c>
      <c r="AB4492" s="8"/>
    </row>
    <row r="4493" spans="1:28" s="4" customFormat="1" ht="51.95" customHeight="1">
      <c r="A4493" s="5">
        <v>0</v>
      </c>
      <c r="B4493" s="6" t="s">
        <v>26650</v>
      </c>
      <c r="C4493" s="13">
        <v>1040</v>
      </c>
      <c r="D4493" s="8" t="s">
        <v>26651</v>
      </c>
      <c r="E4493" s="8" t="s">
        <v>26652</v>
      </c>
      <c r="F4493" s="8" t="s">
        <v>26653</v>
      </c>
      <c r="G4493" s="6" t="s">
        <v>89</v>
      </c>
      <c r="H4493" s="6" t="s">
        <v>53</v>
      </c>
      <c r="I4493" s="8" t="s">
        <v>1325</v>
      </c>
      <c r="J4493" s="9">
        <v>1</v>
      </c>
      <c r="K4493" s="9">
        <v>185</v>
      </c>
      <c r="L4493" s="9">
        <v>2024</v>
      </c>
      <c r="M4493" s="8" t="s">
        <v>26654</v>
      </c>
      <c r="N4493" s="8" t="s">
        <v>79</v>
      </c>
      <c r="O4493" s="8" t="s">
        <v>148</v>
      </c>
      <c r="P4493" s="6" t="s">
        <v>43</v>
      </c>
      <c r="Q4493" s="8" t="s">
        <v>58</v>
      </c>
      <c r="R4493" s="10" t="s">
        <v>1305</v>
      </c>
      <c r="S4493" s="11" t="s">
        <v>26655</v>
      </c>
      <c r="T4493" s="6"/>
      <c r="U4493" s="24" t="str">
        <f>HYPERLINK("https://media.infra-m.ru/2099/2099972/cover/2099972.jpg", "Обложка")</f>
        <v>Обложка</v>
      </c>
      <c r="V4493" s="24" t="str">
        <f>HYPERLINK("https://znanium.ru/catalog/product/2099972", "Ознакомиться")</f>
        <v>Ознакомиться</v>
      </c>
      <c r="W4493" s="8" t="s">
        <v>1329</v>
      </c>
      <c r="X4493" s="6"/>
      <c r="Y4493" s="6"/>
      <c r="Z4493" s="6"/>
      <c r="AA4493" s="6" t="s">
        <v>219</v>
      </c>
      <c r="AB4493" s="8"/>
    </row>
    <row r="4494" spans="1:28" s="4" customFormat="1" ht="51.95" customHeight="1">
      <c r="A4494" s="5">
        <v>0</v>
      </c>
      <c r="B4494" s="6" t="s">
        <v>26656</v>
      </c>
      <c r="C4494" s="7">
        <v>684.9</v>
      </c>
      <c r="D4494" s="8" t="s">
        <v>26657</v>
      </c>
      <c r="E4494" s="8" t="s">
        <v>26658</v>
      </c>
      <c r="F4494" s="8" t="s">
        <v>26659</v>
      </c>
      <c r="G4494" s="6" t="s">
        <v>38</v>
      </c>
      <c r="H4494" s="6" t="s">
        <v>184</v>
      </c>
      <c r="I4494" s="8" t="s">
        <v>90</v>
      </c>
      <c r="J4494" s="9">
        <v>1</v>
      </c>
      <c r="K4494" s="9">
        <v>212</v>
      </c>
      <c r="L4494" s="9">
        <v>2019</v>
      </c>
      <c r="M4494" s="8" t="s">
        <v>26660</v>
      </c>
      <c r="N4494" s="8" t="s">
        <v>79</v>
      </c>
      <c r="O4494" s="8" t="s">
        <v>148</v>
      </c>
      <c r="P4494" s="6" t="s">
        <v>43</v>
      </c>
      <c r="Q4494" s="8" t="s">
        <v>44</v>
      </c>
      <c r="R4494" s="10" t="s">
        <v>26661</v>
      </c>
      <c r="S4494" s="11"/>
      <c r="T4494" s="6"/>
      <c r="U4494" s="24" t="str">
        <f>HYPERLINK("https://media.infra-m.ru/1023/1023251/cover/1023251.jpg", "Обложка")</f>
        <v>Обложка</v>
      </c>
      <c r="V4494" s="24" t="str">
        <f>HYPERLINK("https://znanium.ru/catalog/product/1023251", "Ознакомиться")</f>
        <v>Ознакомиться</v>
      </c>
      <c r="W4494" s="8" t="s">
        <v>427</v>
      </c>
      <c r="X4494" s="6"/>
      <c r="Y4494" s="6"/>
      <c r="Z4494" s="6"/>
      <c r="AA4494" s="6" t="s">
        <v>10384</v>
      </c>
      <c r="AB4494" s="8"/>
    </row>
    <row r="4495" spans="1:28" s="4" customFormat="1" ht="51.95" customHeight="1">
      <c r="A4495" s="5">
        <v>0</v>
      </c>
      <c r="B4495" s="6" t="s">
        <v>26662</v>
      </c>
      <c r="C4495" s="7">
        <v>630</v>
      </c>
      <c r="D4495" s="8" t="s">
        <v>26663</v>
      </c>
      <c r="E4495" s="8" t="s">
        <v>26664</v>
      </c>
      <c r="F4495" s="8" t="s">
        <v>26665</v>
      </c>
      <c r="G4495" s="6" t="s">
        <v>89</v>
      </c>
      <c r="H4495" s="6" t="s">
        <v>53</v>
      </c>
      <c r="I4495" s="8" t="s">
        <v>116</v>
      </c>
      <c r="J4495" s="9">
        <v>1</v>
      </c>
      <c r="K4495" s="9">
        <v>140</v>
      </c>
      <c r="L4495" s="9">
        <v>2023</v>
      </c>
      <c r="M4495" s="8" t="s">
        <v>26666</v>
      </c>
      <c r="N4495" s="8" t="s">
        <v>79</v>
      </c>
      <c r="O4495" s="8" t="s">
        <v>396</v>
      </c>
      <c r="P4495" s="6" t="s">
        <v>43</v>
      </c>
      <c r="Q4495" s="8" t="s">
        <v>58</v>
      </c>
      <c r="R4495" s="10" t="s">
        <v>9042</v>
      </c>
      <c r="S4495" s="11" t="s">
        <v>26667</v>
      </c>
      <c r="T4495" s="6"/>
      <c r="U4495" s="24" t="str">
        <f>HYPERLINK("https://media.infra-m.ru/1981/1981651/cover/1981651.jpg", "Обложка")</f>
        <v>Обложка</v>
      </c>
      <c r="V4495" s="24" t="str">
        <f>HYPERLINK("https://znanium.ru/catalog/product/1981651", "Ознакомиться")</f>
        <v>Ознакомиться</v>
      </c>
      <c r="W4495" s="8" t="s">
        <v>7020</v>
      </c>
      <c r="X4495" s="6"/>
      <c r="Y4495" s="6"/>
      <c r="Z4495" s="6"/>
      <c r="AA4495" s="6" t="s">
        <v>219</v>
      </c>
      <c r="AB4495" s="8"/>
    </row>
    <row r="4496" spans="1:28" s="4" customFormat="1" ht="42" customHeight="1">
      <c r="A4496" s="5">
        <v>0</v>
      </c>
      <c r="B4496" s="6" t="s">
        <v>26668</v>
      </c>
      <c r="C4496" s="13">
        <v>1550</v>
      </c>
      <c r="D4496" s="8" t="s">
        <v>26669</v>
      </c>
      <c r="E4496" s="8" t="s">
        <v>26670</v>
      </c>
      <c r="F4496" s="8" t="s">
        <v>26671</v>
      </c>
      <c r="G4496" s="6" t="s">
        <v>52</v>
      </c>
      <c r="H4496" s="6" t="s">
        <v>53</v>
      </c>
      <c r="I4496" s="8" t="s">
        <v>223</v>
      </c>
      <c r="J4496" s="9">
        <v>1</v>
      </c>
      <c r="K4496" s="9">
        <v>302</v>
      </c>
      <c r="L4496" s="9">
        <v>2025</v>
      </c>
      <c r="M4496" s="8" t="s">
        <v>26672</v>
      </c>
      <c r="N4496" s="8" t="s">
        <v>41</v>
      </c>
      <c r="O4496" s="8" t="s">
        <v>1007</v>
      </c>
      <c r="P4496" s="6" t="s">
        <v>167</v>
      </c>
      <c r="Q4496" s="8" t="s">
        <v>102</v>
      </c>
      <c r="R4496" s="10" t="s">
        <v>3410</v>
      </c>
      <c r="S4496" s="11"/>
      <c r="T4496" s="6"/>
      <c r="U4496" s="24" t="str">
        <f>HYPERLINK("https://media.infra-m.ru/2111/2111842/cover/2111842.jpg", "Обложка")</f>
        <v>Обложка</v>
      </c>
      <c r="V4496" s="24" t="str">
        <f>HYPERLINK("https://znanium.ru/catalog/product/2111842", "Ознакомиться")</f>
        <v>Ознакомиться</v>
      </c>
      <c r="W4496" s="8" t="s">
        <v>83</v>
      </c>
      <c r="X4496" s="6" t="s">
        <v>785</v>
      </c>
      <c r="Y4496" s="6"/>
      <c r="Z4496" s="6"/>
      <c r="AA4496" s="6" t="s">
        <v>61</v>
      </c>
      <c r="AB4496" s="8" t="s">
        <v>1879</v>
      </c>
    </row>
    <row r="4497" spans="1:28" s="4" customFormat="1" ht="51.95" customHeight="1">
      <c r="A4497" s="5">
        <v>0</v>
      </c>
      <c r="B4497" s="6" t="s">
        <v>26673</v>
      </c>
      <c r="C4497" s="7">
        <v>940</v>
      </c>
      <c r="D4497" s="8" t="s">
        <v>26674</v>
      </c>
      <c r="E4497" s="8" t="s">
        <v>26675</v>
      </c>
      <c r="F4497" s="8" t="s">
        <v>26676</v>
      </c>
      <c r="G4497" s="6" t="s">
        <v>89</v>
      </c>
      <c r="H4497" s="6" t="s">
        <v>674</v>
      </c>
      <c r="I4497" s="8"/>
      <c r="J4497" s="9">
        <v>1</v>
      </c>
      <c r="K4497" s="9">
        <v>240</v>
      </c>
      <c r="L4497" s="9">
        <v>2022</v>
      </c>
      <c r="M4497" s="8" t="s">
        <v>26677</v>
      </c>
      <c r="N4497" s="8" t="s">
        <v>41</v>
      </c>
      <c r="O4497" s="8" t="s">
        <v>676</v>
      </c>
      <c r="P4497" s="6" t="s">
        <v>1046</v>
      </c>
      <c r="Q4497" s="8" t="s">
        <v>279</v>
      </c>
      <c r="R4497" s="10" t="s">
        <v>806</v>
      </c>
      <c r="S4497" s="11"/>
      <c r="T4497" s="6"/>
      <c r="U4497" s="24" t="str">
        <f>HYPERLINK("https://media.infra-m.ru/1816/1816676/cover/1816676.jpg", "Обложка")</f>
        <v>Обложка</v>
      </c>
      <c r="V4497" s="24" t="str">
        <f>HYPERLINK("https://znanium.ru/catalog/product/1816676", "Ознакомиться")</f>
        <v>Ознакомиться</v>
      </c>
      <c r="W4497" s="8" t="s">
        <v>26678</v>
      </c>
      <c r="X4497" s="6"/>
      <c r="Y4497" s="6"/>
      <c r="Z4497" s="6"/>
      <c r="AA4497" s="6" t="s">
        <v>258</v>
      </c>
      <c r="AB4497" s="8"/>
    </row>
    <row r="4498" spans="1:28" s="4" customFormat="1" ht="51.95" customHeight="1">
      <c r="A4498" s="5">
        <v>0</v>
      </c>
      <c r="B4498" s="6" t="s">
        <v>26679</v>
      </c>
      <c r="C4498" s="13">
        <v>1990</v>
      </c>
      <c r="D4498" s="8" t="s">
        <v>26680</v>
      </c>
      <c r="E4498" s="8" t="s">
        <v>26681</v>
      </c>
      <c r="F4498" s="8" t="s">
        <v>14765</v>
      </c>
      <c r="G4498" s="6" t="s">
        <v>52</v>
      </c>
      <c r="H4498" s="6" t="s">
        <v>53</v>
      </c>
      <c r="I4498" s="8" t="s">
        <v>116</v>
      </c>
      <c r="J4498" s="9">
        <v>1</v>
      </c>
      <c r="K4498" s="9">
        <v>688</v>
      </c>
      <c r="L4498" s="9">
        <v>2023</v>
      </c>
      <c r="M4498" s="8" t="s">
        <v>26682</v>
      </c>
      <c r="N4498" s="8" t="s">
        <v>41</v>
      </c>
      <c r="O4498" s="8" t="s">
        <v>1204</v>
      </c>
      <c r="P4498" s="6" t="s">
        <v>167</v>
      </c>
      <c r="Q4498" s="8" t="s">
        <v>58</v>
      </c>
      <c r="R4498" s="10" t="s">
        <v>26683</v>
      </c>
      <c r="S4498" s="11" t="s">
        <v>26684</v>
      </c>
      <c r="T4498" s="6"/>
      <c r="U4498" s="24" t="str">
        <f>HYPERLINK("https://media.infra-m.ru/2020/2020558/cover/2020558.jpg", "Обложка")</f>
        <v>Обложка</v>
      </c>
      <c r="V4498" s="24" t="str">
        <f>HYPERLINK("https://znanium.ru/catalog/product/2020558", "Ознакомиться")</f>
        <v>Ознакомиться</v>
      </c>
      <c r="W4498" s="8" t="s">
        <v>14769</v>
      </c>
      <c r="X4498" s="6"/>
      <c r="Y4498" s="6"/>
      <c r="Z4498" s="6"/>
      <c r="AA4498" s="6" t="s">
        <v>3065</v>
      </c>
      <c r="AB4498" s="8"/>
    </row>
    <row r="4499" spans="1:28" s="4" customFormat="1" ht="51.95" customHeight="1">
      <c r="A4499" s="5">
        <v>0</v>
      </c>
      <c r="B4499" s="6" t="s">
        <v>26685</v>
      </c>
      <c r="C4499" s="7">
        <v>800</v>
      </c>
      <c r="D4499" s="8" t="s">
        <v>26686</v>
      </c>
      <c r="E4499" s="8" t="s">
        <v>26687</v>
      </c>
      <c r="F4499" s="8" t="s">
        <v>26688</v>
      </c>
      <c r="G4499" s="6" t="s">
        <v>89</v>
      </c>
      <c r="H4499" s="6" t="s">
        <v>53</v>
      </c>
      <c r="I4499" s="8" t="s">
        <v>90</v>
      </c>
      <c r="J4499" s="9">
        <v>1</v>
      </c>
      <c r="K4499" s="9">
        <v>171</v>
      </c>
      <c r="L4499" s="9">
        <v>2024</v>
      </c>
      <c r="M4499" s="8" t="s">
        <v>26689</v>
      </c>
      <c r="N4499" s="8" t="s">
        <v>41</v>
      </c>
      <c r="O4499" s="8" t="s">
        <v>1204</v>
      </c>
      <c r="P4499" s="6" t="s">
        <v>43</v>
      </c>
      <c r="Q4499" s="8" t="s">
        <v>44</v>
      </c>
      <c r="R4499" s="10" t="s">
        <v>26690</v>
      </c>
      <c r="S4499" s="11" t="s">
        <v>26691</v>
      </c>
      <c r="T4499" s="6"/>
      <c r="U4499" s="24" t="str">
        <f>HYPERLINK("https://media.infra-m.ru/2126/2126287/cover/2126287.jpg", "Обложка")</f>
        <v>Обложка</v>
      </c>
      <c r="V4499" s="24" t="str">
        <f>HYPERLINK("https://znanium.ru/catalog/product/2126287", "Ознакомиться")</f>
        <v>Ознакомиться</v>
      </c>
      <c r="W4499" s="8" t="s">
        <v>1544</v>
      </c>
      <c r="X4499" s="6"/>
      <c r="Y4499" s="6"/>
      <c r="Z4499" s="6"/>
      <c r="AA4499" s="6" t="s">
        <v>122</v>
      </c>
      <c r="AB4499" s="8"/>
    </row>
    <row r="4500" spans="1:28" s="4" customFormat="1" ht="42" customHeight="1">
      <c r="A4500" s="5">
        <v>0</v>
      </c>
      <c r="B4500" s="6" t="s">
        <v>26692</v>
      </c>
      <c r="C4500" s="7">
        <v>644.9</v>
      </c>
      <c r="D4500" s="8" t="s">
        <v>26693</v>
      </c>
      <c r="E4500" s="8" t="s">
        <v>26694</v>
      </c>
      <c r="F4500" s="8" t="s">
        <v>22407</v>
      </c>
      <c r="G4500" s="6" t="s">
        <v>52</v>
      </c>
      <c r="H4500" s="6" t="s">
        <v>184</v>
      </c>
      <c r="I4500" s="8" t="s">
        <v>90</v>
      </c>
      <c r="J4500" s="9">
        <v>1</v>
      </c>
      <c r="K4500" s="9">
        <v>144</v>
      </c>
      <c r="L4500" s="9">
        <v>2022</v>
      </c>
      <c r="M4500" s="8" t="s">
        <v>26695</v>
      </c>
      <c r="N4500" s="8" t="s">
        <v>41</v>
      </c>
      <c r="O4500" s="8" t="s">
        <v>1204</v>
      </c>
      <c r="P4500" s="6" t="s">
        <v>43</v>
      </c>
      <c r="Q4500" s="8" t="s">
        <v>44</v>
      </c>
      <c r="R4500" s="10" t="s">
        <v>23937</v>
      </c>
      <c r="S4500" s="11"/>
      <c r="T4500" s="6"/>
      <c r="U4500" s="24" t="str">
        <f>HYPERLINK("https://media.infra-m.ru/1865/1865647/cover/1865647.jpg", "Обложка")</f>
        <v>Обложка</v>
      </c>
      <c r="V4500" s="24" t="str">
        <f>HYPERLINK("https://znanium.ru/catalog/product/1231016", "Ознакомиться")</f>
        <v>Ознакомиться</v>
      </c>
      <c r="W4500" s="8" t="s">
        <v>913</v>
      </c>
      <c r="X4500" s="6"/>
      <c r="Y4500" s="6"/>
      <c r="Z4500" s="6"/>
      <c r="AA4500" s="6" t="s">
        <v>418</v>
      </c>
      <c r="AB4500" s="8"/>
    </row>
    <row r="4501" spans="1:28" s="4" customFormat="1" ht="51.95" customHeight="1">
      <c r="A4501" s="5">
        <v>0</v>
      </c>
      <c r="B4501" s="6" t="s">
        <v>26696</v>
      </c>
      <c r="C4501" s="13">
        <v>1470</v>
      </c>
      <c r="D4501" s="8" t="s">
        <v>26697</v>
      </c>
      <c r="E4501" s="8" t="s">
        <v>26698</v>
      </c>
      <c r="F4501" s="8" t="s">
        <v>26699</v>
      </c>
      <c r="G4501" s="6" t="s">
        <v>89</v>
      </c>
      <c r="H4501" s="6" t="s">
        <v>53</v>
      </c>
      <c r="I4501" s="8" t="s">
        <v>90</v>
      </c>
      <c r="J4501" s="9">
        <v>1</v>
      </c>
      <c r="K4501" s="9">
        <v>319</v>
      </c>
      <c r="L4501" s="9">
        <v>2023</v>
      </c>
      <c r="M4501" s="8" t="s">
        <v>26700</v>
      </c>
      <c r="N4501" s="8" t="s">
        <v>997</v>
      </c>
      <c r="O4501" s="8" t="s">
        <v>998</v>
      </c>
      <c r="P4501" s="6" t="s">
        <v>167</v>
      </c>
      <c r="Q4501" s="8" t="s">
        <v>44</v>
      </c>
      <c r="R4501" s="10" t="s">
        <v>24219</v>
      </c>
      <c r="S4501" s="11" t="s">
        <v>26701</v>
      </c>
      <c r="T4501" s="6"/>
      <c r="U4501" s="24" t="str">
        <f>HYPERLINK("https://media.infra-m.ru/1914/1914101/cover/1914101.jpg", "Обложка")</f>
        <v>Обложка</v>
      </c>
      <c r="V4501" s="24" t="str">
        <f>HYPERLINK("https://znanium.ru/catalog/product/1914101", "Ознакомиться")</f>
        <v>Ознакомиться</v>
      </c>
      <c r="W4501" s="8" t="s">
        <v>6875</v>
      </c>
      <c r="X4501" s="6"/>
      <c r="Y4501" s="6"/>
      <c r="Z4501" s="6"/>
      <c r="AA4501" s="6" t="s">
        <v>418</v>
      </c>
      <c r="AB4501" s="8"/>
    </row>
    <row r="4502" spans="1:28" s="4" customFormat="1" ht="51.95" customHeight="1">
      <c r="A4502" s="5">
        <v>0</v>
      </c>
      <c r="B4502" s="6" t="s">
        <v>26702</v>
      </c>
      <c r="C4502" s="13">
        <v>1410</v>
      </c>
      <c r="D4502" s="8" t="s">
        <v>26703</v>
      </c>
      <c r="E4502" s="8" t="s">
        <v>26698</v>
      </c>
      <c r="F4502" s="8" t="s">
        <v>26704</v>
      </c>
      <c r="G4502" s="6" t="s">
        <v>89</v>
      </c>
      <c r="H4502" s="6" t="s">
        <v>53</v>
      </c>
      <c r="I4502" s="8" t="s">
        <v>782</v>
      </c>
      <c r="J4502" s="9">
        <v>1</v>
      </c>
      <c r="K4502" s="9">
        <v>306</v>
      </c>
      <c r="L4502" s="9">
        <v>2024</v>
      </c>
      <c r="M4502" s="8" t="s">
        <v>26705</v>
      </c>
      <c r="N4502" s="8" t="s">
        <v>997</v>
      </c>
      <c r="O4502" s="8" t="s">
        <v>998</v>
      </c>
      <c r="P4502" s="6" t="s">
        <v>43</v>
      </c>
      <c r="Q4502" s="8" t="s">
        <v>44</v>
      </c>
      <c r="R4502" s="10" t="s">
        <v>26706</v>
      </c>
      <c r="S4502" s="11" t="s">
        <v>26707</v>
      </c>
      <c r="T4502" s="6"/>
      <c r="U4502" s="24" t="str">
        <f>HYPERLINK("https://media.infra-m.ru/2119/2119945/cover/2119945.jpg", "Обложка")</f>
        <v>Обложка</v>
      </c>
      <c r="V4502" s="12"/>
      <c r="W4502" s="8" t="s">
        <v>784</v>
      </c>
      <c r="X4502" s="6"/>
      <c r="Y4502" s="6"/>
      <c r="Z4502" s="6"/>
      <c r="AA4502" s="6" t="s">
        <v>442</v>
      </c>
      <c r="AB4502" s="8"/>
    </row>
    <row r="4503" spans="1:28" s="4" customFormat="1" ht="51.95" customHeight="1">
      <c r="A4503" s="5">
        <v>0</v>
      </c>
      <c r="B4503" s="6" t="s">
        <v>26708</v>
      </c>
      <c r="C4503" s="13">
        <v>1250</v>
      </c>
      <c r="D4503" s="8" t="s">
        <v>26709</v>
      </c>
      <c r="E4503" s="8" t="s">
        <v>26710</v>
      </c>
      <c r="F4503" s="8" t="s">
        <v>26711</v>
      </c>
      <c r="G4503" s="6" t="s">
        <v>89</v>
      </c>
      <c r="H4503" s="6" t="s">
        <v>53</v>
      </c>
      <c r="I4503" s="8" t="s">
        <v>116</v>
      </c>
      <c r="J4503" s="9">
        <v>1</v>
      </c>
      <c r="K4503" s="9">
        <v>272</v>
      </c>
      <c r="L4503" s="9">
        <v>2024</v>
      </c>
      <c r="M4503" s="8" t="s">
        <v>26712</v>
      </c>
      <c r="N4503" s="8" t="s">
        <v>41</v>
      </c>
      <c r="O4503" s="8" t="s">
        <v>1204</v>
      </c>
      <c r="P4503" s="6" t="s">
        <v>43</v>
      </c>
      <c r="Q4503" s="8" t="s">
        <v>44</v>
      </c>
      <c r="R4503" s="10" t="s">
        <v>26713</v>
      </c>
      <c r="S4503" s="11" t="s">
        <v>26714</v>
      </c>
      <c r="T4503" s="6"/>
      <c r="U4503" s="24" t="str">
        <f>HYPERLINK("https://media.infra-m.ru/2104/2104846/cover/2104846.jpg", "Обложка")</f>
        <v>Обложка</v>
      </c>
      <c r="V4503" s="24" t="str">
        <f>HYPERLINK("https://znanium.ru/catalog/product/2104846", "Ознакомиться")</f>
        <v>Ознакомиться</v>
      </c>
      <c r="W4503" s="8" t="s">
        <v>1253</v>
      </c>
      <c r="X4503" s="6"/>
      <c r="Y4503" s="6"/>
      <c r="Z4503" s="6"/>
      <c r="AA4503" s="6" t="s">
        <v>2217</v>
      </c>
      <c r="AB4503" s="8"/>
    </row>
    <row r="4504" spans="1:28" s="4" customFormat="1" ht="51.95" customHeight="1">
      <c r="A4504" s="5">
        <v>0</v>
      </c>
      <c r="B4504" s="6" t="s">
        <v>26715</v>
      </c>
      <c r="C4504" s="7">
        <v>540</v>
      </c>
      <c r="D4504" s="8" t="s">
        <v>26716</v>
      </c>
      <c r="E4504" s="8" t="s">
        <v>26710</v>
      </c>
      <c r="F4504" s="8" t="s">
        <v>8683</v>
      </c>
      <c r="G4504" s="6" t="s">
        <v>52</v>
      </c>
      <c r="H4504" s="6" t="s">
        <v>53</v>
      </c>
      <c r="I4504" s="8" t="s">
        <v>90</v>
      </c>
      <c r="J4504" s="9">
        <v>1</v>
      </c>
      <c r="K4504" s="9">
        <v>157</v>
      </c>
      <c r="L4504" s="9">
        <v>2020</v>
      </c>
      <c r="M4504" s="8" t="s">
        <v>26717</v>
      </c>
      <c r="N4504" s="8" t="s">
        <v>41</v>
      </c>
      <c r="O4504" s="8" t="s">
        <v>1204</v>
      </c>
      <c r="P4504" s="6" t="s">
        <v>43</v>
      </c>
      <c r="Q4504" s="8" t="s">
        <v>44</v>
      </c>
      <c r="R4504" s="10" t="s">
        <v>26718</v>
      </c>
      <c r="S4504" s="11" t="s">
        <v>26719</v>
      </c>
      <c r="T4504" s="6"/>
      <c r="U4504" s="24" t="str">
        <f>HYPERLINK("https://media.infra-m.ru/1081/1081980/cover/1081980.jpg", "Обложка")</f>
        <v>Обложка</v>
      </c>
      <c r="V4504" s="24" t="str">
        <f>HYPERLINK("https://znanium.ru/catalog/product/2091913", "Ознакомиться")</f>
        <v>Ознакомиться</v>
      </c>
      <c r="W4504" s="8" t="s">
        <v>354</v>
      </c>
      <c r="X4504" s="6"/>
      <c r="Y4504" s="6"/>
      <c r="Z4504" s="6"/>
      <c r="AA4504" s="6" t="s">
        <v>47</v>
      </c>
      <c r="AB4504" s="8"/>
    </row>
    <row r="4505" spans="1:28" s="4" customFormat="1" ht="51.95" customHeight="1">
      <c r="A4505" s="5">
        <v>0</v>
      </c>
      <c r="B4505" s="6" t="s">
        <v>26720</v>
      </c>
      <c r="C4505" s="7">
        <v>880</v>
      </c>
      <c r="D4505" s="8" t="s">
        <v>26721</v>
      </c>
      <c r="E4505" s="8" t="s">
        <v>26722</v>
      </c>
      <c r="F4505" s="8" t="s">
        <v>8683</v>
      </c>
      <c r="G4505" s="6" t="s">
        <v>89</v>
      </c>
      <c r="H4505" s="6" t="s">
        <v>53</v>
      </c>
      <c r="I4505" s="8" t="s">
        <v>116</v>
      </c>
      <c r="J4505" s="9">
        <v>1</v>
      </c>
      <c r="K4505" s="9">
        <v>184</v>
      </c>
      <c r="L4505" s="9">
        <v>2024</v>
      </c>
      <c r="M4505" s="8" t="s">
        <v>26723</v>
      </c>
      <c r="N4505" s="8" t="s">
        <v>41</v>
      </c>
      <c r="O4505" s="8" t="s">
        <v>1204</v>
      </c>
      <c r="P4505" s="6" t="s">
        <v>43</v>
      </c>
      <c r="Q4505" s="8" t="s">
        <v>44</v>
      </c>
      <c r="R4505" s="10" t="s">
        <v>26718</v>
      </c>
      <c r="S4505" s="11" t="s">
        <v>26724</v>
      </c>
      <c r="T4505" s="6"/>
      <c r="U4505" s="24" t="str">
        <f>HYPERLINK("https://media.infra-m.ru/2091/2091913/cover/2091913.jpg", "Обложка")</f>
        <v>Обложка</v>
      </c>
      <c r="V4505" s="24" t="str">
        <f>HYPERLINK("https://znanium.ru/catalog/product/2091913", "Ознакомиться")</f>
        <v>Ознакомиться</v>
      </c>
      <c r="W4505" s="8" t="s">
        <v>354</v>
      </c>
      <c r="X4505" s="6"/>
      <c r="Y4505" s="6"/>
      <c r="Z4505" s="6"/>
      <c r="AA4505" s="6" t="s">
        <v>95</v>
      </c>
      <c r="AB4505" s="8"/>
    </row>
    <row r="4506" spans="1:28" s="4" customFormat="1" ht="51.95" customHeight="1">
      <c r="A4506" s="5">
        <v>0</v>
      </c>
      <c r="B4506" s="6" t="s">
        <v>26725</v>
      </c>
      <c r="C4506" s="13">
        <v>1080</v>
      </c>
      <c r="D4506" s="8" t="s">
        <v>26726</v>
      </c>
      <c r="E4506" s="8" t="s">
        <v>26727</v>
      </c>
      <c r="F4506" s="8" t="s">
        <v>17238</v>
      </c>
      <c r="G4506" s="6" t="s">
        <v>89</v>
      </c>
      <c r="H4506" s="6" t="s">
        <v>53</v>
      </c>
      <c r="I4506" s="8" t="s">
        <v>116</v>
      </c>
      <c r="J4506" s="9">
        <v>1</v>
      </c>
      <c r="K4506" s="9">
        <v>227</v>
      </c>
      <c r="L4506" s="9">
        <v>2024</v>
      </c>
      <c r="M4506" s="8" t="s">
        <v>26728</v>
      </c>
      <c r="N4506" s="8" t="s">
        <v>56</v>
      </c>
      <c r="O4506" s="8" t="s">
        <v>741</v>
      </c>
      <c r="P4506" s="6" t="s">
        <v>43</v>
      </c>
      <c r="Q4506" s="8" t="s">
        <v>44</v>
      </c>
      <c r="R4506" s="10" t="s">
        <v>26729</v>
      </c>
      <c r="S4506" s="11" t="s">
        <v>26730</v>
      </c>
      <c r="T4506" s="6"/>
      <c r="U4506" s="24" t="str">
        <f>HYPERLINK("https://media.infra-m.ru/2134/2134339/cover/2134339.jpg", "Обложка")</f>
        <v>Обложка</v>
      </c>
      <c r="V4506" s="24" t="str">
        <f>HYPERLINK("https://znanium.ru/catalog/product/2134339", "Ознакомиться")</f>
        <v>Ознакомиться</v>
      </c>
      <c r="W4506" s="8" t="s">
        <v>1345</v>
      </c>
      <c r="X4506" s="6"/>
      <c r="Y4506" s="6"/>
      <c r="Z4506" s="6"/>
      <c r="AA4506" s="6" t="s">
        <v>10384</v>
      </c>
      <c r="AB4506" s="8"/>
    </row>
    <row r="4507" spans="1:28" s="4" customFormat="1" ht="51.95" customHeight="1">
      <c r="A4507" s="5">
        <v>0</v>
      </c>
      <c r="B4507" s="6" t="s">
        <v>26731</v>
      </c>
      <c r="C4507" s="13">
        <v>2190</v>
      </c>
      <c r="D4507" s="8" t="s">
        <v>26732</v>
      </c>
      <c r="E4507" s="8" t="s">
        <v>26733</v>
      </c>
      <c r="F4507" s="8" t="s">
        <v>26734</v>
      </c>
      <c r="G4507" s="6" t="s">
        <v>52</v>
      </c>
      <c r="H4507" s="6" t="s">
        <v>53</v>
      </c>
      <c r="I4507" s="8" t="s">
        <v>90</v>
      </c>
      <c r="J4507" s="9">
        <v>1</v>
      </c>
      <c r="K4507" s="9">
        <v>511</v>
      </c>
      <c r="L4507" s="9">
        <v>2023</v>
      </c>
      <c r="M4507" s="8" t="s">
        <v>26735</v>
      </c>
      <c r="N4507" s="8" t="s">
        <v>56</v>
      </c>
      <c r="O4507" s="8" t="s">
        <v>741</v>
      </c>
      <c r="P4507" s="6" t="s">
        <v>167</v>
      </c>
      <c r="Q4507" s="8" t="s">
        <v>44</v>
      </c>
      <c r="R4507" s="10" t="s">
        <v>26736</v>
      </c>
      <c r="S4507" s="11" t="s">
        <v>26737</v>
      </c>
      <c r="T4507" s="6" t="s">
        <v>299</v>
      </c>
      <c r="U4507" s="24" t="str">
        <f>HYPERLINK("https://media.infra-m.ru/1860/1860811/cover/1860811.jpg", "Обложка")</f>
        <v>Обложка</v>
      </c>
      <c r="V4507" s="24" t="str">
        <f>HYPERLINK("https://znanium.ru/catalog/product/1860811", "Ознакомиться")</f>
        <v>Ознакомиться</v>
      </c>
      <c r="W4507" s="8" t="s">
        <v>6354</v>
      </c>
      <c r="X4507" s="6"/>
      <c r="Y4507" s="6"/>
      <c r="Z4507" s="6"/>
      <c r="AA4507" s="6" t="s">
        <v>326</v>
      </c>
      <c r="AB4507" s="8" t="s">
        <v>271</v>
      </c>
    </row>
    <row r="4508" spans="1:28" s="4" customFormat="1" ht="51.95" customHeight="1">
      <c r="A4508" s="5">
        <v>0</v>
      </c>
      <c r="B4508" s="6" t="s">
        <v>26738</v>
      </c>
      <c r="C4508" s="13">
        <v>1444.9</v>
      </c>
      <c r="D4508" s="8" t="s">
        <v>26739</v>
      </c>
      <c r="E4508" s="8" t="s">
        <v>26740</v>
      </c>
      <c r="F4508" s="8" t="s">
        <v>26741</v>
      </c>
      <c r="G4508" s="6" t="s">
        <v>52</v>
      </c>
      <c r="H4508" s="6" t="s">
        <v>77</v>
      </c>
      <c r="I4508" s="8"/>
      <c r="J4508" s="9">
        <v>1</v>
      </c>
      <c r="K4508" s="9">
        <v>320</v>
      </c>
      <c r="L4508" s="9">
        <v>2023</v>
      </c>
      <c r="M4508" s="8" t="s">
        <v>26742</v>
      </c>
      <c r="N4508" s="8" t="s">
        <v>997</v>
      </c>
      <c r="O4508" s="8" t="s">
        <v>998</v>
      </c>
      <c r="P4508" s="6" t="s">
        <v>43</v>
      </c>
      <c r="Q4508" s="8" t="s">
        <v>44</v>
      </c>
      <c r="R4508" s="10" t="s">
        <v>26743</v>
      </c>
      <c r="S4508" s="11"/>
      <c r="T4508" s="6"/>
      <c r="U4508" s="24" t="str">
        <f>HYPERLINK("https://media.infra-m.ru/1911/1911202/cover/1911202.jpg", "Обложка")</f>
        <v>Обложка</v>
      </c>
      <c r="V4508" s="24" t="str">
        <f>HYPERLINK("https://znanium.ru/catalog/product/1852220", "Ознакомиться")</f>
        <v>Ознакомиться</v>
      </c>
      <c r="W4508" s="8" t="s">
        <v>9191</v>
      </c>
      <c r="X4508" s="6"/>
      <c r="Y4508" s="6"/>
      <c r="Z4508" s="6"/>
      <c r="AA4508" s="6" t="s">
        <v>111</v>
      </c>
      <c r="AB4508" s="8"/>
    </row>
    <row r="4509" spans="1:28" s="4" customFormat="1" ht="51.95" customHeight="1">
      <c r="A4509" s="5">
        <v>0</v>
      </c>
      <c r="B4509" s="6" t="s">
        <v>26744</v>
      </c>
      <c r="C4509" s="7">
        <v>990</v>
      </c>
      <c r="D4509" s="8" t="s">
        <v>26745</v>
      </c>
      <c r="E4509" s="8" t="s">
        <v>26746</v>
      </c>
      <c r="F4509" s="8" t="s">
        <v>26747</v>
      </c>
      <c r="G4509" s="6" t="s">
        <v>89</v>
      </c>
      <c r="H4509" s="6" t="s">
        <v>53</v>
      </c>
      <c r="I4509" s="8" t="s">
        <v>90</v>
      </c>
      <c r="J4509" s="9">
        <v>1</v>
      </c>
      <c r="K4509" s="9">
        <v>262</v>
      </c>
      <c r="L4509" s="9">
        <v>2022</v>
      </c>
      <c r="M4509" s="8" t="s">
        <v>26748</v>
      </c>
      <c r="N4509" s="8" t="s">
        <v>56</v>
      </c>
      <c r="O4509" s="8" t="s">
        <v>741</v>
      </c>
      <c r="P4509" s="6" t="s">
        <v>43</v>
      </c>
      <c r="Q4509" s="8" t="s">
        <v>44</v>
      </c>
      <c r="R4509" s="10" t="s">
        <v>26749</v>
      </c>
      <c r="S4509" s="11" t="s">
        <v>26750</v>
      </c>
      <c r="T4509" s="6"/>
      <c r="U4509" s="24" t="str">
        <f>HYPERLINK("https://media.infra-m.ru/1864/1864123/cover/1864123.jpg", "Обложка")</f>
        <v>Обложка</v>
      </c>
      <c r="V4509" s="24" t="str">
        <f>HYPERLINK("https://znanium.ru/catalog/product/1864123", "Ознакомиться")</f>
        <v>Ознакомиться</v>
      </c>
      <c r="W4509" s="8" t="s">
        <v>9191</v>
      </c>
      <c r="X4509" s="6"/>
      <c r="Y4509" s="6"/>
      <c r="Z4509" s="6"/>
      <c r="AA4509" s="6" t="s">
        <v>793</v>
      </c>
      <c r="AB4509" s="8"/>
    </row>
    <row r="4510" spans="1:28" s="4" customFormat="1" ht="51.95" customHeight="1">
      <c r="A4510" s="5">
        <v>0</v>
      </c>
      <c r="B4510" s="6" t="s">
        <v>26751</v>
      </c>
      <c r="C4510" s="13">
        <v>1334</v>
      </c>
      <c r="D4510" s="8" t="s">
        <v>26752</v>
      </c>
      <c r="E4510" s="8" t="s">
        <v>26753</v>
      </c>
      <c r="F4510" s="8" t="s">
        <v>17238</v>
      </c>
      <c r="G4510" s="6" t="s">
        <v>89</v>
      </c>
      <c r="H4510" s="6" t="s">
        <v>77</v>
      </c>
      <c r="I4510" s="8"/>
      <c r="J4510" s="9">
        <v>1</v>
      </c>
      <c r="K4510" s="9">
        <v>256</v>
      </c>
      <c r="L4510" s="9">
        <v>2025</v>
      </c>
      <c r="M4510" s="8" t="s">
        <v>26754</v>
      </c>
      <c r="N4510" s="8" t="s">
        <v>56</v>
      </c>
      <c r="O4510" s="8" t="s">
        <v>741</v>
      </c>
      <c r="P4510" s="6" t="s">
        <v>43</v>
      </c>
      <c r="Q4510" s="8" t="s">
        <v>44</v>
      </c>
      <c r="R4510" s="10" t="s">
        <v>26755</v>
      </c>
      <c r="S4510" s="11" t="s">
        <v>26756</v>
      </c>
      <c r="T4510" s="6"/>
      <c r="U4510" s="24" t="str">
        <f>HYPERLINK("https://media.infra-m.ru/2196/2196867/cover/2196867.jpg", "Обложка")</f>
        <v>Обложка</v>
      </c>
      <c r="V4510" s="24" t="str">
        <f>HYPERLINK("https://znanium.ru/catalog/product/2080334", "Ознакомиться")</f>
        <v>Ознакомиться</v>
      </c>
      <c r="W4510" s="8" t="s">
        <v>1345</v>
      </c>
      <c r="X4510" s="6"/>
      <c r="Y4510" s="6"/>
      <c r="Z4510" s="6"/>
      <c r="AA4510" s="6" t="s">
        <v>3714</v>
      </c>
      <c r="AB4510" s="8"/>
    </row>
    <row r="4511" spans="1:28" s="4" customFormat="1" ht="51.95" customHeight="1">
      <c r="A4511" s="5">
        <v>0</v>
      </c>
      <c r="B4511" s="6" t="s">
        <v>26757</v>
      </c>
      <c r="C4511" s="13">
        <v>1674</v>
      </c>
      <c r="D4511" s="8" t="s">
        <v>26758</v>
      </c>
      <c r="E4511" s="8" t="s">
        <v>26759</v>
      </c>
      <c r="F4511" s="8" t="s">
        <v>26760</v>
      </c>
      <c r="G4511" s="6" t="s">
        <v>89</v>
      </c>
      <c r="H4511" s="6" t="s">
        <v>39</v>
      </c>
      <c r="I4511" s="8" t="s">
        <v>185</v>
      </c>
      <c r="J4511" s="9">
        <v>1</v>
      </c>
      <c r="K4511" s="9">
        <v>335</v>
      </c>
      <c r="L4511" s="9">
        <v>2025</v>
      </c>
      <c r="M4511" s="8" t="s">
        <v>26761</v>
      </c>
      <c r="N4511" s="8" t="s">
        <v>56</v>
      </c>
      <c r="O4511" s="8" t="s">
        <v>741</v>
      </c>
      <c r="P4511" s="6" t="s">
        <v>167</v>
      </c>
      <c r="Q4511" s="8" t="s">
        <v>102</v>
      </c>
      <c r="R4511" s="10" t="s">
        <v>26762</v>
      </c>
      <c r="S4511" s="11" t="s">
        <v>2650</v>
      </c>
      <c r="T4511" s="6"/>
      <c r="U4511" s="24" t="str">
        <f>HYPERLINK("https://media.infra-m.ru/2184/2184961/cover/2184961.jpg", "Обложка")</f>
        <v>Обложка</v>
      </c>
      <c r="V4511" s="24" t="str">
        <f>HYPERLINK("https://znanium.ru/catalog/product/1866999", "Ознакомиться")</f>
        <v>Ознакомиться</v>
      </c>
      <c r="W4511" s="8" t="s">
        <v>24352</v>
      </c>
      <c r="X4511" s="6"/>
      <c r="Y4511" s="6"/>
      <c r="Z4511" s="6"/>
      <c r="AA4511" s="6" t="s">
        <v>4822</v>
      </c>
      <c r="AB4511" s="8"/>
    </row>
    <row r="4512" spans="1:28" s="4" customFormat="1" ht="51.95" customHeight="1">
      <c r="A4512" s="5">
        <v>0</v>
      </c>
      <c r="B4512" s="6" t="s">
        <v>26763</v>
      </c>
      <c r="C4512" s="13">
        <v>1520</v>
      </c>
      <c r="D4512" s="8" t="s">
        <v>26764</v>
      </c>
      <c r="E4512" s="8" t="s">
        <v>26765</v>
      </c>
      <c r="F4512" s="8" t="s">
        <v>26766</v>
      </c>
      <c r="G4512" s="6" t="s">
        <v>89</v>
      </c>
      <c r="H4512" s="6" t="s">
        <v>53</v>
      </c>
      <c r="I4512" s="8" t="s">
        <v>90</v>
      </c>
      <c r="J4512" s="9">
        <v>1</v>
      </c>
      <c r="K4512" s="9">
        <v>336</v>
      </c>
      <c r="L4512" s="9">
        <v>2023</v>
      </c>
      <c r="M4512" s="8" t="s">
        <v>26767</v>
      </c>
      <c r="N4512" s="8" t="s">
        <v>56</v>
      </c>
      <c r="O4512" s="8" t="s">
        <v>741</v>
      </c>
      <c r="P4512" s="6" t="s">
        <v>167</v>
      </c>
      <c r="Q4512" s="8" t="s">
        <v>44</v>
      </c>
      <c r="R4512" s="10" t="s">
        <v>26768</v>
      </c>
      <c r="S4512" s="11" t="s">
        <v>24425</v>
      </c>
      <c r="T4512" s="6" t="s">
        <v>299</v>
      </c>
      <c r="U4512" s="24" t="str">
        <f>HYPERLINK("https://media.infra-m.ru/1939/1939093/cover/1939093.jpg", "Обложка")</f>
        <v>Обложка</v>
      </c>
      <c r="V4512" s="24" t="str">
        <f>HYPERLINK("https://znanium.ru/catalog/product/1939093", "Ознакомиться")</f>
        <v>Ознакомиться</v>
      </c>
      <c r="W4512" s="8" t="s">
        <v>26769</v>
      </c>
      <c r="X4512" s="6"/>
      <c r="Y4512" s="6"/>
      <c r="Z4512" s="6"/>
      <c r="AA4512" s="6" t="s">
        <v>418</v>
      </c>
      <c r="AB4512" s="8"/>
    </row>
    <row r="4513" spans="1:28" s="4" customFormat="1" ht="51.95" customHeight="1">
      <c r="A4513" s="5">
        <v>0</v>
      </c>
      <c r="B4513" s="6" t="s">
        <v>26770</v>
      </c>
      <c r="C4513" s="13">
        <v>1694.9</v>
      </c>
      <c r="D4513" s="8" t="s">
        <v>26771</v>
      </c>
      <c r="E4513" s="8" t="s">
        <v>26772</v>
      </c>
      <c r="F4513" s="8" t="s">
        <v>26773</v>
      </c>
      <c r="G4513" s="6" t="s">
        <v>52</v>
      </c>
      <c r="H4513" s="6" t="s">
        <v>39</v>
      </c>
      <c r="I4513" s="8" t="s">
        <v>116</v>
      </c>
      <c r="J4513" s="9">
        <v>1</v>
      </c>
      <c r="K4513" s="9">
        <v>496</v>
      </c>
      <c r="L4513" s="9">
        <v>2020</v>
      </c>
      <c r="M4513" s="8" t="s">
        <v>26774</v>
      </c>
      <c r="N4513" s="8" t="s">
        <v>56</v>
      </c>
      <c r="O4513" s="8" t="s">
        <v>741</v>
      </c>
      <c r="P4513" s="6" t="s">
        <v>43</v>
      </c>
      <c r="Q4513" s="8" t="s">
        <v>44</v>
      </c>
      <c r="R4513" s="10" t="s">
        <v>10016</v>
      </c>
      <c r="S4513" s="11" t="s">
        <v>26775</v>
      </c>
      <c r="T4513" s="6"/>
      <c r="U4513" s="24" t="str">
        <f>HYPERLINK("https://media.infra-m.ru/1042/1042114/cover/1042114.jpg", "Обложка")</f>
        <v>Обложка</v>
      </c>
      <c r="V4513" s="24" t="str">
        <f>HYPERLINK("https://znanium.ru/catalog/product/1121567", "Ознакомиться")</f>
        <v>Ознакомиться</v>
      </c>
      <c r="W4513" s="8" t="s">
        <v>24352</v>
      </c>
      <c r="X4513" s="6"/>
      <c r="Y4513" s="6"/>
      <c r="Z4513" s="6"/>
      <c r="AA4513" s="6" t="s">
        <v>1461</v>
      </c>
      <c r="AB4513" s="8"/>
    </row>
    <row r="4514" spans="1:28" s="4" customFormat="1" ht="51.95" customHeight="1">
      <c r="A4514" s="5">
        <v>0</v>
      </c>
      <c r="B4514" s="6" t="s">
        <v>26776</v>
      </c>
      <c r="C4514" s="7">
        <v>994</v>
      </c>
      <c r="D4514" s="8" t="s">
        <v>26777</v>
      </c>
      <c r="E4514" s="8" t="s">
        <v>26765</v>
      </c>
      <c r="F4514" s="8" t="s">
        <v>19596</v>
      </c>
      <c r="G4514" s="6" t="s">
        <v>89</v>
      </c>
      <c r="H4514" s="6" t="s">
        <v>649</v>
      </c>
      <c r="I4514" s="8" t="s">
        <v>100</v>
      </c>
      <c r="J4514" s="9">
        <v>1</v>
      </c>
      <c r="K4514" s="9">
        <v>192</v>
      </c>
      <c r="L4514" s="9">
        <v>2025</v>
      </c>
      <c r="M4514" s="8" t="s">
        <v>26778</v>
      </c>
      <c r="N4514" s="8" t="s">
        <v>56</v>
      </c>
      <c r="O4514" s="8" t="s">
        <v>741</v>
      </c>
      <c r="P4514" s="6" t="s">
        <v>43</v>
      </c>
      <c r="Q4514" s="8" t="s">
        <v>102</v>
      </c>
      <c r="R4514" s="10" t="s">
        <v>26779</v>
      </c>
      <c r="S4514" s="11" t="s">
        <v>26780</v>
      </c>
      <c r="T4514" s="6"/>
      <c r="U4514" s="24" t="str">
        <f>HYPERLINK("https://media.infra-m.ru/2198/2198561/cover/2198561.jpg", "Обложка")</f>
        <v>Обложка</v>
      </c>
      <c r="V4514" s="24" t="str">
        <f>HYPERLINK("https://znanium.ru/catalog/product/2128805", "Ознакомиться")</f>
        <v>Ознакомиться</v>
      </c>
      <c r="W4514" s="8" t="s">
        <v>10326</v>
      </c>
      <c r="X4514" s="6"/>
      <c r="Y4514" s="6"/>
      <c r="Z4514" s="6"/>
      <c r="AA4514" s="6" t="s">
        <v>654</v>
      </c>
      <c r="AB4514" s="8"/>
    </row>
    <row r="4515" spans="1:28" s="4" customFormat="1" ht="51.95" customHeight="1">
      <c r="A4515" s="5">
        <v>0</v>
      </c>
      <c r="B4515" s="6" t="s">
        <v>26781</v>
      </c>
      <c r="C4515" s="13">
        <v>2724</v>
      </c>
      <c r="D4515" s="8" t="s">
        <v>26782</v>
      </c>
      <c r="E4515" s="8" t="s">
        <v>26759</v>
      </c>
      <c r="F4515" s="8" t="s">
        <v>26783</v>
      </c>
      <c r="G4515" s="6" t="s">
        <v>52</v>
      </c>
      <c r="H4515" s="6" t="s">
        <v>53</v>
      </c>
      <c r="I4515" s="8" t="s">
        <v>116</v>
      </c>
      <c r="J4515" s="9">
        <v>1</v>
      </c>
      <c r="K4515" s="9">
        <v>544</v>
      </c>
      <c r="L4515" s="9">
        <v>2025</v>
      </c>
      <c r="M4515" s="8" t="s">
        <v>26784</v>
      </c>
      <c r="N4515" s="8" t="s">
        <v>56</v>
      </c>
      <c r="O4515" s="8" t="s">
        <v>741</v>
      </c>
      <c r="P4515" s="6" t="s">
        <v>43</v>
      </c>
      <c r="Q4515" s="8" t="s">
        <v>44</v>
      </c>
      <c r="R4515" s="10" t="s">
        <v>10016</v>
      </c>
      <c r="S4515" s="11" t="s">
        <v>26785</v>
      </c>
      <c r="T4515" s="6"/>
      <c r="U4515" s="24" t="str">
        <f>HYPERLINK("https://media.infra-m.ru/2185/2185910/cover/2185910.jpg", "Обложка")</f>
        <v>Обложка</v>
      </c>
      <c r="V4515" s="24" t="str">
        <f>HYPERLINK("https://znanium.ru/catalog/product/1121567", "Ознакомиться")</f>
        <v>Ознакомиться</v>
      </c>
      <c r="W4515" s="8" t="s">
        <v>24352</v>
      </c>
      <c r="X4515" s="6"/>
      <c r="Y4515" s="6"/>
      <c r="Z4515" s="6"/>
      <c r="AA4515" s="6" t="s">
        <v>2657</v>
      </c>
      <c r="AB4515" s="8"/>
    </row>
    <row r="4516" spans="1:28" s="4" customFormat="1" ht="51.95" customHeight="1">
      <c r="A4516" s="5">
        <v>0</v>
      </c>
      <c r="B4516" s="6" t="s">
        <v>26786</v>
      </c>
      <c r="C4516" s="13">
        <v>1254</v>
      </c>
      <c r="D4516" s="8" t="s">
        <v>26787</v>
      </c>
      <c r="E4516" s="8" t="s">
        <v>26788</v>
      </c>
      <c r="F4516" s="8" t="s">
        <v>26789</v>
      </c>
      <c r="G4516" s="6" t="s">
        <v>38</v>
      </c>
      <c r="H4516" s="6" t="s">
        <v>39</v>
      </c>
      <c r="I4516" s="8" t="s">
        <v>90</v>
      </c>
      <c r="J4516" s="9">
        <v>1</v>
      </c>
      <c r="K4516" s="9">
        <v>272</v>
      </c>
      <c r="L4516" s="9">
        <v>2024</v>
      </c>
      <c r="M4516" s="8" t="s">
        <v>26790</v>
      </c>
      <c r="N4516" s="8" t="s">
        <v>41</v>
      </c>
      <c r="O4516" s="8" t="s">
        <v>1204</v>
      </c>
      <c r="P4516" s="6" t="s">
        <v>43</v>
      </c>
      <c r="Q4516" s="8" t="s">
        <v>44</v>
      </c>
      <c r="R4516" s="10" t="s">
        <v>4214</v>
      </c>
      <c r="S4516" s="11" t="s">
        <v>26791</v>
      </c>
      <c r="T4516" s="6"/>
      <c r="U4516" s="24" t="str">
        <f>HYPERLINK("https://media.infra-m.ru/2088/2088248/cover/2088248.jpg", "Обложка")</f>
        <v>Обложка</v>
      </c>
      <c r="V4516" s="24" t="str">
        <f>HYPERLINK("https://znanium.ru/catalog/product/1856732", "Ознакомиться")</f>
        <v>Ознакомиться</v>
      </c>
      <c r="W4516" s="8" t="s">
        <v>4161</v>
      </c>
      <c r="X4516" s="6"/>
      <c r="Y4516" s="6"/>
      <c r="Z4516" s="6"/>
      <c r="AA4516" s="6" t="s">
        <v>111</v>
      </c>
      <c r="AB4516" s="8"/>
    </row>
    <row r="4517" spans="1:28" s="4" customFormat="1" ht="51.95" customHeight="1">
      <c r="A4517" s="5">
        <v>0</v>
      </c>
      <c r="B4517" s="6" t="s">
        <v>26792</v>
      </c>
      <c r="C4517" s="7">
        <v>824</v>
      </c>
      <c r="D4517" s="8" t="s">
        <v>26793</v>
      </c>
      <c r="E4517" s="8" t="s">
        <v>26794</v>
      </c>
      <c r="F4517" s="8" t="s">
        <v>25814</v>
      </c>
      <c r="G4517" s="6" t="s">
        <v>89</v>
      </c>
      <c r="H4517" s="6" t="s">
        <v>53</v>
      </c>
      <c r="I4517" s="8" t="s">
        <v>100</v>
      </c>
      <c r="J4517" s="9">
        <v>1</v>
      </c>
      <c r="K4517" s="9">
        <v>159</v>
      </c>
      <c r="L4517" s="9">
        <v>2025</v>
      </c>
      <c r="M4517" s="8" t="s">
        <v>26795</v>
      </c>
      <c r="N4517" s="8" t="s">
        <v>41</v>
      </c>
      <c r="O4517" s="8" t="s">
        <v>1204</v>
      </c>
      <c r="P4517" s="6" t="s">
        <v>43</v>
      </c>
      <c r="Q4517" s="8" t="s">
        <v>102</v>
      </c>
      <c r="R4517" s="10" t="s">
        <v>20226</v>
      </c>
      <c r="S4517" s="11" t="s">
        <v>26796</v>
      </c>
      <c r="T4517" s="6"/>
      <c r="U4517" s="24" t="str">
        <f>HYPERLINK("https://media.infra-m.ru/2202/2202586/cover/2202586.jpg", "Обложка")</f>
        <v>Обложка</v>
      </c>
      <c r="V4517" s="24" t="str">
        <f>HYPERLINK("https://znanium.ru/catalog/product/2141435", "Ознакомиться")</f>
        <v>Ознакомиться</v>
      </c>
      <c r="W4517" s="8" t="s">
        <v>4215</v>
      </c>
      <c r="X4517" s="6"/>
      <c r="Y4517" s="6"/>
      <c r="Z4517" s="6" t="s">
        <v>104</v>
      </c>
      <c r="AA4517" s="6" t="s">
        <v>258</v>
      </c>
      <c r="AB4517" s="8" t="s">
        <v>2336</v>
      </c>
    </row>
    <row r="4518" spans="1:28" s="4" customFormat="1" ht="51.95" customHeight="1">
      <c r="A4518" s="5">
        <v>0</v>
      </c>
      <c r="B4518" s="6" t="s">
        <v>26797</v>
      </c>
      <c r="C4518" s="7">
        <v>910</v>
      </c>
      <c r="D4518" s="8" t="s">
        <v>26798</v>
      </c>
      <c r="E4518" s="8" t="s">
        <v>26799</v>
      </c>
      <c r="F4518" s="8" t="s">
        <v>25814</v>
      </c>
      <c r="G4518" s="6" t="s">
        <v>89</v>
      </c>
      <c r="H4518" s="6" t="s">
        <v>53</v>
      </c>
      <c r="I4518" s="8" t="s">
        <v>116</v>
      </c>
      <c r="J4518" s="9">
        <v>1</v>
      </c>
      <c r="K4518" s="9">
        <v>159</v>
      </c>
      <c r="L4518" s="9">
        <v>2024</v>
      </c>
      <c r="M4518" s="8" t="s">
        <v>26800</v>
      </c>
      <c r="N4518" s="8" t="s">
        <v>41</v>
      </c>
      <c r="O4518" s="8" t="s">
        <v>1204</v>
      </c>
      <c r="P4518" s="6" t="s">
        <v>43</v>
      </c>
      <c r="Q4518" s="8" t="s">
        <v>44</v>
      </c>
      <c r="R4518" s="10" t="s">
        <v>4214</v>
      </c>
      <c r="S4518" s="11" t="s">
        <v>26801</v>
      </c>
      <c r="T4518" s="6"/>
      <c r="U4518" s="24" t="str">
        <f>HYPERLINK("https://media.infra-m.ru/2130/2130170/cover/2130170.jpg", "Обложка")</f>
        <v>Обложка</v>
      </c>
      <c r="V4518" s="24" t="str">
        <f>HYPERLINK("https://znanium.ru/catalog/product/2130170", "Ознакомиться")</f>
        <v>Ознакомиться</v>
      </c>
      <c r="W4518" s="8" t="s">
        <v>4215</v>
      </c>
      <c r="X4518" s="6"/>
      <c r="Y4518" s="6"/>
      <c r="Z4518" s="6"/>
      <c r="AA4518" s="6" t="s">
        <v>95</v>
      </c>
      <c r="AB4518" s="8"/>
    </row>
    <row r="4519" spans="1:28" s="4" customFormat="1" ht="51.95" customHeight="1">
      <c r="A4519" s="5">
        <v>0</v>
      </c>
      <c r="B4519" s="6" t="s">
        <v>26802</v>
      </c>
      <c r="C4519" s="7">
        <v>570</v>
      </c>
      <c r="D4519" s="8" t="s">
        <v>26803</v>
      </c>
      <c r="E4519" s="8" t="s">
        <v>26794</v>
      </c>
      <c r="F4519" s="8" t="s">
        <v>25814</v>
      </c>
      <c r="G4519" s="6" t="s">
        <v>89</v>
      </c>
      <c r="H4519" s="6" t="s">
        <v>53</v>
      </c>
      <c r="I4519" s="8" t="s">
        <v>90</v>
      </c>
      <c r="J4519" s="9">
        <v>1</v>
      </c>
      <c r="K4519" s="9">
        <v>159</v>
      </c>
      <c r="L4519" s="9">
        <v>2020</v>
      </c>
      <c r="M4519" s="8" t="s">
        <v>26804</v>
      </c>
      <c r="N4519" s="8" t="s">
        <v>41</v>
      </c>
      <c r="O4519" s="8" t="s">
        <v>1204</v>
      </c>
      <c r="P4519" s="6" t="s">
        <v>43</v>
      </c>
      <c r="Q4519" s="8" t="s">
        <v>44</v>
      </c>
      <c r="R4519" s="10" t="s">
        <v>4214</v>
      </c>
      <c r="S4519" s="11" t="s">
        <v>26805</v>
      </c>
      <c r="T4519" s="6"/>
      <c r="U4519" s="24" t="str">
        <f>HYPERLINK("https://media.infra-m.ru/1208/1208470/cover/1208470.jpg", "Обложка")</f>
        <v>Обложка</v>
      </c>
      <c r="V4519" s="24" t="str">
        <f>HYPERLINK("https://znanium.ru/catalog/product/2130170", "Ознакомиться")</f>
        <v>Ознакомиться</v>
      </c>
      <c r="W4519" s="8" t="s">
        <v>4215</v>
      </c>
      <c r="X4519" s="6"/>
      <c r="Y4519" s="6"/>
      <c r="Z4519" s="6"/>
      <c r="AA4519" s="6" t="s">
        <v>111</v>
      </c>
      <c r="AB4519" s="8"/>
    </row>
    <row r="4520" spans="1:28" s="4" customFormat="1" ht="51.95" customHeight="1">
      <c r="A4520" s="5">
        <v>0</v>
      </c>
      <c r="B4520" s="6" t="s">
        <v>26806</v>
      </c>
      <c r="C4520" s="13">
        <v>1014</v>
      </c>
      <c r="D4520" s="8" t="s">
        <v>26807</v>
      </c>
      <c r="E4520" s="8" t="s">
        <v>26808</v>
      </c>
      <c r="F4520" s="8" t="s">
        <v>26809</v>
      </c>
      <c r="G4520" s="6" t="s">
        <v>38</v>
      </c>
      <c r="H4520" s="6" t="s">
        <v>53</v>
      </c>
      <c r="I4520" s="8" t="s">
        <v>116</v>
      </c>
      <c r="J4520" s="9">
        <v>1</v>
      </c>
      <c r="K4520" s="9">
        <v>220</v>
      </c>
      <c r="L4520" s="9">
        <v>2024</v>
      </c>
      <c r="M4520" s="8" t="s">
        <v>26810</v>
      </c>
      <c r="N4520" s="8" t="s">
        <v>41</v>
      </c>
      <c r="O4520" s="8" t="s">
        <v>1204</v>
      </c>
      <c r="P4520" s="6" t="s">
        <v>43</v>
      </c>
      <c r="Q4520" s="8" t="s">
        <v>44</v>
      </c>
      <c r="R4520" s="10" t="s">
        <v>23937</v>
      </c>
      <c r="S4520" s="11" t="s">
        <v>26811</v>
      </c>
      <c r="T4520" s="6"/>
      <c r="U4520" s="24" t="str">
        <f>HYPERLINK("https://media.infra-m.ru/2110/2110947/cover/2110947.jpg", "Обложка")</f>
        <v>Обложка</v>
      </c>
      <c r="V4520" s="24" t="str">
        <f>HYPERLINK("https://znanium.ru/catalog/product/2110947", "Ознакомиться")</f>
        <v>Ознакомиться</v>
      </c>
      <c r="W4520" s="8" t="s">
        <v>354</v>
      </c>
      <c r="X4520" s="6"/>
      <c r="Y4520" s="6"/>
      <c r="Z4520" s="6"/>
      <c r="AA4520" s="6" t="s">
        <v>494</v>
      </c>
      <c r="AB4520" s="8"/>
    </row>
    <row r="4521" spans="1:28" s="4" customFormat="1" ht="51.95" customHeight="1">
      <c r="A4521" s="5">
        <v>0</v>
      </c>
      <c r="B4521" s="6" t="s">
        <v>26812</v>
      </c>
      <c r="C4521" s="13">
        <v>1474</v>
      </c>
      <c r="D4521" s="8" t="s">
        <v>26813</v>
      </c>
      <c r="E4521" s="8" t="s">
        <v>26814</v>
      </c>
      <c r="F4521" s="8" t="s">
        <v>26815</v>
      </c>
      <c r="G4521" s="6" t="s">
        <v>52</v>
      </c>
      <c r="H4521" s="6" t="s">
        <v>53</v>
      </c>
      <c r="I4521" s="8" t="s">
        <v>90</v>
      </c>
      <c r="J4521" s="9">
        <v>1</v>
      </c>
      <c r="K4521" s="9">
        <v>320</v>
      </c>
      <c r="L4521" s="9">
        <v>2024</v>
      </c>
      <c r="M4521" s="8" t="s">
        <v>26816</v>
      </c>
      <c r="N4521" s="8" t="s">
        <v>41</v>
      </c>
      <c r="O4521" s="8" t="s">
        <v>1204</v>
      </c>
      <c r="P4521" s="6" t="s">
        <v>167</v>
      </c>
      <c r="Q4521" s="8" t="s">
        <v>44</v>
      </c>
      <c r="R4521" s="10" t="s">
        <v>26690</v>
      </c>
      <c r="S4521" s="11" t="s">
        <v>26817</v>
      </c>
      <c r="T4521" s="6"/>
      <c r="U4521" s="24" t="str">
        <f>HYPERLINK("https://media.infra-m.ru/2103/2103706/cover/2103706.jpg", "Обложка")</f>
        <v>Обложка</v>
      </c>
      <c r="V4521" s="24" t="str">
        <f>HYPERLINK("https://znanium.ru/catalog/product/2103706", "Ознакомиться")</f>
        <v>Ознакомиться</v>
      </c>
      <c r="W4521" s="8" t="s">
        <v>12607</v>
      </c>
      <c r="X4521" s="6"/>
      <c r="Y4521" s="6"/>
      <c r="Z4521" s="6"/>
      <c r="AA4521" s="6" t="s">
        <v>122</v>
      </c>
      <c r="AB4521" s="8"/>
    </row>
    <row r="4522" spans="1:28" s="4" customFormat="1" ht="51.95" customHeight="1">
      <c r="A4522" s="5">
        <v>0</v>
      </c>
      <c r="B4522" s="6" t="s">
        <v>26818</v>
      </c>
      <c r="C4522" s="13">
        <v>1514</v>
      </c>
      <c r="D4522" s="8" t="s">
        <v>26819</v>
      </c>
      <c r="E4522" s="8" t="s">
        <v>26820</v>
      </c>
      <c r="F4522" s="8" t="s">
        <v>4708</v>
      </c>
      <c r="G4522" s="6" t="s">
        <v>52</v>
      </c>
      <c r="H4522" s="6" t="s">
        <v>77</v>
      </c>
      <c r="I4522" s="8" t="s">
        <v>116</v>
      </c>
      <c r="J4522" s="9">
        <v>1</v>
      </c>
      <c r="K4522" s="9">
        <v>302</v>
      </c>
      <c r="L4522" s="9">
        <v>2025</v>
      </c>
      <c r="M4522" s="8" t="s">
        <v>26821</v>
      </c>
      <c r="N4522" s="8" t="s">
        <v>41</v>
      </c>
      <c r="O4522" s="8" t="s">
        <v>278</v>
      </c>
      <c r="P4522" s="6" t="s">
        <v>43</v>
      </c>
      <c r="Q4522" s="8" t="s">
        <v>58</v>
      </c>
      <c r="R4522" s="10" t="s">
        <v>26822</v>
      </c>
      <c r="S4522" s="11" t="s">
        <v>26823</v>
      </c>
      <c r="T4522" s="6"/>
      <c r="U4522" s="24" t="str">
        <f>HYPERLINK("https://media.infra-m.ru/2163/2163376/cover/2163376.jpg", "Обложка")</f>
        <v>Обложка</v>
      </c>
      <c r="V4522" s="24" t="str">
        <f>HYPERLINK("https://znanium.ru/catalog/product/1310542", "Ознакомиться")</f>
        <v>Ознакомиться</v>
      </c>
      <c r="W4522" s="8" t="s">
        <v>320</v>
      </c>
      <c r="X4522" s="6"/>
      <c r="Y4522" s="6"/>
      <c r="Z4522" s="6"/>
      <c r="AA4522" s="6" t="s">
        <v>122</v>
      </c>
      <c r="AB4522" s="8"/>
    </row>
    <row r="4523" spans="1:28" s="4" customFormat="1" ht="51.95" customHeight="1">
      <c r="A4523" s="5">
        <v>0</v>
      </c>
      <c r="B4523" s="6" t="s">
        <v>26824</v>
      </c>
      <c r="C4523" s="13">
        <v>2200</v>
      </c>
      <c r="D4523" s="8" t="s">
        <v>26825</v>
      </c>
      <c r="E4523" s="8" t="s">
        <v>26826</v>
      </c>
      <c r="F4523" s="8" t="s">
        <v>26827</v>
      </c>
      <c r="G4523" s="6" t="s">
        <v>52</v>
      </c>
      <c r="H4523" s="6" t="s">
        <v>53</v>
      </c>
      <c r="I4523" s="8" t="s">
        <v>276</v>
      </c>
      <c r="J4523" s="9">
        <v>1</v>
      </c>
      <c r="K4523" s="9">
        <v>478</v>
      </c>
      <c r="L4523" s="9">
        <v>2024</v>
      </c>
      <c r="M4523" s="8" t="s">
        <v>26828</v>
      </c>
      <c r="N4523" s="8" t="s">
        <v>56</v>
      </c>
      <c r="O4523" s="8" t="s">
        <v>4042</v>
      </c>
      <c r="P4523" s="6" t="s">
        <v>43</v>
      </c>
      <c r="Q4523" s="8" t="s">
        <v>279</v>
      </c>
      <c r="R4523" s="10" t="s">
        <v>9439</v>
      </c>
      <c r="S4523" s="11" t="s">
        <v>26829</v>
      </c>
      <c r="T4523" s="6"/>
      <c r="U4523" s="24" t="str">
        <f>HYPERLINK("https://media.infra-m.ru/2118/2118168/cover/2118168.jpg", "Обложка")</f>
        <v>Обложка</v>
      </c>
      <c r="V4523" s="24" t="str">
        <f>HYPERLINK("https://znanium.ru/catalog/product/2118168", "Ознакомиться")</f>
        <v>Ознакомиться</v>
      </c>
      <c r="W4523" s="8" t="s">
        <v>12172</v>
      </c>
      <c r="X4523" s="6"/>
      <c r="Y4523" s="6"/>
      <c r="Z4523" s="6"/>
      <c r="AA4523" s="6" t="s">
        <v>258</v>
      </c>
      <c r="AB4523" s="8"/>
    </row>
    <row r="4524" spans="1:28" s="4" customFormat="1" ht="51.95" customHeight="1">
      <c r="A4524" s="5">
        <v>0</v>
      </c>
      <c r="B4524" s="6" t="s">
        <v>26830</v>
      </c>
      <c r="C4524" s="7">
        <v>990</v>
      </c>
      <c r="D4524" s="8" t="s">
        <v>26831</v>
      </c>
      <c r="E4524" s="8" t="s">
        <v>26832</v>
      </c>
      <c r="F4524" s="8" t="s">
        <v>26833</v>
      </c>
      <c r="G4524" s="6" t="s">
        <v>89</v>
      </c>
      <c r="H4524" s="6" t="s">
        <v>53</v>
      </c>
      <c r="I4524" s="8" t="s">
        <v>90</v>
      </c>
      <c r="J4524" s="9">
        <v>1</v>
      </c>
      <c r="K4524" s="9">
        <v>214</v>
      </c>
      <c r="L4524" s="9">
        <v>2023</v>
      </c>
      <c r="M4524" s="8" t="s">
        <v>26834</v>
      </c>
      <c r="N4524" s="8" t="s">
        <v>41</v>
      </c>
      <c r="O4524" s="8" t="s">
        <v>1204</v>
      </c>
      <c r="P4524" s="6" t="s">
        <v>167</v>
      </c>
      <c r="Q4524" s="8" t="s">
        <v>44</v>
      </c>
      <c r="R4524" s="10" t="s">
        <v>26835</v>
      </c>
      <c r="S4524" s="11" t="s">
        <v>26836</v>
      </c>
      <c r="T4524" s="6"/>
      <c r="U4524" s="24" t="str">
        <f>HYPERLINK("https://media.infra-m.ru/1965/1965762/cover/1965762.jpg", "Обложка")</f>
        <v>Обложка</v>
      </c>
      <c r="V4524" s="24" t="str">
        <f>HYPERLINK("https://znanium.ru/catalog/product/1965762", "Ознакомиться")</f>
        <v>Ознакомиться</v>
      </c>
      <c r="W4524" s="8" t="s">
        <v>1313</v>
      </c>
      <c r="X4524" s="6"/>
      <c r="Y4524" s="6"/>
      <c r="Z4524" s="6"/>
      <c r="AA4524" s="6" t="s">
        <v>219</v>
      </c>
      <c r="AB4524" s="8"/>
    </row>
    <row r="4525" spans="1:28" s="4" customFormat="1" ht="42" customHeight="1">
      <c r="A4525" s="5">
        <v>0</v>
      </c>
      <c r="B4525" s="6" t="s">
        <v>26837</v>
      </c>
      <c r="C4525" s="13">
        <v>1400</v>
      </c>
      <c r="D4525" s="8" t="s">
        <v>26838</v>
      </c>
      <c r="E4525" s="8" t="s">
        <v>26832</v>
      </c>
      <c r="F4525" s="8" t="s">
        <v>5002</v>
      </c>
      <c r="G4525" s="6" t="s">
        <v>52</v>
      </c>
      <c r="H4525" s="6" t="s">
        <v>53</v>
      </c>
      <c r="I4525" s="8" t="s">
        <v>116</v>
      </c>
      <c r="J4525" s="9">
        <v>1</v>
      </c>
      <c r="K4525" s="9">
        <v>280</v>
      </c>
      <c r="L4525" s="9">
        <v>2025</v>
      </c>
      <c r="M4525" s="8" t="s">
        <v>26839</v>
      </c>
      <c r="N4525" s="8" t="s">
        <v>413</v>
      </c>
      <c r="O4525" s="8" t="s">
        <v>414</v>
      </c>
      <c r="P4525" s="6" t="s">
        <v>167</v>
      </c>
      <c r="Q4525" s="8" t="s">
        <v>44</v>
      </c>
      <c r="R4525" s="10" t="s">
        <v>23937</v>
      </c>
      <c r="S4525" s="11"/>
      <c r="T4525" s="6"/>
      <c r="U4525" s="24" t="str">
        <f>HYPERLINK("https://media.infra-m.ru/1870/1870117/cover/1870117.jpg", "Обложка")</f>
        <v>Обложка</v>
      </c>
      <c r="V4525" s="24" t="str">
        <f>HYPERLINK("https://znanium.ru/catalog/product/1870117", "Ознакомиться")</f>
        <v>Ознакомиться</v>
      </c>
      <c r="W4525" s="8" t="s">
        <v>2938</v>
      </c>
      <c r="X4525" s="6" t="s">
        <v>548</v>
      </c>
      <c r="Y4525" s="6"/>
      <c r="Z4525" s="6"/>
      <c r="AA4525" s="6" t="s">
        <v>61</v>
      </c>
      <c r="AB4525" s="8"/>
    </row>
    <row r="4526" spans="1:28" s="4" customFormat="1" ht="51.95" customHeight="1">
      <c r="A4526" s="5">
        <v>0</v>
      </c>
      <c r="B4526" s="6" t="s">
        <v>26840</v>
      </c>
      <c r="C4526" s="13">
        <v>1034.9000000000001</v>
      </c>
      <c r="D4526" s="8" t="s">
        <v>26841</v>
      </c>
      <c r="E4526" s="8" t="s">
        <v>26842</v>
      </c>
      <c r="F4526" s="8" t="s">
        <v>26843</v>
      </c>
      <c r="G4526" s="6" t="s">
        <v>52</v>
      </c>
      <c r="H4526" s="6" t="s">
        <v>1738</v>
      </c>
      <c r="I4526" s="8" t="s">
        <v>1171</v>
      </c>
      <c r="J4526" s="9">
        <v>1</v>
      </c>
      <c r="K4526" s="9">
        <v>272</v>
      </c>
      <c r="L4526" s="9">
        <v>2022</v>
      </c>
      <c r="M4526" s="8" t="s">
        <v>26844</v>
      </c>
      <c r="N4526" s="8" t="s">
        <v>41</v>
      </c>
      <c r="O4526" s="8" t="s">
        <v>1204</v>
      </c>
      <c r="P4526" s="6" t="s">
        <v>43</v>
      </c>
      <c r="Q4526" s="8" t="s">
        <v>44</v>
      </c>
      <c r="R4526" s="10" t="s">
        <v>9714</v>
      </c>
      <c r="S4526" s="11" t="s">
        <v>26845</v>
      </c>
      <c r="T4526" s="6"/>
      <c r="U4526" s="24" t="str">
        <f>HYPERLINK("https://media.infra-m.ru/1844/1844308/cover/1844308.jpg", "Обложка")</f>
        <v>Обложка</v>
      </c>
      <c r="V4526" s="24" t="str">
        <f>HYPERLINK("https://znanium.ru/catalog/product/935422", "Ознакомиться")</f>
        <v>Ознакомиться</v>
      </c>
      <c r="W4526" s="8" t="s">
        <v>3974</v>
      </c>
      <c r="X4526" s="6"/>
      <c r="Y4526" s="6"/>
      <c r="Z4526" s="6"/>
      <c r="AA4526" s="6" t="s">
        <v>47</v>
      </c>
      <c r="AB4526" s="8"/>
    </row>
    <row r="4527" spans="1:28" s="4" customFormat="1" ht="51.95" customHeight="1">
      <c r="A4527" s="5">
        <v>0</v>
      </c>
      <c r="B4527" s="6" t="s">
        <v>26846</v>
      </c>
      <c r="C4527" s="7">
        <v>944</v>
      </c>
      <c r="D4527" s="8" t="s">
        <v>26847</v>
      </c>
      <c r="E4527" s="8" t="s">
        <v>26848</v>
      </c>
      <c r="F4527" s="8" t="s">
        <v>26849</v>
      </c>
      <c r="G4527" s="6" t="s">
        <v>52</v>
      </c>
      <c r="H4527" s="6" t="s">
        <v>53</v>
      </c>
      <c r="I4527" s="8" t="s">
        <v>90</v>
      </c>
      <c r="J4527" s="9">
        <v>1</v>
      </c>
      <c r="K4527" s="9">
        <v>189</v>
      </c>
      <c r="L4527" s="9">
        <v>2025</v>
      </c>
      <c r="M4527" s="8" t="s">
        <v>26850</v>
      </c>
      <c r="N4527" s="8" t="s">
        <v>41</v>
      </c>
      <c r="O4527" s="8" t="s">
        <v>1204</v>
      </c>
      <c r="P4527" s="6" t="s">
        <v>43</v>
      </c>
      <c r="Q4527" s="8" t="s">
        <v>44</v>
      </c>
      <c r="R4527" s="10" t="s">
        <v>26851</v>
      </c>
      <c r="S4527" s="11" t="s">
        <v>26852</v>
      </c>
      <c r="T4527" s="6"/>
      <c r="U4527" s="24" t="str">
        <f>HYPERLINK("https://media.infra-m.ru/2192/2192222/cover/2192222.jpg", "Обложка")</f>
        <v>Обложка</v>
      </c>
      <c r="V4527" s="24" t="str">
        <f>HYPERLINK("https://znanium.ru/catalog/product/2103744", "Ознакомиться")</f>
        <v>Ознакомиться</v>
      </c>
      <c r="W4527" s="8" t="s">
        <v>4045</v>
      </c>
      <c r="X4527" s="6"/>
      <c r="Y4527" s="6"/>
      <c r="Z4527" s="6"/>
      <c r="AA4527" s="6" t="s">
        <v>874</v>
      </c>
      <c r="AB4527" s="8"/>
    </row>
    <row r="4528" spans="1:28" s="4" customFormat="1" ht="51.95" customHeight="1">
      <c r="A4528" s="5">
        <v>0</v>
      </c>
      <c r="B4528" s="6" t="s">
        <v>26853</v>
      </c>
      <c r="C4528" s="7">
        <v>574.9</v>
      </c>
      <c r="D4528" s="8" t="s">
        <v>26854</v>
      </c>
      <c r="E4528" s="8" t="s">
        <v>26855</v>
      </c>
      <c r="F4528" s="8" t="s">
        <v>26856</v>
      </c>
      <c r="G4528" s="6" t="s">
        <v>38</v>
      </c>
      <c r="H4528" s="6" t="s">
        <v>39</v>
      </c>
      <c r="I4528" s="8" t="s">
        <v>90</v>
      </c>
      <c r="J4528" s="9">
        <v>1</v>
      </c>
      <c r="K4528" s="9">
        <v>192</v>
      </c>
      <c r="L4528" s="9">
        <v>2019</v>
      </c>
      <c r="M4528" s="8" t="s">
        <v>26857</v>
      </c>
      <c r="N4528" s="8" t="s">
        <v>41</v>
      </c>
      <c r="O4528" s="8" t="s">
        <v>1204</v>
      </c>
      <c r="P4528" s="6" t="s">
        <v>43</v>
      </c>
      <c r="Q4528" s="8" t="s">
        <v>44</v>
      </c>
      <c r="R4528" s="10" t="s">
        <v>26851</v>
      </c>
      <c r="S4528" s="11" t="s">
        <v>26858</v>
      </c>
      <c r="T4528" s="6"/>
      <c r="U4528" s="24" t="str">
        <f>HYPERLINK("https://media.infra-m.ru/1021/1021549/cover/1021549.jpg", "Обложка")</f>
        <v>Обложка</v>
      </c>
      <c r="V4528" s="24" t="str">
        <f>HYPERLINK("https://znanium.ru/catalog/product/2103744", "Ознакомиться")</f>
        <v>Ознакомиться</v>
      </c>
      <c r="W4528" s="8" t="s">
        <v>4045</v>
      </c>
      <c r="X4528" s="6"/>
      <c r="Y4528" s="6"/>
      <c r="Z4528" s="6"/>
      <c r="AA4528" s="6" t="s">
        <v>479</v>
      </c>
      <c r="AB4528" s="8"/>
    </row>
    <row r="4529" spans="1:28" s="4" customFormat="1" ht="51.95" customHeight="1">
      <c r="A4529" s="5">
        <v>0</v>
      </c>
      <c r="B4529" s="6" t="s">
        <v>26859</v>
      </c>
      <c r="C4529" s="13">
        <v>1084</v>
      </c>
      <c r="D4529" s="8" t="s">
        <v>26860</v>
      </c>
      <c r="E4529" s="8" t="s">
        <v>26861</v>
      </c>
      <c r="F4529" s="8" t="s">
        <v>26862</v>
      </c>
      <c r="G4529" s="6" t="s">
        <v>89</v>
      </c>
      <c r="H4529" s="6" t="s">
        <v>53</v>
      </c>
      <c r="I4529" s="8" t="s">
        <v>116</v>
      </c>
      <c r="J4529" s="9">
        <v>1</v>
      </c>
      <c r="K4529" s="9">
        <v>208</v>
      </c>
      <c r="L4529" s="9">
        <v>2025</v>
      </c>
      <c r="M4529" s="8" t="s">
        <v>26863</v>
      </c>
      <c r="N4529" s="8" t="s">
        <v>41</v>
      </c>
      <c r="O4529" s="8" t="s">
        <v>1204</v>
      </c>
      <c r="P4529" s="6" t="s">
        <v>43</v>
      </c>
      <c r="Q4529" s="8" t="s">
        <v>58</v>
      </c>
      <c r="R4529" s="10" t="s">
        <v>23937</v>
      </c>
      <c r="S4529" s="11" t="s">
        <v>26864</v>
      </c>
      <c r="T4529" s="6"/>
      <c r="U4529" s="24" t="str">
        <f>HYPERLINK("https://media.infra-m.ru/2194/2194336/cover/2194336.jpg", "Обложка")</f>
        <v>Обложка</v>
      </c>
      <c r="V4529" s="24" t="str">
        <f>HYPERLINK("https://znanium.ru/catalog/product/2044228", "Ознакомиться")</f>
        <v>Ознакомиться</v>
      </c>
      <c r="W4529" s="8" t="s">
        <v>1544</v>
      </c>
      <c r="X4529" s="6"/>
      <c r="Y4529" s="6"/>
      <c r="Z4529" s="6"/>
      <c r="AA4529" s="6" t="s">
        <v>111</v>
      </c>
      <c r="AB4529" s="8"/>
    </row>
    <row r="4530" spans="1:28" s="4" customFormat="1" ht="51.95" customHeight="1">
      <c r="A4530" s="5">
        <v>0</v>
      </c>
      <c r="B4530" s="6" t="s">
        <v>26865</v>
      </c>
      <c r="C4530" s="13">
        <v>1104</v>
      </c>
      <c r="D4530" s="8" t="s">
        <v>26866</v>
      </c>
      <c r="E4530" s="8" t="s">
        <v>26867</v>
      </c>
      <c r="F4530" s="8" t="s">
        <v>26868</v>
      </c>
      <c r="G4530" s="6" t="s">
        <v>38</v>
      </c>
      <c r="H4530" s="6" t="s">
        <v>53</v>
      </c>
      <c r="I4530" s="8" t="s">
        <v>2511</v>
      </c>
      <c r="J4530" s="9">
        <v>1</v>
      </c>
      <c r="K4530" s="9">
        <v>241</v>
      </c>
      <c r="L4530" s="9">
        <v>2024</v>
      </c>
      <c r="M4530" s="8" t="s">
        <v>26869</v>
      </c>
      <c r="N4530" s="8" t="s">
        <v>41</v>
      </c>
      <c r="O4530" s="8" t="s">
        <v>1204</v>
      </c>
      <c r="P4530" s="6" t="s">
        <v>1046</v>
      </c>
      <c r="Q4530" s="8" t="s">
        <v>279</v>
      </c>
      <c r="R4530" s="10" t="s">
        <v>26870</v>
      </c>
      <c r="S4530" s="11"/>
      <c r="T4530" s="6"/>
      <c r="U4530" s="24" t="str">
        <f>HYPERLINK("https://media.infra-m.ru/2079/2079699/cover/2079699.jpg", "Обложка")</f>
        <v>Обложка</v>
      </c>
      <c r="V4530" s="24" t="str">
        <f>HYPERLINK("https://znanium.ru/catalog/product/2079699", "Ознакомиться")</f>
        <v>Ознакомиться</v>
      </c>
      <c r="W4530" s="8" t="s">
        <v>1076</v>
      </c>
      <c r="X4530" s="6"/>
      <c r="Y4530" s="6"/>
      <c r="Z4530" s="6"/>
      <c r="AA4530" s="6" t="s">
        <v>258</v>
      </c>
      <c r="AB4530" s="8"/>
    </row>
    <row r="4531" spans="1:28" s="4" customFormat="1" ht="51.95" customHeight="1">
      <c r="A4531" s="5">
        <v>0</v>
      </c>
      <c r="B4531" s="6" t="s">
        <v>26871</v>
      </c>
      <c r="C4531" s="7">
        <v>834.9</v>
      </c>
      <c r="D4531" s="8" t="s">
        <v>26872</v>
      </c>
      <c r="E4531" s="8" t="s">
        <v>26873</v>
      </c>
      <c r="F4531" s="8" t="s">
        <v>26874</v>
      </c>
      <c r="G4531" s="6" t="s">
        <v>38</v>
      </c>
      <c r="H4531" s="6" t="s">
        <v>53</v>
      </c>
      <c r="I4531" s="8" t="s">
        <v>90</v>
      </c>
      <c r="J4531" s="9">
        <v>1</v>
      </c>
      <c r="K4531" s="9">
        <v>185</v>
      </c>
      <c r="L4531" s="9">
        <v>2023</v>
      </c>
      <c r="M4531" s="8" t="s">
        <v>26875</v>
      </c>
      <c r="N4531" s="8" t="s">
        <v>41</v>
      </c>
      <c r="O4531" s="8" t="s">
        <v>1204</v>
      </c>
      <c r="P4531" s="6" t="s">
        <v>43</v>
      </c>
      <c r="Q4531" s="8" t="s">
        <v>44</v>
      </c>
      <c r="R4531" s="10" t="s">
        <v>26876</v>
      </c>
      <c r="S4531" s="11" t="s">
        <v>26877</v>
      </c>
      <c r="T4531" s="6"/>
      <c r="U4531" s="24" t="str">
        <f>HYPERLINK("https://media.infra-m.ru/2001/2001687/cover/2001687.jpg", "Обложка")</f>
        <v>Обложка</v>
      </c>
      <c r="V4531" s="24" t="str">
        <f>HYPERLINK("https://znanium.ru/catalog/product/1128640", "Ознакомиться")</f>
        <v>Ознакомиться</v>
      </c>
      <c r="W4531" s="8" t="s">
        <v>1826</v>
      </c>
      <c r="X4531" s="6"/>
      <c r="Y4531" s="6"/>
      <c r="Z4531" s="6"/>
      <c r="AA4531" s="6" t="s">
        <v>1365</v>
      </c>
      <c r="AB4531" s="8"/>
    </row>
    <row r="4532" spans="1:28" s="4" customFormat="1" ht="51.95" customHeight="1">
      <c r="A4532" s="5">
        <v>0</v>
      </c>
      <c r="B4532" s="6" t="s">
        <v>26878</v>
      </c>
      <c r="C4532" s="13">
        <v>1160</v>
      </c>
      <c r="D4532" s="8" t="s">
        <v>26879</v>
      </c>
      <c r="E4532" s="8" t="s">
        <v>26880</v>
      </c>
      <c r="F4532" s="8" t="s">
        <v>26881</v>
      </c>
      <c r="G4532" s="6" t="s">
        <v>52</v>
      </c>
      <c r="H4532" s="6" t="s">
        <v>53</v>
      </c>
      <c r="I4532" s="8" t="s">
        <v>116</v>
      </c>
      <c r="J4532" s="9">
        <v>1</v>
      </c>
      <c r="K4532" s="9">
        <v>219</v>
      </c>
      <c r="L4532" s="9">
        <v>2025</v>
      </c>
      <c r="M4532" s="8" t="s">
        <v>26882</v>
      </c>
      <c r="N4532" s="8" t="s">
        <v>56</v>
      </c>
      <c r="O4532" s="8" t="s">
        <v>4042</v>
      </c>
      <c r="P4532" s="6" t="s">
        <v>43</v>
      </c>
      <c r="Q4532" s="8" t="s">
        <v>58</v>
      </c>
      <c r="R4532" s="10" t="s">
        <v>26883</v>
      </c>
      <c r="S4532" s="11"/>
      <c r="T4532" s="6"/>
      <c r="U4532" s="24" t="str">
        <f>HYPERLINK("https://media.infra-m.ru/2049/2049713/cover/2049713.jpg", "Обложка")</f>
        <v>Обложка</v>
      </c>
      <c r="V4532" s="24" t="str">
        <f>HYPERLINK("https://znanium.ru/catalog/product/2049713", "Ознакомиться")</f>
        <v>Ознакомиться</v>
      </c>
      <c r="W4532" s="8" t="s">
        <v>26884</v>
      </c>
      <c r="X4532" s="6" t="s">
        <v>1049</v>
      </c>
      <c r="Y4532" s="6"/>
      <c r="Z4532" s="6"/>
      <c r="AA4532" s="6" t="s">
        <v>61</v>
      </c>
      <c r="AB4532" s="8"/>
    </row>
    <row r="4533" spans="1:28" s="4" customFormat="1" ht="51.95" customHeight="1">
      <c r="A4533" s="5">
        <v>0</v>
      </c>
      <c r="B4533" s="6" t="s">
        <v>26885</v>
      </c>
      <c r="C4533" s="13">
        <v>2550</v>
      </c>
      <c r="D4533" s="8" t="s">
        <v>26886</v>
      </c>
      <c r="E4533" s="8" t="s">
        <v>26887</v>
      </c>
      <c r="F4533" s="8" t="s">
        <v>26888</v>
      </c>
      <c r="G4533" s="6" t="s">
        <v>89</v>
      </c>
      <c r="H4533" s="6" t="s">
        <v>53</v>
      </c>
      <c r="I4533" s="8" t="s">
        <v>90</v>
      </c>
      <c r="J4533" s="9">
        <v>1</v>
      </c>
      <c r="K4533" s="9">
        <v>600</v>
      </c>
      <c r="L4533" s="9">
        <v>2023</v>
      </c>
      <c r="M4533" s="8" t="s">
        <v>26889</v>
      </c>
      <c r="N4533" s="8" t="s">
        <v>41</v>
      </c>
      <c r="O4533" s="8" t="s">
        <v>1007</v>
      </c>
      <c r="P4533" s="6" t="s">
        <v>43</v>
      </c>
      <c r="Q4533" s="8" t="s">
        <v>44</v>
      </c>
      <c r="R4533" s="10" t="s">
        <v>12402</v>
      </c>
      <c r="S4533" s="11" t="s">
        <v>26890</v>
      </c>
      <c r="T4533" s="6" t="s">
        <v>299</v>
      </c>
      <c r="U4533" s="24" t="str">
        <f>HYPERLINK("https://media.infra-m.ru/1908/1908741/cover/1908741.jpg", "Обложка")</f>
        <v>Обложка</v>
      </c>
      <c r="V4533" s="24" t="str">
        <f>HYPERLINK("https://znanium.ru/catalog/product/1908741", "Ознакомиться")</f>
        <v>Ознакомиться</v>
      </c>
      <c r="W4533" s="8" t="s">
        <v>1253</v>
      </c>
      <c r="X4533" s="6"/>
      <c r="Y4533" s="6"/>
      <c r="Z4533" s="6"/>
      <c r="AA4533" s="6" t="s">
        <v>326</v>
      </c>
      <c r="AB4533" s="8"/>
    </row>
    <row r="4534" spans="1:28" s="4" customFormat="1" ht="51.95" customHeight="1">
      <c r="A4534" s="5">
        <v>0</v>
      </c>
      <c r="B4534" s="6" t="s">
        <v>26891</v>
      </c>
      <c r="C4534" s="13">
        <v>1090</v>
      </c>
      <c r="D4534" s="8" t="s">
        <v>26892</v>
      </c>
      <c r="E4534" s="8" t="s">
        <v>26893</v>
      </c>
      <c r="F4534" s="8" t="s">
        <v>26894</v>
      </c>
      <c r="G4534" s="6" t="s">
        <v>89</v>
      </c>
      <c r="H4534" s="6" t="s">
        <v>53</v>
      </c>
      <c r="I4534" s="8" t="s">
        <v>90</v>
      </c>
      <c r="J4534" s="9">
        <v>1</v>
      </c>
      <c r="K4534" s="9">
        <v>286</v>
      </c>
      <c r="L4534" s="9">
        <v>2022</v>
      </c>
      <c r="M4534" s="8" t="s">
        <v>26895</v>
      </c>
      <c r="N4534" s="8" t="s">
        <v>41</v>
      </c>
      <c r="O4534" s="8" t="s">
        <v>1007</v>
      </c>
      <c r="P4534" s="6" t="s">
        <v>167</v>
      </c>
      <c r="Q4534" s="8" t="s">
        <v>44</v>
      </c>
      <c r="R4534" s="10" t="s">
        <v>1008</v>
      </c>
      <c r="S4534" s="11" t="s">
        <v>26896</v>
      </c>
      <c r="T4534" s="6"/>
      <c r="U4534" s="24" t="str">
        <f>HYPERLINK("https://media.infra-m.ru/1865/1865806/cover/1865806.jpg", "Обложка")</f>
        <v>Обложка</v>
      </c>
      <c r="V4534" s="24" t="str">
        <f>HYPERLINK("https://znanium.ru/catalog/product/1865806", "Ознакомиться")</f>
        <v>Ознакомиться</v>
      </c>
      <c r="W4534" s="8" t="s">
        <v>1253</v>
      </c>
      <c r="X4534" s="6"/>
      <c r="Y4534" s="6"/>
      <c r="Z4534" s="6"/>
      <c r="AA4534" s="6" t="s">
        <v>793</v>
      </c>
      <c r="AB4534" s="8"/>
    </row>
    <row r="4535" spans="1:28" s="4" customFormat="1" ht="51.95" customHeight="1">
      <c r="A4535" s="5">
        <v>0</v>
      </c>
      <c r="B4535" s="6" t="s">
        <v>26897</v>
      </c>
      <c r="C4535" s="7">
        <v>964</v>
      </c>
      <c r="D4535" s="8" t="s">
        <v>26898</v>
      </c>
      <c r="E4535" s="8" t="s">
        <v>26899</v>
      </c>
      <c r="F4535" s="8" t="s">
        <v>7499</v>
      </c>
      <c r="G4535" s="6" t="s">
        <v>89</v>
      </c>
      <c r="H4535" s="6" t="s">
        <v>53</v>
      </c>
      <c r="I4535" s="8" t="s">
        <v>90</v>
      </c>
      <c r="J4535" s="9">
        <v>1</v>
      </c>
      <c r="K4535" s="9">
        <v>186</v>
      </c>
      <c r="L4535" s="9">
        <v>2025</v>
      </c>
      <c r="M4535" s="8" t="s">
        <v>26900</v>
      </c>
      <c r="N4535" s="8" t="s">
        <v>41</v>
      </c>
      <c r="O4535" s="8" t="s">
        <v>6182</v>
      </c>
      <c r="P4535" s="6" t="s">
        <v>43</v>
      </c>
      <c r="Q4535" s="8" t="s">
        <v>44</v>
      </c>
      <c r="R4535" s="10" t="s">
        <v>157</v>
      </c>
      <c r="S4535" s="11" t="s">
        <v>26901</v>
      </c>
      <c r="T4535" s="6"/>
      <c r="U4535" s="24" t="str">
        <f>HYPERLINK("https://media.infra-m.ru/2193/2193025/cover/2193025.jpg", "Обложка")</f>
        <v>Обложка</v>
      </c>
      <c r="V4535" s="24" t="str">
        <f>HYPERLINK("https://znanium.ru/catalog/product/1891972", "Ознакомиться")</f>
        <v>Ознакомиться</v>
      </c>
      <c r="W4535" s="8" t="s">
        <v>1345</v>
      </c>
      <c r="X4535" s="6"/>
      <c r="Y4535" s="6"/>
      <c r="Z4535" s="6"/>
      <c r="AA4535" s="6" t="s">
        <v>377</v>
      </c>
      <c r="AB4535" s="8"/>
    </row>
    <row r="4536" spans="1:28" s="4" customFormat="1" ht="51.95" customHeight="1">
      <c r="A4536" s="5">
        <v>0</v>
      </c>
      <c r="B4536" s="6" t="s">
        <v>26902</v>
      </c>
      <c r="C4536" s="13">
        <v>1110</v>
      </c>
      <c r="D4536" s="8" t="s">
        <v>26903</v>
      </c>
      <c r="E4536" s="8" t="s">
        <v>26904</v>
      </c>
      <c r="F4536" s="8" t="s">
        <v>15687</v>
      </c>
      <c r="G4536" s="6" t="s">
        <v>89</v>
      </c>
      <c r="H4536" s="6" t="s">
        <v>53</v>
      </c>
      <c r="I4536" s="8" t="s">
        <v>90</v>
      </c>
      <c r="J4536" s="9">
        <v>1</v>
      </c>
      <c r="K4536" s="9">
        <v>233</v>
      </c>
      <c r="L4536" s="9">
        <v>2023</v>
      </c>
      <c r="M4536" s="8" t="s">
        <v>26905</v>
      </c>
      <c r="N4536" s="8" t="s">
        <v>41</v>
      </c>
      <c r="O4536" s="8" t="s">
        <v>1204</v>
      </c>
      <c r="P4536" s="6" t="s">
        <v>167</v>
      </c>
      <c r="Q4536" s="8" t="s">
        <v>44</v>
      </c>
      <c r="R4536" s="10" t="s">
        <v>26906</v>
      </c>
      <c r="S4536" s="11" t="s">
        <v>26907</v>
      </c>
      <c r="T4536" s="6"/>
      <c r="U4536" s="24" t="str">
        <f>HYPERLINK("https://media.infra-m.ru/1915/1915708/cover/1915708.jpg", "Обложка")</f>
        <v>Обложка</v>
      </c>
      <c r="V4536" s="24" t="str">
        <f>HYPERLINK("https://znanium.ru/catalog/product/1915708", "Ознакомиться")</f>
        <v>Ознакомиться</v>
      </c>
      <c r="W4536" s="8" t="s">
        <v>7243</v>
      </c>
      <c r="X4536" s="6"/>
      <c r="Y4536" s="6"/>
      <c r="Z4536" s="6"/>
      <c r="AA4536" s="6" t="s">
        <v>219</v>
      </c>
      <c r="AB4536" s="8"/>
    </row>
    <row r="4537" spans="1:28" s="4" customFormat="1" ht="51.95" customHeight="1">
      <c r="A4537" s="5">
        <v>0</v>
      </c>
      <c r="B4537" s="6" t="s">
        <v>26908</v>
      </c>
      <c r="C4537" s="13">
        <v>1684.9</v>
      </c>
      <c r="D4537" s="8" t="s">
        <v>26909</v>
      </c>
      <c r="E4537" s="8" t="s">
        <v>26910</v>
      </c>
      <c r="F4537" s="8" t="s">
        <v>11572</v>
      </c>
      <c r="G4537" s="6" t="s">
        <v>52</v>
      </c>
      <c r="H4537" s="6" t="s">
        <v>674</v>
      </c>
      <c r="I4537" s="8"/>
      <c r="J4537" s="9">
        <v>1</v>
      </c>
      <c r="K4537" s="9">
        <v>800</v>
      </c>
      <c r="L4537" s="9">
        <v>2017</v>
      </c>
      <c r="M4537" s="8" t="s">
        <v>26911</v>
      </c>
      <c r="N4537" s="8" t="s">
        <v>41</v>
      </c>
      <c r="O4537" s="8" t="s">
        <v>676</v>
      </c>
      <c r="P4537" s="6" t="s">
        <v>1046</v>
      </c>
      <c r="Q4537" s="8" t="s">
        <v>44</v>
      </c>
      <c r="R4537" s="10" t="s">
        <v>26912</v>
      </c>
      <c r="S4537" s="11"/>
      <c r="T4537" s="6"/>
      <c r="U4537" s="12"/>
      <c r="V4537" s="24" t="str">
        <f>HYPERLINK("https://znanium.ru/catalog/product/1893874", "Ознакомиться")</f>
        <v>Ознакомиться</v>
      </c>
      <c r="W4537" s="8" t="s">
        <v>354</v>
      </c>
      <c r="X4537" s="6"/>
      <c r="Y4537" s="6"/>
      <c r="Z4537" s="6"/>
      <c r="AA4537" s="6" t="s">
        <v>1135</v>
      </c>
      <c r="AB4537" s="8"/>
    </row>
    <row r="4538" spans="1:28" s="4" customFormat="1" ht="42" customHeight="1">
      <c r="A4538" s="5">
        <v>0</v>
      </c>
      <c r="B4538" s="6" t="s">
        <v>26913</v>
      </c>
      <c r="C4538" s="13">
        <v>1070</v>
      </c>
      <c r="D4538" s="8" t="s">
        <v>26914</v>
      </c>
      <c r="E4538" s="8" t="s">
        <v>26915</v>
      </c>
      <c r="F4538" s="8" t="s">
        <v>26704</v>
      </c>
      <c r="G4538" s="6" t="s">
        <v>52</v>
      </c>
      <c r="H4538" s="6" t="s">
        <v>53</v>
      </c>
      <c r="I4538" s="8" t="s">
        <v>782</v>
      </c>
      <c r="J4538" s="9">
        <v>1</v>
      </c>
      <c r="K4538" s="9">
        <v>208</v>
      </c>
      <c r="L4538" s="9">
        <v>2025</v>
      </c>
      <c r="M4538" s="8" t="s">
        <v>26916</v>
      </c>
      <c r="N4538" s="8" t="s">
        <v>41</v>
      </c>
      <c r="O4538" s="8" t="s">
        <v>1204</v>
      </c>
      <c r="P4538" s="6" t="s">
        <v>43</v>
      </c>
      <c r="Q4538" s="8" t="s">
        <v>44</v>
      </c>
      <c r="R4538" s="10" t="s">
        <v>26917</v>
      </c>
      <c r="S4538" s="11"/>
      <c r="T4538" s="6"/>
      <c r="U4538" s="24" t="str">
        <f>HYPERLINK("https://media.infra-m.ru/2168/2168124/cover/2168124.jpg", "Обложка")</f>
        <v>Обложка</v>
      </c>
      <c r="V4538" s="12"/>
      <c r="W4538" s="8" t="s">
        <v>784</v>
      </c>
      <c r="X4538" s="6" t="s">
        <v>132</v>
      </c>
      <c r="Y4538" s="6"/>
      <c r="Z4538" s="6"/>
      <c r="AA4538" s="6" t="s">
        <v>61</v>
      </c>
      <c r="AB4538" s="8"/>
    </row>
    <row r="4539" spans="1:28" s="4" customFormat="1" ht="51.95" customHeight="1">
      <c r="A4539" s="5">
        <v>0</v>
      </c>
      <c r="B4539" s="6" t="s">
        <v>26918</v>
      </c>
      <c r="C4539" s="13">
        <v>1734</v>
      </c>
      <c r="D4539" s="8" t="s">
        <v>26919</v>
      </c>
      <c r="E4539" s="8" t="s">
        <v>26920</v>
      </c>
      <c r="F4539" s="8" t="s">
        <v>26921</v>
      </c>
      <c r="G4539" s="6" t="s">
        <v>89</v>
      </c>
      <c r="H4539" s="6" t="s">
        <v>53</v>
      </c>
      <c r="I4539" s="8" t="s">
        <v>90</v>
      </c>
      <c r="J4539" s="9">
        <v>1</v>
      </c>
      <c r="K4539" s="9">
        <v>333</v>
      </c>
      <c r="L4539" s="9">
        <v>2025</v>
      </c>
      <c r="M4539" s="8" t="s">
        <v>26922</v>
      </c>
      <c r="N4539" s="8" t="s">
        <v>41</v>
      </c>
      <c r="O4539" s="8" t="s">
        <v>1204</v>
      </c>
      <c r="P4539" s="6" t="s">
        <v>167</v>
      </c>
      <c r="Q4539" s="8" t="s">
        <v>44</v>
      </c>
      <c r="R4539" s="10" t="s">
        <v>26923</v>
      </c>
      <c r="S4539" s="11" t="s">
        <v>26924</v>
      </c>
      <c r="T4539" s="6" t="s">
        <v>299</v>
      </c>
      <c r="U4539" s="24" t="str">
        <f>HYPERLINK("https://media.infra-m.ru/2196/2196130/cover/2196130.jpg", "Обложка")</f>
        <v>Обложка</v>
      </c>
      <c r="V4539" s="24" t="str">
        <f>HYPERLINK("https://znanium.ru/catalog/product/1545560", "Ознакомиться")</f>
        <v>Ознакомиться</v>
      </c>
      <c r="W4539" s="8" t="s">
        <v>4293</v>
      </c>
      <c r="X4539" s="6"/>
      <c r="Y4539" s="6"/>
      <c r="Z4539" s="6"/>
      <c r="AA4539" s="6" t="s">
        <v>151</v>
      </c>
      <c r="AB4539" s="8"/>
    </row>
    <row r="4540" spans="1:28" s="4" customFormat="1" ht="42" customHeight="1">
      <c r="A4540" s="5">
        <v>0</v>
      </c>
      <c r="B4540" s="6" t="s">
        <v>26925</v>
      </c>
      <c r="C4540" s="13">
        <v>2494</v>
      </c>
      <c r="D4540" s="8" t="s">
        <v>26926</v>
      </c>
      <c r="E4540" s="8" t="s">
        <v>26927</v>
      </c>
      <c r="F4540" s="8" t="s">
        <v>19860</v>
      </c>
      <c r="G4540" s="6" t="s">
        <v>52</v>
      </c>
      <c r="H4540" s="6" t="s">
        <v>674</v>
      </c>
      <c r="I4540" s="8"/>
      <c r="J4540" s="9">
        <v>1</v>
      </c>
      <c r="K4540" s="9">
        <v>488</v>
      </c>
      <c r="L4540" s="9">
        <v>2025</v>
      </c>
      <c r="M4540" s="8" t="s">
        <v>26928</v>
      </c>
      <c r="N4540" s="8" t="s">
        <v>56</v>
      </c>
      <c r="O4540" s="8" t="s">
        <v>57</v>
      </c>
      <c r="P4540" s="6" t="s">
        <v>43</v>
      </c>
      <c r="Q4540" s="8" t="s">
        <v>214</v>
      </c>
      <c r="R4540" s="10" t="s">
        <v>26929</v>
      </c>
      <c r="S4540" s="11"/>
      <c r="T4540" s="6"/>
      <c r="U4540" s="24" t="str">
        <f>HYPERLINK("https://media.infra-m.ru/2169/2169301/cover/2169301.jpg", "Обложка")</f>
        <v>Обложка</v>
      </c>
      <c r="V4540" s="24" t="str">
        <f>HYPERLINK("https://znanium.ru/catalog/product/1893887", "Ознакомиться")</f>
        <v>Ознакомиться</v>
      </c>
      <c r="W4540" s="8" t="s">
        <v>792</v>
      </c>
      <c r="X4540" s="6"/>
      <c r="Y4540" s="6"/>
      <c r="Z4540" s="6"/>
      <c r="AA4540" s="6" t="s">
        <v>207</v>
      </c>
      <c r="AB4540" s="8"/>
    </row>
    <row r="4541" spans="1:28" s="4" customFormat="1" ht="51.95" customHeight="1">
      <c r="A4541" s="5">
        <v>0</v>
      </c>
      <c r="B4541" s="6" t="s">
        <v>26930</v>
      </c>
      <c r="C4541" s="13">
        <v>2474</v>
      </c>
      <c r="D4541" s="8" t="s">
        <v>26931</v>
      </c>
      <c r="E4541" s="8" t="s">
        <v>26932</v>
      </c>
      <c r="F4541" s="8" t="s">
        <v>14657</v>
      </c>
      <c r="G4541" s="6" t="s">
        <v>89</v>
      </c>
      <c r="H4541" s="6" t="s">
        <v>53</v>
      </c>
      <c r="I4541" s="8" t="s">
        <v>90</v>
      </c>
      <c r="J4541" s="9">
        <v>1</v>
      </c>
      <c r="K4541" s="9">
        <v>496</v>
      </c>
      <c r="L4541" s="9">
        <v>2025</v>
      </c>
      <c r="M4541" s="8" t="s">
        <v>26933</v>
      </c>
      <c r="N4541" s="8" t="s">
        <v>41</v>
      </c>
      <c r="O4541" s="8" t="s">
        <v>1204</v>
      </c>
      <c r="P4541" s="6" t="s">
        <v>43</v>
      </c>
      <c r="Q4541" s="8" t="s">
        <v>44</v>
      </c>
      <c r="R4541" s="10" t="s">
        <v>4214</v>
      </c>
      <c r="S4541" s="11" t="s">
        <v>26934</v>
      </c>
      <c r="T4541" s="6"/>
      <c r="U4541" s="24" t="str">
        <f>HYPERLINK("https://media.infra-m.ru/2188/2188869/cover/2188869.jpg", "Обложка")</f>
        <v>Обложка</v>
      </c>
      <c r="V4541" s="24" t="str">
        <f>HYPERLINK("https://znanium.ru/catalog/product/2188869", "Ознакомиться")</f>
        <v>Ознакомиться</v>
      </c>
      <c r="W4541" s="8" t="s">
        <v>14659</v>
      </c>
      <c r="X4541" s="6"/>
      <c r="Y4541" s="6"/>
      <c r="Z4541" s="6"/>
      <c r="AA4541" s="6" t="s">
        <v>418</v>
      </c>
      <c r="AB4541" s="8"/>
    </row>
    <row r="4542" spans="1:28" s="4" customFormat="1" ht="51.95" customHeight="1">
      <c r="A4542" s="5">
        <v>0</v>
      </c>
      <c r="B4542" s="6" t="s">
        <v>26935</v>
      </c>
      <c r="C4542" s="13">
        <v>1200</v>
      </c>
      <c r="D4542" s="8" t="s">
        <v>26936</v>
      </c>
      <c r="E4542" s="8" t="s">
        <v>26937</v>
      </c>
      <c r="F4542" s="8" t="s">
        <v>26938</v>
      </c>
      <c r="G4542" s="6" t="s">
        <v>89</v>
      </c>
      <c r="H4542" s="6" t="s">
        <v>184</v>
      </c>
      <c r="I4542" s="8" t="s">
        <v>116</v>
      </c>
      <c r="J4542" s="9">
        <v>1</v>
      </c>
      <c r="K4542" s="9">
        <v>264</v>
      </c>
      <c r="L4542" s="9">
        <v>2023</v>
      </c>
      <c r="M4542" s="8" t="s">
        <v>26939</v>
      </c>
      <c r="N4542" s="8" t="s">
        <v>41</v>
      </c>
      <c r="O4542" s="8" t="s">
        <v>1204</v>
      </c>
      <c r="P4542" s="6" t="s">
        <v>167</v>
      </c>
      <c r="Q4542" s="8" t="s">
        <v>58</v>
      </c>
      <c r="R4542" s="10" t="s">
        <v>26940</v>
      </c>
      <c r="S4542" s="11" t="s">
        <v>26941</v>
      </c>
      <c r="T4542" s="6"/>
      <c r="U4542" s="24" t="str">
        <f>HYPERLINK("https://media.infra-m.ru/2002/2002592/cover/2002592.jpg", "Обложка")</f>
        <v>Обложка</v>
      </c>
      <c r="V4542" s="24" t="str">
        <f>HYPERLINK("https://znanium.ru/catalog/product/2002592", "Ознакомиться")</f>
        <v>Ознакомиться</v>
      </c>
      <c r="W4542" s="8"/>
      <c r="X4542" s="6"/>
      <c r="Y4542" s="6"/>
      <c r="Z4542" s="6"/>
      <c r="AA4542" s="6" t="s">
        <v>442</v>
      </c>
      <c r="AB4542" s="8"/>
    </row>
    <row r="4543" spans="1:28" s="4" customFormat="1" ht="51.95" customHeight="1">
      <c r="A4543" s="5">
        <v>0</v>
      </c>
      <c r="B4543" s="6" t="s">
        <v>26942</v>
      </c>
      <c r="C4543" s="13">
        <v>1994</v>
      </c>
      <c r="D4543" s="8" t="s">
        <v>26943</v>
      </c>
      <c r="E4543" s="8" t="s">
        <v>26944</v>
      </c>
      <c r="F4543" s="8" t="s">
        <v>26945</v>
      </c>
      <c r="G4543" s="6" t="s">
        <v>52</v>
      </c>
      <c r="H4543" s="6" t="s">
        <v>674</v>
      </c>
      <c r="I4543" s="8"/>
      <c r="J4543" s="9">
        <v>1</v>
      </c>
      <c r="K4543" s="9">
        <v>400</v>
      </c>
      <c r="L4543" s="9">
        <v>2025</v>
      </c>
      <c r="M4543" s="8" t="s">
        <v>26946</v>
      </c>
      <c r="N4543" s="8" t="s">
        <v>41</v>
      </c>
      <c r="O4543" s="8" t="s">
        <v>676</v>
      </c>
      <c r="P4543" s="6" t="s">
        <v>167</v>
      </c>
      <c r="Q4543" s="8" t="s">
        <v>58</v>
      </c>
      <c r="R4543" s="10" t="s">
        <v>806</v>
      </c>
      <c r="S4543" s="11"/>
      <c r="T4543" s="6"/>
      <c r="U4543" s="24" t="str">
        <f>HYPERLINK("https://media.infra-m.ru/2168/2168290/cover/2168290.jpg", "Обложка")</f>
        <v>Обложка</v>
      </c>
      <c r="V4543" s="24" t="str">
        <f>HYPERLINK("https://znanium.ru/catalog/product/2129570", "Ознакомиться")</f>
        <v>Ознакомиться</v>
      </c>
      <c r="W4543" s="8" t="s">
        <v>792</v>
      </c>
      <c r="X4543" s="6"/>
      <c r="Y4543" s="6"/>
      <c r="Z4543" s="6"/>
      <c r="AA4543" s="6" t="s">
        <v>219</v>
      </c>
      <c r="AB4543" s="8"/>
    </row>
    <row r="4544" spans="1:28" s="4" customFormat="1" ht="51.95" customHeight="1">
      <c r="A4544" s="5">
        <v>0</v>
      </c>
      <c r="B4544" s="6" t="s">
        <v>26947</v>
      </c>
      <c r="C4544" s="13">
        <v>1100</v>
      </c>
      <c r="D4544" s="8" t="s">
        <v>26948</v>
      </c>
      <c r="E4544" s="8" t="s">
        <v>26949</v>
      </c>
      <c r="F4544" s="8" t="s">
        <v>6978</v>
      </c>
      <c r="G4544" s="6" t="s">
        <v>89</v>
      </c>
      <c r="H4544" s="6" t="s">
        <v>53</v>
      </c>
      <c r="I4544" s="8" t="s">
        <v>116</v>
      </c>
      <c r="J4544" s="9">
        <v>1</v>
      </c>
      <c r="K4544" s="9">
        <v>237</v>
      </c>
      <c r="L4544" s="9">
        <v>2024</v>
      </c>
      <c r="M4544" s="8" t="s">
        <v>26950</v>
      </c>
      <c r="N4544" s="8" t="s">
        <v>41</v>
      </c>
      <c r="O4544" s="8" t="s">
        <v>1204</v>
      </c>
      <c r="P4544" s="6" t="s">
        <v>43</v>
      </c>
      <c r="Q4544" s="8" t="s">
        <v>44</v>
      </c>
      <c r="R4544" s="10" t="s">
        <v>26951</v>
      </c>
      <c r="S4544" s="11" t="s">
        <v>6981</v>
      </c>
      <c r="T4544" s="6"/>
      <c r="U4544" s="24" t="str">
        <f>HYPERLINK("https://media.infra-m.ru/2103/2103734/cover/2103734.jpg", "Обложка")</f>
        <v>Обложка</v>
      </c>
      <c r="V4544" s="24" t="str">
        <f>HYPERLINK("https://znanium.ru/catalog/product/2103734", "Ознакомиться")</f>
        <v>Ознакомиться</v>
      </c>
      <c r="W4544" s="8" t="s">
        <v>4293</v>
      </c>
      <c r="X4544" s="6"/>
      <c r="Y4544" s="6"/>
      <c r="Z4544" s="6"/>
      <c r="AA4544" s="6" t="s">
        <v>418</v>
      </c>
      <c r="AB4544" s="8"/>
    </row>
    <row r="4545" spans="1:28" s="4" customFormat="1" ht="51.95" customHeight="1">
      <c r="A4545" s="5">
        <v>0</v>
      </c>
      <c r="B4545" s="6" t="s">
        <v>26952</v>
      </c>
      <c r="C4545" s="13">
        <v>1324.9</v>
      </c>
      <c r="D4545" s="8" t="s">
        <v>26953</v>
      </c>
      <c r="E4545" s="8" t="s">
        <v>26954</v>
      </c>
      <c r="F4545" s="8" t="s">
        <v>19224</v>
      </c>
      <c r="G4545" s="6" t="s">
        <v>52</v>
      </c>
      <c r="H4545" s="6" t="s">
        <v>53</v>
      </c>
      <c r="I4545" s="8" t="s">
        <v>90</v>
      </c>
      <c r="J4545" s="9">
        <v>1</v>
      </c>
      <c r="K4545" s="9">
        <v>295</v>
      </c>
      <c r="L4545" s="9">
        <v>2023</v>
      </c>
      <c r="M4545" s="8" t="s">
        <v>26955</v>
      </c>
      <c r="N4545" s="8" t="s">
        <v>41</v>
      </c>
      <c r="O4545" s="8" t="s">
        <v>1204</v>
      </c>
      <c r="P4545" s="6" t="s">
        <v>43</v>
      </c>
      <c r="Q4545" s="8" t="s">
        <v>44</v>
      </c>
      <c r="R4545" s="10" t="s">
        <v>26956</v>
      </c>
      <c r="S4545" s="11"/>
      <c r="T4545" s="6"/>
      <c r="U4545" s="24" t="str">
        <f>HYPERLINK("https://media.infra-m.ru/1981/1981675/cover/1981675.jpg", "Обложка")</f>
        <v>Обложка</v>
      </c>
      <c r="V4545" s="24" t="str">
        <f>HYPERLINK("https://znanium.ru/catalog/product/1981675", "Ознакомиться")</f>
        <v>Ознакомиться</v>
      </c>
      <c r="W4545" s="8" t="s">
        <v>2514</v>
      </c>
      <c r="X4545" s="6"/>
      <c r="Y4545" s="6"/>
      <c r="Z4545" s="6"/>
      <c r="AA4545" s="6" t="s">
        <v>47</v>
      </c>
      <c r="AB4545" s="8"/>
    </row>
    <row r="4546" spans="1:28" s="4" customFormat="1" ht="51.95" customHeight="1">
      <c r="A4546" s="5">
        <v>0</v>
      </c>
      <c r="B4546" s="6" t="s">
        <v>26957</v>
      </c>
      <c r="C4546" s="13">
        <v>1584</v>
      </c>
      <c r="D4546" s="8" t="s">
        <v>26958</v>
      </c>
      <c r="E4546" s="8" t="s">
        <v>26959</v>
      </c>
      <c r="F4546" s="8" t="s">
        <v>26960</v>
      </c>
      <c r="G4546" s="6" t="s">
        <v>52</v>
      </c>
      <c r="H4546" s="6" t="s">
        <v>1738</v>
      </c>
      <c r="I4546" s="8" t="s">
        <v>1171</v>
      </c>
      <c r="J4546" s="9">
        <v>1</v>
      </c>
      <c r="K4546" s="9">
        <v>336</v>
      </c>
      <c r="L4546" s="9">
        <v>2024</v>
      </c>
      <c r="M4546" s="8" t="s">
        <v>26961</v>
      </c>
      <c r="N4546" s="8" t="s">
        <v>41</v>
      </c>
      <c r="O4546" s="8" t="s">
        <v>1204</v>
      </c>
      <c r="P4546" s="6" t="s">
        <v>167</v>
      </c>
      <c r="Q4546" s="8" t="s">
        <v>44</v>
      </c>
      <c r="R4546" s="10" t="s">
        <v>26962</v>
      </c>
      <c r="S4546" s="11"/>
      <c r="T4546" s="6"/>
      <c r="U4546" s="24" t="str">
        <f>HYPERLINK("https://media.infra-m.ru/2104/2104847/cover/2104847.jpg", "Обложка")</f>
        <v>Обложка</v>
      </c>
      <c r="V4546" s="24" t="str">
        <f>HYPERLINK("https://znanium.ru/catalog/product/2104847", "Ознакомиться")</f>
        <v>Ознакомиться</v>
      </c>
      <c r="W4546" s="8" t="s">
        <v>26963</v>
      </c>
      <c r="X4546" s="6"/>
      <c r="Y4546" s="6"/>
      <c r="Z4546" s="6"/>
      <c r="AA4546" s="6" t="s">
        <v>377</v>
      </c>
      <c r="AB4546" s="8"/>
    </row>
    <row r="4547" spans="1:28" s="4" customFormat="1" ht="42" customHeight="1">
      <c r="A4547" s="5">
        <v>0</v>
      </c>
      <c r="B4547" s="6" t="s">
        <v>26964</v>
      </c>
      <c r="C4547" s="7">
        <v>984</v>
      </c>
      <c r="D4547" s="8" t="s">
        <v>26965</v>
      </c>
      <c r="E4547" s="8" t="s">
        <v>26966</v>
      </c>
      <c r="F4547" s="8" t="s">
        <v>26967</v>
      </c>
      <c r="G4547" s="6" t="s">
        <v>38</v>
      </c>
      <c r="H4547" s="6" t="s">
        <v>184</v>
      </c>
      <c r="I4547" s="8" t="s">
        <v>116</v>
      </c>
      <c r="J4547" s="9">
        <v>1</v>
      </c>
      <c r="K4547" s="9">
        <v>189</v>
      </c>
      <c r="L4547" s="9">
        <v>2025</v>
      </c>
      <c r="M4547" s="8" t="s">
        <v>26968</v>
      </c>
      <c r="N4547" s="8" t="s">
        <v>41</v>
      </c>
      <c r="O4547" s="8" t="s">
        <v>1204</v>
      </c>
      <c r="P4547" s="6" t="s">
        <v>167</v>
      </c>
      <c r="Q4547" s="8" t="s">
        <v>44</v>
      </c>
      <c r="R4547" s="10" t="s">
        <v>8990</v>
      </c>
      <c r="S4547" s="11"/>
      <c r="T4547" s="6"/>
      <c r="U4547" s="24" t="str">
        <f>HYPERLINK("https://media.infra-m.ru/2198/2198526/cover/2198526.jpg", "Обложка")</f>
        <v>Обложка</v>
      </c>
      <c r="V4547" s="24" t="str">
        <f>HYPERLINK("https://znanium.ru/catalog/product/1948190", "Ознакомиться")</f>
        <v>Ознакомиться</v>
      </c>
      <c r="W4547" s="8" t="s">
        <v>913</v>
      </c>
      <c r="X4547" s="6"/>
      <c r="Y4547" s="6"/>
      <c r="Z4547" s="6"/>
      <c r="AA4547" s="6" t="s">
        <v>442</v>
      </c>
      <c r="AB4547" s="8"/>
    </row>
    <row r="4548" spans="1:28" s="4" customFormat="1" ht="51.95" customHeight="1">
      <c r="A4548" s="5">
        <v>0</v>
      </c>
      <c r="B4548" s="6" t="s">
        <v>26969</v>
      </c>
      <c r="C4548" s="7">
        <v>874</v>
      </c>
      <c r="D4548" s="8" t="s">
        <v>26970</v>
      </c>
      <c r="E4548" s="8" t="s">
        <v>26971</v>
      </c>
      <c r="F4548" s="8" t="s">
        <v>26972</v>
      </c>
      <c r="G4548" s="6" t="s">
        <v>38</v>
      </c>
      <c r="H4548" s="6" t="s">
        <v>53</v>
      </c>
      <c r="I4548" s="8" t="s">
        <v>90</v>
      </c>
      <c r="J4548" s="9">
        <v>1</v>
      </c>
      <c r="K4548" s="9">
        <v>190</v>
      </c>
      <c r="L4548" s="9">
        <v>2024</v>
      </c>
      <c r="M4548" s="8" t="s">
        <v>26973</v>
      </c>
      <c r="N4548" s="8" t="s">
        <v>41</v>
      </c>
      <c r="O4548" s="8" t="s">
        <v>1204</v>
      </c>
      <c r="P4548" s="6" t="s">
        <v>43</v>
      </c>
      <c r="Q4548" s="8" t="s">
        <v>44</v>
      </c>
      <c r="R4548" s="10" t="s">
        <v>26974</v>
      </c>
      <c r="S4548" s="11" t="s">
        <v>26975</v>
      </c>
      <c r="T4548" s="6"/>
      <c r="U4548" s="24" t="str">
        <f>HYPERLINK("https://media.infra-m.ru/2091/2091927/cover/2091927.jpg", "Обложка")</f>
        <v>Обложка</v>
      </c>
      <c r="V4548" s="24" t="str">
        <f>HYPERLINK("https://znanium.ru/catalog/product/1010817", "Ознакомиться")</f>
        <v>Ознакомиться</v>
      </c>
      <c r="W4548" s="8" t="s">
        <v>3570</v>
      </c>
      <c r="X4548" s="6"/>
      <c r="Y4548" s="6"/>
      <c r="Z4548" s="6"/>
      <c r="AA4548" s="6" t="s">
        <v>47</v>
      </c>
      <c r="AB4548" s="8"/>
    </row>
    <row r="4549" spans="1:28" s="4" customFormat="1" ht="51.95" customHeight="1">
      <c r="A4549" s="5">
        <v>0</v>
      </c>
      <c r="B4549" s="6" t="s">
        <v>26976</v>
      </c>
      <c r="C4549" s="13">
        <v>1070</v>
      </c>
      <c r="D4549" s="8" t="s">
        <v>26977</v>
      </c>
      <c r="E4549" s="8" t="s">
        <v>26978</v>
      </c>
      <c r="F4549" s="8" t="s">
        <v>26979</v>
      </c>
      <c r="G4549" s="6" t="s">
        <v>89</v>
      </c>
      <c r="H4549" s="6" t="s">
        <v>53</v>
      </c>
      <c r="I4549" s="8" t="s">
        <v>116</v>
      </c>
      <c r="J4549" s="9">
        <v>1</v>
      </c>
      <c r="K4549" s="9">
        <v>231</v>
      </c>
      <c r="L4549" s="9">
        <v>2024</v>
      </c>
      <c r="M4549" s="8" t="s">
        <v>26980</v>
      </c>
      <c r="N4549" s="8" t="s">
        <v>41</v>
      </c>
      <c r="O4549" s="8" t="s">
        <v>1204</v>
      </c>
      <c r="P4549" s="6" t="s">
        <v>167</v>
      </c>
      <c r="Q4549" s="8" t="s">
        <v>58</v>
      </c>
      <c r="R4549" s="10" t="s">
        <v>26981</v>
      </c>
      <c r="S4549" s="11" t="s">
        <v>26982</v>
      </c>
      <c r="T4549" s="6"/>
      <c r="U4549" s="24" t="str">
        <f>HYPERLINK("https://media.infra-m.ru/2080/2080362/cover/2080362.jpg", "Обложка")</f>
        <v>Обложка</v>
      </c>
      <c r="V4549" s="24" t="str">
        <f>HYPERLINK("https://znanium.ru/catalog/product/2080362", "Ознакомиться")</f>
        <v>Ознакомиться</v>
      </c>
      <c r="W4549" s="8" t="s">
        <v>1571</v>
      </c>
      <c r="X4549" s="6"/>
      <c r="Y4549" s="6"/>
      <c r="Z4549" s="6"/>
      <c r="AA4549" s="6" t="s">
        <v>151</v>
      </c>
      <c r="AB4549" s="8" t="s">
        <v>840</v>
      </c>
    </row>
    <row r="4550" spans="1:28" s="4" customFormat="1" ht="51.95" customHeight="1">
      <c r="A4550" s="5">
        <v>0</v>
      </c>
      <c r="B4550" s="6" t="s">
        <v>26983</v>
      </c>
      <c r="C4550" s="13">
        <v>1260</v>
      </c>
      <c r="D4550" s="8" t="s">
        <v>26984</v>
      </c>
      <c r="E4550" s="8" t="s">
        <v>26985</v>
      </c>
      <c r="F4550" s="8" t="s">
        <v>26986</v>
      </c>
      <c r="G4550" s="6" t="s">
        <v>89</v>
      </c>
      <c r="H4550" s="6" t="s">
        <v>53</v>
      </c>
      <c r="I4550" s="8" t="s">
        <v>116</v>
      </c>
      <c r="J4550" s="9">
        <v>1</v>
      </c>
      <c r="K4550" s="9">
        <v>274</v>
      </c>
      <c r="L4550" s="9">
        <v>2023</v>
      </c>
      <c r="M4550" s="8" t="s">
        <v>26987</v>
      </c>
      <c r="N4550" s="8" t="s">
        <v>41</v>
      </c>
      <c r="O4550" s="8" t="s">
        <v>1204</v>
      </c>
      <c r="P4550" s="6" t="s">
        <v>167</v>
      </c>
      <c r="Q4550" s="8" t="s">
        <v>58</v>
      </c>
      <c r="R4550" s="10" t="s">
        <v>26988</v>
      </c>
      <c r="S4550" s="11" t="s">
        <v>26989</v>
      </c>
      <c r="T4550" s="6"/>
      <c r="U4550" s="24" t="str">
        <f>HYPERLINK("https://media.infra-m.ru/2023/2023167/cover/2023167.jpg", "Обложка")</f>
        <v>Обложка</v>
      </c>
      <c r="V4550" s="24" t="str">
        <f>HYPERLINK("https://znanium.ru/catalog/product/2023167", "Ознакомиться")</f>
        <v>Ознакомиться</v>
      </c>
      <c r="W4550" s="8" t="s">
        <v>1571</v>
      </c>
      <c r="X4550" s="6"/>
      <c r="Y4550" s="6"/>
      <c r="Z4550" s="6"/>
      <c r="AA4550" s="6" t="s">
        <v>442</v>
      </c>
      <c r="AB4550" s="8"/>
    </row>
    <row r="4551" spans="1:28" s="4" customFormat="1" ht="44.1" customHeight="1">
      <c r="A4551" s="5">
        <v>0</v>
      </c>
      <c r="B4551" s="6" t="s">
        <v>26990</v>
      </c>
      <c r="C4551" s="7">
        <v>854.9</v>
      </c>
      <c r="D4551" s="8" t="s">
        <v>26991</v>
      </c>
      <c r="E4551" s="8" t="s">
        <v>26985</v>
      </c>
      <c r="F4551" s="8" t="s">
        <v>19265</v>
      </c>
      <c r="G4551" s="6" t="s">
        <v>52</v>
      </c>
      <c r="H4551" s="6" t="s">
        <v>649</v>
      </c>
      <c r="I4551" s="8" t="s">
        <v>116</v>
      </c>
      <c r="J4551" s="9">
        <v>1</v>
      </c>
      <c r="K4551" s="9">
        <v>224</v>
      </c>
      <c r="L4551" s="9">
        <v>2022</v>
      </c>
      <c r="M4551" s="8" t="s">
        <v>26992</v>
      </c>
      <c r="N4551" s="8" t="s">
        <v>41</v>
      </c>
      <c r="O4551" s="8" t="s">
        <v>1204</v>
      </c>
      <c r="P4551" s="6" t="s">
        <v>43</v>
      </c>
      <c r="Q4551" s="8" t="s">
        <v>44</v>
      </c>
      <c r="R4551" s="10" t="s">
        <v>9496</v>
      </c>
      <c r="S4551" s="11"/>
      <c r="T4551" s="6"/>
      <c r="U4551" s="24" t="str">
        <f>HYPERLINK("https://media.infra-m.ru/1852/1852243/cover/1852243.jpg", "Обложка")</f>
        <v>Обложка</v>
      </c>
      <c r="V4551" s="24" t="str">
        <f>HYPERLINK("https://znanium.ru/catalog/product/1852243", "Ознакомиться")</f>
        <v>Ознакомиться</v>
      </c>
      <c r="W4551" s="8" t="s">
        <v>10326</v>
      </c>
      <c r="X4551" s="6"/>
      <c r="Y4551" s="6"/>
      <c r="Z4551" s="6"/>
      <c r="AA4551" s="6" t="s">
        <v>84</v>
      </c>
      <c r="AB4551" s="8"/>
    </row>
    <row r="4552" spans="1:28" s="4" customFormat="1" ht="51.95" customHeight="1">
      <c r="A4552" s="5">
        <v>0</v>
      </c>
      <c r="B4552" s="6" t="s">
        <v>26993</v>
      </c>
      <c r="C4552" s="13">
        <v>1144.9000000000001</v>
      </c>
      <c r="D4552" s="8" t="s">
        <v>26994</v>
      </c>
      <c r="E4552" s="8" t="s">
        <v>26995</v>
      </c>
      <c r="F4552" s="8" t="s">
        <v>11038</v>
      </c>
      <c r="G4552" s="6" t="s">
        <v>89</v>
      </c>
      <c r="H4552" s="6" t="s">
        <v>649</v>
      </c>
      <c r="I4552" s="8" t="s">
        <v>116</v>
      </c>
      <c r="J4552" s="9">
        <v>1</v>
      </c>
      <c r="K4552" s="9">
        <v>254</v>
      </c>
      <c r="L4552" s="9">
        <v>2023</v>
      </c>
      <c r="M4552" s="8" t="s">
        <v>26996</v>
      </c>
      <c r="N4552" s="8" t="s">
        <v>41</v>
      </c>
      <c r="O4552" s="8" t="s">
        <v>1204</v>
      </c>
      <c r="P4552" s="6" t="s">
        <v>43</v>
      </c>
      <c r="Q4552" s="8" t="s">
        <v>44</v>
      </c>
      <c r="R4552" s="10" t="s">
        <v>26997</v>
      </c>
      <c r="S4552" s="11" t="s">
        <v>26998</v>
      </c>
      <c r="T4552" s="6"/>
      <c r="U4552" s="24" t="str">
        <f>HYPERLINK("https://media.infra-m.ru/2001/2001697/cover/2001697.jpg", "Обложка")</f>
        <v>Обложка</v>
      </c>
      <c r="V4552" s="24" t="str">
        <f>HYPERLINK("https://znanium.ru/catalog/product/2001697", "Ознакомиться")</f>
        <v>Ознакомиться</v>
      </c>
      <c r="W4552" s="8" t="s">
        <v>10326</v>
      </c>
      <c r="X4552" s="6"/>
      <c r="Y4552" s="6"/>
      <c r="Z4552" s="6"/>
      <c r="AA4552" s="6" t="s">
        <v>442</v>
      </c>
      <c r="AB4552" s="8"/>
    </row>
    <row r="4553" spans="1:28" s="4" customFormat="1" ht="51.95" customHeight="1">
      <c r="A4553" s="5">
        <v>0</v>
      </c>
      <c r="B4553" s="6" t="s">
        <v>26999</v>
      </c>
      <c r="C4553" s="13">
        <v>1494</v>
      </c>
      <c r="D4553" s="8" t="s">
        <v>27000</v>
      </c>
      <c r="E4553" s="8" t="s">
        <v>27001</v>
      </c>
      <c r="F4553" s="8" t="s">
        <v>27002</v>
      </c>
      <c r="G4553" s="6" t="s">
        <v>38</v>
      </c>
      <c r="H4553" s="6" t="s">
        <v>1094</v>
      </c>
      <c r="I4553" s="8" t="s">
        <v>5841</v>
      </c>
      <c r="J4553" s="9">
        <v>1</v>
      </c>
      <c r="K4553" s="9">
        <v>336</v>
      </c>
      <c r="L4553" s="9">
        <v>2025</v>
      </c>
      <c r="M4553" s="8" t="s">
        <v>27003</v>
      </c>
      <c r="N4553" s="8" t="s">
        <v>41</v>
      </c>
      <c r="O4553" s="8" t="s">
        <v>676</v>
      </c>
      <c r="P4553" s="6" t="s">
        <v>43</v>
      </c>
      <c r="Q4553" s="8" t="s">
        <v>44</v>
      </c>
      <c r="R4553" s="10" t="s">
        <v>27004</v>
      </c>
      <c r="S4553" s="11"/>
      <c r="T4553" s="6"/>
      <c r="U4553" s="24" t="str">
        <f>HYPERLINK("https://media.infra-m.ru/2170/2170312/cover/2170312.jpg", "Обложка")</f>
        <v>Обложка</v>
      </c>
      <c r="V4553" s="24" t="str">
        <f>HYPERLINK("https://znanium.ru/catalog/product/1937942", "Ознакомиться")</f>
        <v>Ознакомиться</v>
      </c>
      <c r="W4553" s="8" t="s">
        <v>678</v>
      </c>
      <c r="X4553" s="6"/>
      <c r="Y4553" s="6"/>
      <c r="Z4553" s="6"/>
      <c r="AA4553" s="6" t="s">
        <v>4504</v>
      </c>
      <c r="AB4553" s="8"/>
    </row>
    <row r="4554" spans="1:28" s="4" customFormat="1" ht="51.95" customHeight="1">
      <c r="A4554" s="5">
        <v>0</v>
      </c>
      <c r="B4554" s="6" t="s">
        <v>27005</v>
      </c>
      <c r="C4554" s="13">
        <v>1174</v>
      </c>
      <c r="D4554" s="8" t="s">
        <v>27006</v>
      </c>
      <c r="E4554" s="8" t="s">
        <v>27007</v>
      </c>
      <c r="F4554" s="8" t="s">
        <v>22121</v>
      </c>
      <c r="G4554" s="6" t="s">
        <v>52</v>
      </c>
      <c r="H4554" s="6" t="s">
        <v>184</v>
      </c>
      <c r="I4554" s="8" t="s">
        <v>90</v>
      </c>
      <c r="J4554" s="9">
        <v>1</v>
      </c>
      <c r="K4554" s="9">
        <v>235</v>
      </c>
      <c r="L4554" s="9">
        <v>2025</v>
      </c>
      <c r="M4554" s="8" t="s">
        <v>27008</v>
      </c>
      <c r="N4554" s="8" t="s">
        <v>41</v>
      </c>
      <c r="O4554" s="8" t="s">
        <v>1204</v>
      </c>
      <c r="P4554" s="6" t="s">
        <v>167</v>
      </c>
      <c r="Q4554" s="8" t="s">
        <v>44</v>
      </c>
      <c r="R4554" s="10" t="s">
        <v>7994</v>
      </c>
      <c r="S4554" s="11" t="s">
        <v>27009</v>
      </c>
      <c r="T4554" s="6"/>
      <c r="U4554" s="24" t="str">
        <f>HYPERLINK("https://media.infra-m.ru/2188/2188173/cover/2188173.jpg", "Обложка")</f>
        <v>Обложка</v>
      </c>
      <c r="V4554" s="24" t="str">
        <f>HYPERLINK("https://znanium.ru/catalog/product/1925533", "Ознакомиться")</f>
        <v>Ознакомиться</v>
      </c>
      <c r="W4554" s="8" t="s">
        <v>637</v>
      </c>
      <c r="X4554" s="6"/>
      <c r="Y4554" s="6"/>
      <c r="Z4554" s="6"/>
      <c r="AA4554" s="6" t="s">
        <v>47</v>
      </c>
      <c r="AB4554" s="8"/>
    </row>
    <row r="4555" spans="1:28" s="4" customFormat="1" ht="51.95" customHeight="1">
      <c r="A4555" s="5">
        <v>0</v>
      </c>
      <c r="B4555" s="6" t="s">
        <v>27010</v>
      </c>
      <c r="C4555" s="7">
        <v>644</v>
      </c>
      <c r="D4555" s="8" t="s">
        <v>27011</v>
      </c>
      <c r="E4555" s="8" t="s">
        <v>27012</v>
      </c>
      <c r="F4555" s="8" t="s">
        <v>27013</v>
      </c>
      <c r="G4555" s="6" t="s">
        <v>38</v>
      </c>
      <c r="H4555" s="6" t="s">
        <v>53</v>
      </c>
      <c r="I4555" s="8" t="s">
        <v>90</v>
      </c>
      <c r="J4555" s="9">
        <v>1</v>
      </c>
      <c r="K4555" s="9">
        <v>128</v>
      </c>
      <c r="L4555" s="9">
        <v>2025</v>
      </c>
      <c r="M4555" s="8" t="s">
        <v>27014</v>
      </c>
      <c r="N4555" s="8" t="s">
        <v>41</v>
      </c>
      <c r="O4555" s="8" t="s">
        <v>278</v>
      </c>
      <c r="P4555" s="6" t="s">
        <v>43</v>
      </c>
      <c r="Q4555" s="8" t="s">
        <v>44</v>
      </c>
      <c r="R4555" s="10" t="s">
        <v>27015</v>
      </c>
      <c r="S4555" s="11" t="s">
        <v>18091</v>
      </c>
      <c r="T4555" s="6"/>
      <c r="U4555" s="24" t="str">
        <f>HYPERLINK("https://media.infra-m.ru/2188/2188728/cover/2188728.jpg", "Обложка")</f>
        <v>Обложка</v>
      </c>
      <c r="V4555" s="24" t="str">
        <f>HYPERLINK("https://znanium.ru/catalog/product/1840483", "Ознакомиться")</f>
        <v>Ознакомиться</v>
      </c>
      <c r="W4555" s="8" t="s">
        <v>2321</v>
      </c>
      <c r="X4555" s="6"/>
      <c r="Y4555" s="6"/>
      <c r="Z4555" s="6"/>
      <c r="AA4555" s="6" t="s">
        <v>72</v>
      </c>
      <c r="AB4555" s="8"/>
    </row>
    <row r="4556" spans="1:28" s="4" customFormat="1" ht="51.95" customHeight="1">
      <c r="A4556" s="5">
        <v>0</v>
      </c>
      <c r="B4556" s="6" t="s">
        <v>27016</v>
      </c>
      <c r="C4556" s="13">
        <v>1424</v>
      </c>
      <c r="D4556" s="8" t="s">
        <v>27017</v>
      </c>
      <c r="E4556" s="8" t="s">
        <v>27018</v>
      </c>
      <c r="F4556" s="8" t="s">
        <v>27019</v>
      </c>
      <c r="G4556" s="6" t="s">
        <v>52</v>
      </c>
      <c r="H4556" s="6" t="s">
        <v>53</v>
      </c>
      <c r="I4556" s="8" t="s">
        <v>90</v>
      </c>
      <c r="J4556" s="9">
        <v>1</v>
      </c>
      <c r="K4556" s="9">
        <v>304</v>
      </c>
      <c r="L4556" s="9">
        <v>2024</v>
      </c>
      <c r="M4556" s="8" t="s">
        <v>27020</v>
      </c>
      <c r="N4556" s="8" t="s">
        <v>41</v>
      </c>
      <c r="O4556" s="8" t="s">
        <v>1204</v>
      </c>
      <c r="P4556" s="6" t="s">
        <v>43</v>
      </c>
      <c r="Q4556" s="8" t="s">
        <v>44</v>
      </c>
      <c r="R4556" s="10" t="s">
        <v>27021</v>
      </c>
      <c r="S4556" s="11" t="s">
        <v>27022</v>
      </c>
      <c r="T4556" s="6"/>
      <c r="U4556" s="24" t="str">
        <f>HYPERLINK("https://media.infra-m.ru/2136/2136880/cover/2136880.jpg", "Обложка")</f>
        <v>Обложка</v>
      </c>
      <c r="V4556" s="24" t="str">
        <f>HYPERLINK("https://znanium.ru/catalog/product/2136880", "Ознакомиться")</f>
        <v>Ознакомиться</v>
      </c>
      <c r="W4556" s="8" t="s">
        <v>4293</v>
      </c>
      <c r="X4556" s="6"/>
      <c r="Y4556" s="6"/>
      <c r="Z4556" s="6"/>
      <c r="AA4556" s="6" t="s">
        <v>11454</v>
      </c>
      <c r="AB4556" s="8"/>
    </row>
    <row r="4557" spans="1:28" s="4" customFormat="1" ht="44.1" customHeight="1">
      <c r="A4557" s="5">
        <v>0</v>
      </c>
      <c r="B4557" s="6" t="s">
        <v>27023</v>
      </c>
      <c r="C4557" s="7">
        <v>884</v>
      </c>
      <c r="D4557" s="8" t="s">
        <v>27024</v>
      </c>
      <c r="E4557" s="8" t="s">
        <v>27025</v>
      </c>
      <c r="F4557" s="8" t="s">
        <v>11038</v>
      </c>
      <c r="G4557" s="6" t="s">
        <v>38</v>
      </c>
      <c r="H4557" s="6" t="s">
        <v>649</v>
      </c>
      <c r="I4557" s="8" t="s">
        <v>116</v>
      </c>
      <c r="J4557" s="9">
        <v>1</v>
      </c>
      <c r="K4557" s="9">
        <v>192</v>
      </c>
      <c r="L4557" s="9">
        <v>2024</v>
      </c>
      <c r="M4557" s="8" t="s">
        <v>27026</v>
      </c>
      <c r="N4557" s="8" t="s">
        <v>41</v>
      </c>
      <c r="O4557" s="8" t="s">
        <v>1204</v>
      </c>
      <c r="P4557" s="6" t="s">
        <v>43</v>
      </c>
      <c r="Q4557" s="8" t="s">
        <v>44</v>
      </c>
      <c r="R4557" s="10" t="s">
        <v>27027</v>
      </c>
      <c r="S4557" s="11"/>
      <c r="T4557" s="6"/>
      <c r="U4557" s="24" t="str">
        <f>HYPERLINK("https://media.infra-m.ru/2091/2091906/cover/2091906.jpg", "Обложка")</f>
        <v>Обложка</v>
      </c>
      <c r="V4557" s="24" t="str">
        <f>HYPERLINK("https://znanium.ru/catalog/product/1743739", "Ознакомиться")</f>
        <v>Ознакомиться</v>
      </c>
      <c r="W4557" s="8" t="s">
        <v>10326</v>
      </c>
      <c r="X4557" s="6"/>
      <c r="Y4557" s="6"/>
      <c r="Z4557" s="6"/>
      <c r="AA4557" s="6" t="s">
        <v>418</v>
      </c>
      <c r="AB4557" s="8"/>
    </row>
    <row r="4558" spans="1:28" s="4" customFormat="1" ht="51.95" customHeight="1">
      <c r="A4558" s="5">
        <v>0</v>
      </c>
      <c r="B4558" s="6" t="s">
        <v>27028</v>
      </c>
      <c r="C4558" s="13">
        <v>2870</v>
      </c>
      <c r="D4558" s="8" t="s">
        <v>27029</v>
      </c>
      <c r="E4558" s="8" t="s">
        <v>27030</v>
      </c>
      <c r="F4558" s="8" t="s">
        <v>27031</v>
      </c>
      <c r="G4558" s="6" t="s">
        <v>52</v>
      </c>
      <c r="H4558" s="6" t="s">
        <v>53</v>
      </c>
      <c r="I4558" s="8" t="s">
        <v>90</v>
      </c>
      <c r="J4558" s="9">
        <v>1</v>
      </c>
      <c r="K4558" s="9">
        <v>637</v>
      </c>
      <c r="L4558" s="9">
        <v>2023</v>
      </c>
      <c r="M4558" s="8" t="s">
        <v>27032</v>
      </c>
      <c r="N4558" s="8" t="s">
        <v>41</v>
      </c>
      <c r="O4558" s="8" t="s">
        <v>1204</v>
      </c>
      <c r="P4558" s="6" t="s">
        <v>167</v>
      </c>
      <c r="Q4558" s="8" t="s">
        <v>44</v>
      </c>
      <c r="R4558" s="10" t="s">
        <v>27027</v>
      </c>
      <c r="S4558" s="11" t="s">
        <v>27033</v>
      </c>
      <c r="T4558" s="6"/>
      <c r="U4558" s="24" t="str">
        <f>HYPERLINK("https://media.infra-m.ru/1932/1932287/cover/1932287.jpg", "Обложка")</f>
        <v>Обложка</v>
      </c>
      <c r="V4558" s="24" t="str">
        <f>HYPERLINK("https://znanium.ru/catalog/product/1932287", "Ознакомиться")</f>
        <v>Ознакомиться</v>
      </c>
      <c r="W4558" s="8" t="s">
        <v>14769</v>
      </c>
      <c r="X4558" s="6"/>
      <c r="Y4558" s="6"/>
      <c r="Z4558" s="6"/>
      <c r="AA4558" s="6" t="s">
        <v>1442</v>
      </c>
      <c r="AB4558" s="8"/>
    </row>
    <row r="4559" spans="1:28" s="4" customFormat="1" ht="51.95" customHeight="1">
      <c r="A4559" s="5">
        <v>0</v>
      </c>
      <c r="B4559" s="6" t="s">
        <v>27034</v>
      </c>
      <c r="C4559" s="13">
        <v>1194.9000000000001</v>
      </c>
      <c r="D4559" s="8" t="s">
        <v>27035</v>
      </c>
      <c r="E4559" s="8" t="s">
        <v>27036</v>
      </c>
      <c r="F4559" s="8" t="s">
        <v>27037</v>
      </c>
      <c r="G4559" s="6" t="s">
        <v>52</v>
      </c>
      <c r="H4559" s="6" t="s">
        <v>53</v>
      </c>
      <c r="I4559" s="8" t="s">
        <v>276</v>
      </c>
      <c r="J4559" s="9">
        <v>1</v>
      </c>
      <c r="K4559" s="9">
        <v>265</v>
      </c>
      <c r="L4559" s="9">
        <v>2023</v>
      </c>
      <c r="M4559" s="8" t="s">
        <v>27038</v>
      </c>
      <c r="N4559" s="8" t="s">
        <v>41</v>
      </c>
      <c r="O4559" s="8" t="s">
        <v>1204</v>
      </c>
      <c r="P4559" s="6" t="s">
        <v>43</v>
      </c>
      <c r="Q4559" s="8" t="s">
        <v>279</v>
      </c>
      <c r="R4559" s="10" t="s">
        <v>27039</v>
      </c>
      <c r="S4559" s="11" t="s">
        <v>27040</v>
      </c>
      <c r="T4559" s="6"/>
      <c r="U4559" s="24" t="str">
        <f>HYPERLINK("https://media.infra-m.ru/2006/2006900/cover/2006900.jpg", "Обложка")</f>
        <v>Обложка</v>
      </c>
      <c r="V4559" s="24" t="str">
        <f>HYPERLINK("https://znanium.ru/catalog/product/974230", "Ознакомиться")</f>
        <v>Ознакомиться</v>
      </c>
      <c r="W4559" s="8" t="s">
        <v>27041</v>
      </c>
      <c r="X4559" s="6"/>
      <c r="Y4559" s="6"/>
      <c r="Z4559" s="6"/>
      <c r="AA4559" s="6" t="s">
        <v>258</v>
      </c>
      <c r="AB4559" s="8"/>
    </row>
    <row r="4560" spans="1:28" s="4" customFormat="1" ht="51.95" customHeight="1">
      <c r="A4560" s="5">
        <v>0</v>
      </c>
      <c r="B4560" s="6" t="s">
        <v>27042</v>
      </c>
      <c r="C4560" s="13">
        <v>1824</v>
      </c>
      <c r="D4560" s="8" t="s">
        <v>27043</v>
      </c>
      <c r="E4560" s="8" t="s">
        <v>27044</v>
      </c>
      <c r="F4560" s="8" t="s">
        <v>27045</v>
      </c>
      <c r="G4560" s="6" t="s">
        <v>52</v>
      </c>
      <c r="H4560" s="6" t="s">
        <v>53</v>
      </c>
      <c r="I4560" s="8" t="s">
        <v>90</v>
      </c>
      <c r="J4560" s="9">
        <v>1</v>
      </c>
      <c r="K4560" s="9">
        <v>350</v>
      </c>
      <c r="L4560" s="9">
        <v>2025</v>
      </c>
      <c r="M4560" s="8" t="s">
        <v>27046</v>
      </c>
      <c r="N4560" s="8" t="s">
        <v>41</v>
      </c>
      <c r="O4560" s="8" t="s">
        <v>1204</v>
      </c>
      <c r="P4560" s="6" t="s">
        <v>43</v>
      </c>
      <c r="Q4560" s="8" t="s">
        <v>44</v>
      </c>
      <c r="R4560" s="10" t="s">
        <v>27047</v>
      </c>
      <c r="S4560" s="11" t="s">
        <v>27048</v>
      </c>
      <c r="T4560" s="6"/>
      <c r="U4560" s="24" t="str">
        <f>HYPERLINK("https://media.infra-m.ru/2195/2195962/cover/2195962.jpg", "Обложка")</f>
        <v>Обложка</v>
      </c>
      <c r="V4560" s="24" t="str">
        <f>HYPERLINK("https://znanium.ru/catalog/product/960051", "Ознакомиться")</f>
        <v>Ознакомиться</v>
      </c>
      <c r="W4560" s="8" t="s">
        <v>1345</v>
      </c>
      <c r="X4560" s="6"/>
      <c r="Y4560" s="6"/>
      <c r="Z4560" s="6"/>
      <c r="AA4560" s="6" t="s">
        <v>84</v>
      </c>
      <c r="AB4560" s="8"/>
    </row>
    <row r="4561" spans="1:28" s="4" customFormat="1" ht="42" customHeight="1">
      <c r="A4561" s="5">
        <v>0</v>
      </c>
      <c r="B4561" s="6" t="s">
        <v>27049</v>
      </c>
      <c r="C4561" s="13">
        <v>1490</v>
      </c>
      <c r="D4561" s="8" t="s">
        <v>27050</v>
      </c>
      <c r="E4561" s="8" t="s">
        <v>27051</v>
      </c>
      <c r="F4561" s="8" t="s">
        <v>27052</v>
      </c>
      <c r="G4561" s="6" t="s">
        <v>52</v>
      </c>
      <c r="H4561" s="6" t="s">
        <v>53</v>
      </c>
      <c r="I4561" s="8" t="s">
        <v>116</v>
      </c>
      <c r="J4561" s="9">
        <v>1</v>
      </c>
      <c r="K4561" s="9">
        <v>289</v>
      </c>
      <c r="L4561" s="9">
        <v>2025</v>
      </c>
      <c r="M4561" s="8" t="s">
        <v>27053</v>
      </c>
      <c r="N4561" s="8" t="s">
        <v>41</v>
      </c>
      <c r="O4561" s="8" t="s">
        <v>1204</v>
      </c>
      <c r="P4561" s="6" t="s">
        <v>43</v>
      </c>
      <c r="Q4561" s="8" t="s">
        <v>279</v>
      </c>
      <c r="R4561" s="10" t="s">
        <v>27054</v>
      </c>
      <c r="S4561" s="11"/>
      <c r="T4561" s="6"/>
      <c r="U4561" s="24" t="str">
        <f>HYPERLINK("https://media.infra-m.ru/2086/2086345/cover/2086345.jpg", "Обложка")</f>
        <v>Обложка</v>
      </c>
      <c r="V4561" s="24" t="str">
        <f>HYPERLINK("https://znanium.ru/catalog/product/2086345", "Ознакомиться")</f>
        <v>Ознакомиться</v>
      </c>
      <c r="W4561" s="8" t="s">
        <v>26963</v>
      </c>
      <c r="X4561" s="6" t="s">
        <v>1049</v>
      </c>
      <c r="Y4561" s="6"/>
      <c r="Z4561" s="6"/>
      <c r="AA4561" s="6" t="s">
        <v>61</v>
      </c>
      <c r="AB4561" s="8"/>
    </row>
    <row r="4562" spans="1:28" s="4" customFormat="1" ht="51.95" customHeight="1">
      <c r="A4562" s="5">
        <v>0</v>
      </c>
      <c r="B4562" s="6" t="s">
        <v>27055</v>
      </c>
      <c r="C4562" s="13">
        <v>1460</v>
      </c>
      <c r="D4562" s="8" t="s">
        <v>27056</v>
      </c>
      <c r="E4562" s="8" t="s">
        <v>27057</v>
      </c>
      <c r="F4562" s="8" t="s">
        <v>27058</v>
      </c>
      <c r="G4562" s="6" t="s">
        <v>89</v>
      </c>
      <c r="H4562" s="6" t="s">
        <v>53</v>
      </c>
      <c r="I4562" s="8" t="s">
        <v>165</v>
      </c>
      <c r="J4562" s="9">
        <v>1</v>
      </c>
      <c r="K4562" s="9">
        <v>317</v>
      </c>
      <c r="L4562" s="9">
        <v>2024</v>
      </c>
      <c r="M4562" s="8" t="s">
        <v>27059</v>
      </c>
      <c r="N4562" s="8" t="s">
        <v>41</v>
      </c>
      <c r="O4562" s="8" t="s">
        <v>1204</v>
      </c>
      <c r="P4562" s="6" t="s">
        <v>167</v>
      </c>
      <c r="Q4562" s="8" t="s">
        <v>44</v>
      </c>
      <c r="R4562" s="10" t="s">
        <v>27060</v>
      </c>
      <c r="S4562" s="11" t="s">
        <v>27061</v>
      </c>
      <c r="T4562" s="6" t="s">
        <v>299</v>
      </c>
      <c r="U4562" s="24" t="str">
        <f>HYPERLINK("https://media.infra-m.ru/2079/2079315/cover/2079315.jpg", "Обложка")</f>
        <v>Обложка</v>
      </c>
      <c r="V4562" s="24" t="str">
        <f>HYPERLINK("https://znanium.ru/catalog/product/2079315", "Ознакомиться")</f>
        <v>Ознакомиться</v>
      </c>
      <c r="W4562" s="8" t="s">
        <v>83</v>
      </c>
      <c r="X4562" s="6"/>
      <c r="Y4562" s="6"/>
      <c r="Z4562" s="6"/>
      <c r="AA4562" s="6" t="s">
        <v>442</v>
      </c>
      <c r="AB4562" s="8"/>
    </row>
    <row r="4563" spans="1:28" s="4" customFormat="1" ht="51.95" customHeight="1">
      <c r="A4563" s="5">
        <v>0</v>
      </c>
      <c r="B4563" s="6" t="s">
        <v>27062</v>
      </c>
      <c r="C4563" s="7">
        <v>754</v>
      </c>
      <c r="D4563" s="8" t="s">
        <v>27063</v>
      </c>
      <c r="E4563" s="8" t="s">
        <v>27064</v>
      </c>
      <c r="F4563" s="8" t="s">
        <v>27065</v>
      </c>
      <c r="G4563" s="6" t="s">
        <v>38</v>
      </c>
      <c r="H4563" s="6" t="s">
        <v>53</v>
      </c>
      <c r="I4563" s="8" t="s">
        <v>116</v>
      </c>
      <c r="J4563" s="9">
        <v>1</v>
      </c>
      <c r="K4563" s="9">
        <v>150</v>
      </c>
      <c r="L4563" s="9">
        <v>2025</v>
      </c>
      <c r="M4563" s="8" t="s">
        <v>27066</v>
      </c>
      <c r="N4563" s="8" t="s">
        <v>41</v>
      </c>
      <c r="O4563" s="8" t="s">
        <v>118</v>
      </c>
      <c r="P4563" s="6" t="s">
        <v>167</v>
      </c>
      <c r="Q4563" s="8" t="s">
        <v>44</v>
      </c>
      <c r="R4563" s="10" t="s">
        <v>27067</v>
      </c>
      <c r="S4563" s="11" t="s">
        <v>27068</v>
      </c>
      <c r="T4563" s="6"/>
      <c r="U4563" s="24" t="str">
        <f>HYPERLINK("https://media.infra-m.ru/2184/2184943/cover/2184943.jpg", "Обложка")</f>
        <v>Обложка</v>
      </c>
      <c r="V4563" s="24" t="str">
        <f>HYPERLINK("https://znanium.ru/catalog/product/2126483", "Ознакомиться")</f>
        <v>Ознакомиться</v>
      </c>
      <c r="W4563" s="8" t="s">
        <v>1826</v>
      </c>
      <c r="X4563" s="6"/>
      <c r="Y4563" s="6"/>
      <c r="Z4563" s="6"/>
      <c r="AA4563" s="6" t="s">
        <v>160</v>
      </c>
      <c r="AB4563" s="8"/>
    </row>
    <row r="4564" spans="1:28" s="4" customFormat="1" ht="51.95" customHeight="1">
      <c r="A4564" s="5">
        <v>0</v>
      </c>
      <c r="B4564" s="6" t="s">
        <v>27069</v>
      </c>
      <c r="C4564" s="7">
        <v>914.9</v>
      </c>
      <c r="D4564" s="8" t="s">
        <v>27070</v>
      </c>
      <c r="E4564" s="8" t="s">
        <v>27057</v>
      </c>
      <c r="F4564" s="8" t="s">
        <v>27071</v>
      </c>
      <c r="G4564" s="6" t="s">
        <v>89</v>
      </c>
      <c r="H4564" s="6" t="s">
        <v>53</v>
      </c>
      <c r="I4564" s="8" t="s">
        <v>90</v>
      </c>
      <c r="J4564" s="9">
        <v>1</v>
      </c>
      <c r="K4564" s="9">
        <v>202</v>
      </c>
      <c r="L4564" s="9">
        <v>2023</v>
      </c>
      <c r="M4564" s="8" t="s">
        <v>27072</v>
      </c>
      <c r="N4564" s="8" t="s">
        <v>41</v>
      </c>
      <c r="O4564" s="8" t="s">
        <v>1204</v>
      </c>
      <c r="P4564" s="6" t="s">
        <v>43</v>
      </c>
      <c r="Q4564" s="8" t="s">
        <v>44</v>
      </c>
      <c r="R4564" s="10" t="s">
        <v>27073</v>
      </c>
      <c r="S4564" s="11" t="s">
        <v>27074</v>
      </c>
      <c r="T4564" s="6"/>
      <c r="U4564" s="24" t="str">
        <f>HYPERLINK("https://media.infra-m.ru/1913/1913028/cover/1913028.jpg", "Обложка")</f>
        <v>Обложка</v>
      </c>
      <c r="V4564" s="24" t="str">
        <f>HYPERLINK("https://znanium.ru/catalog/product/1913028", "Ознакомиться")</f>
        <v>Ознакомиться</v>
      </c>
      <c r="W4564" s="8" t="s">
        <v>354</v>
      </c>
      <c r="X4564" s="6"/>
      <c r="Y4564" s="6"/>
      <c r="Z4564" s="6"/>
      <c r="AA4564" s="6" t="s">
        <v>418</v>
      </c>
      <c r="AB4564" s="8"/>
    </row>
    <row r="4565" spans="1:28" s="4" customFormat="1" ht="51.95" customHeight="1">
      <c r="A4565" s="5">
        <v>0</v>
      </c>
      <c r="B4565" s="6" t="s">
        <v>27075</v>
      </c>
      <c r="C4565" s="13">
        <v>1090</v>
      </c>
      <c r="D4565" s="8" t="s">
        <v>27076</v>
      </c>
      <c r="E4565" s="8" t="s">
        <v>27057</v>
      </c>
      <c r="F4565" s="8" t="s">
        <v>26849</v>
      </c>
      <c r="G4565" s="6" t="s">
        <v>52</v>
      </c>
      <c r="H4565" s="6" t="s">
        <v>53</v>
      </c>
      <c r="I4565" s="8" t="s">
        <v>116</v>
      </c>
      <c r="J4565" s="9">
        <v>1</v>
      </c>
      <c r="K4565" s="9">
        <v>201</v>
      </c>
      <c r="L4565" s="9">
        <v>2024</v>
      </c>
      <c r="M4565" s="8" t="s">
        <v>27077</v>
      </c>
      <c r="N4565" s="8" t="s">
        <v>41</v>
      </c>
      <c r="O4565" s="8" t="s">
        <v>1204</v>
      </c>
      <c r="P4565" s="6" t="s">
        <v>43</v>
      </c>
      <c r="Q4565" s="8" t="s">
        <v>58</v>
      </c>
      <c r="R4565" s="10" t="s">
        <v>27078</v>
      </c>
      <c r="S4565" s="11"/>
      <c r="T4565" s="6"/>
      <c r="U4565" s="24" t="str">
        <f>HYPERLINK("https://media.infra-m.ru/2110/2110853/cover/2110853.jpg", "Обложка")</f>
        <v>Обложка</v>
      </c>
      <c r="V4565" s="24" t="str">
        <f>HYPERLINK("https://znanium.ru/catalog/product/2110853", "Ознакомиться")</f>
        <v>Ознакомиться</v>
      </c>
      <c r="W4565" s="8" t="s">
        <v>4045</v>
      </c>
      <c r="X4565" s="6" t="s">
        <v>179</v>
      </c>
      <c r="Y4565" s="6"/>
      <c r="Z4565" s="6"/>
      <c r="AA4565" s="6" t="s">
        <v>133</v>
      </c>
      <c r="AB4565" s="8"/>
    </row>
    <row r="4566" spans="1:28" s="4" customFormat="1" ht="51.95" customHeight="1">
      <c r="A4566" s="5">
        <v>0</v>
      </c>
      <c r="B4566" s="6" t="s">
        <v>27079</v>
      </c>
      <c r="C4566" s="7">
        <v>994.9</v>
      </c>
      <c r="D4566" s="8" t="s">
        <v>27080</v>
      </c>
      <c r="E4566" s="8" t="s">
        <v>27081</v>
      </c>
      <c r="F4566" s="8" t="s">
        <v>27082</v>
      </c>
      <c r="G4566" s="6" t="s">
        <v>52</v>
      </c>
      <c r="H4566" s="6" t="s">
        <v>53</v>
      </c>
      <c r="I4566" s="8" t="s">
        <v>90</v>
      </c>
      <c r="J4566" s="9">
        <v>1</v>
      </c>
      <c r="K4566" s="9">
        <v>332</v>
      </c>
      <c r="L4566" s="9">
        <v>2018</v>
      </c>
      <c r="M4566" s="8" t="s">
        <v>27083</v>
      </c>
      <c r="N4566" s="8" t="s">
        <v>41</v>
      </c>
      <c r="O4566" s="8" t="s">
        <v>1204</v>
      </c>
      <c r="P4566" s="6" t="s">
        <v>167</v>
      </c>
      <c r="Q4566" s="8" t="s">
        <v>44</v>
      </c>
      <c r="R4566" s="10" t="s">
        <v>27084</v>
      </c>
      <c r="S4566" s="11" t="s">
        <v>27085</v>
      </c>
      <c r="T4566" s="6"/>
      <c r="U4566" s="24" t="str">
        <f>HYPERLINK("https://media.infra-m.ru/0967/0967034/cover/967034.jpg", "Обложка")</f>
        <v>Обложка</v>
      </c>
      <c r="V4566" s="24" t="str">
        <f>HYPERLINK("https://znanium.ru/catalog/product/2119947", "Ознакомиться")</f>
        <v>Ознакомиться</v>
      </c>
      <c r="W4566" s="8" t="s">
        <v>1345</v>
      </c>
      <c r="X4566" s="6"/>
      <c r="Y4566" s="6"/>
      <c r="Z4566" s="6"/>
      <c r="AA4566" s="6" t="s">
        <v>614</v>
      </c>
      <c r="AB4566" s="8"/>
    </row>
    <row r="4567" spans="1:28" s="4" customFormat="1" ht="51.95" customHeight="1">
      <c r="A4567" s="5">
        <v>0</v>
      </c>
      <c r="B4567" s="6" t="s">
        <v>27086</v>
      </c>
      <c r="C4567" s="13">
        <v>1800</v>
      </c>
      <c r="D4567" s="8" t="s">
        <v>27087</v>
      </c>
      <c r="E4567" s="8" t="s">
        <v>27088</v>
      </c>
      <c r="F4567" s="8" t="s">
        <v>27089</v>
      </c>
      <c r="G4567" s="6" t="s">
        <v>89</v>
      </c>
      <c r="H4567" s="6" t="s">
        <v>53</v>
      </c>
      <c r="I4567" s="8" t="s">
        <v>116</v>
      </c>
      <c r="J4567" s="9">
        <v>1</v>
      </c>
      <c r="K4567" s="9">
        <v>391</v>
      </c>
      <c r="L4567" s="9">
        <v>2024</v>
      </c>
      <c r="M4567" s="8" t="s">
        <v>27090</v>
      </c>
      <c r="N4567" s="8" t="s">
        <v>41</v>
      </c>
      <c r="O4567" s="8" t="s">
        <v>1204</v>
      </c>
      <c r="P4567" s="6" t="s">
        <v>167</v>
      </c>
      <c r="Q4567" s="8" t="s">
        <v>58</v>
      </c>
      <c r="R4567" s="10" t="s">
        <v>27084</v>
      </c>
      <c r="S4567" s="11" t="s">
        <v>27091</v>
      </c>
      <c r="T4567" s="6"/>
      <c r="U4567" s="24" t="str">
        <f>HYPERLINK("https://media.infra-m.ru/2119/2119947/cover/2119947.jpg", "Обложка")</f>
        <v>Обложка</v>
      </c>
      <c r="V4567" s="24" t="str">
        <f>HYPERLINK("https://znanium.ru/catalog/product/2119947", "Ознакомиться")</f>
        <v>Ознакомиться</v>
      </c>
      <c r="W4567" s="8" t="s">
        <v>1345</v>
      </c>
      <c r="X4567" s="6"/>
      <c r="Y4567" s="6"/>
      <c r="Z4567" s="6"/>
      <c r="AA4567" s="6" t="s">
        <v>1374</v>
      </c>
      <c r="AB4567" s="8"/>
    </row>
    <row r="4568" spans="1:28" s="4" customFormat="1" ht="51.95" customHeight="1">
      <c r="A4568" s="5">
        <v>0</v>
      </c>
      <c r="B4568" s="6" t="s">
        <v>27092</v>
      </c>
      <c r="C4568" s="13">
        <v>2394</v>
      </c>
      <c r="D4568" s="8" t="s">
        <v>27093</v>
      </c>
      <c r="E4568" s="8" t="s">
        <v>27094</v>
      </c>
      <c r="F4568" s="8" t="s">
        <v>27095</v>
      </c>
      <c r="G4568" s="6" t="s">
        <v>52</v>
      </c>
      <c r="H4568" s="6" t="s">
        <v>1094</v>
      </c>
      <c r="I4568" s="8"/>
      <c r="J4568" s="9">
        <v>1</v>
      </c>
      <c r="K4568" s="9">
        <v>912</v>
      </c>
      <c r="L4568" s="9">
        <v>2024</v>
      </c>
      <c r="M4568" s="8" t="s">
        <v>27096</v>
      </c>
      <c r="N4568" s="8" t="s">
        <v>41</v>
      </c>
      <c r="O4568" s="8" t="s">
        <v>1204</v>
      </c>
      <c r="P4568" s="6" t="s">
        <v>167</v>
      </c>
      <c r="Q4568" s="8" t="s">
        <v>44</v>
      </c>
      <c r="R4568" s="10" t="s">
        <v>17270</v>
      </c>
      <c r="S4568" s="11"/>
      <c r="T4568" s="6"/>
      <c r="U4568" s="24" t="str">
        <f>HYPERLINK("https://media.infra-m.ru/2133/2133780/cover/2133780.jpg", "Обложка")</f>
        <v>Обложка</v>
      </c>
      <c r="V4568" s="24" t="str">
        <f>HYPERLINK("https://znanium.ru/catalog/product/2133780", "Ознакомиться")</f>
        <v>Ознакомиться</v>
      </c>
      <c r="W4568" s="8" t="s">
        <v>4293</v>
      </c>
      <c r="X4568" s="6"/>
      <c r="Y4568" s="6"/>
      <c r="Z4568" s="6"/>
      <c r="AA4568" s="6" t="s">
        <v>4504</v>
      </c>
      <c r="AB4568" s="8"/>
    </row>
    <row r="4569" spans="1:28" s="4" customFormat="1" ht="51.95" customHeight="1">
      <c r="A4569" s="5">
        <v>0</v>
      </c>
      <c r="B4569" s="6" t="s">
        <v>27097</v>
      </c>
      <c r="C4569" s="13">
        <v>1184</v>
      </c>
      <c r="D4569" s="8" t="s">
        <v>27098</v>
      </c>
      <c r="E4569" s="8" t="s">
        <v>27099</v>
      </c>
      <c r="F4569" s="8" t="s">
        <v>27100</v>
      </c>
      <c r="G4569" s="6" t="s">
        <v>52</v>
      </c>
      <c r="H4569" s="6" t="s">
        <v>184</v>
      </c>
      <c r="I4569" s="8" t="s">
        <v>90</v>
      </c>
      <c r="J4569" s="9">
        <v>1</v>
      </c>
      <c r="K4569" s="9">
        <v>252</v>
      </c>
      <c r="L4569" s="9">
        <v>2024</v>
      </c>
      <c r="M4569" s="8" t="s">
        <v>27101</v>
      </c>
      <c r="N4569" s="8" t="s">
        <v>41</v>
      </c>
      <c r="O4569" s="8" t="s">
        <v>1204</v>
      </c>
      <c r="P4569" s="6" t="s">
        <v>43</v>
      </c>
      <c r="Q4569" s="8" t="s">
        <v>44</v>
      </c>
      <c r="R4569" s="10" t="s">
        <v>27102</v>
      </c>
      <c r="S4569" s="11" t="s">
        <v>27103</v>
      </c>
      <c r="T4569" s="6"/>
      <c r="U4569" s="24" t="str">
        <f>HYPERLINK("https://media.infra-m.ru/2149/2149179/cover/2149179.jpg", "Обложка")</f>
        <v>Обложка</v>
      </c>
      <c r="V4569" s="24" t="str">
        <f>HYPERLINK("https://znanium.ru/catalog/product/1913024", "Ознакомиться")</f>
        <v>Ознакомиться</v>
      </c>
      <c r="W4569" s="8"/>
      <c r="X4569" s="6"/>
      <c r="Y4569" s="6"/>
      <c r="Z4569" s="6"/>
      <c r="AA4569" s="6" t="s">
        <v>418</v>
      </c>
      <c r="AB4569" s="8"/>
    </row>
    <row r="4570" spans="1:28" s="4" customFormat="1" ht="51.95" customHeight="1">
      <c r="A4570" s="5">
        <v>0</v>
      </c>
      <c r="B4570" s="6" t="s">
        <v>27104</v>
      </c>
      <c r="C4570" s="13">
        <v>1574</v>
      </c>
      <c r="D4570" s="8" t="s">
        <v>27105</v>
      </c>
      <c r="E4570" s="8" t="s">
        <v>27106</v>
      </c>
      <c r="F4570" s="8" t="s">
        <v>27107</v>
      </c>
      <c r="G4570" s="6" t="s">
        <v>89</v>
      </c>
      <c r="H4570" s="6" t="s">
        <v>77</v>
      </c>
      <c r="I4570" s="8" t="s">
        <v>77</v>
      </c>
      <c r="J4570" s="9">
        <v>1</v>
      </c>
      <c r="K4570" s="9">
        <v>348</v>
      </c>
      <c r="L4570" s="9">
        <v>2023</v>
      </c>
      <c r="M4570" s="8" t="s">
        <v>27108</v>
      </c>
      <c r="N4570" s="8" t="s">
        <v>41</v>
      </c>
      <c r="O4570" s="8" t="s">
        <v>1204</v>
      </c>
      <c r="P4570" s="6" t="s">
        <v>167</v>
      </c>
      <c r="Q4570" s="8" t="s">
        <v>44</v>
      </c>
      <c r="R4570" s="10" t="s">
        <v>17270</v>
      </c>
      <c r="S4570" s="11"/>
      <c r="T4570" s="6"/>
      <c r="U4570" s="24" t="str">
        <f>HYPERLINK("https://media.infra-m.ru/2006/2006085/cover/2006085.jpg", "Обложка")</f>
        <v>Обложка</v>
      </c>
      <c r="V4570" s="24" t="str">
        <f>HYPERLINK("https://znanium.ru/catalog/product/1063742", "Ознакомиться")</f>
        <v>Ознакомиться</v>
      </c>
      <c r="W4570" s="8" t="s">
        <v>206</v>
      </c>
      <c r="X4570" s="6"/>
      <c r="Y4570" s="6"/>
      <c r="Z4570" s="6"/>
      <c r="AA4570" s="6" t="s">
        <v>442</v>
      </c>
      <c r="AB4570" s="8"/>
    </row>
    <row r="4571" spans="1:28" s="4" customFormat="1" ht="51.95" customHeight="1">
      <c r="A4571" s="5">
        <v>0</v>
      </c>
      <c r="B4571" s="6" t="s">
        <v>27109</v>
      </c>
      <c r="C4571" s="13">
        <v>2984</v>
      </c>
      <c r="D4571" s="8" t="s">
        <v>27110</v>
      </c>
      <c r="E4571" s="8" t="s">
        <v>27111</v>
      </c>
      <c r="F4571" s="8" t="s">
        <v>27112</v>
      </c>
      <c r="G4571" s="6" t="s">
        <v>89</v>
      </c>
      <c r="H4571" s="6" t="s">
        <v>53</v>
      </c>
      <c r="I4571" s="8" t="s">
        <v>90</v>
      </c>
      <c r="J4571" s="9">
        <v>1</v>
      </c>
      <c r="K4571" s="9">
        <v>624</v>
      </c>
      <c r="L4571" s="9">
        <v>2025</v>
      </c>
      <c r="M4571" s="8" t="s">
        <v>27113</v>
      </c>
      <c r="N4571" s="8" t="s">
        <v>41</v>
      </c>
      <c r="O4571" s="8" t="s">
        <v>1204</v>
      </c>
      <c r="P4571" s="6" t="s">
        <v>167</v>
      </c>
      <c r="Q4571" s="8" t="s">
        <v>44</v>
      </c>
      <c r="R4571" s="10" t="s">
        <v>17270</v>
      </c>
      <c r="S4571" s="11" t="s">
        <v>27114</v>
      </c>
      <c r="T4571" s="6"/>
      <c r="U4571" s="24" t="str">
        <f>HYPERLINK("https://media.infra-m.ru/1940/1940887/cover/1940887.jpg", "Обложка")</f>
        <v>Обложка</v>
      </c>
      <c r="V4571" s="24" t="str">
        <f>HYPERLINK("https://znanium.ru/catalog/product/1930704", "Ознакомиться")</f>
        <v>Ознакомиться</v>
      </c>
      <c r="W4571" s="8" t="s">
        <v>14769</v>
      </c>
      <c r="X4571" s="6"/>
      <c r="Y4571" s="6"/>
      <c r="Z4571" s="6"/>
      <c r="AA4571" s="6" t="s">
        <v>614</v>
      </c>
      <c r="AB4571" s="8"/>
    </row>
    <row r="4572" spans="1:28" s="4" customFormat="1" ht="51.95" customHeight="1">
      <c r="A4572" s="5">
        <v>0</v>
      </c>
      <c r="B4572" s="6" t="s">
        <v>27115</v>
      </c>
      <c r="C4572" s="13">
        <v>2300</v>
      </c>
      <c r="D4572" s="8" t="s">
        <v>27116</v>
      </c>
      <c r="E4572" s="8" t="s">
        <v>27117</v>
      </c>
      <c r="F4572" s="8" t="s">
        <v>27118</v>
      </c>
      <c r="G4572" s="6" t="s">
        <v>52</v>
      </c>
      <c r="H4572" s="6" t="s">
        <v>1738</v>
      </c>
      <c r="I4572" s="8" t="s">
        <v>1171</v>
      </c>
      <c r="J4572" s="9">
        <v>1</v>
      </c>
      <c r="K4572" s="9">
        <v>512</v>
      </c>
      <c r="L4572" s="9">
        <v>2024</v>
      </c>
      <c r="M4572" s="8" t="s">
        <v>27119</v>
      </c>
      <c r="N4572" s="8" t="s">
        <v>41</v>
      </c>
      <c r="O4572" s="8" t="s">
        <v>1204</v>
      </c>
      <c r="P4572" s="6" t="s">
        <v>167</v>
      </c>
      <c r="Q4572" s="8" t="s">
        <v>44</v>
      </c>
      <c r="R4572" s="10" t="s">
        <v>17270</v>
      </c>
      <c r="S4572" s="11" t="s">
        <v>27120</v>
      </c>
      <c r="T4572" s="6"/>
      <c r="U4572" s="24" t="str">
        <f>HYPERLINK("https://media.infra-m.ru/1838/1838396/cover/1838396.jpg", "Обложка")</f>
        <v>Обложка</v>
      </c>
      <c r="V4572" s="24" t="str">
        <f>HYPERLINK("https://znanium.ru/catalog/product/1838396", "Ознакомиться")</f>
        <v>Ознакомиться</v>
      </c>
      <c r="W4572" s="8" t="s">
        <v>913</v>
      </c>
      <c r="X4572" s="6"/>
      <c r="Y4572" s="6"/>
      <c r="Z4572" s="6"/>
      <c r="AA4572" s="6" t="s">
        <v>887</v>
      </c>
      <c r="AB4572" s="8"/>
    </row>
    <row r="4573" spans="1:28" s="4" customFormat="1" ht="51.95" customHeight="1">
      <c r="A4573" s="5">
        <v>0</v>
      </c>
      <c r="B4573" s="6" t="s">
        <v>27121</v>
      </c>
      <c r="C4573" s="13">
        <v>1090</v>
      </c>
      <c r="D4573" s="8" t="s">
        <v>27122</v>
      </c>
      <c r="E4573" s="8" t="s">
        <v>27111</v>
      </c>
      <c r="F4573" s="8" t="s">
        <v>27123</v>
      </c>
      <c r="G4573" s="6" t="s">
        <v>89</v>
      </c>
      <c r="H4573" s="6" t="s">
        <v>53</v>
      </c>
      <c r="I4573" s="8" t="s">
        <v>116</v>
      </c>
      <c r="J4573" s="9">
        <v>1</v>
      </c>
      <c r="K4573" s="9">
        <v>236</v>
      </c>
      <c r="L4573" s="9">
        <v>2024</v>
      </c>
      <c r="M4573" s="8" t="s">
        <v>27124</v>
      </c>
      <c r="N4573" s="8" t="s">
        <v>41</v>
      </c>
      <c r="O4573" s="8" t="s">
        <v>1204</v>
      </c>
      <c r="P4573" s="6" t="s">
        <v>43</v>
      </c>
      <c r="Q4573" s="8" t="s">
        <v>44</v>
      </c>
      <c r="R4573" s="10" t="s">
        <v>17270</v>
      </c>
      <c r="S4573" s="11" t="s">
        <v>27125</v>
      </c>
      <c r="T4573" s="6"/>
      <c r="U4573" s="24" t="str">
        <f>HYPERLINK("https://media.infra-m.ru/2083/2083301/cover/2083301.jpg", "Обложка")</f>
        <v>Обложка</v>
      </c>
      <c r="V4573" s="24" t="str">
        <f>HYPERLINK("https://znanium.ru/catalog/product/2083301", "Ознакомиться")</f>
        <v>Ознакомиться</v>
      </c>
      <c r="W4573" s="8" t="s">
        <v>27126</v>
      </c>
      <c r="X4573" s="6"/>
      <c r="Y4573" s="6"/>
      <c r="Z4573" s="6"/>
      <c r="AA4573" s="6" t="s">
        <v>122</v>
      </c>
      <c r="AB4573" s="8"/>
    </row>
    <row r="4574" spans="1:28" s="4" customFormat="1" ht="51.95" customHeight="1">
      <c r="A4574" s="5">
        <v>0</v>
      </c>
      <c r="B4574" s="6" t="s">
        <v>27127</v>
      </c>
      <c r="C4574" s="7">
        <v>720</v>
      </c>
      <c r="D4574" s="8" t="s">
        <v>27128</v>
      </c>
      <c r="E4574" s="8" t="s">
        <v>27129</v>
      </c>
      <c r="F4574" s="8" t="s">
        <v>27130</v>
      </c>
      <c r="G4574" s="6" t="s">
        <v>52</v>
      </c>
      <c r="H4574" s="6" t="s">
        <v>184</v>
      </c>
      <c r="I4574" s="8" t="s">
        <v>90</v>
      </c>
      <c r="J4574" s="9">
        <v>1</v>
      </c>
      <c r="K4574" s="9">
        <v>224</v>
      </c>
      <c r="L4574" s="9">
        <v>2018</v>
      </c>
      <c r="M4574" s="8" t="s">
        <v>27131</v>
      </c>
      <c r="N4574" s="8" t="s">
        <v>41</v>
      </c>
      <c r="O4574" s="8" t="s">
        <v>1204</v>
      </c>
      <c r="P4574" s="6" t="s">
        <v>43</v>
      </c>
      <c r="Q4574" s="8" t="s">
        <v>44</v>
      </c>
      <c r="R4574" s="10" t="s">
        <v>27132</v>
      </c>
      <c r="S4574" s="11" t="s">
        <v>27133</v>
      </c>
      <c r="T4574" s="6"/>
      <c r="U4574" s="24" t="str">
        <f>HYPERLINK("https://media.infra-m.ru/1012/1012407/cover/1012407.jpg", "Обложка")</f>
        <v>Обложка</v>
      </c>
      <c r="V4574" s="24" t="str">
        <f>HYPERLINK("https://znanium.ru/catalog/product/1012407", "Ознакомиться")</f>
        <v>Ознакомиться</v>
      </c>
      <c r="W4574" s="8" t="s">
        <v>637</v>
      </c>
      <c r="X4574" s="6"/>
      <c r="Y4574" s="6"/>
      <c r="Z4574" s="6"/>
      <c r="AA4574" s="6" t="s">
        <v>160</v>
      </c>
      <c r="AB4574" s="8"/>
    </row>
    <row r="4575" spans="1:28" s="4" customFormat="1" ht="51.95" customHeight="1">
      <c r="A4575" s="5">
        <v>0</v>
      </c>
      <c r="B4575" s="6" t="s">
        <v>27134</v>
      </c>
      <c r="C4575" s="13">
        <v>1324</v>
      </c>
      <c r="D4575" s="8" t="s">
        <v>27135</v>
      </c>
      <c r="E4575" s="8" t="s">
        <v>27136</v>
      </c>
      <c r="F4575" s="8" t="s">
        <v>27130</v>
      </c>
      <c r="G4575" s="6" t="s">
        <v>89</v>
      </c>
      <c r="H4575" s="6" t="s">
        <v>184</v>
      </c>
      <c r="I4575" s="8" t="s">
        <v>116</v>
      </c>
      <c r="J4575" s="9">
        <v>1</v>
      </c>
      <c r="K4575" s="9">
        <v>260</v>
      </c>
      <c r="L4575" s="9">
        <v>2025</v>
      </c>
      <c r="M4575" s="8" t="s">
        <v>27137</v>
      </c>
      <c r="N4575" s="8" t="s">
        <v>41</v>
      </c>
      <c r="O4575" s="8" t="s">
        <v>1204</v>
      </c>
      <c r="P4575" s="6" t="s">
        <v>43</v>
      </c>
      <c r="Q4575" s="8" t="s">
        <v>44</v>
      </c>
      <c r="R4575" s="10" t="s">
        <v>27132</v>
      </c>
      <c r="S4575" s="11" t="s">
        <v>27133</v>
      </c>
      <c r="T4575" s="6"/>
      <c r="U4575" s="24" t="str">
        <f>HYPERLINK("https://media.infra-m.ru/2188/2188174/cover/2188174.jpg", "Обложка")</f>
        <v>Обложка</v>
      </c>
      <c r="V4575" s="24" t="str">
        <f>HYPERLINK("https://znanium.ru/catalog/product/1012407", "Ознакомиться")</f>
        <v>Ознакомиться</v>
      </c>
      <c r="W4575" s="8" t="s">
        <v>637</v>
      </c>
      <c r="X4575" s="6"/>
      <c r="Y4575" s="6"/>
      <c r="Z4575" s="6"/>
      <c r="AA4575" s="6" t="s">
        <v>1382</v>
      </c>
      <c r="AB4575" s="8"/>
    </row>
    <row r="4576" spans="1:28" s="4" customFormat="1" ht="51.95" customHeight="1">
      <c r="A4576" s="5">
        <v>0</v>
      </c>
      <c r="B4576" s="6" t="s">
        <v>27138</v>
      </c>
      <c r="C4576" s="7">
        <v>954.9</v>
      </c>
      <c r="D4576" s="8" t="s">
        <v>27139</v>
      </c>
      <c r="E4576" s="8" t="s">
        <v>27129</v>
      </c>
      <c r="F4576" s="8" t="s">
        <v>27140</v>
      </c>
      <c r="G4576" s="6" t="s">
        <v>89</v>
      </c>
      <c r="H4576" s="6" t="s">
        <v>53</v>
      </c>
      <c r="I4576" s="8" t="s">
        <v>212</v>
      </c>
      <c r="J4576" s="9">
        <v>1</v>
      </c>
      <c r="K4576" s="9">
        <v>211</v>
      </c>
      <c r="L4576" s="9">
        <v>2023</v>
      </c>
      <c r="M4576" s="8" t="s">
        <v>27141</v>
      </c>
      <c r="N4576" s="8" t="s">
        <v>41</v>
      </c>
      <c r="O4576" s="8" t="s">
        <v>1204</v>
      </c>
      <c r="P4576" s="6" t="s">
        <v>43</v>
      </c>
      <c r="Q4576" s="8" t="s">
        <v>214</v>
      </c>
      <c r="R4576" s="10" t="s">
        <v>27142</v>
      </c>
      <c r="S4576" s="11" t="s">
        <v>11025</v>
      </c>
      <c r="T4576" s="6"/>
      <c r="U4576" s="24" t="str">
        <f>HYPERLINK("https://media.infra-m.ru/1910/1910760/cover/1910760.jpg", "Обложка")</f>
        <v>Обложка</v>
      </c>
      <c r="V4576" s="24" t="str">
        <f>HYPERLINK("https://znanium.ru/catalog/product/1910760", "Ознакомиться")</f>
        <v>Ознакомиться</v>
      </c>
      <c r="W4576" s="8" t="s">
        <v>3412</v>
      </c>
      <c r="X4576" s="6"/>
      <c r="Y4576" s="6"/>
      <c r="Z4576" s="6" t="s">
        <v>218</v>
      </c>
      <c r="AA4576" s="6" t="s">
        <v>95</v>
      </c>
      <c r="AB4576" s="8"/>
    </row>
    <row r="4577" spans="1:28" s="4" customFormat="1" ht="51.95" customHeight="1">
      <c r="A4577" s="5">
        <v>0</v>
      </c>
      <c r="B4577" s="6" t="s">
        <v>27143</v>
      </c>
      <c r="C4577" s="13">
        <v>1094</v>
      </c>
      <c r="D4577" s="8" t="s">
        <v>27144</v>
      </c>
      <c r="E4577" s="8" t="s">
        <v>27129</v>
      </c>
      <c r="F4577" s="8" t="s">
        <v>27140</v>
      </c>
      <c r="G4577" s="6" t="s">
        <v>52</v>
      </c>
      <c r="H4577" s="6" t="s">
        <v>53</v>
      </c>
      <c r="I4577" s="8" t="s">
        <v>90</v>
      </c>
      <c r="J4577" s="9">
        <v>1</v>
      </c>
      <c r="K4577" s="9">
        <v>211</v>
      </c>
      <c r="L4577" s="9">
        <v>2025</v>
      </c>
      <c r="M4577" s="8" t="s">
        <v>27145</v>
      </c>
      <c r="N4577" s="8" t="s">
        <v>41</v>
      </c>
      <c r="O4577" s="8" t="s">
        <v>1204</v>
      </c>
      <c r="P4577" s="6" t="s">
        <v>43</v>
      </c>
      <c r="Q4577" s="8" t="s">
        <v>44</v>
      </c>
      <c r="R4577" s="10" t="s">
        <v>27146</v>
      </c>
      <c r="S4577" s="11" t="s">
        <v>27147</v>
      </c>
      <c r="T4577" s="6"/>
      <c r="U4577" s="24" t="str">
        <f>HYPERLINK("https://media.infra-m.ru/2196/2196127/cover/2196127.jpg", "Обложка")</f>
        <v>Обложка</v>
      </c>
      <c r="V4577" s="24" t="str">
        <f>HYPERLINK("https://znanium.ru/catalog/product/2002605", "Ознакомиться")</f>
        <v>Ознакомиться</v>
      </c>
      <c r="W4577" s="8" t="s">
        <v>3412</v>
      </c>
      <c r="X4577" s="6"/>
      <c r="Y4577" s="6"/>
      <c r="Z4577" s="6"/>
      <c r="AA4577" s="6" t="s">
        <v>1259</v>
      </c>
      <c r="AB4577" s="8"/>
    </row>
    <row r="4578" spans="1:28" s="4" customFormat="1" ht="51.95" customHeight="1">
      <c r="A4578" s="5">
        <v>0</v>
      </c>
      <c r="B4578" s="6" t="s">
        <v>27148</v>
      </c>
      <c r="C4578" s="7">
        <v>614.9</v>
      </c>
      <c r="D4578" s="8" t="s">
        <v>27149</v>
      </c>
      <c r="E4578" s="8" t="s">
        <v>27111</v>
      </c>
      <c r="F4578" s="8" t="s">
        <v>27150</v>
      </c>
      <c r="G4578" s="6" t="s">
        <v>38</v>
      </c>
      <c r="H4578" s="6" t="s">
        <v>53</v>
      </c>
      <c r="I4578" s="8" t="s">
        <v>90</v>
      </c>
      <c r="J4578" s="9">
        <v>1</v>
      </c>
      <c r="K4578" s="9">
        <v>181</v>
      </c>
      <c r="L4578" s="9">
        <v>2020</v>
      </c>
      <c r="M4578" s="8" t="s">
        <v>27151</v>
      </c>
      <c r="N4578" s="8" t="s">
        <v>41</v>
      </c>
      <c r="O4578" s="8" t="s">
        <v>1204</v>
      </c>
      <c r="P4578" s="6" t="s">
        <v>43</v>
      </c>
      <c r="Q4578" s="8" t="s">
        <v>44</v>
      </c>
      <c r="R4578" s="10" t="s">
        <v>27146</v>
      </c>
      <c r="S4578" s="11" t="s">
        <v>27152</v>
      </c>
      <c r="T4578" s="6"/>
      <c r="U4578" s="24" t="str">
        <f>HYPERLINK("https://media.infra-m.ru/1082/1082434/cover/1082434.jpg", "Обложка")</f>
        <v>Обложка</v>
      </c>
      <c r="V4578" s="24" t="str">
        <f>HYPERLINK("https://znanium.ru/catalog/product/2002605", "Ознакомиться")</f>
        <v>Ознакомиться</v>
      </c>
      <c r="W4578" s="8" t="s">
        <v>3412</v>
      </c>
      <c r="X4578" s="6"/>
      <c r="Y4578" s="6"/>
      <c r="Z4578" s="6"/>
      <c r="AA4578" s="6" t="s">
        <v>442</v>
      </c>
      <c r="AB4578" s="8"/>
    </row>
    <row r="4579" spans="1:28" s="4" customFormat="1" ht="51.95" customHeight="1">
      <c r="A4579" s="5">
        <v>0</v>
      </c>
      <c r="B4579" s="6" t="s">
        <v>27153</v>
      </c>
      <c r="C4579" s="13">
        <v>1664</v>
      </c>
      <c r="D4579" s="8" t="s">
        <v>27154</v>
      </c>
      <c r="E4579" s="8" t="s">
        <v>27129</v>
      </c>
      <c r="F4579" s="8" t="s">
        <v>19265</v>
      </c>
      <c r="G4579" s="6" t="s">
        <v>52</v>
      </c>
      <c r="H4579" s="6" t="s">
        <v>649</v>
      </c>
      <c r="I4579" s="8" t="s">
        <v>116</v>
      </c>
      <c r="J4579" s="9">
        <v>1</v>
      </c>
      <c r="K4579" s="9">
        <v>320</v>
      </c>
      <c r="L4579" s="9">
        <v>2025</v>
      </c>
      <c r="M4579" s="8" t="s">
        <v>27155</v>
      </c>
      <c r="N4579" s="8" t="s">
        <v>41</v>
      </c>
      <c r="O4579" s="8" t="s">
        <v>1204</v>
      </c>
      <c r="P4579" s="6" t="s">
        <v>43</v>
      </c>
      <c r="Q4579" s="8" t="s">
        <v>44</v>
      </c>
      <c r="R4579" s="10" t="s">
        <v>17270</v>
      </c>
      <c r="S4579" s="11" t="s">
        <v>27156</v>
      </c>
      <c r="T4579" s="6"/>
      <c r="U4579" s="24" t="str">
        <f>HYPERLINK("https://media.infra-m.ru/2188/2188717/cover/2188717.jpg", "Обложка")</f>
        <v>Обложка</v>
      </c>
      <c r="V4579" s="24" t="str">
        <f>HYPERLINK("https://znanium.ru/catalog/product/1874283", "Ознакомиться")</f>
        <v>Ознакомиться</v>
      </c>
      <c r="W4579" s="8" t="s">
        <v>10326</v>
      </c>
      <c r="X4579" s="6"/>
      <c r="Y4579" s="6"/>
      <c r="Z4579" s="6"/>
      <c r="AA4579" s="6" t="s">
        <v>2193</v>
      </c>
      <c r="AB4579" s="8"/>
    </row>
    <row r="4580" spans="1:28" s="4" customFormat="1" ht="51.95" customHeight="1">
      <c r="A4580" s="5">
        <v>0</v>
      </c>
      <c r="B4580" s="6" t="s">
        <v>27157</v>
      </c>
      <c r="C4580" s="13">
        <v>1054</v>
      </c>
      <c r="D4580" s="8" t="s">
        <v>27158</v>
      </c>
      <c r="E4580" s="8" t="s">
        <v>27111</v>
      </c>
      <c r="F4580" s="8" t="s">
        <v>19448</v>
      </c>
      <c r="G4580" s="6" t="s">
        <v>52</v>
      </c>
      <c r="H4580" s="6" t="s">
        <v>53</v>
      </c>
      <c r="I4580" s="8" t="s">
        <v>90</v>
      </c>
      <c r="J4580" s="9">
        <v>1</v>
      </c>
      <c r="K4580" s="9">
        <v>202</v>
      </c>
      <c r="L4580" s="9">
        <v>2025</v>
      </c>
      <c r="M4580" s="8" t="s">
        <v>27159</v>
      </c>
      <c r="N4580" s="8" t="s">
        <v>41</v>
      </c>
      <c r="O4580" s="8" t="s">
        <v>1204</v>
      </c>
      <c r="P4580" s="6" t="s">
        <v>43</v>
      </c>
      <c r="Q4580" s="8" t="s">
        <v>44</v>
      </c>
      <c r="R4580" s="10" t="s">
        <v>27160</v>
      </c>
      <c r="S4580" s="11" t="s">
        <v>17994</v>
      </c>
      <c r="T4580" s="6"/>
      <c r="U4580" s="24" t="str">
        <f>HYPERLINK("https://media.infra-m.ru/2202/2202164/cover/2202164.jpg", "Обложка")</f>
        <v>Обложка</v>
      </c>
      <c r="V4580" s="24" t="str">
        <f>HYPERLINK("https://znanium.ru/catalog/product/1981709", "Ознакомиться")</f>
        <v>Ознакомиться</v>
      </c>
      <c r="W4580" s="8" t="s">
        <v>354</v>
      </c>
      <c r="X4580" s="6"/>
      <c r="Y4580" s="6"/>
      <c r="Z4580" s="6"/>
      <c r="AA4580" s="6" t="s">
        <v>47</v>
      </c>
      <c r="AB4580" s="8"/>
    </row>
    <row r="4581" spans="1:28" s="4" customFormat="1" ht="51.95" customHeight="1">
      <c r="A4581" s="5">
        <v>0</v>
      </c>
      <c r="B4581" s="6" t="s">
        <v>27161</v>
      </c>
      <c r="C4581" s="13">
        <v>2084</v>
      </c>
      <c r="D4581" s="8" t="s">
        <v>27162</v>
      </c>
      <c r="E4581" s="8" t="s">
        <v>27111</v>
      </c>
      <c r="F4581" s="8" t="s">
        <v>27163</v>
      </c>
      <c r="G4581" s="6" t="s">
        <v>52</v>
      </c>
      <c r="H4581" s="6" t="s">
        <v>39</v>
      </c>
      <c r="I4581" s="8" t="s">
        <v>116</v>
      </c>
      <c r="J4581" s="9">
        <v>1</v>
      </c>
      <c r="K4581" s="9">
        <v>400</v>
      </c>
      <c r="L4581" s="9">
        <v>2025</v>
      </c>
      <c r="M4581" s="8" t="s">
        <v>27164</v>
      </c>
      <c r="N4581" s="8" t="s">
        <v>41</v>
      </c>
      <c r="O4581" s="8" t="s">
        <v>1204</v>
      </c>
      <c r="P4581" s="6" t="s">
        <v>43</v>
      </c>
      <c r="Q4581" s="8" t="s">
        <v>44</v>
      </c>
      <c r="R4581" s="10" t="s">
        <v>27165</v>
      </c>
      <c r="S4581" s="11" t="s">
        <v>27166</v>
      </c>
      <c r="T4581" s="6"/>
      <c r="U4581" s="24" t="str">
        <f>HYPERLINK("https://media.infra-m.ru/2196/2196879/cover/2196879.jpg", "Обложка")</f>
        <v>Обложка</v>
      </c>
      <c r="V4581" s="12"/>
      <c r="W4581" s="8" t="s">
        <v>9859</v>
      </c>
      <c r="X4581" s="6"/>
      <c r="Y4581" s="6"/>
      <c r="Z4581" s="6"/>
      <c r="AA4581" s="6" t="s">
        <v>654</v>
      </c>
      <c r="AB4581" s="8"/>
    </row>
    <row r="4582" spans="1:28" s="4" customFormat="1" ht="42" customHeight="1">
      <c r="A4582" s="5">
        <v>0</v>
      </c>
      <c r="B4582" s="6" t="s">
        <v>27167</v>
      </c>
      <c r="C4582" s="7">
        <v>590</v>
      </c>
      <c r="D4582" s="8" t="s">
        <v>27168</v>
      </c>
      <c r="E4582" s="8" t="s">
        <v>27169</v>
      </c>
      <c r="F4582" s="8" t="s">
        <v>27170</v>
      </c>
      <c r="G4582" s="6" t="s">
        <v>38</v>
      </c>
      <c r="H4582" s="6" t="s">
        <v>77</v>
      </c>
      <c r="I4582" s="8"/>
      <c r="J4582" s="9">
        <v>1</v>
      </c>
      <c r="K4582" s="9">
        <v>127</v>
      </c>
      <c r="L4582" s="9">
        <v>2023</v>
      </c>
      <c r="M4582" s="8" t="s">
        <v>27171</v>
      </c>
      <c r="N4582" s="8" t="s">
        <v>79</v>
      </c>
      <c r="O4582" s="8" t="s">
        <v>570</v>
      </c>
      <c r="P4582" s="6" t="s">
        <v>43</v>
      </c>
      <c r="Q4582" s="8" t="s">
        <v>44</v>
      </c>
      <c r="R4582" s="10" t="s">
        <v>15917</v>
      </c>
      <c r="S4582" s="11"/>
      <c r="T4582" s="6"/>
      <c r="U4582" s="24" t="str">
        <f>HYPERLINK("https://media.infra-m.ru/1922/1922249/cover/1922249.jpg", "Обложка")</f>
        <v>Обложка</v>
      </c>
      <c r="V4582" s="24" t="str">
        <f>HYPERLINK("https://znanium.ru/catalog/product/1922249", "Ознакомиться")</f>
        <v>Ознакомиться</v>
      </c>
      <c r="W4582" s="8" t="s">
        <v>150</v>
      </c>
      <c r="X4582" s="6"/>
      <c r="Y4582" s="6"/>
      <c r="Z4582" s="6"/>
      <c r="AA4582" s="6" t="s">
        <v>418</v>
      </c>
      <c r="AB4582" s="8"/>
    </row>
    <row r="4583" spans="1:28" s="4" customFormat="1" ht="51.95" customHeight="1">
      <c r="A4583" s="5">
        <v>0</v>
      </c>
      <c r="B4583" s="6" t="s">
        <v>27172</v>
      </c>
      <c r="C4583" s="13">
        <v>1200</v>
      </c>
      <c r="D4583" s="8" t="s">
        <v>27173</v>
      </c>
      <c r="E4583" s="8" t="s">
        <v>27174</v>
      </c>
      <c r="F4583" s="8" t="s">
        <v>27175</v>
      </c>
      <c r="G4583" s="6" t="s">
        <v>38</v>
      </c>
      <c r="H4583" s="6" t="s">
        <v>53</v>
      </c>
      <c r="I4583" s="8" t="s">
        <v>116</v>
      </c>
      <c r="J4583" s="9">
        <v>1</v>
      </c>
      <c r="K4583" s="9">
        <v>263</v>
      </c>
      <c r="L4583" s="9">
        <v>2024</v>
      </c>
      <c r="M4583" s="8" t="s">
        <v>27176</v>
      </c>
      <c r="N4583" s="8" t="s">
        <v>413</v>
      </c>
      <c r="O4583" s="8" t="s">
        <v>414</v>
      </c>
      <c r="P4583" s="6" t="s">
        <v>167</v>
      </c>
      <c r="Q4583" s="8" t="s">
        <v>58</v>
      </c>
      <c r="R4583" s="10" t="s">
        <v>12090</v>
      </c>
      <c r="S4583" s="11" t="s">
        <v>27177</v>
      </c>
      <c r="T4583" s="6"/>
      <c r="U4583" s="24" t="str">
        <f>HYPERLINK("https://media.infra-m.ru/2066/2066387/cover/2066387.jpg", "Обложка")</f>
        <v>Обложка</v>
      </c>
      <c r="V4583" s="24" t="str">
        <f>HYPERLINK("https://znanium.ru/catalog/product/2066387", "Ознакомиться")</f>
        <v>Ознакомиться</v>
      </c>
      <c r="W4583" s="8" t="s">
        <v>2343</v>
      </c>
      <c r="X4583" s="6"/>
      <c r="Y4583" s="6"/>
      <c r="Z4583" s="6"/>
      <c r="AA4583" s="6" t="s">
        <v>418</v>
      </c>
      <c r="AB4583" s="8"/>
    </row>
    <row r="4584" spans="1:28" s="4" customFormat="1" ht="44.1" customHeight="1">
      <c r="A4584" s="5">
        <v>0</v>
      </c>
      <c r="B4584" s="6" t="s">
        <v>27178</v>
      </c>
      <c r="C4584" s="13">
        <v>1990</v>
      </c>
      <c r="D4584" s="8" t="s">
        <v>27179</v>
      </c>
      <c r="E4584" s="8" t="s">
        <v>27180</v>
      </c>
      <c r="F4584" s="8" t="s">
        <v>27181</v>
      </c>
      <c r="G4584" s="6" t="s">
        <v>52</v>
      </c>
      <c r="H4584" s="6" t="s">
        <v>53</v>
      </c>
      <c r="I4584" s="8" t="s">
        <v>116</v>
      </c>
      <c r="J4584" s="9">
        <v>1</v>
      </c>
      <c r="K4584" s="9">
        <v>385</v>
      </c>
      <c r="L4584" s="9">
        <v>2025</v>
      </c>
      <c r="M4584" s="8" t="s">
        <v>27182</v>
      </c>
      <c r="N4584" s="8" t="s">
        <v>997</v>
      </c>
      <c r="O4584" s="8" t="s">
        <v>998</v>
      </c>
      <c r="P4584" s="6" t="s">
        <v>167</v>
      </c>
      <c r="Q4584" s="8" t="s">
        <v>58</v>
      </c>
      <c r="R4584" s="10" t="s">
        <v>27183</v>
      </c>
      <c r="S4584" s="11"/>
      <c r="T4584" s="6"/>
      <c r="U4584" s="24" t="str">
        <f>HYPERLINK("https://media.infra-m.ru/2100/2100001/cover/2100001.jpg", "Обложка")</f>
        <v>Обложка</v>
      </c>
      <c r="V4584" s="24" t="str">
        <f>HYPERLINK("https://znanium.ru/catalog/product/2100001", "Ознакомиться")</f>
        <v>Ознакомиться</v>
      </c>
      <c r="W4584" s="8" t="s">
        <v>2514</v>
      </c>
      <c r="X4584" s="6" t="s">
        <v>2790</v>
      </c>
      <c r="Y4584" s="6"/>
      <c r="Z4584" s="6"/>
      <c r="AA4584" s="6" t="s">
        <v>61</v>
      </c>
      <c r="AB4584" s="8" t="s">
        <v>1159</v>
      </c>
    </row>
    <row r="4585" spans="1:28" s="4" customFormat="1" ht="51.95" customHeight="1">
      <c r="A4585" s="5">
        <v>0</v>
      </c>
      <c r="B4585" s="6" t="s">
        <v>27184</v>
      </c>
      <c r="C4585" s="13">
        <v>1610</v>
      </c>
      <c r="D4585" s="8" t="s">
        <v>27185</v>
      </c>
      <c r="E4585" s="8" t="s">
        <v>27186</v>
      </c>
      <c r="F4585" s="8" t="s">
        <v>27187</v>
      </c>
      <c r="G4585" s="6" t="s">
        <v>89</v>
      </c>
      <c r="H4585" s="6" t="s">
        <v>53</v>
      </c>
      <c r="I4585" s="8" t="s">
        <v>116</v>
      </c>
      <c r="J4585" s="9">
        <v>1</v>
      </c>
      <c r="K4585" s="9">
        <v>357</v>
      </c>
      <c r="L4585" s="9">
        <v>2023</v>
      </c>
      <c r="M4585" s="8" t="s">
        <v>27188</v>
      </c>
      <c r="N4585" s="8" t="s">
        <v>997</v>
      </c>
      <c r="O4585" s="8" t="s">
        <v>998</v>
      </c>
      <c r="P4585" s="6" t="s">
        <v>167</v>
      </c>
      <c r="Q4585" s="8" t="s">
        <v>44</v>
      </c>
      <c r="R4585" s="10" t="s">
        <v>6390</v>
      </c>
      <c r="S4585" s="11" t="s">
        <v>27189</v>
      </c>
      <c r="T4585" s="6"/>
      <c r="U4585" s="24" t="str">
        <f>HYPERLINK("https://media.infra-m.ru/2061/2061312/cover/2061312.jpg", "Обложка")</f>
        <v>Обложка</v>
      </c>
      <c r="V4585" s="24" t="str">
        <f>HYPERLINK("https://znanium.ru/catalog/product/1914004", "Ознакомиться")</f>
        <v>Ознакомиться</v>
      </c>
      <c r="W4585" s="8" t="s">
        <v>744</v>
      </c>
      <c r="X4585" s="6"/>
      <c r="Y4585" s="6"/>
      <c r="Z4585" s="6"/>
      <c r="AA4585" s="6" t="s">
        <v>95</v>
      </c>
      <c r="AB4585" s="8"/>
    </row>
    <row r="4586" spans="1:28" s="4" customFormat="1" ht="42" customHeight="1">
      <c r="A4586" s="5">
        <v>0</v>
      </c>
      <c r="B4586" s="6" t="s">
        <v>27190</v>
      </c>
      <c r="C4586" s="13">
        <v>1890</v>
      </c>
      <c r="D4586" s="8" t="s">
        <v>27191</v>
      </c>
      <c r="E4586" s="8" t="s">
        <v>27192</v>
      </c>
      <c r="F4586" s="8" t="s">
        <v>27193</v>
      </c>
      <c r="G4586" s="6" t="s">
        <v>89</v>
      </c>
      <c r="H4586" s="6" t="s">
        <v>53</v>
      </c>
      <c r="I4586" s="8"/>
      <c r="J4586" s="9">
        <v>1</v>
      </c>
      <c r="K4586" s="9">
        <v>235</v>
      </c>
      <c r="L4586" s="9">
        <v>2024</v>
      </c>
      <c r="M4586" s="8" t="s">
        <v>27194</v>
      </c>
      <c r="N4586" s="8" t="s">
        <v>41</v>
      </c>
      <c r="O4586" s="8" t="s">
        <v>676</v>
      </c>
      <c r="P4586" s="6" t="s">
        <v>43</v>
      </c>
      <c r="Q4586" s="8" t="s">
        <v>58</v>
      </c>
      <c r="R4586" s="10" t="s">
        <v>22538</v>
      </c>
      <c r="S4586" s="11"/>
      <c r="T4586" s="6"/>
      <c r="U4586" s="24" t="str">
        <f>HYPERLINK("https://media.infra-m.ru/2199/2199502/cover/2199502.jpg", "Обложка")</f>
        <v>Обложка</v>
      </c>
      <c r="V4586" s="24" t="str">
        <f>HYPERLINK("https://znanium.ru/catalog/product/2158216", "Ознакомиться")</f>
        <v>Ознакомиться</v>
      </c>
      <c r="W4586" s="8" t="s">
        <v>3201</v>
      </c>
      <c r="X4586" s="6"/>
      <c r="Y4586" s="6"/>
      <c r="Z4586" s="6"/>
      <c r="AA4586" s="6" t="s">
        <v>133</v>
      </c>
      <c r="AB4586" s="8"/>
    </row>
    <row r="4587" spans="1:28" s="4" customFormat="1" ht="51.95" customHeight="1">
      <c r="A4587" s="5">
        <v>0</v>
      </c>
      <c r="B4587" s="6" t="s">
        <v>27195</v>
      </c>
      <c r="C4587" s="13">
        <v>1690</v>
      </c>
      <c r="D4587" s="8" t="s">
        <v>27196</v>
      </c>
      <c r="E4587" s="8" t="s">
        <v>27197</v>
      </c>
      <c r="F4587" s="8" t="s">
        <v>17574</v>
      </c>
      <c r="G4587" s="6" t="s">
        <v>52</v>
      </c>
      <c r="H4587" s="6" t="s">
        <v>53</v>
      </c>
      <c r="I4587" s="8" t="s">
        <v>17575</v>
      </c>
      <c r="J4587" s="9">
        <v>1</v>
      </c>
      <c r="K4587" s="9">
        <v>368</v>
      </c>
      <c r="L4587" s="9">
        <v>2023</v>
      </c>
      <c r="M4587" s="8" t="s">
        <v>27198</v>
      </c>
      <c r="N4587" s="8" t="s">
        <v>41</v>
      </c>
      <c r="O4587" s="8" t="s">
        <v>129</v>
      </c>
      <c r="P4587" s="6" t="s">
        <v>43</v>
      </c>
      <c r="Q4587" s="8" t="s">
        <v>58</v>
      </c>
      <c r="R4587" s="10" t="s">
        <v>27199</v>
      </c>
      <c r="S4587" s="11" t="s">
        <v>17578</v>
      </c>
      <c r="T4587" s="6"/>
      <c r="U4587" s="24" t="str">
        <f>HYPERLINK("https://media.infra-m.ru/1908/1908965/cover/1908965.jpg", "Обложка")</f>
        <v>Обложка</v>
      </c>
      <c r="V4587" s="24" t="str">
        <f>HYPERLINK("https://znanium.ru/catalog/product/1908965", "Ознакомиться")</f>
        <v>Ознакомиться</v>
      </c>
      <c r="W4587" s="8" t="s">
        <v>716</v>
      </c>
      <c r="X4587" s="6"/>
      <c r="Y4587" s="6"/>
      <c r="Z4587" s="6"/>
      <c r="AA4587" s="6" t="s">
        <v>207</v>
      </c>
      <c r="AB4587" s="8"/>
    </row>
    <row r="4588" spans="1:28" s="4" customFormat="1" ht="42" customHeight="1">
      <c r="A4588" s="5">
        <v>0</v>
      </c>
      <c r="B4588" s="6" t="s">
        <v>27200</v>
      </c>
      <c r="C4588" s="13">
        <v>1750</v>
      </c>
      <c r="D4588" s="8" t="s">
        <v>27201</v>
      </c>
      <c r="E4588" s="8" t="s">
        <v>27202</v>
      </c>
      <c r="F4588" s="8" t="s">
        <v>27203</v>
      </c>
      <c r="G4588" s="6" t="s">
        <v>89</v>
      </c>
      <c r="H4588" s="6" t="s">
        <v>53</v>
      </c>
      <c r="I4588" s="8" t="s">
        <v>100</v>
      </c>
      <c r="J4588" s="9">
        <v>1</v>
      </c>
      <c r="K4588" s="9">
        <v>337</v>
      </c>
      <c r="L4588" s="9">
        <v>2025</v>
      </c>
      <c r="M4588" s="8" t="s">
        <v>27204</v>
      </c>
      <c r="N4588" s="8" t="s">
        <v>41</v>
      </c>
      <c r="O4588" s="8" t="s">
        <v>676</v>
      </c>
      <c r="P4588" s="6" t="s">
        <v>43</v>
      </c>
      <c r="Q4588" s="8" t="s">
        <v>102</v>
      </c>
      <c r="R4588" s="10" t="s">
        <v>11353</v>
      </c>
      <c r="S4588" s="11"/>
      <c r="T4588" s="6"/>
      <c r="U4588" s="24" t="str">
        <f>HYPERLINK("https://media.infra-m.ru/2191/2191937/cover/2191937.jpg", "Обложка")</f>
        <v>Обложка</v>
      </c>
      <c r="V4588" s="24" t="str">
        <f>HYPERLINK("https://znanium.ru/catalog/product/2191937", "Ознакомиться")</f>
        <v>Ознакомиться</v>
      </c>
      <c r="W4588" s="8" t="s">
        <v>8022</v>
      </c>
      <c r="X4588" s="6"/>
      <c r="Y4588" s="6"/>
      <c r="Z4588" s="6" t="s">
        <v>2565</v>
      </c>
      <c r="AA4588" s="6" t="s">
        <v>133</v>
      </c>
      <c r="AB4588" s="8"/>
    </row>
    <row r="4589" spans="1:28" s="4" customFormat="1" ht="42" customHeight="1">
      <c r="A4589" s="5">
        <v>0</v>
      </c>
      <c r="B4589" s="6" t="s">
        <v>27205</v>
      </c>
      <c r="C4589" s="13">
        <v>1700</v>
      </c>
      <c r="D4589" s="8" t="s">
        <v>27206</v>
      </c>
      <c r="E4589" s="8" t="s">
        <v>27202</v>
      </c>
      <c r="F4589" s="8" t="s">
        <v>27203</v>
      </c>
      <c r="G4589" s="6" t="s">
        <v>89</v>
      </c>
      <c r="H4589" s="6" t="s">
        <v>53</v>
      </c>
      <c r="I4589" s="8" t="s">
        <v>212</v>
      </c>
      <c r="J4589" s="9">
        <v>1</v>
      </c>
      <c r="K4589" s="9">
        <v>337</v>
      </c>
      <c r="L4589" s="9">
        <v>2025</v>
      </c>
      <c r="M4589" s="8" t="s">
        <v>27207</v>
      </c>
      <c r="N4589" s="8" t="s">
        <v>41</v>
      </c>
      <c r="O4589" s="8" t="s">
        <v>676</v>
      </c>
      <c r="P4589" s="6" t="s">
        <v>43</v>
      </c>
      <c r="Q4589" s="8" t="s">
        <v>214</v>
      </c>
      <c r="R4589" s="10" t="s">
        <v>21993</v>
      </c>
      <c r="S4589" s="11"/>
      <c r="T4589" s="6"/>
      <c r="U4589" s="24" t="str">
        <f>HYPERLINK("https://media.infra-m.ru/2185/2185078/cover/2185078.jpg", "Обложка")</f>
        <v>Обложка</v>
      </c>
      <c r="V4589" s="24" t="str">
        <f>HYPERLINK("https://znanium.ru/catalog/product/2185078", "Ознакомиться")</f>
        <v>Ознакомиться</v>
      </c>
      <c r="W4589" s="8" t="s">
        <v>8022</v>
      </c>
      <c r="X4589" s="6"/>
      <c r="Y4589" s="6"/>
      <c r="Z4589" s="6"/>
      <c r="AA4589" s="6" t="s">
        <v>133</v>
      </c>
      <c r="AB4589" s="8"/>
    </row>
    <row r="4590" spans="1:28" s="4" customFormat="1" ht="51.95" customHeight="1">
      <c r="A4590" s="5">
        <v>0</v>
      </c>
      <c r="B4590" s="6" t="s">
        <v>27208</v>
      </c>
      <c r="C4590" s="7">
        <v>544</v>
      </c>
      <c r="D4590" s="8" t="s">
        <v>27209</v>
      </c>
      <c r="E4590" s="8" t="s">
        <v>27210</v>
      </c>
      <c r="F4590" s="8" t="s">
        <v>1005</v>
      </c>
      <c r="G4590" s="6" t="s">
        <v>38</v>
      </c>
      <c r="H4590" s="6" t="s">
        <v>952</v>
      </c>
      <c r="I4590" s="8"/>
      <c r="J4590" s="9">
        <v>1</v>
      </c>
      <c r="K4590" s="9">
        <v>120</v>
      </c>
      <c r="L4590" s="9">
        <v>2023</v>
      </c>
      <c r="M4590" s="8" t="s">
        <v>27211</v>
      </c>
      <c r="N4590" s="8" t="s">
        <v>41</v>
      </c>
      <c r="O4590" s="8" t="s">
        <v>1007</v>
      </c>
      <c r="P4590" s="6" t="s">
        <v>43</v>
      </c>
      <c r="Q4590" s="8" t="s">
        <v>58</v>
      </c>
      <c r="R4590" s="10" t="s">
        <v>27212</v>
      </c>
      <c r="S4590" s="11"/>
      <c r="T4590" s="6"/>
      <c r="U4590" s="24" t="str">
        <f>HYPERLINK("https://media.infra-m.ru/2006/2006833/cover/2006833.jpg", "Обложка")</f>
        <v>Обложка</v>
      </c>
      <c r="V4590" s="24" t="str">
        <f>HYPERLINK("https://znanium.ru/catalog/product/907490", "Ознакомиться")</f>
        <v>Ознакомиться</v>
      </c>
      <c r="W4590" s="8" t="s">
        <v>83</v>
      </c>
      <c r="X4590" s="6"/>
      <c r="Y4590" s="6"/>
      <c r="Z4590" s="6"/>
      <c r="AA4590" s="6" t="s">
        <v>442</v>
      </c>
      <c r="AB4590" s="8"/>
    </row>
    <row r="4591" spans="1:28" s="4" customFormat="1" ht="42" customHeight="1">
      <c r="A4591" s="5">
        <v>0</v>
      </c>
      <c r="B4591" s="6" t="s">
        <v>27213</v>
      </c>
      <c r="C4591" s="7">
        <v>654</v>
      </c>
      <c r="D4591" s="8" t="s">
        <v>27214</v>
      </c>
      <c r="E4591" s="8" t="s">
        <v>27215</v>
      </c>
      <c r="F4591" s="8" t="s">
        <v>27216</v>
      </c>
      <c r="G4591" s="6" t="s">
        <v>52</v>
      </c>
      <c r="H4591" s="6" t="s">
        <v>674</v>
      </c>
      <c r="I4591" s="8"/>
      <c r="J4591" s="9">
        <v>1</v>
      </c>
      <c r="K4591" s="9">
        <v>144</v>
      </c>
      <c r="L4591" s="9">
        <v>2023</v>
      </c>
      <c r="M4591" s="8" t="s">
        <v>27217</v>
      </c>
      <c r="N4591" s="8" t="s">
        <v>41</v>
      </c>
      <c r="O4591" s="8" t="s">
        <v>1007</v>
      </c>
      <c r="P4591" s="6" t="s">
        <v>43</v>
      </c>
      <c r="Q4591" s="8" t="s">
        <v>279</v>
      </c>
      <c r="R4591" s="10" t="s">
        <v>5809</v>
      </c>
      <c r="S4591" s="11"/>
      <c r="T4591" s="6"/>
      <c r="U4591" s="24" t="str">
        <f>HYPERLINK("https://media.infra-m.ru/1891/1891320/cover/1891320.jpg", "Обложка")</f>
        <v>Обложка</v>
      </c>
      <c r="V4591" s="24" t="str">
        <f>HYPERLINK("https://znanium.ru/catalog/product/1216936", "Ознакомиться")</f>
        <v>Ознакомиться</v>
      </c>
      <c r="W4591" s="8" t="s">
        <v>6124</v>
      </c>
      <c r="X4591" s="6"/>
      <c r="Y4591" s="6"/>
      <c r="Z4591" s="6"/>
      <c r="AA4591" s="6" t="s">
        <v>258</v>
      </c>
      <c r="AB4591" s="8"/>
    </row>
    <row r="4592" spans="1:28" s="4" customFormat="1" ht="51.95" customHeight="1">
      <c r="A4592" s="5">
        <v>0</v>
      </c>
      <c r="B4592" s="6" t="s">
        <v>27218</v>
      </c>
      <c r="C4592" s="13">
        <v>1760</v>
      </c>
      <c r="D4592" s="8" t="s">
        <v>27219</v>
      </c>
      <c r="E4592" s="8" t="s">
        <v>27220</v>
      </c>
      <c r="F4592" s="8" t="s">
        <v>20028</v>
      </c>
      <c r="G4592" s="6" t="s">
        <v>89</v>
      </c>
      <c r="H4592" s="6" t="s">
        <v>53</v>
      </c>
      <c r="I4592" s="8" t="s">
        <v>116</v>
      </c>
      <c r="J4592" s="9">
        <v>1</v>
      </c>
      <c r="K4592" s="9">
        <v>352</v>
      </c>
      <c r="L4592" s="9">
        <v>2025</v>
      </c>
      <c r="M4592" s="8" t="s">
        <v>27221</v>
      </c>
      <c r="N4592" s="8" t="s">
        <v>56</v>
      </c>
      <c r="O4592" s="8" t="s">
        <v>741</v>
      </c>
      <c r="P4592" s="6" t="s">
        <v>43</v>
      </c>
      <c r="Q4592" s="8" t="s">
        <v>279</v>
      </c>
      <c r="R4592" s="10" t="s">
        <v>27222</v>
      </c>
      <c r="S4592" s="11" t="s">
        <v>20030</v>
      </c>
      <c r="T4592" s="6" t="s">
        <v>299</v>
      </c>
      <c r="U4592" s="24" t="str">
        <f>HYPERLINK("https://media.infra-m.ru/2185/2185114/cover/2185114.jpg", "Обложка")</f>
        <v>Обложка</v>
      </c>
      <c r="V4592" s="24" t="str">
        <f>HYPERLINK("https://znanium.ru/catalog/product/2185114", "Ознакомиться")</f>
        <v>Ознакомиться</v>
      </c>
      <c r="W4592" s="8" t="s">
        <v>1505</v>
      </c>
      <c r="X4592" s="6"/>
      <c r="Y4592" s="6"/>
      <c r="Z4592" s="6"/>
      <c r="AA4592" s="6" t="s">
        <v>95</v>
      </c>
      <c r="AB4592" s="8"/>
    </row>
    <row r="4593" spans="1:28" s="4" customFormat="1" ht="51.95" customHeight="1">
      <c r="A4593" s="5">
        <v>0</v>
      </c>
      <c r="B4593" s="6" t="s">
        <v>27223</v>
      </c>
      <c r="C4593" s="13">
        <v>1120</v>
      </c>
      <c r="D4593" s="8" t="s">
        <v>27224</v>
      </c>
      <c r="E4593" s="8" t="s">
        <v>27225</v>
      </c>
      <c r="F4593" s="8" t="s">
        <v>4989</v>
      </c>
      <c r="G4593" s="6" t="s">
        <v>89</v>
      </c>
      <c r="H4593" s="6" t="s">
        <v>77</v>
      </c>
      <c r="I4593" s="8" t="s">
        <v>77</v>
      </c>
      <c r="J4593" s="9">
        <v>1</v>
      </c>
      <c r="K4593" s="9">
        <v>348</v>
      </c>
      <c r="L4593" s="9">
        <v>2019</v>
      </c>
      <c r="M4593" s="8" t="s">
        <v>27226</v>
      </c>
      <c r="N4593" s="8" t="s">
        <v>56</v>
      </c>
      <c r="O4593" s="8" t="s">
        <v>741</v>
      </c>
      <c r="P4593" s="6" t="s">
        <v>43</v>
      </c>
      <c r="Q4593" s="8" t="s">
        <v>44</v>
      </c>
      <c r="R4593" s="10" t="s">
        <v>27222</v>
      </c>
      <c r="S4593" s="11"/>
      <c r="T4593" s="6" t="s">
        <v>299</v>
      </c>
      <c r="U4593" s="24" t="str">
        <f>HYPERLINK("https://media.infra-m.ru/1001/1001983/cover/1001983.jpg", "Обложка")</f>
        <v>Обложка</v>
      </c>
      <c r="V4593" s="24" t="str">
        <f>HYPERLINK("https://znanium.ru/catalog/product/2185114", "Ознакомиться")</f>
        <v>Ознакомиться</v>
      </c>
      <c r="W4593" s="8" t="s">
        <v>1505</v>
      </c>
      <c r="X4593" s="6"/>
      <c r="Y4593" s="6"/>
      <c r="Z4593" s="6"/>
      <c r="AA4593" s="6" t="s">
        <v>47</v>
      </c>
      <c r="AB4593" s="8"/>
    </row>
    <row r="4594" spans="1:28" s="4" customFormat="1" ht="42" customHeight="1">
      <c r="A4594" s="5">
        <v>0</v>
      </c>
      <c r="B4594" s="6" t="s">
        <v>27227</v>
      </c>
      <c r="C4594" s="7">
        <v>414.9</v>
      </c>
      <c r="D4594" s="8" t="s">
        <v>27228</v>
      </c>
      <c r="E4594" s="8" t="s">
        <v>27229</v>
      </c>
      <c r="F4594" s="8" t="s">
        <v>27230</v>
      </c>
      <c r="G4594" s="6" t="s">
        <v>38</v>
      </c>
      <c r="H4594" s="6" t="s">
        <v>77</v>
      </c>
      <c r="I4594" s="8"/>
      <c r="J4594" s="9">
        <v>1</v>
      </c>
      <c r="K4594" s="9">
        <v>123</v>
      </c>
      <c r="L4594" s="9">
        <v>2019</v>
      </c>
      <c r="M4594" s="8" t="s">
        <v>27231</v>
      </c>
      <c r="N4594" s="8" t="s">
        <v>413</v>
      </c>
      <c r="O4594" s="8" t="s">
        <v>1141</v>
      </c>
      <c r="P4594" s="6" t="s">
        <v>187</v>
      </c>
      <c r="Q4594" s="8" t="s">
        <v>44</v>
      </c>
      <c r="R4594" s="10" t="s">
        <v>27232</v>
      </c>
      <c r="S4594" s="11"/>
      <c r="T4594" s="6"/>
      <c r="U4594" s="24" t="str">
        <f>HYPERLINK("https://media.infra-m.ru/1054/1054776/cover/1054776.jpg", "Обложка")</f>
        <v>Обложка</v>
      </c>
      <c r="V4594" s="24" t="str">
        <f>HYPERLINK("https://znanium.ru/catalog/product/1019406", "Ознакомиться")</f>
        <v>Ознакомиться</v>
      </c>
      <c r="W4594" s="8" t="s">
        <v>150</v>
      </c>
      <c r="X4594" s="6"/>
      <c r="Y4594" s="6"/>
      <c r="Z4594" s="6"/>
      <c r="AA4594" s="6" t="s">
        <v>442</v>
      </c>
      <c r="AB4594" s="8"/>
    </row>
    <row r="4595" spans="1:28" s="4" customFormat="1" ht="51.95" customHeight="1">
      <c r="A4595" s="5">
        <v>0</v>
      </c>
      <c r="B4595" s="6" t="s">
        <v>27233</v>
      </c>
      <c r="C4595" s="7">
        <v>604</v>
      </c>
      <c r="D4595" s="8" t="s">
        <v>27234</v>
      </c>
      <c r="E4595" s="8" t="s">
        <v>27235</v>
      </c>
      <c r="F4595" s="8" t="s">
        <v>19523</v>
      </c>
      <c r="G4595" s="6" t="s">
        <v>38</v>
      </c>
      <c r="H4595" s="6" t="s">
        <v>53</v>
      </c>
      <c r="I4595" s="8" t="s">
        <v>90</v>
      </c>
      <c r="J4595" s="9">
        <v>1</v>
      </c>
      <c r="K4595" s="9">
        <v>132</v>
      </c>
      <c r="L4595" s="9">
        <v>2024</v>
      </c>
      <c r="M4595" s="8" t="s">
        <v>27236</v>
      </c>
      <c r="N4595" s="8" t="s">
        <v>79</v>
      </c>
      <c r="O4595" s="8" t="s">
        <v>396</v>
      </c>
      <c r="P4595" s="6" t="s">
        <v>43</v>
      </c>
      <c r="Q4595" s="8" t="s">
        <v>44</v>
      </c>
      <c r="R4595" s="10" t="s">
        <v>27237</v>
      </c>
      <c r="S4595" s="11" t="s">
        <v>27238</v>
      </c>
      <c r="T4595" s="6"/>
      <c r="U4595" s="24" t="str">
        <f>HYPERLINK("https://media.infra-m.ru/2070/2070070/cover/2070070.jpg", "Обложка")</f>
        <v>Обложка</v>
      </c>
      <c r="V4595" s="24" t="str">
        <f>HYPERLINK("https://znanium.ru/catalog/product/2070070", "Ознакомиться")</f>
        <v>Ознакомиться</v>
      </c>
      <c r="W4595" s="8" t="s">
        <v>19527</v>
      </c>
      <c r="X4595" s="6"/>
      <c r="Y4595" s="6"/>
      <c r="Z4595" s="6"/>
      <c r="AA4595" s="6" t="s">
        <v>84</v>
      </c>
      <c r="AB4595" s="8"/>
    </row>
    <row r="4596" spans="1:28" s="4" customFormat="1" ht="51.95" customHeight="1">
      <c r="A4596" s="5">
        <v>0</v>
      </c>
      <c r="B4596" s="6" t="s">
        <v>27239</v>
      </c>
      <c r="C4596" s="7">
        <v>750</v>
      </c>
      <c r="D4596" s="8" t="s">
        <v>27240</v>
      </c>
      <c r="E4596" s="8" t="s">
        <v>27241</v>
      </c>
      <c r="F4596" s="8" t="s">
        <v>27242</v>
      </c>
      <c r="G4596" s="6" t="s">
        <v>89</v>
      </c>
      <c r="H4596" s="6" t="s">
        <v>53</v>
      </c>
      <c r="I4596" s="8" t="s">
        <v>4855</v>
      </c>
      <c r="J4596" s="9">
        <v>1</v>
      </c>
      <c r="K4596" s="9">
        <v>167</v>
      </c>
      <c r="L4596" s="9">
        <v>2023</v>
      </c>
      <c r="M4596" s="8" t="s">
        <v>27243</v>
      </c>
      <c r="N4596" s="8" t="s">
        <v>79</v>
      </c>
      <c r="O4596" s="8" t="s">
        <v>396</v>
      </c>
      <c r="P4596" s="6" t="s">
        <v>175</v>
      </c>
      <c r="Q4596" s="8" t="s">
        <v>44</v>
      </c>
      <c r="R4596" s="10" t="s">
        <v>27244</v>
      </c>
      <c r="S4596" s="11" t="s">
        <v>27245</v>
      </c>
      <c r="T4596" s="6"/>
      <c r="U4596" s="24" t="str">
        <f>HYPERLINK("https://media.infra-m.ru/1856/1856444/cover/1856444.jpg", "Обложка")</f>
        <v>Обложка</v>
      </c>
      <c r="V4596" s="12"/>
      <c r="W4596" s="8" t="s">
        <v>784</v>
      </c>
      <c r="X4596" s="6"/>
      <c r="Y4596" s="6"/>
      <c r="Z4596" s="6"/>
      <c r="AA4596" s="6" t="s">
        <v>151</v>
      </c>
      <c r="AB4596" s="8"/>
    </row>
    <row r="4597" spans="1:28" s="4" customFormat="1" ht="51.95" customHeight="1">
      <c r="A4597" s="5">
        <v>0</v>
      </c>
      <c r="B4597" s="6" t="s">
        <v>27246</v>
      </c>
      <c r="C4597" s="13">
        <v>1220</v>
      </c>
      <c r="D4597" s="8" t="s">
        <v>27247</v>
      </c>
      <c r="E4597" s="8" t="s">
        <v>27248</v>
      </c>
      <c r="F4597" s="8" t="s">
        <v>27249</v>
      </c>
      <c r="G4597" s="6" t="s">
        <v>89</v>
      </c>
      <c r="H4597" s="6" t="s">
        <v>53</v>
      </c>
      <c r="I4597" s="8" t="s">
        <v>116</v>
      </c>
      <c r="J4597" s="9">
        <v>1</v>
      </c>
      <c r="K4597" s="9">
        <v>254</v>
      </c>
      <c r="L4597" s="9">
        <v>2024</v>
      </c>
      <c r="M4597" s="8" t="s">
        <v>27250</v>
      </c>
      <c r="N4597" s="8" t="s">
        <v>68</v>
      </c>
      <c r="O4597" s="8" t="s">
        <v>69</v>
      </c>
      <c r="P4597" s="6" t="s">
        <v>167</v>
      </c>
      <c r="Q4597" s="8" t="s">
        <v>44</v>
      </c>
      <c r="R4597" s="10" t="s">
        <v>11908</v>
      </c>
      <c r="S4597" s="11" t="s">
        <v>27251</v>
      </c>
      <c r="T4597" s="6"/>
      <c r="U4597" s="24" t="str">
        <f>HYPERLINK("https://media.infra-m.ru/1933/1933134/cover/1933134.jpg", "Обложка")</f>
        <v>Обложка</v>
      </c>
      <c r="V4597" s="24" t="str">
        <f>HYPERLINK("https://znanium.ru/catalog/product/1933134", "Ознакомиться")</f>
        <v>Ознакомиться</v>
      </c>
      <c r="W4597" s="8" t="s">
        <v>21813</v>
      </c>
      <c r="X4597" s="6"/>
      <c r="Y4597" s="6"/>
      <c r="Z4597" s="6"/>
      <c r="AA4597" s="6" t="s">
        <v>442</v>
      </c>
      <c r="AB4597" s="8"/>
    </row>
    <row r="4598" spans="1:28" s="4" customFormat="1" ht="42" customHeight="1">
      <c r="A4598" s="5">
        <v>0</v>
      </c>
      <c r="B4598" s="6" t="s">
        <v>27252</v>
      </c>
      <c r="C4598" s="7">
        <v>930</v>
      </c>
      <c r="D4598" s="8" t="s">
        <v>27253</v>
      </c>
      <c r="E4598" s="8" t="s">
        <v>27254</v>
      </c>
      <c r="F4598" s="8" t="s">
        <v>27255</v>
      </c>
      <c r="G4598" s="6" t="s">
        <v>52</v>
      </c>
      <c r="H4598" s="6" t="s">
        <v>53</v>
      </c>
      <c r="I4598" s="8" t="s">
        <v>782</v>
      </c>
      <c r="J4598" s="9">
        <v>1</v>
      </c>
      <c r="K4598" s="9">
        <v>178</v>
      </c>
      <c r="L4598" s="9">
        <v>2025</v>
      </c>
      <c r="M4598" s="8" t="s">
        <v>27256</v>
      </c>
      <c r="N4598" s="8" t="s">
        <v>68</v>
      </c>
      <c r="O4598" s="8" t="s">
        <v>69</v>
      </c>
      <c r="P4598" s="6" t="s">
        <v>43</v>
      </c>
      <c r="Q4598" s="8" t="s">
        <v>44</v>
      </c>
      <c r="R4598" s="10" t="s">
        <v>27257</v>
      </c>
      <c r="S4598" s="11"/>
      <c r="T4598" s="6"/>
      <c r="U4598" s="24" t="str">
        <f>HYPERLINK("https://media.infra-m.ru/2167/2167521/cover/2167521.jpg", "Обложка")</f>
        <v>Обложка</v>
      </c>
      <c r="V4598" s="12"/>
      <c r="W4598" s="8" t="s">
        <v>784</v>
      </c>
      <c r="X4598" s="6" t="s">
        <v>132</v>
      </c>
      <c r="Y4598" s="6"/>
      <c r="Z4598" s="6"/>
      <c r="AA4598" s="6" t="s">
        <v>61</v>
      </c>
      <c r="AB4598" s="8"/>
    </row>
    <row r="4599" spans="1:28" s="4" customFormat="1" ht="51.95" customHeight="1">
      <c r="A4599" s="5">
        <v>0</v>
      </c>
      <c r="B4599" s="6" t="s">
        <v>27258</v>
      </c>
      <c r="C4599" s="7">
        <v>574.9</v>
      </c>
      <c r="D4599" s="8" t="s">
        <v>27259</v>
      </c>
      <c r="E4599" s="8" t="s">
        <v>27260</v>
      </c>
      <c r="F4599" s="8" t="s">
        <v>27261</v>
      </c>
      <c r="G4599" s="6" t="s">
        <v>38</v>
      </c>
      <c r="H4599" s="6" t="s">
        <v>674</v>
      </c>
      <c r="I4599" s="8"/>
      <c r="J4599" s="9">
        <v>1</v>
      </c>
      <c r="K4599" s="9">
        <v>176</v>
      </c>
      <c r="L4599" s="9">
        <v>2022</v>
      </c>
      <c r="M4599" s="8" t="s">
        <v>27262</v>
      </c>
      <c r="N4599" s="8" t="s">
        <v>41</v>
      </c>
      <c r="O4599" s="8" t="s">
        <v>676</v>
      </c>
      <c r="P4599" s="6" t="s">
        <v>1046</v>
      </c>
      <c r="Q4599" s="8" t="s">
        <v>44</v>
      </c>
      <c r="R4599" s="10" t="s">
        <v>27263</v>
      </c>
      <c r="S4599" s="11"/>
      <c r="T4599" s="6"/>
      <c r="U4599" s="24" t="str">
        <f>HYPERLINK("https://media.infra-m.ru/1708/1708654/cover/1708654.jpg", "Обложка")</f>
        <v>Обложка</v>
      </c>
      <c r="V4599" s="24" t="str">
        <f>HYPERLINK("https://znanium.ru/catalog/product/1708654", "Ознакомиться")</f>
        <v>Ознакомиться</v>
      </c>
      <c r="W4599" s="8" t="s">
        <v>784</v>
      </c>
      <c r="X4599" s="6"/>
      <c r="Y4599" s="6"/>
      <c r="Z4599" s="6"/>
      <c r="AA4599" s="6" t="s">
        <v>84</v>
      </c>
      <c r="AB4599" s="8"/>
    </row>
    <row r="4600" spans="1:28" s="4" customFormat="1" ht="51.95" customHeight="1">
      <c r="A4600" s="5">
        <v>0</v>
      </c>
      <c r="B4600" s="6" t="s">
        <v>27264</v>
      </c>
      <c r="C4600" s="13">
        <v>1570</v>
      </c>
      <c r="D4600" s="8" t="s">
        <v>27265</v>
      </c>
      <c r="E4600" s="8" t="s">
        <v>27266</v>
      </c>
      <c r="F4600" s="8" t="s">
        <v>27267</v>
      </c>
      <c r="G4600" s="6" t="s">
        <v>89</v>
      </c>
      <c r="H4600" s="6" t="s">
        <v>53</v>
      </c>
      <c r="I4600" s="8" t="s">
        <v>100</v>
      </c>
      <c r="J4600" s="9">
        <v>1</v>
      </c>
      <c r="K4600" s="9">
        <v>334</v>
      </c>
      <c r="L4600" s="9">
        <v>2024</v>
      </c>
      <c r="M4600" s="8" t="s">
        <v>27268</v>
      </c>
      <c r="N4600" s="8" t="s">
        <v>79</v>
      </c>
      <c r="O4600" s="8" t="s">
        <v>424</v>
      </c>
      <c r="P4600" s="6" t="s">
        <v>43</v>
      </c>
      <c r="Q4600" s="8" t="s">
        <v>102</v>
      </c>
      <c r="R4600" s="10" t="s">
        <v>27269</v>
      </c>
      <c r="S4600" s="11" t="s">
        <v>27270</v>
      </c>
      <c r="T4600" s="6"/>
      <c r="U4600" s="24" t="str">
        <f>HYPERLINK("https://media.infra-m.ru/2139/2139112/cover/2139112.jpg", "Обложка")</f>
        <v>Обложка</v>
      </c>
      <c r="V4600" s="24" t="str">
        <f>HYPERLINK("https://znanium.ru/catalog/product/2139112", "Ознакомиться")</f>
        <v>Ознакомиться</v>
      </c>
      <c r="W4600" s="8" t="s">
        <v>450</v>
      </c>
      <c r="X4600" s="6"/>
      <c r="Y4600" s="6"/>
      <c r="Z4600" s="6"/>
      <c r="AA4600" s="6" t="s">
        <v>622</v>
      </c>
      <c r="AB4600" s="8"/>
    </row>
    <row r="4601" spans="1:28" s="4" customFormat="1" ht="51.95" customHeight="1">
      <c r="A4601" s="5">
        <v>0</v>
      </c>
      <c r="B4601" s="6" t="s">
        <v>27271</v>
      </c>
      <c r="C4601" s="13">
        <v>2574</v>
      </c>
      <c r="D4601" s="8" t="s">
        <v>27272</v>
      </c>
      <c r="E4601" s="8" t="s">
        <v>27273</v>
      </c>
      <c r="F4601" s="8" t="s">
        <v>27274</v>
      </c>
      <c r="G4601" s="6" t="s">
        <v>89</v>
      </c>
      <c r="H4601" s="6" t="s">
        <v>53</v>
      </c>
      <c r="I4601" s="8" t="s">
        <v>14079</v>
      </c>
      <c r="J4601" s="9">
        <v>1</v>
      </c>
      <c r="K4601" s="9">
        <v>494</v>
      </c>
      <c r="L4601" s="9">
        <v>2025</v>
      </c>
      <c r="M4601" s="8" t="s">
        <v>27275</v>
      </c>
      <c r="N4601" s="8" t="s">
        <v>79</v>
      </c>
      <c r="O4601" s="8" t="s">
        <v>148</v>
      </c>
      <c r="P4601" s="6" t="s">
        <v>397</v>
      </c>
      <c r="Q4601" s="8" t="s">
        <v>58</v>
      </c>
      <c r="R4601" s="10" t="s">
        <v>27276</v>
      </c>
      <c r="S4601" s="11"/>
      <c r="T4601" s="6"/>
      <c r="U4601" s="24" t="str">
        <f>HYPERLINK("https://media.infra-m.ru/2200/2200014/cover/2200014.jpg", "Обложка")</f>
        <v>Обложка</v>
      </c>
      <c r="V4601" s="24" t="str">
        <f>HYPERLINK("https://znanium.ru/catalog/product/1287090", "Ознакомиться")</f>
        <v>Ознакомиться</v>
      </c>
      <c r="W4601" s="8" t="s">
        <v>347</v>
      </c>
      <c r="X4601" s="6"/>
      <c r="Y4601" s="6"/>
      <c r="Z4601" s="6"/>
      <c r="AA4601" s="6" t="s">
        <v>27277</v>
      </c>
      <c r="AB4601" s="8"/>
    </row>
    <row r="4602" spans="1:28" s="4" customFormat="1" ht="51.95" customHeight="1">
      <c r="A4602" s="5">
        <v>0</v>
      </c>
      <c r="B4602" s="6" t="s">
        <v>27278</v>
      </c>
      <c r="C4602" s="13">
        <v>1244</v>
      </c>
      <c r="D4602" s="8" t="s">
        <v>27279</v>
      </c>
      <c r="E4602" s="8" t="s">
        <v>27280</v>
      </c>
      <c r="F4602" s="8" t="s">
        <v>27281</v>
      </c>
      <c r="G4602" s="6" t="s">
        <v>52</v>
      </c>
      <c r="H4602" s="6" t="s">
        <v>53</v>
      </c>
      <c r="I4602" s="8" t="s">
        <v>90</v>
      </c>
      <c r="J4602" s="9">
        <v>1</v>
      </c>
      <c r="K4602" s="9">
        <v>239</v>
      </c>
      <c r="L4602" s="9">
        <v>2025</v>
      </c>
      <c r="M4602" s="8" t="s">
        <v>27282</v>
      </c>
      <c r="N4602" s="8" t="s">
        <v>41</v>
      </c>
      <c r="O4602" s="8" t="s">
        <v>1007</v>
      </c>
      <c r="P4602" s="6" t="s">
        <v>43</v>
      </c>
      <c r="Q4602" s="8" t="s">
        <v>44</v>
      </c>
      <c r="R4602" s="10" t="s">
        <v>27283</v>
      </c>
      <c r="S4602" s="11" t="s">
        <v>27284</v>
      </c>
      <c r="T4602" s="6"/>
      <c r="U4602" s="24" t="str">
        <f>HYPERLINK("https://media.infra-m.ru/2200/2200754/cover/2200754.jpg", "Обложка")</f>
        <v>Обложка</v>
      </c>
      <c r="V4602" s="12"/>
      <c r="W4602" s="8" t="s">
        <v>83</v>
      </c>
      <c r="X4602" s="6"/>
      <c r="Y4602" s="6"/>
      <c r="Z4602" s="6"/>
      <c r="AA4602" s="6" t="s">
        <v>84</v>
      </c>
      <c r="AB4602" s="8"/>
    </row>
    <row r="4603" spans="1:28" s="4" customFormat="1" ht="51.95" customHeight="1">
      <c r="A4603" s="5">
        <v>0</v>
      </c>
      <c r="B4603" s="6" t="s">
        <v>27285</v>
      </c>
      <c r="C4603" s="13">
        <v>2084</v>
      </c>
      <c r="D4603" s="8" t="s">
        <v>27286</v>
      </c>
      <c r="E4603" s="8" t="s">
        <v>27287</v>
      </c>
      <c r="F4603" s="8" t="s">
        <v>27288</v>
      </c>
      <c r="G4603" s="6" t="s">
        <v>52</v>
      </c>
      <c r="H4603" s="6" t="s">
        <v>39</v>
      </c>
      <c r="I4603" s="8" t="s">
        <v>185</v>
      </c>
      <c r="J4603" s="9">
        <v>1</v>
      </c>
      <c r="K4603" s="9">
        <v>400</v>
      </c>
      <c r="L4603" s="9">
        <v>2025</v>
      </c>
      <c r="M4603" s="8" t="s">
        <v>27289</v>
      </c>
      <c r="N4603" s="8" t="s">
        <v>79</v>
      </c>
      <c r="O4603" s="8" t="s">
        <v>396</v>
      </c>
      <c r="P4603" s="6" t="s">
        <v>43</v>
      </c>
      <c r="Q4603" s="8" t="s">
        <v>102</v>
      </c>
      <c r="R4603" s="10" t="s">
        <v>27290</v>
      </c>
      <c r="S4603" s="11"/>
      <c r="T4603" s="6"/>
      <c r="U4603" s="24" t="str">
        <f>HYPERLINK("https://media.infra-m.ru/2179/2179485/cover/2179485.jpg", "Обложка")</f>
        <v>Обложка</v>
      </c>
      <c r="V4603" s="24" t="str">
        <f>HYPERLINK("https://znanium.ru/catalog/product/1138794", "Ознакомиться")</f>
        <v>Ознакомиться</v>
      </c>
      <c r="W4603" s="8" t="s">
        <v>71</v>
      </c>
      <c r="X4603" s="6"/>
      <c r="Y4603" s="6"/>
      <c r="Z4603" s="6"/>
      <c r="AA4603" s="6" t="s">
        <v>27291</v>
      </c>
      <c r="AB4603" s="8"/>
    </row>
    <row r="4604" spans="1:28" s="4" customFormat="1" ht="51.95" customHeight="1">
      <c r="A4604" s="5">
        <v>0</v>
      </c>
      <c r="B4604" s="6" t="s">
        <v>27292</v>
      </c>
      <c r="C4604" s="13">
        <v>1524</v>
      </c>
      <c r="D4604" s="8" t="s">
        <v>27293</v>
      </c>
      <c r="E4604" s="8" t="s">
        <v>27294</v>
      </c>
      <c r="F4604" s="8" t="s">
        <v>23729</v>
      </c>
      <c r="G4604" s="6" t="s">
        <v>89</v>
      </c>
      <c r="H4604" s="6" t="s">
        <v>649</v>
      </c>
      <c r="I4604" s="8" t="s">
        <v>100</v>
      </c>
      <c r="J4604" s="9">
        <v>1</v>
      </c>
      <c r="K4604" s="9">
        <v>304</v>
      </c>
      <c r="L4604" s="9">
        <v>2025</v>
      </c>
      <c r="M4604" s="8" t="s">
        <v>27295</v>
      </c>
      <c r="N4604" s="8" t="s">
        <v>79</v>
      </c>
      <c r="O4604" s="8" t="s">
        <v>396</v>
      </c>
      <c r="P4604" s="6" t="s">
        <v>43</v>
      </c>
      <c r="Q4604" s="8" t="s">
        <v>102</v>
      </c>
      <c r="R4604" s="10" t="s">
        <v>27296</v>
      </c>
      <c r="S4604" s="11" t="s">
        <v>23753</v>
      </c>
      <c r="T4604" s="6"/>
      <c r="U4604" s="24" t="str">
        <f>HYPERLINK("https://media.infra-m.ru/2187/2187245/cover/2187245.jpg", "Обложка")</f>
        <v>Обложка</v>
      </c>
      <c r="V4604" s="24" t="str">
        <f>HYPERLINK("https://znanium.ru/catalog/product/2130245", "Ознакомиться")</f>
        <v>Ознакомиться</v>
      </c>
      <c r="W4604" s="8" t="s">
        <v>450</v>
      </c>
      <c r="X4604" s="6"/>
      <c r="Y4604" s="6"/>
      <c r="Z4604" s="6"/>
      <c r="AA4604" s="6" t="s">
        <v>84</v>
      </c>
      <c r="AB4604" s="8"/>
    </row>
    <row r="4605" spans="1:28" s="4" customFormat="1" ht="51.95" customHeight="1">
      <c r="A4605" s="5">
        <v>0</v>
      </c>
      <c r="B4605" s="6" t="s">
        <v>27297</v>
      </c>
      <c r="C4605" s="13">
        <v>1314</v>
      </c>
      <c r="D4605" s="8" t="s">
        <v>27298</v>
      </c>
      <c r="E4605" s="8" t="s">
        <v>27299</v>
      </c>
      <c r="F4605" s="8" t="s">
        <v>27300</v>
      </c>
      <c r="G4605" s="6" t="s">
        <v>52</v>
      </c>
      <c r="H4605" s="6" t="s">
        <v>53</v>
      </c>
      <c r="I4605" s="8" t="s">
        <v>100</v>
      </c>
      <c r="J4605" s="9">
        <v>1</v>
      </c>
      <c r="K4605" s="9">
        <v>262</v>
      </c>
      <c r="L4605" s="9">
        <v>2025</v>
      </c>
      <c r="M4605" s="8" t="s">
        <v>27301</v>
      </c>
      <c r="N4605" s="8" t="s">
        <v>79</v>
      </c>
      <c r="O4605" s="8" t="s">
        <v>396</v>
      </c>
      <c r="P4605" s="6" t="s">
        <v>397</v>
      </c>
      <c r="Q4605" s="8" t="s">
        <v>102</v>
      </c>
      <c r="R4605" s="10" t="s">
        <v>27302</v>
      </c>
      <c r="S4605" s="11"/>
      <c r="T4605" s="6"/>
      <c r="U4605" s="24" t="str">
        <f>HYPERLINK("https://media.infra-m.ru/2180/2180242/cover/2180242.jpg", "Обложка")</f>
        <v>Обложка</v>
      </c>
      <c r="V4605" s="24" t="str">
        <f>HYPERLINK("https://znanium.ru/catalog/product/2106211", "Ознакомиться")</f>
        <v>Ознакомиться</v>
      </c>
      <c r="W4605" s="8" t="s">
        <v>71</v>
      </c>
      <c r="X4605" s="6"/>
      <c r="Y4605" s="6"/>
      <c r="Z4605" s="6"/>
      <c r="AA4605" s="6" t="s">
        <v>813</v>
      </c>
      <c r="AB4605" s="8"/>
    </row>
    <row r="4606" spans="1:28" s="4" customFormat="1" ht="51.95" customHeight="1">
      <c r="A4606" s="5">
        <v>0</v>
      </c>
      <c r="B4606" s="6" t="s">
        <v>27303</v>
      </c>
      <c r="C4606" s="13">
        <v>2060</v>
      </c>
      <c r="D4606" s="8" t="s">
        <v>27304</v>
      </c>
      <c r="E4606" s="8" t="s">
        <v>27305</v>
      </c>
      <c r="F4606" s="8" t="s">
        <v>22185</v>
      </c>
      <c r="G4606" s="6" t="s">
        <v>52</v>
      </c>
      <c r="H4606" s="6" t="s">
        <v>53</v>
      </c>
      <c r="I4606" s="8" t="s">
        <v>100</v>
      </c>
      <c r="J4606" s="9">
        <v>1</v>
      </c>
      <c r="K4606" s="9">
        <v>412</v>
      </c>
      <c r="L4606" s="9">
        <v>2025</v>
      </c>
      <c r="M4606" s="8" t="s">
        <v>27306</v>
      </c>
      <c r="N4606" s="8" t="s">
        <v>79</v>
      </c>
      <c r="O4606" s="8" t="s">
        <v>396</v>
      </c>
      <c r="P4606" s="6" t="s">
        <v>43</v>
      </c>
      <c r="Q4606" s="8" t="s">
        <v>102</v>
      </c>
      <c r="R4606" s="10" t="s">
        <v>27307</v>
      </c>
      <c r="S4606" s="11" t="s">
        <v>27308</v>
      </c>
      <c r="T4606" s="6"/>
      <c r="U4606" s="24" t="str">
        <f>HYPERLINK("https://media.infra-m.ru/2170/2170078/cover/2170078.jpg", "Обложка")</f>
        <v>Обложка</v>
      </c>
      <c r="V4606" s="24" t="str">
        <f>HYPERLINK("https://znanium.ru/catalog/product/2170078", "Ознакомиться")</f>
        <v>Ознакомиться</v>
      </c>
      <c r="W4606" s="8" t="s">
        <v>71</v>
      </c>
      <c r="X4606" s="6"/>
      <c r="Y4606" s="6"/>
      <c r="Z4606" s="6"/>
      <c r="AA4606" s="6" t="s">
        <v>5325</v>
      </c>
      <c r="AB4606" s="8"/>
    </row>
    <row r="4607" spans="1:28" s="4" customFormat="1" ht="51.95" customHeight="1">
      <c r="A4607" s="5">
        <v>0</v>
      </c>
      <c r="B4607" s="6" t="s">
        <v>27309</v>
      </c>
      <c r="C4607" s="7">
        <v>650</v>
      </c>
      <c r="D4607" s="8" t="s">
        <v>27310</v>
      </c>
      <c r="E4607" s="8" t="s">
        <v>27311</v>
      </c>
      <c r="F4607" s="8" t="s">
        <v>24806</v>
      </c>
      <c r="G4607" s="6" t="s">
        <v>38</v>
      </c>
      <c r="H4607" s="6" t="s">
        <v>53</v>
      </c>
      <c r="I4607" s="8" t="s">
        <v>100</v>
      </c>
      <c r="J4607" s="9">
        <v>1</v>
      </c>
      <c r="K4607" s="9">
        <v>136</v>
      </c>
      <c r="L4607" s="9">
        <v>2024</v>
      </c>
      <c r="M4607" s="8" t="s">
        <v>27312</v>
      </c>
      <c r="N4607" s="8" t="s">
        <v>79</v>
      </c>
      <c r="O4607" s="8" t="s">
        <v>396</v>
      </c>
      <c r="P4607" s="6" t="s">
        <v>43</v>
      </c>
      <c r="Q4607" s="8" t="s">
        <v>102</v>
      </c>
      <c r="R4607" s="10" t="s">
        <v>27313</v>
      </c>
      <c r="S4607" s="11" t="s">
        <v>27314</v>
      </c>
      <c r="T4607" s="6"/>
      <c r="U4607" s="24" t="str">
        <f>HYPERLINK("https://media.infra-m.ru/2103/2103212/cover/2103212.jpg", "Обложка")</f>
        <v>Обложка</v>
      </c>
      <c r="V4607" s="24" t="str">
        <f>HYPERLINK("https://znanium.ru/catalog/product/2103212", "Ознакомиться")</f>
        <v>Ознакомиться</v>
      </c>
      <c r="W4607" s="8"/>
      <c r="X4607" s="6"/>
      <c r="Y4607" s="6"/>
      <c r="Z4607" s="6"/>
      <c r="AA4607" s="6" t="s">
        <v>2001</v>
      </c>
      <c r="AB4607" s="8"/>
    </row>
    <row r="4608" spans="1:28" s="4" customFormat="1" ht="51.95" customHeight="1">
      <c r="A4608" s="5">
        <v>0</v>
      </c>
      <c r="B4608" s="6" t="s">
        <v>27315</v>
      </c>
      <c r="C4608" s="13">
        <v>2600</v>
      </c>
      <c r="D4608" s="8" t="s">
        <v>27316</v>
      </c>
      <c r="E4608" s="8" t="s">
        <v>27317</v>
      </c>
      <c r="F4608" s="8" t="s">
        <v>27318</v>
      </c>
      <c r="G4608" s="6" t="s">
        <v>52</v>
      </c>
      <c r="H4608" s="6" t="s">
        <v>674</v>
      </c>
      <c r="I4608" s="8"/>
      <c r="J4608" s="9">
        <v>1</v>
      </c>
      <c r="K4608" s="9">
        <v>624</v>
      </c>
      <c r="L4608" s="9">
        <v>2025</v>
      </c>
      <c r="M4608" s="8" t="s">
        <v>27319</v>
      </c>
      <c r="N4608" s="8" t="s">
        <v>41</v>
      </c>
      <c r="O4608" s="8" t="s">
        <v>676</v>
      </c>
      <c r="P4608" s="6" t="s">
        <v>167</v>
      </c>
      <c r="Q4608" s="8" t="s">
        <v>58</v>
      </c>
      <c r="R4608" s="10" t="s">
        <v>677</v>
      </c>
      <c r="S4608" s="11"/>
      <c r="T4608" s="6"/>
      <c r="U4608" s="24" t="str">
        <f>HYPERLINK("https://media.infra-m.ru/2195/2195987/cover/2195987.jpg", "Обложка")</f>
        <v>Обложка</v>
      </c>
      <c r="V4608" s="24" t="str">
        <f>HYPERLINK("https://znanium.ru/catalog/product/2195987", "Ознакомиться")</f>
        <v>Ознакомиться</v>
      </c>
      <c r="W4608" s="8" t="s">
        <v>3282</v>
      </c>
      <c r="X4608" s="6"/>
      <c r="Y4608" s="6"/>
      <c r="Z4608" s="6"/>
      <c r="AA4608" s="6" t="s">
        <v>133</v>
      </c>
      <c r="AB4608" s="8"/>
    </row>
    <row r="4609" spans="1:28" s="4" customFormat="1" ht="51.95" customHeight="1">
      <c r="A4609" s="5">
        <v>0</v>
      </c>
      <c r="B4609" s="6" t="s">
        <v>27320</v>
      </c>
      <c r="C4609" s="13">
        <v>2300</v>
      </c>
      <c r="D4609" s="8" t="s">
        <v>27321</v>
      </c>
      <c r="E4609" s="8" t="s">
        <v>27322</v>
      </c>
      <c r="F4609" s="8" t="s">
        <v>27318</v>
      </c>
      <c r="G4609" s="6" t="s">
        <v>52</v>
      </c>
      <c r="H4609" s="6" t="s">
        <v>674</v>
      </c>
      <c r="I4609" s="8"/>
      <c r="J4609" s="9">
        <v>1</v>
      </c>
      <c r="K4609" s="9">
        <v>544</v>
      </c>
      <c r="L4609" s="9">
        <v>2025</v>
      </c>
      <c r="M4609" s="8" t="s">
        <v>27323</v>
      </c>
      <c r="N4609" s="8" t="s">
        <v>41</v>
      </c>
      <c r="O4609" s="8" t="s">
        <v>676</v>
      </c>
      <c r="P4609" s="6" t="s">
        <v>167</v>
      </c>
      <c r="Q4609" s="8" t="s">
        <v>58</v>
      </c>
      <c r="R4609" s="10" t="s">
        <v>677</v>
      </c>
      <c r="S4609" s="11"/>
      <c r="T4609" s="6"/>
      <c r="U4609" s="24" t="str">
        <f>HYPERLINK("https://media.infra-m.ru/2180/2180311/cover/2180311.jpg", "Обложка")</f>
        <v>Обложка</v>
      </c>
      <c r="V4609" s="24" t="str">
        <f>HYPERLINK("https://znanium.ru/catalog/product/2180311", "Ознакомиться")</f>
        <v>Ознакомиться</v>
      </c>
      <c r="W4609" s="8" t="s">
        <v>3282</v>
      </c>
      <c r="X4609" s="6"/>
      <c r="Y4609" s="6"/>
      <c r="Z4609" s="6"/>
      <c r="AA4609" s="6" t="s">
        <v>133</v>
      </c>
      <c r="AB4609" s="8"/>
    </row>
    <row r="4610" spans="1:28" s="4" customFormat="1" ht="51.95" customHeight="1">
      <c r="A4610" s="5">
        <v>0</v>
      </c>
      <c r="B4610" s="6" t="s">
        <v>27324</v>
      </c>
      <c r="C4610" s="13">
        <v>2240</v>
      </c>
      <c r="D4610" s="8" t="s">
        <v>27325</v>
      </c>
      <c r="E4610" s="8" t="s">
        <v>27326</v>
      </c>
      <c r="F4610" s="8" t="s">
        <v>27327</v>
      </c>
      <c r="G4610" s="6" t="s">
        <v>89</v>
      </c>
      <c r="H4610" s="6" t="s">
        <v>674</v>
      </c>
      <c r="I4610" s="8"/>
      <c r="J4610" s="9">
        <v>1</v>
      </c>
      <c r="K4610" s="9">
        <v>448</v>
      </c>
      <c r="L4610" s="9">
        <v>2024</v>
      </c>
      <c r="M4610" s="8" t="s">
        <v>27328</v>
      </c>
      <c r="N4610" s="8" t="s">
        <v>41</v>
      </c>
      <c r="O4610" s="8" t="s">
        <v>676</v>
      </c>
      <c r="P4610" s="6" t="s">
        <v>43</v>
      </c>
      <c r="Q4610" s="8" t="s">
        <v>44</v>
      </c>
      <c r="R4610" s="10" t="s">
        <v>10515</v>
      </c>
      <c r="S4610" s="11"/>
      <c r="T4610" s="6"/>
      <c r="U4610" s="24" t="str">
        <f>HYPERLINK("https://media.infra-m.ru/2130/2130189/cover/2130189.jpg", "Обложка")</f>
        <v>Обложка</v>
      </c>
      <c r="V4610" s="24" t="str">
        <f>HYPERLINK("https://znanium.ru/catalog/product/2130189", "Ознакомиться")</f>
        <v>Ознакомиться</v>
      </c>
      <c r="W4610" s="8" t="s">
        <v>678</v>
      </c>
      <c r="X4610" s="6"/>
      <c r="Y4610" s="6"/>
      <c r="Z4610" s="6"/>
      <c r="AA4610" s="6" t="s">
        <v>72</v>
      </c>
      <c r="AB4610" s="8"/>
    </row>
    <row r="4611" spans="1:28" s="4" customFormat="1" ht="51.95" customHeight="1">
      <c r="A4611" s="5">
        <v>0</v>
      </c>
      <c r="B4611" s="6" t="s">
        <v>27329</v>
      </c>
      <c r="C4611" s="13">
        <v>1494</v>
      </c>
      <c r="D4611" s="8" t="s">
        <v>27330</v>
      </c>
      <c r="E4611" s="8" t="s">
        <v>27331</v>
      </c>
      <c r="F4611" s="8" t="s">
        <v>27332</v>
      </c>
      <c r="G4611" s="6" t="s">
        <v>52</v>
      </c>
      <c r="H4611" s="6" t="s">
        <v>674</v>
      </c>
      <c r="I4611" s="8" t="s">
        <v>7135</v>
      </c>
      <c r="J4611" s="9">
        <v>1</v>
      </c>
      <c r="K4611" s="9">
        <v>320</v>
      </c>
      <c r="L4611" s="9">
        <v>2024</v>
      </c>
      <c r="M4611" s="8" t="s">
        <v>27333</v>
      </c>
      <c r="N4611" s="8" t="s">
        <v>41</v>
      </c>
      <c r="O4611" s="8" t="s">
        <v>676</v>
      </c>
      <c r="P4611" s="6" t="s">
        <v>167</v>
      </c>
      <c r="Q4611" s="8" t="s">
        <v>58</v>
      </c>
      <c r="R4611" s="10" t="s">
        <v>806</v>
      </c>
      <c r="S4611" s="11"/>
      <c r="T4611" s="6"/>
      <c r="U4611" s="24" t="str">
        <f>HYPERLINK("https://media.infra-m.ru/2130/2130209/cover/2130209.jpg", "Обложка")</f>
        <v>Обложка</v>
      </c>
      <c r="V4611" s="24" t="str">
        <f>HYPERLINK("https://znanium.ru/catalog/product/2106675", "Ознакомиться")</f>
        <v>Ознакомиться</v>
      </c>
      <c r="W4611" s="8"/>
      <c r="X4611" s="6"/>
      <c r="Y4611" s="6"/>
      <c r="Z4611" s="6"/>
      <c r="AA4611" s="6" t="s">
        <v>793</v>
      </c>
      <c r="AB4611" s="8"/>
    </row>
    <row r="4612" spans="1:28" s="4" customFormat="1" ht="51.95" customHeight="1">
      <c r="A4612" s="5">
        <v>0</v>
      </c>
      <c r="B4612" s="6" t="s">
        <v>27334</v>
      </c>
      <c r="C4612" s="13">
        <v>1604</v>
      </c>
      <c r="D4612" s="8" t="s">
        <v>27335</v>
      </c>
      <c r="E4612" s="8" t="s">
        <v>27336</v>
      </c>
      <c r="F4612" s="8" t="s">
        <v>27327</v>
      </c>
      <c r="G4612" s="6" t="s">
        <v>89</v>
      </c>
      <c r="H4612" s="6" t="s">
        <v>674</v>
      </c>
      <c r="I4612" s="8"/>
      <c r="J4612" s="9">
        <v>1</v>
      </c>
      <c r="K4612" s="9">
        <v>320</v>
      </c>
      <c r="L4612" s="9">
        <v>2025</v>
      </c>
      <c r="M4612" s="8" t="s">
        <v>27337</v>
      </c>
      <c r="N4612" s="8" t="s">
        <v>41</v>
      </c>
      <c r="O4612" s="8" t="s">
        <v>676</v>
      </c>
      <c r="P4612" s="6" t="s">
        <v>167</v>
      </c>
      <c r="Q4612" s="8" t="s">
        <v>279</v>
      </c>
      <c r="R4612" s="10" t="s">
        <v>806</v>
      </c>
      <c r="S4612" s="11"/>
      <c r="T4612" s="6"/>
      <c r="U4612" s="24" t="str">
        <f>HYPERLINK("https://media.infra-m.ru/2169/2169164/cover/2169164.jpg", "Обложка")</f>
        <v>Обложка</v>
      </c>
      <c r="V4612" s="24" t="str">
        <f>HYPERLINK("https://znanium.ru/catalog/product/1896822", "Ознакомиться")</f>
        <v>Ознакомиться</v>
      </c>
      <c r="W4612" s="8" t="s">
        <v>678</v>
      </c>
      <c r="X4612" s="6"/>
      <c r="Y4612" s="6"/>
      <c r="Z4612" s="6"/>
      <c r="AA4612" s="6" t="s">
        <v>494</v>
      </c>
      <c r="AB4612" s="8"/>
    </row>
    <row r="4613" spans="1:28" s="4" customFormat="1" ht="42" customHeight="1">
      <c r="A4613" s="5">
        <v>0</v>
      </c>
      <c r="B4613" s="6" t="s">
        <v>27338</v>
      </c>
      <c r="C4613" s="13">
        <v>1624</v>
      </c>
      <c r="D4613" s="8" t="s">
        <v>27339</v>
      </c>
      <c r="E4613" s="8" t="s">
        <v>27331</v>
      </c>
      <c r="F4613" s="8" t="s">
        <v>27340</v>
      </c>
      <c r="G4613" s="6" t="s">
        <v>52</v>
      </c>
      <c r="H4613" s="6" t="s">
        <v>1094</v>
      </c>
      <c r="I4613" s="8" t="s">
        <v>27341</v>
      </c>
      <c r="J4613" s="9">
        <v>1</v>
      </c>
      <c r="K4613" s="9">
        <v>352</v>
      </c>
      <c r="L4613" s="9">
        <v>2024</v>
      </c>
      <c r="M4613" s="8" t="s">
        <v>27342</v>
      </c>
      <c r="N4613" s="8" t="s">
        <v>41</v>
      </c>
      <c r="O4613" s="8" t="s">
        <v>676</v>
      </c>
      <c r="P4613" s="6" t="s">
        <v>8855</v>
      </c>
      <c r="Q4613" s="8" t="s">
        <v>44</v>
      </c>
      <c r="R4613" s="10" t="s">
        <v>969</v>
      </c>
      <c r="S4613" s="11"/>
      <c r="T4613" s="6"/>
      <c r="U4613" s="24" t="str">
        <f>HYPERLINK("https://media.infra-m.ru/1855/1855798/cover/1855798.jpg", "Обложка")</f>
        <v>Обложка</v>
      </c>
      <c r="V4613" s="24" t="str">
        <f>HYPERLINK("https://znanium.ru/catalog/product/1855798", "Ознакомиться")</f>
        <v>Ознакомиться</v>
      </c>
      <c r="W4613" s="8" t="s">
        <v>678</v>
      </c>
      <c r="X4613" s="6"/>
      <c r="Y4613" s="6"/>
      <c r="Z4613" s="6"/>
      <c r="AA4613" s="6" t="s">
        <v>654</v>
      </c>
      <c r="AB4613" s="8"/>
    </row>
    <row r="4614" spans="1:28" s="4" customFormat="1" ht="51.95" customHeight="1">
      <c r="A4614" s="5">
        <v>0</v>
      </c>
      <c r="B4614" s="6" t="s">
        <v>27343</v>
      </c>
      <c r="C4614" s="13">
        <v>1350</v>
      </c>
      <c r="D4614" s="8" t="s">
        <v>27344</v>
      </c>
      <c r="E4614" s="8" t="s">
        <v>27345</v>
      </c>
      <c r="F4614" s="8" t="s">
        <v>11846</v>
      </c>
      <c r="G4614" s="6" t="s">
        <v>89</v>
      </c>
      <c r="H4614" s="6" t="s">
        <v>53</v>
      </c>
      <c r="I4614" s="8" t="s">
        <v>212</v>
      </c>
      <c r="J4614" s="9">
        <v>1</v>
      </c>
      <c r="K4614" s="9">
        <v>294</v>
      </c>
      <c r="L4614" s="9">
        <v>2024</v>
      </c>
      <c r="M4614" s="8" t="s">
        <v>27346</v>
      </c>
      <c r="N4614" s="8" t="s">
        <v>56</v>
      </c>
      <c r="O4614" s="8" t="s">
        <v>57</v>
      </c>
      <c r="P4614" s="6" t="s">
        <v>167</v>
      </c>
      <c r="Q4614" s="8" t="s">
        <v>214</v>
      </c>
      <c r="R4614" s="10" t="s">
        <v>27347</v>
      </c>
      <c r="S4614" s="11" t="s">
        <v>27348</v>
      </c>
      <c r="T4614" s="6"/>
      <c r="U4614" s="24" t="str">
        <f>HYPERLINK("https://media.infra-m.ru/2071/2071667/cover/2071667.jpg", "Обложка")</f>
        <v>Обложка</v>
      </c>
      <c r="V4614" s="24" t="str">
        <f>HYPERLINK("https://znanium.ru/catalog/product/2071667", "Ознакомиться")</f>
        <v>Ознакомиться</v>
      </c>
      <c r="W4614" s="8" t="s">
        <v>11850</v>
      </c>
      <c r="X4614" s="6"/>
      <c r="Y4614" s="6"/>
      <c r="Z4614" s="6"/>
      <c r="AA4614" s="6" t="s">
        <v>1374</v>
      </c>
      <c r="AB4614" s="8"/>
    </row>
    <row r="4615" spans="1:28" s="4" customFormat="1" ht="44.1" customHeight="1">
      <c r="A4615" s="5">
        <v>0</v>
      </c>
      <c r="B4615" s="6" t="s">
        <v>27349</v>
      </c>
      <c r="C4615" s="13">
        <v>1444.9</v>
      </c>
      <c r="D4615" s="8" t="s">
        <v>27350</v>
      </c>
      <c r="E4615" s="8" t="s">
        <v>27351</v>
      </c>
      <c r="F4615" s="8" t="s">
        <v>27352</v>
      </c>
      <c r="G4615" s="6" t="s">
        <v>38</v>
      </c>
      <c r="H4615" s="6" t="s">
        <v>39</v>
      </c>
      <c r="I4615" s="8" t="s">
        <v>116</v>
      </c>
      <c r="J4615" s="9">
        <v>1</v>
      </c>
      <c r="K4615" s="9">
        <v>320</v>
      </c>
      <c r="L4615" s="9">
        <v>2023</v>
      </c>
      <c r="M4615" s="8" t="s">
        <v>27353</v>
      </c>
      <c r="N4615" s="8" t="s">
        <v>56</v>
      </c>
      <c r="O4615" s="8" t="s">
        <v>57</v>
      </c>
      <c r="P4615" s="6" t="s">
        <v>43</v>
      </c>
      <c r="Q4615" s="8" t="s">
        <v>44</v>
      </c>
      <c r="R4615" s="10" t="s">
        <v>20105</v>
      </c>
      <c r="S4615" s="11"/>
      <c r="T4615" s="6"/>
      <c r="U4615" s="24" t="str">
        <f>HYPERLINK("https://media.infra-m.ru/1981/1981684/cover/1981684.jpg", "Обложка")</f>
        <v>Обложка</v>
      </c>
      <c r="V4615" s="24" t="str">
        <f>HYPERLINK("https://znanium.ru/catalog/product/1012440", "Ознакомиться")</f>
        <v>Ознакомиться</v>
      </c>
      <c r="W4615" s="8" t="s">
        <v>11850</v>
      </c>
      <c r="X4615" s="6"/>
      <c r="Y4615" s="6"/>
      <c r="Z4615" s="6"/>
      <c r="AA4615" s="6" t="s">
        <v>47</v>
      </c>
      <c r="AB4615" s="8"/>
    </row>
    <row r="4616" spans="1:28" s="4" customFormat="1" ht="51.95" customHeight="1">
      <c r="A4616" s="5">
        <v>0</v>
      </c>
      <c r="B4616" s="6" t="s">
        <v>27354</v>
      </c>
      <c r="C4616" s="13">
        <v>1014</v>
      </c>
      <c r="D4616" s="8" t="s">
        <v>27355</v>
      </c>
      <c r="E4616" s="8" t="s">
        <v>27356</v>
      </c>
      <c r="F4616" s="8" t="s">
        <v>27357</v>
      </c>
      <c r="G4616" s="6" t="s">
        <v>52</v>
      </c>
      <c r="H4616" s="6" t="s">
        <v>53</v>
      </c>
      <c r="I4616" s="8" t="s">
        <v>90</v>
      </c>
      <c r="J4616" s="9">
        <v>1</v>
      </c>
      <c r="K4616" s="9">
        <v>220</v>
      </c>
      <c r="L4616" s="9">
        <v>2024</v>
      </c>
      <c r="M4616" s="8" t="s">
        <v>27358</v>
      </c>
      <c r="N4616" s="8" t="s">
        <v>41</v>
      </c>
      <c r="O4616" s="8" t="s">
        <v>118</v>
      </c>
      <c r="P4616" s="6" t="s">
        <v>43</v>
      </c>
      <c r="Q4616" s="8" t="s">
        <v>44</v>
      </c>
      <c r="R4616" s="10" t="s">
        <v>27359</v>
      </c>
      <c r="S4616" s="11" t="s">
        <v>27360</v>
      </c>
      <c r="T4616" s="6"/>
      <c r="U4616" s="24" t="str">
        <f>HYPERLINK("https://media.infra-m.ru/2082/2082646/cover/2082646.jpg", "Обложка")</f>
        <v>Обложка</v>
      </c>
      <c r="V4616" s="24" t="str">
        <f>HYPERLINK("https://znanium.ru/catalog/product/2082646", "Ознакомиться")</f>
        <v>Ознакомиться</v>
      </c>
      <c r="W4616" s="8" t="s">
        <v>1076</v>
      </c>
      <c r="X4616" s="6"/>
      <c r="Y4616" s="6"/>
      <c r="Z4616" s="6"/>
      <c r="AA4616" s="6" t="s">
        <v>47</v>
      </c>
      <c r="AB4616" s="8"/>
    </row>
    <row r="4617" spans="1:28" s="4" customFormat="1" ht="51.95" customHeight="1">
      <c r="A4617" s="5">
        <v>0</v>
      </c>
      <c r="B4617" s="6" t="s">
        <v>27361</v>
      </c>
      <c r="C4617" s="7">
        <v>650</v>
      </c>
      <c r="D4617" s="8" t="s">
        <v>27362</v>
      </c>
      <c r="E4617" s="8" t="s">
        <v>27363</v>
      </c>
      <c r="F4617" s="8" t="s">
        <v>21914</v>
      </c>
      <c r="G4617" s="6" t="s">
        <v>89</v>
      </c>
      <c r="H4617" s="6" t="s">
        <v>53</v>
      </c>
      <c r="I4617" s="8" t="s">
        <v>276</v>
      </c>
      <c r="J4617" s="9">
        <v>1</v>
      </c>
      <c r="K4617" s="9">
        <v>184</v>
      </c>
      <c r="L4617" s="9">
        <v>2020</v>
      </c>
      <c r="M4617" s="8" t="s">
        <v>27364</v>
      </c>
      <c r="N4617" s="8" t="s">
        <v>79</v>
      </c>
      <c r="O4617" s="8" t="s">
        <v>148</v>
      </c>
      <c r="P4617" s="6" t="s">
        <v>43</v>
      </c>
      <c r="Q4617" s="8" t="s">
        <v>279</v>
      </c>
      <c r="R4617" s="10" t="s">
        <v>27365</v>
      </c>
      <c r="S4617" s="11" t="s">
        <v>27366</v>
      </c>
      <c r="T4617" s="6"/>
      <c r="U4617" s="24" t="str">
        <f>HYPERLINK("https://media.infra-m.ru/1062/1062013/cover/1062013.jpg", "Обложка")</f>
        <v>Обложка</v>
      </c>
      <c r="V4617" s="24" t="str">
        <f>HYPERLINK("https://znanium.ru/catalog/product/1062013", "Ознакомиться")</f>
        <v>Ознакомиться</v>
      </c>
      <c r="W4617" s="8" t="s">
        <v>1144</v>
      </c>
      <c r="X4617" s="6"/>
      <c r="Y4617" s="6"/>
      <c r="Z4617" s="6"/>
      <c r="AA4617" s="6" t="s">
        <v>111</v>
      </c>
      <c r="AB4617" s="8"/>
    </row>
    <row r="4618" spans="1:28" s="4" customFormat="1" ht="51.95" customHeight="1">
      <c r="A4618" s="5">
        <v>0</v>
      </c>
      <c r="B4618" s="6" t="s">
        <v>27367</v>
      </c>
      <c r="C4618" s="7">
        <v>650</v>
      </c>
      <c r="D4618" s="8" t="s">
        <v>27368</v>
      </c>
      <c r="E4618" s="8" t="s">
        <v>27369</v>
      </c>
      <c r="F4618" s="8" t="s">
        <v>27370</v>
      </c>
      <c r="G4618" s="6" t="s">
        <v>38</v>
      </c>
      <c r="H4618" s="6" t="s">
        <v>53</v>
      </c>
      <c r="I4618" s="8" t="s">
        <v>90</v>
      </c>
      <c r="J4618" s="9">
        <v>1</v>
      </c>
      <c r="K4618" s="9">
        <v>161</v>
      </c>
      <c r="L4618" s="9">
        <v>2022</v>
      </c>
      <c r="M4618" s="8" t="s">
        <v>27371</v>
      </c>
      <c r="N4618" s="8" t="s">
        <v>413</v>
      </c>
      <c r="O4618" s="8" t="s">
        <v>414</v>
      </c>
      <c r="P4618" s="6" t="s">
        <v>43</v>
      </c>
      <c r="Q4618" s="8" t="s">
        <v>44</v>
      </c>
      <c r="R4618" s="10" t="s">
        <v>5148</v>
      </c>
      <c r="S4618" s="11" t="s">
        <v>27372</v>
      </c>
      <c r="T4618" s="6"/>
      <c r="U4618" s="24" t="str">
        <f>HYPERLINK("https://media.infra-m.ru/1743/1743736/cover/1743736.jpg", "Обложка")</f>
        <v>Обложка</v>
      </c>
      <c r="V4618" s="24" t="str">
        <f>HYPERLINK("https://znanium.ru/catalog/product/1743736", "Ознакомиться")</f>
        <v>Ознакомиться</v>
      </c>
      <c r="W4618" s="8" t="s">
        <v>5019</v>
      </c>
      <c r="X4618" s="6"/>
      <c r="Y4618" s="6"/>
      <c r="Z4618" s="6"/>
      <c r="AA4618" s="6" t="s">
        <v>160</v>
      </c>
      <c r="AB4618" s="8"/>
    </row>
    <row r="4619" spans="1:28" s="4" customFormat="1" ht="51.95" customHeight="1">
      <c r="A4619" s="5">
        <v>0</v>
      </c>
      <c r="B4619" s="6" t="s">
        <v>27373</v>
      </c>
      <c r="C4619" s="7">
        <v>690</v>
      </c>
      <c r="D4619" s="8" t="s">
        <v>27374</v>
      </c>
      <c r="E4619" s="8" t="s">
        <v>27375</v>
      </c>
      <c r="F4619" s="8" t="s">
        <v>27376</v>
      </c>
      <c r="G4619" s="6" t="s">
        <v>38</v>
      </c>
      <c r="H4619" s="6" t="s">
        <v>53</v>
      </c>
      <c r="I4619" s="8" t="s">
        <v>90</v>
      </c>
      <c r="J4619" s="9">
        <v>1</v>
      </c>
      <c r="K4619" s="9">
        <v>135</v>
      </c>
      <c r="L4619" s="9">
        <v>2024</v>
      </c>
      <c r="M4619" s="8" t="s">
        <v>27377</v>
      </c>
      <c r="N4619" s="8" t="s">
        <v>41</v>
      </c>
      <c r="O4619" s="8" t="s">
        <v>278</v>
      </c>
      <c r="P4619" s="6" t="s">
        <v>43</v>
      </c>
      <c r="Q4619" s="8" t="s">
        <v>44</v>
      </c>
      <c r="R4619" s="10" t="s">
        <v>1794</v>
      </c>
      <c r="S4619" s="11" t="s">
        <v>27378</v>
      </c>
      <c r="T4619" s="6"/>
      <c r="U4619" s="24" t="str">
        <f>HYPERLINK("https://media.infra-m.ru/2114/2114826/cover/2114826.jpg", "Обложка")</f>
        <v>Обложка</v>
      </c>
      <c r="V4619" s="24" t="str">
        <f>HYPERLINK("https://znanium.ru/catalog/product/2114826", "Ознакомиться")</f>
        <v>Ознакомиться</v>
      </c>
      <c r="W4619" s="8" t="s">
        <v>27379</v>
      </c>
      <c r="X4619" s="6"/>
      <c r="Y4619" s="6"/>
      <c r="Z4619" s="6"/>
      <c r="AA4619" s="6" t="s">
        <v>418</v>
      </c>
      <c r="AB4619" s="8"/>
    </row>
    <row r="4620" spans="1:28" s="4" customFormat="1" ht="51.95" customHeight="1">
      <c r="A4620" s="5">
        <v>0</v>
      </c>
      <c r="B4620" s="6" t="s">
        <v>27380</v>
      </c>
      <c r="C4620" s="13">
        <v>1400</v>
      </c>
      <c r="D4620" s="8" t="s">
        <v>27381</v>
      </c>
      <c r="E4620" s="8" t="s">
        <v>27382</v>
      </c>
      <c r="F4620" s="8" t="s">
        <v>18056</v>
      </c>
      <c r="G4620" s="6" t="s">
        <v>89</v>
      </c>
      <c r="H4620" s="6" t="s">
        <v>53</v>
      </c>
      <c r="I4620" s="8" t="s">
        <v>116</v>
      </c>
      <c r="J4620" s="9">
        <v>1</v>
      </c>
      <c r="K4620" s="9">
        <v>297</v>
      </c>
      <c r="L4620" s="9">
        <v>2024</v>
      </c>
      <c r="M4620" s="8" t="s">
        <v>27383</v>
      </c>
      <c r="N4620" s="8" t="s">
        <v>79</v>
      </c>
      <c r="O4620" s="8" t="s">
        <v>148</v>
      </c>
      <c r="P4620" s="6" t="s">
        <v>167</v>
      </c>
      <c r="Q4620" s="8" t="s">
        <v>58</v>
      </c>
      <c r="R4620" s="10" t="s">
        <v>10088</v>
      </c>
      <c r="S4620" s="11" t="s">
        <v>27384</v>
      </c>
      <c r="T4620" s="6"/>
      <c r="U4620" s="24" t="str">
        <f>HYPERLINK("https://media.infra-m.ru/2074/2074318/cover/2074318.jpg", "Обложка")</f>
        <v>Обложка</v>
      </c>
      <c r="V4620" s="24" t="str">
        <f>HYPERLINK("https://znanium.ru/catalog/product/2074318", "Ознакомиться")</f>
        <v>Ознакомиться</v>
      </c>
      <c r="W4620" s="8" t="s">
        <v>354</v>
      </c>
      <c r="X4620" s="6"/>
      <c r="Y4620" s="6"/>
      <c r="Z4620" s="6"/>
      <c r="AA4620" s="6" t="s">
        <v>874</v>
      </c>
      <c r="AB4620" s="8"/>
    </row>
    <row r="4621" spans="1:28" s="4" customFormat="1" ht="51.95" customHeight="1">
      <c r="A4621" s="5">
        <v>0</v>
      </c>
      <c r="B4621" s="6" t="s">
        <v>27385</v>
      </c>
      <c r="C4621" s="13">
        <v>1200</v>
      </c>
      <c r="D4621" s="8" t="s">
        <v>27386</v>
      </c>
      <c r="E4621" s="8" t="s">
        <v>27382</v>
      </c>
      <c r="F4621" s="8" t="s">
        <v>18056</v>
      </c>
      <c r="G4621" s="6" t="s">
        <v>89</v>
      </c>
      <c r="H4621" s="6" t="s">
        <v>53</v>
      </c>
      <c r="I4621" s="8" t="s">
        <v>100</v>
      </c>
      <c r="J4621" s="9">
        <v>1</v>
      </c>
      <c r="K4621" s="9">
        <v>297</v>
      </c>
      <c r="L4621" s="9">
        <v>2022</v>
      </c>
      <c r="M4621" s="8" t="s">
        <v>27387</v>
      </c>
      <c r="N4621" s="8" t="s">
        <v>79</v>
      </c>
      <c r="O4621" s="8" t="s">
        <v>148</v>
      </c>
      <c r="P4621" s="6" t="s">
        <v>167</v>
      </c>
      <c r="Q4621" s="8" t="s">
        <v>102</v>
      </c>
      <c r="R4621" s="10" t="s">
        <v>2326</v>
      </c>
      <c r="S4621" s="11" t="s">
        <v>27388</v>
      </c>
      <c r="T4621" s="6"/>
      <c r="U4621" s="24" t="str">
        <f>HYPERLINK("https://media.infra-m.ru/1864/1864125/cover/1864125.jpg", "Обложка")</f>
        <v>Обложка</v>
      </c>
      <c r="V4621" s="24" t="str">
        <f>HYPERLINK("https://znanium.ru/catalog/product/1864125", "Ознакомиться")</f>
        <v>Ознакомиться</v>
      </c>
      <c r="W4621" s="8" t="s">
        <v>354</v>
      </c>
      <c r="X4621" s="6"/>
      <c r="Y4621" s="6"/>
      <c r="Z4621" s="6" t="s">
        <v>502</v>
      </c>
      <c r="AA4621" s="6" t="s">
        <v>1382</v>
      </c>
      <c r="AB4621" s="8"/>
    </row>
    <row r="4622" spans="1:28" s="4" customFormat="1" ht="51.95" customHeight="1">
      <c r="A4622" s="5">
        <v>0</v>
      </c>
      <c r="B4622" s="6" t="s">
        <v>27389</v>
      </c>
      <c r="C4622" s="13">
        <v>1134.9000000000001</v>
      </c>
      <c r="D4622" s="8" t="s">
        <v>27390</v>
      </c>
      <c r="E4622" s="8" t="s">
        <v>27391</v>
      </c>
      <c r="F4622" s="8" t="s">
        <v>27392</v>
      </c>
      <c r="G4622" s="6" t="s">
        <v>52</v>
      </c>
      <c r="H4622" s="6" t="s">
        <v>649</v>
      </c>
      <c r="I4622" s="8" t="s">
        <v>116</v>
      </c>
      <c r="J4622" s="9">
        <v>1</v>
      </c>
      <c r="K4622" s="9">
        <v>352</v>
      </c>
      <c r="L4622" s="9">
        <v>2019</v>
      </c>
      <c r="M4622" s="8" t="s">
        <v>27393</v>
      </c>
      <c r="N4622" s="8" t="s">
        <v>79</v>
      </c>
      <c r="O4622" s="8" t="s">
        <v>148</v>
      </c>
      <c r="P4622" s="6" t="s">
        <v>167</v>
      </c>
      <c r="Q4622" s="8" t="s">
        <v>44</v>
      </c>
      <c r="R4622" s="10" t="s">
        <v>10088</v>
      </c>
      <c r="S4622" s="11" t="s">
        <v>27394</v>
      </c>
      <c r="T4622" s="6"/>
      <c r="U4622" s="24" t="str">
        <f>HYPERLINK("https://media.infra-m.ru/0999/0999617/cover/999617.jpg", "Обложка")</f>
        <v>Обложка</v>
      </c>
      <c r="V4622" s="24" t="str">
        <f>HYPERLINK("https://znanium.ru/catalog/product/2074318", "Ознакомиться")</f>
        <v>Ознакомиться</v>
      </c>
      <c r="W4622" s="8" t="s">
        <v>354</v>
      </c>
      <c r="X4622" s="6"/>
      <c r="Y4622" s="6"/>
      <c r="Z4622" s="6"/>
      <c r="AA4622" s="6" t="s">
        <v>494</v>
      </c>
      <c r="AB4622" s="8"/>
    </row>
    <row r="4623" spans="1:28" s="4" customFormat="1" ht="51.95" customHeight="1">
      <c r="A4623" s="5">
        <v>0</v>
      </c>
      <c r="B4623" s="6" t="s">
        <v>27395</v>
      </c>
      <c r="C4623" s="7">
        <v>590</v>
      </c>
      <c r="D4623" s="8" t="s">
        <v>27396</v>
      </c>
      <c r="E4623" s="8" t="s">
        <v>27397</v>
      </c>
      <c r="F4623" s="8" t="s">
        <v>27398</v>
      </c>
      <c r="G4623" s="6" t="s">
        <v>38</v>
      </c>
      <c r="H4623" s="6" t="s">
        <v>53</v>
      </c>
      <c r="I4623" s="8" t="s">
        <v>116</v>
      </c>
      <c r="J4623" s="9">
        <v>1</v>
      </c>
      <c r="K4623" s="9">
        <v>115</v>
      </c>
      <c r="L4623" s="9">
        <v>2024</v>
      </c>
      <c r="M4623" s="8" t="s">
        <v>27399</v>
      </c>
      <c r="N4623" s="8" t="s">
        <v>79</v>
      </c>
      <c r="O4623" s="8" t="s">
        <v>148</v>
      </c>
      <c r="P4623" s="6" t="s">
        <v>43</v>
      </c>
      <c r="Q4623" s="8" t="s">
        <v>44</v>
      </c>
      <c r="R4623" s="10" t="s">
        <v>27400</v>
      </c>
      <c r="S4623" s="11" t="s">
        <v>27401</v>
      </c>
      <c r="T4623" s="6"/>
      <c r="U4623" s="24" t="str">
        <f>HYPERLINK("https://media.infra-m.ru/2131/2131760/cover/2131760.jpg", "Обложка")</f>
        <v>Обложка</v>
      </c>
      <c r="V4623" s="24" t="str">
        <f>HYPERLINK("https://znanium.ru/catalog/product/2131760", "Ознакомиться")</f>
        <v>Ознакомиться</v>
      </c>
      <c r="W4623" s="8" t="s">
        <v>354</v>
      </c>
      <c r="X4623" s="6"/>
      <c r="Y4623" s="6"/>
      <c r="Z4623" s="6"/>
      <c r="AA4623" s="6" t="s">
        <v>513</v>
      </c>
      <c r="AB4623" s="8"/>
    </row>
    <row r="4624" spans="1:28" s="4" customFormat="1" ht="51.95" customHeight="1">
      <c r="A4624" s="5">
        <v>0</v>
      </c>
      <c r="B4624" s="6" t="s">
        <v>27402</v>
      </c>
      <c r="C4624" s="13">
        <v>1900</v>
      </c>
      <c r="D4624" s="8" t="s">
        <v>27403</v>
      </c>
      <c r="E4624" s="8" t="s">
        <v>27404</v>
      </c>
      <c r="F4624" s="8" t="s">
        <v>27405</v>
      </c>
      <c r="G4624" s="6" t="s">
        <v>89</v>
      </c>
      <c r="H4624" s="6" t="s">
        <v>53</v>
      </c>
      <c r="I4624" s="8" t="s">
        <v>116</v>
      </c>
      <c r="J4624" s="9">
        <v>1</v>
      </c>
      <c r="K4624" s="9">
        <v>365</v>
      </c>
      <c r="L4624" s="9">
        <v>2025</v>
      </c>
      <c r="M4624" s="8" t="s">
        <v>27406</v>
      </c>
      <c r="N4624" s="8" t="s">
        <v>79</v>
      </c>
      <c r="O4624" s="8" t="s">
        <v>148</v>
      </c>
      <c r="P4624" s="6" t="s">
        <v>167</v>
      </c>
      <c r="Q4624" s="8" t="s">
        <v>44</v>
      </c>
      <c r="R4624" s="10" t="s">
        <v>27407</v>
      </c>
      <c r="S4624" s="11" t="s">
        <v>27408</v>
      </c>
      <c r="T4624" s="6"/>
      <c r="U4624" s="24" t="str">
        <f>HYPERLINK("https://media.infra-m.ru/2198/2198694/cover/2198694.jpg", "Обложка")</f>
        <v>Обложка</v>
      </c>
      <c r="V4624" s="24" t="str">
        <f>HYPERLINK("https://znanium.ru/catalog/product/2198694", "Ознакомиться")</f>
        <v>Ознакомиться</v>
      </c>
      <c r="W4624" s="8"/>
      <c r="X4624" s="6"/>
      <c r="Y4624" s="6"/>
      <c r="Z4624" s="6"/>
      <c r="AA4624" s="6" t="s">
        <v>95</v>
      </c>
      <c r="AB4624" s="8"/>
    </row>
    <row r="4625" spans="1:28" s="4" customFormat="1" ht="51.95" customHeight="1">
      <c r="A4625" s="5">
        <v>0</v>
      </c>
      <c r="B4625" s="6" t="s">
        <v>27409</v>
      </c>
      <c r="C4625" s="13">
        <v>1244</v>
      </c>
      <c r="D4625" s="8" t="s">
        <v>27410</v>
      </c>
      <c r="E4625" s="8" t="s">
        <v>27411</v>
      </c>
      <c r="F4625" s="8" t="s">
        <v>27405</v>
      </c>
      <c r="G4625" s="6" t="s">
        <v>52</v>
      </c>
      <c r="H4625" s="6" t="s">
        <v>53</v>
      </c>
      <c r="I4625" s="8" t="s">
        <v>90</v>
      </c>
      <c r="J4625" s="9">
        <v>1</v>
      </c>
      <c r="K4625" s="9">
        <v>239</v>
      </c>
      <c r="L4625" s="9">
        <v>2025</v>
      </c>
      <c r="M4625" s="8" t="s">
        <v>27412</v>
      </c>
      <c r="N4625" s="8" t="s">
        <v>79</v>
      </c>
      <c r="O4625" s="8" t="s">
        <v>148</v>
      </c>
      <c r="P4625" s="6" t="s">
        <v>43</v>
      </c>
      <c r="Q4625" s="8" t="s">
        <v>44</v>
      </c>
      <c r="R4625" s="10" t="s">
        <v>27413</v>
      </c>
      <c r="S4625" s="11" t="s">
        <v>27414</v>
      </c>
      <c r="T4625" s="6"/>
      <c r="U4625" s="24" t="str">
        <f>HYPERLINK("https://media.infra-m.ru/2195/2195876/cover/2195876.jpg", "Обложка")</f>
        <v>Обложка</v>
      </c>
      <c r="V4625" s="24" t="str">
        <f>HYPERLINK("https://znanium.ru/catalog/product/1010097", "Ознакомиться")</f>
        <v>Ознакомиться</v>
      </c>
      <c r="W4625" s="8"/>
      <c r="X4625" s="6"/>
      <c r="Y4625" s="6"/>
      <c r="Z4625" s="6"/>
      <c r="AA4625" s="6" t="s">
        <v>874</v>
      </c>
      <c r="AB4625" s="8"/>
    </row>
    <row r="4626" spans="1:28" s="4" customFormat="1" ht="42" customHeight="1">
      <c r="A4626" s="5">
        <v>0</v>
      </c>
      <c r="B4626" s="6" t="s">
        <v>27415</v>
      </c>
      <c r="C4626" s="7">
        <v>814.9</v>
      </c>
      <c r="D4626" s="8" t="s">
        <v>27416</v>
      </c>
      <c r="E4626" s="8" t="s">
        <v>27404</v>
      </c>
      <c r="F4626" s="8" t="s">
        <v>27405</v>
      </c>
      <c r="G4626" s="6" t="s">
        <v>52</v>
      </c>
      <c r="H4626" s="6" t="s">
        <v>53</v>
      </c>
      <c r="I4626" s="8" t="s">
        <v>116</v>
      </c>
      <c r="J4626" s="9">
        <v>1</v>
      </c>
      <c r="K4626" s="9">
        <v>219</v>
      </c>
      <c r="L4626" s="9">
        <v>2019</v>
      </c>
      <c r="M4626" s="8" t="s">
        <v>27417</v>
      </c>
      <c r="N4626" s="8" t="s">
        <v>79</v>
      </c>
      <c r="O4626" s="8" t="s">
        <v>148</v>
      </c>
      <c r="P4626" s="6" t="s">
        <v>43</v>
      </c>
      <c r="Q4626" s="8" t="s">
        <v>44</v>
      </c>
      <c r="R4626" s="10" t="s">
        <v>27413</v>
      </c>
      <c r="S4626" s="11"/>
      <c r="T4626" s="6" t="s">
        <v>299</v>
      </c>
      <c r="U4626" s="24" t="str">
        <f>HYPERLINK("https://media.infra-m.ru/1010/1010097/cover/1010097.jpg", "Обложка")</f>
        <v>Обложка</v>
      </c>
      <c r="V4626" s="24" t="str">
        <f>HYPERLINK("https://znanium.ru/catalog/product/1010097", "Ознакомиться")</f>
        <v>Ознакомиться</v>
      </c>
      <c r="W4626" s="8"/>
      <c r="X4626" s="6"/>
      <c r="Y4626" s="6"/>
      <c r="Z4626" s="6"/>
      <c r="AA4626" s="6" t="s">
        <v>494</v>
      </c>
      <c r="AB4626" s="8"/>
    </row>
    <row r="4627" spans="1:28" s="4" customFormat="1" ht="51.95" customHeight="1">
      <c r="A4627" s="5">
        <v>0</v>
      </c>
      <c r="B4627" s="6" t="s">
        <v>27418</v>
      </c>
      <c r="C4627" s="13">
        <v>1034.9000000000001</v>
      </c>
      <c r="D4627" s="8" t="s">
        <v>27419</v>
      </c>
      <c r="E4627" s="8" t="s">
        <v>27420</v>
      </c>
      <c r="F4627" s="8" t="s">
        <v>27421</v>
      </c>
      <c r="G4627" s="6" t="s">
        <v>52</v>
      </c>
      <c r="H4627" s="6" t="s">
        <v>53</v>
      </c>
      <c r="I4627" s="8" t="s">
        <v>90</v>
      </c>
      <c r="J4627" s="9">
        <v>20</v>
      </c>
      <c r="K4627" s="9">
        <v>304</v>
      </c>
      <c r="L4627" s="9">
        <v>2020</v>
      </c>
      <c r="M4627" s="8" t="s">
        <v>27422</v>
      </c>
      <c r="N4627" s="8" t="s">
        <v>79</v>
      </c>
      <c r="O4627" s="8" t="s">
        <v>148</v>
      </c>
      <c r="P4627" s="6" t="s">
        <v>167</v>
      </c>
      <c r="Q4627" s="8" t="s">
        <v>44</v>
      </c>
      <c r="R4627" s="10" t="s">
        <v>27407</v>
      </c>
      <c r="S4627" s="11" t="s">
        <v>27423</v>
      </c>
      <c r="T4627" s="6" t="s">
        <v>299</v>
      </c>
      <c r="U4627" s="24" t="str">
        <f>HYPERLINK("https://media.infra-m.ru/1068/1068788/cover/1068788.jpg", "Обложка")</f>
        <v>Обложка</v>
      </c>
      <c r="V4627" s="24" t="str">
        <f>HYPERLINK("https://znanium.ru/catalog/product/2198694", "Ознакомиться")</f>
        <v>Ознакомиться</v>
      </c>
      <c r="W4627" s="8"/>
      <c r="X4627" s="6"/>
      <c r="Y4627" s="6"/>
      <c r="Z4627" s="6"/>
      <c r="AA4627" s="6" t="s">
        <v>418</v>
      </c>
      <c r="AB4627" s="8"/>
    </row>
    <row r="4628" spans="1:28" s="4" customFormat="1" ht="51.95" customHeight="1">
      <c r="A4628" s="5">
        <v>0</v>
      </c>
      <c r="B4628" s="6" t="s">
        <v>27424</v>
      </c>
      <c r="C4628" s="13">
        <v>1160</v>
      </c>
      <c r="D4628" s="8" t="s">
        <v>27425</v>
      </c>
      <c r="E4628" s="8" t="s">
        <v>27426</v>
      </c>
      <c r="F4628" s="8" t="s">
        <v>27427</v>
      </c>
      <c r="G4628" s="6" t="s">
        <v>89</v>
      </c>
      <c r="H4628" s="6" t="s">
        <v>53</v>
      </c>
      <c r="I4628" s="8" t="s">
        <v>100</v>
      </c>
      <c r="J4628" s="9">
        <v>1</v>
      </c>
      <c r="K4628" s="9">
        <v>232</v>
      </c>
      <c r="L4628" s="9">
        <v>2025</v>
      </c>
      <c r="M4628" s="8" t="s">
        <v>27428</v>
      </c>
      <c r="N4628" s="8" t="s">
        <v>79</v>
      </c>
      <c r="O4628" s="8" t="s">
        <v>80</v>
      </c>
      <c r="P4628" s="6" t="s">
        <v>43</v>
      </c>
      <c r="Q4628" s="8" t="s">
        <v>102</v>
      </c>
      <c r="R4628" s="10" t="s">
        <v>2199</v>
      </c>
      <c r="S4628" s="11" t="s">
        <v>2638</v>
      </c>
      <c r="T4628" s="6"/>
      <c r="U4628" s="24" t="str">
        <f>HYPERLINK("https://media.infra-m.ru/2156/2156475/cover/2156475.jpg", "Обложка")</f>
        <v>Обложка</v>
      </c>
      <c r="V4628" s="24" t="str">
        <f>HYPERLINK("https://znanium.ru/catalog/product/2156475", "Ознакомиться")</f>
        <v>Ознакомиться</v>
      </c>
      <c r="W4628" s="8" t="s">
        <v>2321</v>
      </c>
      <c r="X4628" s="6"/>
      <c r="Y4628" s="6"/>
      <c r="Z4628" s="6" t="s">
        <v>104</v>
      </c>
      <c r="AA4628" s="6" t="s">
        <v>258</v>
      </c>
      <c r="AB4628" s="8"/>
    </row>
    <row r="4629" spans="1:28" s="4" customFormat="1" ht="51.95" customHeight="1">
      <c r="A4629" s="5">
        <v>0</v>
      </c>
      <c r="B4629" s="6" t="s">
        <v>27429</v>
      </c>
      <c r="C4629" s="13">
        <v>1164</v>
      </c>
      <c r="D4629" s="8" t="s">
        <v>27430</v>
      </c>
      <c r="E4629" s="8" t="s">
        <v>27426</v>
      </c>
      <c r="F4629" s="8" t="s">
        <v>27427</v>
      </c>
      <c r="G4629" s="6" t="s">
        <v>89</v>
      </c>
      <c r="H4629" s="6" t="s">
        <v>53</v>
      </c>
      <c r="I4629" s="8" t="s">
        <v>90</v>
      </c>
      <c r="J4629" s="9">
        <v>1</v>
      </c>
      <c r="K4629" s="9">
        <v>232</v>
      </c>
      <c r="L4629" s="9">
        <v>2025</v>
      </c>
      <c r="M4629" s="8" t="s">
        <v>27431</v>
      </c>
      <c r="N4629" s="8" t="s">
        <v>79</v>
      </c>
      <c r="O4629" s="8" t="s">
        <v>80</v>
      </c>
      <c r="P4629" s="6" t="s">
        <v>43</v>
      </c>
      <c r="Q4629" s="8" t="s">
        <v>44</v>
      </c>
      <c r="R4629" s="10" t="s">
        <v>27432</v>
      </c>
      <c r="S4629" s="11" t="s">
        <v>27433</v>
      </c>
      <c r="T4629" s="6"/>
      <c r="U4629" s="24" t="str">
        <f>HYPERLINK("https://media.infra-m.ru/2178/2178798/cover/2178798.jpg", "Обложка")</f>
        <v>Обложка</v>
      </c>
      <c r="V4629" s="24" t="str">
        <f>HYPERLINK("https://znanium.ru/catalog/product/1684739", "Ознакомиться")</f>
        <v>Ознакомиться</v>
      </c>
      <c r="W4629" s="8" t="s">
        <v>2321</v>
      </c>
      <c r="X4629" s="6"/>
      <c r="Y4629" s="6"/>
      <c r="Z4629" s="6"/>
      <c r="AA4629" s="6" t="s">
        <v>418</v>
      </c>
      <c r="AB4629" s="8"/>
    </row>
    <row r="4630" spans="1:28" s="4" customFormat="1" ht="51.95" customHeight="1">
      <c r="A4630" s="5">
        <v>0</v>
      </c>
      <c r="B4630" s="6" t="s">
        <v>27434</v>
      </c>
      <c r="C4630" s="7">
        <v>204.9</v>
      </c>
      <c r="D4630" s="8" t="s">
        <v>27435</v>
      </c>
      <c r="E4630" s="8" t="s">
        <v>27436</v>
      </c>
      <c r="F4630" s="8" t="s">
        <v>27398</v>
      </c>
      <c r="G4630" s="6" t="s">
        <v>38</v>
      </c>
      <c r="H4630" s="6" t="s">
        <v>649</v>
      </c>
      <c r="I4630" s="8" t="s">
        <v>116</v>
      </c>
      <c r="J4630" s="9">
        <v>1</v>
      </c>
      <c r="K4630" s="9">
        <v>64</v>
      </c>
      <c r="L4630" s="9">
        <v>2017</v>
      </c>
      <c r="M4630" s="8" t="s">
        <v>27437</v>
      </c>
      <c r="N4630" s="8" t="s">
        <v>79</v>
      </c>
      <c r="O4630" s="8" t="s">
        <v>148</v>
      </c>
      <c r="P4630" s="6" t="s">
        <v>43</v>
      </c>
      <c r="Q4630" s="8" t="s">
        <v>44</v>
      </c>
      <c r="R4630" s="10" t="s">
        <v>27400</v>
      </c>
      <c r="S4630" s="11" t="s">
        <v>27438</v>
      </c>
      <c r="T4630" s="6"/>
      <c r="U4630" s="12"/>
      <c r="V4630" s="24" t="str">
        <f>HYPERLINK("https://znanium.ru/catalog/product/2131760", "Ознакомиться")</f>
        <v>Ознакомиться</v>
      </c>
      <c r="W4630" s="8" t="s">
        <v>354</v>
      </c>
      <c r="X4630" s="6"/>
      <c r="Y4630" s="6"/>
      <c r="Z4630" s="6"/>
      <c r="AA4630" s="6" t="s">
        <v>47</v>
      </c>
      <c r="AB4630" s="8"/>
    </row>
    <row r="4631" spans="1:28" s="4" customFormat="1" ht="42" customHeight="1">
      <c r="A4631" s="5">
        <v>0</v>
      </c>
      <c r="B4631" s="6" t="s">
        <v>27439</v>
      </c>
      <c r="C4631" s="13">
        <v>1054</v>
      </c>
      <c r="D4631" s="8" t="s">
        <v>27440</v>
      </c>
      <c r="E4631" s="8" t="s">
        <v>27441</v>
      </c>
      <c r="F4631" s="8" t="s">
        <v>27442</v>
      </c>
      <c r="G4631" s="6" t="s">
        <v>89</v>
      </c>
      <c r="H4631" s="6" t="s">
        <v>53</v>
      </c>
      <c r="I4631" s="8" t="s">
        <v>276</v>
      </c>
      <c r="J4631" s="9">
        <v>1</v>
      </c>
      <c r="K4631" s="9">
        <v>217</v>
      </c>
      <c r="L4631" s="9">
        <v>2024</v>
      </c>
      <c r="M4631" s="8" t="s">
        <v>27443</v>
      </c>
      <c r="N4631" s="8" t="s">
        <v>41</v>
      </c>
      <c r="O4631" s="8" t="s">
        <v>1007</v>
      </c>
      <c r="P4631" s="6" t="s">
        <v>43</v>
      </c>
      <c r="Q4631" s="8" t="s">
        <v>279</v>
      </c>
      <c r="R4631" s="10" t="s">
        <v>1380</v>
      </c>
      <c r="S4631" s="11"/>
      <c r="T4631" s="6"/>
      <c r="U4631" s="24" t="str">
        <f>HYPERLINK("https://media.infra-m.ru/2122/2122926/cover/2122926.jpg", "Обложка")</f>
        <v>Обложка</v>
      </c>
      <c r="V4631" s="24" t="str">
        <f>HYPERLINK("https://znanium.ru/catalog/product/1874285", "Ознакомиться")</f>
        <v>Ознакомиться</v>
      </c>
      <c r="W4631" s="8" t="s">
        <v>2995</v>
      </c>
      <c r="X4631" s="6"/>
      <c r="Y4631" s="6"/>
      <c r="Z4631" s="6"/>
      <c r="AA4631" s="6" t="s">
        <v>207</v>
      </c>
      <c r="AB4631" s="8"/>
    </row>
    <row r="4632" spans="1:28" s="4" customFormat="1" ht="51.95" customHeight="1">
      <c r="A4632" s="5">
        <v>0</v>
      </c>
      <c r="B4632" s="6" t="s">
        <v>27444</v>
      </c>
      <c r="C4632" s="13">
        <v>1154.9000000000001</v>
      </c>
      <c r="D4632" s="8" t="s">
        <v>27445</v>
      </c>
      <c r="E4632" s="8" t="s">
        <v>27446</v>
      </c>
      <c r="F4632" s="8" t="s">
        <v>27447</v>
      </c>
      <c r="G4632" s="6" t="s">
        <v>38</v>
      </c>
      <c r="H4632" s="6" t="s">
        <v>39</v>
      </c>
      <c r="I4632" s="8" t="s">
        <v>116</v>
      </c>
      <c r="J4632" s="9">
        <v>1</v>
      </c>
      <c r="K4632" s="9">
        <v>256</v>
      </c>
      <c r="L4632" s="9">
        <v>2023</v>
      </c>
      <c r="M4632" s="8" t="s">
        <v>27448</v>
      </c>
      <c r="N4632" s="8" t="s">
        <v>79</v>
      </c>
      <c r="O4632" s="8" t="s">
        <v>148</v>
      </c>
      <c r="P4632" s="6" t="s">
        <v>43</v>
      </c>
      <c r="Q4632" s="8" t="s">
        <v>44</v>
      </c>
      <c r="R4632" s="10" t="s">
        <v>19456</v>
      </c>
      <c r="S4632" s="11" t="s">
        <v>27449</v>
      </c>
      <c r="T4632" s="6"/>
      <c r="U4632" s="24" t="str">
        <f>HYPERLINK("https://media.infra-m.ru/1900/1900478/cover/1900478.jpg", "Обложка")</f>
        <v>Обложка</v>
      </c>
      <c r="V4632" s="24" t="str">
        <f>HYPERLINK("https://znanium.ru/catalog/product/959903", "Ознакомиться")</f>
        <v>Ознакомиться</v>
      </c>
      <c r="W4632" s="8" t="s">
        <v>2923</v>
      </c>
      <c r="X4632" s="6"/>
      <c r="Y4632" s="6"/>
      <c r="Z4632" s="6"/>
      <c r="AA4632" s="6" t="s">
        <v>84</v>
      </c>
      <c r="AB4632" s="8"/>
    </row>
    <row r="4633" spans="1:28" s="4" customFormat="1" ht="51.95" customHeight="1">
      <c r="A4633" s="5">
        <v>0</v>
      </c>
      <c r="B4633" s="6" t="s">
        <v>27450</v>
      </c>
      <c r="C4633" s="13">
        <v>2830</v>
      </c>
      <c r="D4633" s="8" t="s">
        <v>27451</v>
      </c>
      <c r="E4633" s="8" t="s">
        <v>27452</v>
      </c>
      <c r="F4633" s="8" t="s">
        <v>2885</v>
      </c>
      <c r="G4633" s="6" t="s">
        <v>89</v>
      </c>
      <c r="H4633" s="6" t="s">
        <v>53</v>
      </c>
      <c r="I4633" s="8" t="s">
        <v>116</v>
      </c>
      <c r="J4633" s="9">
        <v>1</v>
      </c>
      <c r="K4633" s="9">
        <v>602</v>
      </c>
      <c r="L4633" s="9">
        <v>2024</v>
      </c>
      <c r="M4633" s="8" t="s">
        <v>27453</v>
      </c>
      <c r="N4633" s="8" t="s">
        <v>79</v>
      </c>
      <c r="O4633" s="8" t="s">
        <v>80</v>
      </c>
      <c r="P4633" s="6" t="s">
        <v>43</v>
      </c>
      <c r="Q4633" s="8" t="s">
        <v>44</v>
      </c>
      <c r="R4633" s="10" t="s">
        <v>27454</v>
      </c>
      <c r="S4633" s="11"/>
      <c r="T4633" s="6"/>
      <c r="U4633" s="24" t="str">
        <f>HYPERLINK("https://media.infra-m.ru/2021/2021464/cover/2021464.jpg", "Обложка")</f>
        <v>Обложка</v>
      </c>
      <c r="V4633" s="24" t="str">
        <f>HYPERLINK("https://znanium.ru/catalog/product/2021464", "Ознакомиться")</f>
        <v>Ознакомиться</v>
      </c>
      <c r="W4633" s="8" t="s">
        <v>189</v>
      </c>
      <c r="X4633" s="6"/>
      <c r="Y4633" s="6"/>
      <c r="Z4633" s="6"/>
      <c r="AA4633" s="6" t="s">
        <v>105</v>
      </c>
      <c r="AB4633" s="8"/>
    </row>
    <row r="4634" spans="1:28" s="4" customFormat="1" ht="51.95" customHeight="1">
      <c r="A4634" s="5">
        <v>0</v>
      </c>
      <c r="B4634" s="6" t="s">
        <v>27455</v>
      </c>
      <c r="C4634" s="13">
        <v>2770</v>
      </c>
      <c r="D4634" s="8" t="s">
        <v>27456</v>
      </c>
      <c r="E4634" s="8" t="s">
        <v>27452</v>
      </c>
      <c r="F4634" s="8" t="s">
        <v>2885</v>
      </c>
      <c r="G4634" s="6" t="s">
        <v>52</v>
      </c>
      <c r="H4634" s="6" t="s">
        <v>53</v>
      </c>
      <c r="I4634" s="8" t="s">
        <v>100</v>
      </c>
      <c r="J4634" s="9">
        <v>1</v>
      </c>
      <c r="K4634" s="9">
        <v>602</v>
      </c>
      <c r="L4634" s="9">
        <v>2024</v>
      </c>
      <c r="M4634" s="8" t="s">
        <v>27457</v>
      </c>
      <c r="N4634" s="8" t="s">
        <v>79</v>
      </c>
      <c r="O4634" s="8" t="s">
        <v>80</v>
      </c>
      <c r="P4634" s="6" t="s">
        <v>43</v>
      </c>
      <c r="Q4634" s="8" t="s">
        <v>102</v>
      </c>
      <c r="R4634" s="10" t="s">
        <v>27458</v>
      </c>
      <c r="S4634" s="11" t="s">
        <v>27459</v>
      </c>
      <c r="T4634" s="6"/>
      <c r="U4634" s="24" t="str">
        <f>HYPERLINK("https://media.infra-m.ru/1942/1942679/cover/1942679.jpg", "Обложка")</f>
        <v>Обложка</v>
      </c>
      <c r="V4634" s="24" t="str">
        <f>HYPERLINK("https://znanium.ru/catalog/product/2171029", "Ознакомиться")</f>
        <v>Ознакомиться</v>
      </c>
      <c r="W4634" s="8" t="s">
        <v>189</v>
      </c>
      <c r="X4634" s="6"/>
      <c r="Y4634" s="6"/>
      <c r="Z4634" s="6" t="s">
        <v>104</v>
      </c>
      <c r="AA4634" s="6" t="s">
        <v>105</v>
      </c>
      <c r="AB4634" s="8"/>
    </row>
    <row r="4635" spans="1:28" s="4" customFormat="1" ht="51.95" customHeight="1">
      <c r="A4635" s="5">
        <v>0</v>
      </c>
      <c r="B4635" s="6" t="s">
        <v>27460</v>
      </c>
      <c r="C4635" s="13">
        <v>2790</v>
      </c>
      <c r="D4635" s="8" t="s">
        <v>27461</v>
      </c>
      <c r="E4635" s="8" t="s">
        <v>27452</v>
      </c>
      <c r="F4635" s="8" t="s">
        <v>2885</v>
      </c>
      <c r="G4635" s="6" t="s">
        <v>89</v>
      </c>
      <c r="H4635" s="6" t="s">
        <v>53</v>
      </c>
      <c r="I4635" s="8" t="s">
        <v>212</v>
      </c>
      <c r="J4635" s="9">
        <v>1</v>
      </c>
      <c r="K4635" s="9">
        <v>602</v>
      </c>
      <c r="L4635" s="9">
        <v>2024</v>
      </c>
      <c r="M4635" s="8" t="s">
        <v>27462</v>
      </c>
      <c r="N4635" s="8" t="s">
        <v>79</v>
      </c>
      <c r="O4635" s="8" t="s">
        <v>80</v>
      </c>
      <c r="P4635" s="6" t="s">
        <v>43</v>
      </c>
      <c r="Q4635" s="8" t="s">
        <v>214</v>
      </c>
      <c r="R4635" s="10" t="s">
        <v>2557</v>
      </c>
      <c r="S4635" s="11"/>
      <c r="T4635" s="6"/>
      <c r="U4635" s="24" t="str">
        <f>HYPERLINK("https://media.infra-m.ru/2143/2143785/cover/2143785.jpg", "Обложка")</f>
        <v>Обложка</v>
      </c>
      <c r="V4635" s="24" t="str">
        <f>HYPERLINK("https://znanium.ru/catalog/product/2143785", "Ознакомиться")</f>
        <v>Ознакомиться</v>
      </c>
      <c r="W4635" s="8" t="s">
        <v>189</v>
      </c>
      <c r="X4635" s="6"/>
      <c r="Y4635" s="6"/>
      <c r="Z4635" s="6" t="s">
        <v>218</v>
      </c>
      <c r="AA4635" s="6" t="s">
        <v>105</v>
      </c>
      <c r="AB4635" s="8"/>
    </row>
    <row r="4636" spans="1:28" s="4" customFormat="1" ht="51.95" customHeight="1">
      <c r="A4636" s="5">
        <v>0</v>
      </c>
      <c r="B4636" s="6" t="s">
        <v>27463</v>
      </c>
      <c r="C4636" s="13">
        <v>1180</v>
      </c>
      <c r="D4636" s="8" t="s">
        <v>27464</v>
      </c>
      <c r="E4636" s="8" t="s">
        <v>27465</v>
      </c>
      <c r="F4636" s="8" t="s">
        <v>2885</v>
      </c>
      <c r="G4636" s="6" t="s">
        <v>89</v>
      </c>
      <c r="H4636" s="6" t="s">
        <v>53</v>
      </c>
      <c r="I4636" s="8" t="s">
        <v>100</v>
      </c>
      <c r="J4636" s="9">
        <v>1</v>
      </c>
      <c r="K4636" s="9">
        <v>223</v>
      </c>
      <c r="L4636" s="9">
        <v>2023</v>
      </c>
      <c r="M4636" s="8" t="s">
        <v>27466</v>
      </c>
      <c r="N4636" s="8" t="s">
        <v>79</v>
      </c>
      <c r="O4636" s="8" t="s">
        <v>80</v>
      </c>
      <c r="P4636" s="6" t="s">
        <v>43</v>
      </c>
      <c r="Q4636" s="8" t="s">
        <v>102</v>
      </c>
      <c r="R4636" s="10" t="s">
        <v>27458</v>
      </c>
      <c r="S4636" s="11" t="s">
        <v>27459</v>
      </c>
      <c r="T4636" s="6"/>
      <c r="U4636" s="24" t="str">
        <f>HYPERLINK("https://media.infra-m.ru/2171/2171029/cover/2171029.jpg", "Обложка")</f>
        <v>Обложка</v>
      </c>
      <c r="V4636" s="24" t="str">
        <f>HYPERLINK("https://znanium.ru/catalog/product/2171029", "Ознакомиться")</f>
        <v>Ознакомиться</v>
      </c>
      <c r="W4636" s="8" t="s">
        <v>189</v>
      </c>
      <c r="X4636" s="6"/>
      <c r="Y4636" s="6"/>
      <c r="Z4636" s="6" t="s">
        <v>104</v>
      </c>
      <c r="AA4636" s="6" t="s">
        <v>793</v>
      </c>
      <c r="AB4636" s="8"/>
    </row>
    <row r="4637" spans="1:28" s="4" customFormat="1" ht="51.95" customHeight="1">
      <c r="A4637" s="5">
        <v>0</v>
      </c>
      <c r="B4637" s="6" t="s">
        <v>27467</v>
      </c>
      <c r="C4637" s="13">
        <v>1014</v>
      </c>
      <c r="D4637" s="8" t="s">
        <v>27468</v>
      </c>
      <c r="E4637" s="8" t="s">
        <v>27465</v>
      </c>
      <c r="F4637" s="8" t="s">
        <v>2885</v>
      </c>
      <c r="G4637" s="6" t="s">
        <v>89</v>
      </c>
      <c r="H4637" s="6" t="s">
        <v>53</v>
      </c>
      <c r="I4637" s="8" t="s">
        <v>90</v>
      </c>
      <c r="J4637" s="9">
        <v>1</v>
      </c>
      <c r="K4637" s="9">
        <v>223</v>
      </c>
      <c r="L4637" s="9">
        <v>2023</v>
      </c>
      <c r="M4637" s="8" t="s">
        <v>27469</v>
      </c>
      <c r="N4637" s="8" t="s">
        <v>79</v>
      </c>
      <c r="O4637" s="8" t="s">
        <v>80</v>
      </c>
      <c r="P4637" s="6" t="s">
        <v>43</v>
      </c>
      <c r="Q4637" s="8" t="s">
        <v>44</v>
      </c>
      <c r="R4637" s="10" t="s">
        <v>27454</v>
      </c>
      <c r="S4637" s="11" t="s">
        <v>27470</v>
      </c>
      <c r="T4637" s="6"/>
      <c r="U4637" s="24" t="str">
        <f>HYPERLINK("https://media.infra-m.ru/1927/1927332/cover/1927332.jpg", "Обложка")</f>
        <v>Обложка</v>
      </c>
      <c r="V4637" s="24" t="str">
        <f>HYPERLINK("https://znanium.ru/catalog/product/2021464", "Ознакомиться")</f>
        <v>Ознакомиться</v>
      </c>
      <c r="W4637" s="8" t="s">
        <v>189</v>
      </c>
      <c r="X4637" s="6"/>
      <c r="Y4637" s="6"/>
      <c r="Z4637" s="6"/>
      <c r="AA4637" s="6" t="s">
        <v>258</v>
      </c>
      <c r="AB4637" s="8"/>
    </row>
    <row r="4638" spans="1:28" s="4" customFormat="1" ht="51.95" customHeight="1">
      <c r="A4638" s="5">
        <v>0</v>
      </c>
      <c r="B4638" s="6" t="s">
        <v>27471</v>
      </c>
      <c r="C4638" s="13">
        <v>1030</v>
      </c>
      <c r="D4638" s="8" t="s">
        <v>27472</v>
      </c>
      <c r="E4638" s="8" t="s">
        <v>27465</v>
      </c>
      <c r="F4638" s="8" t="s">
        <v>2885</v>
      </c>
      <c r="G4638" s="6" t="s">
        <v>89</v>
      </c>
      <c r="H4638" s="6" t="s">
        <v>53</v>
      </c>
      <c r="I4638" s="8" t="s">
        <v>212</v>
      </c>
      <c r="J4638" s="9">
        <v>1</v>
      </c>
      <c r="K4638" s="9">
        <v>223</v>
      </c>
      <c r="L4638" s="9">
        <v>2024</v>
      </c>
      <c r="M4638" s="8" t="s">
        <v>27473</v>
      </c>
      <c r="N4638" s="8" t="s">
        <v>79</v>
      </c>
      <c r="O4638" s="8" t="s">
        <v>80</v>
      </c>
      <c r="P4638" s="6" t="s">
        <v>43</v>
      </c>
      <c r="Q4638" s="8" t="s">
        <v>214</v>
      </c>
      <c r="R4638" s="10" t="s">
        <v>2557</v>
      </c>
      <c r="S4638" s="11" t="s">
        <v>27474</v>
      </c>
      <c r="T4638" s="6"/>
      <c r="U4638" s="24" t="str">
        <f>HYPERLINK("https://media.infra-m.ru/2003/2003474/cover/2003474.jpg", "Обложка")</f>
        <v>Обложка</v>
      </c>
      <c r="V4638" s="24" t="str">
        <f>HYPERLINK("https://znanium.ru/catalog/product/2143785", "Ознакомиться")</f>
        <v>Ознакомиться</v>
      </c>
      <c r="W4638" s="8" t="s">
        <v>189</v>
      </c>
      <c r="X4638" s="6"/>
      <c r="Y4638" s="6"/>
      <c r="Z4638" s="6" t="s">
        <v>218</v>
      </c>
      <c r="AA4638" s="6" t="s">
        <v>235</v>
      </c>
      <c r="AB4638" s="8"/>
    </row>
    <row r="4639" spans="1:28" s="4" customFormat="1" ht="42" customHeight="1">
      <c r="A4639" s="5">
        <v>0</v>
      </c>
      <c r="B4639" s="6" t="s">
        <v>27475</v>
      </c>
      <c r="C4639" s="7">
        <v>434.9</v>
      </c>
      <c r="D4639" s="8" t="s">
        <v>27476</v>
      </c>
      <c r="E4639" s="8" t="s">
        <v>27477</v>
      </c>
      <c r="F4639" s="8" t="s">
        <v>12506</v>
      </c>
      <c r="G4639" s="6" t="s">
        <v>38</v>
      </c>
      <c r="H4639" s="6" t="s">
        <v>77</v>
      </c>
      <c r="I4639" s="8"/>
      <c r="J4639" s="9">
        <v>1</v>
      </c>
      <c r="K4639" s="9">
        <v>96</v>
      </c>
      <c r="L4639" s="9">
        <v>2023</v>
      </c>
      <c r="M4639" s="8" t="s">
        <v>27478</v>
      </c>
      <c r="N4639" s="8" t="s">
        <v>41</v>
      </c>
      <c r="O4639" s="8" t="s">
        <v>278</v>
      </c>
      <c r="P4639" s="6" t="s">
        <v>43</v>
      </c>
      <c r="Q4639" s="8" t="s">
        <v>44</v>
      </c>
      <c r="R4639" s="10" t="s">
        <v>27479</v>
      </c>
      <c r="S4639" s="11"/>
      <c r="T4639" s="6"/>
      <c r="U4639" s="24" t="str">
        <f>HYPERLINK("https://media.infra-m.ru/1911/1911790/cover/1911790.jpg", "Обложка")</f>
        <v>Обложка</v>
      </c>
      <c r="V4639" s="24" t="str">
        <f>HYPERLINK("https://znanium.ru/catalog/product/1911790", "Ознакомиться")</f>
        <v>Ознакомиться</v>
      </c>
      <c r="W4639" s="8" t="s">
        <v>4503</v>
      </c>
      <c r="X4639" s="6"/>
      <c r="Y4639" s="6"/>
      <c r="Z4639" s="6"/>
      <c r="AA4639" s="6" t="s">
        <v>111</v>
      </c>
      <c r="AB4639" s="8"/>
    </row>
    <row r="4640" spans="1:28" s="4" customFormat="1" ht="51.95" customHeight="1">
      <c r="A4640" s="5">
        <v>0</v>
      </c>
      <c r="B4640" s="6" t="s">
        <v>27480</v>
      </c>
      <c r="C4640" s="13">
        <v>1394</v>
      </c>
      <c r="D4640" s="8" t="s">
        <v>27481</v>
      </c>
      <c r="E4640" s="8" t="s">
        <v>27482</v>
      </c>
      <c r="F4640" s="8" t="s">
        <v>27483</v>
      </c>
      <c r="G4640" s="6" t="s">
        <v>52</v>
      </c>
      <c r="H4640" s="6" t="s">
        <v>674</v>
      </c>
      <c r="I4640" s="8" t="s">
        <v>5528</v>
      </c>
      <c r="J4640" s="9">
        <v>1</v>
      </c>
      <c r="K4640" s="9">
        <v>304</v>
      </c>
      <c r="L4640" s="9">
        <v>2024</v>
      </c>
      <c r="M4640" s="8" t="s">
        <v>27484</v>
      </c>
      <c r="N4640" s="8" t="s">
        <v>41</v>
      </c>
      <c r="O4640" s="8" t="s">
        <v>1204</v>
      </c>
      <c r="P4640" s="6" t="s">
        <v>43</v>
      </c>
      <c r="Q4640" s="8" t="s">
        <v>44</v>
      </c>
      <c r="R4640" s="10" t="s">
        <v>27485</v>
      </c>
      <c r="S4640" s="11"/>
      <c r="T4640" s="6"/>
      <c r="U4640" s="24" t="str">
        <f>HYPERLINK("https://media.infra-m.ru/2083/2083285/cover/2083285.jpg", "Обложка")</f>
        <v>Обложка</v>
      </c>
      <c r="V4640" s="24" t="str">
        <f>HYPERLINK("https://znanium.ru/catalog/product/2083285", "Ознакомиться")</f>
        <v>Ознакомиться</v>
      </c>
      <c r="W4640" s="8" t="s">
        <v>4293</v>
      </c>
      <c r="X4640" s="6"/>
      <c r="Y4640" s="6"/>
      <c r="Z4640" s="6"/>
      <c r="AA4640" s="6" t="s">
        <v>84</v>
      </c>
      <c r="AB4640" s="8"/>
    </row>
    <row r="4641" spans="1:28" s="4" customFormat="1" ht="51.95" customHeight="1">
      <c r="A4641" s="5">
        <v>0</v>
      </c>
      <c r="B4641" s="6" t="s">
        <v>27486</v>
      </c>
      <c r="C4641" s="13">
        <v>2127</v>
      </c>
      <c r="D4641" s="8" t="s">
        <v>27487</v>
      </c>
      <c r="E4641" s="8" t="s">
        <v>27488</v>
      </c>
      <c r="F4641" s="8" t="s">
        <v>20512</v>
      </c>
      <c r="G4641" s="6" t="s">
        <v>89</v>
      </c>
      <c r="H4641" s="6" t="s">
        <v>39</v>
      </c>
      <c r="I4641" s="8" t="s">
        <v>116</v>
      </c>
      <c r="J4641" s="9">
        <v>1</v>
      </c>
      <c r="K4641" s="9">
        <v>319</v>
      </c>
      <c r="L4641" s="9">
        <v>2025</v>
      </c>
      <c r="M4641" s="8" t="s">
        <v>27489</v>
      </c>
      <c r="N4641" s="8" t="s">
        <v>79</v>
      </c>
      <c r="O4641" s="8" t="s">
        <v>396</v>
      </c>
      <c r="P4641" s="6" t="s">
        <v>167</v>
      </c>
      <c r="Q4641" s="8" t="s">
        <v>44</v>
      </c>
      <c r="R4641" s="10" t="s">
        <v>27490</v>
      </c>
      <c r="S4641" s="11" t="s">
        <v>27491</v>
      </c>
      <c r="T4641" s="6"/>
      <c r="U4641" s="24" t="str">
        <f>HYPERLINK("https://media.infra-m.ru/2202/2202658/cover/2202658.jpg", "Обложка")</f>
        <v>Обложка</v>
      </c>
      <c r="V4641" s="24" t="str">
        <f>HYPERLINK("https://znanium.ru/catalog/product/1860433", "Ознакомиться")</f>
        <v>Ознакомиться</v>
      </c>
      <c r="W4641" s="8" t="s">
        <v>450</v>
      </c>
      <c r="X4641" s="6"/>
      <c r="Y4641" s="6"/>
      <c r="Z4641" s="6"/>
      <c r="AA4641" s="6" t="s">
        <v>418</v>
      </c>
      <c r="AB4641" s="8"/>
    </row>
    <row r="4642" spans="1:28" s="4" customFormat="1" ht="51.95" customHeight="1">
      <c r="A4642" s="5">
        <v>0</v>
      </c>
      <c r="B4642" s="6" t="s">
        <v>27492</v>
      </c>
      <c r="C4642" s="13">
        <v>2237</v>
      </c>
      <c r="D4642" s="8" t="s">
        <v>27493</v>
      </c>
      <c r="E4642" s="8" t="s">
        <v>27488</v>
      </c>
      <c r="F4642" s="8" t="s">
        <v>20512</v>
      </c>
      <c r="G4642" s="6" t="s">
        <v>89</v>
      </c>
      <c r="H4642" s="6" t="s">
        <v>39</v>
      </c>
      <c r="I4642" s="8" t="s">
        <v>100</v>
      </c>
      <c r="J4642" s="9">
        <v>1</v>
      </c>
      <c r="K4642" s="9">
        <v>319</v>
      </c>
      <c r="L4642" s="9">
        <v>2025</v>
      </c>
      <c r="M4642" s="8" t="s">
        <v>27494</v>
      </c>
      <c r="N4642" s="8" t="s">
        <v>79</v>
      </c>
      <c r="O4642" s="8" t="s">
        <v>396</v>
      </c>
      <c r="P4642" s="6" t="s">
        <v>167</v>
      </c>
      <c r="Q4642" s="8" t="s">
        <v>102</v>
      </c>
      <c r="R4642" s="10" t="s">
        <v>27495</v>
      </c>
      <c r="S4642" s="11" t="s">
        <v>27496</v>
      </c>
      <c r="T4642" s="6"/>
      <c r="U4642" s="24" t="str">
        <f>HYPERLINK("https://media.infra-m.ru/2202/2202664/cover/2202664.jpg", "Обложка")</f>
        <v>Обложка</v>
      </c>
      <c r="V4642" s="24" t="str">
        <f>HYPERLINK("https://znanium.ru/catalog/product/2141746", "Ознакомиться")</f>
        <v>Ознакомиться</v>
      </c>
      <c r="W4642" s="8" t="s">
        <v>450</v>
      </c>
      <c r="X4642" s="6"/>
      <c r="Y4642" s="6"/>
      <c r="Z4642" s="6" t="s">
        <v>104</v>
      </c>
      <c r="AA4642" s="6" t="s">
        <v>258</v>
      </c>
      <c r="AB4642" s="8"/>
    </row>
    <row r="4643" spans="1:28" s="4" customFormat="1" ht="51.95" customHeight="1">
      <c r="A4643" s="5">
        <v>0</v>
      </c>
      <c r="B4643" s="6" t="s">
        <v>27497</v>
      </c>
      <c r="C4643" s="7">
        <v>900</v>
      </c>
      <c r="D4643" s="8" t="s">
        <v>27498</v>
      </c>
      <c r="E4643" s="8" t="s">
        <v>27499</v>
      </c>
      <c r="F4643" s="8" t="s">
        <v>27500</v>
      </c>
      <c r="G4643" s="6" t="s">
        <v>52</v>
      </c>
      <c r="H4643" s="6" t="s">
        <v>53</v>
      </c>
      <c r="I4643" s="8" t="s">
        <v>116</v>
      </c>
      <c r="J4643" s="9">
        <v>1</v>
      </c>
      <c r="K4643" s="9">
        <v>189</v>
      </c>
      <c r="L4643" s="9">
        <v>2024</v>
      </c>
      <c r="M4643" s="8" t="s">
        <v>27501</v>
      </c>
      <c r="N4643" s="8" t="s">
        <v>56</v>
      </c>
      <c r="O4643" s="8" t="s">
        <v>57</v>
      </c>
      <c r="P4643" s="6" t="s">
        <v>43</v>
      </c>
      <c r="Q4643" s="8" t="s">
        <v>44</v>
      </c>
      <c r="R4643" s="10" t="s">
        <v>9120</v>
      </c>
      <c r="S4643" s="11" t="s">
        <v>27502</v>
      </c>
      <c r="T4643" s="6"/>
      <c r="U4643" s="24" t="str">
        <f>HYPERLINK("https://media.infra-m.ru/1870/1870286/cover/1870286.jpg", "Обложка")</f>
        <v>Обложка</v>
      </c>
      <c r="V4643" s="24" t="str">
        <f>HYPERLINK("https://znanium.ru/catalog/product/1870286", "Ознакомиться")</f>
        <v>Ознакомиться</v>
      </c>
      <c r="W4643" s="8" t="s">
        <v>1064</v>
      </c>
      <c r="X4643" s="6"/>
      <c r="Y4643" s="6"/>
      <c r="Z4643" s="6"/>
      <c r="AA4643" s="6" t="s">
        <v>133</v>
      </c>
      <c r="AB4643" s="8"/>
    </row>
    <row r="4644" spans="1:28" s="4" customFormat="1" ht="51.95" customHeight="1">
      <c r="A4644" s="5">
        <v>0</v>
      </c>
      <c r="B4644" s="6" t="s">
        <v>27503</v>
      </c>
      <c r="C4644" s="13">
        <v>1504</v>
      </c>
      <c r="D4644" s="8" t="s">
        <v>27504</v>
      </c>
      <c r="E4644" s="8" t="s">
        <v>27505</v>
      </c>
      <c r="F4644" s="8" t="s">
        <v>27506</v>
      </c>
      <c r="G4644" s="6" t="s">
        <v>52</v>
      </c>
      <c r="H4644" s="6" t="s">
        <v>53</v>
      </c>
      <c r="I4644" s="8" t="s">
        <v>116</v>
      </c>
      <c r="J4644" s="9">
        <v>1</v>
      </c>
      <c r="K4644" s="9">
        <v>290</v>
      </c>
      <c r="L4644" s="9">
        <v>2025</v>
      </c>
      <c r="M4644" s="8" t="s">
        <v>27507</v>
      </c>
      <c r="N4644" s="8" t="s">
        <v>41</v>
      </c>
      <c r="O4644" s="8" t="s">
        <v>6182</v>
      </c>
      <c r="P4644" s="6" t="s">
        <v>43</v>
      </c>
      <c r="Q4644" s="8" t="s">
        <v>44</v>
      </c>
      <c r="R4644" s="10" t="s">
        <v>7513</v>
      </c>
      <c r="S4644" s="11" t="s">
        <v>27508</v>
      </c>
      <c r="T4644" s="6" t="s">
        <v>299</v>
      </c>
      <c r="U4644" s="24" t="str">
        <f>HYPERLINK("https://media.infra-m.ru/2196/2196902/cover/2196902.jpg", "Обложка")</f>
        <v>Обложка</v>
      </c>
      <c r="V4644" s="24" t="str">
        <f>HYPERLINK("https://znanium.ru/catalog/product/1913712", "Ознакомиться")</f>
        <v>Ознакомиться</v>
      </c>
      <c r="W4644" s="8" t="s">
        <v>1293</v>
      </c>
      <c r="X4644" s="6"/>
      <c r="Y4644" s="6"/>
      <c r="Z4644" s="6"/>
      <c r="AA4644" s="6" t="s">
        <v>813</v>
      </c>
      <c r="AB4644" s="8"/>
    </row>
    <row r="4645" spans="1:28" s="4" customFormat="1" ht="51.95" customHeight="1">
      <c r="A4645" s="5">
        <v>0</v>
      </c>
      <c r="B4645" s="6" t="s">
        <v>27509</v>
      </c>
      <c r="C4645" s="13">
        <v>1294.9000000000001</v>
      </c>
      <c r="D4645" s="8" t="s">
        <v>27510</v>
      </c>
      <c r="E4645" s="8" t="s">
        <v>27511</v>
      </c>
      <c r="F4645" s="8" t="s">
        <v>27512</v>
      </c>
      <c r="G4645" s="6" t="s">
        <v>52</v>
      </c>
      <c r="H4645" s="6" t="s">
        <v>53</v>
      </c>
      <c r="I4645" s="8" t="s">
        <v>90</v>
      </c>
      <c r="J4645" s="9">
        <v>1</v>
      </c>
      <c r="K4645" s="9">
        <v>288</v>
      </c>
      <c r="L4645" s="9">
        <v>2023</v>
      </c>
      <c r="M4645" s="8" t="s">
        <v>27513</v>
      </c>
      <c r="N4645" s="8" t="s">
        <v>41</v>
      </c>
      <c r="O4645" s="8" t="s">
        <v>6182</v>
      </c>
      <c r="P4645" s="6" t="s">
        <v>43</v>
      </c>
      <c r="Q4645" s="8" t="s">
        <v>44</v>
      </c>
      <c r="R4645" s="10" t="s">
        <v>7513</v>
      </c>
      <c r="S4645" s="11" t="s">
        <v>27508</v>
      </c>
      <c r="T4645" s="6" t="s">
        <v>299</v>
      </c>
      <c r="U4645" s="24" t="str">
        <f>HYPERLINK("https://media.infra-m.ru/1911/1911818/cover/1911818.jpg", "Обложка")</f>
        <v>Обложка</v>
      </c>
      <c r="V4645" s="24" t="str">
        <f>HYPERLINK("https://znanium.ru/catalog/product/1913712", "Ознакомиться")</f>
        <v>Ознакомиться</v>
      </c>
      <c r="W4645" s="8" t="s">
        <v>3494</v>
      </c>
      <c r="X4645" s="6"/>
      <c r="Y4645" s="6"/>
      <c r="Z4645" s="6"/>
      <c r="AA4645" s="6" t="s">
        <v>418</v>
      </c>
      <c r="AB4645" s="8"/>
    </row>
    <row r="4646" spans="1:28" s="4" customFormat="1" ht="51.95" customHeight="1">
      <c r="A4646" s="5">
        <v>0</v>
      </c>
      <c r="B4646" s="6" t="s">
        <v>27514</v>
      </c>
      <c r="C4646" s="7">
        <v>794</v>
      </c>
      <c r="D4646" s="8" t="s">
        <v>27515</v>
      </c>
      <c r="E4646" s="8" t="s">
        <v>27516</v>
      </c>
      <c r="F4646" s="8" t="s">
        <v>27517</v>
      </c>
      <c r="G4646" s="6" t="s">
        <v>38</v>
      </c>
      <c r="H4646" s="6" t="s">
        <v>53</v>
      </c>
      <c r="I4646" s="8" t="s">
        <v>90</v>
      </c>
      <c r="J4646" s="9">
        <v>1</v>
      </c>
      <c r="K4646" s="9">
        <v>172</v>
      </c>
      <c r="L4646" s="9">
        <v>2024</v>
      </c>
      <c r="M4646" s="8" t="s">
        <v>27518</v>
      </c>
      <c r="N4646" s="8" t="s">
        <v>41</v>
      </c>
      <c r="O4646" s="8" t="s">
        <v>6182</v>
      </c>
      <c r="P4646" s="6" t="s">
        <v>43</v>
      </c>
      <c r="Q4646" s="8" t="s">
        <v>44</v>
      </c>
      <c r="R4646" s="10" t="s">
        <v>25341</v>
      </c>
      <c r="S4646" s="11" t="s">
        <v>27519</v>
      </c>
      <c r="T4646" s="6"/>
      <c r="U4646" s="24" t="str">
        <f>HYPERLINK("https://media.infra-m.ru/2104/2104856/cover/2104856.jpg", "Обложка")</f>
        <v>Обложка</v>
      </c>
      <c r="V4646" s="24" t="str">
        <f>HYPERLINK("https://znanium.ru/catalog/product/1048319", "Ознакомиться")</f>
        <v>Ознакомиться</v>
      </c>
      <c r="W4646" s="8" t="s">
        <v>14403</v>
      </c>
      <c r="X4646" s="6"/>
      <c r="Y4646" s="6"/>
      <c r="Z4646" s="6"/>
      <c r="AA4646" s="6" t="s">
        <v>442</v>
      </c>
      <c r="AB4646" s="8"/>
    </row>
    <row r="4647" spans="1:28" s="4" customFormat="1" ht="51.95" customHeight="1">
      <c r="A4647" s="5">
        <v>0</v>
      </c>
      <c r="B4647" s="6" t="s">
        <v>27520</v>
      </c>
      <c r="C4647" s="7">
        <v>914</v>
      </c>
      <c r="D4647" s="8" t="s">
        <v>27521</v>
      </c>
      <c r="E4647" s="8" t="s">
        <v>27522</v>
      </c>
      <c r="F4647" s="8" t="s">
        <v>4576</v>
      </c>
      <c r="G4647" s="6" t="s">
        <v>38</v>
      </c>
      <c r="H4647" s="6" t="s">
        <v>39</v>
      </c>
      <c r="I4647" s="8" t="s">
        <v>90</v>
      </c>
      <c r="J4647" s="9">
        <v>1</v>
      </c>
      <c r="K4647" s="9">
        <v>176</v>
      </c>
      <c r="L4647" s="9">
        <v>2025</v>
      </c>
      <c r="M4647" s="8" t="s">
        <v>27523</v>
      </c>
      <c r="N4647" s="8" t="s">
        <v>41</v>
      </c>
      <c r="O4647" s="8" t="s">
        <v>6182</v>
      </c>
      <c r="P4647" s="6" t="s">
        <v>43</v>
      </c>
      <c r="Q4647" s="8" t="s">
        <v>44</v>
      </c>
      <c r="R4647" s="10" t="s">
        <v>23845</v>
      </c>
      <c r="S4647" s="11" t="s">
        <v>27524</v>
      </c>
      <c r="T4647" s="6"/>
      <c r="U4647" s="24" t="str">
        <f>HYPERLINK("https://media.infra-m.ru/2196/2196078/cover/2196078.jpg", "Обложка")</f>
        <v>Обложка</v>
      </c>
      <c r="V4647" s="24" t="str">
        <f>HYPERLINK("https://znanium.ru/catalog/product/1002036", "Ознакомиться")</f>
        <v>Ознакомиться</v>
      </c>
      <c r="W4647" s="8" t="s">
        <v>2122</v>
      </c>
      <c r="X4647" s="6"/>
      <c r="Y4647" s="6"/>
      <c r="Z4647" s="6"/>
      <c r="AA4647" s="6" t="s">
        <v>111</v>
      </c>
      <c r="AB4647" s="8"/>
    </row>
    <row r="4648" spans="1:28" s="4" customFormat="1" ht="51.95" customHeight="1">
      <c r="A4648" s="5">
        <v>0</v>
      </c>
      <c r="B4648" s="6" t="s">
        <v>27525</v>
      </c>
      <c r="C4648" s="7">
        <v>904</v>
      </c>
      <c r="D4648" s="8" t="s">
        <v>27526</v>
      </c>
      <c r="E4648" s="8" t="s">
        <v>27522</v>
      </c>
      <c r="F4648" s="8" t="s">
        <v>4576</v>
      </c>
      <c r="G4648" s="6" t="s">
        <v>52</v>
      </c>
      <c r="H4648" s="6" t="s">
        <v>39</v>
      </c>
      <c r="I4648" s="8" t="s">
        <v>100</v>
      </c>
      <c r="J4648" s="9">
        <v>1</v>
      </c>
      <c r="K4648" s="9">
        <v>174</v>
      </c>
      <c r="L4648" s="9">
        <v>2025</v>
      </c>
      <c r="M4648" s="8" t="s">
        <v>27527</v>
      </c>
      <c r="N4648" s="8" t="s">
        <v>41</v>
      </c>
      <c r="O4648" s="8" t="s">
        <v>6182</v>
      </c>
      <c r="P4648" s="6" t="s">
        <v>43</v>
      </c>
      <c r="Q4648" s="8" t="s">
        <v>102</v>
      </c>
      <c r="R4648" s="10" t="s">
        <v>27528</v>
      </c>
      <c r="S4648" s="11" t="s">
        <v>27529</v>
      </c>
      <c r="T4648" s="6"/>
      <c r="U4648" s="24" t="str">
        <f>HYPERLINK("https://media.infra-m.ru/2199/2199133/cover/2199133.jpg", "Обложка")</f>
        <v>Обложка</v>
      </c>
      <c r="V4648" s="24" t="str">
        <f>HYPERLINK("https://znanium.ru/catalog/product/1206685", "Ознакомиться")</f>
        <v>Ознакомиться</v>
      </c>
      <c r="W4648" s="8" t="s">
        <v>2122</v>
      </c>
      <c r="X4648" s="6"/>
      <c r="Y4648" s="6"/>
      <c r="Z4648" s="6" t="s">
        <v>104</v>
      </c>
      <c r="AA4648" s="6" t="s">
        <v>258</v>
      </c>
      <c r="AB4648" s="8"/>
    </row>
    <row r="4649" spans="1:28" s="4" customFormat="1" ht="51.95" customHeight="1">
      <c r="A4649" s="5">
        <v>0</v>
      </c>
      <c r="B4649" s="6" t="s">
        <v>27530</v>
      </c>
      <c r="C4649" s="7">
        <v>890</v>
      </c>
      <c r="D4649" s="8" t="s">
        <v>27531</v>
      </c>
      <c r="E4649" s="8" t="s">
        <v>27532</v>
      </c>
      <c r="F4649" s="8" t="s">
        <v>27533</v>
      </c>
      <c r="G4649" s="6" t="s">
        <v>89</v>
      </c>
      <c r="H4649" s="6" t="s">
        <v>53</v>
      </c>
      <c r="I4649" s="8" t="s">
        <v>100</v>
      </c>
      <c r="J4649" s="9">
        <v>1</v>
      </c>
      <c r="K4649" s="9">
        <v>248</v>
      </c>
      <c r="L4649" s="9">
        <v>2021</v>
      </c>
      <c r="M4649" s="8" t="s">
        <v>27534</v>
      </c>
      <c r="N4649" s="8" t="s">
        <v>41</v>
      </c>
      <c r="O4649" s="8" t="s">
        <v>6182</v>
      </c>
      <c r="P4649" s="6" t="s">
        <v>43</v>
      </c>
      <c r="Q4649" s="8" t="s">
        <v>102</v>
      </c>
      <c r="R4649" s="10" t="s">
        <v>2779</v>
      </c>
      <c r="S4649" s="11" t="s">
        <v>27535</v>
      </c>
      <c r="T4649" s="6"/>
      <c r="U4649" s="24" t="str">
        <f>HYPERLINK("https://media.infra-m.ru/1229/1229820/cover/1229820.jpg", "Обложка")</f>
        <v>Обложка</v>
      </c>
      <c r="V4649" s="24" t="str">
        <f>HYPERLINK("https://znanium.ru/catalog/product/1229820", "Ознакомиться")</f>
        <v>Ознакомиться</v>
      </c>
      <c r="W4649" s="8" t="s">
        <v>6489</v>
      </c>
      <c r="X4649" s="6"/>
      <c r="Y4649" s="6"/>
      <c r="Z4649" s="6" t="s">
        <v>104</v>
      </c>
      <c r="AA4649" s="6" t="s">
        <v>258</v>
      </c>
      <c r="AB4649" s="8"/>
    </row>
    <row r="4650" spans="1:28" s="4" customFormat="1" ht="51.95" customHeight="1">
      <c r="A4650" s="5">
        <v>0</v>
      </c>
      <c r="B4650" s="6" t="s">
        <v>27536</v>
      </c>
      <c r="C4650" s="13">
        <v>1344</v>
      </c>
      <c r="D4650" s="8" t="s">
        <v>27537</v>
      </c>
      <c r="E4650" s="8" t="s">
        <v>27538</v>
      </c>
      <c r="F4650" s="8" t="s">
        <v>27533</v>
      </c>
      <c r="G4650" s="6" t="s">
        <v>89</v>
      </c>
      <c r="H4650" s="6" t="s">
        <v>53</v>
      </c>
      <c r="I4650" s="8" t="s">
        <v>90</v>
      </c>
      <c r="J4650" s="9">
        <v>1</v>
      </c>
      <c r="K4650" s="9">
        <v>287</v>
      </c>
      <c r="L4650" s="9">
        <v>2024</v>
      </c>
      <c r="M4650" s="8" t="s">
        <v>27539</v>
      </c>
      <c r="N4650" s="8" t="s">
        <v>41</v>
      </c>
      <c r="O4650" s="8" t="s">
        <v>6182</v>
      </c>
      <c r="P4650" s="6" t="s">
        <v>43</v>
      </c>
      <c r="Q4650" s="8" t="s">
        <v>44</v>
      </c>
      <c r="R4650" s="10" t="s">
        <v>27540</v>
      </c>
      <c r="S4650" s="11" t="s">
        <v>27541</v>
      </c>
      <c r="T4650" s="6"/>
      <c r="U4650" s="24" t="str">
        <f>HYPERLINK("https://media.infra-m.ru/2126/2126336/cover/2126336.jpg", "Обложка")</f>
        <v>Обложка</v>
      </c>
      <c r="V4650" s="24" t="str">
        <f>HYPERLINK("https://znanium.ru/catalog/product/2126334", "Ознакомиться")</f>
        <v>Ознакомиться</v>
      </c>
      <c r="W4650" s="8" t="s">
        <v>6489</v>
      </c>
      <c r="X4650" s="6"/>
      <c r="Y4650" s="6"/>
      <c r="Z4650" s="6"/>
      <c r="AA4650" s="6" t="s">
        <v>1259</v>
      </c>
      <c r="AB4650" s="8"/>
    </row>
    <row r="4651" spans="1:28" s="4" customFormat="1" ht="51.95" customHeight="1">
      <c r="A4651" s="5">
        <v>0</v>
      </c>
      <c r="B4651" s="6" t="s">
        <v>27542</v>
      </c>
      <c r="C4651" s="7">
        <v>844.9</v>
      </c>
      <c r="D4651" s="8" t="s">
        <v>27543</v>
      </c>
      <c r="E4651" s="8" t="s">
        <v>27532</v>
      </c>
      <c r="F4651" s="8" t="s">
        <v>27533</v>
      </c>
      <c r="G4651" s="6" t="s">
        <v>52</v>
      </c>
      <c r="H4651" s="6" t="s">
        <v>53</v>
      </c>
      <c r="I4651" s="8" t="s">
        <v>90</v>
      </c>
      <c r="J4651" s="9">
        <v>1</v>
      </c>
      <c r="K4651" s="9">
        <v>248</v>
      </c>
      <c r="L4651" s="9">
        <v>2020</v>
      </c>
      <c r="M4651" s="8" t="s">
        <v>27544</v>
      </c>
      <c r="N4651" s="8" t="s">
        <v>41</v>
      </c>
      <c r="O4651" s="8" t="s">
        <v>6182</v>
      </c>
      <c r="P4651" s="6" t="s">
        <v>43</v>
      </c>
      <c r="Q4651" s="8" t="s">
        <v>44</v>
      </c>
      <c r="R4651" s="10" t="s">
        <v>27540</v>
      </c>
      <c r="S4651" s="11" t="s">
        <v>6730</v>
      </c>
      <c r="T4651" s="6"/>
      <c r="U4651" s="24" t="str">
        <f>HYPERLINK("https://media.infra-m.ru/1044/1044013/cover/1044013.jpg", "Обложка")</f>
        <v>Обложка</v>
      </c>
      <c r="V4651" s="24" t="str">
        <f>HYPERLINK("https://znanium.ru/catalog/product/2126334", "Ознакомиться")</f>
        <v>Ознакомиться</v>
      </c>
      <c r="W4651" s="8" t="s">
        <v>6489</v>
      </c>
      <c r="X4651" s="6"/>
      <c r="Y4651" s="6"/>
      <c r="Z4651" s="6"/>
      <c r="AA4651" s="6" t="s">
        <v>111</v>
      </c>
      <c r="AB4651" s="8"/>
    </row>
    <row r="4652" spans="1:28" s="4" customFormat="1" ht="51.95" customHeight="1">
      <c r="A4652" s="5">
        <v>0</v>
      </c>
      <c r="B4652" s="6" t="s">
        <v>27545</v>
      </c>
      <c r="C4652" s="13">
        <v>1294.9000000000001</v>
      </c>
      <c r="D4652" s="8" t="s">
        <v>27546</v>
      </c>
      <c r="E4652" s="8" t="s">
        <v>27547</v>
      </c>
      <c r="F4652" s="8" t="s">
        <v>27548</v>
      </c>
      <c r="G4652" s="6" t="s">
        <v>52</v>
      </c>
      <c r="H4652" s="6" t="s">
        <v>53</v>
      </c>
      <c r="I4652" s="8" t="s">
        <v>90</v>
      </c>
      <c r="J4652" s="9">
        <v>1</v>
      </c>
      <c r="K4652" s="9">
        <v>288</v>
      </c>
      <c r="L4652" s="9">
        <v>2023</v>
      </c>
      <c r="M4652" s="8" t="s">
        <v>27549</v>
      </c>
      <c r="N4652" s="8" t="s">
        <v>41</v>
      </c>
      <c r="O4652" s="8" t="s">
        <v>1007</v>
      </c>
      <c r="P4652" s="6" t="s">
        <v>43</v>
      </c>
      <c r="Q4652" s="8" t="s">
        <v>44</v>
      </c>
      <c r="R4652" s="10" t="s">
        <v>1251</v>
      </c>
      <c r="S4652" s="11" t="s">
        <v>27550</v>
      </c>
      <c r="T4652" s="6"/>
      <c r="U4652" s="24" t="str">
        <f>HYPERLINK("https://media.infra-m.ru/1981/1981632/cover/1981632.jpg", "Обложка")</f>
        <v>Обложка</v>
      </c>
      <c r="V4652" s="24" t="str">
        <f>HYPERLINK("https://znanium.ru/catalog/product/1181037", "Ознакомиться")</f>
        <v>Ознакомиться</v>
      </c>
      <c r="W4652" s="8" t="s">
        <v>27551</v>
      </c>
      <c r="X4652" s="6"/>
      <c r="Y4652" s="6"/>
      <c r="Z4652" s="6"/>
      <c r="AA4652" s="6" t="s">
        <v>84</v>
      </c>
      <c r="AB4652" s="8"/>
    </row>
    <row r="4653" spans="1:28" s="4" customFormat="1" ht="51.95" customHeight="1">
      <c r="A4653" s="5">
        <v>0</v>
      </c>
      <c r="B4653" s="6" t="s">
        <v>27552</v>
      </c>
      <c r="C4653" s="7">
        <v>484</v>
      </c>
      <c r="D4653" s="8" t="s">
        <v>27553</v>
      </c>
      <c r="E4653" s="8" t="s">
        <v>27554</v>
      </c>
      <c r="F4653" s="8" t="s">
        <v>27555</v>
      </c>
      <c r="G4653" s="6" t="s">
        <v>38</v>
      </c>
      <c r="H4653" s="6" t="s">
        <v>39</v>
      </c>
      <c r="I4653" s="8" t="s">
        <v>185</v>
      </c>
      <c r="J4653" s="9">
        <v>1</v>
      </c>
      <c r="K4653" s="9">
        <v>72</v>
      </c>
      <c r="L4653" s="9">
        <v>2024</v>
      </c>
      <c r="M4653" s="8" t="s">
        <v>27556</v>
      </c>
      <c r="N4653" s="8" t="s">
        <v>41</v>
      </c>
      <c r="O4653" s="8" t="s">
        <v>6182</v>
      </c>
      <c r="P4653" s="6" t="s">
        <v>43</v>
      </c>
      <c r="Q4653" s="8" t="s">
        <v>102</v>
      </c>
      <c r="R4653" s="10" t="s">
        <v>13398</v>
      </c>
      <c r="S4653" s="11" t="s">
        <v>620</v>
      </c>
      <c r="T4653" s="6"/>
      <c r="U4653" s="24" t="str">
        <f>HYPERLINK("https://media.infra-m.ru/2187/2187050/cover/2187050.jpg", "Обложка")</f>
        <v>Обложка</v>
      </c>
      <c r="V4653" s="24" t="str">
        <f>HYPERLINK("https://znanium.ru/catalog/product/2048066", "Ознакомиться")</f>
        <v>Ознакомиться</v>
      </c>
      <c r="W4653" s="8" t="s">
        <v>637</v>
      </c>
      <c r="X4653" s="6"/>
      <c r="Y4653" s="6"/>
      <c r="Z4653" s="6"/>
      <c r="AA4653" s="6" t="s">
        <v>494</v>
      </c>
      <c r="AB4653" s="8"/>
    </row>
    <row r="4654" spans="1:28" s="4" customFormat="1" ht="42" customHeight="1">
      <c r="A4654" s="5">
        <v>0</v>
      </c>
      <c r="B4654" s="6" t="s">
        <v>27557</v>
      </c>
      <c r="C4654" s="13">
        <v>1890</v>
      </c>
      <c r="D4654" s="8" t="s">
        <v>27558</v>
      </c>
      <c r="E4654" s="8" t="s">
        <v>27559</v>
      </c>
      <c r="F4654" s="8" t="s">
        <v>27560</v>
      </c>
      <c r="G4654" s="6" t="s">
        <v>89</v>
      </c>
      <c r="H4654" s="6" t="s">
        <v>53</v>
      </c>
      <c r="I4654" s="8" t="s">
        <v>100</v>
      </c>
      <c r="J4654" s="9">
        <v>1</v>
      </c>
      <c r="K4654" s="9">
        <v>372</v>
      </c>
      <c r="L4654" s="9">
        <v>2025</v>
      </c>
      <c r="M4654" s="8" t="s">
        <v>27561</v>
      </c>
      <c r="N4654" s="8" t="s">
        <v>41</v>
      </c>
      <c r="O4654" s="8" t="s">
        <v>6182</v>
      </c>
      <c r="P4654" s="6" t="s">
        <v>167</v>
      </c>
      <c r="Q4654" s="8" t="s">
        <v>102</v>
      </c>
      <c r="R4654" s="10" t="s">
        <v>27562</v>
      </c>
      <c r="S4654" s="11"/>
      <c r="T4654" s="6"/>
      <c r="U4654" s="24" t="str">
        <f>HYPERLINK("https://media.infra-m.ru/2169/2169870/cover/2169870.jpg", "Обложка")</f>
        <v>Обложка</v>
      </c>
      <c r="V4654" s="24" t="str">
        <f>HYPERLINK("https://znanium.ru/catalog/product/2169870", "Ознакомиться")</f>
        <v>Ознакомиться</v>
      </c>
      <c r="W4654" s="8" t="s">
        <v>1826</v>
      </c>
      <c r="X4654" s="6" t="s">
        <v>785</v>
      </c>
      <c r="Y4654" s="6"/>
      <c r="Z4654" s="6" t="s">
        <v>104</v>
      </c>
      <c r="AA4654" s="6" t="s">
        <v>3736</v>
      </c>
      <c r="AB4654" s="8"/>
    </row>
    <row r="4655" spans="1:28" s="4" customFormat="1" ht="51.95" customHeight="1">
      <c r="A4655" s="5">
        <v>0</v>
      </c>
      <c r="B4655" s="6" t="s">
        <v>27563</v>
      </c>
      <c r="C4655" s="13">
        <v>1710</v>
      </c>
      <c r="D4655" s="8" t="s">
        <v>27564</v>
      </c>
      <c r="E4655" s="8" t="s">
        <v>27559</v>
      </c>
      <c r="F4655" s="8" t="s">
        <v>27560</v>
      </c>
      <c r="G4655" s="6" t="s">
        <v>52</v>
      </c>
      <c r="H4655" s="6" t="s">
        <v>53</v>
      </c>
      <c r="I4655" s="8" t="s">
        <v>116</v>
      </c>
      <c r="J4655" s="9">
        <v>1</v>
      </c>
      <c r="K4655" s="9">
        <v>372</v>
      </c>
      <c r="L4655" s="9">
        <v>2024</v>
      </c>
      <c r="M4655" s="8" t="s">
        <v>27565</v>
      </c>
      <c r="N4655" s="8" t="s">
        <v>41</v>
      </c>
      <c r="O4655" s="8" t="s">
        <v>6182</v>
      </c>
      <c r="P4655" s="6" t="s">
        <v>167</v>
      </c>
      <c r="Q4655" s="8" t="s">
        <v>44</v>
      </c>
      <c r="R4655" s="10" t="s">
        <v>7513</v>
      </c>
      <c r="S4655" s="11" t="s">
        <v>27566</v>
      </c>
      <c r="T4655" s="6"/>
      <c r="U4655" s="24" t="str">
        <f>HYPERLINK("https://media.infra-m.ru/1981/1981697/cover/1981697.jpg", "Обложка")</f>
        <v>Обложка</v>
      </c>
      <c r="V4655" s="24" t="str">
        <f>HYPERLINK("https://znanium.ru/catalog/product/1981697", "Ознакомиться")</f>
        <v>Ознакомиться</v>
      </c>
      <c r="W4655" s="8" t="s">
        <v>1826</v>
      </c>
      <c r="X4655" s="6"/>
      <c r="Y4655" s="6"/>
      <c r="Z4655" s="6"/>
      <c r="AA4655" s="6" t="s">
        <v>7125</v>
      </c>
      <c r="AB4655" s="8"/>
    </row>
    <row r="4656" spans="1:28" s="4" customFormat="1" ht="42" customHeight="1">
      <c r="A4656" s="5">
        <v>0</v>
      </c>
      <c r="B4656" s="6" t="s">
        <v>27567</v>
      </c>
      <c r="C4656" s="13">
        <v>1250</v>
      </c>
      <c r="D4656" s="8" t="s">
        <v>27568</v>
      </c>
      <c r="E4656" s="8" t="s">
        <v>27569</v>
      </c>
      <c r="F4656" s="8" t="s">
        <v>27570</v>
      </c>
      <c r="G4656" s="6" t="s">
        <v>52</v>
      </c>
      <c r="H4656" s="6" t="s">
        <v>53</v>
      </c>
      <c r="I4656" s="8" t="s">
        <v>116</v>
      </c>
      <c r="J4656" s="9">
        <v>1</v>
      </c>
      <c r="K4656" s="9">
        <v>249</v>
      </c>
      <c r="L4656" s="9">
        <v>2024</v>
      </c>
      <c r="M4656" s="8" t="s">
        <v>27571</v>
      </c>
      <c r="N4656" s="8" t="s">
        <v>41</v>
      </c>
      <c r="O4656" s="8" t="s">
        <v>6182</v>
      </c>
      <c r="P4656" s="6" t="s">
        <v>167</v>
      </c>
      <c r="Q4656" s="8" t="s">
        <v>44</v>
      </c>
      <c r="R4656" s="10" t="s">
        <v>27572</v>
      </c>
      <c r="S4656" s="11"/>
      <c r="T4656" s="6"/>
      <c r="U4656" s="24" t="str">
        <f>HYPERLINK("https://media.infra-m.ru/1577/1577822/cover/1577822.jpg", "Обложка")</f>
        <v>Обложка</v>
      </c>
      <c r="V4656" s="24" t="str">
        <f>HYPERLINK("https://znanium.ru/catalog/product/1577822", "Ознакомиться")</f>
        <v>Ознакомиться</v>
      </c>
      <c r="W4656" s="8" t="s">
        <v>3426</v>
      </c>
      <c r="X4656" s="6"/>
      <c r="Y4656" s="6"/>
      <c r="Z4656" s="6"/>
      <c r="AA4656" s="6" t="s">
        <v>133</v>
      </c>
      <c r="AB4656" s="8"/>
    </row>
    <row r="4657" spans="1:28" s="4" customFormat="1" ht="51.95" customHeight="1">
      <c r="A4657" s="5">
        <v>0</v>
      </c>
      <c r="B4657" s="6" t="s">
        <v>27573</v>
      </c>
      <c r="C4657" s="13">
        <v>1404</v>
      </c>
      <c r="D4657" s="8" t="s">
        <v>27574</v>
      </c>
      <c r="E4657" s="8" t="s">
        <v>27575</v>
      </c>
      <c r="F4657" s="8" t="s">
        <v>27576</v>
      </c>
      <c r="G4657" s="6" t="s">
        <v>89</v>
      </c>
      <c r="H4657" s="6" t="s">
        <v>649</v>
      </c>
      <c r="I4657" s="8" t="s">
        <v>100</v>
      </c>
      <c r="J4657" s="9">
        <v>1</v>
      </c>
      <c r="K4657" s="9">
        <v>304</v>
      </c>
      <c r="L4657" s="9">
        <v>2024</v>
      </c>
      <c r="M4657" s="8" t="s">
        <v>27577</v>
      </c>
      <c r="N4657" s="8" t="s">
        <v>41</v>
      </c>
      <c r="O4657" s="8" t="s">
        <v>6182</v>
      </c>
      <c r="P4657" s="6" t="s">
        <v>167</v>
      </c>
      <c r="Q4657" s="8" t="s">
        <v>102</v>
      </c>
      <c r="R4657" s="10" t="s">
        <v>27578</v>
      </c>
      <c r="S4657" s="11" t="s">
        <v>1466</v>
      </c>
      <c r="T4657" s="6"/>
      <c r="U4657" s="24" t="str">
        <f>HYPERLINK("https://media.infra-m.ru/2054/2054962/cover/2054962.jpg", "Обложка")</f>
        <v>Обложка</v>
      </c>
      <c r="V4657" s="24" t="str">
        <f>HYPERLINK("https://znanium.ru/catalog/product/1141798", "Ознакомиться")</f>
        <v>Ознакомиться</v>
      </c>
      <c r="W4657" s="8"/>
      <c r="X4657" s="6"/>
      <c r="Y4657" s="6"/>
      <c r="Z4657" s="6"/>
      <c r="AA4657" s="6" t="s">
        <v>1461</v>
      </c>
      <c r="AB4657" s="8"/>
    </row>
    <row r="4658" spans="1:28" s="4" customFormat="1" ht="51.95" customHeight="1">
      <c r="A4658" s="5">
        <v>0</v>
      </c>
      <c r="B4658" s="6" t="s">
        <v>27579</v>
      </c>
      <c r="C4658" s="13">
        <v>1604</v>
      </c>
      <c r="D4658" s="8" t="s">
        <v>27580</v>
      </c>
      <c r="E4658" s="8" t="s">
        <v>27581</v>
      </c>
      <c r="F4658" s="8" t="s">
        <v>27582</v>
      </c>
      <c r="G4658" s="6" t="s">
        <v>52</v>
      </c>
      <c r="H4658" s="6" t="s">
        <v>53</v>
      </c>
      <c r="I4658" s="8" t="s">
        <v>90</v>
      </c>
      <c r="J4658" s="9">
        <v>1</v>
      </c>
      <c r="K4658" s="9">
        <v>355</v>
      </c>
      <c r="L4658" s="9">
        <v>2023</v>
      </c>
      <c r="M4658" s="8" t="s">
        <v>27583</v>
      </c>
      <c r="N4658" s="8" t="s">
        <v>41</v>
      </c>
      <c r="O4658" s="8" t="s">
        <v>6182</v>
      </c>
      <c r="P4658" s="6" t="s">
        <v>167</v>
      </c>
      <c r="Q4658" s="8" t="s">
        <v>44</v>
      </c>
      <c r="R4658" s="10" t="s">
        <v>7513</v>
      </c>
      <c r="S4658" s="11" t="s">
        <v>27566</v>
      </c>
      <c r="T4658" s="6"/>
      <c r="U4658" s="24" t="str">
        <f>HYPERLINK("https://media.infra-m.ru/2085/2085537/cover/2085537.jpg", "Обложка")</f>
        <v>Обложка</v>
      </c>
      <c r="V4658" s="24" t="str">
        <f>HYPERLINK("https://znanium.ru/catalog/product/1981697", "Ознакомиться")</f>
        <v>Ознакомиться</v>
      </c>
      <c r="W4658" s="8" t="s">
        <v>1826</v>
      </c>
      <c r="X4658" s="6"/>
      <c r="Y4658" s="6"/>
      <c r="Z4658" s="6"/>
      <c r="AA4658" s="6" t="s">
        <v>5763</v>
      </c>
      <c r="AB4658" s="8"/>
    </row>
    <row r="4659" spans="1:28" s="4" customFormat="1" ht="51.95" customHeight="1">
      <c r="A4659" s="5">
        <v>0</v>
      </c>
      <c r="B4659" s="6" t="s">
        <v>27584</v>
      </c>
      <c r="C4659" s="13">
        <v>1614</v>
      </c>
      <c r="D4659" s="8" t="s">
        <v>27585</v>
      </c>
      <c r="E4659" s="8" t="s">
        <v>27569</v>
      </c>
      <c r="F4659" s="8" t="s">
        <v>27586</v>
      </c>
      <c r="G4659" s="6" t="s">
        <v>52</v>
      </c>
      <c r="H4659" s="6" t="s">
        <v>184</v>
      </c>
      <c r="I4659" s="8" t="s">
        <v>90</v>
      </c>
      <c r="J4659" s="9">
        <v>1</v>
      </c>
      <c r="K4659" s="9">
        <v>311</v>
      </c>
      <c r="L4659" s="9">
        <v>2025</v>
      </c>
      <c r="M4659" s="8" t="s">
        <v>27587</v>
      </c>
      <c r="N4659" s="8" t="s">
        <v>41</v>
      </c>
      <c r="O4659" s="8" t="s">
        <v>6182</v>
      </c>
      <c r="P4659" s="6" t="s">
        <v>43</v>
      </c>
      <c r="Q4659" s="8" t="s">
        <v>44</v>
      </c>
      <c r="R4659" s="10" t="s">
        <v>7513</v>
      </c>
      <c r="S4659" s="11" t="s">
        <v>27588</v>
      </c>
      <c r="T4659" s="6"/>
      <c r="U4659" s="24" t="str">
        <f>HYPERLINK("https://media.infra-m.ru/1843/1843599/cover/1843599.jpg", "Обложка")</f>
        <v>Обложка</v>
      </c>
      <c r="V4659" s="24" t="str">
        <f>HYPERLINK("https://znanium.ru/catalog/product/1843599", "Ознакомиться")</f>
        <v>Ознакомиться</v>
      </c>
      <c r="W4659" s="8" t="s">
        <v>26087</v>
      </c>
      <c r="X4659" s="6"/>
      <c r="Y4659" s="6"/>
      <c r="Z4659" s="6"/>
      <c r="AA4659" s="6" t="s">
        <v>122</v>
      </c>
      <c r="AB4659" s="8"/>
    </row>
    <row r="4660" spans="1:28" s="4" customFormat="1" ht="51.95" customHeight="1">
      <c r="A4660" s="5">
        <v>0</v>
      </c>
      <c r="B4660" s="6" t="s">
        <v>27589</v>
      </c>
      <c r="C4660" s="13">
        <v>1274.9000000000001</v>
      </c>
      <c r="D4660" s="8" t="s">
        <v>27590</v>
      </c>
      <c r="E4660" s="8" t="s">
        <v>27569</v>
      </c>
      <c r="F4660" s="8" t="s">
        <v>27591</v>
      </c>
      <c r="G4660" s="6" t="s">
        <v>52</v>
      </c>
      <c r="H4660" s="6" t="s">
        <v>184</v>
      </c>
      <c r="I4660" s="8" t="s">
        <v>90</v>
      </c>
      <c r="J4660" s="9">
        <v>1</v>
      </c>
      <c r="K4660" s="9">
        <v>375</v>
      </c>
      <c r="L4660" s="9">
        <v>2020</v>
      </c>
      <c r="M4660" s="8" t="s">
        <v>27592</v>
      </c>
      <c r="N4660" s="8" t="s">
        <v>41</v>
      </c>
      <c r="O4660" s="8" t="s">
        <v>6182</v>
      </c>
      <c r="P4660" s="6" t="s">
        <v>43</v>
      </c>
      <c r="Q4660" s="8" t="s">
        <v>44</v>
      </c>
      <c r="R4660" s="10" t="s">
        <v>27593</v>
      </c>
      <c r="S4660" s="11" t="s">
        <v>6234</v>
      </c>
      <c r="T4660" s="6"/>
      <c r="U4660" s="24" t="str">
        <f>HYPERLINK("https://media.infra-m.ru/1072/1072277/cover/1072277.jpg", "Обложка")</f>
        <v>Обложка</v>
      </c>
      <c r="V4660" s="24" t="str">
        <f>HYPERLINK("https://znanium.ru/catalog/product/929679", "Ознакомиться")</f>
        <v>Ознакомиться</v>
      </c>
      <c r="W4660" s="8" t="s">
        <v>9295</v>
      </c>
      <c r="X4660" s="6"/>
      <c r="Y4660" s="6"/>
      <c r="Z4660" s="6"/>
      <c r="AA4660" s="6" t="s">
        <v>72</v>
      </c>
      <c r="AB4660" s="8"/>
    </row>
    <row r="4661" spans="1:28" s="4" customFormat="1" ht="51.95" customHeight="1">
      <c r="A4661" s="5">
        <v>0</v>
      </c>
      <c r="B4661" s="6" t="s">
        <v>27594</v>
      </c>
      <c r="C4661" s="13">
        <v>1514</v>
      </c>
      <c r="D4661" s="8" t="s">
        <v>27595</v>
      </c>
      <c r="E4661" s="8" t="s">
        <v>27569</v>
      </c>
      <c r="F4661" s="8" t="s">
        <v>27596</v>
      </c>
      <c r="G4661" s="6" t="s">
        <v>52</v>
      </c>
      <c r="H4661" s="6" t="s">
        <v>77</v>
      </c>
      <c r="I4661" s="8"/>
      <c r="J4661" s="9">
        <v>1</v>
      </c>
      <c r="K4661" s="9">
        <v>303</v>
      </c>
      <c r="L4661" s="9">
        <v>2025</v>
      </c>
      <c r="M4661" s="8" t="s">
        <v>27597</v>
      </c>
      <c r="N4661" s="8" t="s">
        <v>41</v>
      </c>
      <c r="O4661" s="8" t="s">
        <v>6182</v>
      </c>
      <c r="P4661" s="6" t="s">
        <v>43</v>
      </c>
      <c r="Q4661" s="8" t="s">
        <v>44</v>
      </c>
      <c r="R4661" s="10" t="s">
        <v>27598</v>
      </c>
      <c r="S4661" s="11" t="s">
        <v>6234</v>
      </c>
      <c r="T4661" s="6"/>
      <c r="U4661" s="24" t="str">
        <f>HYPERLINK("https://media.infra-m.ru/2187/2187720/cover/2187720.jpg", "Обложка")</f>
        <v>Обложка</v>
      </c>
      <c r="V4661" s="24" t="str">
        <f>HYPERLINK("https://znanium.ru/catalog/product/920516", "Ознакомиться")</f>
        <v>Ознакомиться</v>
      </c>
      <c r="W4661" s="8" t="s">
        <v>7794</v>
      </c>
      <c r="X4661" s="6"/>
      <c r="Y4661" s="6"/>
      <c r="Z4661" s="6"/>
      <c r="AA4661" s="6" t="s">
        <v>122</v>
      </c>
      <c r="AB4661" s="8"/>
    </row>
    <row r="4662" spans="1:28" s="4" customFormat="1" ht="51.95" customHeight="1">
      <c r="A4662" s="5">
        <v>0</v>
      </c>
      <c r="B4662" s="6" t="s">
        <v>27599</v>
      </c>
      <c r="C4662" s="7">
        <v>804</v>
      </c>
      <c r="D4662" s="8" t="s">
        <v>27600</v>
      </c>
      <c r="E4662" s="8" t="s">
        <v>27569</v>
      </c>
      <c r="F4662" s="8" t="s">
        <v>27601</v>
      </c>
      <c r="G4662" s="6" t="s">
        <v>38</v>
      </c>
      <c r="H4662" s="6" t="s">
        <v>39</v>
      </c>
      <c r="I4662" s="8"/>
      <c r="J4662" s="9">
        <v>1</v>
      </c>
      <c r="K4662" s="9">
        <v>160</v>
      </c>
      <c r="L4662" s="9">
        <v>2025</v>
      </c>
      <c r="M4662" s="8" t="s">
        <v>27602</v>
      </c>
      <c r="N4662" s="8" t="s">
        <v>41</v>
      </c>
      <c r="O4662" s="8" t="s">
        <v>6182</v>
      </c>
      <c r="P4662" s="6" t="s">
        <v>43</v>
      </c>
      <c r="Q4662" s="8" t="s">
        <v>58</v>
      </c>
      <c r="R4662" s="10" t="s">
        <v>27603</v>
      </c>
      <c r="S4662" s="11" t="s">
        <v>27604</v>
      </c>
      <c r="T4662" s="6"/>
      <c r="U4662" s="24" t="str">
        <f>HYPERLINK("https://media.infra-m.ru/2188/2188203/cover/2188203.jpg", "Обложка")</f>
        <v>Обложка</v>
      </c>
      <c r="V4662" s="24" t="str">
        <f>HYPERLINK("https://znanium.ru/catalog/product/1832390", "Ознакомиться")</f>
        <v>Ознакомиться</v>
      </c>
      <c r="W4662" s="8" t="s">
        <v>14898</v>
      </c>
      <c r="X4662" s="6"/>
      <c r="Y4662" s="6"/>
      <c r="Z4662" s="6"/>
      <c r="AA4662" s="6" t="s">
        <v>1135</v>
      </c>
      <c r="AB4662" s="8"/>
    </row>
    <row r="4663" spans="1:28" s="4" customFormat="1" ht="42" customHeight="1">
      <c r="A4663" s="5">
        <v>0</v>
      </c>
      <c r="B4663" s="6" t="s">
        <v>27605</v>
      </c>
      <c r="C4663" s="13">
        <v>1764.9</v>
      </c>
      <c r="D4663" s="8" t="s">
        <v>27606</v>
      </c>
      <c r="E4663" s="8" t="s">
        <v>27607</v>
      </c>
      <c r="F4663" s="8" t="s">
        <v>27608</v>
      </c>
      <c r="G4663" s="6" t="s">
        <v>52</v>
      </c>
      <c r="H4663" s="6" t="s">
        <v>952</v>
      </c>
      <c r="I4663" s="8" t="s">
        <v>2699</v>
      </c>
      <c r="J4663" s="9">
        <v>1</v>
      </c>
      <c r="K4663" s="9">
        <v>464</v>
      </c>
      <c r="L4663" s="9">
        <v>2022</v>
      </c>
      <c r="M4663" s="8" t="s">
        <v>27609</v>
      </c>
      <c r="N4663" s="8" t="s">
        <v>41</v>
      </c>
      <c r="O4663" s="8" t="s">
        <v>6182</v>
      </c>
      <c r="P4663" s="6" t="s">
        <v>43</v>
      </c>
      <c r="Q4663" s="8" t="s">
        <v>279</v>
      </c>
      <c r="R4663" s="10" t="s">
        <v>1231</v>
      </c>
      <c r="S4663" s="11"/>
      <c r="T4663" s="6"/>
      <c r="U4663" s="24" t="str">
        <f>HYPERLINK("https://media.infra-m.ru/1846/1846450/cover/1846450.jpg", "Обложка")</f>
        <v>Обложка</v>
      </c>
      <c r="V4663" s="24" t="str">
        <f>HYPERLINK("https://znanium.ru/catalog/product/1846450", "Ознакомиться")</f>
        <v>Ознакомиться</v>
      </c>
      <c r="W4663" s="8" t="s">
        <v>3426</v>
      </c>
      <c r="X4663" s="6"/>
      <c r="Y4663" s="6"/>
      <c r="Z4663" s="6"/>
      <c r="AA4663" s="6" t="s">
        <v>47</v>
      </c>
      <c r="AB4663" s="8"/>
    </row>
    <row r="4664" spans="1:28" s="4" customFormat="1" ht="51.95" customHeight="1">
      <c r="A4664" s="5">
        <v>0</v>
      </c>
      <c r="B4664" s="6" t="s">
        <v>27610</v>
      </c>
      <c r="C4664" s="7">
        <v>544</v>
      </c>
      <c r="D4664" s="8" t="s">
        <v>27611</v>
      </c>
      <c r="E4664" s="8" t="s">
        <v>27612</v>
      </c>
      <c r="F4664" s="8" t="s">
        <v>27613</v>
      </c>
      <c r="G4664" s="6" t="s">
        <v>38</v>
      </c>
      <c r="H4664" s="6" t="s">
        <v>39</v>
      </c>
      <c r="I4664" s="8" t="s">
        <v>90</v>
      </c>
      <c r="J4664" s="9">
        <v>1</v>
      </c>
      <c r="K4664" s="9">
        <v>96</v>
      </c>
      <c r="L4664" s="9">
        <v>2024</v>
      </c>
      <c r="M4664" s="8" t="s">
        <v>27614</v>
      </c>
      <c r="N4664" s="8" t="s">
        <v>41</v>
      </c>
      <c r="O4664" s="8" t="s">
        <v>6182</v>
      </c>
      <c r="P4664" s="6" t="s">
        <v>43</v>
      </c>
      <c r="Q4664" s="8" t="s">
        <v>44</v>
      </c>
      <c r="R4664" s="10" t="s">
        <v>3893</v>
      </c>
      <c r="S4664" s="11" t="s">
        <v>27615</v>
      </c>
      <c r="T4664" s="6"/>
      <c r="U4664" s="24" t="str">
        <f>HYPERLINK("https://media.infra-m.ru/2078/2078384/cover/2078384.jpg", "Обложка")</f>
        <v>Обложка</v>
      </c>
      <c r="V4664" s="24" t="str">
        <f>HYPERLINK("https://znanium.ru/catalog/product/1862854", "Ознакомиться")</f>
        <v>Ознакомиться</v>
      </c>
      <c r="W4664" s="8" t="s">
        <v>19611</v>
      </c>
      <c r="X4664" s="6"/>
      <c r="Y4664" s="6"/>
      <c r="Z4664" s="6"/>
      <c r="AA4664" s="6" t="s">
        <v>122</v>
      </c>
      <c r="AB4664" s="8"/>
    </row>
    <row r="4665" spans="1:28" s="4" customFormat="1" ht="44.1" customHeight="1">
      <c r="A4665" s="5">
        <v>0</v>
      </c>
      <c r="B4665" s="6" t="s">
        <v>27616</v>
      </c>
      <c r="C4665" s="13">
        <v>1494</v>
      </c>
      <c r="D4665" s="8" t="s">
        <v>27617</v>
      </c>
      <c r="E4665" s="8" t="s">
        <v>27618</v>
      </c>
      <c r="F4665" s="8" t="s">
        <v>27619</v>
      </c>
      <c r="G4665" s="6" t="s">
        <v>52</v>
      </c>
      <c r="H4665" s="6" t="s">
        <v>184</v>
      </c>
      <c r="I4665" s="8" t="s">
        <v>90</v>
      </c>
      <c r="J4665" s="9">
        <v>1</v>
      </c>
      <c r="K4665" s="9">
        <v>333</v>
      </c>
      <c r="L4665" s="9">
        <v>2023</v>
      </c>
      <c r="M4665" s="8" t="s">
        <v>27620</v>
      </c>
      <c r="N4665" s="8" t="s">
        <v>41</v>
      </c>
      <c r="O4665" s="8" t="s">
        <v>1007</v>
      </c>
      <c r="P4665" s="6" t="s">
        <v>167</v>
      </c>
      <c r="Q4665" s="8" t="s">
        <v>44</v>
      </c>
      <c r="R4665" s="10" t="s">
        <v>18501</v>
      </c>
      <c r="S4665" s="11"/>
      <c r="T4665" s="6"/>
      <c r="U4665" s="24" t="str">
        <f>HYPERLINK("https://media.infra-m.ru/2001/2001683/cover/2001683.jpg", "Обложка")</f>
        <v>Обложка</v>
      </c>
      <c r="V4665" s="24" t="str">
        <f>HYPERLINK("https://znanium.ru/catalog/product/556760", "Ознакомиться")</f>
        <v>Ознакомиться</v>
      </c>
      <c r="W4665" s="8" t="s">
        <v>10126</v>
      </c>
      <c r="X4665" s="6"/>
      <c r="Y4665" s="6"/>
      <c r="Z4665" s="6"/>
      <c r="AA4665" s="6" t="s">
        <v>418</v>
      </c>
      <c r="AB4665" s="8"/>
    </row>
    <row r="4666" spans="1:28" s="4" customFormat="1" ht="51.95" customHeight="1">
      <c r="A4666" s="5">
        <v>0</v>
      </c>
      <c r="B4666" s="6" t="s">
        <v>27621</v>
      </c>
      <c r="C4666" s="7">
        <v>940</v>
      </c>
      <c r="D4666" s="8" t="s">
        <v>27622</v>
      </c>
      <c r="E4666" s="8" t="s">
        <v>27623</v>
      </c>
      <c r="F4666" s="8" t="s">
        <v>27624</v>
      </c>
      <c r="G4666" s="6" t="s">
        <v>38</v>
      </c>
      <c r="H4666" s="6" t="s">
        <v>438</v>
      </c>
      <c r="I4666" s="8"/>
      <c r="J4666" s="9">
        <v>1</v>
      </c>
      <c r="K4666" s="9">
        <v>208</v>
      </c>
      <c r="L4666" s="9">
        <v>2019</v>
      </c>
      <c r="M4666" s="8" t="s">
        <v>27625</v>
      </c>
      <c r="N4666" s="8" t="s">
        <v>79</v>
      </c>
      <c r="O4666" s="8" t="s">
        <v>80</v>
      </c>
      <c r="P4666" s="6" t="s">
        <v>43</v>
      </c>
      <c r="Q4666" s="8" t="s">
        <v>44</v>
      </c>
      <c r="R4666" s="10" t="s">
        <v>27626</v>
      </c>
      <c r="S4666" s="11" t="s">
        <v>27627</v>
      </c>
      <c r="T4666" s="6"/>
      <c r="U4666" s="24" t="str">
        <f>HYPERLINK("https://media.infra-m.ru/1946/1946507/cover/1946507.jpg", "Обложка")</f>
        <v>Обложка</v>
      </c>
      <c r="V4666" s="24" t="str">
        <f>HYPERLINK("https://znanium.ru/catalog/product/1016017", "Ознакомиться")</f>
        <v>Ознакомиться</v>
      </c>
      <c r="W4666" s="8" t="s">
        <v>26087</v>
      </c>
      <c r="X4666" s="6"/>
      <c r="Y4666" s="6"/>
      <c r="Z4666" s="6"/>
      <c r="AA4666" s="6" t="s">
        <v>111</v>
      </c>
      <c r="AB4666" s="8"/>
    </row>
    <row r="4667" spans="1:28" s="4" customFormat="1" ht="51.95" customHeight="1">
      <c r="A4667" s="5">
        <v>0</v>
      </c>
      <c r="B4667" s="6" t="s">
        <v>27628</v>
      </c>
      <c r="C4667" s="13">
        <v>1604</v>
      </c>
      <c r="D4667" s="8" t="s">
        <v>27629</v>
      </c>
      <c r="E4667" s="8" t="s">
        <v>27630</v>
      </c>
      <c r="F4667" s="8" t="s">
        <v>27631</v>
      </c>
      <c r="G4667" s="6" t="s">
        <v>89</v>
      </c>
      <c r="H4667" s="6" t="s">
        <v>53</v>
      </c>
      <c r="I4667" s="8" t="s">
        <v>90</v>
      </c>
      <c r="J4667" s="9">
        <v>1</v>
      </c>
      <c r="K4667" s="9">
        <v>320</v>
      </c>
      <c r="L4667" s="9">
        <v>2025</v>
      </c>
      <c r="M4667" s="8" t="s">
        <v>27632</v>
      </c>
      <c r="N4667" s="8" t="s">
        <v>79</v>
      </c>
      <c r="O4667" s="8" t="s">
        <v>80</v>
      </c>
      <c r="P4667" s="6" t="s">
        <v>167</v>
      </c>
      <c r="Q4667" s="8" t="s">
        <v>44</v>
      </c>
      <c r="R4667" s="10" t="s">
        <v>14487</v>
      </c>
      <c r="S4667" s="11" t="s">
        <v>27633</v>
      </c>
      <c r="T4667" s="6"/>
      <c r="U4667" s="24" t="str">
        <f>HYPERLINK("https://media.infra-m.ru/2188/2188759/cover/2188759.jpg", "Обложка")</f>
        <v>Обложка</v>
      </c>
      <c r="V4667" s="24" t="str">
        <f>HYPERLINK("https://znanium.ru/catalog/product/1907518", "Ознакомиться")</f>
        <v>Ознакомиться</v>
      </c>
      <c r="W4667" s="8" t="s">
        <v>4815</v>
      </c>
      <c r="X4667" s="6"/>
      <c r="Y4667" s="6"/>
      <c r="Z4667" s="6"/>
      <c r="AA4667" s="6" t="s">
        <v>122</v>
      </c>
      <c r="AB4667" s="8"/>
    </row>
    <row r="4668" spans="1:28" s="4" customFormat="1" ht="51.95" customHeight="1">
      <c r="A4668" s="5">
        <v>0</v>
      </c>
      <c r="B4668" s="6" t="s">
        <v>27634</v>
      </c>
      <c r="C4668" s="13">
        <v>1444</v>
      </c>
      <c r="D4668" s="8" t="s">
        <v>27635</v>
      </c>
      <c r="E4668" s="8" t="s">
        <v>27636</v>
      </c>
      <c r="F4668" s="8" t="s">
        <v>27637</v>
      </c>
      <c r="G4668" s="6" t="s">
        <v>52</v>
      </c>
      <c r="H4668" s="6" t="s">
        <v>39</v>
      </c>
      <c r="I4668" s="8" t="s">
        <v>90</v>
      </c>
      <c r="J4668" s="9">
        <v>1</v>
      </c>
      <c r="K4668" s="9">
        <v>320</v>
      </c>
      <c r="L4668" s="9">
        <v>2023</v>
      </c>
      <c r="M4668" s="8" t="s">
        <v>27638</v>
      </c>
      <c r="N4668" s="8" t="s">
        <v>56</v>
      </c>
      <c r="O4668" s="8" t="s">
        <v>57</v>
      </c>
      <c r="P4668" s="6" t="s">
        <v>43</v>
      </c>
      <c r="Q4668" s="8" t="s">
        <v>44</v>
      </c>
      <c r="R4668" s="10" t="s">
        <v>59</v>
      </c>
      <c r="S4668" s="11" t="s">
        <v>27639</v>
      </c>
      <c r="T4668" s="6"/>
      <c r="U4668" s="24" t="str">
        <f>HYPERLINK("https://media.infra-m.ru/1941/1941746/cover/1941746.jpg", "Обложка")</f>
        <v>Обложка</v>
      </c>
      <c r="V4668" s="24" t="str">
        <f>HYPERLINK("https://znanium.ru/catalog/product/1010803", "Ознакомиться")</f>
        <v>Ознакомиться</v>
      </c>
      <c r="W4668" s="8" t="s">
        <v>4503</v>
      </c>
      <c r="X4668" s="6"/>
      <c r="Y4668" s="6"/>
      <c r="Z4668" s="6"/>
      <c r="AA4668" s="6" t="s">
        <v>47</v>
      </c>
      <c r="AB4668" s="8"/>
    </row>
    <row r="4669" spans="1:28" s="4" customFormat="1" ht="42" customHeight="1">
      <c r="A4669" s="5">
        <v>0</v>
      </c>
      <c r="B4669" s="6" t="s">
        <v>27640</v>
      </c>
      <c r="C4669" s="13">
        <v>1310</v>
      </c>
      <c r="D4669" s="8" t="s">
        <v>27641</v>
      </c>
      <c r="E4669" s="8" t="s">
        <v>27642</v>
      </c>
      <c r="F4669" s="8" t="s">
        <v>27643</v>
      </c>
      <c r="G4669" s="6" t="s">
        <v>52</v>
      </c>
      <c r="H4669" s="6" t="s">
        <v>53</v>
      </c>
      <c r="I4669" s="8" t="s">
        <v>755</v>
      </c>
      <c r="J4669" s="9">
        <v>1</v>
      </c>
      <c r="K4669" s="9">
        <v>254</v>
      </c>
      <c r="L4669" s="9">
        <v>2025</v>
      </c>
      <c r="M4669" s="8" t="s">
        <v>27644</v>
      </c>
      <c r="N4669" s="8" t="s">
        <v>56</v>
      </c>
      <c r="O4669" s="8" t="s">
        <v>57</v>
      </c>
      <c r="P4669" s="6" t="s">
        <v>43</v>
      </c>
      <c r="Q4669" s="8" t="s">
        <v>58</v>
      </c>
      <c r="R4669" s="10" t="s">
        <v>2177</v>
      </c>
      <c r="S4669" s="11"/>
      <c r="T4669" s="6"/>
      <c r="U4669" s="24" t="str">
        <f>HYPERLINK("https://media.infra-m.ru/2104/2104858/cover/2104858.jpg", "Обложка")</f>
        <v>Обложка</v>
      </c>
      <c r="V4669" s="24" t="str">
        <f>HYPERLINK("https://znanium.ru/catalog/product/2104858", "Ознакомиться")</f>
        <v>Ознакомиться</v>
      </c>
      <c r="W4669" s="8" t="s">
        <v>4503</v>
      </c>
      <c r="X4669" s="6" t="s">
        <v>548</v>
      </c>
      <c r="Y4669" s="6"/>
      <c r="Z4669" s="6"/>
      <c r="AA4669" s="6" t="s">
        <v>61</v>
      </c>
      <c r="AB4669" s="8"/>
    </row>
    <row r="4670" spans="1:28" s="4" customFormat="1" ht="42" customHeight="1">
      <c r="A4670" s="5">
        <v>0</v>
      </c>
      <c r="B4670" s="6" t="s">
        <v>27645</v>
      </c>
      <c r="C4670" s="13">
        <v>1310</v>
      </c>
      <c r="D4670" s="8" t="s">
        <v>27646</v>
      </c>
      <c r="E4670" s="8" t="s">
        <v>27642</v>
      </c>
      <c r="F4670" s="8" t="s">
        <v>27643</v>
      </c>
      <c r="G4670" s="6" t="s">
        <v>52</v>
      </c>
      <c r="H4670" s="6" t="s">
        <v>53</v>
      </c>
      <c r="I4670" s="8" t="s">
        <v>100</v>
      </c>
      <c r="J4670" s="9">
        <v>1</v>
      </c>
      <c r="K4670" s="9">
        <v>254</v>
      </c>
      <c r="L4670" s="9">
        <v>2025</v>
      </c>
      <c r="M4670" s="8" t="s">
        <v>27647</v>
      </c>
      <c r="N4670" s="8" t="s">
        <v>56</v>
      </c>
      <c r="O4670" s="8" t="s">
        <v>57</v>
      </c>
      <c r="P4670" s="6" t="s">
        <v>43</v>
      </c>
      <c r="Q4670" s="8" t="s">
        <v>102</v>
      </c>
      <c r="R4670" s="10" t="s">
        <v>27648</v>
      </c>
      <c r="S4670" s="11"/>
      <c r="T4670" s="6"/>
      <c r="U4670" s="24" t="str">
        <f>HYPERLINK("https://media.infra-m.ru/2170/2170688/cover/2170688.jpg", "Обложка")</f>
        <v>Обложка</v>
      </c>
      <c r="V4670" s="24" t="str">
        <f>HYPERLINK("https://znanium.ru/catalog/product/2170688", "Ознакомиться")</f>
        <v>Ознакомиться</v>
      </c>
      <c r="W4670" s="8" t="s">
        <v>4503</v>
      </c>
      <c r="X4670" s="6" t="s">
        <v>785</v>
      </c>
      <c r="Y4670" s="6"/>
      <c r="Z4670" s="6" t="s">
        <v>502</v>
      </c>
      <c r="AA4670" s="6" t="s">
        <v>61</v>
      </c>
      <c r="AB4670" s="8"/>
    </row>
    <row r="4671" spans="1:28" s="4" customFormat="1" ht="51.95" customHeight="1">
      <c r="A4671" s="5">
        <v>0</v>
      </c>
      <c r="B4671" s="6" t="s">
        <v>27649</v>
      </c>
      <c r="C4671" s="7">
        <v>484.9</v>
      </c>
      <c r="D4671" s="8" t="s">
        <v>27650</v>
      </c>
      <c r="E4671" s="8" t="s">
        <v>27651</v>
      </c>
      <c r="F4671" s="8" t="s">
        <v>27652</v>
      </c>
      <c r="G4671" s="6" t="s">
        <v>38</v>
      </c>
      <c r="H4671" s="6" t="s">
        <v>53</v>
      </c>
      <c r="I4671" s="8" t="s">
        <v>90</v>
      </c>
      <c r="J4671" s="9">
        <v>1</v>
      </c>
      <c r="K4671" s="9">
        <v>107</v>
      </c>
      <c r="L4671" s="9">
        <v>2023</v>
      </c>
      <c r="M4671" s="8" t="s">
        <v>27653</v>
      </c>
      <c r="N4671" s="8" t="s">
        <v>41</v>
      </c>
      <c r="O4671" s="8" t="s">
        <v>278</v>
      </c>
      <c r="P4671" s="6" t="s">
        <v>43</v>
      </c>
      <c r="Q4671" s="8" t="s">
        <v>44</v>
      </c>
      <c r="R4671" s="10" t="s">
        <v>3378</v>
      </c>
      <c r="S4671" s="11" t="s">
        <v>27654</v>
      </c>
      <c r="T4671" s="6"/>
      <c r="U4671" s="24" t="str">
        <f>HYPERLINK("https://media.infra-m.ru/1981/1981633/cover/1981633.jpg", "Обложка")</f>
        <v>Обложка</v>
      </c>
      <c r="V4671" s="24" t="str">
        <f>HYPERLINK("https://znanium.ru/catalog/product/1819261", "Ознакомиться")</f>
        <v>Ознакомиться</v>
      </c>
      <c r="W4671" s="8" t="s">
        <v>189</v>
      </c>
      <c r="X4671" s="6"/>
      <c r="Y4671" s="6"/>
      <c r="Z4671" s="6"/>
      <c r="AA4671" s="6" t="s">
        <v>84</v>
      </c>
      <c r="AB4671" s="8"/>
    </row>
    <row r="4672" spans="1:28" s="4" customFormat="1" ht="42" customHeight="1">
      <c r="A4672" s="5">
        <v>0</v>
      </c>
      <c r="B4672" s="6" t="s">
        <v>27655</v>
      </c>
      <c r="C4672" s="13">
        <v>2992</v>
      </c>
      <c r="D4672" s="8" t="s">
        <v>27656</v>
      </c>
      <c r="E4672" s="8" t="s">
        <v>27657</v>
      </c>
      <c r="F4672" s="8" t="s">
        <v>27658</v>
      </c>
      <c r="G4672" s="6" t="s">
        <v>89</v>
      </c>
      <c r="H4672" s="6" t="s">
        <v>53</v>
      </c>
      <c r="I4672" s="8" t="s">
        <v>5586</v>
      </c>
      <c r="J4672" s="9">
        <v>1</v>
      </c>
      <c r="K4672" s="9">
        <v>292</v>
      </c>
      <c r="L4672" s="9">
        <v>2025</v>
      </c>
      <c r="M4672" s="8" t="s">
        <v>27659</v>
      </c>
      <c r="N4672" s="8" t="s">
        <v>997</v>
      </c>
      <c r="O4672" s="8" t="s">
        <v>998</v>
      </c>
      <c r="P4672" s="6" t="s">
        <v>27660</v>
      </c>
      <c r="Q4672" s="8" t="s">
        <v>58</v>
      </c>
      <c r="R4672" s="10" t="s">
        <v>27661</v>
      </c>
      <c r="S4672" s="11"/>
      <c r="T4672" s="6"/>
      <c r="U4672" s="24" t="str">
        <f>HYPERLINK("https://media.infra-m.ru/2143/2143237/cover/2143237.jpg", "Обложка")</f>
        <v>Обложка</v>
      </c>
      <c r="V4672" s="24" t="str">
        <f>HYPERLINK("https://znanium.ru/catalog/product/2143237", "Ознакомиться")</f>
        <v>Ознакомиться</v>
      </c>
      <c r="W4672" s="8"/>
      <c r="X4672" s="6"/>
      <c r="Y4672" s="6"/>
      <c r="Z4672" s="6"/>
      <c r="AA4672" s="6" t="s">
        <v>207</v>
      </c>
      <c r="AB4672" s="8"/>
    </row>
    <row r="4673" spans="1:28" s="4" customFormat="1" ht="51.95" customHeight="1">
      <c r="A4673" s="5">
        <v>0</v>
      </c>
      <c r="B4673" s="6" t="s">
        <v>27662</v>
      </c>
      <c r="C4673" s="13">
        <v>1704</v>
      </c>
      <c r="D4673" s="8" t="s">
        <v>27663</v>
      </c>
      <c r="E4673" s="8" t="s">
        <v>27664</v>
      </c>
      <c r="F4673" s="8" t="s">
        <v>10429</v>
      </c>
      <c r="G4673" s="6" t="s">
        <v>52</v>
      </c>
      <c r="H4673" s="6" t="s">
        <v>53</v>
      </c>
      <c r="I4673" s="8" t="s">
        <v>116</v>
      </c>
      <c r="J4673" s="9">
        <v>1</v>
      </c>
      <c r="K4673" s="9">
        <v>340</v>
      </c>
      <c r="L4673" s="9">
        <v>2025</v>
      </c>
      <c r="M4673" s="8" t="s">
        <v>27665</v>
      </c>
      <c r="N4673" s="8" t="s">
        <v>41</v>
      </c>
      <c r="O4673" s="8" t="s">
        <v>118</v>
      </c>
      <c r="P4673" s="6" t="s">
        <v>167</v>
      </c>
      <c r="Q4673" s="8" t="s">
        <v>58</v>
      </c>
      <c r="R4673" s="10" t="s">
        <v>27666</v>
      </c>
      <c r="S4673" s="11" t="s">
        <v>27667</v>
      </c>
      <c r="T4673" s="6"/>
      <c r="U4673" s="24" t="str">
        <f>HYPERLINK("https://media.infra-m.ru/2188/2188342/cover/2188342.jpg", "Обложка")</f>
        <v>Обложка</v>
      </c>
      <c r="V4673" s="24" t="str">
        <f>HYPERLINK("https://znanium.ru/catalog/product/2095588", "Ознакомиться")</f>
        <v>Ознакомиться</v>
      </c>
      <c r="W4673" s="8"/>
      <c r="X4673" s="6"/>
      <c r="Y4673" s="6"/>
      <c r="Z4673" s="6"/>
      <c r="AA4673" s="6" t="s">
        <v>207</v>
      </c>
      <c r="AB4673" s="8" t="s">
        <v>1159</v>
      </c>
    </row>
    <row r="4674" spans="1:28" s="4" customFormat="1" ht="51.95" customHeight="1">
      <c r="A4674" s="5">
        <v>0</v>
      </c>
      <c r="B4674" s="6" t="s">
        <v>27668</v>
      </c>
      <c r="C4674" s="13">
        <v>1514.9</v>
      </c>
      <c r="D4674" s="8" t="s">
        <v>27669</v>
      </c>
      <c r="E4674" s="8" t="s">
        <v>27670</v>
      </c>
      <c r="F4674" s="8" t="s">
        <v>14152</v>
      </c>
      <c r="G4674" s="6" t="s">
        <v>52</v>
      </c>
      <c r="H4674" s="6" t="s">
        <v>53</v>
      </c>
      <c r="I4674" s="8" t="s">
        <v>276</v>
      </c>
      <c r="J4674" s="9">
        <v>1</v>
      </c>
      <c r="K4674" s="9">
        <v>336</v>
      </c>
      <c r="L4674" s="9">
        <v>2023</v>
      </c>
      <c r="M4674" s="8" t="s">
        <v>27671</v>
      </c>
      <c r="N4674" s="8" t="s">
        <v>41</v>
      </c>
      <c r="O4674" s="8" t="s">
        <v>118</v>
      </c>
      <c r="P4674" s="6" t="s">
        <v>43</v>
      </c>
      <c r="Q4674" s="8" t="s">
        <v>279</v>
      </c>
      <c r="R4674" s="10" t="s">
        <v>27672</v>
      </c>
      <c r="S4674" s="11" t="s">
        <v>27673</v>
      </c>
      <c r="T4674" s="6"/>
      <c r="U4674" s="24" t="str">
        <f>HYPERLINK("https://media.infra-m.ru/1923/1923181/cover/1923181.jpg", "Обложка")</f>
        <v>Обложка</v>
      </c>
      <c r="V4674" s="24" t="str">
        <f>HYPERLINK("https://znanium.ru/catalog/product/1217270", "Ознакомиться")</f>
        <v>Ознакомиться</v>
      </c>
      <c r="W4674" s="8" t="s">
        <v>14156</v>
      </c>
      <c r="X4674" s="6"/>
      <c r="Y4674" s="6"/>
      <c r="Z4674" s="6"/>
      <c r="AA4674" s="6" t="s">
        <v>84</v>
      </c>
      <c r="AB4674" s="8"/>
    </row>
    <row r="4675" spans="1:28" s="4" customFormat="1" ht="42" customHeight="1">
      <c r="A4675" s="5">
        <v>0</v>
      </c>
      <c r="B4675" s="6" t="s">
        <v>27674</v>
      </c>
      <c r="C4675" s="13">
        <v>1110</v>
      </c>
      <c r="D4675" s="8" t="s">
        <v>27675</v>
      </c>
      <c r="E4675" s="8" t="s">
        <v>27676</v>
      </c>
      <c r="F4675" s="8" t="s">
        <v>3485</v>
      </c>
      <c r="G4675" s="6" t="s">
        <v>38</v>
      </c>
      <c r="H4675" s="6" t="s">
        <v>952</v>
      </c>
      <c r="I4675" s="8"/>
      <c r="J4675" s="9">
        <v>1</v>
      </c>
      <c r="K4675" s="9">
        <v>216</v>
      </c>
      <c r="L4675" s="9">
        <v>2025</v>
      </c>
      <c r="M4675" s="8" t="s">
        <v>27677</v>
      </c>
      <c r="N4675" s="8" t="s">
        <v>41</v>
      </c>
      <c r="O4675" s="8" t="s">
        <v>118</v>
      </c>
      <c r="P4675" s="6" t="s">
        <v>43</v>
      </c>
      <c r="Q4675" s="8" t="s">
        <v>44</v>
      </c>
      <c r="R4675" s="10" t="s">
        <v>1008</v>
      </c>
      <c r="S4675" s="11"/>
      <c r="T4675" s="6"/>
      <c r="U4675" s="24" t="str">
        <f>HYPERLINK("https://media.infra-m.ru/2179/2179063/cover/2179063.jpg", "Обложка")</f>
        <v>Обложка</v>
      </c>
      <c r="V4675" s="24" t="str">
        <f>HYPERLINK("https://znanium.ru/catalog/product/959939", "Ознакомиться")</f>
        <v>Ознакомиться</v>
      </c>
      <c r="W4675" s="8" t="s">
        <v>2995</v>
      </c>
      <c r="X4675" s="6"/>
      <c r="Y4675" s="6"/>
      <c r="Z4675" s="6"/>
      <c r="AA4675" s="6" t="s">
        <v>47</v>
      </c>
      <c r="AB4675" s="8"/>
    </row>
    <row r="4676" spans="1:28" s="4" customFormat="1" ht="42" customHeight="1">
      <c r="A4676" s="5">
        <v>0</v>
      </c>
      <c r="B4676" s="6" t="s">
        <v>27678</v>
      </c>
      <c r="C4676" s="13">
        <v>1844</v>
      </c>
      <c r="D4676" s="8" t="s">
        <v>27679</v>
      </c>
      <c r="E4676" s="8" t="s">
        <v>27680</v>
      </c>
      <c r="F4676" s="8" t="s">
        <v>27681</v>
      </c>
      <c r="G4676" s="6" t="s">
        <v>52</v>
      </c>
      <c r="H4676" s="6" t="s">
        <v>77</v>
      </c>
      <c r="I4676" s="8" t="s">
        <v>2979</v>
      </c>
      <c r="J4676" s="9">
        <v>1</v>
      </c>
      <c r="K4676" s="9">
        <v>354</v>
      </c>
      <c r="L4676" s="9">
        <v>2025</v>
      </c>
      <c r="M4676" s="8" t="s">
        <v>27682</v>
      </c>
      <c r="N4676" s="8" t="s">
        <v>41</v>
      </c>
      <c r="O4676" s="8" t="s">
        <v>278</v>
      </c>
      <c r="P4676" s="6" t="s">
        <v>167</v>
      </c>
      <c r="Q4676" s="8" t="s">
        <v>279</v>
      </c>
      <c r="R4676" s="10" t="s">
        <v>1356</v>
      </c>
      <c r="S4676" s="11"/>
      <c r="T4676" s="6" t="s">
        <v>299</v>
      </c>
      <c r="U4676" s="24" t="str">
        <f>HYPERLINK("https://media.infra-m.ru/2195/2195013/cover/2195013.jpg", "Обложка")</f>
        <v>Обложка</v>
      </c>
      <c r="V4676" s="24" t="str">
        <f>HYPERLINK("https://znanium.ru/catalog/product/1153779", "Ознакомиться")</f>
        <v>Ознакомиться</v>
      </c>
      <c r="W4676" s="8" t="s">
        <v>83</v>
      </c>
      <c r="X4676" s="6"/>
      <c r="Y4676" s="6"/>
      <c r="Z4676" s="6"/>
      <c r="AA4676" s="6" t="s">
        <v>418</v>
      </c>
      <c r="AB4676" s="8"/>
    </row>
    <row r="4677" spans="1:28" s="4" customFormat="1" ht="51.95" customHeight="1">
      <c r="A4677" s="5">
        <v>0</v>
      </c>
      <c r="B4677" s="6" t="s">
        <v>27683</v>
      </c>
      <c r="C4677" s="13">
        <v>1680</v>
      </c>
      <c r="D4677" s="8" t="s">
        <v>27684</v>
      </c>
      <c r="E4677" s="8" t="s">
        <v>27685</v>
      </c>
      <c r="F4677" s="8" t="s">
        <v>12633</v>
      </c>
      <c r="G4677" s="6" t="s">
        <v>89</v>
      </c>
      <c r="H4677" s="6" t="s">
        <v>53</v>
      </c>
      <c r="I4677" s="8" t="s">
        <v>276</v>
      </c>
      <c r="J4677" s="9">
        <v>1</v>
      </c>
      <c r="K4677" s="9">
        <v>356</v>
      </c>
      <c r="L4677" s="9">
        <v>2024</v>
      </c>
      <c r="M4677" s="8" t="s">
        <v>27686</v>
      </c>
      <c r="N4677" s="8" t="s">
        <v>41</v>
      </c>
      <c r="O4677" s="8" t="s">
        <v>278</v>
      </c>
      <c r="P4677" s="6" t="s">
        <v>167</v>
      </c>
      <c r="Q4677" s="8" t="s">
        <v>279</v>
      </c>
      <c r="R4677" s="10" t="s">
        <v>1356</v>
      </c>
      <c r="S4677" s="11" t="s">
        <v>27687</v>
      </c>
      <c r="T4677" s="6"/>
      <c r="U4677" s="24" t="str">
        <f>HYPERLINK("https://media.infra-m.ru/2085/2085051/cover/2085051.jpg", "Обложка")</f>
        <v>Обложка</v>
      </c>
      <c r="V4677" s="24" t="str">
        <f>HYPERLINK("https://znanium.ru/catalog/product/2085051", "Ознакомиться")</f>
        <v>Ознакомиться</v>
      </c>
      <c r="W4677" s="8" t="s">
        <v>1076</v>
      </c>
      <c r="X4677" s="6"/>
      <c r="Y4677" s="6"/>
      <c r="Z4677" s="6"/>
      <c r="AA4677" s="6" t="s">
        <v>1259</v>
      </c>
      <c r="AB4677" s="8"/>
    </row>
    <row r="4678" spans="1:28" s="4" customFormat="1" ht="51.95" customHeight="1">
      <c r="A4678" s="5">
        <v>0</v>
      </c>
      <c r="B4678" s="6" t="s">
        <v>27688</v>
      </c>
      <c r="C4678" s="7">
        <v>874.9</v>
      </c>
      <c r="D4678" s="8" t="s">
        <v>27689</v>
      </c>
      <c r="E4678" s="8" t="s">
        <v>27690</v>
      </c>
      <c r="F4678" s="8" t="s">
        <v>12633</v>
      </c>
      <c r="G4678" s="6" t="s">
        <v>52</v>
      </c>
      <c r="H4678" s="6" t="s">
        <v>53</v>
      </c>
      <c r="I4678" s="8" t="s">
        <v>276</v>
      </c>
      <c r="J4678" s="9">
        <v>1</v>
      </c>
      <c r="K4678" s="9">
        <v>272</v>
      </c>
      <c r="L4678" s="9">
        <v>2019</v>
      </c>
      <c r="M4678" s="8" t="s">
        <v>27691</v>
      </c>
      <c r="N4678" s="8" t="s">
        <v>41</v>
      </c>
      <c r="O4678" s="8" t="s">
        <v>278</v>
      </c>
      <c r="P4678" s="6" t="s">
        <v>167</v>
      </c>
      <c r="Q4678" s="8" t="s">
        <v>279</v>
      </c>
      <c r="R4678" s="10" t="s">
        <v>1356</v>
      </c>
      <c r="S4678" s="11" t="s">
        <v>27692</v>
      </c>
      <c r="T4678" s="6"/>
      <c r="U4678" s="24" t="str">
        <f>HYPERLINK("https://media.infra-m.ru/1009/1009011/cover/1009011.jpg", "Обложка")</f>
        <v>Обложка</v>
      </c>
      <c r="V4678" s="24" t="str">
        <f>HYPERLINK("https://znanium.ru/catalog/product/2085051", "Ознакомиться")</f>
        <v>Ознакомиться</v>
      </c>
      <c r="W4678" s="8" t="s">
        <v>1076</v>
      </c>
      <c r="X4678" s="6"/>
      <c r="Y4678" s="6"/>
      <c r="Z4678" s="6"/>
      <c r="AA4678" s="6" t="s">
        <v>84</v>
      </c>
      <c r="AB4678" s="8"/>
    </row>
    <row r="4679" spans="1:28" s="4" customFormat="1" ht="51.95" customHeight="1">
      <c r="A4679" s="5">
        <v>0</v>
      </c>
      <c r="B4679" s="6" t="s">
        <v>27693</v>
      </c>
      <c r="C4679" s="13">
        <v>1784.9</v>
      </c>
      <c r="D4679" s="8" t="s">
        <v>27694</v>
      </c>
      <c r="E4679" s="8" t="s">
        <v>27695</v>
      </c>
      <c r="F4679" s="8" t="s">
        <v>27696</v>
      </c>
      <c r="G4679" s="6" t="s">
        <v>52</v>
      </c>
      <c r="H4679" s="6" t="s">
        <v>77</v>
      </c>
      <c r="I4679" s="8"/>
      <c r="J4679" s="9">
        <v>1</v>
      </c>
      <c r="K4679" s="9">
        <v>396</v>
      </c>
      <c r="L4679" s="9">
        <v>2023</v>
      </c>
      <c r="M4679" s="8" t="s">
        <v>27697</v>
      </c>
      <c r="N4679" s="8" t="s">
        <v>41</v>
      </c>
      <c r="O4679" s="8" t="s">
        <v>118</v>
      </c>
      <c r="P4679" s="6" t="s">
        <v>167</v>
      </c>
      <c r="Q4679" s="8" t="s">
        <v>44</v>
      </c>
      <c r="R4679" s="10" t="s">
        <v>27698</v>
      </c>
      <c r="S4679" s="11" t="s">
        <v>27699</v>
      </c>
      <c r="T4679" s="6"/>
      <c r="U4679" s="24" t="str">
        <f>HYPERLINK("https://media.infra-m.ru/2044/2044338/cover/2044338.jpg", "Обложка")</f>
        <v>Обложка</v>
      </c>
      <c r="V4679" s="12"/>
      <c r="W4679" s="8" t="s">
        <v>8022</v>
      </c>
      <c r="X4679" s="6"/>
      <c r="Y4679" s="6"/>
      <c r="Z4679" s="6"/>
      <c r="AA4679" s="6" t="s">
        <v>122</v>
      </c>
      <c r="AB4679" s="8"/>
    </row>
    <row r="4680" spans="1:28" s="4" customFormat="1" ht="51.95" customHeight="1">
      <c r="A4680" s="5">
        <v>0</v>
      </c>
      <c r="B4680" s="6" t="s">
        <v>27700</v>
      </c>
      <c r="C4680" s="7">
        <v>990</v>
      </c>
      <c r="D4680" s="8" t="s">
        <v>27701</v>
      </c>
      <c r="E4680" s="8" t="s">
        <v>27702</v>
      </c>
      <c r="F4680" s="8" t="s">
        <v>18932</v>
      </c>
      <c r="G4680" s="6" t="s">
        <v>52</v>
      </c>
      <c r="H4680" s="6" t="s">
        <v>53</v>
      </c>
      <c r="I4680" s="8" t="s">
        <v>90</v>
      </c>
      <c r="J4680" s="9">
        <v>1</v>
      </c>
      <c r="K4680" s="9">
        <v>211</v>
      </c>
      <c r="L4680" s="9">
        <v>2023</v>
      </c>
      <c r="M4680" s="8" t="s">
        <v>27703</v>
      </c>
      <c r="N4680" s="8" t="s">
        <v>41</v>
      </c>
      <c r="O4680" s="8" t="s">
        <v>278</v>
      </c>
      <c r="P4680" s="6" t="s">
        <v>43</v>
      </c>
      <c r="Q4680" s="8" t="s">
        <v>44</v>
      </c>
      <c r="R4680" s="10" t="s">
        <v>27704</v>
      </c>
      <c r="S4680" s="11" t="s">
        <v>27705</v>
      </c>
      <c r="T4680" s="6"/>
      <c r="U4680" s="24" t="str">
        <f>HYPERLINK("https://media.infra-m.ru/1832/1832108/cover/1832108.jpg", "Обложка")</f>
        <v>Обложка</v>
      </c>
      <c r="V4680" s="24" t="str">
        <f>HYPERLINK("https://znanium.ru/catalog/product/1832108", "Ознакомиться")</f>
        <v>Ознакомиться</v>
      </c>
      <c r="W4680" s="8" t="s">
        <v>700</v>
      </c>
      <c r="X4680" s="6"/>
      <c r="Y4680" s="6"/>
      <c r="Z4680" s="6"/>
      <c r="AA4680" s="6" t="s">
        <v>207</v>
      </c>
      <c r="AB4680" s="8"/>
    </row>
    <row r="4681" spans="1:28" s="4" customFormat="1" ht="42" customHeight="1">
      <c r="A4681" s="5">
        <v>0</v>
      </c>
      <c r="B4681" s="6" t="s">
        <v>27706</v>
      </c>
      <c r="C4681" s="13">
        <v>2360</v>
      </c>
      <c r="D4681" s="8" t="s">
        <v>27707</v>
      </c>
      <c r="E4681" s="8" t="s">
        <v>27708</v>
      </c>
      <c r="F4681" s="8" t="s">
        <v>27709</v>
      </c>
      <c r="G4681" s="6" t="s">
        <v>52</v>
      </c>
      <c r="H4681" s="6" t="s">
        <v>53</v>
      </c>
      <c r="I4681" s="8" t="s">
        <v>276</v>
      </c>
      <c r="J4681" s="9">
        <v>1</v>
      </c>
      <c r="K4681" s="9">
        <v>471</v>
      </c>
      <c r="L4681" s="9">
        <v>2025</v>
      </c>
      <c r="M4681" s="8" t="s">
        <v>27710</v>
      </c>
      <c r="N4681" s="8" t="s">
        <v>41</v>
      </c>
      <c r="O4681" s="8" t="s">
        <v>118</v>
      </c>
      <c r="P4681" s="6" t="s">
        <v>167</v>
      </c>
      <c r="Q4681" s="8" t="s">
        <v>58</v>
      </c>
      <c r="R4681" s="10" t="s">
        <v>27711</v>
      </c>
      <c r="S4681" s="11"/>
      <c r="T4681" s="6"/>
      <c r="U4681" s="24" t="str">
        <f>HYPERLINK("https://media.infra-m.ru/2001/2001688/cover/2001688.jpg", "Обложка")</f>
        <v>Обложка</v>
      </c>
      <c r="V4681" s="24" t="str">
        <f>HYPERLINK("https://znanium.ru/catalog/product/2001688", "Ознакомиться")</f>
        <v>Ознакомиться</v>
      </c>
      <c r="W4681" s="8" t="s">
        <v>27712</v>
      </c>
      <c r="X4681" s="6" t="s">
        <v>389</v>
      </c>
      <c r="Y4681" s="6"/>
      <c r="Z4681" s="6"/>
      <c r="AA4681" s="6" t="s">
        <v>61</v>
      </c>
      <c r="AB4681" s="8"/>
    </row>
    <row r="4682" spans="1:28" s="4" customFormat="1" ht="51.95" customHeight="1">
      <c r="A4682" s="5">
        <v>0</v>
      </c>
      <c r="B4682" s="6" t="s">
        <v>27713</v>
      </c>
      <c r="C4682" s="13">
        <v>1104.9000000000001</v>
      </c>
      <c r="D4682" s="8" t="s">
        <v>27714</v>
      </c>
      <c r="E4682" s="8" t="s">
        <v>27715</v>
      </c>
      <c r="F4682" s="8" t="s">
        <v>27716</v>
      </c>
      <c r="G4682" s="6" t="s">
        <v>52</v>
      </c>
      <c r="H4682" s="6" t="s">
        <v>53</v>
      </c>
      <c r="I4682" s="8" t="s">
        <v>90</v>
      </c>
      <c r="J4682" s="9">
        <v>1</v>
      </c>
      <c r="K4682" s="9">
        <v>246</v>
      </c>
      <c r="L4682" s="9">
        <v>2023</v>
      </c>
      <c r="M4682" s="8" t="s">
        <v>27717</v>
      </c>
      <c r="N4682" s="8" t="s">
        <v>41</v>
      </c>
      <c r="O4682" s="8" t="s">
        <v>118</v>
      </c>
      <c r="P4682" s="6" t="s">
        <v>43</v>
      </c>
      <c r="Q4682" s="8" t="s">
        <v>44</v>
      </c>
      <c r="R4682" s="10" t="s">
        <v>11252</v>
      </c>
      <c r="S4682" s="11" t="s">
        <v>27718</v>
      </c>
      <c r="T4682" s="6"/>
      <c r="U4682" s="24" t="str">
        <f>HYPERLINK("https://media.infra-m.ru/1981/1981716/cover/1981716.jpg", "Обложка")</f>
        <v>Обложка</v>
      </c>
      <c r="V4682" s="24" t="str">
        <f>HYPERLINK("https://znanium.ru/catalog/product/947675", "Ознакомиться")</f>
        <v>Ознакомиться</v>
      </c>
      <c r="W4682" s="8" t="s">
        <v>3577</v>
      </c>
      <c r="X4682" s="6"/>
      <c r="Y4682" s="6"/>
      <c r="Z4682" s="6"/>
      <c r="AA4682" s="6" t="s">
        <v>84</v>
      </c>
      <c r="AB4682" s="8"/>
    </row>
    <row r="4683" spans="1:28" s="4" customFormat="1" ht="51.95" customHeight="1">
      <c r="A4683" s="5">
        <v>0</v>
      </c>
      <c r="B4683" s="6" t="s">
        <v>27719</v>
      </c>
      <c r="C4683" s="13">
        <v>1494</v>
      </c>
      <c r="D4683" s="8" t="s">
        <v>27720</v>
      </c>
      <c r="E4683" s="8" t="s">
        <v>27721</v>
      </c>
      <c r="F4683" s="8" t="s">
        <v>27722</v>
      </c>
      <c r="G4683" s="6" t="s">
        <v>38</v>
      </c>
      <c r="H4683" s="6" t="s">
        <v>53</v>
      </c>
      <c r="I4683" s="8" t="s">
        <v>90</v>
      </c>
      <c r="J4683" s="9">
        <v>1</v>
      </c>
      <c r="K4683" s="9">
        <v>288</v>
      </c>
      <c r="L4683" s="9">
        <v>2025</v>
      </c>
      <c r="M4683" s="8" t="s">
        <v>27723</v>
      </c>
      <c r="N4683" s="8" t="s">
        <v>41</v>
      </c>
      <c r="O4683" s="8" t="s">
        <v>118</v>
      </c>
      <c r="P4683" s="6" t="s">
        <v>43</v>
      </c>
      <c r="Q4683" s="8" t="s">
        <v>44</v>
      </c>
      <c r="R4683" s="10" t="s">
        <v>27724</v>
      </c>
      <c r="S4683" s="11" t="s">
        <v>27725</v>
      </c>
      <c r="T4683" s="6"/>
      <c r="U4683" s="24" t="str">
        <f>HYPERLINK("https://media.infra-m.ru/2196/2196870/cover/2196870.jpg", "Обложка")</f>
        <v>Обложка</v>
      </c>
      <c r="V4683" s="24" t="str">
        <f>HYPERLINK("https://znanium.ru/catalog/product/987772", "Ознакомиться")</f>
        <v>Ознакомиться</v>
      </c>
      <c r="W4683" s="8" t="s">
        <v>12535</v>
      </c>
      <c r="X4683" s="6"/>
      <c r="Y4683" s="6"/>
      <c r="Z4683" s="6"/>
      <c r="AA4683" s="6" t="s">
        <v>12601</v>
      </c>
      <c r="AB4683" s="8"/>
    </row>
    <row r="4684" spans="1:28" s="4" customFormat="1" ht="51.95" customHeight="1">
      <c r="A4684" s="5">
        <v>0</v>
      </c>
      <c r="B4684" s="6" t="s">
        <v>27726</v>
      </c>
      <c r="C4684" s="13">
        <v>1300</v>
      </c>
      <c r="D4684" s="8" t="s">
        <v>27727</v>
      </c>
      <c r="E4684" s="8" t="s">
        <v>27728</v>
      </c>
      <c r="F4684" s="8" t="s">
        <v>27729</v>
      </c>
      <c r="G4684" s="6" t="s">
        <v>89</v>
      </c>
      <c r="H4684" s="6" t="s">
        <v>53</v>
      </c>
      <c r="I4684" s="8" t="s">
        <v>116</v>
      </c>
      <c r="J4684" s="9">
        <v>1</v>
      </c>
      <c r="K4684" s="9">
        <v>290</v>
      </c>
      <c r="L4684" s="9">
        <v>2023</v>
      </c>
      <c r="M4684" s="8" t="s">
        <v>27730</v>
      </c>
      <c r="N4684" s="8" t="s">
        <v>41</v>
      </c>
      <c r="O4684" s="8" t="s">
        <v>118</v>
      </c>
      <c r="P4684" s="6" t="s">
        <v>167</v>
      </c>
      <c r="Q4684" s="8" t="s">
        <v>58</v>
      </c>
      <c r="R4684" s="10" t="s">
        <v>27731</v>
      </c>
      <c r="S4684" s="11" t="s">
        <v>27732</v>
      </c>
      <c r="T4684" s="6"/>
      <c r="U4684" s="24" t="str">
        <f>HYPERLINK("https://media.infra-m.ru/2020/2020563/cover/2020563.jpg", "Обложка")</f>
        <v>Обложка</v>
      </c>
      <c r="V4684" s="24" t="str">
        <f>HYPERLINK("https://znanium.ru/catalog/product/2020563", "Ознакомиться")</f>
        <v>Ознакомиться</v>
      </c>
      <c r="W4684" s="8" t="s">
        <v>15752</v>
      </c>
      <c r="X4684" s="6"/>
      <c r="Y4684" s="6"/>
      <c r="Z4684" s="6"/>
      <c r="AA4684" s="6" t="s">
        <v>326</v>
      </c>
      <c r="AB4684" s="8"/>
    </row>
    <row r="4685" spans="1:28" s="4" customFormat="1" ht="51.95" customHeight="1">
      <c r="A4685" s="5">
        <v>0</v>
      </c>
      <c r="B4685" s="6" t="s">
        <v>27733</v>
      </c>
      <c r="C4685" s="13">
        <v>1280</v>
      </c>
      <c r="D4685" s="8" t="s">
        <v>27734</v>
      </c>
      <c r="E4685" s="8" t="s">
        <v>27735</v>
      </c>
      <c r="F4685" s="8" t="s">
        <v>27736</v>
      </c>
      <c r="G4685" s="6" t="s">
        <v>89</v>
      </c>
      <c r="H4685" s="6" t="s">
        <v>53</v>
      </c>
      <c r="I4685" s="8" t="s">
        <v>90</v>
      </c>
      <c r="J4685" s="9">
        <v>1</v>
      </c>
      <c r="K4685" s="9">
        <v>261</v>
      </c>
      <c r="L4685" s="9">
        <v>2023</v>
      </c>
      <c r="M4685" s="8" t="s">
        <v>27737</v>
      </c>
      <c r="N4685" s="8" t="s">
        <v>41</v>
      </c>
      <c r="O4685" s="8" t="s">
        <v>118</v>
      </c>
      <c r="P4685" s="6" t="s">
        <v>167</v>
      </c>
      <c r="Q4685" s="8" t="s">
        <v>44</v>
      </c>
      <c r="R4685" s="10" t="s">
        <v>1958</v>
      </c>
      <c r="S4685" s="11" t="s">
        <v>27738</v>
      </c>
      <c r="T4685" s="6"/>
      <c r="U4685" s="24" t="str">
        <f>HYPERLINK("https://media.infra-m.ru/2126/2126893/cover/2126893.jpg", "Обложка")</f>
        <v>Обложка</v>
      </c>
      <c r="V4685" s="24" t="str">
        <f>HYPERLINK("https://znanium.ru/catalog/product/2126893", "Ознакомиться")</f>
        <v>Ознакомиться</v>
      </c>
      <c r="W4685" s="8" t="s">
        <v>450</v>
      </c>
      <c r="X4685" s="6"/>
      <c r="Y4685" s="6"/>
      <c r="Z4685" s="6"/>
      <c r="AA4685" s="6" t="s">
        <v>207</v>
      </c>
      <c r="AB4685" s="8"/>
    </row>
    <row r="4686" spans="1:28" s="4" customFormat="1" ht="51.95" customHeight="1">
      <c r="A4686" s="5">
        <v>0</v>
      </c>
      <c r="B4686" s="6" t="s">
        <v>27739</v>
      </c>
      <c r="C4686" s="13">
        <v>1824</v>
      </c>
      <c r="D4686" s="8" t="s">
        <v>27740</v>
      </c>
      <c r="E4686" s="8" t="s">
        <v>27735</v>
      </c>
      <c r="F4686" s="8" t="s">
        <v>8946</v>
      </c>
      <c r="G4686" s="6" t="s">
        <v>52</v>
      </c>
      <c r="H4686" s="6" t="s">
        <v>53</v>
      </c>
      <c r="I4686" s="8" t="s">
        <v>116</v>
      </c>
      <c r="J4686" s="9">
        <v>1</v>
      </c>
      <c r="K4686" s="9">
        <v>365</v>
      </c>
      <c r="L4686" s="9">
        <v>2025</v>
      </c>
      <c r="M4686" s="8" t="s">
        <v>27741</v>
      </c>
      <c r="N4686" s="8" t="s">
        <v>41</v>
      </c>
      <c r="O4686" s="8" t="s">
        <v>118</v>
      </c>
      <c r="P4686" s="6" t="s">
        <v>167</v>
      </c>
      <c r="Q4686" s="8" t="s">
        <v>44</v>
      </c>
      <c r="R4686" s="10" t="s">
        <v>27742</v>
      </c>
      <c r="S4686" s="11" t="s">
        <v>27743</v>
      </c>
      <c r="T4686" s="6"/>
      <c r="U4686" s="24" t="str">
        <f>HYPERLINK("https://media.infra-m.ru/2192/2192168/cover/2192168.jpg", "Обложка")</f>
        <v>Обложка</v>
      </c>
      <c r="V4686" s="24" t="str">
        <f>HYPERLINK("https://znanium.ru/catalog/product/1190690", "Ознакомиться")</f>
        <v>Ознакомиться</v>
      </c>
      <c r="W4686" s="8" t="s">
        <v>4161</v>
      </c>
      <c r="X4686" s="6"/>
      <c r="Y4686" s="6"/>
      <c r="Z4686" s="6"/>
      <c r="AA4686" s="6" t="s">
        <v>122</v>
      </c>
      <c r="AB4686" s="8"/>
    </row>
    <row r="4687" spans="1:28" s="4" customFormat="1" ht="51.95" customHeight="1">
      <c r="A4687" s="5">
        <v>0</v>
      </c>
      <c r="B4687" s="6" t="s">
        <v>27744</v>
      </c>
      <c r="C4687" s="13">
        <v>1664</v>
      </c>
      <c r="D4687" s="8" t="s">
        <v>27745</v>
      </c>
      <c r="E4687" s="8" t="s">
        <v>27735</v>
      </c>
      <c r="F4687" s="8" t="s">
        <v>27746</v>
      </c>
      <c r="G4687" s="6" t="s">
        <v>89</v>
      </c>
      <c r="H4687" s="6" t="s">
        <v>53</v>
      </c>
      <c r="I4687" s="8" t="s">
        <v>116</v>
      </c>
      <c r="J4687" s="9">
        <v>1</v>
      </c>
      <c r="K4687" s="9">
        <v>320</v>
      </c>
      <c r="L4687" s="9">
        <v>2025</v>
      </c>
      <c r="M4687" s="8" t="s">
        <v>27747</v>
      </c>
      <c r="N4687" s="8" t="s">
        <v>41</v>
      </c>
      <c r="O4687" s="8" t="s">
        <v>118</v>
      </c>
      <c r="P4687" s="6" t="s">
        <v>167</v>
      </c>
      <c r="Q4687" s="8" t="s">
        <v>44</v>
      </c>
      <c r="R4687" s="10" t="s">
        <v>27748</v>
      </c>
      <c r="S4687" s="11" t="s">
        <v>27749</v>
      </c>
      <c r="T4687" s="6" t="s">
        <v>299</v>
      </c>
      <c r="U4687" s="24" t="str">
        <f>HYPERLINK("https://media.infra-m.ru/2196/2196854/cover/2196854.jpg", "Обложка")</f>
        <v>Обложка</v>
      </c>
      <c r="V4687" s="24" t="str">
        <f>HYPERLINK("https://znanium.ru/catalog/product/1941765", "Ознакомиться")</f>
        <v>Ознакомиться</v>
      </c>
      <c r="W4687" s="8" t="s">
        <v>189</v>
      </c>
      <c r="X4687" s="6"/>
      <c r="Y4687" s="6"/>
      <c r="Z4687" s="6"/>
      <c r="AA4687" s="6" t="s">
        <v>122</v>
      </c>
      <c r="AB4687" s="8"/>
    </row>
    <row r="4688" spans="1:28" s="4" customFormat="1" ht="51.95" customHeight="1">
      <c r="A4688" s="5">
        <v>0</v>
      </c>
      <c r="B4688" s="6" t="s">
        <v>27750</v>
      </c>
      <c r="C4688" s="13">
        <v>1194</v>
      </c>
      <c r="D4688" s="8" t="s">
        <v>27751</v>
      </c>
      <c r="E4688" s="8" t="s">
        <v>27735</v>
      </c>
      <c r="F4688" s="8" t="s">
        <v>3573</v>
      </c>
      <c r="G4688" s="6" t="s">
        <v>52</v>
      </c>
      <c r="H4688" s="6" t="s">
        <v>53</v>
      </c>
      <c r="I4688" s="8" t="s">
        <v>20562</v>
      </c>
      <c r="J4688" s="9">
        <v>1</v>
      </c>
      <c r="K4688" s="9">
        <v>263</v>
      </c>
      <c r="L4688" s="9">
        <v>2023</v>
      </c>
      <c r="M4688" s="8" t="s">
        <v>27752</v>
      </c>
      <c r="N4688" s="8" t="s">
        <v>41</v>
      </c>
      <c r="O4688" s="8" t="s">
        <v>118</v>
      </c>
      <c r="P4688" s="6" t="s">
        <v>167</v>
      </c>
      <c r="Q4688" s="8" t="s">
        <v>44</v>
      </c>
      <c r="R4688" s="10" t="s">
        <v>4242</v>
      </c>
      <c r="S4688" s="11" t="s">
        <v>27753</v>
      </c>
      <c r="T4688" s="6"/>
      <c r="U4688" s="24" t="str">
        <f>HYPERLINK("https://media.infra-m.ru/2006/2006825/cover/2006825.jpg", "Обложка")</f>
        <v>Обложка</v>
      </c>
      <c r="V4688" s="24" t="str">
        <f>HYPERLINK("https://znanium.ru/catalog/product/958515", "Ознакомиться")</f>
        <v>Ознакомиться</v>
      </c>
      <c r="W4688" s="8" t="s">
        <v>3577</v>
      </c>
      <c r="X4688" s="6"/>
      <c r="Y4688" s="6"/>
      <c r="Z4688" s="6"/>
      <c r="AA4688" s="6" t="s">
        <v>219</v>
      </c>
      <c r="AB4688" s="8" t="s">
        <v>27754</v>
      </c>
    </row>
    <row r="4689" spans="1:28" s="4" customFormat="1" ht="51.95" customHeight="1">
      <c r="A4689" s="5">
        <v>0</v>
      </c>
      <c r="B4689" s="6" t="s">
        <v>27755</v>
      </c>
      <c r="C4689" s="13">
        <v>1244</v>
      </c>
      <c r="D4689" s="8" t="s">
        <v>27756</v>
      </c>
      <c r="E4689" s="8" t="s">
        <v>27735</v>
      </c>
      <c r="F4689" s="8" t="s">
        <v>27757</v>
      </c>
      <c r="G4689" s="6" t="s">
        <v>89</v>
      </c>
      <c r="H4689" s="6" t="s">
        <v>53</v>
      </c>
      <c r="I4689" s="8" t="s">
        <v>90</v>
      </c>
      <c r="J4689" s="9">
        <v>1</v>
      </c>
      <c r="K4689" s="9">
        <v>271</v>
      </c>
      <c r="L4689" s="9">
        <v>2024</v>
      </c>
      <c r="M4689" s="8" t="s">
        <v>27758</v>
      </c>
      <c r="N4689" s="8" t="s">
        <v>41</v>
      </c>
      <c r="O4689" s="8" t="s">
        <v>118</v>
      </c>
      <c r="P4689" s="6" t="s">
        <v>167</v>
      </c>
      <c r="Q4689" s="8" t="s">
        <v>44</v>
      </c>
      <c r="R4689" s="10" t="s">
        <v>17872</v>
      </c>
      <c r="S4689" s="11" t="s">
        <v>27759</v>
      </c>
      <c r="T4689" s="6"/>
      <c r="U4689" s="24" t="str">
        <f>HYPERLINK("https://media.infra-m.ru/2079/2079678/cover/2079678.jpg", "Обложка")</f>
        <v>Обложка</v>
      </c>
      <c r="V4689" s="24" t="str">
        <f>HYPERLINK("https://znanium.ru/catalog/product/2079678", "Ознакомиться")</f>
        <v>Ознакомиться</v>
      </c>
      <c r="W4689" s="8" t="s">
        <v>2514</v>
      </c>
      <c r="X4689" s="6"/>
      <c r="Y4689" s="6"/>
      <c r="Z4689" s="6"/>
      <c r="AA4689" s="6" t="s">
        <v>72</v>
      </c>
      <c r="AB4689" s="8"/>
    </row>
    <row r="4690" spans="1:28" s="4" customFormat="1" ht="51.95" customHeight="1">
      <c r="A4690" s="5">
        <v>0</v>
      </c>
      <c r="B4690" s="6" t="s">
        <v>27760</v>
      </c>
      <c r="C4690" s="7">
        <v>834</v>
      </c>
      <c r="D4690" s="8" t="s">
        <v>27761</v>
      </c>
      <c r="E4690" s="8" t="s">
        <v>27728</v>
      </c>
      <c r="F4690" s="8" t="s">
        <v>27762</v>
      </c>
      <c r="G4690" s="6" t="s">
        <v>52</v>
      </c>
      <c r="H4690" s="6" t="s">
        <v>53</v>
      </c>
      <c r="I4690" s="8" t="s">
        <v>116</v>
      </c>
      <c r="J4690" s="9">
        <v>1</v>
      </c>
      <c r="K4690" s="9">
        <v>160</v>
      </c>
      <c r="L4690" s="9">
        <v>2025</v>
      </c>
      <c r="M4690" s="8" t="s">
        <v>27763</v>
      </c>
      <c r="N4690" s="8" t="s">
        <v>41</v>
      </c>
      <c r="O4690" s="8" t="s">
        <v>118</v>
      </c>
      <c r="P4690" s="6" t="s">
        <v>43</v>
      </c>
      <c r="Q4690" s="8" t="s">
        <v>44</v>
      </c>
      <c r="R4690" s="10" t="s">
        <v>27764</v>
      </c>
      <c r="S4690" s="11" t="s">
        <v>27765</v>
      </c>
      <c r="T4690" s="6"/>
      <c r="U4690" s="24" t="str">
        <f>HYPERLINK("https://media.infra-m.ru/2192/2192209/cover/2192209.jpg", "Обложка")</f>
        <v>Обложка</v>
      </c>
      <c r="V4690" s="24" t="str">
        <f>HYPERLINK("https://znanium.ru/catalog/product/994456", "Ознакомиться")</f>
        <v>Ознакомиться</v>
      </c>
      <c r="W4690" s="8" t="s">
        <v>11304</v>
      </c>
      <c r="X4690" s="6"/>
      <c r="Y4690" s="6"/>
      <c r="Z4690" s="6"/>
      <c r="AA4690" s="6" t="s">
        <v>407</v>
      </c>
      <c r="AB4690" s="8"/>
    </row>
    <row r="4691" spans="1:28" s="4" customFormat="1" ht="51.95" customHeight="1">
      <c r="A4691" s="5">
        <v>0</v>
      </c>
      <c r="B4691" s="6" t="s">
        <v>27766</v>
      </c>
      <c r="C4691" s="7">
        <v>964</v>
      </c>
      <c r="D4691" s="8" t="s">
        <v>27767</v>
      </c>
      <c r="E4691" s="8" t="s">
        <v>27728</v>
      </c>
      <c r="F4691" s="8" t="s">
        <v>27768</v>
      </c>
      <c r="G4691" s="6" t="s">
        <v>52</v>
      </c>
      <c r="H4691" s="6" t="s">
        <v>53</v>
      </c>
      <c r="I4691" s="8" t="s">
        <v>90</v>
      </c>
      <c r="J4691" s="9">
        <v>1</v>
      </c>
      <c r="K4691" s="9">
        <v>208</v>
      </c>
      <c r="L4691" s="9">
        <v>2024</v>
      </c>
      <c r="M4691" s="8" t="s">
        <v>27769</v>
      </c>
      <c r="N4691" s="8" t="s">
        <v>41</v>
      </c>
      <c r="O4691" s="8" t="s">
        <v>118</v>
      </c>
      <c r="P4691" s="6" t="s">
        <v>43</v>
      </c>
      <c r="Q4691" s="8" t="s">
        <v>44</v>
      </c>
      <c r="R4691" s="10" t="s">
        <v>27770</v>
      </c>
      <c r="S4691" s="11" t="s">
        <v>27771</v>
      </c>
      <c r="T4691" s="6"/>
      <c r="U4691" s="24" t="str">
        <f>HYPERLINK("https://media.infra-m.ru/2054/2054993/cover/2054993.jpg", "Обложка")</f>
        <v>Обложка</v>
      </c>
      <c r="V4691" s="24" t="str">
        <f>HYPERLINK("https://znanium.ru/catalog/product/2054993", "Ознакомиться")</f>
        <v>Ознакомиться</v>
      </c>
      <c r="W4691" s="8" t="s">
        <v>27772</v>
      </c>
      <c r="X4691" s="6"/>
      <c r="Y4691" s="6"/>
      <c r="Z4691" s="6"/>
      <c r="AA4691" s="6" t="s">
        <v>479</v>
      </c>
      <c r="AB4691" s="8"/>
    </row>
    <row r="4692" spans="1:28" s="4" customFormat="1" ht="51.95" customHeight="1">
      <c r="A4692" s="5">
        <v>0</v>
      </c>
      <c r="B4692" s="6" t="s">
        <v>27773</v>
      </c>
      <c r="C4692" s="7">
        <v>594.9</v>
      </c>
      <c r="D4692" s="8" t="s">
        <v>27774</v>
      </c>
      <c r="E4692" s="8" t="s">
        <v>27735</v>
      </c>
      <c r="F4692" s="8" t="s">
        <v>27775</v>
      </c>
      <c r="G4692" s="6" t="s">
        <v>52</v>
      </c>
      <c r="H4692" s="6" t="s">
        <v>184</v>
      </c>
      <c r="I4692" s="8" t="s">
        <v>90</v>
      </c>
      <c r="J4692" s="9">
        <v>1</v>
      </c>
      <c r="K4692" s="9">
        <v>176</v>
      </c>
      <c r="L4692" s="9">
        <v>2020</v>
      </c>
      <c r="M4692" s="8" t="s">
        <v>27776</v>
      </c>
      <c r="N4692" s="8" t="s">
        <v>41</v>
      </c>
      <c r="O4692" s="8" t="s">
        <v>118</v>
      </c>
      <c r="P4692" s="6" t="s">
        <v>43</v>
      </c>
      <c r="Q4692" s="8" t="s">
        <v>44</v>
      </c>
      <c r="R4692" s="10" t="s">
        <v>27777</v>
      </c>
      <c r="S4692" s="11" t="s">
        <v>27778</v>
      </c>
      <c r="T4692" s="6"/>
      <c r="U4692" s="24" t="str">
        <f>HYPERLINK("https://media.infra-m.ru/1083/1083434/cover/1083434.jpg", "Обложка")</f>
        <v>Обложка</v>
      </c>
      <c r="V4692" s="24" t="str">
        <f>HYPERLINK("https://znanium.ru/catalog/product/959950", "Ознакомиться")</f>
        <v>Ознакомиться</v>
      </c>
      <c r="W4692" s="8" t="s">
        <v>2559</v>
      </c>
      <c r="X4692" s="6"/>
      <c r="Y4692" s="6"/>
      <c r="Z4692" s="6"/>
      <c r="AA4692" s="6" t="s">
        <v>47</v>
      </c>
      <c r="AB4692" s="8"/>
    </row>
    <row r="4693" spans="1:28" s="4" customFormat="1" ht="51.95" customHeight="1">
      <c r="A4693" s="5">
        <v>0</v>
      </c>
      <c r="B4693" s="6" t="s">
        <v>27779</v>
      </c>
      <c r="C4693" s="13">
        <v>1054</v>
      </c>
      <c r="D4693" s="8" t="s">
        <v>27780</v>
      </c>
      <c r="E4693" s="8" t="s">
        <v>27735</v>
      </c>
      <c r="F4693" s="8" t="s">
        <v>27781</v>
      </c>
      <c r="G4693" s="6" t="s">
        <v>38</v>
      </c>
      <c r="H4693" s="6" t="s">
        <v>184</v>
      </c>
      <c r="I4693" s="8" t="s">
        <v>90</v>
      </c>
      <c r="J4693" s="9">
        <v>1</v>
      </c>
      <c r="K4693" s="9">
        <v>228</v>
      </c>
      <c r="L4693" s="9">
        <v>2024</v>
      </c>
      <c r="M4693" s="8" t="s">
        <v>27782</v>
      </c>
      <c r="N4693" s="8" t="s">
        <v>41</v>
      </c>
      <c r="O4693" s="8" t="s">
        <v>118</v>
      </c>
      <c r="P4693" s="6" t="s">
        <v>43</v>
      </c>
      <c r="Q4693" s="8" t="s">
        <v>44</v>
      </c>
      <c r="R4693" s="10" t="s">
        <v>27783</v>
      </c>
      <c r="S4693" s="11"/>
      <c r="T4693" s="6"/>
      <c r="U4693" s="24" t="str">
        <f>HYPERLINK("https://media.infra-m.ru/1850/1850687/cover/1850687.jpg", "Обложка")</f>
        <v>Обложка</v>
      </c>
      <c r="V4693" s="24" t="str">
        <f>HYPERLINK("https://znanium.ru/catalog/product/1072224", "Ознакомиться")</f>
        <v>Ознакомиться</v>
      </c>
      <c r="W4693" s="8"/>
      <c r="X4693" s="6"/>
      <c r="Y4693" s="6"/>
      <c r="Z4693" s="6"/>
      <c r="AA4693" s="6" t="s">
        <v>84</v>
      </c>
      <c r="AB4693" s="8"/>
    </row>
    <row r="4694" spans="1:28" s="4" customFormat="1" ht="51.95" customHeight="1">
      <c r="A4694" s="5">
        <v>0</v>
      </c>
      <c r="B4694" s="6" t="s">
        <v>27784</v>
      </c>
      <c r="C4694" s="13">
        <v>1360</v>
      </c>
      <c r="D4694" s="8" t="s">
        <v>27785</v>
      </c>
      <c r="E4694" s="8" t="s">
        <v>27728</v>
      </c>
      <c r="F4694" s="8" t="s">
        <v>27786</v>
      </c>
      <c r="G4694" s="6" t="s">
        <v>89</v>
      </c>
      <c r="H4694" s="6" t="s">
        <v>53</v>
      </c>
      <c r="I4694" s="8" t="s">
        <v>90</v>
      </c>
      <c r="J4694" s="9">
        <v>1</v>
      </c>
      <c r="K4694" s="9">
        <v>294</v>
      </c>
      <c r="L4694" s="9">
        <v>2024</v>
      </c>
      <c r="M4694" s="8" t="s">
        <v>27787</v>
      </c>
      <c r="N4694" s="8" t="s">
        <v>41</v>
      </c>
      <c r="O4694" s="8" t="s">
        <v>118</v>
      </c>
      <c r="P4694" s="6" t="s">
        <v>43</v>
      </c>
      <c r="Q4694" s="8" t="s">
        <v>44</v>
      </c>
      <c r="R4694" s="10" t="s">
        <v>27748</v>
      </c>
      <c r="S4694" s="11" t="s">
        <v>27788</v>
      </c>
      <c r="T4694" s="6"/>
      <c r="U4694" s="24" t="str">
        <f>HYPERLINK("https://media.infra-m.ru/2127/2127007/cover/2127007.jpg", "Обложка")</f>
        <v>Обложка</v>
      </c>
      <c r="V4694" s="24" t="str">
        <f>HYPERLINK("https://znanium.ru/catalog/product/2127007", "Ознакомиться")</f>
        <v>Ознакомиться</v>
      </c>
      <c r="W4694" s="8" t="s">
        <v>189</v>
      </c>
      <c r="X4694" s="6"/>
      <c r="Y4694" s="6"/>
      <c r="Z4694" s="6"/>
      <c r="AA4694" s="6" t="s">
        <v>95</v>
      </c>
      <c r="AB4694" s="8"/>
    </row>
    <row r="4695" spans="1:28" s="4" customFormat="1" ht="51.95" customHeight="1">
      <c r="A4695" s="5">
        <v>0</v>
      </c>
      <c r="B4695" s="6" t="s">
        <v>27789</v>
      </c>
      <c r="C4695" s="7">
        <v>914.9</v>
      </c>
      <c r="D4695" s="8" t="s">
        <v>27790</v>
      </c>
      <c r="E4695" s="8" t="s">
        <v>27735</v>
      </c>
      <c r="F4695" s="8" t="s">
        <v>27791</v>
      </c>
      <c r="G4695" s="6" t="s">
        <v>52</v>
      </c>
      <c r="H4695" s="6" t="s">
        <v>66</v>
      </c>
      <c r="I4695" s="8" t="s">
        <v>116</v>
      </c>
      <c r="J4695" s="9">
        <v>1</v>
      </c>
      <c r="K4695" s="9">
        <v>285</v>
      </c>
      <c r="L4695" s="9">
        <v>2019</v>
      </c>
      <c r="M4695" s="8" t="s">
        <v>27792</v>
      </c>
      <c r="N4695" s="8" t="s">
        <v>41</v>
      </c>
      <c r="O4695" s="8" t="s">
        <v>118</v>
      </c>
      <c r="P4695" s="6" t="s">
        <v>43</v>
      </c>
      <c r="Q4695" s="8" t="s">
        <v>44</v>
      </c>
      <c r="R4695" s="10" t="s">
        <v>27748</v>
      </c>
      <c r="S4695" s="11" t="s">
        <v>27793</v>
      </c>
      <c r="T4695" s="6"/>
      <c r="U4695" s="24" t="str">
        <f>HYPERLINK("https://media.infra-m.ru/0990/0990419/cover/990419.jpg", "Обложка")</f>
        <v>Обложка</v>
      </c>
      <c r="V4695" s="24" t="str">
        <f>HYPERLINK("https://znanium.ru/catalog/product/2127007", "Ознакомиться")</f>
        <v>Ознакомиться</v>
      </c>
      <c r="W4695" s="8" t="s">
        <v>189</v>
      </c>
      <c r="X4695" s="6"/>
      <c r="Y4695" s="6"/>
      <c r="Z4695" s="6"/>
      <c r="AA4695" s="6" t="s">
        <v>555</v>
      </c>
      <c r="AB4695" s="8"/>
    </row>
    <row r="4696" spans="1:28" s="4" customFormat="1" ht="51.95" customHeight="1">
      <c r="A4696" s="5">
        <v>0</v>
      </c>
      <c r="B4696" s="6" t="s">
        <v>27794</v>
      </c>
      <c r="C4696" s="7">
        <v>533</v>
      </c>
      <c r="D4696" s="8" t="s">
        <v>27795</v>
      </c>
      <c r="E4696" s="8" t="s">
        <v>27796</v>
      </c>
      <c r="F4696" s="8" t="s">
        <v>27797</v>
      </c>
      <c r="G4696" s="6" t="s">
        <v>38</v>
      </c>
      <c r="H4696" s="6" t="s">
        <v>184</v>
      </c>
      <c r="I4696" s="8" t="s">
        <v>116</v>
      </c>
      <c r="J4696" s="9">
        <v>1</v>
      </c>
      <c r="K4696" s="9">
        <v>106</v>
      </c>
      <c r="L4696" s="9">
        <v>2024</v>
      </c>
      <c r="M4696" s="8" t="s">
        <v>27798</v>
      </c>
      <c r="N4696" s="8" t="s">
        <v>41</v>
      </c>
      <c r="O4696" s="8" t="s">
        <v>118</v>
      </c>
      <c r="P4696" s="6" t="s">
        <v>43</v>
      </c>
      <c r="Q4696" s="8" t="s">
        <v>44</v>
      </c>
      <c r="R4696" s="10" t="s">
        <v>27799</v>
      </c>
      <c r="S4696" s="11"/>
      <c r="T4696" s="6"/>
      <c r="U4696" s="24" t="str">
        <f>HYPERLINK("https://media.infra-m.ru/2136/2136844/cover/2136844.jpg", "Обложка")</f>
        <v>Обложка</v>
      </c>
      <c r="V4696" s="24" t="str">
        <f>HYPERLINK("https://znanium.ru/catalog/product/1052210", "Ознакомиться")</f>
        <v>Ознакомиться</v>
      </c>
      <c r="W4696" s="8" t="s">
        <v>7781</v>
      </c>
      <c r="X4696" s="6"/>
      <c r="Y4696" s="6"/>
      <c r="Z4696" s="6"/>
      <c r="AA4696" s="6" t="s">
        <v>1365</v>
      </c>
      <c r="AB4696" s="8"/>
    </row>
    <row r="4697" spans="1:28" s="4" customFormat="1" ht="51.95" customHeight="1">
      <c r="A4697" s="5">
        <v>0</v>
      </c>
      <c r="B4697" s="6" t="s">
        <v>27800</v>
      </c>
      <c r="C4697" s="7">
        <v>854</v>
      </c>
      <c r="D4697" s="8" t="s">
        <v>27801</v>
      </c>
      <c r="E4697" s="8" t="s">
        <v>27796</v>
      </c>
      <c r="F4697" s="8" t="s">
        <v>27802</v>
      </c>
      <c r="G4697" s="6" t="s">
        <v>52</v>
      </c>
      <c r="H4697" s="6" t="s">
        <v>184</v>
      </c>
      <c r="I4697" s="8" t="s">
        <v>185</v>
      </c>
      <c r="J4697" s="9">
        <v>1</v>
      </c>
      <c r="K4697" s="9">
        <v>184</v>
      </c>
      <c r="L4697" s="9">
        <v>2024</v>
      </c>
      <c r="M4697" s="8" t="s">
        <v>27803</v>
      </c>
      <c r="N4697" s="8" t="s">
        <v>41</v>
      </c>
      <c r="O4697" s="8" t="s">
        <v>118</v>
      </c>
      <c r="P4697" s="6" t="s">
        <v>43</v>
      </c>
      <c r="Q4697" s="8" t="s">
        <v>44</v>
      </c>
      <c r="R4697" s="10" t="s">
        <v>27804</v>
      </c>
      <c r="S4697" s="11" t="s">
        <v>7869</v>
      </c>
      <c r="T4697" s="6"/>
      <c r="U4697" s="24" t="str">
        <f>HYPERLINK("https://media.infra-m.ru/1981/1981584/cover/1981584.jpg", "Обложка")</f>
        <v>Обложка</v>
      </c>
      <c r="V4697" s="24" t="str">
        <f>HYPERLINK("https://znanium.ru/catalog/product/1002363", "Ознакомиться")</f>
        <v>Ознакомиться</v>
      </c>
      <c r="W4697" s="8"/>
      <c r="X4697" s="6"/>
      <c r="Y4697" s="6"/>
      <c r="Z4697" s="6"/>
      <c r="AA4697" s="6" t="s">
        <v>7663</v>
      </c>
      <c r="AB4697" s="8"/>
    </row>
    <row r="4698" spans="1:28" s="4" customFormat="1" ht="51.95" customHeight="1">
      <c r="A4698" s="5">
        <v>0</v>
      </c>
      <c r="B4698" s="6" t="s">
        <v>27805</v>
      </c>
      <c r="C4698" s="13">
        <v>1684</v>
      </c>
      <c r="D4698" s="8" t="s">
        <v>27806</v>
      </c>
      <c r="E4698" s="8" t="s">
        <v>27807</v>
      </c>
      <c r="F4698" s="8" t="s">
        <v>27808</v>
      </c>
      <c r="G4698" s="6" t="s">
        <v>52</v>
      </c>
      <c r="H4698" s="6" t="s">
        <v>53</v>
      </c>
      <c r="I4698" s="8" t="s">
        <v>276</v>
      </c>
      <c r="J4698" s="9">
        <v>1</v>
      </c>
      <c r="K4698" s="9">
        <v>336</v>
      </c>
      <c r="L4698" s="9">
        <v>2025</v>
      </c>
      <c r="M4698" s="8" t="s">
        <v>27809</v>
      </c>
      <c r="N4698" s="8" t="s">
        <v>41</v>
      </c>
      <c r="O4698" s="8" t="s">
        <v>1007</v>
      </c>
      <c r="P4698" s="6" t="s">
        <v>167</v>
      </c>
      <c r="Q4698" s="8" t="s">
        <v>44</v>
      </c>
      <c r="R4698" s="10" t="s">
        <v>27810</v>
      </c>
      <c r="S4698" s="11" t="s">
        <v>21110</v>
      </c>
      <c r="T4698" s="6"/>
      <c r="U4698" s="24" t="str">
        <f>HYPERLINK("https://media.infra-m.ru/2192/2192257/cover/2192257.jpg", "Обложка")</f>
        <v>Обложка</v>
      </c>
      <c r="V4698" s="24" t="str">
        <f>HYPERLINK("https://znanium.ru/catalog/product/1844316", "Ознакомиться")</f>
        <v>Ознакомиться</v>
      </c>
      <c r="W4698" s="8" t="s">
        <v>20566</v>
      </c>
      <c r="X4698" s="6"/>
      <c r="Y4698" s="6"/>
      <c r="Z4698" s="6"/>
      <c r="AA4698" s="6" t="s">
        <v>47</v>
      </c>
      <c r="AB4698" s="8"/>
    </row>
    <row r="4699" spans="1:28" s="4" customFormat="1" ht="51.95" customHeight="1">
      <c r="A4699" s="5">
        <v>0</v>
      </c>
      <c r="B4699" s="6" t="s">
        <v>27811</v>
      </c>
      <c r="C4699" s="13">
        <v>1190</v>
      </c>
      <c r="D4699" s="8" t="s">
        <v>27812</v>
      </c>
      <c r="E4699" s="8" t="s">
        <v>27813</v>
      </c>
      <c r="F4699" s="8" t="s">
        <v>27814</v>
      </c>
      <c r="G4699" s="6" t="s">
        <v>52</v>
      </c>
      <c r="H4699" s="6" t="s">
        <v>53</v>
      </c>
      <c r="I4699" s="8" t="s">
        <v>276</v>
      </c>
      <c r="J4699" s="9">
        <v>1</v>
      </c>
      <c r="K4699" s="9">
        <v>272</v>
      </c>
      <c r="L4699" s="9">
        <v>2023</v>
      </c>
      <c r="M4699" s="8" t="s">
        <v>27815</v>
      </c>
      <c r="N4699" s="8" t="s">
        <v>41</v>
      </c>
      <c r="O4699" s="8" t="s">
        <v>118</v>
      </c>
      <c r="P4699" s="6" t="s">
        <v>43</v>
      </c>
      <c r="Q4699" s="8" t="s">
        <v>279</v>
      </c>
      <c r="R4699" s="10" t="s">
        <v>27816</v>
      </c>
      <c r="S4699" s="11" t="s">
        <v>27817</v>
      </c>
      <c r="T4699" s="6"/>
      <c r="U4699" s="24" t="str">
        <f>HYPERLINK("https://media.infra-m.ru/1842/1842522/cover/1842522.jpg", "Обложка")</f>
        <v>Обложка</v>
      </c>
      <c r="V4699" s="24" t="str">
        <f>HYPERLINK("https://znanium.ru/catalog/product/1842522", "Ознакомиться")</f>
        <v>Ознакомиться</v>
      </c>
      <c r="W4699" s="8" t="s">
        <v>2915</v>
      </c>
      <c r="X4699" s="6"/>
      <c r="Y4699" s="6"/>
      <c r="Z4699" s="6"/>
      <c r="AA4699" s="6" t="s">
        <v>207</v>
      </c>
      <c r="AB4699" s="8"/>
    </row>
    <row r="4700" spans="1:28" s="4" customFormat="1" ht="42" customHeight="1">
      <c r="A4700" s="5">
        <v>0</v>
      </c>
      <c r="B4700" s="6" t="s">
        <v>27818</v>
      </c>
      <c r="C4700" s="13">
        <v>1994.9</v>
      </c>
      <c r="D4700" s="8" t="s">
        <v>27819</v>
      </c>
      <c r="E4700" s="8" t="s">
        <v>27820</v>
      </c>
      <c r="F4700" s="8" t="s">
        <v>27821</v>
      </c>
      <c r="G4700" s="6" t="s">
        <v>52</v>
      </c>
      <c r="H4700" s="6" t="s">
        <v>952</v>
      </c>
      <c r="I4700" s="8"/>
      <c r="J4700" s="9">
        <v>1</v>
      </c>
      <c r="K4700" s="9">
        <v>608</v>
      </c>
      <c r="L4700" s="9">
        <v>2020</v>
      </c>
      <c r="M4700" s="8" t="s">
        <v>27822</v>
      </c>
      <c r="N4700" s="8" t="s">
        <v>41</v>
      </c>
      <c r="O4700" s="8" t="s">
        <v>118</v>
      </c>
      <c r="P4700" s="6" t="s">
        <v>167</v>
      </c>
      <c r="Q4700" s="8" t="s">
        <v>44</v>
      </c>
      <c r="R4700" s="10"/>
      <c r="S4700" s="11"/>
      <c r="T4700" s="6"/>
      <c r="U4700" s="24" t="str">
        <f>HYPERLINK("https://media.infra-m.ru/1044/1044536/cover/1044536.jpg", "Обложка")</f>
        <v>Обложка</v>
      </c>
      <c r="V4700" s="12"/>
      <c r="W4700" s="8" t="s">
        <v>3282</v>
      </c>
      <c r="X4700" s="6"/>
      <c r="Y4700" s="6"/>
      <c r="Z4700" s="6"/>
      <c r="AA4700" s="6" t="s">
        <v>151</v>
      </c>
      <c r="AB4700" s="8"/>
    </row>
    <row r="4701" spans="1:28" s="4" customFormat="1" ht="42" customHeight="1">
      <c r="A4701" s="5">
        <v>0</v>
      </c>
      <c r="B4701" s="6" t="s">
        <v>27823</v>
      </c>
      <c r="C4701" s="13">
        <v>2300</v>
      </c>
      <c r="D4701" s="8" t="s">
        <v>27824</v>
      </c>
      <c r="E4701" s="8" t="s">
        <v>27825</v>
      </c>
      <c r="F4701" s="8" t="s">
        <v>27826</v>
      </c>
      <c r="G4701" s="6" t="s">
        <v>52</v>
      </c>
      <c r="H4701" s="6" t="s">
        <v>53</v>
      </c>
      <c r="I4701" s="8" t="s">
        <v>1054</v>
      </c>
      <c r="J4701" s="9">
        <v>1</v>
      </c>
      <c r="K4701" s="9">
        <v>459</v>
      </c>
      <c r="L4701" s="9">
        <v>2025</v>
      </c>
      <c r="M4701" s="8" t="s">
        <v>27827</v>
      </c>
      <c r="N4701" s="8" t="s">
        <v>41</v>
      </c>
      <c r="O4701" s="8" t="s">
        <v>118</v>
      </c>
      <c r="P4701" s="6" t="s">
        <v>43</v>
      </c>
      <c r="Q4701" s="8" t="s">
        <v>279</v>
      </c>
      <c r="R4701" s="10" t="s">
        <v>27054</v>
      </c>
      <c r="S4701" s="11"/>
      <c r="T4701" s="6"/>
      <c r="U4701" s="24" t="str">
        <f>HYPERLINK("https://media.infra-m.ru/2074/2074261/cover/2074261.jpg", "Обложка")</f>
        <v>Обложка</v>
      </c>
      <c r="V4701" s="24" t="str">
        <f>HYPERLINK("https://znanium.ru/catalog/product/2074261", "Ознакомиться")</f>
        <v>Ознакомиться</v>
      </c>
      <c r="W4701" s="8" t="s">
        <v>83</v>
      </c>
      <c r="X4701" s="6" t="s">
        <v>389</v>
      </c>
      <c r="Y4701" s="6"/>
      <c r="Z4701" s="6"/>
      <c r="AA4701" s="6" t="s">
        <v>61</v>
      </c>
      <c r="AB4701" s="8" t="s">
        <v>2232</v>
      </c>
    </row>
    <row r="4702" spans="1:28" s="4" customFormat="1" ht="51.95" customHeight="1">
      <c r="A4702" s="5">
        <v>0</v>
      </c>
      <c r="B4702" s="6" t="s">
        <v>27828</v>
      </c>
      <c r="C4702" s="13">
        <v>2140</v>
      </c>
      <c r="D4702" s="8" t="s">
        <v>27829</v>
      </c>
      <c r="E4702" s="8" t="s">
        <v>27830</v>
      </c>
      <c r="F4702" s="8" t="s">
        <v>27831</v>
      </c>
      <c r="G4702" s="6" t="s">
        <v>52</v>
      </c>
      <c r="H4702" s="6" t="s">
        <v>53</v>
      </c>
      <c r="I4702" s="8" t="s">
        <v>116</v>
      </c>
      <c r="J4702" s="9">
        <v>1</v>
      </c>
      <c r="K4702" s="9">
        <v>465</v>
      </c>
      <c r="L4702" s="9">
        <v>2024</v>
      </c>
      <c r="M4702" s="8" t="s">
        <v>27832</v>
      </c>
      <c r="N4702" s="8" t="s">
        <v>41</v>
      </c>
      <c r="O4702" s="8" t="s">
        <v>118</v>
      </c>
      <c r="P4702" s="6" t="s">
        <v>167</v>
      </c>
      <c r="Q4702" s="8" t="s">
        <v>44</v>
      </c>
      <c r="R4702" s="10" t="s">
        <v>1958</v>
      </c>
      <c r="S4702" s="11" t="s">
        <v>27833</v>
      </c>
      <c r="T4702" s="6"/>
      <c r="U4702" s="24" t="str">
        <f>HYPERLINK("https://media.infra-m.ru/1995/1995308/cover/1995308.jpg", "Обложка")</f>
        <v>Обложка</v>
      </c>
      <c r="V4702" s="24" t="str">
        <f>HYPERLINK("https://znanium.ru/catalog/product/1995308", "Ознакомиться")</f>
        <v>Ознакомиться</v>
      </c>
      <c r="W4702" s="8" t="s">
        <v>399</v>
      </c>
      <c r="X4702" s="6"/>
      <c r="Y4702" s="6"/>
      <c r="Z4702" s="6"/>
      <c r="AA4702" s="6" t="s">
        <v>235</v>
      </c>
      <c r="AB4702" s="8"/>
    </row>
    <row r="4703" spans="1:28" s="4" customFormat="1" ht="51.95" customHeight="1">
      <c r="A4703" s="5">
        <v>0</v>
      </c>
      <c r="B4703" s="6" t="s">
        <v>27834</v>
      </c>
      <c r="C4703" s="13">
        <v>1440</v>
      </c>
      <c r="D4703" s="8" t="s">
        <v>27835</v>
      </c>
      <c r="E4703" s="8" t="s">
        <v>27836</v>
      </c>
      <c r="F4703" s="8" t="s">
        <v>27837</v>
      </c>
      <c r="G4703" s="6" t="s">
        <v>89</v>
      </c>
      <c r="H4703" s="6" t="s">
        <v>53</v>
      </c>
      <c r="I4703" s="8" t="s">
        <v>90</v>
      </c>
      <c r="J4703" s="9">
        <v>1</v>
      </c>
      <c r="K4703" s="9">
        <v>320</v>
      </c>
      <c r="L4703" s="9">
        <v>2023</v>
      </c>
      <c r="M4703" s="8" t="s">
        <v>27838</v>
      </c>
      <c r="N4703" s="8" t="s">
        <v>41</v>
      </c>
      <c r="O4703" s="8" t="s">
        <v>1007</v>
      </c>
      <c r="P4703" s="6" t="s">
        <v>43</v>
      </c>
      <c r="Q4703" s="8" t="s">
        <v>44</v>
      </c>
      <c r="R4703" s="10" t="s">
        <v>13761</v>
      </c>
      <c r="S4703" s="11" t="s">
        <v>3474</v>
      </c>
      <c r="T4703" s="6" t="s">
        <v>299</v>
      </c>
      <c r="U4703" s="24" t="str">
        <f>HYPERLINK("https://media.infra-m.ru/1891/1891620/cover/1891620.jpg", "Обложка")</f>
        <v>Обложка</v>
      </c>
      <c r="V4703" s="24" t="str">
        <f>HYPERLINK("https://znanium.ru/catalog/product/1891620", "Ознакомиться")</f>
        <v>Ознакомиться</v>
      </c>
      <c r="W4703" s="8" t="s">
        <v>5635</v>
      </c>
      <c r="X4703" s="6"/>
      <c r="Y4703" s="6"/>
      <c r="Z4703" s="6"/>
      <c r="AA4703" s="6" t="s">
        <v>479</v>
      </c>
      <c r="AB4703" s="8"/>
    </row>
    <row r="4704" spans="1:28" s="4" customFormat="1" ht="51.95" customHeight="1">
      <c r="A4704" s="5">
        <v>0</v>
      </c>
      <c r="B4704" s="6" t="s">
        <v>27839</v>
      </c>
      <c r="C4704" s="7">
        <v>584.9</v>
      </c>
      <c r="D4704" s="8" t="s">
        <v>27840</v>
      </c>
      <c r="E4704" s="8" t="s">
        <v>27841</v>
      </c>
      <c r="F4704" s="8" t="s">
        <v>27842</v>
      </c>
      <c r="G4704" s="6" t="s">
        <v>52</v>
      </c>
      <c r="H4704" s="6" t="s">
        <v>53</v>
      </c>
      <c r="I4704" s="8" t="s">
        <v>276</v>
      </c>
      <c r="J4704" s="9">
        <v>1</v>
      </c>
      <c r="K4704" s="9">
        <v>167</v>
      </c>
      <c r="L4704" s="9">
        <v>2020</v>
      </c>
      <c r="M4704" s="8" t="s">
        <v>27843</v>
      </c>
      <c r="N4704" s="8" t="s">
        <v>41</v>
      </c>
      <c r="O4704" s="8" t="s">
        <v>118</v>
      </c>
      <c r="P4704" s="6" t="s">
        <v>43</v>
      </c>
      <c r="Q4704" s="8" t="s">
        <v>279</v>
      </c>
      <c r="R4704" s="10" t="s">
        <v>27844</v>
      </c>
      <c r="S4704" s="11" t="s">
        <v>27845</v>
      </c>
      <c r="T4704" s="6"/>
      <c r="U4704" s="24" t="str">
        <f>HYPERLINK("https://media.infra-m.ru/1150/1150845/cover/1150845.jpg", "Обложка")</f>
        <v>Обложка</v>
      </c>
      <c r="V4704" s="24" t="str">
        <f>HYPERLINK("https://znanium.ru/catalog/product/2179197", "Ознакомиться")</f>
        <v>Ознакомиться</v>
      </c>
      <c r="W4704" s="8" t="s">
        <v>2080</v>
      </c>
      <c r="X4704" s="6"/>
      <c r="Y4704" s="6"/>
      <c r="Z4704" s="6"/>
      <c r="AA4704" s="6" t="s">
        <v>151</v>
      </c>
      <c r="AB4704" s="8"/>
    </row>
    <row r="4705" spans="1:28" s="4" customFormat="1" ht="51.95" customHeight="1">
      <c r="A4705" s="5">
        <v>0</v>
      </c>
      <c r="B4705" s="6" t="s">
        <v>27846</v>
      </c>
      <c r="C4705" s="13">
        <v>1074</v>
      </c>
      <c r="D4705" s="8" t="s">
        <v>27847</v>
      </c>
      <c r="E4705" s="8" t="s">
        <v>27848</v>
      </c>
      <c r="F4705" s="8" t="s">
        <v>27849</v>
      </c>
      <c r="G4705" s="6" t="s">
        <v>52</v>
      </c>
      <c r="H4705" s="6" t="s">
        <v>53</v>
      </c>
      <c r="I4705" s="8" t="s">
        <v>276</v>
      </c>
      <c r="J4705" s="9">
        <v>1</v>
      </c>
      <c r="K4705" s="9">
        <v>211</v>
      </c>
      <c r="L4705" s="9">
        <v>2025</v>
      </c>
      <c r="M4705" s="8" t="s">
        <v>27850</v>
      </c>
      <c r="N4705" s="8" t="s">
        <v>41</v>
      </c>
      <c r="O4705" s="8" t="s">
        <v>118</v>
      </c>
      <c r="P4705" s="6" t="s">
        <v>43</v>
      </c>
      <c r="Q4705" s="8" t="s">
        <v>279</v>
      </c>
      <c r="R4705" s="10" t="s">
        <v>27844</v>
      </c>
      <c r="S4705" s="11" t="s">
        <v>27845</v>
      </c>
      <c r="T4705" s="6"/>
      <c r="U4705" s="24" t="str">
        <f>HYPERLINK("https://media.infra-m.ru/2187/2187618/cover/2187618.jpg", "Обложка")</f>
        <v>Обложка</v>
      </c>
      <c r="V4705" s="24" t="str">
        <f>HYPERLINK("https://znanium.ru/catalog/product/2179197", "Ознакомиться")</f>
        <v>Ознакомиться</v>
      </c>
      <c r="W4705" s="8" t="s">
        <v>2080</v>
      </c>
      <c r="X4705" s="6"/>
      <c r="Y4705" s="6"/>
      <c r="Z4705" s="6"/>
      <c r="AA4705" s="6" t="s">
        <v>813</v>
      </c>
      <c r="AB4705" s="8"/>
    </row>
    <row r="4706" spans="1:28" s="4" customFormat="1" ht="51.95" customHeight="1">
      <c r="A4706" s="5">
        <v>0</v>
      </c>
      <c r="B4706" s="6" t="s">
        <v>27851</v>
      </c>
      <c r="C4706" s="13">
        <v>1200</v>
      </c>
      <c r="D4706" s="8" t="s">
        <v>27852</v>
      </c>
      <c r="E4706" s="8" t="s">
        <v>27853</v>
      </c>
      <c r="F4706" s="8" t="s">
        <v>27854</v>
      </c>
      <c r="G4706" s="6" t="s">
        <v>89</v>
      </c>
      <c r="H4706" s="6" t="s">
        <v>53</v>
      </c>
      <c r="I4706" s="8" t="s">
        <v>276</v>
      </c>
      <c r="J4706" s="9">
        <v>1</v>
      </c>
      <c r="K4706" s="9">
        <v>260</v>
      </c>
      <c r="L4706" s="9">
        <v>2024</v>
      </c>
      <c r="M4706" s="8" t="s">
        <v>27855</v>
      </c>
      <c r="N4706" s="8" t="s">
        <v>41</v>
      </c>
      <c r="O4706" s="8" t="s">
        <v>278</v>
      </c>
      <c r="P4706" s="6" t="s">
        <v>43</v>
      </c>
      <c r="Q4706" s="8" t="s">
        <v>279</v>
      </c>
      <c r="R4706" s="10" t="s">
        <v>27856</v>
      </c>
      <c r="S4706" s="11" t="s">
        <v>27857</v>
      </c>
      <c r="T4706" s="6"/>
      <c r="U4706" s="24" t="str">
        <f>HYPERLINK("https://media.infra-m.ru/2085/2085043/cover/2085043.jpg", "Обложка")</f>
        <v>Обложка</v>
      </c>
      <c r="V4706" s="24" t="str">
        <f>HYPERLINK("https://znanium.ru/catalog/product/2085043", "Ознакомиться")</f>
        <v>Ознакомиться</v>
      </c>
      <c r="W4706" s="8" t="s">
        <v>27858</v>
      </c>
      <c r="X4706" s="6"/>
      <c r="Y4706" s="6"/>
      <c r="Z4706" s="6"/>
      <c r="AA4706" s="6" t="s">
        <v>258</v>
      </c>
      <c r="AB4706" s="8"/>
    </row>
    <row r="4707" spans="1:28" s="4" customFormat="1" ht="51.95" customHeight="1">
      <c r="A4707" s="5">
        <v>0</v>
      </c>
      <c r="B4707" s="6" t="s">
        <v>27859</v>
      </c>
      <c r="C4707" s="7">
        <v>890</v>
      </c>
      <c r="D4707" s="8" t="s">
        <v>27860</v>
      </c>
      <c r="E4707" s="8" t="s">
        <v>27861</v>
      </c>
      <c r="F4707" s="8" t="s">
        <v>27862</v>
      </c>
      <c r="G4707" s="6" t="s">
        <v>38</v>
      </c>
      <c r="H4707" s="6" t="s">
        <v>53</v>
      </c>
      <c r="I4707" s="8" t="s">
        <v>4855</v>
      </c>
      <c r="J4707" s="9">
        <v>1</v>
      </c>
      <c r="K4707" s="9">
        <v>148</v>
      </c>
      <c r="L4707" s="9">
        <v>2023</v>
      </c>
      <c r="M4707" s="8" t="s">
        <v>27863</v>
      </c>
      <c r="N4707" s="8" t="s">
        <v>41</v>
      </c>
      <c r="O4707" s="8" t="s">
        <v>278</v>
      </c>
      <c r="P4707" s="6" t="s">
        <v>43</v>
      </c>
      <c r="Q4707" s="8" t="s">
        <v>44</v>
      </c>
      <c r="R4707" s="10" t="s">
        <v>27864</v>
      </c>
      <c r="S4707" s="11" t="s">
        <v>27865</v>
      </c>
      <c r="T4707" s="6"/>
      <c r="U4707" s="24" t="str">
        <f>HYPERLINK("https://media.infra-m.ru/1910/1910855/cover/1910855.jpg", "Обложка")</f>
        <v>Обложка</v>
      </c>
      <c r="V4707" s="12"/>
      <c r="W4707" s="8" t="s">
        <v>784</v>
      </c>
      <c r="X4707" s="6"/>
      <c r="Y4707" s="6"/>
      <c r="Z4707" s="6"/>
      <c r="AA4707" s="6" t="s">
        <v>207</v>
      </c>
      <c r="AB4707" s="8"/>
    </row>
    <row r="4708" spans="1:28" s="4" customFormat="1" ht="51.95" customHeight="1">
      <c r="A4708" s="5">
        <v>0</v>
      </c>
      <c r="B4708" s="6" t="s">
        <v>27866</v>
      </c>
      <c r="C4708" s="13">
        <v>1784</v>
      </c>
      <c r="D4708" s="8" t="s">
        <v>27867</v>
      </c>
      <c r="E4708" s="8" t="s">
        <v>27868</v>
      </c>
      <c r="F4708" s="8" t="s">
        <v>27869</v>
      </c>
      <c r="G4708" s="6" t="s">
        <v>89</v>
      </c>
      <c r="H4708" s="6" t="s">
        <v>53</v>
      </c>
      <c r="I4708" s="8" t="s">
        <v>90</v>
      </c>
      <c r="J4708" s="9">
        <v>1</v>
      </c>
      <c r="K4708" s="9">
        <v>357</v>
      </c>
      <c r="L4708" s="9">
        <v>2025</v>
      </c>
      <c r="M4708" s="8" t="s">
        <v>27870</v>
      </c>
      <c r="N4708" s="8" t="s">
        <v>41</v>
      </c>
      <c r="O4708" s="8" t="s">
        <v>278</v>
      </c>
      <c r="P4708" s="6" t="s">
        <v>43</v>
      </c>
      <c r="Q4708" s="8" t="s">
        <v>44</v>
      </c>
      <c r="R4708" s="10" t="s">
        <v>1008</v>
      </c>
      <c r="S4708" s="11" t="s">
        <v>27871</v>
      </c>
      <c r="T4708" s="6"/>
      <c r="U4708" s="24" t="str">
        <f>HYPERLINK("https://media.infra-m.ru/2184/2184952/cover/2184952.jpg", "Обложка")</f>
        <v>Обложка</v>
      </c>
      <c r="V4708" s="24" t="str">
        <f>HYPERLINK("https://znanium.ru/catalog/product/1891625", "Ознакомиться")</f>
        <v>Ознакомиться</v>
      </c>
      <c r="W4708" s="8" t="s">
        <v>83</v>
      </c>
      <c r="X4708" s="6"/>
      <c r="Y4708" s="6"/>
      <c r="Z4708" s="6"/>
      <c r="AA4708" s="6" t="s">
        <v>2193</v>
      </c>
      <c r="AB4708" s="8"/>
    </row>
    <row r="4709" spans="1:28" s="4" customFormat="1" ht="51.95" customHeight="1">
      <c r="A4709" s="5">
        <v>0</v>
      </c>
      <c r="B4709" s="6" t="s">
        <v>27872</v>
      </c>
      <c r="C4709" s="13">
        <v>1784</v>
      </c>
      <c r="D4709" s="8" t="s">
        <v>27873</v>
      </c>
      <c r="E4709" s="8" t="s">
        <v>27868</v>
      </c>
      <c r="F4709" s="8" t="s">
        <v>27869</v>
      </c>
      <c r="G4709" s="6" t="s">
        <v>89</v>
      </c>
      <c r="H4709" s="6" t="s">
        <v>53</v>
      </c>
      <c r="I4709" s="8" t="s">
        <v>100</v>
      </c>
      <c r="J4709" s="9">
        <v>1</v>
      </c>
      <c r="K4709" s="9">
        <v>357</v>
      </c>
      <c r="L4709" s="9">
        <v>2024</v>
      </c>
      <c r="M4709" s="8" t="s">
        <v>27874</v>
      </c>
      <c r="N4709" s="8" t="s">
        <v>41</v>
      </c>
      <c r="O4709" s="8" t="s">
        <v>278</v>
      </c>
      <c r="P4709" s="6" t="s">
        <v>43</v>
      </c>
      <c r="Q4709" s="8" t="s">
        <v>102</v>
      </c>
      <c r="R4709" s="10" t="s">
        <v>27875</v>
      </c>
      <c r="S4709" s="11" t="s">
        <v>27876</v>
      </c>
      <c r="T4709" s="6"/>
      <c r="U4709" s="24" t="str">
        <f>HYPERLINK("https://media.infra-m.ru/2104/2104834/cover/2104834.jpg", "Обложка")</f>
        <v>Обложка</v>
      </c>
      <c r="V4709" s="24" t="str">
        <f>HYPERLINK("https://znanium.ru/catalog/product/2040895", "Ознакомиться")</f>
        <v>Ознакомиться</v>
      </c>
      <c r="W4709" s="8" t="s">
        <v>83</v>
      </c>
      <c r="X4709" s="6"/>
      <c r="Y4709" s="6"/>
      <c r="Z4709" s="6" t="s">
        <v>104</v>
      </c>
      <c r="AA4709" s="6" t="s">
        <v>513</v>
      </c>
      <c r="AB4709" s="8"/>
    </row>
    <row r="4710" spans="1:28" s="4" customFormat="1" ht="51.95" customHeight="1">
      <c r="A4710" s="5">
        <v>0</v>
      </c>
      <c r="B4710" s="6" t="s">
        <v>27877</v>
      </c>
      <c r="C4710" s="13">
        <v>1714.9</v>
      </c>
      <c r="D4710" s="8" t="s">
        <v>27878</v>
      </c>
      <c r="E4710" s="8" t="s">
        <v>27879</v>
      </c>
      <c r="F4710" s="8" t="s">
        <v>27880</v>
      </c>
      <c r="G4710" s="6" t="s">
        <v>89</v>
      </c>
      <c r="H4710" s="6" t="s">
        <v>77</v>
      </c>
      <c r="I4710" s="8"/>
      <c r="J4710" s="9">
        <v>1</v>
      </c>
      <c r="K4710" s="9">
        <v>380</v>
      </c>
      <c r="L4710" s="9">
        <v>2023</v>
      </c>
      <c r="M4710" s="8" t="s">
        <v>27881</v>
      </c>
      <c r="N4710" s="8" t="s">
        <v>41</v>
      </c>
      <c r="O4710" s="8" t="s">
        <v>278</v>
      </c>
      <c r="P4710" s="6" t="s">
        <v>167</v>
      </c>
      <c r="Q4710" s="8" t="s">
        <v>44</v>
      </c>
      <c r="R4710" s="10" t="s">
        <v>27882</v>
      </c>
      <c r="S4710" s="11"/>
      <c r="T4710" s="6"/>
      <c r="U4710" s="24" t="str">
        <f>HYPERLINK("https://media.infra-m.ru/2002/2002596/cover/2002596.jpg", "Обложка")</f>
        <v>Обложка</v>
      </c>
      <c r="V4710" s="24" t="str">
        <f>HYPERLINK("https://znanium.ru/catalog/product/1091379", "Ознакомиться")</f>
        <v>Ознакомиться</v>
      </c>
      <c r="W4710" s="8" t="s">
        <v>83</v>
      </c>
      <c r="X4710" s="6"/>
      <c r="Y4710" s="6"/>
      <c r="Z4710" s="6"/>
      <c r="AA4710" s="6" t="s">
        <v>151</v>
      </c>
      <c r="AB4710" s="8"/>
    </row>
    <row r="4711" spans="1:28" s="4" customFormat="1" ht="51.95" customHeight="1">
      <c r="A4711" s="5">
        <v>0</v>
      </c>
      <c r="B4711" s="6" t="s">
        <v>27883</v>
      </c>
      <c r="C4711" s="7">
        <v>794.9</v>
      </c>
      <c r="D4711" s="8" t="s">
        <v>27884</v>
      </c>
      <c r="E4711" s="8" t="s">
        <v>27885</v>
      </c>
      <c r="F4711" s="8" t="s">
        <v>27886</v>
      </c>
      <c r="G4711" s="6" t="s">
        <v>89</v>
      </c>
      <c r="H4711" s="6" t="s">
        <v>674</v>
      </c>
      <c r="I4711" s="8"/>
      <c r="J4711" s="9">
        <v>1</v>
      </c>
      <c r="K4711" s="9">
        <v>176</v>
      </c>
      <c r="L4711" s="9">
        <v>2023</v>
      </c>
      <c r="M4711" s="8" t="s">
        <v>27887</v>
      </c>
      <c r="N4711" s="8" t="s">
        <v>41</v>
      </c>
      <c r="O4711" s="8" t="s">
        <v>676</v>
      </c>
      <c r="P4711" s="6" t="s">
        <v>43</v>
      </c>
      <c r="Q4711" s="8" t="s">
        <v>279</v>
      </c>
      <c r="R4711" s="10" t="s">
        <v>806</v>
      </c>
      <c r="S4711" s="11"/>
      <c r="T4711" s="6"/>
      <c r="U4711" s="24" t="str">
        <f>HYPERLINK("https://media.infra-m.ru/2006/2006933/cover/2006933.jpg", "Обложка")</f>
        <v>Обложка</v>
      </c>
      <c r="V4711" s="24" t="str">
        <f>HYPERLINK("https://znanium.ru/catalog/product/1201974", "Ознакомиться")</f>
        <v>Ознакомиться</v>
      </c>
      <c r="W4711" s="8" t="s">
        <v>792</v>
      </c>
      <c r="X4711" s="6"/>
      <c r="Y4711" s="6"/>
      <c r="Z4711" s="6"/>
      <c r="AA4711" s="6" t="s">
        <v>95</v>
      </c>
      <c r="AB4711" s="8"/>
    </row>
    <row r="4712" spans="1:28" s="4" customFormat="1" ht="51.95" customHeight="1">
      <c r="A4712" s="5">
        <v>0</v>
      </c>
      <c r="B4712" s="6" t="s">
        <v>27888</v>
      </c>
      <c r="C4712" s="7">
        <v>500</v>
      </c>
      <c r="D4712" s="8" t="s">
        <v>27889</v>
      </c>
      <c r="E4712" s="8" t="s">
        <v>27890</v>
      </c>
      <c r="F4712" s="8" t="s">
        <v>27886</v>
      </c>
      <c r="G4712" s="6" t="s">
        <v>52</v>
      </c>
      <c r="H4712" s="6" t="s">
        <v>674</v>
      </c>
      <c r="I4712" s="8"/>
      <c r="J4712" s="9">
        <v>1</v>
      </c>
      <c r="K4712" s="9">
        <v>160</v>
      </c>
      <c r="L4712" s="9">
        <v>2018</v>
      </c>
      <c r="M4712" s="8" t="s">
        <v>27891</v>
      </c>
      <c r="N4712" s="8" t="s">
        <v>41</v>
      </c>
      <c r="O4712" s="8" t="s">
        <v>676</v>
      </c>
      <c r="P4712" s="6" t="s">
        <v>43</v>
      </c>
      <c r="Q4712" s="8" t="s">
        <v>279</v>
      </c>
      <c r="R4712" s="10" t="s">
        <v>806</v>
      </c>
      <c r="S4712" s="11"/>
      <c r="T4712" s="6"/>
      <c r="U4712" s="24" t="str">
        <f>HYPERLINK("https://media.infra-m.ru/0948/0948181/cover/948181.jpg", "Обложка")</f>
        <v>Обложка</v>
      </c>
      <c r="V4712" s="24" t="str">
        <f>HYPERLINK("https://znanium.ru/catalog/product/1201974", "Ознакомиться")</f>
        <v>Ознакомиться</v>
      </c>
      <c r="W4712" s="8" t="s">
        <v>792</v>
      </c>
      <c r="X4712" s="6"/>
      <c r="Y4712" s="6"/>
      <c r="Z4712" s="6"/>
      <c r="AA4712" s="6" t="s">
        <v>151</v>
      </c>
      <c r="AB4712" s="8"/>
    </row>
    <row r="4713" spans="1:28" s="4" customFormat="1" ht="42" customHeight="1">
      <c r="A4713" s="5">
        <v>0</v>
      </c>
      <c r="B4713" s="6" t="s">
        <v>27892</v>
      </c>
      <c r="C4713" s="7">
        <v>310</v>
      </c>
      <c r="D4713" s="8" t="s">
        <v>27893</v>
      </c>
      <c r="E4713" s="8" t="s">
        <v>27894</v>
      </c>
      <c r="F4713" s="8" t="s">
        <v>6633</v>
      </c>
      <c r="G4713" s="6" t="s">
        <v>38</v>
      </c>
      <c r="H4713" s="6" t="s">
        <v>53</v>
      </c>
      <c r="I4713" s="8" t="s">
        <v>6634</v>
      </c>
      <c r="J4713" s="9">
        <v>1</v>
      </c>
      <c r="K4713" s="9">
        <v>101</v>
      </c>
      <c r="L4713" s="9">
        <v>2025</v>
      </c>
      <c r="M4713" s="8" t="s">
        <v>27895</v>
      </c>
      <c r="N4713" s="8" t="s">
        <v>41</v>
      </c>
      <c r="O4713" s="8" t="s">
        <v>129</v>
      </c>
      <c r="P4713" s="6" t="s">
        <v>6636</v>
      </c>
      <c r="Q4713" s="8" t="s">
        <v>58</v>
      </c>
      <c r="R4713" s="10" t="s">
        <v>6637</v>
      </c>
      <c r="S4713" s="11"/>
      <c r="T4713" s="6"/>
      <c r="U4713" s="24" t="str">
        <f>HYPERLINK("https://media.infra-m.ru/2188/2188883/cover/2188883.jpg", "Обложка")</f>
        <v>Обложка</v>
      </c>
      <c r="V4713" s="24" t="str">
        <f>HYPERLINK("https://znanium.ru/catalog/product/2188883", "Ознакомиться")</f>
        <v>Ознакомиться</v>
      </c>
      <c r="W4713" s="8"/>
      <c r="X4713" s="6"/>
      <c r="Y4713" s="6"/>
      <c r="Z4713" s="6"/>
      <c r="AA4713" s="6" t="s">
        <v>207</v>
      </c>
      <c r="AB4713" s="8"/>
    </row>
    <row r="4714" spans="1:28" s="4" customFormat="1" ht="51.95" customHeight="1">
      <c r="A4714" s="5">
        <v>0</v>
      </c>
      <c r="B4714" s="6" t="s">
        <v>27896</v>
      </c>
      <c r="C4714" s="13">
        <v>1394</v>
      </c>
      <c r="D4714" s="8" t="s">
        <v>27897</v>
      </c>
      <c r="E4714" s="8" t="s">
        <v>27898</v>
      </c>
      <c r="F4714" s="8" t="s">
        <v>27899</v>
      </c>
      <c r="G4714" s="6" t="s">
        <v>52</v>
      </c>
      <c r="H4714" s="6" t="s">
        <v>53</v>
      </c>
      <c r="I4714" s="8" t="s">
        <v>90</v>
      </c>
      <c r="J4714" s="9">
        <v>1</v>
      </c>
      <c r="K4714" s="9">
        <v>278</v>
      </c>
      <c r="L4714" s="9">
        <v>2025</v>
      </c>
      <c r="M4714" s="8" t="s">
        <v>27900</v>
      </c>
      <c r="N4714" s="8" t="s">
        <v>79</v>
      </c>
      <c r="O4714" s="8" t="s">
        <v>424</v>
      </c>
      <c r="P4714" s="6" t="s">
        <v>43</v>
      </c>
      <c r="Q4714" s="8" t="s">
        <v>44</v>
      </c>
      <c r="R4714" s="10" t="s">
        <v>4598</v>
      </c>
      <c r="S4714" s="11" t="s">
        <v>27901</v>
      </c>
      <c r="T4714" s="6"/>
      <c r="U4714" s="24" t="str">
        <f>HYPERLINK("https://media.infra-m.ru/2186/2186218/cover/2186218.jpg", "Обложка")</f>
        <v>Обложка</v>
      </c>
      <c r="V4714" s="24" t="str">
        <f>HYPERLINK("https://znanium.ru/catalog/product/1013446", "Ознакомиться")</f>
        <v>Ознакомиться</v>
      </c>
      <c r="W4714" s="8" t="s">
        <v>3201</v>
      </c>
      <c r="X4714" s="6"/>
      <c r="Y4714" s="6"/>
      <c r="Z4714" s="6"/>
      <c r="AA4714" s="6" t="s">
        <v>479</v>
      </c>
      <c r="AB4714" s="8"/>
    </row>
    <row r="4715" spans="1:28" s="4" customFormat="1" ht="51.95" customHeight="1">
      <c r="A4715" s="5">
        <v>0</v>
      </c>
      <c r="B4715" s="6" t="s">
        <v>27902</v>
      </c>
      <c r="C4715" s="13">
        <v>1440</v>
      </c>
      <c r="D4715" s="8" t="s">
        <v>27903</v>
      </c>
      <c r="E4715" s="8" t="s">
        <v>27904</v>
      </c>
      <c r="F4715" s="8" t="s">
        <v>27905</v>
      </c>
      <c r="G4715" s="6" t="s">
        <v>89</v>
      </c>
      <c r="H4715" s="6" t="s">
        <v>53</v>
      </c>
      <c r="I4715" s="8" t="s">
        <v>90</v>
      </c>
      <c r="J4715" s="9">
        <v>1</v>
      </c>
      <c r="K4715" s="9">
        <v>305</v>
      </c>
      <c r="L4715" s="9">
        <v>2024</v>
      </c>
      <c r="M4715" s="8" t="s">
        <v>27906</v>
      </c>
      <c r="N4715" s="8" t="s">
        <v>79</v>
      </c>
      <c r="O4715" s="8" t="s">
        <v>424</v>
      </c>
      <c r="P4715" s="6" t="s">
        <v>43</v>
      </c>
      <c r="Q4715" s="8" t="s">
        <v>44</v>
      </c>
      <c r="R4715" s="10" t="s">
        <v>4598</v>
      </c>
      <c r="S4715" s="11" t="s">
        <v>27907</v>
      </c>
      <c r="T4715" s="6" t="s">
        <v>299</v>
      </c>
      <c r="U4715" s="24" t="str">
        <f>HYPERLINK("https://media.infra-m.ru/2111/2111785/cover/2111785.jpg", "Обложка")</f>
        <v>Обложка</v>
      </c>
      <c r="V4715" s="24" t="str">
        <f>HYPERLINK("https://znanium.ru/catalog/product/2111785", "Ознакомиться")</f>
        <v>Ознакомиться</v>
      </c>
      <c r="W4715" s="8" t="s">
        <v>478</v>
      </c>
      <c r="X4715" s="6"/>
      <c r="Y4715" s="6"/>
      <c r="Z4715" s="6"/>
      <c r="AA4715" s="6" t="s">
        <v>418</v>
      </c>
      <c r="AB4715" s="8"/>
    </row>
    <row r="4716" spans="1:28" s="4" customFormat="1" ht="51.95" customHeight="1">
      <c r="A4716" s="5">
        <v>0</v>
      </c>
      <c r="B4716" s="6" t="s">
        <v>27908</v>
      </c>
      <c r="C4716" s="13">
        <v>1210</v>
      </c>
      <c r="D4716" s="8" t="s">
        <v>27909</v>
      </c>
      <c r="E4716" s="8" t="s">
        <v>27910</v>
      </c>
      <c r="F4716" s="8" t="s">
        <v>27911</v>
      </c>
      <c r="G4716" s="6" t="s">
        <v>89</v>
      </c>
      <c r="H4716" s="6" t="s">
        <v>53</v>
      </c>
      <c r="I4716" s="8" t="s">
        <v>116</v>
      </c>
      <c r="J4716" s="9">
        <v>1</v>
      </c>
      <c r="K4716" s="9">
        <v>262</v>
      </c>
      <c r="L4716" s="9">
        <v>2024</v>
      </c>
      <c r="M4716" s="8" t="s">
        <v>27912</v>
      </c>
      <c r="N4716" s="8" t="s">
        <v>79</v>
      </c>
      <c r="O4716" s="8" t="s">
        <v>424</v>
      </c>
      <c r="P4716" s="6" t="s">
        <v>43</v>
      </c>
      <c r="Q4716" s="8" t="s">
        <v>44</v>
      </c>
      <c r="R4716" s="10" t="s">
        <v>4598</v>
      </c>
      <c r="S4716" s="11" t="s">
        <v>27913</v>
      </c>
      <c r="T4716" s="6"/>
      <c r="U4716" s="24" t="str">
        <f>HYPERLINK("https://media.infra-m.ru/2091/2091914/cover/2091914.jpg", "Обложка")</f>
        <v>Обложка</v>
      </c>
      <c r="V4716" s="24" t="str">
        <f>HYPERLINK("https://znanium.ru/catalog/product/2091914", "Ознакомиться")</f>
        <v>Ознакомиться</v>
      </c>
      <c r="W4716" s="8" t="s">
        <v>1563</v>
      </c>
      <c r="X4716" s="6"/>
      <c r="Y4716" s="6"/>
      <c r="Z4716" s="6"/>
      <c r="AA4716" s="6" t="s">
        <v>47</v>
      </c>
      <c r="AB4716" s="8"/>
    </row>
    <row r="4717" spans="1:28" s="4" customFormat="1" ht="51.95" customHeight="1">
      <c r="A4717" s="5">
        <v>0</v>
      </c>
      <c r="B4717" s="6" t="s">
        <v>27914</v>
      </c>
      <c r="C4717" s="13">
        <v>1339.9</v>
      </c>
      <c r="D4717" s="8" t="s">
        <v>27915</v>
      </c>
      <c r="E4717" s="8" t="s">
        <v>27916</v>
      </c>
      <c r="F4717" s="8" t="s">
        <v>27917</v>
      </c>
      <c r="G4717" s="6" t="s">
        <v>52</v>
      </c>
      <c r="H4717" s="6" t="s">
        <v>53</v>
      </c>
      <c r="I4717" s="8" t="s">
        <v>100</v>
      </c>
      <c r="J4717" s="9">
        <v>1</v>
      </c>
      <c r="K4717" s="9">
        <v>444</v>
      </c>
      <c r="L4717" s="9">
        <v>2018</v>
      </c>
      <c r="M4717" s="8" t="s">
        <v>27918</v>
      </c>
      <c r="N4717" s="8" t="s">
        <v>79</v>
      </c>
      <c r="O4717" s="8" t="s">
        <v>424</v>
      </c>
      <c r="P4717" s="6" t="s">
        <v>167</v>
      </c>
      <c r="Q4717" s="8" t="s">
        <v>102</v>
      </c>
      <c r="R4717" s="10" t="s">
        <v>27919</v>
      </c>
      <c r="S4717" s="11" t="s">
        <v>17060</v>
      </c>
      <c r="T4717" s="6"/>
      <c r="U4717" s="24" t="str">
        <f>HYPERLINK("https://media.infra-m.ru/0967/0967871/cover/967871.jpg", "Обложка")</f>
        <v>Обложка</v>
      </c>
      <c r="V4717" s="24" t="str">
        <f>HYPERLINK("https://znanium.ru/catalog/product/2172571", "Ознакомиться")</f>
        <v>Ознакомиться</v>
      </c>
      <c r="W4717" s="8" t="s">
        <v>27920</v>
      </c>
      <c r="X4717" s="6"/>
      <c r="Y4717" s="6"/>
      <c r="Z4717" s="6"/>
      <c r="AA4717" s="6" t="s">
        <v>7663</v>
      </c>
      <c r="AB4717" s="8"/>
    </row>
    <row r="4718" spans="1:28" s="4" customFormat="1" ht="51.95" customHeight="1">
      <c r="A4718" s="5">
        <v>0</v>
      </c>
      <c r="B4718" s="6" t="s">
        <v>27921</v>
      </c>
      <c r="C4718" s="13">
        <v>2240</v>
      </c>
      <c r="D4718" s="8" t="s">
        <v>27922</v>
      </c>
      <c r="E4718" s="8" t="s">
        <v>27923</v>
      </c>
      <c r="F4718" s="8" t="s">
        <v>27924</v>
      </c>
      <c r="G4718" s="6" t="s">
        <v>52</v>
      </c>
      <c r="H4718" s="6" t="s">
        <v>53</v>
      </c>
      <c r="I4718" s="8" t="s">
        <v>100</v>
      </c>
      <c r="J4718" s="9">
        <v>1</v>
      </c>
      <c r="K4718" s="9">
        <v>447</v>
      </c>
      <c r="L4718" s="9">
        <v>2025</v>
      </c>
      <c r="M4718" s="8" t="s">
        <v>27925</v>
      </c>
      <c r="N4718" s="8" t="s">
        <v>79</v>
      </c>
      <c r="O4718" s="8" t="s">
        <v>424</v>
      </c>
      <c r="P4718" s="6" t="s">
        <v>167</v>
      </c>
      <c r="Q4718" s="8" t="s">
        <v>102</v>
      </c>
      <c r="R4718" s="10" t="s">
        <v>27919</v>
      </c>
      <c r="S4718" s="11" t="s">
        <v>17060</v>
      </c>
      <c r="T4718" s="6"/>
      <c r="U4718" s="24" t="str">
        <f>HYPERLINK("https://media.infra-m.ru/2172/2172571/cover/2172571.jpg", "Обложка")</f>
        <v>Обложка</v>
      </c>
      <c r="V4718" s="24" t="str">
        <f>HYPERLINK("https://znanium.ru/catalog/product/2172571", "Ознакомиться")</f>
        <v>Ознакомиться</v>
      </c>
      <c r="W4718" s="8" t="s">
        <v>27926</v>
      </c>
      <c r="X4718" s="6"/>
      <c r="Y4718" s="6"/>
      <c r="Z4718" s="6"/>
      <c r="AA4718" s="6" t="s">
        <v>867</v>
      </c>
      <c r="AB4718" s="8"/>
    </row>
    <row r="4719" spans="1:28" s="4" customFormat="1" ht="51.95" customHeight="1">
      <c r="A4719" s="5">
        <v>0</v>
      </c>
      <c r="B4719" s="6" t="s">
        <v>27927</v>
      </c>
      <c r="C4719" s="13">
        <v>1098</v>
      </c>
      <c r="D4719" s="8" t="s">
        <v>27928</v>
      </c>
      <c r="E4719" s="8" t="s">
        <v>27929</v>
      </c>
      <c r="F4719" s="8" t="s">
        <v>27924</v>
      </c>
      <c r="G4719" s="6" t="s">
        <v>38</v>
      </c>
      <c r="H4719" s="6" t="s">
        <v>184</v>
      </c>
      <c r="I4719" s="8" t="s">
        <v>185</v>
      </c>
      <c r="J4719" s="9">
        <v>1</v>
      </c>
      <c r="K4719" s="9">
        <v>236</v>
      </c>
      <c r="L4719" s="9">
        <v>2025</v>
      </c>
      <c r="M4719" s="8" t="s">
        <v>27930</v>
      </c>
      <c r="N4719" s="8" t="s">
        <v>79</v>
      </c>
      <c r="O4719" s="8" t="s">
        <v>424</v>
      </c>
      <c r="P4719" s="6" t="s">
        <v>43</v>
      </c>
      <c r="Q4719" s="8" t="s">
        <v>102</v>
      </c>
      <c r="R4719" s="10" t="s">
        <v>27931</v>
      </c>
      <c r="S4719" s="11" t="s">
        <v>27932</v>
      </c>
      <c r="T4719" s="6"/>
      <c r="U4719" s="24" t="str">
        <f>HYPERLINK("https://media.infra-m.ru/2184/2184030/cover/2184030.jpg", "Обложка")</f>
        <v>Обложка</v>
      </c>
      <c r="V4719" s="24" t="str">
        <f>HYPERLINK("https://znanium.ru/catalog/product/1865720", "Ознакомиться")</f>
        <v>Ознакомиться</v>
      </c>
      <c r="W4719" s="8" t="s">
        <v>27926</v>
      </c>
      <c r="X4719" s="6"/>
      <c r="Y4719" s="6"/>
      <c r="Z4719" s="6"/>
      <c r="AA4719" s="6" t="s">
        <v>555</v>
      </c>
      <c r="AB4719" s="8"/>
    </row>
    <row r="4720" spans="1:28" s="4" customFormat="1" ht="51.95" customHeight="1">
      <c r="A4720" s="5">
        <v>0</v>
      </c>
      <c r="B4720" s="6" t="s">
        <v>27933</v>
      </c>
      <c r="C4720" s="13">
        <v>3294</v>
      </c>
      <c r="D4720" s="8" t="s">
        <v>27934</v>
      </c>
      <c r="E4720" s="8" t="s">
        <v>27935</v>
      </c>
      <c r="F4720" s="8" t="s">
        <v>27936</v>
      </c>
      <c r="G4720" s="6" t="s">
        <v>52</v>
      </c>
      <c r="H4720" s="6" t="s">
        <v>53</v>
      </c>
      <c r="I4720" s="8" t="s">
        <v>116</v>
      </c>
      <c r="J4720" s="9">
        <v>1</v>
      </c>
      <c r="K4720" s="9">
        <v>633</v>
      </c>
      <c r="L4720" s="9">
        <v>2025</v>
      </c>
      <c r="M4720" s="8" t="s">
        <v>27937</v>
      </c>
      <c r="N4720" s="8" t="s">
        <v>79</v>
      </c>
      <c r="O4720" s="8" t="s">
        <v>424</v>
      </c>
      <c r="P4720" s="6" t="s">
        <v>43</v>
      </c>
      <c r="Q4720" s="8" t="s">
        <v>58</v>
      </c>
      <c r="R4720" s="10" t="s">
        <v>4598</v>
      </c>
      <c r="S4720" s="11" t="s">
        <v>27938</v>
      </c>
      <c r="T4720" s="6"/>
      <c r="U4720" s="24" t="str">
        <f>HYPERLINK("https://media.infra-m.ru/2199/2199979/cover/2199979.jpg", "Обложка")</f>
        <v>Обложка</v>
      </c>
      <c r="V4720" s="24" t="str">
        <f>HYPERLINK("https://znanium.ru/catalog/product/2124732", "Ознакомиться")</f>
        <v>Ознакомиться</v>
      </c>
      <c r="W4720" s="8" t="s">
        <v>5825</v>
      </c>
      <c r="X4720" s="6"/>
      <c r="Y4720" s="6"/>
      <c r="Z4720" s="6"/>
      <c r="AA4720" s="6" t="s">
        <v>47</v>
      </c>
      <c r="AB4720" s="8"/>
    </row>
    <row r="4721" spans="1:28" s="4" customFormat="1" ht="51.95" customHeight="1">
      <c r="A4721" s="5">
        <v>0</v>
      </c>
      <c r="B4721" s="6" t="s">
        <v>27939</v>
      </c>
      <c r="C4721" s="13">
        <v>1280</v>
      </c>
      <c r="D4721" s="8" t="s">
        <v>27940</v>
      </c>
      <c r="E4721" s="8" t="s">
        <v>27941</v>
      </c>
      <c r="F4721" s="8" t="s">
        <v>27942</v>
      </c>
      <c r="G4721" s="6" t="s">
        <v>89</v>
      </c>
      <c r="H4721" s="6" t="s">
        <v>39</v>
      </c>
      <c r="I4721" s="8" t="s">
        <v>116</v>
      </c>
      <c r="J4721" s="9">
        <v>1</v>
      </c>
      <c r="K4721" s="9">
        <v>256</v>
      </c>
      <c r="L4721" s="9">
        <v>2025</v>
      </c>
      <c r="M4721" s="8" t="s">
        <v>27943</v>
      </c>
      <c r="N4721" s="8" t="s">
        <v>79</v>
      </c>
      <c r="O4721" s="8" t="s">
        <v>424</v>
      </c>
      <c r="P4721" s="6" t="s">
        <v>43</v>
      </c>
      <c r="Q4721" s="8" t="s">
        <v>44</v>
      </c>
      <c r="R4721" s="10" t="s">
        <v>27944</v>
      </c>
      <c r="S4721" s="11" t="s">
        <v>27945</v>
      </c>
      <c r="T4721" s="6"/>
      <c r="U4721" s="24" t="str">
        <f>HYPERLINK("https://media.infra-m.ru/2170/2170501/cover/2170501.jpg", "Обложка")</f>
        <v>Обложка</v>
      </c>
      <c r="V4721" s="24" t="str">
        <f>HYPERLINK("https://znanium.ru/catalog/product/2170501", "Ознакомиться")</f>
        <v>Ознакомиться</v>
      </c>
      <c r="W4721" s="8" t="s">
        <v>27946</v>
      </c>
      <c r="X4721" s="6"/>
      <c r="Y4721" s="6"/>
      <c r="Z4721" s="6"/>
      <c r="AA4721" s="6" t="s">
        <v>47</v>
      </c>
      <c r="AB4721" s="8"/>
    </row>
    <row r="4722" spans="1:28" s="4" customFormat="1" ht="51.95" customHeight="1">
      <c r="A4722" s="5">
        <v>0</v>
      </c>
      <c r="B4722" s="6" t="s">
        <v>27947</v>
      </c>
      <c r="C4722" s="13">
        <v>1280</v>
      </c>
      <c r="D4722" s="8" t="s">
        <v>27948</v>
      </c>
      <c r="E4722" s="8" t="s">
        <v>27941</v>
      </c>
      <c r="F4722" s="8" t="s">
        <v>27942</v>
      </c>
      <c r="G4722" s="6" t="s">
        <v>89</v>
      </c>
      <c r="H4722" s="6" t="s">
        <v>39</v>
      </c>
      <c r="I4722" s="8" t="s">
        <v>100</v>
      </c>
      <c r="J4722" s="9">
        <v>1</v>
      </c>
      <c r="K4722" s="9">
        <v>256</v>
      </c>
      <c r="L4722" s="9">
        <v>2025</v>
      </c>
      <c r="M4722" s="8" t="s">
        <v>27949</v>
      </c>
      <c r="N4722" s="8" t="s">
        <v>79</v>
      </c>
      <c r="O4722" s="8" t="s">
        <v>424</v>
      </c>
      <c r="P4722" s="6" t="s">
        <v>43</v>
      </c>
      <c r="Q4722" s="8" t="s">
        <v>102</v>
      </c>
      <c r="R4722" s="10" t="s">
        <v>27950</v>
      </c>
      <c r="S4722" s="11" t="s">
        <v>27951</v>
      </c>
      <c r="T4722" s="6"/>
      <c r="U4722" s="24" t="str">
        <f>HYPERLINK("https://media.infra-m.ru/2170/2170489/cover/2170489.jpg", "Обложка")</f>
        <v>Обложка</v>
      </c>
      <c r="V4722" s="24" t="str">
        <f>HYPERLINK("https://znanium.ru/catalog/product/2170489", "Ознакомиться")</f>
        <v>Ознакомиться</v>
      </c>
      <c r="W4722" s="8" t="s">
        <v>27946</v>
      </c>
      <c r="X4722" s="6"/>
      <c r="Y4722" s="6"/>
      <c r="Z4722" s="6" t="s">
        <v>104</v>
      </c>
      <c r="AA4722" s="6" t="s">
        <v>793</v>
      </c>
      <c r="AB4722" s="8"/>
    </row>
    <row r="4723" spans="1:28" s="4" customFormat="1" ht="51.95" customHeight="1">
      <c r="A4723" s="5">
        <v>0</v>
      </c>
      <c r="B4723" s="6" t="s">
        <v>27952</v>
      </c>
      <c r="C4723" s="13">
        <v>2664</v>
      </c>
      <c r="D4723" s="8" t="s">
        <v>27953</v>
      </c>
      <c r="E4723" s="8" t="s">
        <v>27954</v>
      </c>
      <c r="F4723" s="8" t="s">
        <v>27955</v>
      </c>
      <c r="G4723" s="6" t="s">
        <v>52</v>
      </c>
      <c r="H4723" s="6" t="s">
        <v>53</v>
      </c>
      <c r="I4723" s="8" t="s">
        <v>100</v>
      </c>
      <c r="J4723" s="9">
        <v>1</v>
      </c>
      <c r="K4723" s="9">
        <v>533</v>
      </c>
      <c r="L4723" s="9">
        <v>2025</v>
      </c>
      <c r="M4723" s="8" t="s">
        <v>27956</v>
      </c>
      <c r="N4723" s="8" t="s">
        <v>79</v>
      </c>
      <c r="O4723" s="8" t="s">
        <v>424</v>
      </c>
      <c r="P4723" s="6" t="s">
        <v>167</v>
      </c>
      <c r="Q4723" s="8" t="s">
        <v>102</v>
      </c>
      <c r="R4723" s="10" t="s">
        <v>27957</v>
      </c>
      <c r="S4723" s="11" t="s">
        <v>27958</v>
      </c>
      <c r="T4723" s="6"/>
      <c r="U4723" s="24" t="str">
        <f>HYPERLINK("https://media.infra-m.ru/2174/2174684/cover/2174684.jpg", "Обложка")</f>
        <v>Обложка</v>
      </c>
      <c r="V4723" s="24" t="str">
        <f>HYPERLINK("https://znanium.ru/catalog/product/2008781", "Ознакомиться")</f>
        <v>Ознакомиться</v>
      </c>
      <c r="W4723" s="8" t="s">
        <v>2938</v>
      </c>
      <c r="X4723" s="6"/>
      <c r="Y4723" s="6"/>
      <c r="Z4723" s="6" t="s">
        <v>104</v>
      </c>
      <c r="AA4723" s="6" t="s">
        <v>151</v>
      </c>
      <c r="AB4723" s="8"/>
    </row>
    <row r="4724" spans="1:28" s="4" customFormat="1" ht="51.95" customHeight="1">
      <c r="A4724" s="5">
        <v>0</v>
      </c>
      <c r="B4724" s="6" t="s">
        <v>27959</v>
      </c>
      <c r="C4724" s="13">
        <v>2074</v>
      </c>
      <c r="D4724" s="8" t="s">
        <v>27960</v>
      </c>
      <c r="E4724" s="8" t="s">
        <v>27961</v>
      </c>
      <c r="F4724" s="8" t="s">
        <v>27962</v>
      </c>
      <c r="G4724" s="6" t="s">
        <v>89</v>
      </c>
      <c r="H4724" s="6" t="s">
        <v>53</v>
      </c>
      <c r="I4724" s="8" t="s">
        <v>90</v>
      </c>
      <c r="J4724" s="9">
        <v>1</v>
      </c>
      <c r="K4724" s="9">
        <v>400</v>
      </c>
      <c r="L4724" s="9">
        <v>2025</v>
      </c>
      <c r="M4724" s="8" t="s">
        <v>27963</v>
      </c>
      <c r="N4724" s="8" t="s">
        <v>79</v>
      </c>
      <c r="O4724" s="8" t="s">
        <v>424</v>
      </c>
      <c r="P4724" s="6" t="s">
        <v>167</v>
      </c>
      <c r="Q4724" s="8" t="s">
        <v>44</v>
      </c>
      <c r="R4724" s="10" t="s">
        <v>4598</v>
      </c>
      <c r="S4724" s="11" t="s">
        <v>27964</v>
      </c>
      <c r="T4724" s="6"/>
      <c r="U4724" s="24" t="str">
        <f>HYPERLINK("https://media.infra-m.ru/2179/2179483/cover/2179483.jpg", "Обложка")</f>
        <v>Обложка</v>
      </c>
      <c r="V4724" s="24" t="str">
        <f>HYPERLINK("https://znanium.ru/catalog/product/1939109", "Ознакомиться")</f>
        <v>Ознакомиться</v>
      </c>
      <c r="W4724" s="8" t="s">
        <v>2938</v>
      </c>
      <c r="X4724" s="6"/>
      <c r="Y4724" s="6"/>
      <c r="Z4724" s="6"/>
      <c r="AA4724" s="6" t="s">
        <v>1374</v>
      </c>
      <c r="AB4724" s="8"/>
    </row>
    <row r="4725" spans="1:28" s="4" customFormat="1" ht="51.95" customHeight="1">
      <c r="A4725" s="5">
        <v>0</v>
      </c>
      <c r="B4725" s="6" t="s">
        <v>27965</v>
      </c>
      <c r="C4725" s="13">
        <v>1500</v>
      </c>
      <c r="D4725" s="8" t="s">
        <v>27966</v>
      </c>
      <c r="E4725" s="8" t="s">
        <v>27954</v>
      </c>
      <c r="F4725" s="8" t="s">
        <v>27967</v>
      </c>
      <c r="G4725" s="6" t="s">
        <v>89</v>
      </c>
      <c r="H4725" s="6" t="s">
        <v>53</v>
      </c>
      <c r="I4725" s="8" t="s">
        <v>90</v>
      </c>
      <c r="J4725" s="9">
        <v>1</v>
      </c>
      <c r="K4725" s="9">
        <v>533</v>
      </c>
      <c r="L4725" s="9">
        <v>2018</v>
      </c>
      <c r="M4725" s="8" t="s">
        <v>27968</v>
      </c>
      <c r="N4725" s="8" t="s">
        <v>79</v>
      </c>
      <c r="O4725" s="8" t="s">
        <v>424</v>
      </c>
      <c r="P4725" s="6" t="s">
        <v>167</v>
      </c>
      <c r="Q4725" s="8" t="s">
        <v>44</v>
      </c>
      <c r="R4725" s="10" t="s">
        <v>4598</v>
      </c>
      <c r="S4725" s="11" t="s">
        <v>27964</v>
      </c>
      <c r="T4725" s="6"/>
      <c r="U4725" s="24" t="str">
        <f>HYPERLINK("https://media.infra-m.ru/0954/0954457/cover/954457.jpg", "Обложка")</f>
        <v>Обложка</v>
      </c>
      <c r="V4725" s="24" t="str">
        <f>HYPERLINK("https://znanium.ru/catalog/product/1939109", "Ознакомиться")</f>
        <v>Ознакомиться</v>
      </c>
      <c r="W4725" s="8" t="s">
        <v>2938</v>
      </c>
      <c r="X4725" s="6"/>
      <c r="Y4725" s="6"/>
      <c r="Z4725" s="6"/>
      <c r="AA4725" s="6" t="s">
        <v>122</v>
      </c>
      <c r="AB4725" s="8"/>
    </row>
    <row r="4726" spans="1:28" s="4" customFormat="1" ht="51.95" customHeight="1">
      <c r="A4726" s="5">
        <v>0</v>
      </c>
      <c r="B4726" s="6" t="s">
        <v>27969</v>
      </c>
      <c r="C4726" s="13">
        <v>2050</v>
      </c>
      <c r="D4726" s="8" t="s">
        <v>27970</v>
      </c>
      <c r="E4726" s="8" t="s">
        <v>27971</v>
      </c>
      <c r="F4726" s="8" t="s">
        <v>27972</v>
      </c>
      <c r="G4726" s="6" t="s">
        <v>38</v>
      </c>
      <c r="H4726" s="6" t="s">
        <v>184</v>
      </c>
      <c r="I4726" s="8" t="s">
        <v>90</v>
      </c>
      <c r="J4726" s="9">
        <v>1</v>
      </c>
      <c r="K4726" s="9">
        <v>397</v>
      </c>
      <c r="L4726" s="9">
        <v>2022</v>
      </c>
      <c r="M4726" s="8" t="s">
        <v>27973</v>
      </c>
      <c r="N4726" s="8" t="s">
        <v>79</v>
      </c>
      <c r="O4726" s="8" t="s">
        <v>424</v>
      </c>
      <c r="P4726" s="6" t="s">
        <v>167</v>
      </c>
      <c r="Q4726" s="8" t="s">
        <v>44</v>
      </c>
      <c r="R4726" s="10" t="s">
        <v>4598</v>
      </c>
      <c r="S4726" s="11" t="s">
        <v>27974</v>
      </c>
      <c r="T4726" s="6"/>
      <c r="U4726" s="24" t="str">
        <f>HYPERLINK("https://media.infra-m.ru/1854/1854580/cover/1854580.jpg", "Обложка")</f>
        <v>Обложка</v>
      </c>
      <c r="V4726" s="24" t="str">
        <f>HYPERLINK("https://znanium.ru/catalog/product/1854580", "Ознакомиться")</f>
        <v>Ознакомиться</v>
      </c>
      <c r="W4726" s="8" t="s">
        <v>2938</v>
      </c>
      <c r="X4726" s="6"/>
      <c r="Y4726" s="6"/>
      <c r="Z4726" s="6"/>
      <c r="AA4726" s="6" t="s">
        <v>84</v>
      </c>
      <c r="AB4726" s="8"/>
    </row>
    <row r="4727" spans="1:28" s="4" customFormat="1" ht="51.95" customHeight="1">
      <c r="A4727" s="5">
        <v>0</v>
      </c>
      <c r="B4727" s="6" t="s">
        <v>27975</v>
      </c>
      <c r="C4727" s="13">
        <v>1347</v>
      </c>
      <c r="D4727" s="8" t="s">
        <v>27976</v>
      </c>
      <c r="E4727" s="8" t="s">
        <v>27977</v>
      </c>
      <c r="F4727" s="8" t="s">
        <v>27978</v>
      </c>
      <c r="G4727" s="6" t="s">
        <v>52</v>
      </c>
      <c r="H4727" s="6" t="s">
        <v>39</v>
      </c>
      <c r="I4727" s="8" t="s">
        <v>100</v>
      </c>
      <c r="J4727" s="9">
        <v>1</v>
      </c>
      <c r="K4727" s="9">
        <v>205</v>
      </c>
      <c r="L4727" s="9">
        <v>2025</v>
      </c>
      <c r="M4727" s="8" t="s">
        <v>27979</v>
      </c>
      <c r="N4727" s="8" t="s">
        <v>56</v>
      </c>
      <c r="O4727" s="8" t="s">
        <v>2183</v>
      </c>
      <c r="P4727" s="6" t="s">
        <v>167</v>
      </c>
      <c r="Q4727" s="8" t="s">
        <v>102</v>
      </c>
      <c r="R4727" s="10" t="s">
        <v>27980</v>
      </c>
      <c r="S4727" s="11" t="s">
        <v>27981</v>
      </c>
      <c r="T4727" s="6"/>
      <c r="U4727" s="24" t="str">
        <f>HYPERLINK("https://media.infra-m.ru/2163/2163990/cover/2163990.jpg", "Обложка")</f>
        <v>Обложка</v>
      </c>
      <c r="V4727" s="24" t="str">
        <f>HYPERLINK("https://znanium.ru/catalog/product/2140251", "Ознакомиться")</f>
        <v>Ознакомиться</v>
      </c>
      <c r="W4727" s="8" t="s">
        <v>947</v>
      </c>
      <c r="X4727" s="6"/>
      <c r="Y4727" s="6"/>
      <c r="Z4727" s="6" t="s">
        <v>104</v>
      </c>
      <c r="AA4727" s="6" t="s">
        <v>258</v>
      </c>
      <c r="AB4727" s="8"/>
    </row>
    <row r="4728" spans="1:28" s="4" customFormat="1" ht="42" customHeight="1">
      <c r="A4728" s="5">
        <v>0</v>
      </c>
      <c r="B4728" s="6" t="s">
        <v>27982</v>
      </c>
      <c r="C4728" s="13">
        <v>1357</v>
      </c>
      <c r="D4728" s="8" t="s">
        <v>27983</v>
      </c>
      <c r="E4728" s="8" t="s">
        <v>27977</v>
      </c>
      <c r="F4728" s="8" t="s">
        <v>27978</v>
      </c>
      <c r="G4728" s="6" t="s">
        <v>52</v>
      </c>
      <c r="H4728" s="6" t="s">
        <v>39</v>
      </c>
      <c r="I4728" s="8" t="s">
        <v>90</v>
      </c>
      <c r="J4728" s="9">
        <v>1</v>
      </c>
      <c r="K4728" s="9">
        <v>208</v>
      </c>
      <c r="L4728" s="9">
        <v>2024</v>
      </c>
      <c r="M4728" s="8" t="s">
        <v>27984</v>
      </c>
      <c r="N4728" s="8" t="s">
        <v>56</v>
      </c>
      <c r="O4728" s="8" t="s">
        <v>2183</v>
      </c>
      <c r="P4728" s="6" t="s">
        <v>167</v>
      </c>
      <c r="Q4728" s="8" t="s">
        <v>44</v>
      </c>
      <c r="R4728" s="10" t="s">
        <v>27985</v>
      </c>
      <c r="S4728" s="11"/>
      <c r="T4728" s="6"/>
      <c r="U4728" s="24" t="str">
        <f>HYPERLINK("https://media.infra-m.ru/2170/2170074/cover/2170074.jpg", "Обложка")</f>
        <v>Обложка</v>
      </c>
      <c r="V4728" s="24" t="str">
        <f>HYPERLINK("https://znanium.ru/catalog/product/1374599", "Ознакомиться")</f>
        <v>Ознакомиться</v>
      </c>
      <c r="W4728" s="8" t="s">
        <v>947</v>
      </c>
      <c r="X4728" s="6"/>
      <c r="Y4728" s="6"/>
      <c r="Z4728" s="6"/>
      <c r="AA4728" s="6" t="s">
        <v>47</v>
      </c>
      <c r="AB4728" s="8"/>
    </row>
    <row r="4729" spans="1:28" s="4" customFormat="1" ht="51.95" customHeight="1">
      <c r="A4729" s="5">
        <v>0</v>
      </c>
      <c r="B4729" s="6" t="s">
        <v>27986</v>
      </c>
      <c r="C4729" s="13">
        <v>1664</v>
      </c>
      <c r="D4729" s="8" t="s">
        <v>27987</v>
      </c>
      <c r="E4729" s="8" t="s">
        <v>27988</v>
      </c>
      <c r="F4729" s="8" t="s">
        <v>27989</v>
      </c>
      <c r="G4729" s="6" t="s">
        <v>89</v>
      </c>
      <c r="H4729" s="6" t="s">
        <v>53</v>
      </c>
      <c r="I4729" s="8" t="s">
        <v>90</v>
      </c>
      <c r="J4729" s="9">
        <v>1</v>
      </c>
      <c r="K4729" s="9">
        <v>333</v>
      </c>
      <c r="L4729" s="9">
        <v>2025</v>
      </c>
      <c r="M4729" s="8" t="s">
        <v>27990</v>
      </c>
      <c r="N4729" s="8" t="s">
        <v>79</v>
      </c>
      <c r="O4729" s="8" t="s">
        <v>424</v>
      </c>
      <c r="P4729" s="6" t="s">
        <v>43</v>
      </c>
      <c r="Q4729" s="8" t="s">
        <v>44</v>
      </c>
      <c r="R4729" s="10" t="s">
        <v>27991</v>
      </c>
      <c r="S4729" s="11" t="s">
        <v>7359</v>
      </c>
      <c r="T4729" s="6"/>
      <c r="U4729" s="24" t="str">
        <f>HYPERLINK("https://media.infra-m.ru/2178/2178827/cover/2178827.jpg", "Обложка")</f>
        <v>Обложка</v>
      </c>
      <c r="V4729" s="24" t="str">
        <f>HYPERLINK("https://znanium.ru/catalog/product/1112970", "Ознакомиться")</f>
        <v>Ознакомиться</v>
      </c>
      <c r="W4729" s="8" t="s">
        <v>5825</v>
      </c>
      <c r="X4729" s="6"/>
      <c r="Y4729" s="6"/>
      <c r="Z4729" s="6"/>
      <c r="AA4729" s="6" t="s">
        <v>418</v>
      </c>
      <c r="AB4729" s="8"/>
    </row>
    <row r="4730" spans="1:28" s="4" customFormat="1" ht="51.95" customHeight="1">
      <c r="A4730" s="5">
        <v>0</v>
      </c>
      <c r="B4730" s="6" t="s">
        <v>27992</v>
      </c>
      <c r="C4730" s="13">
        <v>1150</v>
      </c>
      <c r="D4730" s="8" t="s">
        <v>27993</v>
      </c>
      <c r="E4730" s="8" t="s">
        <v>27994</v>
      </c>
      <c r="F4730" s="8" t="s">
        <v>27995</v>
      </c>
      <c r="G4730" s="6" t="s">
        <v>89</v>
      </c>
      <c r="H4730" s="6" t="s">
        <v>53</v>
      </c>
      <c r="I4730" s="8" t="s">
        <v>116</v>
      </c>
      <c r="J4730" s="9">
        <v>1</v>
      </c>
      <c r="K4730" s="9">
        <v>238</v>
      </c>
      <c r="L4730" s="9">
        <v>2024</v>
      </c>
      <c r="M4730" s="8" t="s">
        <v>27996</v>
      </c>
      <c r="N4730" s="8" t="s">
        <v>79</v>
      </c>
      <c r="O4730" s="8" t="s">
        <v>424</v>
      </c>
      <c r="P4730" s="6" t="s">
        <v>43</v>
      </c>
      <c r="Q4730" s="8" t="s">
        <v>44</v>
      </c>
      <c r="R4730" s="10" t="s">
        <v>27997</v>
      </c>
      <c r="S4730" s="11" t="s">
        <v>27998</v>
      </c>
      <c r="T4730" s="6"/>
      <c r="U4730" s="24" t="str">
        <f>HYPERLINK("https://media.infra-m.ru/2147/2147930/cover/2147930.jpg", "Обложка")</f>
        <v>Обложка</v>
      </c>
      <c r="V4730" s="24" t="str">
        <f>HYPERLINK("https://znanium.ru/catalog/product/2147930", "Ознакомиться")</f>
        <v>Ознакомиться</v>
      </c>
      <c r="W4730" s="8" t="s">
        <v>947</v>
      </c>
      <c r="X4730" s="6"/>
      <c r="Y4730" s="6"/>
      <c r="Z4730" s="6"/>
      <c r="AA4730" s="6" t="s">
        <v>72</v>
      </c>
      <c r="AB4730" s="8"/>
    </row>
    <row r="4731" spans="1:28" s="4" customFormat="1" ht="51.95" customHeight="1">
      <c r="A4731" s="5">
        <v>0</v>
      </c>
      <c r="B4731" s="6" t="s">
        <v>27999</v>
      </c>
      <c r="C4731" s="13">
        <v>1150</v>
      </c>
      <c r="D4731" s="8" t="s">
        <v>28000</v>
      </c>
      <c r="E4731" s="8" t="s">
        <v>28001</v>
      </c>
      <c r="F4731" s="8" t="s">
        <v>28002</v>
      </c>
      <c r="G4731" s="6" t="s">
        <v>89</v>
      </c>
      <c r="H4731" s="6" t="s">
        <v>53</v>
      </c>
      <c r="I4731" s="8" t="s">
        <v>100</v>
      </c>
      <c r="J4731" s="9">
        <v>1</v>
      </c>
      <c r="K4731" s="9">
        <v>221</v>
      </c>
      <c r="L4731" s="9">
        <v>2025</v>
      </c>
      <c r="M4731" s="8" t="s">
        <v>28003</v>
      </c>
      <c r="N4731" s="8" t="s">
        <v>79</v>
      </c>
      <c r="O4731" s="8" t="s">
        <v>424</v>
      </c>
      <c r="P4731" s="6" t="s">
        <v>43</v>
      </c>
      <c r="Q4731" s="8" t="s">
        <v>102</v>
      </c>
      <c r="R4731" s="10" t="s">
        <v>28004</v>
      </c>
      <c r="S4731" s="11" t="s">
        <v>28005</v>
      </c>
      <c r="T4731" s="6"/>
      <c r="U4731" s="24" t="str">
        <f>HYPERLINK("https://media.infra-m.ru/2192/2192598/cover/2192598.jpg", "Обложка")</f>
        <v>Обложка</v>
      </c>
      <c r="V4731" s="24" t="str">
        <f>HYPERLINK("https://znanium.ru/catalog/product/2192598", "Ознакомиться")</f>
        <v>Ознакомиться</v>
      </c>
      <c r="W4731" s="8" t="s">
        <v>478</v>
      </c>
      <c r="X4731" s="6"/>
      <c r="Y4731" s="6"/>
      <c r="Z4731" s="6"/>
      <c r="AA4731" s="6" t="s">
        <v>1135</v>
      </c>
      <c r="AB4731" s="8"/>
    </row>
    <row r="4732" spans="1:28" s="4" customFormat="1" ht="42" customHeight="1">
      <c r="A4732" s="5">
        <v>0</v>
      </c>
      <c r="B4732" s="6" t="s">
        <v>28006</v>
      </c>
      <c r="C4732" s="7">
        <v>494</v>
      </c>
      <c r="D4732" s="8" t="s">
        <v>28007</v>
      </c>
      <c r="E4732" s="8" t="s">
        <v>28008</v>
      </c>
      <c r="F4732" s="8" t="s">
        <v>28009</v>
      </c>
      <c r="G4732" s="6" t="s">
        <v>38</v>
      </c>
      <c r="H4732" s="6" t="s">
        <v>39</v>
      </c>
      <c r="I4732" s="8" t="s">
        <v>116</v>
      </c>
      <c r="J4732" s="9">
        <v>1</v>
      </c>
      <c r="K4732" s="9">
        <v>104</v>
      </c>
      <c r="L4732" s="9">
        <v>2024</v>
      </c>
      <c r="M4732" s="8" t="s">
        <v>28010</v>
      </c>
      <c r="N4732" s="8" t="s">
        <v>79</v>
      </c>
      <c r="O4732" s="8" t="s">
        <v>148</v>
      </c>
      <c r="P4732" s="6" t="s">
        <v>43</v>
      </c>
      <c r="Q4732" s="8" t="s">
        <v>44</v>
      </c>
      <c r="R4732" s="10" t="s">
        <v>28011</v>
      </c>
      <c r="S4732" s="11"/>
      <c r="T4732" s="6"/>
      <c r="U4732" s="24" t="str">
        <f>HYPERLINK("https://media.infra-m.ru/1911/1911781/cover/1911781.jpg", "Обложка")</f>
        <v>Обложка</v>
      </c>
      <c r="V4732" s="24" t="str">
        <f>HYPERLINK("https://znanium.ru/catalog/product/1009764", "Ознакомиться")</f>
        <v>Ознакомиться</v>
      </c>
      <c r="W4732" s="8" t="s">
        <v>487</v>
      </c>
      <c r="X4732" s="6"/>
      <c r="Y4732" s="6"/>
      <c r="Z4732" s="6"/>
      <c r="AA4732" s="6" t="s">
        <v>111</v>
      </c>
      <c r="AB4732" s="8"/>
    </row>
    <row r="4733" spans="1:28" s="4" customFormat="1" ht="51.95" customHeight="1">
      <c r="A4733" s="5">
        <v>0</v>
      </c>
      <c r="B4733" s="6" t="s">
        <v>28012</v>
      </c>
      <c r="C4733" s="7">
        <v>914.9</v>
      </c>
      <c r="D4733" s="8" t="s">
        <v>28013</v>
      </c>
      <c r="E4733" s="8" t="s">
        <v>28014</v>
      </c>
      <c r="F4733" s="8" t="s">
        <v>2706</v>
      </c>
      <c r="G4733" s="6" t="s">
        <v>52</v>
      </c>
      <c r="H4733" s="6" t="s">
        <v>53</v>
      </c>
      <c r="I4733" s="8" t="s">
        <v>100</v>
      </c>
      <c r="J4733" s="9">
        <v>1</v>
      </c>
      <c r="K4733" s="9">
        <v>204</v>
      </c>
      <c r="L4733" s="9">
        <v>2023</v>
      </c>
      <c r="M4733" s="8" t="s">
        <v>28015</v>
      </c>
      <c r="N4733" s="8" t="s">
        <v>41</v>
      </c>
      <c r="O4733" s="8" t="s">
        <v>1007</v>
      </c>
      <c r="P4733" s="6" t="s">
        <v>167</v>
      </c>
      <c r="Q4733" s="8" t="s">
        <v>102</v>
      </c>
      <c r="R4733" s="10" t="s">
        <v>18807</v>
      </c>
      <c r="S4733" s="11" t="s">
        <v>28016</v>
      </c>
      <c r="T4733" s="6"/>
      <c r="U4733" s="24" t="str">
        <f>HYPERLINK("https://media.infra-m.ru/1976/1976141/cover/1976141.jpg", "Обложка")</f>
        <v>Обложка</v>
      </c>
      <c r="V4733" s="24" t="str">
        <f>HYPERLINK("https://znanium.ru/catalog/product/1020430", "Ознакомиться")</f>
        <v>Ознакомиться</v>
      </c>
      <c r="W4733" s="8" t="s">
        <v>1233</v>
      </c>
      <c r="X4733" s="6"/>
      <c r="Y4733" s="6"/>
      <c r="Z4733" s="6"/>
      <c r="AA4733" s="6" t="s">
        <v>793</v>
      </c>
      <c r="AB4733" s="8"/>
    </row>
    <row r="4734" spans="1:28" s="4" customFormat="1" ht="51.95" customHeight="1">
      <c r="A4734" s="5">
        <v>0</v>
      </c>
      <c r="B4734" s="6" t="s">
        <v>28017</v>
      </c>
      <c r="C4734" s="13">
        <v>2014</v>
      </c>
      <c r="D4734" s="8" t="s">
        <v>28018</v>
      </c>
      <c r="E4734" s="8" t="s">
        <v>28019</v>
      </c>
      <c r="F4734" s="8" t="s">
        <v>28020</v>
      </c>
      <c r="G4734" s="6" t="s">
        <v>52</v>
      </c>
      <c r="H4734" s="6" t="s">
        <v>53</v>
      </c>
      <c r="I4734" s="8" t="s">
        <v>90</v>
      </c>
      <c r="J4734" s="9">
        <v>1</v>
      </c>
      <c r="K4734" s="9">
        <v>387</v>
      </c>
      <c r="L4734" s="9">
        <v>2025</v>
      </c>
      <c r="M4734" s="8" t="s">
        <v>28021</v>
      </c>
      <c r="N4734" s="8" t="s">
        <v>79</v>
      </c>
      <c r="O4734" s="8" t="s">
        <v>396</v>
      </c>
      <c r="P4734" s="6" t="s">
        <v>43</v>
      </c>
      <c r="Q4734" s="8" t="s">
        <v>44</v>
      </c>
      <c r="R4734" s="10" t="s">
        <v>28022</v>
      </c>
      <c r="S4734" s="11" t="s">
        <v>28023</v>
      </c>
      <c r="T4734" s="6"/>
      <c r="U4734" s="24" t="str">
        <f>HYPERLINK("https://media.infra-m.ru/2196/2196136/cover/2196136.jpg", "Обложка")</f>
        <v>Обложка</v>
      </c>
      <c r="V4734" s="24" t="str">
        <f>HYPERLINK("https://znanium.ru/catalog/product/1891621", "Ознакомиться")</f>
        <v>Ознакомиться</v>
      </c>
      <c r="W4734" s="8" t="s">
        <v>12607</v>
      </c>
      <c r="X4734" s="6"/>
      <c r="Y4734" s="6"/>
      <c r="Z4734" s="6"/>
      <c r="AA4734" s="6" t="s">
        <v>258</v>
      </c>
      <c r="AB4734" s="8"/>
    </row>
    <row r="4735" spans="1:28" s="4" customFormat="1" ht="51.95" customHeight="1">
      <c r="A4735" s="5">
        <v>0</v>
      </c>
      <c r="B4735" s="6" t="s">
        <v>28024</v>
      </c>
      <c r="C4735" s="13">
        <v>1774</v>
      </c>
      <c r="D4735" s="8" t="s">
        <v>28025</v>
      </c>
      <c r="E4735" s="8" t="s">
        <v>28026</v>
      </c>
      <c r="F4735" s="8" t="s">
        <v>28027</v>
      </c>
      <c r="G4735" s="6" t="s">
        <v>52</v>
      </c>
      <c r="H4735" s="6" t="s">
        <v>53</v>
      </c>
      <c r="I4735" s="8" t="s">
        <v>90</v>
      </c>
      <c r="J4735" s="9">
        <v>1</v>
      </c>
      <c r="K4735" s="9">
        <v>342</v>
      </c>
      <c r="L4735" s="9">
        <v>2025</v>
      </c>
      <c r="M4735" s="8" t="s">
        <v>28028</v>
      </c>
      <c r="N4735" s="8" t="s">
        <v>413</v>
      </c>
      <c r="O4735" s="8" t="s">
        <v>414</v>
      </c>
      <c r="P4735" s="6" t="s">
        <v>167</v>
      </c>
      <c r="Q4735" s="8" t="s">
        <v>44</v>
      </c>
      <c r="R4735" s="10" t="s">
        <v>12090</v>
      </c>
      <c r="S4735" s="11" t="s">
        <v>28029</v>
      </c>
      <c r="T4735" s="6" t="s">
        <v>299</v>
      </c>
      <c r="U4735" s="24" t="str">
        <f>HYPERLINK("https://media.infra-m.ru/2202/2202550/cover/2202550.jpg", "Обложка")</f>
        <v>Обложка</v>
      </c>
      <c r="V4735" s="24" t="str">
        <f>HYPERLINK("https://znanium.ru/catalog/product/1840456", "Ознакомиться")</f>
        <v>Ознакомиться</v>
      </c>
      <c r="W4735" s="8" t="s">
        <v>4293</v>
      </c>
      <c r="X4735" s="6"/>
      <c r="Y4735" s="6"/>
      <c r="Z4735" s="6"/>
      <c r="AA4735" s="6" t="s">
        <v>160</v>
      </c>
      <c r="AB4735" s="8"/>
    </row>
    <row r="4736" spans="1:28" s="4" customFormat="1" ht="51.95" customHeight="1">
      <c r="A4736" s="5">
        <v>0</v>
      </c>
      <c r="B4736" s="6" t="s">
        <v>28030</v>
      </c>
      <c r="C4736" s="7">
        <v>510</v>
      </c>
      <c r="D4736" s="8" t="s">
        <v>28031</v>
      </c>
      <c r="E4736" s="8" t="s">
        <v>28032</v>
      </c>
      <c r="F4736" s="8" t="s">
        <v>2248</v>
      </c>
      <c r="G4736" s="6" t="s">
        <v>38</v>
      </c>
      <c r="H4736" s="6" t="s">
        <v>53</v>
      </c>
      <c r="I4736" s="8" t="s">
        <v>116</v>
      </c>
      <c r="J4736" s="9">
        <v>1</v>
      </c>
      <c r="K4736" s="9">
        <v>88</v>
      </c>
      <c r="L4736" s="9">
        <v>2024</v>
      </c>
      <c r="M4736" s="8" t="s">
        <v>28033</v>
      </c>
      <c r="N4736" s="8" t="s">
        <v>56</v>
      </c>
      <c r="O4736" s="8" t="s">
        <v>2183</v>
      </c>
      <c r="P4736" s="6" t="s">
        <v>43</v>
      </c>
      <c r="Q4736" s="8" t="s">
        <v>58</v>
      </c>
      <c r="R4736" s="10" t="s">
        <v>5823</v>
      </c>
      <c r="S4736" s="11" t="s">
        <v>28034</v>
      </c>
      <c r="T4736" s="6"/>
      <c r="U4736" s="24" t="str">
        <f>HYPERLINK("https://media.infra-m.ru/1871/1871529/cover/1871529.jpg", "Обложка")</f>
        <v>Обложка</v>
      </c>
      <c r="V4736" s="24" t="str">
        <f>HYPERLINK("https://znanium.ru/catalog/product/1871529", "Ознакомиться")</f>
        <v>Ознакомиться</v>
      </c>
      <c r="W4736" s="8" t="s">
        <v>1563</v>
      </c>
      <c r="X4736" s="6"/>
      <c r="Y4736" s="6"/>
      <c r="Z4736" s="6"/>
      <c r="AA4736" s="6" t="s">
        <v>418</v>
      </c>
      <c r="AB4736" s="8"/>
    </row>
    <row r="4737" spans="1:28" s="4" customFormat="1" ht="42" customHeight="1">
      <c r="A4737" s="5">
        <v>0</v>
      </c>
      <c r="B4737" s="6" t="s">
        <v>28035</v>
      </c>
      <c r="C4737" s="7">
        <v>384</v>
      </c>
      <c r="D4737" s="8" t="s">
        <v>28036</v>
      </c>
      <c r="E4737" s="8" t="s">
        <v>28037</v>
      </c>
      <c r="F4737" s="8" t="s">
        <v>28038</v>
      </c>
      <c r="G4737" s="6" t="s">
        <v>38</v>
      </c>
      <c r="H4737" s="6" t="s">
        <v>53</v>
      </c>
      <c r="I4737" s="8" t="s">
        <v>90</v>
      </c>
      <c r="J4737" s="9">
        <v>1</v>
      </c>
      <c r="K4737" s="9">
        <v>61</v>
      </c>
      <c r="L4737" s="9">
        <v>2025</v>
      </c>
      <c r="M4737" s="8" t="s">
        <v>28039</v>
      </c>
      <c r="N4737" s="8" t="s">
        <v>79</v>
      </c>
      <c r="O4737" s="8" t="s">
        <v>424</v>
      </c>
      <c r="P4737" s="6" t="s">
        <v>43</v>
      </c>
      <c r="Q4737" s="8" t="s">
        <v>44</v>
      </c>
      <c r="R4737" s="10" t="s">
        <v>5274</v>
      </c>
      <c r="S4737" s="11"/>
      <c r="T4737" s="6"/>
      <c r="U4737" s="24" t="str">
        <f>HYPERLINK("https://media.infra-m.ru/2196/2196899/cover/2196899.jpg", "Обложка")</f>
        <v>Обложка</v>
      </c>
      <c r="V4737" s="24" t="str">
        <f>HYPERLINK("https://znanium.ru/catalog/product/915966", "Ознакомиться")</f>
        <v>Ознакомиться</v>
      </c>
      <c r="W4737" s="8" t="s">
        <v>2666</v>
      </c>
      <c r="X4737" s="6"/>
      <c r="Y4737" s="6"/>
      <c r="Z4737" s="6"/>
      <c r="AA4737" s="6" t="s">
        <v>418</v>
      </c>
      <c r="AB4737" s="8"/>
    </row>
    <row r="4738" spans="1:28" s="4" customFormat="1" ht="51.95" customHeight="1">
      <c r="A4738" s="5">
        <v>0</v>
      </c>
      <c r="B4738" s="6" t="s">
        <v>28040</v>
      </c>
      <c r="C4738" s="7">
        <v>560</v>
      </c>
      <c r="D4738" s="8" t="s">
        <v>28041</v>
      </c>
      <c r="E4738" s="8" t="s">
        <v>28042</v>
      </c>
      <c r="F4738" s="8" t="s">
        <v>2248</v>
      </c>
      <c r="G4738" s="6" t="s">
        <v>38</v>
      </c>
      <c r="H4738" s="6" t="s">
        <v>53</v>
      </c>
      <c r="I4738" s="8" t="s">
        <v>276</v>
      </c>
      <c r="J4738" s="9">
        <v>1</v>
      </c>
      <c r="K4738" s="9">
        <v>112</v>
      </c>
      <c r="L4738" s="9">
        <v>2025</v>
      </c>
      <c r="M4738" s="8" t="s">
        <v>28043</v>
      </c>
      <c r="N4738" s="8" t="s">
        <v>56</v>
      </c>
      <c r="O4738" s="8" t="s">
        <v>2183</v>
      </c>
      <c r="P4738" s="6" t="s">
        <v>43</v>
      </c>
      <c r="Q4738" s="8" t="s">
        <v>279</v>
      </c>
      <c r="R4738" s="10" t="s">
        <v>2250</v>
      </c>
      <c r="S4738" s="11" t="s">
        <v>28044</v>
      </c>
      <c r="T4738" s="6"/>
      <c r="U4738" s="24" t="str">
        <f>HYPERLINK("https://media.infra-m.ru/2160/2160651/cover/2160651.jpg", "Обложка")</f>
        <v>Обложка</v>
      </c>
      <c r="V4738" s="24" t="str">
        <f>HYPERLINK("https://znanium.ru/catalog/product/2160651", "Ознакомиться")</f>
        <v>Ознакомиться</v>
      </c>
      <c r="W4738" s="8" t="s">
        <v>1563</v>
      </c>
      <c r="X4738" s="6"/>
      <c r="Y4738" s="6"/>
      <c r="Z4738" s="6"/>
      <c r="AA4738" s="6" t="s">
        <v>418</v>
      </c>
      <c r="AB4738" s="8"/>
    </row>
    <row r="4739" spans="1:28" s="4" customFormat="1" ht="51.95" customHeight="1">
      <c r="A4739" s="5">
        <v>0</v>
      </c>
      <c r="B4739" s="6" t="s">
        <v>28045</v>
      </c>
      <c r="C4739" s="13">
        <v>1334</v>
      </c>
      <c r="D4739" s="8" t="s">
        <v>28046</v>
      </c>
      <c r="E4739" s="8" t="s">
        <v>28047</v>
      </c>
      <c r="F4739" s="8" t="s">
        <v>19331</v>
      </c>
      <c r="G4739" s="6" t="s">
        <v>52</v>
      </c>
      <c r="H4739" s="6" t="s">
        <v>184</v>
      </c>
      <c r="I4739" s="8" t="s">
        <v>90</v>
      </c>
      <c r="J4739" s="9">
        <v>1</v>
      </c>
      <c r="K4739" s="9">
        <v>296</v>
      </c>
      <c r="L4739" s="9">
        <v>2023</v>
      </c>
      <c r="M4739" s="8" t="s">
        <v>28048</v>
      </c>
      <c r="N4739" s="8" t="s">
        <v>79</v>
      </c>
      <c r="O4739" s="8" t="s">
        <v>80</v>
      </c>
      <c r="P4739" s="6" t="s">
        <v>43</v>
      </c>
      <c r="Q4739" s="8" t="s">
        <v>44</v>
      </c>
      <c r="R4739" s="10" t="s">
        <v>28049</v>
      </c>
      <c r="S4739" s="11" t="s">
        <v>28050</v>
      </c>
      <c r="T4739" s="6"/>
      <c r="U4739" s="24" t="str">
        <f>HYPERLINK("https://media.infra-m.ru/1911/1911164/cover/1911164.jpg", "Обложка")</f>
        <v>Обложка</v>
      </c>
      <c r="V4739" s="24" t="str">
        <f>HYPERLINK("https://znanium.ru/catalog/product/1230215", "Ознакомиться")</f>
        <v>Ознакомиться</v>
      </c>
      <c r="W4739" s="8" t="s">
        <v>2216</v>
      </c>
      <c r="X4739" s="6"/>
      <c r="Y4739" s="6"/>
      <c r="Z4739" s="6"/>
      <c r="AA4739" s="6" t="s">
        <v>84</v>
      </c>
      <c r="AB4739" s="8"/>
    </row>
    <row r="4740" spans="1:28" s="4" customFormat="1" ht="51.95" customHeight="1">
      <c r="A4740" s="5">
        <v>0</v>
      </c>
      <c r="B4740" s="6" t="s">
        <v>28051</v>
      </c>
      <c r="C4740" s="13">
        <v>1254.9000000000001</v>
      </c>
      <c r="D4740" s="8" t="s">
        <v>28052</v>
      </c>
      <c r="E4740" s="8" t="s">
        <v>28053</v>
      </c>
      <c r="F4740" s="8" t="s">
        <v>28054</v>
      </c>
      <c r="G4740" s="6" t="s">
        <v>52</v>
      </c>
      <c r="H4740" s="6" t="s">
        <v>53</v>
      </c>
      <c r="I4740" s="8" t="s">
        <v>90</v>
      </c>
      <c r="J4740" s="9">
        <v>1</v>
      </c>
      <c r="K4740" s="9">
        <v>366</v>
      </c>
      <c r="L4740" s="9">
        <v>2019</v>
      </c>
      <c r="M4740" s="8" t="s">
        <v>28055</v>
      </c>
      <c r="N4740" s="8" t="s">
        <v>41</v>
      </c>
      <c r="O4740" s="8" t="s">
        <v>118</v>
      </c>
      <c r="P4740" s="6" t="s">
        <v>167</v>
      </c>
      <c r="Q4740" s="8" t="s">
        <v>44</v>
      </c>
      <c r="R4740" s="10" t="s">
        <v>25341</v>
      </c>
      <c r="S4740" s="11"/>
      <c r="T4740" s="6"/>
      <c r="U4740" s="24" t="str">
        <f>HYPERLINK("https://media.infra-m.ru/1003/1003451/cover/1003451.jpg", "Обложка")</f>
        <v>Обложка</v>
      </c>
      <c r="V4740" s="24" t="str">
        <f>HYPERLINK("https://znanium.ru/catalog/product/2169733", "Ознакомиться")</f>
        <v>Ознакомиться</v>
      </c>
      <c r="W4740" s="8" t="s">
        <v>2080</v>
      </c>
      <c r="X4740" s="6"/>
      <c r="Y4740" s="6"/>
      <c r="Z4740" s="6"/>
      <c r="AA4740" s="6" t="s">
        <v>244</v>
      </c>
      <c r="AB4740" s="8"/>
    </row>
    <row r="4741" spans="1:28" s="4" customFormat="1" ht="51.95" customHeight="1">
      <c r="A4741" s="5">
        <v>0</v>
      </c>
      <c r="B4741" s="6" t="s">
        <v>28056</v>
      </c>
      <c r="C4741" s="13">
        <v>1834</v>
      </c>
      <c r="D4741" s="8" t="s">
        <v>28057</v>
      </c>
      <c r="E4741" s="8" t="s">
        <v>28058</v>
      </c>
      <c r="F4741" s="8" t="s">
        <v>4133</v>
      </c>
      <c r="G4741" s="6" t="s">
        <v>89</v>
      </c>
      <c r="H4741" s="6" t="s">
        <v>53</v>
      </c>
      <c r="I4741" s="8" t="s">
        <v>90</v>
      </c>
      <c r="J4741" s="9">
        <v>1</v>
      </c>
      <c r="K4741" s="9">
        <v>391</v>
      </c>
      <c r="L4741" s="9">
        <v>2024</v>
      </c>
      <c r="M4741" s="8" t="s">
        <v>28059</v>
      </c>
      <c r="N4741" s="8" t="s">
        <v>41</v>
      </c>
      <c r="O4741" s="8" t="s">
        <v>118</v>
      </c>
      <c r="P4741" s="6" t="s">
        <v>167</v>
      </c>
      <c r="Q4741" s="8" t="s">
        <v>44</v>
      </c>
      <c r="R4741" s="10" t="s">
        <v>25341</v>
      </c>
      <c r="S4741" s="11" t="s">
        <v>28060</v>
      </c>
      <c r="T4741" s="6"/>
      <c r="U4741" s="24" t="str">
        <f>HYPERLINK("https://media.infra-m.ru/2140/2140134/cover/2140134.jpg", "Обложка")</f>
        <v>Обложка</v>
      </c>
      <c r="V4741" s="24" t="str">
        <f>HYPERLINK("https://znanium.ru/catalog/product/2169733", "Ознакомиться")</f>
        <v>Ознакомиться</v>
      </c>
      <c r="W4741" s="8" t="s">
        <v>2080</v>
      </c>
      <c r="X4741" s="6"/>
      <c r="Y4741" s="6"/>
      <c r="Z4741" s="6"/>
      <c r="AA4741" s="6" t="s">
        <v>5034</v>
      </c>
      <c r="AB4741" s="8"/>
    </row>
    <row r="4742" spans="1:28" s="4" customFormat="1" ht="51.95" customHeight="1">
      <c r="A4742" s="5">
        <v>0</v>
      </c>
      <c r="B4742" s="6" t="s">
        <v>28061</v>
      </c>
      <c r="C4742" s="13">
        <v>1790</v>
      </c>
      <c r="D4742" s="8" t="s">
        <v>28062</v>
      </c>
      <c r="E4742" s="8" t="s">
        <v>28063</v>
      </c>
      <c r="F4742" s="8" t="s">
        <v>28064</v>
      </c>
      <c r="G4742" s="6" t="s">
        <v>52</v>
      </c>
      <c r="H4742" s="6" t="s">
        <v>53</v>
      </c>
      <c r="I4742" s="8" t="s">
        <v>116</v>
      </c>
      <c r="J4742" s="9">
        <v>1</v>
      </c>
      <c r="K4742" s="9">
        <v>341</v>
      </c>
      <c r="L4742" s="9">
        <v>2025</v>
      </c>
      <c r="M4742" s="8" t="s">
        <v>28065</v>
      </c>
      <c r="N4742" s="8" t="s">
        <v>997</v>
      </c>
      <c r="O4742" s="8" t="s">
        <v>998</v>
      </c>
      <c r="P4742" s="6" t="s">
        <v>167</v>
      </c>
      <c r="Q4742" s="8" t="s">
        <v>58</v>
      </c>
      <c r="R4742" s="10" t="s">
        <v>25341</v>
      </c>
      <c r="S4742" s="11" t="s">
        <v>28060</v>
      </c>
      <c r="T4742" s="6"/>
      <c r="U4742" s="24" t="str">
        <f>HYPERLINK("https://media.infra-m.ru/2169/2169733/cover/2169733.jpg", "Обложка")</f>
        <v>Обложка</v>
      </c>
      <c r="V4742" s="24" t="str">
        <f>HYPERLINK("https://znanium.ru/catalog/product/2169733", "Ознакомиться")</f>
        <v>Ознакомиться</v>
      </c>
      <c r="W4742" s="8" t="s">
        <v>2080</v>
      </c>
      <c r="X4742" s="6" t="s">
        <v>226</v>
      </c>
      <c r="Y4742" s="6"/>
      <c r="Z4742" s="6"/>
      <c r="AA4742" s="6" t="s">
        <v>5855</v>
      </c>
      <c r="AB4742" s="8"/>
    </row>
    <row r="4743" spans="1:28" s="4" customFormat="1" ht="42" customHeight="1">
      <c r="A4743" s="5">
        <v>0</v>
      </c>
      <c r="B4743" s="6" t="s">
        <v>28066</v>
      </c>
      <c r="C4743" s="13">
        <v>1904</v>
      </c>
      <c r="D4743" s="8" t="s">
        <v>28067</v>
      </c>
      <c r="E4743" s="8" t="s">
        <v>28068</v>
      </c>
      <c r="F4743" s="8" t="s">
        <v>28069</v>
      </c>
      <c r="G4743" s="6" t="s">
        <v>52</v>
      </c>
      <c r="H4743" s="6" t="s">
        <v>674</v>
      </c>
      <c r="I4743" s="8"/>
      <c r="J4743" s="9">
        <v>1</v>
      </c>
      <c r="K4743" s="9">
        <v>380</v>
      </c>
      <c r="L4743" s="9">
        <v>2025</v>
      </c>
      <c r="M4743" s="8" t="s">
        <v>28070</v>
      </c>
      <c r="N4743" s="8" t="s">
        <v>41</v>
      </c>
      <c r="O4743" s="8" t="s">
        <v>676</v>
      </c>
      <c r="P4743" s="6" t="s">
        <v>43</v>
      </c>
      <c r="Q4743" s="8" t="s">
        <v>214</v>
      </c>
      <c r="R4743" s="10" t="s">
        <v>15966</v>
      </c>
      <c r="S4743" s="11"/>
      <c r="T4743" s="6"/>
      <c r="U4743" s="24" t="str">
        <f>HYPERLINK("https://media.infra-m.ru/2169/2169362/cover/2169362.jpg", "Обложка")</f>
        <v>Обложка</v>
      </c>
      <c r="V4743" s="24" t="str">
        <f>HYPERLINK("https://znanium.ru/catalog/product/1877327", "Ознакомиться")</f>
        <v>Ознакомиться</v>
      </c>
      <c r="W4743" s="8" t="s">
        <v>792</v>
      </c>
      <c r="X4743" s="6"/>
      <c r="Y4743" s="6"/>
      <c r="Z4743" s="6"/>
      <c r="AA4743" s="6" t="s">
        <v>207</v>
      </c>
      <c r="AB4743" s="8"/>
    </row>
    <row r="4744" spans="1:28" s="4" customFormat="1" ht="42" customHeight="1">
      <c r="A4744" s="5">
        <v>0</v>
      </c>
      <c r="B4744" s="6" t="s">
        <v>28071</v>
      </c>
      <c r="C4744" s="13">
        <v>2300</v>
      </c>
      <c r="D4744" s="8" t="s">
        <v>28072</v>
      </c>
      <c r="E4744" s="8" t="s">
        <v>28073</v>
      </c>
      <c r="F4744" s="8" t="s">
        <v>28074</v>
      </c>
      <c r="G4744" s="6" t="s">
        <v>52</v>
      </c>
      <c r="H4744" s="6" t="s">
        <v>53</v>
      </c>
      <c r="I4744" s="8" t="s">
        <v>5586</v>
      </c>
      <c r="J4744" s="9">
        <v>1</v>
      </c>
      <c r="K4744" s="9">
        <v>486</v>
      </c>
      <c r="L4744" s="9">
        <v>2024</v>
      </c>
      <c r="M4744" s="8" t="s">
        <v>28075</v>
      </c>
      <c r="N4744" s="8" t="s">
        <v>41</v>
      </c>
      <c r="O4744" s="8" t="s">
        <v>676</v>
      </c>
      <c r="P4744" s="6" t="s">
        <v>5588</v>
      </c>
      <c r="Q4744" s="8" t="s">
        <v>58</v>
      </c>
      <c r="R4744" s="10" t="s">
        <v>28076</v>
      </c>
      <c r="S4744" s="11"/>
      <c r="T4744" s="6"/>
      <c r="U4744" s="24" t="str">
        <f>HYPERLINK("https://media.infra-m.ru/1876/1876529/cover/1876529.jpg", "Обложка")</f>
        <v>Обложка</v>
      </c>
      <c r="V4744" s="24" t="str">
        <f>HYPERLINK("https://znanium.ru/catalog/product/1876529", "Ознакомиться")</f>
        <v>Ознакомиться</v>
      </c>
      <c r="W4744" s="8" t="s">
        <v>4153</v>
      </c>
      <c r="X4744" s="6"/>
      <c r="Y4744" s="6"/>
      <c r="Z4744" s="6"/>
      <c r="AA4744" s="6" t="s">
        <v>133</v>
      </c>
      <c r="AB4744" s="8"/>
    </row>
    <row r="4745" spans="1:28" s="4" customFormat="1" ht="51.95" customHeight="1">
      <c r="A4745" s="5">
        <v>0</v>
      </c>
      <c r="B4745" s="6" t="s">
        <v>28077</v>
      </c>
      <c r="C4745" s="7">
        <v>750</v>
      </c>
      <c r="D4745" s="8" t="s">
        <v>28078</v>
      </c>
      <c r="E4745" s="8" t="s">
        <v>28079</v>
      </c>
      <c r="F4745" s="8" t="s">
        <v>28080</v>
      </c>
      <c r="G4745" s="6" t="s">
        <v>89</v>
      </c>
      <c r="H4745" s="6" t="s">
        <v>674</v>
      </c>
      <c r="I4745" s="8"/>
      <c r="J4745" s="9">
        <v>1</v>
      </c>
      <c r="K4745" s="9">
        <v>192</v>
      </c>
      <c r="L4745" s="9">
        <v>2022</v>
      </c>
      <c r="M4745" s="8" t="s">
        <v>28081</v>
      </c>
      <c r="N4745" s="8" t="s">
        <v>41</v>
      </c>
      <c r="O4745" s="8" t="s">
        <v>676</v>
      </c>
      <c r="P4745" s="6" t="s">
        <v>1046</v>
      </c>
      <c r="Q4745" s="8" t="s">
        <v>214</v>
      </c>
      <c r="R4745" s="10" t="s">
        <v>677</v>
      </c>
      <c r="S4745" s="11"/>
      <c r="T4745" s="6"/>
      <c r="U4745" s="24" t="str">
        <f>HYPERLINK("https://media.infra-m.ru/1856/1856008/cover/1856008.jpg", "Обложка")</f>
        <v>Обложка</v>
      </c>
      <c r="V4745" s="24" t="str">
        <f>HYPERLINK("https://znanium.ru/catalog/product/1973508", "Ознакомиться")</f>
        <v>Ознакомиться</v>
      </c>
      <c r="W4745" s="8" t="s">
        <v>792</v>
      </c>
      <c r="X4745" s="6"/>
      <c r="Y4745" s="6"/>
      <c r="Z4745" s="6"/>
      <c r="AA4745" s="6" t="s">
        <v>258</v>
      </c>
      <c r="AB4745" s="8"/>
    </row>
    <row r="4746" spans="1:28" s="4" customFormat="1" ht="51.95" customHeight="1">
      <c r="A4746" s="5">
        <v>0</v>
      </c>
      <c r="B4746" s="6" t="s">
        <v>28082</v>
      </c>
      <c r="C4746" s="13">
        <v>1530</v>
      </c>
      <c r="D4746" s="8" t="s">
        <v>28083</v>
      </c>
      <c r="E4746" s="8" t="s">
        <v>28084</v>
      </c>
      <c r="F4746" s="8" t="s">
        <v>28085</v>
      </c>
      <c r="G4746" s="6" t="s">
        <v>89</v>
      </c>
      <c r="H4746" s="6" t="s">
        <v>184</v>
      </c>
      <c r="I4746" s="8" t="s">
        <v>116</v>
      </c>
      <c r="J4746" s="9">
        <v>1</v>
      </c>
      <c r="K4746" s="9">
        <v>294</v>
      </c>
      <c r="L4746" s="9">
        <v>2025</v>
      </c>
      <c r="M4746" s="8" t="s">
        <v>28086</v>
      </c>
      <c r="N4746" s="8" t="s">
        <v>41</v>
      </c>
      <c r="O4746" s="8" t="s">
        <v>676</v>
      </c>
      <c r="P4746" s="6" t="s">
        <v>167</v>
      </c>
      <c r="Q4746" s="8" t="s">
        <v>58</v>
      </c>
      <c r="R4746" s="10" t="s">
        <v>28087</v>
      </c>
      <c r="S4746" s="11" t="s">
        <v>28088</v>
      </c>
      <c r="T4746" s="6"/>
      <c r="U4746" s="24" t="str">
        <f>HYPERLINK("https://media.infra-m.ru/2200/2200944/cover/2200944.jpg", "Обложка")</f>
        <v>Обложка</v>
      </c>
      <c r="V4746" s="24" t="str">
        <f>HYPERLINK("https://znanium.ru/catalog/product/2123339", "Ознакомиться")</f>
        <v>Ознакомиться</v>
      </c>
      <c r="W4746" s="8" t="s">
        <v>5475</v>
      </c>
      <c r="X4746" s="6"/>
      <c r="Y4746" s="6"/>
      <c r="Z4746" s="6"/>
      <c r="AA4746" s="6" t="s">
        <v>2414</v>
      </c>
      <c r="AB4746" s="8"/>
    </row>
    <row r="4747" spans="1:28" s="4" customFormat="1" ht="51.95" customHeight="1">
      <c r="A4747" s="5">
        <v>0</v>
      </c>
      <c r="B4747" s="6" t="s">
        <v>28089</v>
      </c>
      <c r="C4747" s="7">
        <v>444.9</v>
      </c>
      <c r="D4747" s="8" t="s">
        <v>28090</v>
      </c>
      <c r="E4747" s="8" t="s">
        <v>28091</v>
      </c>
      <c r="F4747" s="8" t="s">
        <v>28085</v>
      </c>
      <c r="G4747" s="6" t="s">
        <v>38</v>
      </c>
      <c r="H4747" s="6" t="s">
        <v>184</v>
      </c>
      <c r="I4747" s="8" t="s">
        <v>13321</v>
      </c>
      <c r="J4747" s="9">
        <v>1</v>
      </c>
      <c r="K4747" s="9">
        <v>152</v>
      </c>
      <c r="L4747" s="9">
        <v>2022</v>
      </c>
      <c r="M4747" s="8" t="s">
        <v>28092</v>
      </c>
      <c r="N4747" s="8" t="s">
        <v>41</v>
      </c>
      <c r="O4747" s="8" t="s">
        <v>676</v>
      </c>
      <c r="P4747" s="6" t="s">
        <v>43</v>
      </c>
      <c r="Q4747" s="8" t="s">
        <v>44</v>
      </c>
      <c r="R4747" s="10" t="s">
        <v>28093</v>
      </c>
      <c r="S4747" s="11"/>
      <c r="T4747" s="6"/>
      <c r="U4747" s="24" t="str">
        <f>HYPERLINK("https://media.infra-m.ru/1946/1946195/cover/1946195.jpg", "Обложка")</f>
        <v>Обложка</v>
      </c>
      <c r="V4747" s="24" t="str">
        <f>HYPERLINK("https://znanium.ru/catalog/product/1925515", "Ознакомиться")</f>
        <v>Ознакомиться</v>
      </c>
      <c r="W4747" s="8" t="s">
        <v>5475</v>
      </c>
      <c r="X4747" s="6"/>
      <c r="Y4747" s="6"/>
      <c r="Z4747" s="6"/>
      <c r="AA4747" s="6" t="s">
        <v>160</v>
      </c>
      <c r="AB4747" s="8"/>
    </row>
    <row r="4748" spans="1:28" s="4" customFormat="1" ht="51.95" customHeight="1">
      <c r="A4748" s="5">
        <v>0</v>
      </c>
      <c r="B4748" s="6" t="s">
        <v>28094</v>
      </c>
      <c r="C4748" s="13">
        <v>1084.9000000000001</v>
      </c>
      <c r="D4748" s="8" t="s">
        <v>28095</v>
      </c>
      <c r="E4748" s="8" t="s">
        <v>28096</v>
      </c>
      <c r="F4748" s="8" t="s">
        <v>28097</v>
      </c>
      <c r="G4748" s="6" t="s">
        <v>38</v>
      </c>
      <c r="H4748" s="6" t="s">
        <v>674</v>
      </c>
      <c r="I4748" s="8"/>
      <c r="J4748" s="9">
        <v>1</v>
      </c>
      <c r="K4748" s="9">
        <v>288</v>
      </c>
      <c r="L4748" s="9">
        <v>2023</v>
      </c>
      <c r="M4748" s="8" t="s">
        <v>28098</v>
      </c>
      <c r="N4748" s="8" t="s">
        <v>41</v>
      </c>
      <c r="O4748" s="8" t="s">
        <v>676</v>
      </c>
      <c r="P4748" s="6" t="s">
        <v>43</v>
      </c>
      <c r="Q4748" s="8" t="s">
        <v>44</v>
      </c>
      <c r="R4748" s="10" t="s">
        <v>28099</v>
      </c>
      <c r="S4748" s="11"/>
      <c r="T4748" s="6"/>
      <c r="U4748" s="24" t="str">
        <f>HYPERLINK("https://media.infra-m.ru/1907/1907133/cover/1907133.jpg", "Обложка")</f>
        <v>Обложка</v>
      </c>
      <c r="V4748" s="24" t="str">
        <f>HYPERLINK("https://znanium.ru/catalog/product/1843628", "Ознакомиться")</f>
        <v>Ознакомиться</v>
      </c>
      <c r="W4748" s="8" t="s">
        <v>28100</v>
      </c>
      <c r="X4748" s="6"/>
      <c r="Y4748" s="6"/>
      <c r="Z4748" s="6"/>
      <c r="AA4748" s="6" t="s">
        <v>122</v>
      </c>
      <c r="AB4748" s="8"/>
    </row>
    <row r="4749" spans="1:28" s="4" customFormat="1" ht="51.95" customHeight="1">
      <c r="A4749" s="5">
        <v>0</v>
      </c>
      <c r="B4749" s="6" t="s">
        <v>28101</v>
      </c>
      <c r="C4749" s="13">
        <v>3044</v>
      </c>
      <c r="D4749" s="8" t="s">
        <v>28102</v>
      </c>
      <c r="E4749" s="8" t="s">
        <v>28103</v>
      </c>
      <c r="F4749" s="8" t="s">
        <v>28104</v>
      </c>
      <c r="G4749" s="6" t="s">
        <v>52</v>
      </c>
      <c r="H4749" s="6" t="s">
        <v>674</v>
      </c>
      <c r="I4749" s="8"/>
      <c r="J4749" s="9">
        <v>1</v>
      </c>
      <c r="K4749" s="9">
        <v>632</v>
      </c>
      <c r="L4749" s="9">
        <v>2025</v>
      </c>
      <c r="M4749" s="8" t="s">
        <v>28105</v>
      </c>
      <c r="N4749" s="8" t="s">
        <v>41</v>
      </c>
      <c r="O4749" s="8" t="s">
        <v>676</v>
      </c>
      <c r="P4749" s="6" t="s">
        <v>167</v>
      </c>
      <c r="Q4749" s="8" t="s">
        <v>214</v>
      </c>
      <c r="R4749" s="10" t="s">
        <v>28093</v>
      </c>
      <c r="S4749" s="11"/>
      <c r="T4749" s="6"/>
      <c r="U4749" s="24" t="str">
        <f>HYPERLINK("https://media.infra-m.ru/2193/2193029/cover/2193029.jpg", "Обложка")</f>
        <v>Обложка</v>
      </c>
      <c r="V4749" s="24" t="str">
        <f>HYPERLINK("https://znanium.ru/catalog/product/2152079", "Ознакомиться")</f>
        <v>Ознакомиться</v>
      </c>
      <c r="W4749" s="8" t="s">
        <v>1626</v>
      </c>
      <c r="X4749" s="6"/>
      <c r="Y4749" s="6"/>
      <c r="Z4749" s="6"/>
      <c r="AA4749" s="6" t="s">
        <v>549</v>
      </c>
      <c r="AB4749" s="8"/>
    </row>
    <row r="4750" spans="1:28" s="4" customFormat="1" ht="51.95" customHeight="1">
      <c r="A4750" s="5">
        <v>0</v>
      </c>
      <c r="B4750" s="6" t="s">
        <v>28106</v>
      </c>
      <c r="C4750" s="13">
        <v>2400</v>
      </c>
      <c r="D4750" s="8" t="s">
        <v>28107</v>
      </c>
      <c r="E4750" s="8" t="s">
        <v>28108</v>
      </c>
      <c r="F4750" s="8" t="s">
        <v>28104</v>
      </c>
      <c r="G4750" s="6" t="s">
        <v>89</v>
      </c>
      <c r="H4750" s="6" t="s">
        <v>674</v>
      </c>
      <c r="I4750" s="8"/>
      <c r="J4750" s="9">
        <v>1</v>
      </c>
      <c r="K4750" s="9">
        <v>688</v>
      </c>
      <c r="L4750" s="9">
        <v>2023</v>
      </c>
      <c r="M4750" s="8" t="s">
        <v>28109</v>
      </c>
      <c r="N4750" s="8" t="s">
        <v>41</v>
      </c>
      <c r="O4750" s="8" t="s">
        <v>676</v>
      </c>
      <c r="P4750" s="6" t="s">
        <v>167</v>
      </c>
      <c r="Q4750" s="8" t="s">
        <v>214</v>
      </c>
      <c r="R4750" s="10" t="s">
        <v>28093</v>
      </c>
      <c r="S4750" s="11"/>
      <c r="T4750" s="6"/>
      <c r="U4750" s="24" t="str">
        <f>HYPERLINK("https://media.infra-m.ru/1999/1999881/cover/1999881.jpg", "Обложка")</f>
        <v>Обложка</v>
      </c>
      <c r="V4750" s="24" t="str">
        <f>HYPERLINK("https://znanium.ru/catalog/product/2152079", "Ознакомиться")</f>
        <v>Ознакомиться</v>
      </c>
      <c r="W4750" s="8" t="s">
        <v>1626</v>
      </c>
      <c r="X4750" s="6"/>
      <c r="Y4750" s="6"/>
      <c r="Z4750" s="6"/>
      <c r="AA4750" s="6" t="s">
        <v>793</v>
      </c>
      <c r="AB4750" s="8"/>
    </row>
    <row r="4751" spans="1:28" s="4" customFormat="1" ht="51.95" customHeight="1">
      <c r="A4751" s="5">
        <v>0</v>
      </c>
      <c r="B4751" s="6" t="s">
        <v>28110</v>
      </c>
      <c r="C4751" s="13">
        <v>2164</v>
      </c>
      <c r="D4751" s="8" t="s">
        <v>28111</v>
      </c>
      <c r="E4751" s="8" t="s">
        <v>28103</v>
      </c>
      <c r="F4751" s="8" t="s">
        <v>28112</v>
      </c>
      <c r="G4751" s="6" t="s">
        <v>52</v>
      </c>
      <c r="H4751" s="6" t="s">
        <v>674</v>
      </c>
      <c r="I4751" s="8"/>
      <c r="J4751" s="9">
        <v>1</v>
      </c>
      <c r="K4751" s="9">
        <v>432</v>
      </c>
      <c r="L4751" s="9">
        <v>2025</v>
      </c>
      <c r="M4751" s="8" t="s">
        <v>28113</v>
      </c>
      <c r="N4751" s="8" t="s">
        <v>41</v>
      </c>
      <c r="O4751" s="8" t="s">
        <v>676</v>
      </c>
      <c r="P4751" s="6" t="s">
        <v>167</v>
      </c>
      <c r="Q4751" s="8" t="s">
        <v>44</v>
      </c>
      <c r="R4751" s="10" t="s">
        <v>28099</v>
      </c>
      <c r="S4751" s="11" t="s">
        <v>28114</v>
      </c>
      <c r="T4751" s="6"/>
      <c r="U4751" s="24" t="str">
        <f>HYPERLINK("https://media.infra-m.ru/2184/2184960/cover/2184960.jpg", "Обложка")</f>
        <v>Обложка</v>
      </c>
      <c r="V4751" s="24" t="str">
        <f>HYPERLINK("https://znanium.ru/catalog/product/1859237", "Ознакомиться")</f>
        <v>Ознакомиться</v>
      </c>
      <c r="W4751" s="8" t="s">
        <v>1626</v>
      </c>
      <c r="X4751" s="6"/>
      <c r="Y4751" s="6"/>
      <c r="Z4751" s="6"/>
      <c r="AA4751" s="6" t="s">
        <v>4504</v>
      </c>
      <c r="AB4751" s="8"/>
    </row>
    <row r="4752" spans="1:28" s="4" customFormat="1" ht="51.95" customHeight="1">
      <c r="A4752" s="5">
        <v>0</v>
      </c>
      <c r="B4752" s="6" t="s">
        <v>28115</v>
      </c>
      <c r="C4752" s="13">
        <v>1360</v>
      </c>
      <c r="D4752" s="8" t="s">
        <v>28116</v>
      </c>
      <c r="E4752" s="8" t="s">
        <v>28117</v>
      </c>
      <c r="F4752" s="8" t="s">
        <v>28118</v>
      </c>
      <c r="G4752" s="6" t="s">
        <v>89</v>
      </c>
      <c r="H4752" s="6" t="s">
        <v>674</v>
      </c>
      <c r="I4752" s="8"/>
      <c r="J4752" s="9">
        <v>1</v>
      </c>
      <c r="K4752" s="9">
        <v>272</v>
      </c>
      <c r="L4752" s="9">
        <v>2025</v>
      </c>
      <c r="M4752" s="8" t="s">
        <v>28119</v>
      </c>
      <c r="N4752" s="8" t="s">
        <v>41</v>
      </c>
      <c r="O4752" s="8" t="s">
        <v>676</v>
      </c>
      <c r="P4752" s="6" t="s">
        <v>175</v>
      </c>
      <c r="Q4752" s="8" t="s">
        <v>44</v>
      </c>
      <c r="R4752" s="10" t="s">
        <v>677</v>
      </c>
      <c r="S4752" s="11"/>
      <c r="T4752" s="6"/>
      <c r="U4752" s="24" t="str">
        <f>HYPERLINK("https://media.infra-m.ru/2160/2160649/cover/2160649.jpg", "Обложка")</f>
        <v>Обложка</v>
      </c>
      <c r="V4752" s="24" t="str">
        <f>HYPERLINK("https://znanium.ru/catalog/product/2160649", "Ознакомиться")</f>
        <v>Ознакомиться</v>
      </c>
      <c r="W4752" s="8" t="s">
        <v>792</v>
      </c>
      <c r="X4752" s="6"/>
      <c r="Y4752" s="6"/>
      <c r="Z4752" s="6"/>
      <c r="AA4752" s="6" t="s">
        <v>442</v>
      </c>
      <c r="AB4752" s="8"/>
    </row>
    <row r="4753" spans="1:28" s="4" customFormat="1" ht="51.95" customHeight="1">
      <c r="A4753" s="5">
        <v>0</v>
      </c>
      <c r="B4753" s="6" t="s">
        <v>28120</v>
      </c>
      <c r="C4753" s="13">
        <v>3160</v>
      </c>
      <c r="D4753" s="8" t="s">
        <v>28121</v>
      </c>
      <c r="E4753" s="8" t="s">
        <v>28122</v>
      </c>
      <c r="F4753" s="8" t="s">
        <v>28123</v>
      </c>
      <c r="G4753" s="6" t="s">
        <v>52</v>
      </c>
      <c r="H4753" s="6" t="s">
        <v>674</v>
      </c>
      <c r="I4753" s="8"/>
      <c r="J4753" s="9">
        <v>1</v>
      </c>
      <c r="K4753" s="9">
        <v>632</v>
      </c>
      <c r="L4753" s="9">
        <v>2025</v>
      </c>
      <c r="M4753" s="8" t="s">
        <v>28124</v>
      </c>
      <c r="N4753" s="8" t="s">
        <v>41</v>
      </c>
      <c r="O4753" s="8" t="s">
        <v>676</v>
      </c>
      <c r="P4753" s="6" t="s">
        <v>167</v>
      </c>
      <c r="Q4753" s="8" t="s">
        <v>44</v>
      </c>
      <c r="R4753" s="10" t="s">
        <v>28125</v>
      </c>
      <c r="S4753" s="11" t="s">
        <v>28126</v>
      </c>
      <c r="T4753" s="6"/>
      <c r="U4753" s="24" t="str">
        <f>HYPERLINK("https://media.infra-m.ru/2185/2185073/cover/2185073.jpg", "Обложка")</f>
        <v>Обложка</v>
      </c>
      <c r="V4753" s="24" t="str">
        <f>HYPERLINK("https://znanium.ru/catalog/product/2185073", "Ознакомиться")</f>
        <v>Ознакомиться</v>
      </c>
      <c r="W4753" s="8" t="s">
        <v>5475</v>
      </c>
      <c r="X4753" s="6"/>
      <c r="Y4753" s="6"/>
      <c r="Z4753" s="6"/>
      <c r="AA4753" s="6" t="s">
        <v>898</v>
      </c>
      <c r="AB4753" s="8"/>
    </row>
    <row r="4754" spans="1:28" s="4" customFormat="1" ht="51.95" customHeight="1">
      <c r="A4754" s="5">
        <v>0</v>
      </c>
      <c r="B4754" s="6" t="s">
        <v>28127</v>
      </c>
      <c r="C4754" s="13">
        <v>2144</v>
      </c>
      <c r="D4754" s="8" t="s">
        <v>28128</v>
      </c>
      <c r="E4754" s="8" t="s">
        <v>28129</v>
      </c>
      <c r="F4754" s="8" t="s">
        <v>28130</v>
      </c>
      <c r="G4754" s="6" t="s">
        <v>52</v>
      </c>
      <c r="H4754" s="6" t="s">
        <v>674</v>
      </c>
      <c r="I4754" s="8"/>
      <c r="J4754" s="9">
        <v>1</v>
      </c>
      <c r="K4754" s="9">
        <v>528</v>
      </c>
      <c r="L4754" s="9">
        <v>2023</v>
      </c>
      <c r="M4754" s="8" t="s">
        <v>28131</v>
      </c>
      <c r="N4754" s="8" t="s">
        <v>41</v>
      </c>
      <c r="O4754" s="8" t="s">
        <v>676</v>
      </c>
      <c r="P4754" s="6" t="s">
        <v>167</v>
      </c>
      <c r="Q4754" s="8" t="s">
        <v>44</v>
      </c>
      <c r="R4754" s="10" t="s">
        <v>677</v>
      </c>
      <c r="S4754" s="11"/>
      <c r="T4754" s="6"/>
      <c r="U4754" s="24" t="str">
        <f>HYPERLINK("https://media.infra-m.ru/2132/2132554/cover/2132554.jpg", "Обложка")</f>
        <v>Обложка</v>
      </c>
      <c r="V4754" s="24" t="str">
        <f>HYPERLINK("https://znanium.ru/catalog/product/1860856", "Ознакомиться")</f>
        <v>Ознакомиться</v>
      </c>
      <c r="W4754" s="8" t="s">
        <v>792</v>
      </c>
      <c r="X4754" s="6"/>
      <c r="Y4754" s="6"/>
      <c r="Z4754" s="6"/>
      <c r="AA4754" s="6" t="s">
        <v>442</v>
      </c>
      <c r="AB4754" s="8"/>
    </row>
    <row r="4755" spans="1:28" s="4" customFormat="1" ht="51.95" customHeight="1">
      <c r="A4755" s="5">
        <v>0</v>
      </c>
      <c r="B4755" s="6" t="s">
        <v>28132</v>
      </c>
      <c r="C4755" s="7">
        <v>770</v>
      </c>
      <c r="D4755" s="8" t="s">
        <v>28133</v>
      </c>
      <c r="E4755" s="8" t="s">
        <v>28134</v>
      </c>
      <c r="F4755" s="8" t="s">
        <v>28135</v>
      </c>
      <c r="G4755" s="6" t="s">
        <v>89</v>
      </c>
      <c r="H4755" s="6" t="s">
        <v>53</v>
      </c>
      <c r="I4755" s="8" t="s">
        <v>212</v>
      </c>
      <c r="J4755" s="9">
        <v>1</v>
      </c>
      <c r="K4755" s="9">
        <v>167</v>
      </c>
      <c r="L4755" s="9">
        <v>2024</v>
      </c>
      <c r="M4755" s="8" t="s">
        <v>28136</v>
      </c>
      <c r="N4755" s="8" t="s">
        <v>41</v>
      </c>
      <c r="O4755" s="8" t="s">
        <v>676</v>
      </c>
      <c r="P4755" s="6" t="s">
        <v>43</v>
      </c>
      <c r="Q4755" s="8" t="s">
        <v>214</v>
      </c>
      <c r="R4755" s="10" t="s">
        <v>3950</v>
      </c>
      <c r="S4755" s="11" t="s">
        <v>28137</v>
      </c>
      <c r="T4755" s="6"/>
      <c r="U4755" s="24" t="str">
        <f>HYPERLINK("https://media.infra-m.ru/2129/2129665/cover/2129665.jpg", "Обложка")</f>
        <v>Обложка</v>
      </c>
      <c r="V4755" s="24" t="str">
        <f>HYPERLINK("https://znanium.ru/catalog/product/2129665", "Ознакомиться")</f>
        <v>Ознакомиться</v>
      </c>
      <c r="W4755" s="8" t="s">
        <v>1233</v>
      </c>
      <c r="X4755" s="6"/>
      <c r="Y4755" s="6"/>
      <c r="Z4755" s="6"/>
      <c r="AA4755" s="6" t="s">
        <v>235</v>
      </c>
      <c r="AB4755" s="8"/>
    </row>
    <row r="4756" spans="1:28" s="4" customFormat="1" ht="51.95" customHeight="1">
      <c r="A4756" s="5">
        <v>0</v>
      </c>
      <c r="B4756" s="6" t="s">
        <v>28138</v>
      </c>
      <c r="C4756" s="13">
        <v>1004</v>
      </c>
      <c r="D4756" s="8" t="s">
        <v>28139</v>
      </c>
      <c r="E4756" s="8" t="s">
        <v>28140</v>
      </c>
      <c r="F4756" s="8" t="s">
        <v>28141</v>
      </c>
      <c r="G4756" s="6" t="s">
        <v>89</v>
      </c>
      <c r="H4756" s="6" t="s">
        <v>53</v>
      </c>
      <c r="I4756" s="8" t="s">
        <v>212</v>
      </c>
      <c r="J4756" s="9">
        <v>1</v>
      </c>
      <c r="K4756" s="9">
        <v>200</v>
      </c>
      <c r="L4756" s="9">
        <v>2025</v>
      </c>
      <c r="M4756" s="8" t="s">
        <v>28142</v>
      </c>
      <c r="N4756" s="8" t="s">
        <v>41</v>
      </c>
      <c r="O4756" s="8" t="s">
        <v>676</v>
      </c>
      <c r="P4756" s="6" t="s">
        <v>167</v>
      </c>
      <c r="Q4756" s="8" t="s">
        <v>214</v>
      </c>
      <c r="R4756" s="10" t="s">
        <v>10198</v>
      </c>
      <c r="S4756" s="11" t="s">
        <v>28143</v>
      </c>
      <c r="T4756" s="6"/>
      <c r="U4756" s="24" t="str">
        <f>HYPERLINK("https://media.infra-m.ru/2187/2187512/cover/2187512.jpg", "Обложка")</f>
        <v>Обложка</v>
      </c>
      <c r="V4756" s="24" t="str">
        <f>HYPERLINK("https://znanium.ru/catalog/product/2179869", "Ознакомиться")</f>
        <v>Ознакомиться</v>
      </c>
      <c r="W4756" s="8" t="s">
        <v>1233</v>
      </c>
      <c r="X4756" s="6"/>
      <c r="Y4756" s="6"/>
      <c r="Z4756" s="6"/>
      <c r="AA4756" s="6" t="s">
        <v>219</v>
      </c>
      <c r="AB4756" s="8"/>
    </row>
    <row r="4757" spans="1:28" s="4" customFormat="1" ht="42" customHeight="1">
      <c r="A4757" s="5">
        <v>0</v>
      </c>
      <c r="B4757" s="6" t="s">
        <v>28144</v>
      </c>
      <c r="C4757" s="13">
        <v>2370</v>
      </c>
      <c r="D4757" s="8" t="s">
        <v>28145</v>
      </c>
      <c r="E4757" s="8" t="s">
        <v>28140</v>
      </c>
      <c r="F4757" s="8" t="s">
        <v>28146</v>
      </c>
      <c r="G4757" s="6" t="s">
        <v>52</v>
      </c>
      <c r="H4757" s="6" t="s">
        <v>53</v>
      </c>
      <c r="I4757" s="8" t="s">
        <v>212</v>
      </c>
      <c r="J4757" s="9">
        <v>1</v>
      </c>
      <c r="K4757" s="9">
        <v>515</v>
      </c>
      <c r="L4757" s="9">
        <v>2024</v>
      </c>
      <c r="M4757" s="8" t="s">
        <v>28147</v>
      </c>
      <c r="N4757" s="8" t="s">
        <v>41</v>
      </c>
      <c r="O4757" s="8" t="s">
        <v>676</v>
      </c>
      <c r="P4757" s="6" t="s">
        <v>43</v>
      </c>
      <c r="Q4757" s="8" t="s">
        <v>214</v>
      </c>
      <c r="R4757" s="10" t="s">
        <v>3950</v>
      </c>
      <c r="S4757" s="11"/>
      <c r="T4757" s="6"/>
      <c r="U4757" s="24" t="str">
        <f>HYPERLINK("https://media.infra-m.ru/1910/1910863/cover/1910863.jpg", "Обложка")</f>
        <v>Обложка</v>
      </c>
      <c r="V4757" s="24" t="str">
        <f>HYPERLINK("https://znanium.ru/catalog/product/1910863", "Ознакомиться")</f>
        <v>Ознакомиться</v>
      </c>
      <c r="W4757" s="8" t="s">
        <v>4153</v>
      </c>
      <c r="X4757" s="6"/>
      <c r="Y4757" s="6"/>
      <c r="Z4757" s="6"/>
      <c r="AA4757" s="6" t="s">
        <v>133</v>
      </c>
      <c r="AB4757" s="8"/>
    </row>
    <row r="4758" spans="1:28" s="4" customFormat="1" ht="42" customHeight="1">
      <c r="A4758" s="5">
        <v>0</v>
      </c>
      <c r="B4758" s="6" t="s">
        <v>28148</v>
      </c>
      <c r="C4758" s="13">
        <v>1850</v>
      </c>
      <c r="D4758" s="8" t="s">
        <v>28149</v>
      </c>
      <c r="E4758" s="8" t="s">
        <v>28150</v>
      </c>
      <c r="F4758" s="8" t="s">
        <v>28151</v>
      </c>
      <c r="G4758" s="6" t="s">
        <v>52</v>
      </c>
      <c r="H4758" s="6" t="s">
        <v>53</v>
      </c>
      <c r="I4758" s="8" t="s">
        <v>212</v>
      </c>
      <c r="J4758" s="9">
        <v>1</v>
      </c>
      <c r="K4758" s="9">
        <v>377</v>
      </c>
      <c r="L4758" s="9">
        <v>2023</v>
      </c>
      <c r="M4758" s="8" t="s">
        <v>28152</v>
      </c>
      <c r="N4758" s="8" t="s">
        <v>41</v>
      </c>
      <c r="O4758" s="8" t="s">
        <v>676</v>
      </c>
      <c r="P4758" s="6" t="s">
        <v>167</v>
      </c>
      <c r="Q4758" s="8" t="s">
        <v>58</v>
      </c>
      <c r="R4758" s="10" t="s">
        <v>28153</v>
      </c>
      <c r="S4758" s="11"/>
      <c r="T4758" s="6"/>
      <c r="U4758" s="24" t="str">
        <f>HYPERLINK("https://media.infra-m.ru/1904/1904326/cover/1904326.jpg", "Обложка")</f>
        <v>Обложка</v>
      </c>
      <c r="V4758" s="24" t="str">
        <f>HYPERLINK("https://znanium.ru/catalog/product/1904326", "Ознакомиться")</f>
        <v>Ознакомиться</v>
      </c>
      <c r="W4758" s="8" t="s">
        <v>15968</v>
      </c>
      <c r="X4758" s="6"/>
      <c r="Y4758" s="6"/>
      <c r="Z4758" s="6"/>
      <c r="AA4758" s="6" t="s">
        <v>207</v>
      </c>
      <c r="AB4758" s="8"/>
    </row>
    <row r="4759" spans="1:28" s="4" customFormat="1" ht="51.95" customHeight="1">
      <c r="A4759" s="5">
        <v>0</v>
      </c>
      <c r="B4759" s="6" t="s">
        <v>28154</v>
      </c>
      <c r="C4759" s="13">
        <v>2400</v>
      </c>
      <c r="D4759" s="8" t="s">
        <v>28155</v>
      </c>
      <c r="E4759" s="8" t="s">
        <v>28156</v>
      </c>
      <c r="F4759" s="8" t="s">
        <v>28157</v>
      </c>
      <c r="G4759" s="6" t="s">
        <v>52</v>
      </c>
      <c r="H4759" s="6" t="s">
        <v>674</v>
      </c>
      <c r="I4759" s="8"/>
      <c r="J4759" s="9">
        <v>1</v>
      </c>
      <c r="K4759" s="9">
        <v>480</v>
      </c>
      <c r="L4759" s="9">
        <v>2025</v>
      </c>
      <c r="M4759" s="8" t="s">
        <v>28158</v>
      </c>
      <c r="N4759" s="8" t="s">
        <v>41</v>
      </c>
      <c r="O4759" s="8" t="s">
        <v>676</v>
      </c>
      <c r="P4759" s="6" t="s">
        <v>1046</v>
      </c>
      <c r="Q4759" s="8" t="s">
        <v>44</v>
      </c>
      <c r="R4759" s="10" t="s">
        <v>262</v>
      </c>
      <c r="S4759" s="11" t="s">
        <v>28159</v>
      </c>
      <c r="T4759" s="6"/>
      <c r="U4759" s="24" t="str">
        <f>HYPERLINK("https://media.infra-m.ru/2177/2177861/cover/2177861.jpg", "Обложка")</f>
        <v>Обложка</v>
      </c>
      <c r="V4759" s="24" t="str">
        <f>HYPERLINK("https://znanium.ru/catalog/product/2177861", "Ознакомиться")</f>
        <v>Ознакомиться</v>
      </c>
      <c r="W4759" s="8" t="s">
        <v>4309</v>
      </c>
      <c r="X4759" s="6"/>
      <c r="Y4759" s="6"/>
      <c r="Z4759" s="6"/>
      <c r="AA4759" s="6" t="s">
        <v>555</v>
      </c>
      <c r="AB4759" s="8"/>
    </row>
    <row r="4760" spans="1:28" s="4" customFormat="1" ht="42" customHeight="1">
      <c r="A4760" s="5">
        <v>0</v>
      </c>
      <c r="B4760" s="6" t="s">
        <v>28160</v>
      </c>
      <c r="C4760" s="13">
        <v>1250</v>
      </c>
      <c r="D4760" s="8" t="s">
        <v>28161</v>
      </c>
      <c r="E4760" s="8" t="s">
        <v>28162</v>
      </c>
      <c r="F4760" s="8" t="s">
        <v>28163</v>
      </c>
      <c r="G4760" s="6" t="s">
        <v>89</v>
      </c>
      <c r="H4760" s="6" t="s">
        <v>53</v>
      </c>
      <c r="I4760" s="8" t="s">
        <v>212</v>
      </c>
      <c r="J4760" s="9">
        <v>1</v>
      </c>
      <c r="K4760" s="9">
        <v>244</v>
      </c>
      <c r="L4760" s="9">
        <v>2023</v>
      </c>
      <c r="M4760" s="8" t="s">
        <v>28164</v>
      </c>
      <c r="N4760" s="8" t="s">
        <v>41</v>
      </c>
      <c r="O4760" s="8" t="s">
        <v>676</v>
      </c>
      <c r="P4760" s="6" t="s">
        <v>167</v>
      </c>
      <c r="Q4760" s="8" t="s">
        <v>214</v>
      </c>
      <c r="R4760" s="10" t="s">
        <v>15966</v>
      </c>
      <c r="S4760" s="11"/>
      <c r="T4760" s="6"/>
      <c r="U4760" s="24" t="str">
        <f>HYPERLINK("https://media.infra-m.ru/2132/2132490/cover/2132490.jpg", "Обложка")</f>
        <v>Обложка</v>
      </c>
      <c r="V4760" s="24" t="str">
        <f>HYPERLINK("https://znanium.ru/catalog/product/2132490", "Ознакомиться")</f>
        <v>Ознакомиться</v>
      </c>
      <c r="W4760" s="8" t="s">
        <v>3426</v>
      </c>
      <c r="X4760" s="6"/>
      <c r="Y4760" s="6"/>
      <c r="Z4760" s="6"/>
      <c r="AA4760" s="6" t="s">
        <v>207</v>
      </c>
      <c r="AB4760" s="8"/>
    </row>
    <row r="4761" spans="1:28" s="4" customFormat="1" ht="51.95" customHeight="1">
      <c r="A4761" s="5">
        <v>0</v>
      </c>
      <c r="B4761" s="6" t="s">
        <v>28165</v>
      </c>
      <c r="C4761" s="13">
        <v>1604</v>
      </c>
      <c r="D4761" s="8" t="s">
        <v>28166</v>
      </c>
      <c r="E4761" s="8" t="s">
        <v>28167</v>
      </c>
      <c r="F4761" s="8" t="s">
        <v>28168</v>
      </c>
      <c r="G4761" s="6" t="s">
        <v>89</v>
      </c>
      <c r="H4761" s="6" t="s">
        <v>674</v>
      </c>
      <c r="I4761" s="8"/>
      <c r="J4761" s="9">
        <v>1</v>
      </c>
      <c r="K4761" s="9">
        <v>320</v>
      </c>
      <c r="L4761" s="9">
        <v>2025</v>
      </c>
      <c r="M4761" s="8" t="s">
        <v>28169</v>
      </c>
      <c r="N4761" s="8" t="s">
        <v>41</v>
      </c>
      <c r="O4761" s="8" t="s">
        <v>676</v>
      </c>
      <c r="P4761" s="6" t="s">
        <v>167</v>
      </c>
      <c r="Q4761" s="8" t="s">
        <v>279</v>
      </c>
      <c r="R4761" s="10" t="s">
        <v>806</v>
      </c>
      <c r="S4761" s="11"/>
      <c r="T4761" s="6"/>
      <c r="U4761" s="24" t="str">
        <f>HYPERLINK("https://media.infra-m.ru/2174/2174249/cover/2174249.jpg", "Обложка")</f>
        <v>Обложка</v>
      </c>
      <c r="V4761" s="24" t="str">
        <f>HYPERLINK("https://znanium.ru/catalog/product/1911023", "Ознакомиться")</f>
        <v>Ознакомиться</v>
      </c>
      <c r="W4761" s="8" t="s">
        <v>792</v>
      </c>
      <c r="X4761" s="6"/>
      <c r="Y4761" s="6"/>
      <c r="Z4761" s="6"/>
      <c r="AA4761" s="6" t="s">
        <v>793</v>
      </c>
      <c r="AB4761" s="8"/>
    </row>
    <row r="4762" spans="1:28" s="4" customFormat="1" ht="51.95" customHeight="1">
      <c r="A4762" s="5">
        <v>0</v>
      </c>
      <c r="B4762" s="6" t="s">
        <v>28170</v>
      </c>
      <c r="C4762" s="7">
        <v>890</v>
      </c>
      <c r="D4762" s="8" t="s">
        <v>28171</v>
      </c>
      <c r="E4762" s="8" t="s">
        <v>28172</v>
      </c>
      <c r="F4762" s="8" t="s">
        <v>28173</v>
      </c>
      <c r="G4762" s="6" t="s">
        <v>89</v>
      </c>
      <c r="H4762" s="6" t="s">
        <v>53</v>
      </c>
      <c r="I4762" s="8" t="s">
        <v>90</v>
      </c>
      <c r="J4762" s="9">
        <v>1</v>
      </c>
      <c r="K4762" s="9">
        <v>197</v>
      </c>
      <c r="L4762" s="9">
        <v>2020</v>
      </c>
      <c r="M4762" s="8" t="s">
        <v>28174</v>
      </c>
      <c r="N4762" s="8" t="s">
        <v>41</v>
      </c>
      <c r="O4762" s="8" t="s">
        <v>676</v>
      </c>
      <c r="P4762" s="6" t="s">
        <v>43</v>
      </c>
      <c r="Q4762" s="8" t="s">
        <v>44</v>
      </c>
      <c r="R4762" s="10" t="s">
        <v>791</v>
      </c>
      <c r="S4762" s="11" t="s">
        <v>28175</v>
      </c>
      <c r="T4762" s="6"/>
      <c r="U4762" s="24" t="str">
        <f>HYPERLINK("https://media.infra-m.ru/1947/1947366/cover/1947366.jpg", "Обложка")</f>
        <v>Обложка</v>
      </c>
      <c r="V4762" s="24" t="str">
        <f>HYPERLINK("https://znanium.ru/catalog/product/1031595", "Ознакомиться")</f>
        <v>Ознакомиться</v>
      </c>
      <c r="W4762" s="8" t="s">
        <v>1345</v>
      </c>
      <c r="X4762" s="6"/>
      <c r="Y4762" s="6"/>
      <c r="Z4762" s="6"/>
      <c r="AA4762" s="6" t="s">
        <v>793</v>
      </c>
      <c r="AB4762" s="8"/>
    </row>
    <row r="4763" spans="1:28" s="4" customFormat="1" ht="51.95" customHeight="1">
      <c r="A4763" s="5">
        <v>0</v>
      </c>
      <c r="B4763" s="6" t="s">
        <v>28176</v>
      </c>
      <c r="C4763" s="13">
        <v>1994</v>
      </c>
      <c r="D4763" s="8" t="s">
        <v>28177</v>
      </c>
      <c r="E4763" s="8" t="s">
        <v>28178</v>
      </c>
      <c r="F4763" s="8" t="s">
        <v>11369</v>
      </c>
      <c r="G4763" s="6" t="s">
        <v>52</v>
      </c>
      <c r="H4763" s="6" t="s">
        <v>674</v>
      </c>
      <c r="I4763" s="8"/>
      <c r="J4763" s="9">
        <v>1</v>
      </c>
      <c r="K4763" s="9">
        <v>400</v>
      </c>
      <c r="L4763" s="9">
        <v>2025</v>
      </c>
      <c r="M4763" s="8" t="s">
        <v>28179</v>
      </c>
      <c r="N4763" s="8" t="s">
        <v>41</v>
      </c>
      <c r="O4763" s="8" t="s">
        <v>676</v>
      </c>
      <c r="P4763" s="6" t="s">
        <v>167</v>
      </c>
      <c r="Q4763" s="8" t="s">
        <v>1674</v>
      </c>
      <c r="R4763" s="10" t="s">
        <v>28180</v>
      </c>
      <c r="S4763" s="11"/>
      <c r="T4763" s="6"/>
      <c r="U4763" s="24" t="str">
        <f>HYPERLINK("https://media.infra-m.ru/2169/2169379/cover/2169379.jpg", "Обложка")</f>
        <v>Обложка</v>
      </c>
      <c r="V4763" s="24" t="str">
        <f>HYPERLINK("https://znanium.ru/catalog/product/1227539", "Ознакомиться")</f>
        <v>Ознакомиться</v>
      </c>
      <c r="W4763" s="8" t="s">
        <v>792</v>
      </c>
      <c r="X4763" s="6"/>
      <c r="Y4763" s="6"/>
      <c r="Z4763" s="6"/>
      <c r="AA4763" s="6" t="s">
        <v>442</v>
      </c>
      <c r="AB4763" s="8"/>
    </row>
    <row r="4764" spans="1:28" s="4" customFormat="1" ht="51.95" customHeight="1">
      <c r="A4764" s="5">
        <v>0</v>
      </c>
      <c r="B4764" s="6" t="s">
        <v>28181</v>
      </c>
      <c r="C4764" s="7">
        <v>760</v>
      </c>
      <c r="D4764" s="8" t="s">
        <v>28182</v>
      </c>
      <c r="E4764" s="8" t="s">
        <v>28183</v>
      </c>
      <c r="F4764" s="8" t="s">
        <v>28184</v>
      </c>
      <c r="G4764" s="6" t="s">
        <v>89</v>
      </c>
      <c r="H4764" s="6" t="s">
        <v>674</v>
      </c>
      <c r="I4764" s="8"/>
      <c r="J4764" s="9">
        <v>1</v>
      </c>
      <c r="K4764" s="9">
        <v>160</v>
      </c>
      <c r="L4764" s="9">
        <v>2024</v>
      </c>
      <c r="M4764" s="8" t="s">
        <v>28185</v>
      </c>
      <c r="N4764" s="8" t="s">
        <v>41</v>
      </c>
      <c r="O4764" s="8" t="s">
        <v>676</v>
      </c>
      <c r="P4764" s="6" t="s">
        <v>43</v>
      </c>
      <c r="Q4764" s="8" t="s">
        <v>279</v>
      </c>
      <c r="R4764" s="10" t="s">
        <v>806</v>
      </c>
      <c r="S4764" s="11"/>
      <c r="T4764" s="6"/>
      <c r="U4764" s="24" t="str">
        <f>HYPERLINK("https://media.infra-m.ru/2142/2142334/cover/2142334.jpg", "Обложка")</f>
        <v>Обложка</v>
      </c>
      <c r="V4764" s="24" t="str">
        <f>HYPERLINK("https://znanium.ru/catalog/product/2142334", "Ознакомиться")</f>
        <v>Ознакомиться</v>
      </c>
      <c r="W4764" s="8" t="s">
        <v>792</v>
      </c>
      <c r="X4764" s="6"/>
      <c r="Y4764" s="6"/>
      <c r="Z4764" s="6"/>
      <c r="AA4764" s="6" t="s">
        <v>151</v>
      </c>
      <c r="AB4764" s="8"/>
    </row>
    <row r="4765" spans="1:28" s="4" customFormat="1" ht="51.95" customHeight="1">
      <c r="A4765" s="5">
        <v>0</v>
      </c>
      <c r="B4765" s="6" t="s">
        <v>28186</v>
      </c>
      <c r="C4765" s="7">
        <v>874.9</v>
      </c>
      <c r="D4765" s="8" t="s">
        <v>28187</v>
      </c>
      <c r="E4765" s="8" t="s">
        <v>28188</v>
      </c>
      <c r="F4765" s="8" t="s">
        <v>28189</v>
      </c>
      <c r="G4765" s="6" t="s">
        <v>52</v>
      </c>
      <c r="H4765" s="6" t="s">
        <v>674</v>
      </c>
      <c r="I4765" s="8"/>
      <c r="J4765" s="9">
        <v>1</v>
      </c>
      <c r="K4765" s="9">
        <v>256</v>
      </c>
      <c r="L4765" s="9">
        <v>2019</v>
      </c>
      <c r="M4765" s="8" t="s">
        <v>28190</v>
      </c>
      <c r="N4765" s="8" t="s">
        <v>41</v>
      </c>
      <c r="O4765" s="8" t="s">
        <v>676</v>
      </c>
      <c r="P4765" s="6" t="s">
        <v>3424</v>
      </c>
      <c r="Q4765" s="8" t="s">
        <v>58</v>
      </c>
      <c r="R4765" s="10" t="s">
        <v>28191</v>
      </c>
      <c r="S4765" s="11"/>
      <c r="T4765" s="6"/>
      <c r="U4765" s="24" t="str">
        <f>HYPERLINK("https://media.infra-m.ru/0988/0988093/cover/988093.jpg", "Обложка")</f>
        <v>Обложка</v>
      </c>
      <c r="V4765" s="24" t="str">
        <f>HYPERLINK("https://znanium.ru/catalog/product/1221174", "Ознакомиться")</f>
        <v>Ознакомиться</v>
      </c>
      <c r="W4765" s="8" t="s">
        <v>678</v>
      </c>
      <c r="X4765" s="6"/>
      <c r="Y4765" s="6"/>
      <c r="Z4765" s="6"/>
      <c r="AA4765" s="6" t="s">
        <v>84</v>
      </c>
      <c r="AB4765" s="8"/>
    </row>
    <row r="4766" spans="1:28" s="4" customFormat="1" ht="44.1" customHeight="1">
      <c r="A4766" s="5">
        <v>0</v>
      </c>
      <c r="B4766" s="6" t="s">
        <v>28192</v>
      </c>
      <c r="C4766" s="13">
        <v>1304.9000000000001</v>
      </c>
      <c r="D4766" s="8" t="s">
        <v>28193</v>
      </c>
      <c r="E4766" s="8" t="s">
        <v>28194</v>
      </c>
      <c r="F4766" s="8" t="s">
        <v>28195</v>
      </c>
      <c r="G4766" s="6" t="s">
        <v>38</v>
      </c>
      <c r="H4766" s="6" t="s">
        <v>674</v>
      </c>
      <c r="I4766" s="8"/>
      <c r="J4766" s="9">
        <v>1</v>
      </c>
      <c r="K4766" s="9">
        <v>352</v>
      </c>
      <c r="L4766" s="9">
        <v>2021</v>
      </c>
      <c r="M4766" s="8" t="s">
        <v>28196</v>
      </c>
      <c r="N4766" s="8" t="s">
        <v>41</v>
      </c>
      <c r="O4766" s="8" t="s">
        <v>676</v>
      </c>
      <c r="P4766" s="6" t="s">
        <v>1046</v>
      </c>
      <c r="Q4766" s="8" t="s">
        <v>44</v>
      </c>
      <c r="R4766" s="10" t="s">
        <v>17047</v>
      </c>
      <c r="S4766" s="11"/>
      <c r="T4766" s="6"/>
      <c r="U4766" s="24" t="str">
        <f>HYPERLINK("https://media.infra-m.ru/1221/1221172/cover/1221172.jpg", "Обложка")</f>
        <v>Обложка</v>
      </c>
      <c r="V4766" s="24" t="str">
        <f>HYPERLINK("https://znanium.ru/catalog/product/1221172", "Ознакомиться")</f>
        <v>Ознакомиться</v>
      </c>
      <c r="W4766" s="8" t="s">
        <v>678</v>
      </c>
      <c r="X4766" s="6"/>
      <c r="Y4766" s="6"/>
      <c r="Z4766" s="6"/>
      <c r="AA4766" s="6" t="s">
        <v>84</v>
      </c>
      <c r="AB4766" s="8"/>
    </row>
    <row r="4767" spans="1:28" s="4" customFormat="1" ht="51.95" customHeight="1">
      <c r="A4767" s="5">
        <v>0</v>
      </c>
      <c r="B4767" s="6" t="s">
        <v>28197</v>
      </c>
      <c r="C4767" s="7">
        <v>630</v>
      </c>
      <c r="D4767" s="8" t="s">
        <v>28198</v>
      </c>
      <c r="E4767" s="8" t="s">
        <v>28199</v>
      </c>
      <c r="F4767" s="8" t="s">
        <v>28200</v>
      </c>
      <c r="G4767" s="6" t="s">
        <v>89</v>
      </c>
      <c r="H4767" s="6" t="s">
        <v>53</v>
      </c>
      <c r="I4767" s="8" t="s">
        <v>1325</v>
      </c>
      <c r="J4767" s="9">
        <v>1</v>
      </c>
      <c r="K4767" s="9">
        <v>111</v>
      </c>
      <c r="L4767" s="9">
        <v>2025</v>
      </c>
      <c r="M4767" s="8" t="s">
        <v>28201</v>
      </c>
      <c r="N4767" s="8" t="s">
        <v>79</v>
      </c>
      <c r="O4767" s="8" t="s">
        <v>570</v>
      </c>
      <c r="P4767" s="6" t="s">
        <v>43</v>
      </c>
      <c r="Q4767" s="8" t="s">
        <v>58</v>
      </c>
      <c r="R4767" s="10" t="s">
        <v>28202</v>
      </c>
      <c r="S4767" s="11" t="s">
        <v>28203</v>
      </c>
      <c r="T4767" s="6"/>
      <c r="U4767" s="24" t="str">
        <f>HYPERLINK("https://media.infra-m.ru/2200/2200762/cover/2200762.jpg", "Обложка")</f>
        <v>Обложка</v>
      </c>
      <c r="V4767" s="24" t="str">
        <f>HYPERLINK("https://znanium.ru/catalog/product/2200762", "Ознакомиться")</f>
        <v>Ознакомиться</v>
      </c>
      <c r="W4767" s="8"/>
      <c r="X4767" s="6"/>
      <c r="Y4767" s="6"/>
      <c r="Z4767" s="6"/>
      <c r="AA4767" s="6" t="s">
        <v>207</v>
      </c>
      <c r="AB4767" s="8"/>
    </row>
    <row r="4768" spans="1:28" s="4" customFormat="1" ht="51.95" customHeight="1">
      <c r="A4768" s="5">
        <v>0</v>
      </c>
      <c r="B4768" s="6" t="s">
        <v>28204</v>
      </c>
      <c r="C4768" s="13">
        <v>1280</v>
      </c>
      <c r="D4768" s="8" t="s">
        <v>28205</v>
      </c>
      <c r="E4768" s="8" t="s">
        <v>28206</v>
      </c>
      <c r="F4768" s="8" t="s">
        <v>28207</v>
      </c>
      <c r="G4768" s="6" t="s">
        <v>89</v>
      </c>
      <c r="H4768" s="6" t="s">
        <v>53</v>
      </c>
      <c r="I4768" s="8" t="s">
        <v>1325</v>
      </c>
      <c r="J4768" s="9">
        <v>1</v>
      </c>
      <c r="K4768" s="9">
        <v>256</v>
      </c>
      <c r="L4768" s="9">
        <v>2023</v>
      </c>
      <c r="M4768" s="8" t="s">
        <v>28208</v>
      </c>
      <c r="N4768" s="8" t="s">
        <v>79</v>
      </c>
      <c r="O4768" s="8" t="s">
        <v>570</v>
      </c>
      <c r="P4768" s="6" t="s">
        <v>43</v>
      </c>
      <c r="Q4768" s="8" t="s">
        <v>58</v>
      </c>
      <c r="R4768" s="10" t="s">
        <v>28209</v>
      </c>
      <c r="S4768" s="11" t="s">
        <v>28210</v>
      </c>
      <c r="T4768" s="6"/>
      <c r="U4768" s="24" t="str">
        <f>HYPERLINK("https://media.infra-m.ru/1910/1910887/cover/1910887.jpg", "Обложка")</f>
        <v>Обложка</v>
      </c>
      <c r="V4768" s="24" t="str">
        <f>HYPERLINK("https://znanium.ru/catalog/product/1910887", "Ознакомиться")</f>
        <v>Ознакомиться</v>
      </c>
      <c r="W4768" s="8" t="s">
        <v>1329</v>
      </c>
      <c r="X4768" s="6"/>
      <c r="Y4768" s="6"/>
      <c r="Z4768" s="6"/>
      <c r="AA4768" s="6" t="s">
        <v>793</v>
      </c>
      <c r="AB4768" s="8"/>
    </row>
    <row r="4769" spans="1:28" s="4" customFormat="1" ht="51.95" customHeight="1">
      <c r="A4769" s="5">
        <v>0</v>
      </c>
      <c r="B4769" s="6" t="s">
        <v>28211</v>
      </c>
      <c r="C4769" s="7">
        <v>630</v>
      </c>
      <c r="D4769" s="8" t="s">
        <v>28212</v>
      </c>
      <c r="E4769" s="8" t="s">
        <v>28213</v>
      </c>
      <c r="F4769" s="8" t="s">
        <v>28214</v>
      </c>
      <c r="G4769" s="6" t="s">
        <v>38</v>
      </c>
      <c r="H4769" s="6" t="s">
        <v>53</v>
      </c>
      <c r="I4769" s="8" t="s">
        <v>1325</v>
      </c>
      <c r="J4769" s="9">
        <v>1</v>
      </c>
      <c r="K4769" s="9">
        <v>49</v>
      </c>
      <c r="L4769" s="9">
        <v>2025</v>
      </c>
      <c r="M4769" s="8" t="s">
        <v>28215</v>
      </c>
      <c r="N4769" s="8" t="s">
        <v>79</v>
      </c>
      <c r="O4769" s="8" t="s">
        <v>570</v>
      </c>
      <c r="P4769" s="6" t="s">
        <v>43</v>
      </c>
      <c r="Q4769" s="8" t="s">
        <v>58</v>
      </c>
      <c r="R4769" s="10" t="s">
        <v>28216</v>
      </c>
      <c r="S4769" s="11" t="s">
        <v>28217</v>
      </c>
      <c r="T4769" s="6"/>
      <c r="U4769" s="24" t="str">
        <f>HYPERLINK("https://media.infra-m.ru/2171/2171401/cover/2171401.jpg", "Обложка")</f>
        <v>Обложка</v>
      </c>
      <c r="V4769" s="24" t="str">
        <f>HYPERLINK("https://znanium.ru/catalog/product/2171401", "Ознакомиться")</f>
        <v>Ознакомиться</v>
      </c>
      <c r="W4769" s="8" t="s">
        <v>1329</v>
      </c>
      <c r="X4769" s="6"/>
      <c r="Y4769" s="6"/>
      <c r="Z4769" s="6"/>
      <c r="AA4769" s="6" t="s">
        <v>258</v>
      </c>
      <c r="AB4769" s="8"/>
    </row>
    <row r="4770" spans="1:28" s="4" customFormat="1" ht="51.95" customHeight="1">
      <c r="A4770" s="5">
        <v>0</v>
      </c>
      <c r="B4770" s="6" t="s">
        <v>28218</v>
      </c>
      <c r="C4770" s="7">
        <v>910</v>
      </c>
      <c r="D4770" s="8" t="s">
        <v>28219</v>
      </c>
      <c r="E4770" s="8" t="s">
        <v>28220</v>
      </c>
      <c r="F4770" s="8" t="s">
        <v>28221</v>
      </c>
      <c r="G4770" s="6" t="s">
        <v>89</v>
      </c>
      <c r="H4770" s="6" t="s">
        <v>53</v>
      </c>
      <c r="I4770" s="8" t="s">
        <v>1325</v>
      </c>
      <c r="J4770" s="9">
        <v>1</v>
      </c>
      <c r="K4770" s="9">
        <v>176</v>
      </c>
      <c r="L4770" s="9">
        <v>2021</v>
      </c>
      <c r="M4770" s="8" t="s">
        <v>28222</v>
      </c>
      <c r="N4770" s="8" t="s">
        <v>41</v>
      </c>
      <c r="O4770" s="8" t="s">
        <v>129</v>
      </c>
      <c r="P4770" s="6" t="s">
        <v>43</v>
      </c>
      <c r="Q4770" s="8" t="s">
        <v>58</v>
      </c>
      <c r="R4770" s="10" t="s">
        <v>28223</v>
      </c>
      <c r="S4770" s="11" t="s">
        <v>28224</v>
      </c>
      <c r="T4770" s="6"/>
      <c r="U4770" s="24" t="str">
        <f>HYPERLINK("https://media.infra-m.ru/1134/1134556/cover/1134556.jpg", "Обложка")</f>
        <v>Обложка</v>
      </c>
      <c r="V4770" s="24" t="str">
        <f>HYPERLINK("https://znanium.ru/catalog/product/1134556", "Ознакомиться")</f>
        <v>Ознакомиться</v>
      </c>
      <c r="W4770" s="8" t="s">
        <v>1329</v>
      </c>
      <c r="X4770" s="6"/>
      <c r="Y4770" s="6"/>
      <c r="Z4770" s="6"/>
      <c r="AA4770" s="6" t="s">
        <v>793</v>
      </c>
      <c r="AB4770" s="8"/>
    </row>
    <row r="4771" spans="1:28" s="4" customFormat="1" ht="51.95" customHeight="1">
      <c r="A4771" s="5">
        <v>0</v>
      </c>
      <c r="B4771" s="6" t="s">
        <v>28225</v>
      </c>
      <c r="C4771" s="13">
        <v>1190</v>
      </c>
      <c r="D4771" s="8" t="s">
        <v>28226</v>
      </c>
      <c r="E4771" s="8" t="s">
        <v>28227</v>
      </c>
      <c r="F4771" s="8" t="s">
        <v>28228</v>
      </c>
      <c r="G4771" s="6" t="s">
        <v>52</v>
      </c>
      <c r="H4771" s="6" t="s">
        <v>53</v>
      </c>
      <c r="I4771" s="8" t="s">
        <v>1325</v>
      </c>
      <c r="J4771" s="9">
        <v>1</v>
      </c>
      <c r="K4771" s="9">
        <v>227</v>
      </c>
      <c r="L4771" s="9">
        <v>2024</v>
      </c>
      <c r="M4771" s="8" t="s">
        <v>28229</v>
      </c>
      <c r="N4771" s="8" t="s">
        <v>79</v>
      </c>
      <c r="O4771" s="8" t="s">
        <v>570</v>
      </c>
      <c r="P4771" s="6" t="s">
        <v>175</v>
      </c>
      <c r="Q4771" s="8" t="s">
        <v>58</v>
      </c>
      <c r="R4771" s="10" t="s">
        <v>28230</v>
      </c>
      <c r="S4771" s="11"/>
      <c r="T4771" s="6"/>
      <c r="U4771" s="24" t="str">
        <f>HYPERLINK("https://media.infra-m.ru/2007/2007667/cover/2007667.jpg", "Обложка")</f>
        <v>Обложка</v>
      </c>
      <c r="V4771" s="24" t="str">
        <f>HYPERLINK("https://znanium.ru/catalog/product/2007667", "Ознакомиться")</f>
        <v>Ознакомиться</v>
      </c>
      <c r="W4771" s="8" t="s">
        <v>1329</v>
      </c>
      <c r="X4771" s="6"/>
      <c r="Y4771" s="6"/>
      <c r="Z4771" s="6"/>
      <c r="AA4771" s="6" t="s">
        <v>133</v>
      </c>
      <c r="AB4771" s="8"/>
    </row>
    <row r="4772" spans="1:28" s="4" customFormat="1" ht="42" customHeight="1">
      <c r="A4772" s="5">
        <v>0</v>
      </c>
      <c r="B4772" s="6" t="s">
        <v>28231</v>
      </c>
      <c r="C4772" s="7">
        <v>544</v>
      </c>
      <c r="D4772" s="8" t="s">
        <v>28232</v>
      </c>
      <c r="E4772" s="8" t="s">
        <v>28233</v>
      </c>
      <c r="F4772" s="8" t="s">
        <v>28234</v>
      </c>
      <c r="G4772" s="6" t="s">
        <v>38</v>
      </c>
      <c r="H4772" s="6" t="s">
        <v>674</v>
      </c>
      <c r="I4772" s="8"/>
      <c r="J4772" s="9">
        <v>1</v>
      </c>
      <c r="K4772" s="9">
        <v>108</v>
      </c>
      <c r="L4772" s="9">
        <v>2025</v>
      </c>
      <c r="M4772" s="8" t="s">
        <v>28235</v>
      </c>
      <c r="N4772" s="8" t="s">
        <v>41</v>
      </c>
      <c r="O4772" s="8" t="s">
        <v>676</v>
      </c>
      <c r="P4772" s="6" t="s">
        <v>43</v>
      </c>
      <c r="Q4772" s="8" t="s">
        <v>44</v>
      </c>
      <c r="R4772" s="10" t="s">
        <v>791</v>
      </c>
      <c r="S4772" s="11"/>
      <c r="T4772" s="6"/>
      <c r="U4772" s="24" t="str">
        <f>HYPERLINK("https://media.infra-m.ru/2193/2193021/cover/2193021.jpg", "Обложка")</f>
        <v>Обложка</v>
      </c>
      <c r="V4772" s="24" t="str">
        <f>HYPERLINK("https://znanium.ru/catalog/product/2129939", "Ознакомиться")</f>
        <v>Ознакомиться</v>
      </c>
      <c r="W4772" s="8" t="s">
        <v>792</v>
      </c>
      <c r="X4772" s="6"/>
      <c r="Y4772" s="6"/>
      <c r="Z4772" s="6"/>
      <c r="AA4772" s="6" t="s">
        <v>813</v>
      </c>
      <c r="AB4772" s="8"/>
    </row>
    <row r="4773" spans="1:28" s="4" customFormat="1" ht="42" customHeight="1">
      <c r="A4773" s="5">
        <v>0</v>
      </c>
      <c r="B4773" s="6" t="s">
        <v>28236</v>
      </c>
      <c r="C4773" s="7">
        <v>450</v>
      </c>
      <c r="D4773" s="8" t="s">
        <v>28237</v>
      </c>
      <c r="E4773" s="8" t="s">
        <v>28238</v>
      </c>
      <c r="F4773" s="8" t="s">
        <v>28234</v>
      </c>
      <c r="G4773" s="6" t="s">
        <v>38</v>
      </c>
      <c r="H4773" s="6" t="s">
        <v>674</v>
      </c>
      <c r="I4773" s="8"/>
      <c r="J4773" s="9">
        <v>1</v>
      </c>
      <c r="K4773" s="9">
        <v>80</v>
      </c>
      <c r="L4773" s="9">
        <v>2022</v>
      </c>
      <c r="M4773" s="8" t="s">
        <v>28239</v>
      </c>
      <c r="N4773" s="8" t="s">
        <v>41</v>
      </c>
      <c r="O4773" s="8" t="s">
        <v>676</v>
      </c>
      <c r="P4773" s="6" t="s">
        <v>43</v>
      </c>
      <c r="Q4773" s="8" t="s">
        <v>44</v>
      </c>
      <c r="R4773" s="10" t="s">
        <v>791</v>
      </c>
      <c r="S4773" s="11"/>
      <c r="T4773" s="6"/>
      <c r="U4773" s="24" t="str">
        <f>HYPERLINK("https://media.infra-m.ru/1859/1859818/cover/1859818.jpg", "Обложка")</f>
        <v>Обложка</v>
      </c>
      <c r="V4773" s="24" t="str">
        <f>HYPERLINK("https://znanium.ru/catalog/product/2129939", "Ознакомиться")</f>
        <v>Ознакомиться</v>
      </c>
      <c r="W4773" s="8" t="s">
        <v>792</v>
      </c>
      <c r="X4773" s="6"/>
      <c r="Y4773" s="6"/>
      <c r="Z4773" s="6"/>
      <c r="AA4773" s="6" t="s">
        <v>793</v>
      </c>
      <c r="AB4773" s="8"/>
    </row>
    <row r="4774" spans="1:28" s="4" customFormat="1" ht="51.95" customHeight="1">
      <c r="A4774" s="5">
        <v>0</v>
      </c>
      <c r="B4774" s="6" t="s">
        <v>28240</v>
      </c>
      <c r="C4774" s="7">
        <v>480</v>
      </c>
      <c r="D4774" s="8" t="s">
        <v>28241</v>
      </c>
      <c r="E4774" s="8" t="s">
        <v>28242</v>
      </c>
      <c r="F4774" s="8" t="s">
        <v>28243</v>
      </c>
      <c r="G4774" s="6" t="s">
        <v>38</v>
      </c>
      <c r="H4774" s="6" t="s">
        <v>674</v>
      </c>
      <c r="I4774" s="8"/>
      <c r="J4774" s="9">
        <v>1</v>
      </c>
      <c r="K4774" s="9">
        <v>80</v>
      </c>
      <c r="L4774" s="9">
        <v>2025</v>
      </c>
      <c r="M4774" s="8" t="s">
        <v>28244</v>
      </c>
      <c r="N4774" s="8" t="s">
        <v>41</v>
      </c>
      <c r="O4774" s="8" t="s">
        <v>676</v>
      </c>
      <c r="P4774" s="6" t="s">
        <v>187</v>
      </c>
      <c r="Q4774" s="8" t="s">
        <v>44</v>
      </c>
      <c r="R4774" s="10" t="s">
        <v>677</v>
      </c>
      <c r="S4774" s="11"/>
      <c r="T4774" s="6"/>
      <c r="U4774" s="24" t="str">
        <f>HYPERLINK("https://media.infra-m.ru/2179/2179205/cover/2179205.jpg", "Обложка")</f>
        <v>Обложка</v>
      </c>
      <c r="V4774" s="24" t="str">
        <f>HYPERLINK("https://znanium.ru/catalog/product/2179205", "Ознакомиться")</f>
        <v>Ознакомиться</v>
      </c>
      <c r="W4774" s="8" t="s">
        <v>792</v>
      </c>
      <c r="X4774" s="6"/>
      <c r="Y4774" s="6"/>
      <c r="Z4774" s="6"/>
      <c r="AA4774" s="6" t="s">
        <v>258</v>
      </c>
      <c r="AB4774" s="8"/>
    </row>
    <row r="4775" spans="1:28" s="4" customFormat="1" ht="51.95" customHeight="1">
      <c r="A4775" s="5">
        <v>0</v>
      </c>
      <c r="B4775" s="6" t="s">
        <v>28245</v>
      </c>
      <c r="C4775" s="7">
        <v>990</v>
      </c>
      <c r="D4775" s="8" t="s">
        <v>28246</v>
      </c>
      <c r="E4775" s="8" t="s">
        <v>28247</v>
      </c>
      <c r="F4775" s="8" t="s">
        <v>28248</v>
      </c>
      <c r="G4775" s="6" t="s">
        <v>89</v>
      </c>
      <c r="H4775" s="6" t="s">
        <v>53</v>
      </c>
      <c r="I4775" s="8" t="s">
        <v>90</v>
      </c>
      <c r="J4775" s="9">
        <v>1</v>
      </c>
      <c r="K4775" s="9">
        <v>235</v>
      </c>
      <c r="L4775" s="9">
        <v>2022</v>
      </c>
      <c r="M4775" s="8" t="s">
        <v>28249</v>
      </c>
      <c r="N4775" s="8" t="s">
        <v>41</v>
      </c>
      <c r="O4775" s="8" t="s">
        <v>676</v>
      </c>
      <c r="P4775" s="6" t="s">
        <v>43</v>
      </c>
      <c r="Q4775" s="8" t="s">
        <v>44</v>
      </c>
      <c r="R4775" s="10" t="s">
        <v>28250</v>
      </c>
      <c r="S4775" s="11" t="s">
        <v>28251</v>
      </c>
      <c r="T4775" s="6"/>
      <c r="U4775" s="24" t="str">
        <f>HYPERLINK("https://media.infra-m.ru/1889/1889069/cover/1889069.jpg", "Обложка")</f>
        <v>Обложка</v>
      </c>
      <c r="V4775" s="24" t="str">
        <f>HYPERLINK("https://znanium.ru/catalog/product/1889069", "Ознакомиться")</f>
        <v>Ознакомиться</v>
      </c>
      <c r="W4775" s="8" t="s">
        <v>14539</v>
      </c>
      <c r="X4775" s="6"/>
      <c r="Y4775" s="6"/>
      <c r="Z4775" s="6"/>
      <c r="AA4775" s="6" t="s">
        <v>219</v>
      </c>
      <c r="AB4775" s="8"/>
    </row>
    <row r="4776" spans="1:28" s="4" customFormat="1" ht="51.95" customHeight="1">
      <c r="A4776" s="5">
        <v>0</v>
      </c>
      <c r="B4776" s="6" t="s">
        <v>28252</v>
      </c>
      <c r="C4776" s="13">
        <v>1360</v>
      </c>
      <c r="D4776" s="8" t="s">
        <v>28253</v>
      </c>
      <c r="E4776" s="8" t="s">
        <v>28254</v>
      </c>
      <c r="F4776" s="8" t="s">
        <v>28248</v>
      </c>
      <c r="G4776" s="6" t="s">
        <v>52</v>
      </c>
      <c r="H4776" s="6" t="s">
        <v>53</v>
      </c>
      <c r="I4776" s="8" t="s">
        <v>90</v>
      </c>
      <c r="J4776" s="9">
        <v>1</v>
      </c>
      <c r="K4776" s="9">
        <v>355</v>
      </c>
      <c r="L4776" s="9">
        <v>2022</v>
      </c>
      <c r="M4776" s="8" t="s">
        <v>28255</v>
      </c>
      <c r="N4776" s="8" t="s">
        <v>41</v>
      </c>
      <c r="O4776" s="8" t="s">
        <v>4035</v>
      </c>
      <c r="P4776" s="6" t="s">
        <v>43</v>
      </c>
      <c r="Q4776" s="8" t="s">
        <v>44</v>
      </c>
      <c r="R4776" s="10" t="s">
        <v>28256</v>
      </c>
      <c r="S4776" s="11" t="s">
        <v>28251</v>
      </c>
      <c r="T4776" s="6"/>
      <c r="U4776" s="24" t="str">
        <f>HYPERLINK("https://media.infra-m.ru/0992/0992890/cover/992890.jpg", "Обложка")</f>
        <v>Обложка</v>
      </c>
      <c r="V4776" s="24" t="str">
        <f>HYPERLINK("https://znanium.ru/catalog/product/992890", "Ознакомиться")</f>
        <v>Ознакомиться</v>
      </c>
      <c r="W4776" s="8" t="s">
        <v>14539</v>
      </c>
      <c r="X4776" s="6"/>
      <c r="Y4776" s="6"/>
      <c r="Z4776" s="6"/>
      <c r="AA4776" s="6" t="s">
        <v>235</v>
      </c>
      <c r="AB4776" s="8"/>
    </row>
    <row r="4777" spans="1:28" s="4" customFormat="1" ht="44.1" customHeight="1">
      <c r="A4777" s="5">
        <v>0</v>
      </c>
      <c r="B4777" s="6" t="s">
        <v>28257</v>
      </c>
      <c r="C4777" s="13">
        <v>4200</v>
      </c>
      <c r="D4777" s="8" t="s">
        <v>28258</v>
      </c>
      <c r="E4777" s="8" t="s">
        <v>28259</v>
      </c>
      <c r="F4777" s="8" t="s">
        <v>28260</v>
      </c>
      <c r="G4777" s="6" t="s">
        <v>89</v>
      </c>
      <c r="H4777" s="6" t="s">
        <v>53</v>
      </c>
      <c r="I4777" s="8" t="s">
        <v>165</v>
      </c>
      <c r="J4777" s="9">
        <v>1</v>
      </c>
      <c r="K4777" s="9">
        <v>224</v>
      </c>
      <c r="L4777" s="9">
        <v>2025</v>
      </c>
      <c r="M4777" s="8" t="s">
        <v>28261</v>
      </c>
      <c r="N4777" s="8" t="s">
        <v>41</v>
      </c>
      <c r="O4777" s="8" t="s">
        <v>129</v>
      </c>
      <c r="P4777" s="6" t="s">
        <v>43</v>
      </c>
      <c r="Q4777" s="8" t="s">
        <v>58</v>
      </c>
      <c r="R4777" s="10" t="s">
        <v>28262</v>
      </c>
      <c r="S4777" s="11"/>
      <c r="T4777" s="6"/>
      <c r="U4777" s="24" t="str">
        <f>HYPERLINK("https://media.infra-m.ru/2185/2185421/cover/2185421.jpg", "Обложка")</f>
        <v>Обложка</v>
      </c>
      <c r="V4777" s="24" t="str">
        <f>HYPERLINK("https://znanium.ru/catalog/product/2185421", "Ознакомиться")</f>
        <v>Ознакомиться</v>
      </c>
      <c r="W4777" s="8"/>
      <c r="X4777" s="6"/>
      <c r="Y4777" s="6"/>
      <c r="Z4777" s="6"/>
      <c r="AA4777" s="6" t="s">
        <v>235</v>
      </c>
      <c r="AB4777" s="8"/>
    </row>
    <row r="4778" spans="1:28" s="4" customFormat="1" ht="51.95" customHeight="1">
      <c r="A4778" s="5">
        <v>0</v>
      </c>
      <c r="B4778" s="6" t="s">
        <v>28263</v>
      </c>
      <c r="C4778" s="13">
        <v>1594</v>
      </c>
      <c r="D4778" s="8" t="s">
        <v>28264</v>
      </c>
      <c r="E4778" s="8" t="s">
        <v>28265</v>
      </c>
      <c r="F4778" s="8" t="s">
        <v>28266</v>
      </c>
      <c r="G4778" s="6" t="s">
        <v>52</v>
      </c>
      <c r="H4778" s="6" t="s">
        <v>53</v>
      </c>
      <c r="I4778" s="8" t="s">
        <v>100</v>
      </c>
      <c r="J4778" s="9">
        <v>1</v>
      </c>
      <c r="K4778" s="9">
        <v>318</v>
      </c>
      <c r="L4778" s="9">
        <v>2025</v>
      </c>
      <c r="M4778" s="8" t="s">
        <v>28267</v>
      </c>
      <c r="N4778" s="8" t="s">
        <v>79</v>
      </c>
      <c r="O4778" s="8" t="s">
        <v>174</v>
      </c>
      <c r="P4778" s="6" t="s">
        <v>43</v>
      </c>
      <c r="Q4778" s="8" t="s">
        <v>102</v>
      </c>
      <c r="R4778" s="10" t="s">
        <v>17624</v>
      </c>
      <c r="S4778" s="11" t="s">
        <v>28268</v>
      </c>
      <c r="T4778" s="6"/>
      <c r="U4778" s="24" t="str">
        <f>HYPERLINK("https://media.infra-m.ru/2167/2167297/cover/2167297.jpg", "Обложка")</f>
        <v>Обложка</v>
      </c>
      <c r="V4778" s="24" t="str">
        <f>HYPERLINK("https://znanium.ru/catalog/product/2166132", "Ознакомиться")</f>
        <v>Ознакомиться</v>
      </c>
      <c r="W4778" s="8" t="s">
        <v>5284</v>
      </c>
      <c r="X4778" s="6"/>
      <c r="Y4778" s="6"/>
      <c r="Z4778" s="6"/>
      <c r="AA4778" s="6" t="s">
        <v>707</v>
      </c>
      <c r="AB4778" s="8"/>
    </row>
    <row r="4779" spans="1:28" s="4" customFormat="1" ht="51.95" customHeight="1">
      <c r="A4779" s="5">
        <v>0</v>
      </c>
      <c r="B4779" s="6" t="s">
        <v>28269</v>
      </c>
      <c r="C4779" s="13">
        <v>1090</v>
      </c>
      <c r="D4779" s="8" t="s">
        <v>28270</v>
      </c>
      <c r="E4779" s="8" t="s">
        <v>28271</v>
      </c>
      <c r="F4779" s="8" t="s">
        <v>28272</v>
      </c>
      <c r="G4779" s="6" t="s">
        <v>89</v>
      </c>
      <c r="H4779" s="6" t="s">
        <v>39</v>
      </c>
      <c r="I4779" s="8" t="s">
        <v>100</v>
      </c>
      <c r="J4779" s="9">
        <v>1</v>
      </c>
      <c r="K4779" s="9">
        <v>352</v>
      </c>
      <c r="L4779" s="9">
        <v>2018</v>
      </c>
      <c r="M4779" s="8" t="s">
        <v>28273</v>
      </c>
      <c r="N4779" s="8" t="s">
        <v>79</v>
      </c>
      <c r="O4779" s="8" t="s">
        <v>174</v>
      </c>
      <c r="P4779" s="6" t="s">
        <v>43</v>
      </c>
      <c r="Q4779" s="8" t="s">
        <v>102</v>
      </c>
      <c r="R4779" s="10" t="s">
        <v>17624</v>
      </c>
      <c r="S4779" s="11" t="s">
        <v>28274</v>
      </c>
      <c r="T4779" s="6"/>
      <c r="U4779" s="24" t="str">
        <f>HYPERLINK("https://media.infra-m.ru/0915/0915568/cover/915568.jpg", "Обложка")</f>
        <v>Обложка</v>
      </c>
      <c r="V4779" s="24" t="str">
        <f>HYPERLINK("https://znanium.ru/catalog/product/2166132", "Ознакомиться")</f>
        <v>Ознакомиться</v>
      </c>
      <c r="W4779" s="8" t="s">
        <v>5284</v>
      </c>
      <c r="X4779" s="6"/>
      <c r="Y4779" s="6"/>
      <c r="Z4779" s="6"/>
      <c r="AA4779" s="6" t="s">
        <v>160</v>
      </c>
      <c r="AB4779" s="8"/>
    </row>
    <row r="4780" spans="1:28" s="4" customFormat="1" ht="51.95" customHeight="1">
      <c r="A4780" s="5">
        <v>0</v>
      </c>
      <c r="B4780" s="6" t="s">
        <v>28275</v>
      </c>
      <c r="C4780" s="7">
        <v>470</v>
      </c>
      <c r="D4780" s="8" t="s">
        <v>28276</v>
      </c>
      <c r="E4780" s="8" t="s">
        <v>28277</v>
      </c>
      <c r="F4780" s="8" t="s">
        <v>28278</v>
      </c>
      <c r="G4780" s="6" t="s">
        <v>38</v>
      </c>
      <c r="H4780" s="6" t="s">
        <v>53</v>
      </c>
      <c r="I4780" s="8" t="s">
        <v>116</v>
      </c>
      <c r="J4780" s="9">
        <v>1</v>
      </c>
      <c r="K4780" s="9">
        <v>76</v>
      </c>
      <c r="L4780" s="9">
        <v>2025</v>
      </c>
      <c r="M4780" s="8" t="s">
        <v>28279</v>
      </c>
      <c r="N4780" s="8" t="s">
        <v>79</v>
      </c>
      <c r="O4780" s="8" t="s">
        <v>174</v>
      </c>
      <c r="P4780" s="6" t="s">
        <v>43</v>
      </c>
      <c r="Q4780" s="8" t="s">
        <v>214</v>
      </c>
      <c r="R4780" s="10" t="s">
        <v>28280</v>
      </c>
      <c r="S4780" s="11" t="s">
        <v>28281</v>
      </c>
      <c r="T4780" s="6"/>
      <c r="U4780" s="24" t="str">
        <f>HYPERLINK("https://media.infra-m.ru/2185/2185113/cover/2185113.jpg", "Обложка")</f>
        <v>Обложка</v>
      </c>
      <c r="V4780" s="24" t="str">
        <f>HYPERLINK("https://znanium.ru/catalog/product/2185113", "Ознакомиться")</f>
        <v>Ознакомиться</v>
      </c>
      <c r="W4780" s="8" t="s">
        <v>4776</v>
      </c>
      <c r="X4780" s="6"/>
      <c r="Y4780" s="6"/>
      <c r="Z4780" s="6"/>
      <c r="AA4780" s="6" t="s">
        <v>84</v>
      </c>
      <c r="AB4780" s="8"/>
    </row>
    <row r="4781" spans="1:28" s="4" customFormat="1" ht="51.95" customHeight="1">
      <c r="A4781" s="5">
        <v>0</v>
      </c>
      <c r="B4781" s="6" t="s">
        <v>28282</v>
      </c>
      <c r="C4781" s="13">
        <v>1010</v>
      </c>
      <c r="D4781" s="8" t="s">
        <v>28283</v>
      </c>
      <c r="E4781" s="8" t="s">
        <v>28284</v>
      </c>
      <c r="F4781" s="8" t="s">
        <v>14332</v>
      </c>
      <c r="G4781" s="6" t="s">
        <v>89</v>
      </c>
      <c r="H4781" s="6" t="s">
        <v>53</v>
      </c>
      <c r="I4781" s="8" t="s">
        <v>276</v>
      </c>
      <c r="J4781" s="9">
        <v>1</v>
      </c>
      <c r="K4781" s="9">
        <v>223</v>
      </c>
      <c r="L4781" s="9">
        <v>2023</v>
      </c>
      <c r="M4781" s="8" t="s">
        <v>28285</v>
      </c>
      <c r="N4781" s="8" t="s">
        <v>41</v>
      </c>
      <c r="O4781" s="8" t="s">
        <v>676</v>
      </c>
      <c r="P4781" s="6" t="s">
        <v>43</v>
      </c>
      <c r="Q4781" s="8" t="s">
        <v>279</v>
      </c>
      <c r="R4781" s="10" t="s">
        <v>8910</v>
      </c>
      <c r="S4781" s="11" t="s">
        <v>28286</v>
      </c>
      <c r="T4781" s="6"/>
      <c r="U4781" s="24" t="str">
        <f>HYPERLINK("https://media.infra-m.ru/1981/1981723/cover/1981723.jpg", "Обложка")</f>
        <v>Обложка</v>
      </c>
      <c r="V4781" s="24" t="str">
        <f>HYPERLINK("https://znanium.ru/catalog/product/1981723", "Ознакомиться")</f>
        <v>Ознакомиться</v>
      </c>
      <c r="W4781" s="8" t="s">
        <v>808</v>
      </c>
      <c r="X4781" s="6"/>
      <c r="Y4781" s="6"/>
      <c r="Z4781" s="6"/>
      <c r="AA4781" s="6" t="s">
        <v>235</v>
      </c>
      <c r="AB4781" s="8"/>
    </row>
    <row r="4782" spans="1:28" s="4" customFormat="1" ht="51.95" customHeight="1">
      <c r="A4782" s="5">
        <v>0</v>
      </c>
      <c r="B4782" s="6" t="s">
        <v>28287</v>
      </c>
      <c r="C4782" s="7">
        <v>990</v>
      </c>
      <c r="D4782" s="8" t="s">
        <v>28288</v>
      </c>
      <c r="E4782" s="8" t="s">
        <v>28289</v>
      </c>
      <c r="F4782" s="8" t="s">
        <v>14332</v>
      </c>
      <c r="G4782" s="6" t="s">
        <v>89</v>
      </c>
      <c r="H4782" s="6" t="s">
        <v>53</v>
      </c>
      <c r="I4782" s="8" t="s">
        <v>116</v>
      </c>
      <c r="J4782" s="9">
        <v>1</v>
      </c>
      <c r="K4782" s="9">
        <v>199</v>
      </c>
      <c r="L4782" s="9">
        <v>2025</v>
      </c>
      <c r="M4782" s="8" t="s">
        <v>28290</v>
      </c>
      <c r="N4782" s="8" t="s">
        <v>41</v>
      </c>
      <c r="O4782" s="8" t="s">
        <v>676</v>
      </c>
      <c r="P4782" s="6" t="s">
        <v>43</v>
      </c>
      <c r="Q4782" s="8" t="s">
        <v>214</v>
      </c>
      <c r="R4782" s="10" t="s">
        <v>983</v>
      </c>
      <c r="S4782" s="11" t="s">
        <v>28291</v>
      </c>
      <c r="T4782" s="6"/>
      <c r="U4782" s="24" t="str">
        <f>HYPERLINK("https://media.infra-m.ru/2132/2132129/cover/2132129.jpg", "Обложка")</f>
        <v>Обложка</v>
      </c>
      <c r="V4782" s="24" t="str">
        <f>HYPERLINK("https://znanium.ru/catalog/product/2132129", "Ознакомиться")</f>
        <v>Ознакомиться</v>
      </c>
      <c r="W4782" s="8" t="s">
        <v>808</v>
      </c>
      <c r="X4782" s="6"/>
      <c r="Y4782" s="6"/>
      <c r="Z4782" s="6"/>
      <c r="AA4782" s="6" t="s">
        <v>235</v>
      </c>
      <c r="AB4782" s="8"/>
    </row>
    <row r="4783" spans="1:28" s="4" customFormat="1" ht="42" customHeight="1">
      <c r="A4783" s="5">
        <v>0</v>
      </c>
      <c r="B4783" s="6" t="s">
        <v>28292</v>
      </c>
      <c r="C4783" s="7">
        <v>772</v>
      </c>
      <c r="D4783" s="8" t="s">
        <v>28293</v>
      </c>
      <c r="E4783" s="8" t="s">
        <v>28294</v>
      </c>
      <c r="F4783" s="8" t="s">
        <v>28295</v>
      </c>
      <c r="G4783" s="6" t="s">
        <v>38</v>
      </c>
      <c r="H4783" s="6" t="s">
        <v>53</v>
      </c>
      <c r="I4783" s="8" t="s">
        <v>560</v>
      </c>
      <c r="J4783" s="9">
        <v>1</v>
      </c>
      <c r="K4783" s="9">
        <v>128</v>
      </c>
      <c r="L4783" s="9">
        <v>2024</v>
      </c>
      <c r="M4783" s="8" t="s">
        <v>28296</v>
      </c>
      <c r="N4783" s="8" t="s">
        <v>41</v>
      </c>
      <c r="O4783" s="8" t="s">
        <v>129</v>
      </c>
      <c r="P4783" s="6" t="s">
        <v>43</v>
      </c>
      <c r="Q4783" s="8" t="s">
        <v>58</v>
      </c>
      <c r="R4783" s="10" t="s">
        <v>28297</v>
      </c>
      <c r="S4783" s="11"/>
      <c r="T4783" s="6"/>
      <c r="U4783" s="24" t="str">
        <f>HYPERLINK("https://media.infra-m.ru/2082/2082783/cover/2082783.jpg", "Обложка")</f>
        <v>Обложка</v>
      </c>
      <c r="V4783" s="24" t="str">
        <f>HYPERLINK("https://znanium.ru/catalog/product/2082783", "Ознакомиться")</f>
        <v>Ознакомиться</v>
      </c>
      <c r="W4783" s="8" t="s">
        <v>564</v>
      </c>
      <c r="X4783" s="6"/>
      <c r="Y4783" s="6"/>
      <c r="Z4783" s="6"/>
      <c r="AA4783" s="6" t="s">
        <v>133</v>
      </c>
      <c r="AB4783" s="8"/>
    </row>
    <row r="4784" spans="1:28" s="4" customFormat="1" ht="51.95" customHeight="1">
      <c r="A4784" s="5">
        <v>0</v>
      </c>
      <c r="B4784" s="6" t="s">
        <v>28298</v>
      </c>
      <c r="C4784" s="13">
        <v>2690</v>
      </c>
      <c r="D4784" s="8" t="s">
        <v>28299</v>
      </c>
      <c r="E4784" s="8" t="s">
        <v>28300</v>
      </c>
      <c r="F4784" s="8" t="s">
        <v>28301</v>
      </c>
      <c r="G4784" s="6" t="s">
        <v>52</v>
      </c>
      <c r="H4784" s="6" t="s">
        <v>53</v>
      </c>
      <c r="I4784" s="8" t="s">
        <v>100</v>
      </c>
      <c r="J4784" s="9">
        <v>1</v>
      </c>
      <c r="K4784" s="9">
        <v>573</v>
      </c>
      <c r="L4784" s="9">
        <v>2024</v>
      </c>
      <c r="M4784" s="8" t="s">
        <v>28302</v>
      </c>
      <c r="N4784" s="8" t="s">
        <v>41</v>
      </c>
      <c r="O4784" s="8" t="s">
        <v>129</v>
      </c>
      <c r="P4784" s="6" t="s">
        <v>167</v>
      </c>
      <c r="Q4784" s="8" t="s">
        <v>102</v>
      </c>
      <c r="R4784" s="10" t="s">
        <v>11353</v>
      </c>
      <c r="S4784" s="11" t="s">
        <v>28303</v>
      </c>
      <c r="T4784" s="6"/>
      <c r="U4784" s="24" t="str">
        <f>HYPERLINK("https://media.infra-m.ru/2113/2113798/cover/2113798.jpg", "Обложка")</f>
        <v>Обложка</v>
      </c>
      <c r="V4784" s="24" t="str">
        <f>HYPERLINK("https://znanium.ru/catalog/product/2113798", "Ознакомиться")</f>
        <v>Ознакомиться</v>
      </c>
      <c r="W4784" s="8" t="s">
        <v>21995</v>
      </c>
      <c r="X4784" s="6"/>
      <c r="Y4784" s="6"/>
      <c r="Z4784" s="6" t="s">
        <v>2565</v>
      </c>
      <c r="AA4784" s="6" t="s">
        <v>235</v>
      </c>
      <c r="AB4784" s="8"/>
    </row>
    <row r="4785" spans="1:28" s="4" customFormat="1" ht="51.95" customHeight="1">
      <c r="A4785" s="5">
        <v>0</v>
      </c>
      <c r="B4785" s="6" t="s">
        <v>28304</v>
      </c>
      <c r="C4785" s="13">
        <v>2880</v>
      </c>
      <c r="D4785" s="8" t="s">
        <v>28305</v>
      </c>
      <c r="E4785" s="8" t="s">
        <v>28300</v>
      </c>
      <c r="F4785" s="8" t="s">
        <v>28301</v>
      </c>
      <c r="G4785" s="6" t="s">
        <v>52</v>
      </c>
      <c r="H4785" s="6" t="s">
        <v>53</v>
      </c>
      <c r="I4785" s="8" t="s">
        <v>116</v>
      </c>
      <c r="J4785" s="9">
        <v>1</v>
      </c>
      <c r="K4785" s="9">
        <v>573</v>
      </c>
      <c r="L4785" s="9">
        <v>2025</v>
      </c>
      <c r="M4785" s="8" t="s">
        <v>28306</v>
      </c>
      <c r="N4785" s="8" t="s">
        <v>41</v>
      </c>
      <c r="O4785" s="8" t="s">
        <v>129</v>
      </c>
      <c r="P4785" s="6" t="s">
        <v>167</v>
      </c>
      <c r="Q4785" s="8" t="s">
        <v>214</v>
      </c>
      <c r="R4785" s="10" t="s">
        <v>21993</v>
      </c>
      <c r="S4785" s="11" t="s">
        <v>28307</v>
      </c>
      <c r="T4785" s="6"/>
      <c r="U4785" s="24" t="str">
        <f>HYPERLINK("https://media.infra-m.ru/2188/2188345/cover/2188345.jpg", "Обложка")</f>
        <v>Обложка</v>
      </c>
      <c r="V4785" s="24" t="str">
        <f>HYPERLINK("https://znanium.ru/catalog/product/2188345", "Ознакомиться")</f>
        <v>Ознакомиться</v>
      </c>
      <c r="W4785" s="8" t="s">
        <v>21995</v>
      </c>
      <c r="X4785" s="6"/>
      <c r="Y4785" s="6"/>
      <c r="Z4785" s="6"/>
      <c r="AA4785" s="6" t="s">
        <v>219</v>
      </c>
      <c r="AB4785" s="8"/>
    </row>
    <row r="4786" spans="1:28" s="4" customFormat="1" ht="51.95" customHeight="1">
      <c r="A4786" s="5">
        <v>0</v>
      </c>
      <c r="B4786" s="6" t="s">
        <v>28308</v>
      </c>
      <c r="C4786" s="13">
        <v>1444</v>
      </c>
      <c r="D4786" s="8" t="s">
        <v>28309</v>
      </c>
      <c r="E4786" s="8" t="s">
        <v>28300</v>
      </c>
      <c r="F4786" s="8" t="s">
        <v>28310</v>
      </c>
      <c r="G4786" s="6" t="s">
        <v>89</v>
      </c>
      <c r="H4786" s="6" t="s">
        <v>53</v>
      </c>
      <c r="I4786" s="8" t="s">
        <v>212</v>
      </c>
      <c r="J4786" s="9">
        <v>1</v>
      </c>
      <c r="K4786" s="9">
        <v>277</v>
      </c>
      <c r="L4786" s="9">
        <v>2025</v>
      </c>
      <c r="M4786" s="8" t="s">
        <v>28311</v>
      </c>
      <c r="N4786" s="8" t="s">
        <v>41</v>
      </c>
      <c r="O4786" s="8" t="s">
        <v>129</v>
      </c>
      <c r="P4786" s="6" t="s">
        <v>43</v>
      </c>
      <c r="Q4786" s="8" t="s">
        <v>214</v>
      </c>
      <c r="R4786" s="10" t="s">
        <v>10198</v>
      </c>
      <c r="S4786" s="11" t="s">
        <v>28312</v>
      </c>
      <c r="T4786" s="6"/>
      <c r="U4786" s="24" t="str">
        <f>HYPERLINK("https://media.infra-m.ru/2202/2202135/cover/2202135.jpg", "Обложка")</f>
        <v>Обложка</v>
      </c>
      <c r="V4786" s="24" t="str">
        <f>HYPERLINK("https://znanium.ru/catalog/product/2191938", "Ознакомиться")</f>
        <v>Ознакомиться</v>
      </c>
      <c r="W4786" s="8" t="s">
        <v>189</v>
      </c>
      <c r="X4786" s="6"/>
      <c r="Y4786" s="6"/>
      <c r="Z4786" s="6"/>
      <c r="AA4786" s="6" t="s">
        <v>219</v>
      </c>
      <c r="AB4786" s="8" t="s">
        <v>1383</v>
      </c>
    </row>
    <row r="4787" spans="1:28" s="4" customFormat="1" ht="51.95" customHeight="1">
      <c r="A4787" s="5">
        <v>0</v>
      </c>
      <c r="B4787" s="6" t="s">
        <v>28313</v>
      </c>
      <c r="C4787" s="13">
        <v>2590</v>
      </c>
      <c r="D4787" s="8" t="s">
        <v>28314</v>
      </c>
      <c r="E4787" s="8" t="s">
        <v>28315</v>
      </c>
      <c r="F4787" s="8" t="s">
        <v>28316</v>
      </c>
      <c r="G4787" s="6" t="s">
        <v>52</v>
      </c>
      <c r="H4787" s="6" t="s">
        <v>53</v>
      </c>
      <c r="I4787" s="8" t="s">
        <v>1868</v>
      </c>
      <c r="J4787" s="9">
        <v>1</v>
      </c>
      <c r="K4787" s="9">
        <v>518</v>
      </c>
      <c r="L4787" s="9">
        <v>2025</v>
      </c>
      <c r="M4787" s="8" t="s">
        <v>28317</v>
      </c>
      <c r="N4787" s="8" t="s">
        <v>41</v>
      </c>
      <c r="O4787" s="8" t="s">
        <v>129</v>
      </c>
      <c r="P4787" s="6" t="s">
        <v>167</v>
      </c>
      <c r="Q4787" s="8" t="s">
        <v>214</v>
      </c>
      <c r="R4787" s="10" t="s">
        <v>17284</v>
      </c>
      <c r="S4787" s="11" t="s">
        <v>28318</v>
      </c>
      <c r="T4787" s="6"/>
      <c r="U4787" s="24" t="str">
        <f>HYPERLINK("https://media.infra-m.ru/2191/2191612/cover/2191612.jpg", "Обложка")</f>
        <v>Обложка</v>
      </c>
      <c r="V4787" s="12"/>
      <c r="W4787" s="8" t="s">
        <v>784</v>
      </c>
      <c r="X4787" s="6"/>
      <c r="Y4787" s="6"/>
      <c r="Z4787" s="6"/>
      <c r="AA4787" s="6" t="s">
        <v>442</v>
      </c>
      <c r="AB4787" s="8"/>
    </row>
    <row r="4788" spans="1:28" s="4" customFormat="1" ht="42" customHeight="1">
      <c r="A4788" s="5">
        <v>0</v>
      </c>
      <c r="B4788" s="6" t="s">
        <v>28319</v>
      </c>
      <c r="C4788" s="7">
        <v>350</v>
      </c>
      <c r="D4788" s="8" t="s">
        <v>28320</v>
      </c>
      <c r="E4788" s="8" t="s">
        <v>28321</v>
      </c>
      <c r="F4788" s="8" t="s">
        <v>28322</v>
      </c>
      <c r="G4788" s="6" t="s">
        <v>38</v>
      </c>
      <c r="H4788" s="6" t="s">
        <v>184</v>
      </c>
      <c r="I4788" s="8" t="s">
        <v>185</v>
      </c>
      <c r="J4788" s="9">
        <v>1</v>
      </c>
      <c r="K4788" s="9">
        <v>123</v>
      </c>
      <c r="L4788" s="9">
        <v>2018</v>
      </c>
      <c r="M4788" s="8" t="s">
        <v>28323</v>
      </c>
      <c r="N4788" s="8" t="s">
        <v>41</v>
      </c>
      <c r="O4788" s="8" t="s">
        <v>1007</v>
      </c>
      <c r="P4788" s="6" t="s">
        <v>43</v>
      </c>
      <c r="Q4788" s="8" t="s">
        <v>214</v>
      </c>
      <c r="R4788" s="10" t="s">
        <v>6758</v>
      </c>
      <c r="S4788" s="11"/>
      <c r="T4788" s="6" t="s">
        <v>299</v>
      </c>
      <c r="U4788" s="24" t="str">
        <f>HYPERLINK("https://media.infra-m.ru/0942/0942810/cover/942810.jpg", "Обложка")</f>
        <v>Обложка</v>
      </c>
      <c r="V4788" s="24" t="str">
        <f>HYPERLINK("https://znanium.ru/catalog/product/2171407", "Ознакомиться")</f>
        <v>Ознакомиться</v>
      </c>
      <c r="W4788" s="8" t="s">
        <v>9295</v>
      </c>
      <c r="X4788" s="6"/>
      <c r="Y4788" s="6"/>
      <c r="Z4788" s="6"/>
      <c r="AA4788" s="6" t="s">
        <v>326</v>
      </c>
      <c r="AB4788" s="8"/>
    </row>
    <row r="4789" spans="1:28" s="4" customFormat="1" ht="42" customHeight="1">
      <c r="A4789" s="5">
        <v>0</v>
      </c>
      <c r="B4789" s="6" t="s">
        <v>28324</v>
      </c>
      <c r="C4789" s="7">
        <v>670</v>
      </c>
      <c r="D4789" s="8" t="s">
        <v>28325</v>
      </c>
      <c r="E4789" s="8" t="s">
        <v>28326</v>
      </c>
      <c r="F4789" s="8" t="s">
        <v>28322</v>
      </c>
      <c r="G4789" s="6" t="s">
        <v>38</v>
      </c>
      <c r="H4789" s="6" t="s">
        <v>184</v>
      </c>
      <c r="I4789" s="8" t="s">
        <v>116</v>
      </c>
      <c r="J4789" s="9">
        <v>1</v>
      </c>
      <c r="K4789" s="9">
        <v>134</v>
      </c>
      <c r="L4789" s="9">
        <v>2025</v>
      </c>
      <c r="M4789" s="8" t="s">
        <v>28327</v>
      </c>
      <c r="N4789" s="8" t="s">
        <v>41</v>
      </c>
      <c r="O4789" s="8" t="s">
        <v>1007</v>
      </c>
      <c r="P4789" s="6" t="s">
        <v>43</v>
      </c>
      <c r="Q4789" s="8" t="s">
        <v>214</v>
      </c>
      <c r="R4789" s="10" t="s">
        <v>6758</v>
      </c>
      <c r="S4789" s="11"/>
      <c r="T4789" s="6" t="s">
        <v>299</v>
      </c>
      <c r="U4789" s="24" t="str">
        <f>HYPERLINK("https://media.infra-m.ru/2171/2171407/cover/2171407.jpg", "Обложка")</f>
        <v>Обложка</v>
      </c>
      <c r="V4789" s="24" t="str">
        <f>HYPERLINK("https://znanium.ru/catalog/product/2171407", "Ознакомиться")</f>
        <v>Ознакомиться</v>
      </c>
      <c r="W4789" s="8" t="s">
        <v>9295</v>
      </c>
      <c r="X4789" s="6"/>
      <c r="Y4789" s="6"/>
      <c r="Z4789" s="6"/>
      <c r="AA4789" s="6" t="s">
        <v>874</v>
      </c>
      <c r="AB4789" s="8"/>
    </row>
    <row r="4790" spans="1:28" s="4" customFormat="1" ht="51.95" customHeight="1">
      <c r="A4790" s="5">
        <v>0</v>
      </c>
      <c r="B4790" s="6" t="s">
        <v>28328</v>
      </c>
      <c r="C4790" s="13">
        <v>2430</v>
      </c>
      <c r="D4790" s="8" t="s">
        <v>28329</v>
      </c>
      <c r="E4790" s="8" t="s">
        <v>28330</v>
      </c>
      <c r="F4790" s="8" t="s">
        <v>28331</v>
      </c>
      <c r="G4790" s="6" t="s">
        <v>52</v>
      </c>
      <c r="H4790" s="6" t="s">
        <v>53</v>
      </c>
      <c r="I4790" s="8" t="s">
        <v>212</v>
      </c>
      <c r="J4790" s="9">
        <v>1</v>
      </c>
      <c r="K4790" s="9">
        <v>522</v>
      </c>
      <c r="L4790" s="9">
        <v>2024</v>
      </c>
      <c r="M4790" s="8" t="s">
        <v>28332</v>
      </c>
      <c r="N4790" s="8" t="s">
        <v>41</v>
      </c>
      <c r="O4790" s="8" t="s">
        <v>676</v>
      </c>
      <c r="P4790" s="6" t="s">
        <v>167</v>
      </c>
      <c r="Q4790" s="8" t="s">
        <v>214</v>
      </c>
      <c r="R4790" s="10" t="s">
        <v>28333</v>
      </c>
      <c r="S4790" s="11"/>
      <c r="T4790" s="6"/>
      <c r="U4790" s="24" t="str">
        <f>HYPERLINK("https://media.infra-m.ru/1911/1911528/cover/1911528.jpg", "Обложка")</f>
        <v>Обложка</v>
      </c>
      <c r="V4790" s="24" t="str">
        <f>HYPERLINK("https://znanium.ru/catalog/product/1911528", "Ознакомиться")</f>
        <v>Ознакомиться</v>
      </c>
      <c r="W4790" s="8" t="s">
        <v>1345</v>
      </c>
      <c r="X4790" s="6"/>
      <c r="Y4790" s="6"/>
      <c r="Z4790" s="6"/>
      <c r="AA4790" s="6" t="s">
        <v>133</v>
      </c>
      <c r="AB4790" s="8"/>
    </row>
    <row r="4791" spans="1:28" s="4" customFormat="1" ht="51.95" customHeight="1">
      <c r="A4791" s="5">
        <v>0</v>
      </c>
      <c r="B4791" s="6" t="s">
        <v>28334</v>
      </c>
      <c r="C4791" s="13">
        <v>1394.9</v>
      </c>
      <c r="D4791" s="8" t="s">
        <v>28335</v>
      </c>
      <c r="E4791" s="8" t="s">
        <v>28330</v>
      </c>
      <c r="F4791" s="8" t="s">
        <v>28336</v>
      </c>
      <c r="G4791" s="6" t="s">
        <v>52</v>
      </c>
      <c r="H4791" s="6" t="s">
        <v>952</v>
      </c>
      <c r="I4791" s="8"/>
      <c r="J4791" s="9">
        <v>1</v>
      </c>
      <c r="K4791" s="9">
        <v>368</v>
      </c>
      <c r="L4791" s="9">
        <v>2022</v>
      </c>
      <c r="M4791" s="8" t="s">
        <v>28337</v>
      </c>
      <c r="N4791" s="8" t="s">
        <v>41</v>
      </c>
      <c r="O4791" s="8" t="s">
        <v>676</v>
      </c>
      <c r="P4791" s="6" t="s">
        <v>167</v>
      </c>
      <c r="Q4791" s="8" t="s">
        <v>44</v>
      </c>
      <c r="R4791" s="10" t="s">
        <v>28338</v>
      </c>
      <c r="S4791" s="11"/>
      <c r="T4791" s="6"/>
      <c r="U4791" s="24" t="str">
        <f>HYPERLINK("https://media.infra-m.ru/1844/1844275/cover/1844275.jpg", "Обложка")</f>
        <v>Обложка</v>
      </c>
      <c r="V4791" s="24" t="str">
        <f>HYPERLINK("https://znanium.ru/catalog/product/1844275", "Ознакомиться")</f>
        <v>Ознакомиться</v>
      </c>
      <c r="W4791" s="8" t="s">
        <v>8428</v>
      </c>
      <c r="X4791" s="6"/>
      <c r="Y4791" s="6"/>
      <c r="Z4791" s="6"/>
      <c r="AA4791" s="6" t="s">
        <v>47</v>
      </c>
      <c r="AB4791" s="8"/>
    </row>
    <row r="4792" spans="1:28" s="4" customFormat="1" ht="51.95" customHeight="1">
      <c r="A4792" s="5">
        <v>0</v>
      </c>
      <c r="B4792" s="6" t="s">
        <v>28339</v>
      </c>
      <c r="C4792" s="13">
        <v>2660</v>
      </c>
      <c r="D4792" s="8" t="s">
        <v>28340</v>
      </c>
      <c r="E4792" s="8" t="s">
        <v>28341</v>
      </c>
      <c r="F4792" s="8" t="s">
        <v>28342</v>
      </c>
      <c r="G4792" s="6" t="s">
        <v>89</v>
      </c>
      <c r="H4792" s="6" t="s">
        <v>674</v>
      </c>
      <c r="I4792" s="8"/>
      <c r="J4792" s="9">
        <v>1</v>
      </c>
      <c r="K4792" s="9">
        <v>592</v>
      </c>
      <c r="L4792" s="9">
        <v>2023</v>
      </c>
      <c r="M4792" s="8" t="s">
        <v>28343</v>
      </c>
      <c r="N4792" s="8" t="s">
        <v>41</v>
      </c>
      <c r="O4792" s="8" t="s">
        <v>676</v>
      </c>
      <c r="P4792" s="6" t="s">
        <v>43</v>
      </c>
      <c r="Q4792" s="8" t="s">
        <v>44</v>
      </c>
      <c r="R4792" s="10" t="s">
        <v>28344</v>
      </c>
      <c r="S4792" s="11" t="s">
        <v>28345</v>
      </c>
      <c r="T4792" s="6"/>
      <c r="U4792" s="24" t="str">
        <f>HYPERLINK("https://media.infra-m.ru/1902/1902732/cover/1902732.jpg", "Обложка")</f>
        <v>Обложка</v>
      </c>
      <c r="V4792" s="24" t="str">
        <f>HYPERLINK("https://znanium.ru/catalog/product/1902732", "Ознакомиться")</f>
        <v>Ознакомиться</v>
      </c>
      <c r="W4792" s="8" t="s">
        <v>852</v>
      </c>
      <c r="X4792" s="6"/>
      <c r="Y4792" s="6"/>
      <c r="Z4792" s="6"/>
      <c r="AA4792" s="6" t="s">
        <v>707</v>
      </c>
      <c r="AB4792" s="8"/>
    </row>
    <row r="4793" spans="1:28" s="4" customFormat="1" ht="51.95" customHeight="1">
      <c r="A4793" s="5">
        <v>0</v>
      </c>
      <c r="B4793" s="6" t="s">
        <v>28346</v>
      </c>
      <c r="C4793" s="7">
        <v>999.9</v>
      </c>
      <c r="D4793" s="8" t="s">
        <v>28347</v>
      </c>
      <c r="E4793" s="8" t="s">
        <v>28348</v>
      </c>
      <c r="F4793" s="8" t="s">
        <v>28349</v>
      </c>
      <c r="G4793" s="6" t="s">
        <v>38</v>
      </c>
      <c r="H4793" s="6" t="s">
        <v>674</v>
      </c>
      <c r="I4793" s="8"/>
      <c r="J4793" s="9">
        <v>16</v>
      </c>
      <c r="K4793" s="9">
        <v>512</v>
      </c>
      <c r="L4793" s="9">
        <v>2016</v>
      </c>
      <c r="M4793" s="8" t="s">
        <v>28350</v>
      </c>
      <c r="N4793" s="8" t="s">
        <v>41</v>
      </c>
      <c r="O4793" s="8" t="s">
        <v>676</v>
      </c>
      <c r="P4793" s="6" t="s">
        <v>43</v>
      </c>
      <c r="Q4793" s="8" t="s">
        <v>44</v>
      </c>
      <c r="R4793" s="10" t="s">
        <v>28344</v>
      </c>
      <c r="S4793" s="11" t="s">
        <v>28345</v>
      </c>
      <c r="T4793" s="6"/>
      <c r="U4793" s="24" t="str">
        <f>HYPERLINK("https://media.infra-m.ru/0544/0544067/cover/544067.jpg", "Обложка")</f>
        <v>Обложка</v>
      </c>
      <c r="V4793" s="24" t="str">
        <f>HYPERLINK("https://znanium.ru/catalog/product/1902732", "Ознакомиться")</f>
        <v>Ознакомиться</v>
      </c>
      <c r="W4793" s="8" t="s">
        <v>852</v>
      </c>
      <c r="X4793" s="6"/>
      <c r="Y4793" s="6"/>
      <c r="Z4793" s="6"/>
      <c r="AA4793" s="6" t="s">
        <v>407</v>
      </c>
      <c r="AB4793" s="8"/>
    </row>
    <row r="4794" spans="1:28" s="4" customFormat="1" ht="51.95" customHeight="1">
      <c r="A4794" s="5">
        <v>0</v>
      </c>
      <c r="B4794" s="6" t="s">
        <v>28351</v>
      </c>
      <c r="C4794" s="7">
        <v>980</v>
      </c>
      <c r="D4794" s="8" t="s">
        <v>28352</v>
      </c>
      <c r="E4794" s="8" t="s">
        <v>28353</v>
      </c>
      <c r="F4794" s="8" t="s">
        <v>3363</v>
      </c>
      <c r="G4794" s="6" t="s">
        <v>89</v>
      </c>
      <c r="H4794" s="6" t="s">
        <v>53</v>
      </c>
      <c r="I4794" s="8" t="s">
        <v>3356</v>
      </c>
      <c r="J4794" s="9">
        <v>1</v>
      </c>
      <c r="K4794" s="9">
        <v>216</v>
      </c>
      <c r="L4794" s="9">
        <v>2023</v>
      </c>
      <c r="M4794" s="8" t="s">
        <v>28354</v>
      </c>
      <c r="N4794" s="8" t="s">
        <v>413</v>
      </c>
      <c r="O4794" s="8" t="s">
        <v>414</v>
      </c>
      <c r="P4794" s="6" t="s">
        <v>43</v>
      </c>
      <c r="Q4794" s="8" t="s">
        <v>214</v>
      </c>
      <c r="R4794" s="10" t="s">
        <v>28355</v>
      </c>
      <c r="S4794" s="11" t="s">
        <v>28356</v>
      </c>
      <c r="T4794" s="6"/>
      <c r="U4794" s="24" t="str">
        <f>HYPERLINK("https://media.infra-m.ru/1925/1925539/cover/1925539.jpg", "Обложка")</f>
        <v>Обложка</v>
      </c>
      <c r="V4794" s="12"/>
      <c r="W4794" s="8" t="s">
        <v>784</v>
      </c>
      <c r="X4794" s="6"/>
      <c r="Y4794" s="6"/>
      <c r="Z4794" s="6"/>
      <c r="AA4794" s="6" t="s">
        <v>151</v>
      </c>
      <c r="AB4794" s="8"/>
    </row>
    <row r="4795" spans="1:28" s="4" customFormat="1" ht="51.95" customHeight="1">
      <c r="A4795" s="5">
        <v>0</v>
      </c>
      <c r="B4795" s="6" t="s">
        <v>28357</v>
      </c>
      <c r="C4795" s="13">
        <v>1170</v>
      </c>
      <c r="D4795" s="8" t="s">
        <v>28358</v>
      </c>
      <c r="E4795" s="8" t="s">
        <v>28359</v>
      </c>
      <c r="F4795" s="8" t="s">
        <v>28360</v>
      </c>
      <c r="G4795" s="6" t="s">
        <v>52</v>
      </c>
      <c r="H4795" s="6" t="s">
        <v>53</v>
      </c>
      <c r="I4795" s="8" t="s">
        <v>560</v>
      </c>
      <c r="J4795" s="9">
        <v>1</v>
      </c>
      <c r="K4795" s="9">
        <v>260</v>
      </c>
      <c r="L4795" s="9">
        <v>2023</v>
      </c>
      <c r="M4795" s="8" t="s">
        <v>28361</v>
      </c>
      <c r="N4795" s="8" t="s">
        <v>41</v>
      </c>
      <c r="O4795" s="8" t="s">
        <v>129</v>
      </c>
      <c r="P4795" s="6" t="s">
        <v>43</v>
      </c>
      <c r="Q4795" s="8" t="s">
        <v>58</v>
      </c>
      <c r="R4795" s="10" t="s">
        <v>28362</v>
      </c>
      <c r="S4795" s="11"/>
      <c r="T4795" s="6"/>
      <c r="U4795" s="24" t="str">
        <f>HYPERLINK("https://media.infra-m.ru/1902/1902860/cover/1902860.jpg", "Обложка")</f>
        <v>Обложка</v>
      </c>
      <c r="V4795" s="24" t="str">
        <f>HYPERLINK("https://znanium.ru/catalog/product/2197271", "Ознакомиться")</f>
        <v>Ознакомиться</v>
      </c>
      <c r="W4795" s="8" t="s">
        <v>564</v>
      </c>
      <c r="X4795" s="6"/>
      <c r="Y4795" s="6"/>
      <c r="Z4795" s="6"/>
      <c r="AA4795" s="6" t="s">
        <v>207</v>
      </c>
      <c r="AB4795" s="8"/>
    </row>
    <row r="4796" spans="1:28" s="4" customFormat="1" ht="51.95" customHeight="1">
      <c r="A4796" s="5">
        <v>0</v>
      </c>
      <c r="B4796" s="6" t="s">
        <v>28363</v>
      </c>
      <c r="C4796" s="13">
        <v>1310</v>
      </c>
      <c r="D4796" s="8" t="s">
        <v>28364</v>
      </c>
      <c r="E4796" s="8" t="s">
        <v>28365</v>
      </c>
      <c r="F4796" s="8" t="s">
        <v>28366</v>
      </c>
      <c r="G4796" s="6" t="s">
        <v>89</v>
      </c>
      <c r="H4796" s="6" t="s">
        <v>53</v>
      </c>
      <c r="I4796" s="8" t="s">
        <v>212</v>
      </c>
      <c r="J4796" s="9">
        <v>1</v>
      </c>
      <c r="K4796" s="9">
        <v>284</v>
      </c>
      <c r="L4796" s="9">
        <v>2024</v>
      </c>
      <c r="M4796" s="8" t="s">
        <v>28367</v>
      </c>
      <c r="N4796" s="8" t="s">
        <v>56</v>
      </c>
      <c r="O4796" s="8" t="s">
        <v>2183</v>
      </c>
      <c r="P4796" s="6" t="s">
        <v>43</v>
      </c>
      <c r="Q4796" s="8" t="s">
        <v>214</v>
      </c>
      <c r="R4796" s="10" t="s">
        <v>28368</v>
      </c>
      <c r="S4796" s="11" t="s">
        <v>28369</v>
      </c>
      <c r="T4796" s="6"/>
      <c r="U4796" s="24" t="str">
        <f>HYPERLINK("https://media.infra-m.ru/2087/2087719/cover/2087719.jpg", "Обложка")</f>
        <v>Обложка</v>
      </c>
      <c r="V4796" s="24" t="str">
        <f>HYPERLINK("https://znanium.ru/catalog/product/2087719", "Ознакомиться")</f>
        <v>Ознакомиться</v>
      </c>
      <c r="W4796" s="8" t="s">
        <v>28370</v>
      </c>
      <c r="X4796" s="6"/>
      <c r="Y4796" s="6"/>
      <c r="Z4796" s="6"/>
      <c r="AA4796" s="6" t="s">
        <v>258</v>
      </c>
      <c r="AB4796" s="8"/>
    </row>
    <row r="4797" spans="1:28" s="4" customFormat="1" ht="51.95" customHeight="1">
      <c r="A4797" s="5">
        <v>0</v>
      </c>
      <c r="B4797" s="6" t="s">
        <v>28371</v>
      </c>
      <c r="C4797" s="13">
        <v>1990</v>
      </c>
      <c r="D4797" s="8" t="s">
        <v>28372</v>
      </c>
      <c r="E4797" s="8" t="s">
        <v>28373</v>
      </c>
      <c r="F4797" s="8" t="s">
        <v>28374</v>
      </c>
      <c r="G4797" s="6" t="s">
        <v>89</v>
      </c>
      <c r="H4797" s="6" t="s">
        <v>53</v>
      </c>
      <c r="I4797" s="8" t="s">
        <v>116</v>
      </c>
      <c r="J4797" s="9">
        <v>1</v>
      </c>
      <c r="K4797" s="9">
        <v>386</v>
      </c>
      <c r="L4797" s="9">
        <v>2025</v>
      </c>
      <c r="M4797" s="8" t="s">
        <v>28375</v>
      </c>
      <c r="N4797" s="8" t="s">
        <v>79</v>
      </c>
      <c r="O4797" s="8" t="s">
        <v>396</v>
      </c>
      <c r="P4797" s="6" t="s">
        <v>167</v>
      </c>
      <c r="Q4797" s="8" t="s">
        <v>44</v>
      </c>
      <c r="R4797" s="10" t="s">
        <v>20971</v>
      </c>
      <c r="S4797" s="11" t="s">
        <v>28376</v>
      </c>
      <c r="T4797" s="6"/>
      <c r="U4797" s="24" t="str">
        <f>HYPERLINK("https://media.infra-m.ru/2172/2172576/cover/2172576.jpg", "Обложка")</f>
        <v>Обложка</v>
      </c>
      <c r="V4797" s="24" t="str">
        <f>HYPERLINK("https://znanium.ru/catalog/product/2172576", "Ознакомиться")</f>
        <v>Ознакомиться</v>
      </c>
      <c r="W4797" s="8" t="s">
        <v>1571</v>
      </c>
      <c r="X4797" s="6"/>
      <c r="Y4797" s="6"/>
      <c r="Z4797" s="6"/>
      <c r="AA4797" s="6" t="s">
        <v>235</v>
      </c>
      <c r="AB4797" s="8"/>
    </row>
    <row r="4798" spans="1:28" s="4" customFormat="1" ht="51.95" customHeight="1">
      <c r="A4798" s="5">
        <v>0</v>
      </c>
      <c r="B4798" s="6" t="s">
        <v>28377</v>
      </c>
      <c r="C4798" s="13">
        <v>1784</v>
      </c>
      <c r="D4798" s="8" t="s">
        <v>28378</v>
      </c>
      <c r="E4798" s="8" t="s">
        <v>28379</v>
      </c>
      <c r="F4798" s="8" t="s">
        <v>28380</v>
      </c>
      <c r="G4798" s="6" t="s">
        <v>89</v>
      </c>
      <c r="H4798" s="6" t="s">
        <v>53</v>
      </c>
      <c r="I4798" s="8" t="s">
        <v>90</v>
      </c>
      <c r="J4798" s="9">
        <v>1</v>
      </c>
      <c r="K4798" s="9">
        <v>357</v>
      </c>
      <c r="L4798" s="9">
        <v>2025</v>
      </c>
      <c r="M4798" s="8" t="s">
        <v>28381</v>
      </c>
      <c r="N4798" s="8" t="s">
        <v>79</v>
      </c>
      <c r="O4798" s="8" t="s">
        <v>148</v>
      </c>
      <c r="P4798" s="6" t="s">
        <v>43</v>
      </c>
      <c r="Q4798" s="8" t="s">
        <v>44</v>
      </c>
      <c r="R4798" s="10" t="s">
        <v>28382</v>
      </c>
      <c r="S4798" s="11" t="s">
        <v>28383</v>
      </c>
      <c r="T4798" s="6"/>
      <c r="U4798" s="24" t="str">
        <f>HYPERLINK("https://media.infra-m.ru/2184/2184917/cover/2184917.jpg", "Обложка")</f>
        <v>Обложка</v>
      </c>
      <c r="V4798" s="24" t="str">
        <f>HYPERLINK("https://znanium.ru/catalog/product/1172012", "Ознакомиться")</f>
        <v>Ознакомиться</v>
      </c>
      <c r="W4798" s="8" t="s">
        <v>1571</v>
      </c>
      <c r="X4798" s="6"/>
      <c r="Y4798" s="6"/>
      <c r="Z4798" s="6"/>
      <c r="AA4798" s="6" t="s">
        <v>867</v>
      </c>
      <c r="AB4798" s="8"/>
    </row>
    <row r="4799" spans="1:28" s="4" customFormat="1" ht="51.95" customHeight="1">
      <c r="A4799" s="5">
        <v>0</v>
      </c>
      <c r="B4799" s="6" t="s">
        <v>28384</v>
      </c>
      <c r="C4799" s="13">
        <v>1154.9000000000001</v>
      </c>
      <c r="D4799" s="8" t="s">
        <v>28385</v>
      </c>
      <c r="E4799" s="8" t="s">
        <v>28386</v>
      </c>
      <c r="F4799" s="8" t="s">
        <v>28380</v>
      </c>
      <c r="G4799" s="6" t="s">
        <v>52</v>
      </c>
      <c r="H4799" s="6" t="s">
        <v>53</v>
      </c>
      <c r="I4799" s="8" t="s">
        <v>90</v>
      </c>
      <c r="J4799" s="9">
        <v>1</v>
      </c>
      <c r="K4799" s="9">
        <v>341</v>
      </c>
      <c r="L4799" s="9">
        <v>2020</v>
      </c>
      <c r="M4799" s="8" t="s">
        <v>28387</v>
      </c>
      <c r="N4799" s="8" t="s">
        <v>79</v>
      </c>
      <c r="O4799" s="8" t="s">
        <v>148</v>
      </c>
      <c r="P4799" s="6" t="s">
        <v>43</v>
      </c>
      <c r="Q4799" s="8" t="s">
        <v>44</v>
      </c>
      <c r="R4799" s="10" t="s">
        <v>28382</v>
      </c>
      <c r="S4799" s="11" t="s">
        <v>28388</v>
      </c>
      <c r="T4799" s="6"/>
      <c r="U4799" s="24" t="str">
        <f>HYPERLINK("https://media.infra-m.ru/1085/1085274/cover/1085274.jpg", "Обложка")</f>
        <v>Обложка</v>
      </c>
      <c r="V4799" s="24" t="str">
        <f>HYPERLINK("https://znanium.ru/catalog/product/1172012", "Ознакомиться")</f>
        <v>Ознакомиться</v>
      </c>
      <c r="W4799" s="8" t="s">
        <v>1571</v>
      </c>
      <c r="X4799" s="6"/>
      <c r="Y4799" s="6"/>
      <c r="Z4799" s="6"/>
      <c r="AA4799" s="6" t="s">
        <v>2001</v>
      </c>
      <c r="AB4799" s="8"/>
    </row>
    <row r="4800" spans="1:28" s="4" customFormat="1" ht="51.95" customHeight="1">
      <c r="A4800" s="5">
        <v>0</v>
      </c>
      <c r="B4800" s="6" t="s">
        <v>28389</v>
      </c>
      <c r="C4800" s="13">
        <v>1060</v>
      </c>
      <c r="D4800" s="8" t="s">
        <v>28390</v>
      </c>
      <c r="E4800" s="8" t="s">
        <v>28391</v>
      </c>
      <c r="F4800" s="8" t="s">
        <v>28392</v>
      </c>
      <c r="G4800" s="6" t="s">
        <v>89</v>
      </c>
      <c r="H4800" s="6" t="s">
        <v>53</v>
      </c>
      <c r="I4800" s="8" t="s">
        <v>5586</v>
      </c>
      <c r="J4800" s="9">
        <v>1</v>
      </c>
      <c r="K4800" s="9">
        <v>176</v>
      </c>
      <c r="L4800" s="9">
        <v>2025</v>
      </c>
      <c r="M4800" s="8" t="s">
        <v>28393</v>
      </c>
      <c r="N4800" s="8" t="s">
        <v>79</v>
      </c>
      <c r="O4800" s="8" t="s">
        <v>396</v>
      </c>
      <c r="P4800" s="6" t="s">
        <v>7733</v>
      </c>
      <c r="Q4800" s="8" t="s">
        <v>58</v>
      </c>
      <c r="R4800" s="10" t="s">
        <v>28394</v>
      </c>
      <c r="S4800" s="11"/>
      <c r="T4800" s="6"/>
      <c r="U4800" s="24" t="str">
        <f>HYPERLINK("https://media.infra-m.ru/2200/2200001/cover/2200001.jpg", "Обложка")</f>
        <v>Обложка</v>
      </c>
      <c r="V4800" s="24" t="str">
        <f>HYPERLINK("https://znanium.ru/catalog/product/2200001", "Ознакомиться")</f>
        <v>Ознакомиться</v>
      </c>
      <c r="W4800" s="8" t="s">
        <v>28395</v>
      </c>
      <c r="X4800" s="6"/>
      <c r="Y4800" s="6"/>
      <c r="Z4800" s="6"/>
      <c r="AA4800" s="6" t="s">
        <v>133</v>
      </c>
      <c r="AB4800" s="8"/>
    </row>
    <row r="4801" spans="1:28" s="4" customFormat="1" ht="51.95" customHeight="1">
      <c r="A4801" s="5">
        <v>0</v>
      </c>
      <c r="B4801" s="6" t="s">
        <v>28396</v>
      </c>
      <c r="C4801" s="13">
        <v>1150</v>
      </c>
      <c r="D4801" s="8" t="s">
        <v>28397</v>
      </c>
      <c r="E4801" s="8" t="s">
        <v>28398</v>
      </c>
      <c r="F4801" s="8" t="s">
        <v>28399</v>
      </c>
      <c r="G4801" s="6" t="s">
        <v>38</v>
      </c>
      <c r="H4801" s="6" t="s">
        <v>77</v>
      </c>
      <c r="I4801" s="8"/>
      <c r="J4801" s="9">
        <v>1</v>
      </c>
      <c r="K4801" s="9">
        <v>256</v>
      </c>
      <c r="L4801" s="9">
        <v>2023</v>
      </c>
      <c r="M4801" s="8" t="s">
        <v>28400</v>
      </c>
      <c r="N4801" s="8" t="s">
        <v>41</v>
      </c>
      <c r="O4801" s="8" t="s">
        <v>278</v>
      </c>
      <c r="P4801" s="6" t="s">
        <v>43</v>
      </c>
      <c r="Q4801" s="8" t="s">
        <v>44</v>
      </c>
      <c r="R4801" s="10" t="s">
        <v>28401</v>
      </c>
      <c r="S4801" s="11"/>
      <c r="T4801" s="6"/>
      <c r="U4801" s="24" t="str">
        <f>HYPERLINK("https://media.infra-m.ru/2020/2020594/cover/2020594.jpg", "Обложка")</f>
        <v>Обложка</v>
      </c>
      <c r="V4801" s="24" t="str">
        <f>HYPERLINK("https://znanium.ru/catalog/product/2020594", "Ознакомиться")</f>
        <v>Ознакомиться</v>
      </c>
      <c r="W4801" s="8" t="s">
        <v>28402</v>
      </c>
      <c r="X4801" s="6"/>
      <c r="Y4801" s="6"/>
      <c r="Z4801" s="6"/>
      <c r="AA4801" s="6" t="s">
        <v>111</v>
      </c>
      <c r="AB4801" s="8"/>
    </row>
    <row r="4802" spans="1:28" s="4" customFormat="1" ht="51.95" customHeight="1">
      <c r="A4802" s="5">
        <v>0</v>
      </c>
      <c r="B4802" s="6" t="s">
        <v>28403</v>
      </c>
      <c r="C4802" s="7">
        <v>990</v>
      </c>
      <c r="D4802" s="8" t="s">
        <v>28404</v>
      </c>
      <c r="E4802" s="8" t="s">
        <v>28405</v>
      </c>
      <c r="F4802" s="8" t="s">
        <v>28406</v>
      </c>
      <c r="G4802" s="6" t="s">
        <v>89</v>
      </c>
      <c r="H4802" s="6" t="s">
        <v>674</v>
      </c>
      <c r="I4802" s="8"/>
      <c r="J4802" s="9">
        <v>1</v>
      </c>
      <c r="K4802" s="9">
        <v>240</v>
      </c>
      <c r="L4802" s="9">
        <v>2022</v>
      </c>
      <c r="M4802" s="8" t="s">
        <v>28407</v>
      </c>
      <c r="N4802" s="8" t="s">
        <v>41</v>
      </c>
      <c r="O4802" s="8" t="s">
        <v>676</v>
      </c>
      <c r="P4802" s="6" t="s">
        <v>10033</v>
      </c>
      <c r="Q4802" s="8" t="s">
        <v>58</v>
      </c>
      <c r="R4802" s="10" t="s">
        <v>5010</v>
      </c>
      <c r="S4802" s="11"/>
      <c r="T4802" s="6"/>
      <c r="U4802" s="24" t="str">
        <f>HYPERLINK("https://media.infra-m.ru/1872/1872304/cover/1872304.jpg", "Обложка")</f>
        <v>Обложка</v>
      </c>
      <c r="V4802" s="24" t="str">
        <f>HYPERLINK("https://znanium.ru/catalog/product/1872304", "Ознакомиться")</f>
        <v>Ознакомиться</v>
      </c>
      <c r="W4802" s="8" t="s">
        <v>2114</v>
      </c>
      <c r="X4802" s="6"/>
      <c r="Y4802" s="6"/>
      <c r="Z4802" s="6"/>
      <c r="AA4802" s="6" t="s">
        <v>793</v>
      </c>
      <c r="AB4802" s="8"/>
    </row>
    <row r="4803" spans="1:28" s="4" customFormat="1" ht="51.95" customHeight="1">
      <c r="A4803" s="5">
        <v>0</v>
      </c>
      <c r="B4803" s="6" t="s">
        <v>28408</v>
      </c>
      <c r="C4803" s="13">
        <v>2294</v>
      </c>
      <c r="D4803" s="8" t="s">
        <v>28409</v>
      </c>
      <c r="E4803" s="8" t="s">
        <v>28410</v>
      </c>
      <c r="F4803" s="8" t="s">
        <v>16358</v>
      </c>
      <c r="G4803" s="6" t="s">
        <v>89</v>
      </c>
      <c r="H4803" s="6" t="s">
        <v>53</v>
      </c>
      <c r="I4803" s="8" t="s">
        <v>1223</v>
      </c>
      <c r="J4803" s="9">
        <v>1</v>
      </c>
      <c r="K4803" s="9">
        <v>538</v>
      </c>
      <c r="L4803" s="9">
        <v>2024</v>
      </c>
      <c r="M4803" s="8" t="s">
        <v>28411</v>
      </c>
      <c r="N4803" s="8" t="s">
        <v>41</v>
      </c>
      <c r="O4803" s="8" t="s">
        <v>1007</v>
      </c>
      <c r="P4803" s="6" t="s">
        <v>43</v>
      </c>
      <c r="Q4803" s="8" t="s">
        <v>44</v>
      </c>
      <c r="R4803" s="10" t="s">
        <v>1008</v>
      </c>
      <c r="S4803" s="11" t="s">
        <v>3474</v>
      </c>
      <c r="T4803" s="6"/>
      <c r="U4803" s="24" t="str">
        <f>HYPERLINK("https://media.infra-m.ru/2096/2096802/cover/2096802.jpg", "Обложка")</f>
        <v>Обложка</v>
      </c>
      <c r="V4803" s="24" t="str">
        <f>HYPERLINK("https://znanium.ru/catalog/product/2096802", "Ознакомиться")</f>
        <v>Ознакомиться</v>
      </c>
      <c r="W4803" s="8" t="s">
        <v>83</v>
      </c>
      <c r="X4803" s="6"/>
      <c r="Y4803" s="6"/>
      <c r="Z4803" s="6"/>
      <c r="AA4803" s="6" t="s">
        <v>1365</v>
      </c>
      <c r="AB4803" s="8"/>
    </row>
    <row r="4804" spans="1:28" s="4" customFormat="1" ht="51.95" customHeight="1">
      <c r="A4804" s="5">
        <v>0</v>
      </c>
      <c r="B4804" s="6" t="s">
        <v>28412</v>
      </c>
      <c r="C4804" s="13">
        <v>1734</v>
      </c>
      <c r="D4804" s="8" t="s">
        <v>28413</v>
      </c>
      <c r="E4804" s="8" t="s">
        <v>28414</v>
      </c>
      <c r="F4804" s="8" t="s">
        <v>14440</v>
      </c>
      <c r="G4804" s="6" t="s">
        <v>52</v>
      </c>
      <c r="H4804" s="6" t="s">
        <v>53</v>
      </c>
      <c r="I4804" s="8" t="s">
        <v>7693</v>
      </c>
      <c r="J4804" s="9">
        <v>1</v>
      </c>
      <c r="K4804" s="9">
        <v>333</v>
      </c>
      <c r="L4804" s="9">
        <v>2025</v>
      </c>
      <c r="M4804" s="8" t="s">
        <v>28415</v>
      </c>
      <c r="N4804" s="8" t="s">
        <v>79</v>
      </c>
      <c r="O4804" s="8" t="s">
        <v>80</v>
      </c>
      <c r="P4804" s="6" t="s">
        <v>43</v>
      </c>
      <c r="Q4804" s="8" t="s">
        <v>58</v>
      </c>
      <c r="R4804" s="10" t="s">
        <v>28416</v>
      </c>
      <c r="S4804" s="11" t="s">
        <v>28417</v>
      </c>
      <c r="T4804" s="6"/>
      <c r="U4804" s="24" t="str">
        <f>HYPERLINK("https://media.infra-m.ru/2194/2194346/cover/2194346.jpg", "Обложка")</f>
        <v>Обложка</v>
      </c>
      <c r="V4804" s="24" t="str">
        <f>HYPERLINK("https://znanium.ru/catalog/product/2116865", "Ознакомиться")</f>
        <v>Ознакомиться</v>
      </c>
      <c r="W4804" s="8" t="s">
        <v>2216</v>
      </c>
      <c r="X4804" s="6"/>
      <c r="Y4804" s="6"/>
      <c r="Z4804" s="6"/>
      <c r="AA4804" s="6" t="s">
        <v>219</v>
      </c>
      <c r="AB4804" s="8"/>
    </row>
    <row r="4805" spans="1:28" s="4" customFormat="1" ht="51.95" customHeight="1">
      <c r="A4805" s="5">
        <v>0</v>
      </c>
      <c r="B4805" s="6" t="s">
        <v>28418</v>
      </c>
      <c r="C4805" s="13">
        <v>1194.9000000000001</v>
      </c>
      <c r="D4805" s="8" t="s">
        <v>28419</v>
      </c>
      <c r="E4805" s="8" t="s">
        <v>28420</v>
      </c>
      <c r="F4805" s="8" t="s">
        <v>28421</v>
      </c>
      <c r="G4805" s="6" t="s">
        <v>52</v>
      </c>
      <c r="H4805" s="6" t="s">
        <v>66</v>
      </c>
      <c r="I4805" s="8" t="s">
        <v>116</v>
      </c>
      <c r="J4805" s="9">
        <v>1</v>
      </c>
      <c r="K4805" s="9">
        <v>635</v>
      </c>
      <c r="L4805" s="9">
        <v>2022</v>
      </c>
      <c r="M4805" s="8" t="s">
        <v>28422</v>
      </c>
      <c r="N4805" s="8" t="s">
        <v>413</v>
      </c>
      <c r="O4805" s="8" t="s">
        <v>1141</v>
      </c>
      <c r="P4805" s="6" t="s">
        <v>43</v>
      </c>
      <c r="Q4805" s="8" t="s">
        <v>44</v>
      </c>
      <c r="R4805" s="10" t="s">
        <v>28423</v>
      </c>
      <c r="S4805" s="11" t="s">
        <v>28424</v>
      </c>
      <c r="T4805" s="6"/>
      <c r="U4805" s="24" t="str">
        <f>HYPERLINK("https://media.infra-m.ru/0519/0519576/cover/519576.jpg", "Обложка")</f>
        <v>Обложка</v>
      </c>
      <c r="V4805" s="24" t="str">
        <f>HYPERLINK("https://znanium.ru/catalog/product/235510", "Ознакомиться")</f>
        <v>Ознакомиться</v>
      </c>
      <c r="W4805" s="8" t="s">
        <v>5825</v>
      </c>
      <c r="X4805" s="6"/>
      <c r="Y4805" s="6"/>
      <c r="Z4805" s="6"/>
      <c r="AA4805" s="6" t="s">
        <v>122</v>
      </c>
      <c r="AB4805" s="8"/>
    </row>
    <row r="4806" spans="1:28" s="4" customFormat="1" ht="51.95" customHeight="1">
      <c r="A4806" s="5">
        <v>0</v>
      </c>
      <c r="B4806" s="6" t="s">
        <v>28425</v>
      </c>
      <c r="C4806" s="13">
        <v>1524</v>
      </c>
      <c r="D4806" s="8" t="s">
        <v>28426</v>
      </c>
      <c r="E4806" s="8" t="s">
        <v>28427</v>
      </c>
      <c r="F4806" s="8" t="s">
        <v>28428</v>
      </c>
      <c r="G4806" s="6" t="s">
        <v>89</v>
      </c>
      <c r="H4806" s="6" t="s">
        <v>77</v>
      </c>
      <c r="I4806" s="8" t="s">
        <v>77</v>
      </c>
      <c r="J4806" s="9">
        <v>1</v>
      </c>
      <c r="K4806" s="9">
        <v>337</v>
      </c>
      <c r="L4806" s="9">
        <v>2023</v>
      </c>
      <c r="M4806" s="8" t="s">
        <v>28429</v>
      </c>
      <c r="N4806" s="8" t="s">
        <v>79</v>
      </c>
      <c r="O4806" s="8" t="s">
        <v>148</v>
      </c>
      <c r="P4806" s="6" t="s">
        <v>43</v>
      </c>
      <c r="Q4806" s="8" t="s">
        <v>44</v>
      </c>
      <c r="R4806" s="10" t="s">
        <v>28430</v>
      </c>
      <c r="S4806" s="11" t="s">
        <v>28431</v>
      </c>
      <c r="T4806" s="6"/>
      <c r="U4806" s="24" t="str">
        <f>HYPERLINK("https://media.infra-m.ru/2111/2111346/cover/2111346.jpg", "Обложка")</f>
        <v>Обложка</v>
      </c>
      <c r="V4806" s="24" t="str">
        <f>HYPERLINK("https://znanium.ru/catalog/product/2111345", "Ознакомиться")</f>
        <v>Ознакомиться</v>
      </c>
      <c r="W4806" s="8" t="s">
        <v>25526</v>
      </c>
      <c r="X4806" s="6"/>
      <c r="Y4806" s="6"/>
      <c r="Z4806" s="6"/>
      <c r="AA4806" s="6" t="s">
        <v>151</v>
      </c>
      <c r="AB4806" s="8"/>
    </row>
    <row r="4807" spans="1:28" s="4" customFormat="1" ht="51.95" customHeight="1">
      <c r="A4807" s="5">
        <v>0</v>
      </c>
      <c r="B4807" s="6" t="s">
        <v>28432</v>
      </c>
      <c r="C4807" s="13">
        <v>1934.9</v>
      </c>
      <c r="D4807" s="8" t="s">
        <v>28433</v>
      </c>
      <c r="E4807" s="8" t="s">
        <v>28434</v>
      </c>
      <c r="F4807" s="8" t="s">
        <v>28435</v>
      </c>
      <c r="G4807" s="6" t="s">
        <v>52</v>
      </c>
      <c r="H4807" s="6" t="s">
        <v>53</v>
      </c>
      <c r="I4807" s="8" t="s">
        <v>116</v>
      </c>
      <c r="J4807" s="9">
        <v>1</v>
      </c>
      <c r="K4807" s="9">
        <v>430</v>
      </c>
      <c r="L4807" s="9">
        <v>2023</v>
      </c>
      <c r="M4807" s="8" t="s">
        <v>28436</v>
      </c>
      <c r="N4807" s="8" t="s">
        <v>413</v>
      </c>
      <c r="O4807" s="8" t="s">
        <v>1141</v>
      </c>
      <c r="P4807" s="6" t="s">
        <v>43</v>
      </c>
      <c r="Q4807" s="8" t="s">
        <v>44</v>
      </c>
      <c r="R4807" s="10" t="s">
        <v>28437</v>
      </c>
      <c r="S4807" s="11"/>
      <c r="T4807" s="6"/>
      <c r="U4807" s="24" t="str">
        <f>HYPERLINK("https://media.infra-m.ru/1981/1981609/cover/1981609.jpg", "Обложка")</f>
        <v>Обложка</v>
      </c>
      <c r="V4807" s="24" t="str">
        <f>HYPERLINK("https://znanium.ru/catalog/product/1210072", "Ознакомиться")</f>
        <v>Ознакомиться</v>
      </c>
      <c r="W4807" s="8" t="s">
        <v>1144</v>
      </c>
      <c r="X4807" s="6"/>
      <c r="Y4807" s="6"/>
      <c r="Z4807" s="6"/>
      <c r="AA4807" s="6" t="s">
        <v>84</v>
      </c>
      <c r="AB4807" s="8"/>
    </row>
    <row r="4808" spans="1:28" s="4" customFormat="1" ht="51.95" customHeight="1">
      <c r="A4808" s="5">
        <v>0</v>
      </c>
      <c r="B4808" s="6" t="s">
        <v>28438</v>
      </c>
      <c r="C4808" s="13">
        <v>1690</v>
      </c>
      <c r="D4808" s="8" t="s">
        <v>28439</v>
      </c>
      <c r="E4808" s="8" t="s">
        <v>28440</v>
      </c>
      <c r="F4808" s="8" t="s">
        <v>28441</v>
      </c>
      <c r="G4808" s="6" t="s">
        <v>89</v>
      </c>
      <c r="H4808" s="6" t="s">
        <v>438</v>
      </c>
      <c r="I4808" s="8" t="s">
        <v>116</v>
      </c>
      <c r="J4808" s="9">
        <v>1</v>
      </c>
      <c r="K4808" s="9">
        <v>368</v>
      </c>
      <c r="L4808" s="9">
        <v>2024</v>
      </c>
      <c r="M4808" s="8" t="s">
        <v>28442</v>
      </c>
      <c r="N4808" s="8" t="s">
        <v>413</v>
      </c>
      <c r="O4808" s="8" t="s">
        <v>1141</v>
      </c>
      <c r="P4808" s="6" t="s">
        <v>167</v>
      </c>
      <c r="Q4808" s="8" t="s">
        <v>44</v>
      </c>
      <c r="R4808" s="10" t="s">
        <v>28443</v>
      </c>
      <c r="S4808" s="11" t="s">
        <v>28444</v>
      </c>
      <c r="T4808" s="6"/>
      <c r="U4808" s="24" t="str">
        <f>HYPERLINK("https://media.infra-m.ru/2081/2081677/cover/2081677.jpg", "Обложка")</f>
        <v>Обложка</v>
      </c>
      <c r="V4808" s="24" t="str">
        <f>HYPERLINK("https://znanium.ru/catalog/product/2081677", "Ознакомиться")</f>
        <v>Ознакомиться</v>
      </c>
      <c r="W4808" s="8" t="s">
        <v>28445</v>
      </c>
      <c r="X4808" s="6"/>
      <c r="Y4808" s="6"/>
      <c r="Z4808" s="6"/>
      <c r="AA4808" s="6" t="s">
        <v>7605</v>
      </c>
      <c r="AB4808" s="8"/>
    </row>
    <row r="4809" spans="1:28" s="4" customFormat="1" ht="51.95" customHeight="1">
      <c r="A4809" s="5">
        <v>0</v>
      </c>
      <c r="B4809" s="6" t="s">
        <v>28446</v>
      </c>
      <c r="C4809" s="13">
        <v>1624</v>
      </c>
      <c r="D4809" s="8" t="s">
        <v>28447</v>
      </c>
      <c r="E4809" s="8" t="s">
        <v>28448</v>
      </c>
      <c r="F4809" s="8" t="s">
        <v>28428</v>
      </c>
      <c r="G4809" s="6" t="s">
        <v>89</v>
      </c>
      <c r="H4809" s="6" t="s">
        <v>77</v>
      </c>
      <c r="I4809" s="8" t="s">
        <v>90</v>
      </c>
      <c r="J4809" s="9">
        <v>1</v>
      </c>
      <c r="K4809" s="9">
        <v>359</v>
      </c>
      <c r="L4809" s="9">
        <v>2023</v>
      </c>
      <c r="M4809" s="8" t="s">
        <v>28449</v>
      </c>
      <c r="N4809" s="8" t="s">
        <v>413</v>
      </c>
      <c r="O4809" s="8" t="s">
        <v>1141</v>
      </c>
      <c r="P4809" s="6" t="s">
        <v>167</v>
      </c>
      <c r="Q4809" s="8" t="s">
        <v>44</v>
      </c>
      <c r="R4809" s="10" t="s">
        <v>28450</v>
      </c>
      <c r="S4809" s="11" t="s">
        <v>28451</v>
      </c>
      <c r="T4809" s="6"/>
      <c r="U4809" s="24" t="str">
        <f>HYPERLINK("https://media.infra-m.ru/2006/2006018/cover/2006018.jpg", "Обложка")</f>
        <v>Обложка</v>
      </c>
      <c r="V4809" s="24" t="str">
        <f>HYPERLINK("https://znanium.ru/catalog/product/1039251", "Ознакомиться")</f>
        <v>Ознакомиться</v>
      </c>
      <c r="W4809" s="8" t="s">
        <v>25526</v>
      </c>
      <c r="X4809" s="6"/>
      <c r="Y4809" s="6"/>
      <c r="Z4809" s="6"/>
      <c r="AA4809" s="6" t="s">
        <v>151</v>
      </c>
      <c r="AB4809" s="8"/>
    </row>
    <row r="4810" spans="1:28" s="4" customFormat="1" ht="51.95" customHeight="1">
      <c r="A4810" s="5">
        <v>0</v>
      </c>
      <c r="B4810" s="6" t="s">
        <v>28452</v>
      </c>
      <c r="C4810" s="13">
        <v>1214.9000000000001</v>
      </c>
      <c r="D4810" s="8" t="s">
        <v>28453</v>
      </c>
      <c r="E4810" s="8" t="s">
        <v>28448</v>
      </c>
      <c r="F4810" s="8" t="s">
        <v>28454</v>
      </c>
      <c r="G4810" s="6" t="s">
        <v>89</v>
      </c>
      <c r="H4810" s="6" t="s">
        <v>53</v>
      </c>
      <c r="I4810" s="8" t="s">
        <v>90</v>
      </c>
      <c r="J4810" s="9">
        <v>1</v>
      </c>
      <c r="K4810" s="9">
        <v>271</v>
      </c>
      <c r="L4810" s="9">
        <v>2023</v>
      </c>
      <c r="M4810" s="8" t="s">
        <v>28455</v>
      </c>
      <c r="N4810" s="8" t="s">
        <v>413</v>
      </c>
      <c r="O4810" s="8" t="s">
        <v>1141</v>
      </c>
      <c r="P4810" s="6" t="s">
        <v>43</v>
      </c>
      <c r="Q4810" s="8" t="s">
        <v>44</v>
      </c>
      <c r="R4810" s="10" t="s">
        <v>25319</v>
      </c>
      <c r="S4810" s="11" t="s">
        <v>7650</v>
      </c>
      <c r="T4810" s="6"/>
      <c r="U4810" s="24" t="str">
        <f>HYPERLINK("https://media.infra-m.ru/1903/1903567/cover/1903567.jpg", "Обложка")</f>
        <v>Обложка</v>
      </c>
      <c r="V4810" s="24" t="str">
        <f>HYPERLINK("https://znanium.ru/catalog/product/1210726", "Ознакомиться")</f>
        <v>Ознакомиться</v>
      </c>
      <c r="W4810" s="8" t="s">
        <v>399</v>
      </c>
      <c r="X4810" s="6"/>
      <c r="Y4810" s="6"/>
      <c r="Z4810" s="6"/>
      <c r="AA4810" s="6" t="s">
        <v>111</v>
      </c>
      <c r="AB4810" s="8"/>
    </row>
    <row r="4811" spans="1:28" s="4" customFormat="1" ht="51.95" customHeight="1">
      <c r="A4811" s="5">
        <v>0</v>
      </c>
      <c r="B4811" s="6" t="s">
        <v>28456</v>
      </c>
      <c r="C4811" s="13">
        <v>1594</v>
      </c>
      <c r="D4811" s="8" t="s">
        <v>28457</v>
      </c>
      <c r="E4811" s="8" t="s">
        <v>28458</v>
      </c>
      <c r="F4811" s="8" t="s">
        <v>28459</v>
      </c>
      <c r="G4811" s="6" t="s">
        <v>52</v>
      </c>
      <c r="H4811" s="6" t="s">
        <v>184</v>
      </c>
      <c r="I4811" s="8" t="s">
        <v>90</v>
      </c>
      <c r="J4811" s="9">
        <v>1</v>
      </c>
      <c r="K4811" s="9">
        <v>335</v>
      </c>
      <c r="L4811" s="9">
        <v>2024</v>
      </c>
      <c r="M4811" s="8" t="s">
        <v>28460</v>
      </c>
      <c r="N4811" s="8" t="s">
        <v>413</v>
      </c>
      <c r="O4811" s="8" t="s">
        <v>1141</v>
      </c>
      <c r="P4811" s="6" t="s">
        <v>43</v>
      </c>
      <c r="Q4811" s="8" t="s">
        <v>44</v>
      </c>
      <c r="R4811" s="10" t="s">
        <v>5343</v>
      </c>
      <c r="S4811" s="11" t="s">
        <v>22687</v>
      </c>
      <c r="T4811" s="6"/>
      <c r="U4811" s="24" t="str">
        <f>HYPERLINK("https://media.infra-m.ru/2116/2116745/cover/2116745.jpg", "Обложка")</f>
        <v>Обложка</v>
      </c>
      <c r="V4811" s="24" t="str">
        <f>HYPERLINK("https://znanium.ru/catalog/product/2109603", "Ознакомиться")</f>
        <v>Ознакомиться</v>
      </c>
      <c r="W4811" s="8" t="s">
        <v>637</v>
      </c>
      <c r="X4811" s="6"/>
      <c r="Y4811" s="6"/>
      <c r="Z4811" s="6"/>
      <c r="AA4811" s="6" t="s">
        <v>326</v>
      </c>
      <c r="AB4811" s="8"/>
    </row>
    <row r="4812" spans="1:28" s="4" customFormat="1" ht="42" customHeight="1">
      <c r="A4812" s="5">
        <v>0</v>
      </c>
      <c r="B4812" s="6" t="s">
        <v>28461</v>
      </c>
      <c r="C4812" s="13">
        <v>1060</v>
      </c>
      <c r="D4812" s="8" t="s">
        <v>28462</v>
      </c>
      <c r="E4812" s="8" t="s">
        <v>28463</v>
      </c>
      <c r="F4812" s="8" t="s">
        <v>28464</v>
      </c>
      <c r="G4812" s="6" t="s">
        <v>52</v>
      </c>
      <c r="H4812" s="6" t="s">
        <v>53</v>
      </c>
      <c r="I4812" s="8" t="s">
        <v>116</v>
      </c>
      <c r="J4812" s="9">
        <v>1</v>
      </c>
      <c r="K4812" s="9">
        <v>212</v>
      </c>
      <c r="L4812" s="9">
        <v>2025</v>
      </c>
      <c r="M4812" s="8" t="s">
        <v>28465</v>
      </c>
      <c r="N4812" s="8" t="s">
        <v>56</v>
      </c>
      <c r="O4812" s="8" t="s">
        <v>57</v>
      </c>
      <c r="P4812" s="6" t="s">
        <v>43</v>
      </c>
      <c r="Q4812" s="8" t="s">
        <v>44</v>
      </c>
      <c r="R4812" s="10" t="s">
        <v>13924</v>
      </c>
      <c r="S4812" s="11"/>
      <c r="T4812" s="6"/>
      <c r="U4812" s="24" t="str">
        <f>HYPERLINK("https://media.infra-m.ru/1214/1214580/cover/1214580.jpg", "Обложка")</f>
        <v>Обложка</v>
      </c>
      <c r="V4812" s="24" t="str">
        <f>HYPERLINK("https://znanium.ru/catalog/product/1214580", "Ознакомиться")</f>
        <v>Ознакомиться</v>
      </c>
      <c r="W4812" s="8" t="s">
        <v>14539</v>
      </c>
      <c r="X4812" s="6" t="s">
        <v>548</v>
      </c>
      <c r="Y4812" s="6"/>
      <c r="Z4812" s="6"/>
      <c r="AA4812" s="6" t="s">
        <v>61</v>
      </c>
      <c r="AB4812" s="8"/>
    </row>
    <row r="4813" spans="1:28" s="4" customFormat="1" ht="51.95" customHeight="1">
      <c r="A4813" s="5">
        <v>0</v>
      </c>
      <c r="B4813" s="6" t="s">
        <v>28466</v>
      </c>
      <c r="C4813" s="13">
        <v>2334</v>
      </c>
      <c r="D4813" s="8" t="s">
        <v>28467</v>
      </c>
      <c r="E4813" s="8" t="s">
        <v>28468</v>
      </c>
      <c r="F4813" s="8" t="s">
        <v>4766</v>
      </c>
      <c r="G4813" s="6" t="s">
        <v>89</v>
      </c>
      <c r="H4813" s="6" t="s">
        <v>53</v>
      </c>
      <c r="I4813" s="8" t="s">
        <v>100</v>
      </c>
      <c r="J4813" s="9">
        <v>1</v>
      </c>
      <c r="K4813" s="9">
        <v>508</v>
      </c>
      <c r="L4813" s="9">
        <v>2024</v>
      </c>
      <c r="M4813" s="8" t="s">
        <v>28469</v>
      </c>
      <c r="N4813" s="8" t="s">
        <v>997</v>
      </c>
      <c r="O4813" s="8" t="s">
        <v>998</v>
      </c>
      <c r="P4813" s="6" t="s">
        <v>43</v>
      </c>
      <c r="Q4813" s="8" t="s">
        <v>102</v>
      </c>
      <c r="R4813" s="10" t="s">
        <v>28470</v>
      </c>
      <c r="S4813" s="11" t="s">
        <v>28471</v>
      </c>
      <c r="T4813" s="6"/>
      <c r="U4813" s="24" t="str">
        <f>HYPERLINK("https://media.infra-m.ru/2100/2100006/cover/2100006.jpg", "Обложка")</f>
        <v>Обложка</v>
      </c>
      <c r="V4813" s="24" t="str">
        <f>HYPERLINK("https://znanium.ru/catalog/product/2100005", "Ознакомиться")</f>
        <v>Ознакомиться</v>
      </c>
      <c r="W4813" s="8" t="s">
        <v>2514</v>
      </c>
      <c r="X4813" s="6"/>
      <c r="Y4813" s="6"/>
      <c r="Z4813" s="6" t="s">
        <v>104</v>
      </c>
      <c r="AA4813" s="6" t="s">
        <v>196</v>
      </c>
      <c r="AB4813" s="8"/>
    </row>
    <row r="4814" spans="1:28" s="4" customFormat="1" ht="51.95" customHeight="1">
      <c r="A4814" s="5">
        <v>0</v>
      </c>
      <c r="B4814" s="6" t="s">
        <v>28472</v>
      </c>
      <c r="C4814" s="7">
        <v>504.9</v>
      </c>
      <c r="D4814" s="8" t="s">
        <v>28473</v>
      </c>
      <c r="E4814" s="8" t="s">
        <v>28474</v>
      </c>
      <c r="F4814" s="8" t="s">
        <v>18095</v>
      </c>
      <c r="G4814" s="6" t="s">
        <v>38</v>
      </c>
      <c r="H4814" s="6" t="s">
        <v>39</v>
      </c>
      <c r="I4814" s="8" t="s">
        <v>90</v>
      </c>
      <c r="J4814" s="9">
        <v>1</v>
      </c>
      <c r="K4814" s="9">
        <v>112</v>
      </c>
      <c r="L4814" s="9">
        <v>2023</v>
      </c>
      <c r="M4814" s="8" t="s">
        <v>28475</v>
      </c>
      <c r="N4814" s="8" t="s">
        <v>79</v>
      </c>
      <c r="O4814" s="8" t="s">
        <v>396</v>
      </c>
      <c r="P4814" s="6" t="s">
        <v>43</v>
      </c>
      <c r="Q4814" s="8" t="s">
        <v>44</v>
      </c>
      <c r="R4814" s="10" t="s">
        <v>5343</v>
      </c>
      <c r="S4814" s="11" t="s">
        <v>28476</v>
      </c>
      <c r="T4814" s="6"/>
      <c r="U4814" s="24" t="str">
        <f>HYPERLINK("https://media.infra-m.ru/1094/1094969/cover/1094969.jpg", "Обложка")</f>
        <v>Обложка</v>
      </c>
      <c r="V4814" s="24" t="str">
        <f>HYPERLINK("https://znanium.ru/catalog/product/926706", "Ознакомиться")</f>
        <v>Ознакомиться</v>
      </c>
      <c r="W4814" s="8" t="s">
        <v>10544</v>
      </c>
      <c r="X4814" s="6"/>
      <c r="Y4814" s="6"/>
      <c r="Z4814" s="6"/>
      <c r="AA4814" s="6" t="s">
        <v>418</v>
      </c>
      <c r="AB4814" s="8"/>
    </row>
    <row r="4815" spans="1:28" s="4" customFormat="1" ht="51.95" customHeight="1">
      <c r="A4815" s="5">
        <v>0</v>
      </c>
      <c r="B4815" s="6" t="s">
        <v>28477</v>
      </c>
      <c r="C4815" s="13">
        <v>1530</v>
      </c>
      <c r="D4815" s="8" t="s">
        <v>28478</v>
      </c>
      <c r="E4815" s="8" t="s">
        <v>28479</v>
      </c>
      <c r="F4815" s="8" t="s">
        <v>28480</v>
      </c>
      <c r="G4815" s="6" t="s">
        <v>52</v>
      </c>
      <c r="H4815" s="6" t="s">
        <v>53</v>
      </c>
      <c r="I4815" s="8" t="s">
        <v>212</v>
      </c>
      <c r="J4815" s="9">
        <v>1</v>
      </c>
      <c r="K4815" s="9">
        <v>286</v>
      </c>
      <c r="L4815" s="9">
        <v>2024</v>
      </c>
      <c r="M4815" s="8" t="s">
        <v>28481</v>
      </c>
      <c r="N4815" s="8" t="s">
        <v>79</v>
      </c>
      <c r="O4815" s="8" t="s">
        <v>570</v>
      </c>
      <c r="P4815" s="6" t="s">
        <v>43</v>
      </c>
      <c r="Q4815" s="8" t="s">
        <v>58</v>
      </c>
      <c r="R4815" s="10" t="s">
        <v>28482</v>
      </c>
      <c r="S4815" s="11"/>
      <c r="T4815" s="6"/>
      <c r="U4815" s="24" t="str">
        <f>HYPERLINK("https://media.infra-m.ru/1959/1959273/cover/1959273.jpg", "Обложка")</f>
        <v>Обложка</v>
      </c>
      <c r="V4815" s="24" t="str">
        <f>HYPERLINK("https://znanium.ru/catalog/product/1959273", "Ознакомиться")</f>
        <v>Ознакомиться</v>
      </c>
      <c r="W4815" s="8" t="s">
        <v>399</v>
      </c>
      <c r="X4815" s="6" t="s">
        <v>548</v>
      </c>
      <c r="Y4815" s="6"/>
      <c r="Z4815" s="6"/>
      <c r="AA4815" s="6" t="s">
        <v>133</v>
      </c>
      <c r="AB4815" s="8"/>
    </row>
    <row r="4816" spans="1:28" s="4" customFormat="1" ht="51.95" customHeight="1">
      <c r="A4816" s="5">
        <v>0</v>
      </c>
      <c r="B4816" s="6" t="s">
        <v>28483</v>
      </c>
      <c r="C4816" s="13">
        <v>1084</v>
      </c>
      <c r="D4816" s="8" t="s">
        <v>28484</v>
      </c>
      <c r="E4816" s="8" t="s">
        <v>28485</v>
      </c>
      <c r="F4816" s="8" t="s">
        <v>1333</v>
      </c>
      <c r="G4816" s="6" t="s">
        <v>89</v>
      </c>
      <c r="H4816" s="6" t="s">
        <v>53</v>
      </c>
      <c r="I4816" s="8" t="s">
        <v>90</v>
      </c>
      <c r="J4816" s="9">
        <v>1</v>
      </c>
      <c r="K4816" s="9">
        <v>217</v>
      </c>
      <c r="L4816" s="9">
        <v>2025</v>
      </c>
      <c r="M4816" s="8" t="s">
        <v>28486</v>
      </c>
      <c r="N4816" s="8" t="s">
        <v>41</v>
      </c>
      <c r="O4816" s="8" t="s">
        <v>1007</v>
      </c>
      <c r="P4816" s="6" t="s">
        <v>43</v>
      </c>
      <c r="Q4816" s="8" t="s">
        <v>44</v>
      </c>
      <c r="R4816" s="10" t="s">
        <v>7439</v>
      </c>
      <c r="S4816" s="11" t="s">
        <v>3474</v>
      </c>
      <c r="T4816" s="6"/>
      <c r="U4816" s="24" t="str">
        <f>HYPERLINK("https://media.infra-m.ru/2185/2185896/cover/2185896.jpg", "Обложка")</f>
        <v>Обложка</v>
      </c>
      <c r="V4816" s="24" t="str">
        <f>HYPERLINK("https://znanium.ru/catalog/product/1974383", "Ознакомиться")</f>
        <v>Ознакомиться</v>
      </c>
      <c r="W4816" s="8" t="s">
        <v>71</v>
      </c>
      <c r="X4816" s="6"/>
      <c r="Y4816" s="6"/>
      <c r="Z4816" s="6"/>
      <c r="AA4816" s="6" t="s">
        <v>638</v>
      </c>
      <c r="AB4816" s="8"/>
    </row>
    <row r="4817" spans="1:28" s="4" customFormat="1" ht="42" customHeight="1">
      <c r="A4817" s="5">
        <v>0</v>
      </c>
      <c r="B4817" s="6" t="s">
        <v>28487</v>
      </c>
      <c r="C4817" s="13">
        <v>1370</v>
      </c>
      <c r="D4817" s="8" t="s">
        <v>28488</v>
      </c>
      <c r="E4817" s="8" t="s">
        <v>28489</v>
      </c>
      <c r="F4817" s="8" t="s">
        <v>28490</v>
      </c>
      <c r="G4817" s="6" t="s">
        <v>52</v>
      </c>
      <c r="H4817" s="6" t="s">
        <v>952</v>
      </c>
      <c r="I4817" s="8"/>
      <c r="J4817" s="9">
        <v>1</v>
      </c>
      <c r="K4817" s="9">
        <v>268</v>
      </c>
      <c r="L4817" s="9">
        <v>2024</v>
      </c>
      <c r="M4817" s="8" t="s">
        <v>28491</v>
      </c>
      <c r="N4817" s="8" t="s">
        <v>41</v>
      </c>
      <c r="O4817" s="8" t="s">
        <v>1007</v>
      </c>
      <c r="P4817" s="6" t="s">
        <v>167</v>
      </c>
      <c r="Q4817" s="8" t="s">
        <v>58</v>
      </c>
      <c r="R4817" s="10" t="s">
        <v>2461</v>
      </c>
      <c r="S4817" s="11"/>
      <c r="T4817" s="6"/>
      <c r="U4817" s="24" t="str">
        <f>HYPERLINK("https://media.infra-m.ru/2163/2163127/cover/2163127.jpg", "Обложка")</f>
        <v>Обложка</v>
      </c>
      <c r="V4817" s="24" t="str">
        <f>HYPERLINK("https://znanium.ru/catalog/product/2163127", "Ознакомиться")</f>
        <v>Ознакомиться</v>
      </c>
      <c r="W4817" s="8" t="s">
        <v>3426</v>
      </c>
      <c r="X4817" s="6" t="s">
        <v>1049</v>
      </c>
      <c r="Y4817" s="6"/>
      <c r="Z4817" s="6"/>
      <c r="AA4817" s="6" t="s">
        <v>133</v>
      </c>
      <c r="AB4817" s="8"/>
    </row>
    <row r="4818" spans="1:28" s="4" customFormat="1" ht="51.95" customHeight="1">
      <c r="A4818" s="5">
        <v>0</v>
      </c>
      <c r="B4818" s="6" t="s">
        <v>28492</v>
      </c>
      <c r="C4818" s="13">
        <v>1144</v>
      </c>
      <c r="D4818" s="8" t="s">
        <v>28493</v>
      </c>
      <c r="E4818" s="8" t="s">
        <v>28494</v>
      </c>
      <c r="F4818" s="8" t="s">
        <v>28495</v>
      </c>
      <c r="G4818" s="6" t="s">
        <v>52</v>
      </c>
      <c r="H4818" s="6" t="s">
        <v>53</v>
      </c>
      <c r="I4818" s="8" t="s">
        <v>90</v>
      </c>
      <c r="J4818" s="9">
        <v>1</v>
      </c>
      <c r="K4818" s="9">
        <v>243</v>
      </c>
      <c r="L4818" s="9">
        <v>2024</v>
      </c>
      <c r="M4818" s="8" t="s">
        <v>28496</v>
      </c>
      <c r="N4818" s="8" t="s">
        <v>79</v>
      </c>
      <c r="O4818" s="8" t="s">
        <v>174</v>
      </c>
      <c r="P4818" s="6" t="s">
        <v>43</v>
      </c>
      <c r="Q4818" s="8" t="s">
        <v>44</v>
      </c>
      <c r="R4818" s="10" t="s">
        <v>28497</v>
      </c>
      <c r="S4818" s="11" t="s">
        <v>28498</v>
      </c>
      <c r="T4818" s="6"/>
      <c r="U4818" s="24" t="str">
        <f>HYPERLINK("https://media.infra-m.ru/2145/2145816/cover/2145816.jpg", "Обложка")</f>
        <v>Обложка</v>
      </c>
      <c r="V4818" s="24" t="str">
        <f>HYPERLINK("https://znanium.ru/catalog/product/1945375", "Ознакомиться")</f>
        <v>Ознакомиться</v>
      </c>
      <c r="W4818" s="8" t="s">
        <v>8022</v>
      </c>
      <c r="X4818" s="6"/>
      <c r="Y4818" s="6"/>
      <c r="Z4818" s="6"/>
      <c r="AA4818" s="6" t="s">
        <v>793</v>
      </c>
      <c r="AB4818" s="8" t="s">
        <v>11910</v>
      </c>
    </row>
    <row r="4819" spans="1:28" s="4" customFormat="1" ht="42" customHeight="1">
      <c r="A4819" s="5">
        <v>0</v>
      </c>
      <c r="B4819" s="6" t="s">
        <v>28499</v>
      </c>
      <c r="C4819" s="13">
        <v>2244</v>
      </c>
      <c r="D4819" s="8" t="s">
        <v>28500</v>
      </c>
      <c r="E4819" s="8" t="s">
        <v>28501</v>
      </c>
      <c r="F4819" s="8" t="s">
        <v>28502</v>
      </c>
      <c r="G4819" s="6" t="s">
        <v>52</v>
      </c>
      <c r="H4819" s="6" t="s">
        <v>53</v>
      </c>
      <c r="I4819" s="8" t="s">
        <v>116</v>
      </c>
      <c r="J4819" s="9">
        <v>1</v>
      </c>
      <c r="K4819" s="9">
        <v>480</v>
      </c>
      <c r="L4819" s="9">
        <v>2025</v>
      </c>
      <c r="M4819" s="8" t="s">
        <v>28503</v>
      </c>
      <c r="N4819" s="8" t="s">
        <v>79</v>
      </c>
      <c r="O4819" s="8" t="s">
        <v>396</v>
      </c>
      <c r="P4819" s="6" t="s">
        <v>167</v>
      </c>
      <c r="Q4819" s="8" t="s">
        <v>44</v>
      </c>
      <c r="R4819" s="10" t="s">
        <v>28504</v>
      </c>
      <c r="S4819" s="11"/>
      <c r="T4819" s="6" t="s">
        <v>299</v>
      </c>
      <c r="U4819" s="24" t="str">
        <f>HYPERLINK("https://media.infra-m.ru/2169/2169232/cover/2169232.jpg", "Обложка")</f>
        <v>Обложка</v>
      </c>
      <c r="V4819" s="24" t="str">
        <f>HYPERLINK("https://znanium.ru/catalog/product/1082747", "Ознакомиться")</f>
        <v>Ознакомиться</v>
      </c>
      <c r="W4819" s="8" t="s">
        <v>1544</v>
      </c>
      <c r="X4819" s="6"/>
      <c r="Y4819" s="6"/>
      <c r="Z4819" s="6"/>
      <c r="AA4819" s="6" t="s">
        <v>701</v>
      </c>
      <c r="AB4819" s="8"/>
    </row>
    <row r="4820" spans="1:28" s="4" customFormat="1" ht="51.95" customHeight="1">
      <c r="A4820" s="5">
        <v>0</v>
      </c>
      <c r="B4820" s="6" t="s">
        <v>28505</v>
      </c>
      <c r="C4820" s="7">
        <v>880</v>
      </c>
      <c r="D4820" s="8" t="s">
        <v>28506</v>
      </c>
      <c r="E4820" s="8" t="s">
        <v>28507</v>
      </c>
      <c r="F4820" s="8" t="s">
        <v>28508</v>
      </c>
      <c r="G4820" s="6" t="s">
        <v>89</v>
      </c>
      <c r="H4820" s="6" t="s">
        <v>53</v>
      </c>
      <c r="I4820" s="8" t="s">
        <v>90</v>
      </c>
      <c r="J4820" s="9">
        <v>1</v>
      </c>
      <c r="K4820" s="9">
        <v>256</v>
      </c>
      <c r="L4820" s="9">
        <v>2020</v>
      </c>
      <c r="M4820" s="8" t="s">
        <v>28509</v>
      </c>
      <c r="N4820" s="8" t="s">
        <v>41</v>
      </c>
      <c r="O4820" s="8" t="s">
        <v>676</v>
      </c>
      <c r="P4820" s="6" t="s">
        <v>43</v>
      </c>
      <c r="Q4820" s="8" t="s">
        <v>44</v>
      </c>
      <c r="R4820" s="10" t="s">
        <v>28510</v>
      </c>
      <c r="S4820" s="11" t="s">
        <v>28511</v>
      </c>
      <c r="T4820" s="6"/>
      <c r="U4820" s="24" t="str">
        <f>HYPERLINK("https://media.infra-m.ru/1090/1090546/cover/1090546.jpg", "Обложка")</f>
        <v>Обложка</v>
      </c>
      <c r="V4820" s="24" t="str">
        <f>HYPERLINK("https://znanium.ru/catalog/product/1090546", "Ознакомиться")</f>
        <v>Ознакомиться</v>
      </c>
      <c r="W4820" s="8" t="s">
        <v>6450</v>
      </c>
      <c r="X4820" s="6"/>
      <c r="Y4820" s="6"/>
      <c r="Z4820" s="6"/>
      <c r="AA4820" s="6" t="s">
        <v>72</v>
      </c>
      <c r="AB4820" s="8"/>
    </row>
    <row r="4821" spans="1:28" s="4" customFormat="1" ht="51.95" customHeight="1">
      <c r="A4821" s="5">
        <v>0</v>
      </c>
      <c r="B4821" s="6" t="s">
        <v>28512</v>
      </c>
      <c r="C4821" s="13">
        <v>1090</v>
      </c>
      <c r="D4821" s="8" t="s">
        <v>28513</v>
      </c>
      <c r="E4821" s="8" t="s">
        <v>28514</v>
      </c>
      <c r="F4821" s="8" t="s">
        <v>28515</v>
      </c>
      <c r="G4821" s="6" t="s">
        <v>52</v>
      </c>
      <c r="H4821" s="6" t="s">
        <v>53</v>
      </c>
      <c r="I4821" s="8" t="s">
        <v>116</v>
      </c>
      <c r="J4821" s="9">
        <v>1</v>
      </c>
      <c r="K4821" s="9">
        <v>230</v>
      </c>
      <c r="L4821" s="9">
        <v>2024</v>
      </c>
      <c r="M4821" s="8" t="s">
        <v>28516</v>
      </c>
      <c r="N4821" s="8" t="s">
        <v>41</v>
      </c>
      <c r="O4821" s="8" t="s">
        <v>676</v>
      </c>
      <c r="P4821" s="6" t="s">
        <v>43</v>
      </c>
      <c r="Q4821" s="8" t="s">
        <v>58</v>
      </c>
      <c r="R4821" s="10" t="s">
        <v>10536</v>
      </c>
      <c r="S4821" s="11"/>
      <c r="T4821" s="6"/>
      <c r="U4821" s="24" t="str">
        <f>HYPERLINK("https://media.infra-m.ru/2010/2010443/cover/2010443.jpg", "Обложка")</f>
        <v>Обложка</v>
      </c>
      <c r="V4821" s="24" t="str">
        <f>HYPERLINK("https://znanium.ru/catalog/product/2010443", "Ознакомиться")</f>
        <v>Ознакомиться</v>
      </c>
      <c r="W4821" s="8" t="s">
        <v>3605</v>
      </c>
      <c r="X4821" s="6"/>
      <c r="Y4821" s="6"/>
      <c r="Z4821" s="6"/>
      <c r="AA4821" s="6" t="s">
        <v>133</v>
      </c>
      <c r="AB4821" s="8"/>
    </row>
    <row r="4822" spans="1:28" s="4" customFormat="1" ht="51.95" customHeight="1">
      <c r="A4822" s="5">
        <v>0</v>
      </c>
      <c r="B4822" s="6" t="s">
        <v>28517</v>
      </c>
      <c r="C4822" s="13">
        <v>1224</v>
      </c>
      <c r="D4822" s="8" t="s">
        <v>28518</v>
      </c>
      <c r="E4822" s="8" t="s">
        <v>28519</v>
      </c>
      <c r="F4822" s="8" t="s">
        <v>28520</v>
      </c>
      <c r="G4822" s="6" t="s">
        <v>52</v>
      </c>
      <c r="H4822" s="6" t="s">
        <v>39</v>
      </c>
      <c r="I4822" s="8" t="s">
        <v>116</v>
      </c>
      <c r="J4822" s="9">
        <v>1</v>
      </c>
      <c r="K4822" s="9">
        <v>272</v>
      </c>
      <c r="L4822" s="9">
        <v>2023</v>
      </c>
      <c r="M4822" s="8" t="s">
        <v>28521</v>
      </c>
      <c r="N4822" s="8" t="s">
        <v>79</v>
      </c>
      <c r="O4822" s="8" t="s">
        <v>570</v>
      </c>
      <c r="P4822" s="6" t="s">
        <v>43</v>
      </c>
      <c r="Q4822" s="8" t="s">
        <v>44</v>
      </c>
      <c r="R4822" s="10" t="s">
        <v>15917</v>
      </c>
      <c r="S4822" s="11" t="s">
        <v>28522</v>
      </c>
      <c r="T4822" s="6"/>
      <c r="U4822" s="24" t="str">
        <f>HYPERLINK("https://media.infra-m.ru/2029/2029836/cover/2029836.jpg", "Обложка")</f>
        <v>Обложка</v>
      </c>
      <c r="V4822" s="12"/>
      <c r="W4822" s="8" t="s">
        <v>487</v>
      </c>
      <c r="X4822" s="6"/>
      <c r="Y4822" s="6"/>
      <c r="Z4822" s="6"/>
      <c r="AA4822" s="6" t="s">
        <v>84</v>
      </c>
      <c r="AB4822" s="8"/>
    </row>
    <row r="4823" spans="1:28" s="4" customFormat="1" ht="51.95" customHeight="1">
      <c r="A4823" s="5">
        <v>0</v>
      </c>
      <c r="B4823" s="6" t="s">
        <v>28523</v>
      </c>
      <c r="C4823" s="7">
        <v>730</v>
      </c>
      <c r="D4823" s="8" t="s">
        <v>28524</v>
      </c>
      <c r="E4823" s="8" t="s">
        <v>28525</v>
      </c>
      <c r="F4823" s="8" t="s">
        <v>28526</v>
      </c>
      <c r="G4823" s="6" t="s">
        <v>89</v>
      </c>
      <c r="H4823" s="6" t="s">
        <v>53</v>
      </c>
      <c r="I4823" s="8" t="s">
        <v>90</v>
      </c>
      <c r="J4823" s="9">
        <v>1</v>
      </c>
      <c r="K4823" s="9">
        <v>191</v>
      </c>
      <c r="L4823" s="9">
        <v>2022</v>
      </c>
      <c r="M4823" s="8" t="s">
        <v>28527</v>
      </c>
      <c r="N4823" s="8" t="s">
        <v>79</v>
      </c>
      <c r="O4823" s="8" t="s">
        <v>537</v>
      </c>
      <c r="P4823" s="6" t="s">
        <v>43</v>
      </c>
      <c r="Q4823" s="8" t="s">
        <v>44</v>
      </c>
      <c r="R4823" s="10" t="s">
        <v>28528</v>
      </c>
      <c r="S4823" s="11" t="s">
        <v>28529</v>
      </c>
      <c r="T4823" s="6"/>
      <c r="U4823" s="24" t="str">
        <f>HYPERLINK("https://media.infra-m.ru/1862/1862063/cover/1862063.jpg", "Обложка")</f>
        <v>Обложка</v>
      </c>
      <c r="V4823" s="24" t="str">
        <f>HYPERLINK("https://znanium.ru/catalog/product/1862063", "Ознакомиться")</f>
        <v>Ознакомиться</v>
      </c>
      <c r="W4823" s="8" t="s">
        <v>621</v>
      </c>
      <c r="X4823" s="6"/>
      <c r="Y4823" s="6"/>
      <c r="Z4823" s="6" t="s">
        <v>335</v>
      </c>
      <c r="AA4823" s="6" t="s">
        <v>219</v>
      </c>
      <c r="AB4823" s="8"/>
    </row>
    <row r="4824" spans="1:28" s="4" customFormat="1" ht="51.95" customHeight="1">
      <c r="A4824" s="5">
        <v>0</v>
      </c>
      <c r="B4824" s="6" t="s">
        <v>28530</v>
      </c>
      <c r="C4824" s="7">
        <v>884</v>
      </c>
      <c r="D4824" s="8" t="s">
        <v>28531</v>
      </c>
      <c r="E4824" s="8" t="s">
        <v>28525</v>
      </c>
      <c r="F4824" s="8" t="s">
        <v>28526</v>
      </c>
      <c r="G4824" s="6" t="s">
        <v>89</v>
      </c>
      <c r="H4824" s="6" t="s">
        <v>39</v>
      </c>
      <c r="I4824" s="8" t="s">
        <v>100</v>
      </c>
      <c r="J4824" s="9">
        <v>1</v>
      </c>
      <c r="K4824" s="9">
        <v>192</v>
      </c>
      <c r="L4824" s="9">
        <v>2024</v>
      </c>
      <c r="M4824" s="8" t="s">
        <v>28532</v>
      </c>
      <c r="N4824" s="8" t="s">
        <v>79</v>
      </c>
      <c r="O4824" s="8" t="s">
        <v>537</v>
      </c>
      <c r="P4824" s="6" t="s">
        <v>43</v>
      </c>
      <c r="Q4824" s="8" t="s">
        <v>102</v>
      </c>
      <c r="R4824" s="10" t="s">
        <v>28533</v>
      </c>
      <c r="S4824" s="11" t="s">
        <v>4480</v>
      </c>
      <c r="T4824" s="6"/>
      <c r="U4824" s="24" t="str">
        <f>HYPERLINK("https://media.infra-m.ru/2079/2079243/cover/2079243.jpg", "Обложка")</f>
        <v>Обложка</v>
      </c>
      <c r="V4824" s="24" t="str">
        <f>HYPERLINK("https://znanium.ru/catalog/product/1226469", "Ознакомиться")</f>
        <v>Ознакомиться</v>
      </c>
      <c r="W4824" s="8" t="s">
        <v>621</v>
      </c>
      <c r="X4824" s="6"/>
      <c r="Y4824" s="6"/>
      <c r="Z4824" s="6"/>
      <c r="AA4824" s="6" t="s">
        <v>72</v>
      </c>
      <c r="AB4824" s="8"/>
    </row>
    <row r="4825" spans="1:28" s="4" customFormat="1" ht="51.95" customHeight="1">
      <c r="A4825" s="5">
        <v>0</v>
      </c>
      <c r="B4825" s="6" t="s">
        <v>28534</v>
      </c>
      <c r="C4825" s="13">
        <v>1144.9000000000001</v>
      </c>
      <c r="D4825" s="8" t="s">
        <v>28535</v>
      </c>
      <c r="E4825" s="8" t="s">
        <v>28536</v>
      </c>
      <c r="F4825" s="8" t="s">
        <v>14128</v>
      </c>
      <c r="G4825" s="6" t="s">
        <v>52</v>
      </c>
      <c r="H4825" s="6" t="s">
        <v>77</v>
      </c>
      <c r="I4825" s="8"/>
      <c r="J4825" s="9">
        <v>1</v>
      </c>
      <c r="K4825" s="9">
        <v>254</v>
      </c>
      <c r="L4825" s="9">
        <v>2023</v>
      </c>
      <c r="M4825" s="8" t="s">
        <v>28537</v>
      </c>
      <c r="N4825" s="8" t="s">
        <v>41</v>
      </c>
      <c r="O4825" s="8" t="s">
        <v>118</v>
      </c>
      <c r="P4825" s="6" t="s">
        <v>43</v>
      </c>
      <c r="Q4825" s="8" t="s">
        <v>279</v>
      </c>
      <c r="R4825" s="10" t="s">
        <v>28538</v>
      </c>
      <c r="S4825" s="11"/>
      <c r="T4825" s="6"/>
      <c r="U4825" s="24" t="str">
        <f>HYPERLINK("https://media.infra-m.ru/2001/2001633/cover/2001633.jpg", "Обложка")</f>
        <v>Обложка</v>
      </c>
      <c r="V4825" s="24" t="str">
        <f>HYPERLINK("https://znanium.ru/catalog/product/2001633", "Ознакомиться")</f>
        <v>Ознакомиться</v>
      </c>
      <c r="W4825" s="8" t="s">
        <v>4383</v>
      </c>
      <c r="X4825" s="6"/>
      <c r="Y4825" s="6"/>
      <c r="Z4825" s="6"/>
      <c r="AA4825" s="6" t="s">
        <v>326</v>
      </c>
      <c r="AB4825" s="8"/>
    </row>
    <row r="4826" spans="1:28" s="4" customFormat="1" ht="51.95" customHeight="1">
      <c r="A4826" s="5">
        <v>0</v>
      </c>
      <c r="B4826" s="6" t="s">
        <v>28539</v>
      </c>
      <c r="C4826" s="13">
        <v>1330</v>
      </c>
      <c r="D4826" s="8" t="s">
        <v>28540</v>
      </c>
      <c r="E4826" s="8" t="s">
        <v>28541</v>
      </c>
      <c r="F4826" s="8" t="s">
        <v>28542</v>
      </c>
      <c r="G4826" s="6" t="s">
        <v>89</v>
      </c>
      <c r="H4826" s="6" t="s">
        <v>674</v>
      </c>
      <c r="I4826" s="8"/>
      <c r="J4826" s="9">
        <v>1</v>
      </c>
      <c r="K4826" s="9">
        <v>288</v>
      </c>
      <c r="L4826" s="9">
        <v>2024</v>
      </c>
      <c r="M4826" s="8" t="s">
        <v>28543</v>
      </c>
      <c r="N4826" s="8" t="s">
        <v>41</v>
      </c>
      <c r="O4826" s="8" t="s">
        <v>676</v>
      </c>
      <c r="P4826" s="6" t="s">
        <v>167</v>
      </c>
      <c r="Q4826" s="8" t="s">
        <v>44</v>
      </c>
      <c r="R4826" s="10" t="s">
        <v>2736</v>
      </c>
      <c r="S4826" s="11"/>
      <c r="T4826" s="6"/>
      <c r="U4826" s="24" t="str">
        <f>HYPERLINK("https://media.infra-m.ru/2105/2105793/cover/2105793.jpg", "Обложка")</f>
        <v>Обложка</v>
      </c>
      <c r="V4826" s="24" t="str">
        <f>HYPERLINK("https://znanium.ru/catalog/product/2105793", "Ознакомиться")</f>
        <v>Ознакомиться</v>
      </c>
      <c r="W4826" s="8" t="s">
        <v>792</v>
      </c>
      <c r="X4826" s="6"/>
      <c r="Y4826" s="6"/>
      <c r="Z4826" s="6"/>
      <c r="AA4826" s="6" t="s">
        <v>442</v>
      </c>
      <c r="AB4826" s="8"/>
    </row>
    <row r="4827" spans="1:28" s="4" customFormat="1" ht="42" customHeight="1">
      <c r="A4827" s="5">
        <v>0</v>
      </c>
      <c r="B4827" s="6" t="s">
        <v>28544</v>
      </c>
      <c r="C4827" s="13">
        <v>1494</v>
      </c>
      <c r="D4827" s="8" t="s">
        <v>28545</v>
      </c>
      <c r="E4827" s="8" t="s">
        <v>28546</v>
      </c>
      <c r="F4827" s="8" t="s">
        <v>15903</v>
      </c>
      <c r="G4827" s="6" t="s">
        <v>52</v>
      </c>
      <c r="H4827" s="6" t="s">
        <v>438</v>
      </c>
      <c r="I4827" s="8"/>
      <c r="J4827" s="9">
        <v>1</v>
      </c>
      <c r="K4827" s="9">
        <v>328</v>
      </c>
      <c r="L4827" s="9">
        <v>2023</v>
      </c>
      <c r="M4827" s="8" t="s">
        <v>28547</v>
      </c>
      <c r="N4827" s="8" t="s">
        <v>79</v>
      </c>
      <c r="O4827" s="8" t="s">
        <v>396</v>
      </c>
      <c r="P4827" s="6" t="s">
        <v>43</v>
      </c>
      <c r="Q4827" s="8" t="s">
        <v>44</v>
      </c>
      <c r="R4827" s="10" t="s">
        <v>28548</v>
      </c>
      <c r="S4827" s="11"/>
      <c r="T4827" s="6"/>
      <c r="U4827" s="24" t="str">
        <f>HYPERLINK("https://media.infra-m.ru/1911/1911794/cover/1911794.jpg", "Обложка")</f>
        <v>Обложка</v>
      </c>
      <c r="V4827" s="24" t="str">
        <f>HYPERLINK("https://znanium.ru/catalog/product/1002345", "Ознакомиться")</f>
        <v>Ознакомиться</v>
      </c>
      <c r="W4827" s="8" t="s">
        <v>159</v>
      </c>
      <c r="X4827" s="6"/>
      <c r="Y4827" s="6"/>
      <c r="Z4827" s="6"/>
      <c r="AA4827" s="6" t="s">
        <v>111</v>
      </c>
      <c r="AB4827" s="8"/>
    </row>
    <row r="4828" spans="1:28" s="4" customFormat="1" ht="51.95" customHeight="1">
      <c r="A4828" s="5">
        <v>0</v>
      </c>
      <c r="B4828" s="6" t="s">
        <v>28549</v>
      </c>
      <c r="C4828" s="7">
        <v>804.9</v>
      </c>
      <c r="D4828" s="8" t="s">
        <v>28550</v>
      </c>
      <c r="E4828" s="8" t="s">
        <v>28551</v>
      </c>
      <c r="F4828" s="8" t="s">
        <v>28552</v>
      </c>
      <c r="G4828" s="6" t="s">
        <v>52</v>
      </c>
      <c r="H4828" s="6" t="s">
        <v>674</v>
      </c>
      <c r="I4828" s="8"/>
      <c r="J4828" s="9">
        <v>1</v>
      </c>
      <c r="K4828" s="9">
        <v>192</v>
      </c>
      <c r="L4828" s="9">
        <v>2022</v>
      </c>
      <c r="M4828" s="8" t="s">
        <v>28553</v>
      </c>
      <c r="N4828" s="8" t="s">
        <v>41</v>
      </c>
      <c r="O4828" s="8" t="s">
        <v>278</v>
      </c>
      <c r="P4828" s="6" t="s">
        <v>167</v>
      </c>
      <c r="Q4828" s="8" t="s">
        <v>44</v>
      </c>
      <c r="R4828" s="10" t="s">
        <v>28554</v>
      </c>
      <c r="S4828" s="11" t="s">
        <v>28555</v>
      </c>
      <c r="T4828" s="6"/>
      <c r="U4828" s="24" t="str">
        <f>HYPERLINK("https://media.infra-m.ru/1876/1876499/cover/1876499.jpg", "Обложка")</f>
        <v>Обложка</v>
      </c>
      <c r="V4828" s="24" t="str">
        <f>HYPERLINK("https://znanium.ru/catalog/product/1141782", "Ознакомиться")</f>
        <v>Ознакомиться</v>
      </c>
      <c r="W4828" s="8" t="s">
        <v>354</v>
      </c>
      <c r="X4828" s="6"/>
      <c r="Y4828" s="6"/>
      <c r="Z4828" s="6"/>
      <c r="AA4828" s="6" t="s">
        <v>84</v>
      </c>
      <c r="AB4828" s="8"/>
    </row>
    <row r="4829" spans="1:28" s="4" customFormat="1" ht="51.95" customHeight="1">
      <c r="A4829" s="5">
        <v>0</v>
      </c>
      <c r="B4829" s="6" t="s">
        <v>28556</v>
      </c>
      <c r="C4829" s="13">
        <v>1694</v>
      </c>
      <c r="D4829" s="8" t="s">
        <v>28557</v>
      </c>
      <c r="E4829" s="8" t="s">
        <v>28558</v>
      </c>
      <c r="F4829" s="8" t="s">
        <v>28552</v>
      </c>
      <c r="G4829" s="6" t="s">
        <v>52</v>
      </c>
      <c r="H4829" s="6" t="s">
        <v>674</v>
      </c>
      <c r="I4829" s="8"/>
      <c r="J4829" s="9">
        <v>1</v>
      </c>
      <c r="K4829" s="9">
        <v>368</v>
      </c>
      <c r="L4829" s="9">
        <v>2023</v>
      </c>
      <c r="M4829" s="8" t="s">
        <v>28559</v>
      </c>
      <c r="N4829" s="8" t="s">
        <v>41</v>
      </c>
      <c r="O4829" s="8" t="s">
        <v>278</v>
      </c>
      <c r="P4829" s="6" t="s">
        <v>167</v>
      </c>
      <c r="Q4829" s="8" t="s">
        <v>44</v>
      </c>
      <c r="R4829" s="10" t="s">
        <v>18128</v>
      </c>
      <c r="S4829" s="11" t="s">
        <v>28555</v>
      </c>
      <c r="T4829" s="6"/>
      <c r="U4829" s="24" t="str">
        <f>HYPERLINK("https://media.infra-m.ru/2045/2045936/cover/2045936.jpg", "Обложка")</f>
        <v>Обложка</v>
      </c>
      <c r="V4829" s="24" t="str">
        <f>HYPERLINK("https://znanium.ru/catalog/product/1852183", "Ознакомиться")</f>
        <v>Ознакомиться</v>
      </c>
      <c r="W4829" s="8" t="s">
        <v>354</v>
      </c>
      <c r="X4829" s="6"/>
      <c r="Y4829" s="6"/>
      <c r="Z4829" s="6"/>
      <c r="AA4829" s="6" t="s">
        <v>84</v>
      </c>
      <c r="AB4829" s="8"/>
    </row>
    <row r="4830" spans="1:28" s="4" customFormat="1" ht="51.95" customHeight="1">
      <c r="A4830" s="5">
        <v>0</v>
      </c>
      <c r="B4830" s="6" t="s">
        <v>28560</v>
      </c>
      <c r="C4830" s="7">
        <v>689.9</v>
      </c>
      <c r="D4830" s="8" t="s">
        <v>28561</v>
      </c>
      <c r="E4830" s="8" t="s">
        <v>28562</v>
      </c>
      <c r="F4830" s="8" t="s">
        <v>28563</v>
      </c>
      <c r="G4830" s="6" t="s">
        <v>4902</v>
      </c>
      <c r="H4830" s="6" t="s">
        <v>674</v>
      </c>
      <c r="I4830" s="8"/>
      <c r="J4830" s="9">
        <v>10</v>
      </c>
      <c r="K4830" s="9">
        <v>448</v>
      </c>
      <c r="L4830" s="9">
        <v>2015</v>
      </c>
      <c r="M4830" s="8" t="s">
        <v>28564</v>
      </c>
      <c r="N4830" s="8" t="s">
        <v>41</v>
      </c>
      <c r="O4830" s="8" t="s">
        <v>278</v>
      </c>
      <c r="P4830" s="6" t="s">
        <v>167</v>
      </c>
      <c r="Q4830" s="8" t="s">
        <v>44</v>
      </c>
      <c r="R4830" s="10" t="s">
        <v>10088</v>
      </c>
      <c r="S4830" s="11" t="s">
        <v>28565</v>
      </c>
      <c r="T4830" s="6"/>
      <c r="U4830" s="12"/>
      <c r="V4830" s="24" t="str">
        <f>HYPERLINK("https://znanium.ru/catalog/product/1693511", "Ознакомиться")</f>
        <v>Ознакомиться</v>
      </c>
      <c r="W4830" s="8" t="s">
        <v>354</v>
      </c>
      <c r="X4830" s="6"/>
      <c r="Y4830" s="6"/>
      <c r="Z4830" s="6"/>
      <c r="AA4830" s="6" t="s">
        <v>555</v>
      </c>
      <c r="AB4830" s="8"/>
    </row>
    <row r="4831" spans="1:28" s="4" customFormat="1" ht="51.95" customHeight="1">
      <c r="A4831" s="5">
        <v>0</v>
      </c>
      <c r="B4831" s="6" t="s">
        <v>28566</v>
      </c>
      <c r="C4831" s="13">
        <v>1954</v>
      </c>
      <c r="D4831" s="8" t="s">
        <v>28567</v>
      </c>
      <c r="E4831" s="8" t="s">
        <v>28568</v>
      </c>
      <c r="F4831" s="8" t="s">
        <v>28563</v>
      </c>
      <c r="G4831" s="6" t="s">
        <v>89</v>
      </c>
      <c r="H4831" s="6" t="s">
        <v>674</v>
      </c>
      <c r="I4831" s="8"/>
      <c r="J4831" s="9">
        <v>1</v>
      </c>
      <c r="K4831" s="9">
        <v>424</v>
      </c>
      <c r="L4831" s="9">
        <v>2024</v>
      </c>
      <c r="M4831" s="8" t="s">
        <v>28569</v>
      </c>
      <c r="N4831" s="8" t="s">
        <v>41</v>
      </c>
      <c r="O4831" s="8" t="s">
        <v>278</v>
      </c>
      <c r="P4831" s="6" t="s">
        <v>167</v>
      </c>
      <c r="Q4831" s="8" t="s">
        <v>44</v>
      </c>
      <c r="R4831" s="10" t="s">
        <v>10088</v>
      </c>
      <c r="S4831" s="11" t="s">
        <v>28565</v>
      </c>
      <c r="T4831" s="6"/>
      <c r="U4831" s="24" t="str">
        <f>HYPERLINK("https://media.infra-m.ru/2093/2093935/cover/2093935.jpg", "Обложка")</f>
        <v>Обложка</v>
      </c>
      <c r="V4831" s="24" t="str">
        <f>HYPERLINK("https://znanium.ru/catalog/product/1693511", "Ознакомиться")</f>
        <v>Ознакомиться</v>
      </c>
      <c r="W4831" s="8" t="s">
        <v>354</v>
      </c>
      <c r="X4831" s="6"/>
      <c r="Y4831" s="6"/>
      <c r="Z4831" s="6"/>
      <c r="AA4831" s="6" t="s">
        <v>513</v>
      </c>
      <c r="AB4831" s="8"/>
    </row>
    <row r="4832" spans="1:28" s="4" customFormat="1" ht="51.95" customHeight="1">
      <c r="A4832" s="5">
        <v>0</v>
      </c>
      <c r="B4832" s="6" t="s">
        <v>28570</v>
      </c>
      <c r="C4832" s="13">
        <v>1070</v>
      </c>
      <c r="D4832" s="8" t="s">
        <v>28571</v>
      </c>
      <c r="E4832" s="8" t="s">
        <v>28562</v>
      </c>
      <c r="F4832" s="8" t="s">
        <v>18481</v>
      </c>
      <c r="G4832" s="6" t="s">
        <v>52</v>
      </c>
      <c r="H4832" s="6" t="s">
        <v>53</v>
      </c>
      <c r="I4832" s="8" t="s">
        <v>100</v>
      </c>
      <c r="J4832" s="9">
        <v>1</v>
      </c>
      <c r="K4832" s="9">
        <v>213</v>
      </c>
      <c r="L4832" s="9">
        <v>2025</v>
      </c>
      <c r="M4832" s="8" t="s">
        <v>28572</v>
      </c>
      <c r="N4832" s="8" t="s">
        <v>41</v>
      </c>
      <c r="O4832" s="8" t="s">
        <v>278</v>
      </c>
      <c r="P4832" s="6" t="s">
        <v>167</v>
      </c>
      <c r="Q4832" s="8" t="s">
        <v>102</v>
      </c>
      <c r="R4832" s="10" t="s">
        <v>28573</v>
      </c>
      <c r="S4832" s="11"/>
      <c r="T4832" s="6"/>
      <c r="U4832" s="24" t="str">
        <f>HYPERLINK("https://media.infra-m.ru/1876/1876527/cover/1876527.jpg", "Обложка")</f>
        <v>Обложка</v>
      </c>
      <c r="V4832" s="24" t="str">
        <f>HYPERLINK("https://znanium.ru/catalog/product/1876527", "Ознакомиться")</f>
        <v>Ознакомиться</v>
      </c>
      <c r="W4832" s="8" t="s">
        <v>10051</v>
      </c>
      <c r="X4832" s="6" t="s">
        <v>389</v>
      </c>
      <c r="Y4832" s="6"/>
      <c r="Z4832" s="6"/>
      <c r="AA4832" s="6" t="s">
        <v>61</v>
      </c>
      <c r="AB4832" s="8"/>
    </row>
    <row r="4833" spans="1:28" s="4" customFormat="1" ht="51.95" customHeight="1">
      <c r="A4833" s="5">
        <v>0</v>
      </c>
      <c r="B4833" s="6" t="s">
        <v>28574</v>
      </c>
      <c r="C4833" s="7">
        <v>900</v>
      </c>
      <c r="D4833" s="8" t="s">
        <v>28575</v>
      </c>
      <c r="E4833" s="8" t="s">
        <v>28576</v>
      </c>
      <c r="F4833" s="8" t="s">
        <v>28577</v>
      </c>
      <c r="G4833" s="6" t="s">
        <v>52</v>
      </c>
      <c r="H4833" s="6" t="s">
        <v>53</v>
      </c>
      <c r="I4833" s="8" t="s">
        <v>4855</v>
      </c>
      <c r="J4833" s="9">
        <v>1</v>
      </c>
      <c r="K4833" s="9">
        <v>182</v>
      </c>
      <c r="L4833" s="9">
        <v>2023</v>
      </c>
      <c r="M4833" s="8" t="s">
        <v>28578</v>
      </c>
      <c r="N4833" s="8" t="s">
        <v>79</v>
      </c>
      <c r="O4833" s="8" t="s">
        <v>396</v>
      </c>
      <c r="P4833" s="6" t="s">
        <v>43</v>
      </c>
      <c r="Q4833" s="8" t="s">
        <v>44</v>
      </c>
      <c r="R4833" s="10" t="s">
        <v>28579</v>
      </c>
      <c r="S4833" s="11" t="s">
        <v>28580</v>
      </c>
      <c r="T4833" s="6"/>
      <c r="U4833" s="24" t="str">
        <f>HYPERLINK("https://media.infra-m.ru/1910/1910856/cover/1910856.jpg", "Обложка")</f>
        <v>Обложка</v>
      </c>
      <c r="V4833" s="12"/>
      <c r="W4833" s="8"/>
      <c r="X4833" s="6"/>
      <c r="Y4833" s="6"/>
      <c r="Z4833" s="6"/>
      <c r="AA4833" s="6" t="s">
        <v>207</v>
      </c>
      <c r="AB4833" s="8"/>
    </row>
    <row r="4834" spans="1:28" s="4" customFormat="1" ht="51.95" customHeight="1">
      <c r="A4834" s="5">
        <v>0</v>
      </c>
      <c r="B4834" s="6" t="s">
        <v>28581</v>
      </c>
      <c r="C4834" s="13">
        <v>1590</v>
      </c>
      <c r="D4834" s="8" t="s">
        <v>28582</v>
      </c>
      <c r="E4834" s="8" t="s">
        <v>28583</v>
      </c>
      <c r="F4834" s="8" t="s">
        <v>24848</v>
      </c>
      <c r="G4834" s="6" t="s">
        <v>89</v>
      </c>
      <c r="H4834" s="6" t="s">
        <v>649</v>
      </c>
      <c r="I4834" s="8" t="s">
        <v>100</v>
      </c>
      <c r="J4834" s="9">
        <v>1</v>
      </c>
      <c r="K4834" s="9">
        <v>317</v>
      </c>
      <c r="L4834" s="9">
        <v>2025</v>
      </c>
      <c r="M4834" s="8" t="s">
        <v>28584</v>
      </c>
      <c r="N4834" s="8" t="s">
        <v>79</v>
      </c>
      <c r="O4834" s="8" t="s">
        <v>396</v>
      </c>
      <c r="P4834" s="6" t="s">
        <v>167</v>
      </c>
      <c r="Q4834" s="8" t="s">
        <v>102</v>
      </c>
      <c r="R4834" s="10" t="s">
        <v>28585</v>
      </c>
      <c r="S4834" s="11" t="s">
        <v>28586</v>
      </c>
      <c r="T4834" s="6"/>
      <c r="U4834" s="24" t="str">
        <f>HYPERLINK("https://media.infra-m.ru/2161/2161944/cover/2161944.jpg", "Обложка")</f>
        <v>Обложка</v>
      </c>
      <c r="V4834" s="24" t="str">
        <f>HYPERLINK("https://znanium.ru/catalog/product/2161944", "Ознакомиться")</f>
        <v>Ознакомиться</v>
      </c>
      <c r="W4834" s="8" t="s">
        <v>6731</v>
      </c>
      <c r="X4834" s="6"/>
      <c r="Y4834" s="6"/>
      <c r="Z4834" s="6"/>
      <c r="AA4834" s="6" t="s">
        <v>8847</v>
      </c>
      <c r="AB4834" s="8"/>
    </row>
    <row r="4835" spans="1:28" s="4" customFormat="1" ht="51.95" customHeight="1">
      <c r="A4835" s="5">
        <v>0</v>
      </c>
      <c r="B4835" s="6" t="s">
        <v>28587</v>
      </c>
      <c r="C4835" s="7">
        <v>927</v>
      </c>
      <c r="D4835" s="8" t="s">
        <v>28588</v>
      </c>
      <c r="E4835" s="8" t="s">
        <v>28589</v>
      </c>
      <c r="F4835" s="8" t="s">
        <v>28590</v>
      </c>
      <c r="G4835" s="6" t="s">
        <v>38</v>
      </c>
      <c r="H4835" s="6" t="s">
        <v>39</v>
      </c>
      <c r="I4835" s="8" t="s">
        <v>90</v>
      </c>
      <c r="J4835" s="9">
        <v>1</v>
      </c>
      <c r="K4835" s="9">
        <v>164</v>
      </c>
      <c r="L4835" s="9">
        <v>2023</v>
      </c>
      <c r="M4835" s="8" t="s">
        <v>28591</v>
      </c>
      <c r="N4835" s="8" t="s">
        <v>79</v>
      </c>
      <c r="O4835" s="8" t="s">
        <v>396</v>
      </c>
      <c r="P4835" s="6" t="s">
        <v>43</v>
      </c>
      <c r="Q4835" s="8" t="s">
        <v>44</v>
      </c>
      <c r="R4835" s="10" t="s">
        <v>28592</v>
      </c>
      <c r="S4835" s="11" t="s">
        <v>28593</v>
      </c>
      <c r="T4835" s="6"/>
      <c r="U4835" s="24" t="str">
        <f>HYPERLINK("https://media.infra-m.ru/2058/2058786/cover/2058786.jpg", "Обложка")</f>
        <v>Обложка</v>
      </c>
      <c r="V4835" s="24" t="str">
        <f>HYPERLINK("https://znanium.ru/catalog/product/1839651", "Ознакомиться")</f>
        <v>Ознакомиться</v>
      </c>
      <c r="W4835" s="8" t="s">
        <v>1571</v>
      </c>
      <c r="X4835" s="6"/>
      <c r="Y4835" s="6"/>
      <c r="Z4835" s="6"/>
      <c r="AA4835" s="6" t="s">
        <v>418</v>
      </c>
      <c r="AB4835" s="8"/>
    </row>
    <row r="4836" spans="1:28" s="4" customFormat="1" ht="51.95" customHeight="1">
      <c r="A4836" s="5">
        <v>0</v>
      </c>
      <c r="B4836" s="6" t="s">
        <v>28594</v>
      </c>
      <c r="C4836" s="7">
        <v>720</v>
      </c>
      <c r="D4836" s="8" t="s">
        <v>28595</v>
      </c>
      <c r="E4836" s="8" t="s">
        <v>28596</v>
      </c>
      <c r="F4836" s="8" t="s">
        <v>28597</v>
      </c>
      <c r="G4836" s="6" t="s">
        <v>89</v>
      </c>
      <c r="H4836" s="6" t="s">
        <v>53</v>
      </c>
      <c r="I4836" s="8" t="s">
        <v>116</v>
      </c>
      <c r="J4836" s="9">
        <v>1</v>
      </c>
      <c r="K4836" s="9">
        <v>146</v>
      </c>
      <c r="L4836" s="9">
        <v>2024</v>
      </c>
      <c r="M4836" s="8" t="s">
        <v>28598</v>
      </c>
      <c r="N4836" s="8" t="s">
        <v>56</v>
      </c>
      <c r="O4836" s="8" t="s">
        <v>57</v>
      </c>
      <c r="P4836" s="6" t="s">
        <v>167</v>
      </c>
      <c r="Q4836" s="8" t="s">
        <v>44</v>
      </c>
      <c r="R4836" s="10" t="s">
        <v>28599</v>
      </c>
      <c r="S4836" s="11" t="s">
        <v>28600</v>
      </c>
      <c r="T4836" s="6"/>
      <c r="U4836" s="24" t="str">
        <f>HYPERLINK("https://media.infra-m.ru/2141/2141038/cover/2141038.jpg", "Обложка")</f>
        <v>Обложка</v>
      </c>
      <c r="V4836" s="24" t="str">
        <f>HYPERLINK("https://znanium.ru/catalog/product/2141038", "Ознакомиться")</f>
        <v>Ознакомиться</v>
      </c>
      <c r="W4836" s="8" t="s">
        <v>7320</v>
      </c>
      <c r="X4836" s="6"/>
      <c r="Y4836" s="6"/>
      <c r="Z4836" s="6"/>
      <c r="AA4836" s="6" t="s">
        <v>235</v>
      </c>
      <c r="AB4836" s="8"/>
    </row>
    <row r="4837" spans="1:28" s="4" customFormat="1" ht="42" customHeight="1">
      <c r="A4837" s="5">
        <v>0</v>
      </c>
      <c r="B4837" s="6" t="s">
        <v>28601</v>
      </c>
      <c r="C4837" s="13">
        <v>2300</v>
      </c>
      <c r="D4837" s="8" t="s">
        <v>28602</v>
      </c>
      <c r="E4837" s="8" t="s">
        <v>28603</v>
      </c>
      <c r="F4837" s="8" t="s">
        <v>6335</v>
      </c>
      <c r="G4837" s="6" t="s">
        <v>52</v>
      </c>
      <c r="H4837" s="6" t="s">
        <v>53</v>
      </c>
      <c r="I4837" s="8" t="s">
        <v>116</v>
      </c>
      <c r="J4837" s="9">
        <v>1</v>
      </c>
      <c r="K4837" s="9">
        <v>443</v>
      </c>
      <c r="L4837" s="9">
        <v>2025</v>
      </c>
      <c r="M4837" s="8" t="s">
        <v>28604</v>
      </c>
      <c r="N4837" s="8" t="s">
        <v>997</v>
      </c>
      <c r="O4837" s="8" t="s">
        <v>998</v>
      </c>
      <c r="P4837" s="6" t="s">
        <v>167</v>
      </c>
      <c r="Q4837" s="8" t="s">
        <v>44</v>
      </c>
      <c r="R4837" s="10" t="s">
        <v>28605</v>
      </c>
      <c r="S4837" s="11"/>
      <c r="T4837" s="6"/>
      <c r="U4837" s="24" t="str">
        <f>HYPERLINK("https://media.infra-m.ru/2157/2157180/cover/2157180.jpg", "Обложка")</f>
        <v>Обложка</v>
      </c>
      <c r="V4837" s="24" t="str">
        <f>HYPERLINK("https://znanium.ru/catalog/product/2157180", "Ознакомиться")</f>
        <v>Ознакомиться</v>
      </c>
      <c r="W4837" s="8" t="s">
        <v>1358</v>
      </c>
      <c r="X4837" s="6" t="s">
        <v>60</v>
      </c>
      <c r="Y4837" s="6"/>
      <c r="Z4837" s="6"/>
      <c r="AA4837" s="6" t="s">
        <v>61</v>
      </c>
      <c r="AB4837" s="8"/>
    </row>
    <row r="4838" spans="1:28" s="4" customFormat="1" ht="51.95" customHeight="1">
      <c r="A4838" s="5">
        <v>0</v>
      </c>
      <c r="B4838" s="6" t="s">
        <v>28606</v>
      </c>
      <c r="C4838" s="13">
        <v>1414.9</v>
      </c>
      <c r="D4838" s="8" t="s">
        <v>28607</v>
      </c>
      <c r="E4838" s="8" t="s">
        <v>28608</v>
      </c>
      <c r="F4838" s="8" t="s">
        <v>28609</v>
      </c>
      <c r="G4838" s="6" t="s">
        <v>89</v>
      </c>
      <c r="H4838" s="6" t="s">
        <v>53</v>
      </c>
      <c r="I4838" s="8" t="s">
        <v>90</v>
      </c>
      <c r="J4838" s="9">
        <v>1</v>
      </c>
      <c r="K4838" s="9">
        <v>314</v>
      </c>
      <c r="L4838" s="9">
        <v>2023</v>
      </c>
      <c r="M4838" s="8" t="s">
        <v>28610</v>
      </c>
      <c r="N4838" s="8" t="s">
        <v>79</v>
      </c>
      <c r="O4838" s="8" t="s">
        <v>537</v>
      </c>
      <c r="P4838" s="6" t="s">
        <v>167</v>
      </c>
      <c r="Q4838" s="8" t="s">
        <v>58</v>
      </c>
      <c r="R4838" s="10" t="s">
        <v>28611</v>
      </c>
      <c r="S4838" s="11" t="s">
        <v>28612</v>
      </c>
      <c r="T4838" s="6"/>
      <c r="U4838" s="24" t="str">
        <f>HYPERLINK("https://media.infra-m.ru/2032/2032581/cover/2032581.jpg", "Обложка")</f>
        <v>Обложка</v>
      </c>
      <c r="V4838" s="24" t="str">
        <f>HYPERLINK("https://znanium.ru/catalog/product/1862064", "Ознакомиться")</f>
        <v>Ознакомиться</v>
      </c>
      <c r="W4838" s="8" t="s">
        <v>8022</v>
      </c>
      <c r="X4838" s="6"/>
      <c r="Y4838" s="6"/>
      <c r="Z4838" s="6"/>
      <c r="AA4838" s="6" t="s">
        <v>219</v>
      </c>
      <c r="AB4838" s="8"/>
    </row>
    <row r="4839" spans="1:28" s="4" customFormat="1" ht="51.95" customHeight="1">
      <c r="A4839" s="5">
        <v>0</v>
      </c>
      <c r="B4839" s="6" t="s">
        <v>28613</v>
      </c>
      <c r="C4839" s="13">
        <v>2244</v>
      </c>
      <c r="D4839" s="8" t="s">
        <v>28614</v>
      </c>
      <c r="E4839" s="8" t="s">
        <v>28615</v>
      </c>
      <c r="F4839" s="8" t="s">
        <v>28616</v>
      </c>
      <c r="G4839" s="6" t="s">
        <v>89</v>
      </c>
      <c r="H4839" s="6" t="s">
        <v>53</v>
      </c>
      <c r="I4839" s="8" t="s">
        <v>90</v>
      </c>
      <c r="J4839" s="9">
        <v>1</v>
      </c>
      <c r="K4839" s="9">
        <v>448</v>
      </c>
      <c r="L4839" s="9">
        <v>2025</v>
      </c>
      <c r="M4839" s="8" t="s">
        <v>28617</v>
      </c>
      <c r="N4839" s="8" t="s">
        <v>79</v>
      </c>
      <c r="O4839" s="8" t="s">
        <v>570</v>
      </c>
      <c r="P4839" s="6" t="s">
        <v>43</v>
      </c>
      <c r="Q4839" s="8" t="s">
        <v>44</v>
      </c>
      <c r="R4839" s="10" t="s">
        <v>28618</v>
      </c>
      <c r="S4839" s="11"/>
      <c r="T4839" s="6"/>
      <c r="U4839" s="24" t="str">
        <f>HYPERLINK("https://media.infra-m.ru/2186/2186864/cover/2186864.jpg", "Обложка")</f>
        <v>Обложка</v>
      </c>
      <c r="V4839" s="24" t="str">
        <f>HYPERLINK("https://znanium.ru/catalog/product/1974377", "Ознакомиться")</f>
        <v>Ознакомиться</v>
      </c>
      <c r="W4839" s="8" t="s">
        <v>5337</v>
      </c>
      <c r="X4839" s="6"/>
      <c r="Y4839" s="6"/>
      <c r="Z4839" s="6"/>
      <c r="AA4839" s="6" t="s">
        <v>377</v>
      </c>
      <c r="AB4839" s="8"/>
    </row>
    <row r="4840" spans="1:28" s="4" customFormat="1" ht="51.95" customHeight="1">
      <c r="A4840" s="5">
        <v>0</v>
      </c>
      <c r="B4840" s="6" t="s">
        <v>28619</v>
      </c>
      <c r="C4840" s="13">
        <v>1470</v>
      </c>
      <c r="D4840" s="8" t="s">
        <v>28620</v>
      </c>
      <c r="E4840" s="8" t="s">
        <v>28621</v>
      </c>
      <c r="F4840" s="8" t="s">
        <v>28622</v>
      </c>
      <c r="G4840" s="6" t="s">
        <v>89</v>
      </c>
      <c r="H4840" s="6" t="s">
        <v>66</v>
      </c>
      <c r="I4840" s="8" t="s">
        <v>116</v>
      </c>
      <c r="J4840" s="9">
        <v>1</v>
      </c>
      <c r="K4840" s="9">
        <v>318</v>
      </c>
      <c r="L4840" s="9">
        <v>2024</v>
      </c>
      <c r="M4840" s="8" t="s">
        <v>28623</v>
      </c>
      <c r="N4840" s="8" t="s">
        <v>413</v>
      </c>
      <c r="O4840" s="8" t="s">
        <v>1141</v>
      </c>
      <c r="P4840" s="6" t="s">
        <v>43</v>
      </c>
      <c r="Q4840" s="8" t="s">
        <v>44</v>
      </c>
      <c r="R4840" s="10" t="s">
        <v>28624</v>
      </c>
      <c r="S4840" s="11" t="s">
        <v>28625</v>
      </c>
      <c r="T4840" s="6"/>
      <c r="U4840" s="24" t="str">
        <f>HYPERLINK("https://media.infra-m.ru/2125/2125871/cover/2125871.jpg", "Обложка")</f>
        <v>Обложка</v>
      </c>
      <c r="V4840" s="24" t="str">
        <f>HYPERLINK("https://znanium.ru/catalog/product/968714", "Ознакомиться")</f>
        <v>Ознакомиться</v>
      </c>
      <c r="W4840" s="8" t="s">
        <v>4331</v>
      </c>
      <c r="X4840" s="6"/>
      <c r="Y4840" s="6"/>
      <c r="Z4840" s="6"/>
      <c r="AA4840" s="6" t="s">
        <v>122</v>
      </c>
      <c r="AB4840" s="8"/>
    </row>
    <row r="4841" spans="1:28" s="4" customFormat="1" ht="51.95" customHeight="1">
      <c r="A4841" s="5">
        <v>0</v>
      </c>
      <c r="B4841" s="6" t="s">
        <v>28626</v>
      </c>
      <c r="C4841" s="13">
        <v>1654</v>
      </c>
      <c r="D4841" s="8" t="s">
        <v>28627</v>
      </c>
      <c r="E4841" s="8" t="s">
        <v>28628</v>
      </c>
      <c r="F4841" s="8" t="s">
        <v>28629</v>
      </c>
      <c r="G4841" s="6" t="s">
        <v>52</v>
      </c>
      <c r="H4841" s="6" t="s">
        <v>649</v>
      </c>
      <c r="I4841" s="8" t="s">
        <v>185</v>
      </c>
      <c r="J4841" s="9">
        <v>1</v>
      </c>
      <c r="K4841" s="9">
        <v>352</v>
      </c>
      <c r="L4841" s="9">
        <v>2024</v>
      </c>
      <c r="M4841" s="8" t="s">
        <v>28630</v>
      </c>
      <c r="N4841" s="8" t="s">
        <v>41</v>
      </c>
      <c r="O4841" s="8" t="s">
        <v>1007</v>
      </c>
      <c r="P4841" s="6" t="s">
        <v>43</v>
      </c>
      <c r="Q4841" s="8" t="s">
        <v>102</v>
      </c>
      <c r="R4841" s="10" t="s">
        <v>21667</v>
      </c>
      <c r="S4841" s="11" t="s">
        <v>28631</v>
      </c>
      <c r="T4841" s="6"/>
      <c r="U4841" s="24" t="str">
        <f>HYPERLINK("https://media.infra-m.ru/2145/2145081/cover/2145081.jpg", "Обложка")</f>
        <v>Обложка</v>
      </c>
      <c r="V4841" s="24" t="str">
        <f>HYPERLINK("https://znanium.ru/catalog/product/1815605", "Ознакомиться")</f>
        <v>Ознакомиться</v>
      </c>
      <c r="W4841" s="8" t="s">
        <v>71</v>
      </c>
      <c r="X4841" s="6"/>
      <c r="Y4841" s="6"/>
      <c r="Z4841" s="6"/>
      <c r="AA4841" s="6" t="s">
        <v>555</v>
      </c>
      <c r="AB4841" s="8"/>
    </row>
    <row r="4842" spans="1:28" s="4" customFormat="1" ht="51.95" customHeight="1">
      <c r="A4842" s="5">
        <v>0</v>
      </c>
      <c r="B4842" s="6" t="s">
        <v>28632</v>
      </c>
      <c r="C4842" s="13">
        <v>1694</v>
      </c>
      <c r="D4842" s="8" t="s">
        <v>28633</v>
      </c>
      <c r="E4842" s="8" t="s">
        <v>28634</v>
      </c>
      <c r="F4842" s="8" t="s">
        <v>28635</v>
      </c>
      <c r="G4842" s="6" t="s">
        <v>52</v>
      </c>
      <c r="H4842" s="6" t="s">
        <v>53</v>
      </c>
      <c r="I4842" s="8" t="s">
        <v>90</v>
      </c>
      <c r="J4842" s="9">
        <v>1</v>
      </c>
      <c r="K4842" s="9">
        <v>326</v>
      </c>
      <c r="L4842" s="9">
        <v>2025</v>
      </c>
      <c r="M4842" s="8" t="s">
        <v>28636</v>
      </c>
      <c r="N4842" s="8" t="s">
        <v>41</v>
      </c>
      <c r="O4842" s="8" t="s">
        <v>1007</v>
      </c>
      <c r="P4842" s="6" t="s">
        <v>43</v>
      </c>
      <c r="Q4842" s="8" t="s">
        <v>44</v>
      </c>
      <c r="R4842" s="10" t="s">
        <v>1265</v>
      </c>
      <c r="S4842" s="11" t="s">
        <v>3587</v>
      </c>
      <c r="T4842" s="6"/>
      <c r="U4842" s="24" t="str">
        <f>HYPERLINK("https://media.infra-m.ru/2194/2194334/cover/2194334.jpg", "Обложка")</f>
        <v>Обложка</v>
      </c>
      <c r="V4842" s="24" t="str">
        <f>HYPERLINK("https://znanium.ru/catalog/product/1850640", "Ознакомиться")</f>
        <v>Ознакомиться</v>
      </c>
      <c r="W4842" s="8" t="s">
        <v>1313</v>
      </c>
      <c r="X4842" s="6"/>
      <c r="Y4842" s="6"/>
      <c r="Z4842" s="6"/>
      <c r="AA4842" s="6" t="s">
        <v>644</v>
      </c>
      <c r="AB4842" s="8"/>
    </row>
    <row r="4843" spans="1:28" s="4" customFormat="1" ht="51.95" customHeight="1">
      <c r="A4843" s="5">
        <v>0</v>
      </c>
      <c r="B4843" s="6" t="s">
        <v>28637</v>
      </c>
      <c r="C4843" s="13">
        <v>1764</v>
      </c>
      <c r="D4843" s="8" t="s">
        <v>28638</v>
      </c>
      <c r="E4843" s="8" t="s">
        <v>28639</v>
      </c>
      <c r="F4843" s="8" t="s">
        <v>28640</v>
      </c>
      <c r="G4843" s="6" t="s">
        <v>52</v>
      </c>
      <c r="H4843" s="6" t="s">
        <v>952</v>
      </c>
      <c r="I4843" s="8" t="s">
        <v>100</v>
      </c>
      <c r="J4843" s="9">
        <v>1</v>
      </c>
      <c r="K4843" s="9">
        <v>384</v>
      </c>
      <c r="L4843" s="9">
        <v>2024</v>
      </c>
      <c r="M4843" s="8" t="s">
        <v>28641</v>
      </c>
      <c r="N4843" s="8" t="s">
        <v>41</v>
      </c>
      <c r="O4843" s="8" t="s">
        <v>1007</v>
      </c>
      <c r="P4843" s="6" t="s">
        <v>167</v>
      </c>
      <c r="Q4843" s="8" t="s">
        <v>102</v>
      </c>
      <c r="R4843" s="10" t="s">
        <v>3444</v>
      </c>
      <c r="S4843" s="11" t="s">
        <v>28642</v>
      </c>
      <c r="T4843" s="6"/>
      <c r="U4843" s="24" t="str">
        <f>HYPERLINK("https://media.infra-m.ru/2053/2053200/cover/2053200.jpg", "Обложка")</f>
        <v>Обложка</v>
      </c>
      <c r="V4843" s="24" t="str">
        <f>HYPERLINK("https://znanium.ru/catalog/product/1052227", "Ознакомиться")</f>
        <v>Ознакомиться</v>
      </c>
      <c r="W4843" s="8" t="s">
        <v>3426</v>
      </c>
      <c r="X4843" s="6"/>
      <c r="Y4843" s="6"/>
      <c r="Z4843" s="6"/>
      <c r="AA4843" s="6" t="s">
        <v>663</v>
      </c>
      <c r="AB4843" s="8"/>
    </row>
    <row r="4844" spans="1:28" s="4" customFormat="1" ht="51.95" customHeight="1">
      <c r="A4844" s="5">
        <v>0</v>
      </c>
      <c r="B4844" s="6" t="s">
        <v>28643</v>
      </c>
      <c r="C4844" s="7">
        <v>607</v>
      </c>
      <c r="D4844" s="8" t="s">
        <v>28644</v>
      </c>
      <c r="E4844" s="8" t="s">
        <v>28645</v>
      </c>
      <c r="F4844" s="8" t="s">
        <v>28646</v>
      </c>
      <c r="G4844" s="6" t="s">
        <v>38</v>
      </c>
      <c r="H4844" s="6" t="s">
        <v>184</v>
      </c>
      <c r="I4844" s="8" t="s">
        <v>3267</v>
      </c>
      <c r="J4844" s="9">
        <v>1</v>
      </c>
      <c r="K4844" s="9">
        <v>186</v>
      </c>
      <c r="L4844" s="9">
        <v>2025</v>
      </c>
      <c r="M4844" s="8" t="s">
        <v>28647</v>
      </c>
      <c r="N4844" s="8" t="s">
        <v>413</v>
      </c>
      <c r="O4844" s="8" t="s">
        <v>1141</v>
      </c>
      <c r="P4844" s="6" t="s">
        <v>43</v>
      </c>
      <c r="Q4844" s="8" t="s">
        <v>44</v>
      </c>
      <c r="R4844" s="10" t="s">
        <v>28648</v>
      </c>
      <c r="S4844" s="11"/>
      <c r="T4844" s="6"/>
      <c r="U4844" s="24" t="str">
        <f>HYPERLINK("https://media.infra-m.ru/2184/2184908/cover/2184908.jpg", "Обложка")</f>
        <v>Обложка</v>
      </c>
      <c r="V4844" s="24" t="str">
        <f>HYPERLINK("https://znanium.ru/catalog/product/2184327", "Ознакомиться")</f>
        <v>Ознакомиться</v>
      </c>
      <c r="W4844" s="8" t="s">
        <v>2351</v>
      </c>
      <c r="X4844" s="6"/>
      <c r="Y4844" s="6"/>
      <c r="Z4844" s="6"/>
      <c r="AA4844" s="6" t="s">
        <v>555</v>
      </c>
      <c r="AB4844" s="8"/>
    </row>
    <row r="4845" spans="1:28" s="4" customFormat="1" ht="51.95" customHeight="1">
      <c r="A4845" s="5">
        <v>0</v>
      </c>
      <c r="B4845" s="6" t="s">
        <v>28649</v>
      </c>
      <c r="C4845" s="13">
        <v>2064</v>
      </c>
      <c r="D4845" s="8" t="s">
        <v>28650</v>
      </c>
      <c r="E4845" s="8" t="s">
        <v>28651</v>
      </c>
      <c r="F4845" s="8" t="s">
        <v>1209</v>
      </c>
      <c r="G4845" s="6" t="s">
        <v>52</v>
      </c>
      <c r="H4845" s="6" t="s">
        <v>53</v>
      </c>
      <c r="I4845" s="8" t="s">
        <v>165</v>
      </c>
      <c r="J4845" s="9">
        <v>1</v>
      </c>
      <c r="K4845" s="9">
        <v>412</v>
      </c>
      <c r="L4845" s="9">
        <v>2025</v>
      </c>
      <c r="M4845" s="8" t="s">
        <v>28652</v>
      </c>
      <c r="N4845" s="8" t="s">
        <v>413</v>
      </c>
      <c r="O4845" s="8" t="s">
        <v>1141</v>
      </c>
      <c r="P4845" s="6" t="s">
        <v>167</v>
      </c>
      <c r="Q4845" s="8" t="s">
        <v>44</v>
      </c>
      <c r="R4845" s="10" t="s">
        <v>6064</v>
      </c>
      <c r="S4845" s="11"/>
      <c r="T4845" s="6" t="s">
        <v>299</v>
      </c>
      <c r="U4845" s="24" t="str">
        <f>HYPERLINK("https://media.infra-m.ru/2188/2188264/cover/2188264.jpg", "Обложка")</f>
        <v>Обложка</v>
      </c>
      <c r="V4845" s="24" t="str">
        <f>HYPERLINK("https://znanium.ru/catalog/product/2141610", "Ознакомиться")</f>
        <v>Ознакомиться</v>
      </c>
      <c r="W4845" s="8" t="s">
        <v>83</v>
      </c>
      <c r="X4845" s="6"/>
      <c r="Y4845" s="6"/>
      <c r="Z4845" s="6"/>
      <c r="AA4845" s="6" t="s">
        <v>207</v>
      </c>
      <c r="AB4845" s="8"/>
    </row>
    <row r="4846" spans="1:28" s="4" customFormat="1" ht="51.95" customHeight="1">
      <c r="A4846" s="5">
        <v>0</v>
      </c>
      <c r="B4846" s="6" t="s">
        <v>28653</v>
      </c>
      <c r="C4846" s="13">
        <v>1130</v>
      </c>
      <c r="D4846" s="8" t="s">
        <v>28654</v>
      </c>
      <c r="E4846" s="8" t="s">
        <v>28645</v>
      </c>
      <c r="F4846" s="8" t="s">
        <v>28655</v>
      </c>
      <c r="G4846" s="6" t="s">
        <v>89</v>
      </c>
      <c r="H4846" s="6" t="s">
        <v>53</v>
      </c>
      <c r="I4846" s="8" t="s">
        <v>90</v>
      </c>
      <c r="J4846" s="9">
        <v>1</v>
      </c>
      <c r="K4846" s="9">
        <v>250</v>
      </c>
      <c r="L4846" s="9">
        <v>2023</v>
      </c>
      <c r="M4846" s="8" t="s">
        <v>28656</v>
      </c>
      <c r="N4846" s="8" t="s">
        <v>413</v>
      </c>
      <c r="O4846" s="8" t="s">
        <v>1141</v>
      </c>
      <c r="P4846" s="6" t="s">
        <v>167</v>
      </c>
      <c r="Q4846" s="8" t="s">
        <v>44</v>
      </c>
      <c r="R4846" s="10" t="s">
        <v>28657</v>
      </c>
      <c r="S4846" s="11" t="s">
        <v>28658</v>
      </c>
      <c r="T4846" s="6"/>
      <c r="U4846" s="24" t="str">
        <f>HYPERLINK("https://media.infra-m.ru/1920/1920312/cover/1920312.jpg", "Обложка")</f>
        <v>Обложка</v>
      </c>
      <c r="V4846" s="24" t="str">
        <f>HYPERLINK("https://znanium.ru/catalog/product/1920312", "Ознакомиться")</f>
        <v>Ознакомиться</v>
      </c>
      <c r="W4846" s="8" t="s">
        <v>450</v>
      </c>
      <c r="X4846" s="6"/>
      <c r="Y4846" s="6"/>
      <c r="Z4846" s="6"/>
      <c r="AA4846" s="6" t="s">
        <v>258</v>
      </c>
      <c r="AB4846" s="8"/>
    </row>
    <row r="4847" spans="1:28" s="4" customFormat="1" ht="51.95" customHeight="1">
      <c r="A4847" s="5">
        <v>0</v>
      </c>
      <c r="B4847" s="6" t="s">
        <v>28659</v>
      </c>
      <c r="C4847" s="13">
        <v>1160</v>
      </c>
      <c r="D4847" s="8" t="s">
        <v>28660</v>
      </c>
      <c r="E4847" s="8" t="s">
        <v>28645</v>
      </c>
      <c r="F4847" s="8" t="s">
        <v>28655</v>
      </c>
      <c r="G4847" s="6" t="s">
        <v>89</v>
      </c>
      <c r="H4847" s="6" t="s">
        <v>53</v>
      </c>
      <c r="I4847" s="8" t="s">
        <v>100</v>
      </c>
      <c r="J4847" s="9">
        <v>1</v>
      </c>
      <c r="K4847" s="9">
        <v>250</v>
      </c>
      <c r="L4847" s="9">
        <v>2024</v>
      </c>
      <c r="M4847" s="8" t="s">
        <v>28661</v>
      </c>
      <c r="N4847" s="8" t="s">
        <v>413</v>
      </c>
      <c r="O4847" s="8" t="s">
        <v>1141</v>
      </c>
      <c r="P4847" s="6" t="s">
        <v>167</v>
      </c>
      <c r="Q4847" s="8" t="s">
        <v>102</v>
      </c>
      <c r="R4847" s="10" t="s">
        <v>28662</v>
      </c>
      <c r="S4847" s="11" t="s">
        <v>28663</v>
      </c>
      <c r="T4847" s="6"/>
      <c r="U4847" s="24" t="str">
        <f>HYPERLINK("https://media.infra-m.ru/2078/2078388/cover/2078388.jpg", "Обложка")</f>
        <v>Обложка</v>
      </c>
      <c r="V4847" s="24" t="str">
        <f>HYPERLINK("https://znanium.ru/catalog/product/2078388", "Ознакомиться")</f>
        <v>Ознакомиться</v>
      </c>
      <c r="W4847" s="8" t="s">
        <v>450</v>
      </c>
      <c r="X4847" s="6"/>
      <c r="Y4847" s="6"/>
      <c r="Z4847" s="6" t="s">
        <v>104</v>
      </c>
      <c r="AA4847" s="6" t="s">
        <v>793</v>
      </c>
      <c r="AB4847" s="8"/>
    </row>
    <row r="4848" spans="1:28" s="4" customFormat="1" ht="51.95" customHeight="1">
      <c r="A4848" s="5">
        <v>0</v>
      </c>
      <c r="B4848" s="6" t="s">
        <v>28664</v>
      </c>
      <c r="C4848" s="13">
        <v>1210</v>
      </c>
      <c r="D4848" s="8" t="s">
        <v>28665</v>
      </c>
      <c r="E4848" s="8" t="s">
        <v>28666</v>
      </c>
      <c r="F4848" s="8" t="s">
        <v>28667</v>
      </c>
      <c r="G4848" s="6" t="s">
        <v>89</v>
      </c>
      <c r="H4848" s="6" t="s">
        <v>53</v>
      </c>
      <c r="I4848" s="8" t="s">
        <v>90</v>
      </c>
      <c r="J4848" s="9">
        <v>1</v>
      </c>
      <c r="K4848" s="9">
        <v>334</v>
      </c>
      <c r="L4848" s="9">
        <v>2021</v>
      </c>
      <c r="M4848" s="8" t="s">
        <v>28668</v>
      </c>
      <c r="N4848" s="8" t="s">
        <v>413</v>
      </c>
      <c r="O4848" s="8" t="s">
        <v>1141</v>
      </c>
      <c r="P4848" s="6" t="s">
        <v>43</v>
      </c>
      <c r="Q4848" s="8" t="s">
        <v>44</v>
      </c>
      <c r="R4848" s="10" t="s">
        <v>28669</v>
      </c>
      <c r="S4848" s="11" t="s">
        <v>28670</v>
      </c>
      <c r="T4848" s="6"/>
      <c r="U4848" s="24" t="str">
        <f>HYPERLINK("https://media.infra-m.ru/1065/1065828/cover/1065828.jpg", "Обложка")</f>
        <v>Обложка</v>
      </c>
      <c r="V4848" s="24" t="str">
        <f>HYPERLINK("https://znanium.ru/catalog/product/1930696", "Ознакомиться")</f>
        <v>Ознакомиться</v>
      </c>
      <c r="W4848" s="8" t="s">
        <v>28671</v>
      </c>
      <c r="X4848" s="6"/>
      <c r="Y4848" s="6"/>
      <c r="Z4848" s="6"/>
      <c r="AA4848" s="6" t="s">
        <v>95</v>
      </c>
      <c r="AB4848" s="8"/>
    </row>
    <row r="4849" spans="1:28" s="4" customFormat="1" ht="51.95" customHeight="1">
      <c r="A4849" s="5">
        <v>0</v>
      </c>
      <c r="B4849" s="6" t="s">
        <v>28672</v>
      </c>
      <c r="C4849" s="13">
        <v>2104</v>
      </c>
      <c r="D4849" s="8" t="s">
        <v>28673</v>
      </c>
      <c r="E4849" s="8" t="s">
        <v>28674</v>
      </c>
      <c r="F4849" s="8" t="s">
        <v>28667</v>
      </c>
      <c r="G4849" s="6" t="s">
        <v>89</v>
      </c>
      <c r="H4849" s="6" t="s">
        <v>53</v>
      </c>
      <c r="I4849" s="8" t="s">
        <v>90</v>
      </c>
      <c r="J4849" s="9">
        <v>1</v>
      </c>
      <c r="K4849" s="9">
        <v>426</v>
      </c>
      <c r="L4849" s="9">
        <v>2025</v>
      </c>
      <c r="M4849" s="8" t="s">
        <v>28675</v>
      </c>
      <c r="N4849" s="8" t="s">
        <v>413</v>
      </c>
      <c r="O4849" s="8" t="s">
        <v>1141</v>
      </c>
      <c r="P4849" s="6" t="s">
        <v>43</v>
      </c>
      <c r="Q4849" s="8" t="s">
        <v>44</v>
      </c>
      <c r="R4849" s="10" t="s">
        <v>28669</v>
      </c>
      <c r="S4849" s="11" t="s">
        <v>28676</v>
      </c>
      <c r="T4849" s="6"/>
      <c r="U4849" s="24" t="str">
        <f>HYPERLINK("https://media.infra-m.ru/2188/2188746/cover/2188746.jpg", "Обложка")</f>
        <v>Обложка</v>
      </c>
      <c r="V4849" s="24" t="str">
        <f>HYPERLINK("https://znanium.ru/catalog/product/1930696", "Ознакомиться")</f>
        <v>Ознакомиться</v>
      </c>
      <c r="W4849" s="8" t="s">
        <v>28671</v>
      </c>
      <c r="X4849" s="6"/>
      <c r="Y4849" s="6"/>
      <c r="Z4849" s="6"/>
      <c r="AA4849" s="6" t="s">
        <v>2086</v>
      </c>
      <c r="AB4849" s="8"/>
    </row>
    <row r="4850" spans="1:28" s="4" customFormat="1" ht="51.95" customHeight="1">
      <c r="A4850" s="5">
        <v>0</v>
      </c>
      <c r="B4850" s="6" t="s">
        <v>28677</v>
      </c>
      <c r="C4850" s="13">
        <v>1330</v>
      </c>
      <c r="D4850" s="8" t="s">
        <v>28678</v>
      </c>
      <c r="E4850" s="8" t="s">
        <v>28666</v>
      </c>
      <c r="F4850" s="8" t="s">
        <v>28679</v>
      </c>
      <c r="G4850" s="6" t="s">
        <v>89</v>
      </c>
      <c r="H4850" s="6" t="s">
        <v>53</v>
      </c>
      <c r="I4850" s="8" t="s">
        <v>116</v>
      </c>
      <c r="J4850" s="9">
        <v>1</v>
      </c>
      <c r="K4850" s="9">
        <v>289</v>
      </c>
      <c r="L4850" s="9">
        <v>2024</v>
      </c>
      <c r="M4850" s="8" t="s">
        <v>28680</v>
      </c>
      <c r="N4850" s="8" t="s">
        <v>413</v>
      </c>
      <c r="O4850" s="8" t="s">
        <v>1141</v>
      </c>
      <c r="P4850" s="6" t="s">
        <v>43</v>
      </c>
      <c r="Q4850" s="8" t="s">
        <v>44</v>
      </c>
      <c r="R4850" s="10" t="s">
        <v>28681</v>
      </c>
      <c r="S4850" s="11" t="s">
        <v>28682</v>
      </c>
      <c r="T4850" s="6"/>
      <c r="U4850" s="24" t="str">
        <f>HYPERLINK("https://media.infra-m.ru/2053/2053975/cover/2053975.jpg", "Обложка")</f>
        <v>Обложка</v>
      </c>
      <c r="V4850" s="24" t="str">
        <f>HYPERLINK("https://znanium.ru/catalog/product/2053975", "Ознакомиться")</f>
        <v>Ознакомиться</v>
      </c>
      <c r="W4850" s="8" t="s">
        <v>189</v>
      </c>
      <c r="X4850" s="6"/>
      <c r="Y4850" s="6"/>
      <c r="Z4850" s="6"/>
      <c r="AA4850" s="6" t="s">
        <v>326</v>
      </c>
      <c r="AB4850" s="8"/>
    </row>
    <row r="4851" spans="1:28" s="4" customFormat="1" ht="51.95" customHeight="1">
      <c r="A4851" s="5">
        <v>0</v>
      </c>
      <c r="B4851" s="6" t="s">
        <v>28683</v>
      </c>
      <c r="C4851" s="7">
        <v>990</v>
      </c>
      <c r="D4851" s="8" t="s">
        <v>28684</v>
      </c>
      <c r="E4851" s="8" t="s">
        <v>28666</v>
      </c>
      <c r="F4851" s="8" t="s">
        <v>28679</v>
      </c>
      <c r="G4851" s="6" t="s">
        <v>52</v>
      </c>
      <c r="H4851" s="6" t="s">
        <v>53</v>
      </c>
      <c r="I4851" s="8" t="s">
        <v>100</v>
      </c>
      <c r="J4851" s="9">
        <v>1</v>
      </c>
      <c r="K4851" s="9">
        <v>289</v>
      </c>
      <c r="L4851" s="9">
        <v>2020</v>
      </c>
      <c r="M4851" s="8" t="s">
        <v>28685</v>
      </c>
      <c r="N4851" s="8" t="s">
        <v>413</v>
      </c>
      <c r="O4851" s="8" t="s">
        <v>1141</v>
      </c>
      <c r="P4851" s="6" t="s">
        <v>43</v>
      </c>
      <c r="Q4851" s="8" t="s">
        <v>102</v>
      </c>
      <c r="R4851" s="10" t="s">
        <v>28686</v>
      </c>
      <c r="S4851" s="11" t="s">
        <v>16067</v>
      </c>
      <c r="T4851" s="6"/>
      <c r="U4851" s="24" t="str">
        <f>HYPERLINK("https://media.infra-m.ru/1047/1047921/cover/1047921.jpg", "Обложка")</f>
        <v>Обложка</v>
      </c>
      <c r="V4851" s="24" t="str">
        <f>HYPERLINK("https://znanium.ru/catalog/product/1047921", "Ознакомиться")</f>
        <v>Ознакомиться</v>
      </c>
      <c r="W4851" s="8" t="s">
        <v>189</v>
      </c>
      <c r="X4851" s="6"/>
      <c r="Y4851" s="6"/>
      <c r="Z4851" s="6" t="s">
        <v>104</v>
      </c>
      <c r="AA4851" s="6" t="s">
        <v>1259</v>
      </c>
      <c r="AB4851" s="8"/>
    </row>
    <row r="4852" spans="1:28" s="4" customFormat="1" ht="42" customHeight="1">
      <c r="A4852" s="5">
        <v>0</v>
      </c>
      <c r="B4852" s="6" t="s">
        <v>28687</v>
      </c>
      <c r="C4852" s="13">
        <v>1810</v>
      </c>
      <c r="D4852" s="8" t="s">
        <v>28688</v>
      </c>
      <c r="E4852" s="8" t="s">
        <v>28689</v>
      </c>
      <c r="F4852" s="8" t="s">
        <v>15549</v>
      </c>
      <c r="G4852" s="6" t="s">
        <v>52</v>
      </c>
      <c r="H4852" s="6" t="s">
        <v>53</v>
      </c>
      <c r="I4852" s="8" t="s">
        <v>116</v>
      </c>
      <c r="J4852" s="9">
        <v>1</v>
      </c>
      <c r="K4852" s="9">
        <v>385</v>
      </c>
      <c r="L4852" s="9">
        <v>2023</v>
      </c>
      <c r="M4852" s="8" t="s">
        <v>28690</v>
      </c>
      <c r="N4852" s="8" t="s">
        <v>413</v>
      </c>
      <c r="O4852" s="8" t="s">
        <v>1141</v>
      </c>
      <c r="P4852" s="6" t="s">
        <v>43</v>
      </c>
      <c r="Q4852" s="8" t="s">
        <v>44</v>
      </c>
      <c r="R4852" s="10" t="s">
        <v>28691</v>
      </c>
      <c r="S4852" s="11"/>
      <c r="T4852" s="6"/>
      <c r="U4852" s="24" t="str">
        <f>HYPERLINK("https://media.infra-m.ru/1842/1842523/cover/1842523.jpg", "Обложка")</f>
        <v>Обложка</v>
      </c>
      <c r="V4852" s="24" t="str">
        <f>HYPERLINK("https://znanium.ru/catalog/product/1842523", "Ознакомиться")</f>
        <v>Ознакомиться</v>
      </c>
      <c r="W4852" s="8" t="s">
        <v>206</v>
      </c>
      <c r="X4852" s="6"/>
      <c r="Y4852" s="6"/>
      <c r="Z4852" s="6"/>
      <c r="AA4852" s="6" t="s">
        <v>207</v>
      </c>
      <c r="AB4852" s="8"/>
    </row>
    <row r="4853" spans="1:28" s="4" customFormat="1" ht="51.95" customHeight="1">
      <c r="A4853" s="5">
        <v>0</v>
      </c>
      <c r="B4853" s="6" t="s">
        <v>28692</v>
      </c>
      <c r="C4853" s="13">
        <v>1500</v>
      </c>
      <c r="D4853" s="8" t="s">
        <v>28693</v>
      </c>
      <c r="E4853" s="8" t="s">
        <v>28694</v>
      </c>
      <c r="F4853" s="8" t="s">
        <v>28695</v>
      </c>
      <c r="G4853" s="6" t="s">
        <v>89</v>
      </c>
      <c r="H4853" s="6" t="s">
        <v>53</v>
      </c>
      <c r="I4853" s="8" t="s">
        <v>116</v>
      </c>
      <c r="J4853" s="9">
        <v>1</v>
      </c>
      <c r="K4853" s="9">
        <v>299</v>
      </c>
      <c r="L4853" s="9">
        <v>2025</v>
      </c>
      <c r="M4853" s="8" t="s">
        <v>28696</v>
      </c>
      <c r="N4853" s="8" t="s">
        <v>413</v>
      </c>
      <c r="O4853" s="8" t="s">
        <v>1141</v>
      </c>
      <c r="P4853" s="6" t="s">
        <v>43</v>
      </c>
      <c r="Q4853" s="8" t="s">
        <v>44</v>
      </c>
      <c r="R4853" s="10" t="s">
        <v>28697</v>
      </c>
      <c r="S4853" s="11" t="s">
        <v>4905</v>
      </c>
      <c r="T4853" s="6"/>
      <c r="U4853" s="24" t="str">
        <f>HYPERLINK("https://media.infra-m.ru/2171/2171400/cover/2171400.jpg", "Обложка")</f>
        <v>Обложка</v>
      </c>
      <c r="V4853" s="24" t="str">
        <f>HYPERLINK("https://znanium.ru/catalog/product/2171400", "Ознакомиться")</f>
        <v>Ознакомиться</v>
      </c>
      <c r="W4853" s="8" t="s">
        <v>521</v>
      </c>
      <c r="X4853" s="6"/>
      <c r="Y4853" s="6"/>
      <c r="Z4853" s="6"/>
      <c r="AA4853" s="6" t="s">
        <v>418</v>
      </c>
      <c r="AB4853" s="8"/>
    </row>
    <row r="4854" spans="1:28" s="4" customFormat="1" ht="51.95" customHeight="1">
      <c r="A4854" s="5">
        <v>0</v>
      </c>
      <c r="B4854" s="6" t="s">
        <v>28698</v>
      </c>
      <c r="C4854" s="13">
        <v>1994</v>
      </c>
      <c r="D4854" s="8" t="s">
        <v>28699</v>
      </c>
      <c r="E4854" s="8" t="s">
        <v>28700</v>
      </c>
      <c r="F4854" s="8" t="s">
        <v>28701</v>
      </c>
      <c r="G4854" s="6" t="s">
        <v>52</v>
      </c>
      <c r="H4854" s="6" t="s">
        <v>438</v>
      </c>
      <c r="I4854" s="8" t="s">
        <v>28702</v>
      </c>
      <c r="J4854" s="9">
        <v>1</v>
      </c>
      <c r="K4854" s="9">
        <v>496</v>
      </c>
      <c r="L4854" s="9">
        <v>2023</v>
      </c>
      <c r="M4854" s="8" t="s">
        <v>28703</v>
      </c>
      <c r="N4854" s="8" t="s">
        <v>413</v>
      </c>
      <c r="O4854" s="8" t="s">
        <v>1141</v>
      </c>
      <c r="P4854" s="6" t="s">
        <v>43</v>
      </c>
      <c r="Q4854" s="8" t="s">
        <v>58</v>
      </c>
      <c r="R4854" s="10" t="s">
        <v>28704</v>
      </c>
      <c r="S4854" s="11" t="s">
        <v>28705</v>
      </c>
      <c r="T4854" s="6"/>
      <c r="U4854" s="24" t="str">
        <f>HYPERLINK("https://media.infra-m.ru/1976/1976202/cover/1976202.jpg", "Обложка")</f>
        <v>Обложка</v>
      </c>
      <c r="V4854" s="24" t="str">
        <f>HYPERLINK("https://znanium.ru/catalog/product/1036516", "Ознакомиться")</f>
        <v>Ознакомиться</v>
      </c>
      <c r="W4854" s="8" t="s">
        <v>4433</v>
      </c>
      <c r="X4854" s="6"/>
      <c r="Y4854" s="6"/>
      <c r="Z4854" s="6"/>
      <c r="AA4854" s="6" t="s">
        <v>418</v>
      </c>
      <c r="AB4854" s="8"/>
    </row>
    <row r="4855" spans="1:28" s="4" customFormat="1" ht="51.95" customHeight="1">
      <c r="A4855" s="5">
        <v>0</v>
      </c>
      <c r="B4855" s="6" t="s">
        <v>28706</v>
      </c>
      <c r="C4855" s="13">
        <v>1840</v>
      </c>
      <c r="D4855" s="8" t="s">
        <v>28707</v>
      </c>
      <c r="E4855" s="8" t="s">
        <v>28708</v>
      </c>
      <c r="F4855" s="8" t="s">
        <v>12970</v>
      </c>
      <c r="G4855" s="6" t="s">
        <v>89</v>
      </c>
      <c r="H4855" s="6" t="s">
        <v>53</v>
      </c>
      <c r="I4855" s="8" t="s">
        <v>165</v>
      </c>
      <c r="J4855" s="9">
        <v>1</v>
      </c>
      <c r="K4855" s="9">
        <v>385</v>
      </c>
      <c r="L4855" s="9">
        <v>2024</v>
      </c>
      <c r="M4855" s="8" t="s">
        <v>28709</v>
      </c>
      <c r="N4855" s="8" t="s">
        <v>413</v>
      </c>
      <c r="O4855" s="8" t="s">
        <v>1141</v>
      </c>
      <c r="P4855" s="6" t="s">
        <v>43</v>
      </c>
      <c r="Q4855" s="8" t="s">
        <v>58</v>
      </c>
      <c r="R4855" s="10" t="s">
        <v>28710</v>
      </c>
      <c r="S4855" s="11"/>
      <c r="T4855" s="6"/>
      <c r="U4855" s="24" t="str">
        <f>HYPERLINK("https://media.infra-m.ru/2141/2141608/cover/2141608.jpg", "Обложка")</f>
        <v>Обложка</v>
      </c>
      <c r="V4855" s="24" t="str">
        <f>HYPERLINK("https://znanium.ru/catalog/product/2141608", "Ознакомиться")</f>
        <v>Ознакомиться</v>
      </c>
      <c r="W4855" s="8" t="s">
        <v>83</v>
      </c>
      <c r="X4855" s="6"/>
      <c r="Y4855" s="6"/>
      <c r="Z4855" s="6"/>
      <c r="AA4855" s="6" t="s">
        <v>133</v>
      </c>
      <c r="AB4855" s="8"/>
    </row>
    <row r="4856" spans="1:28" s="4" customFormat="1" ht="42" customHeight="1">
      <c r="A4856" s="5">
        <v>0</v>
      </c>
      <c r="B4856" s="6" t="s">
        <v>28711</v>
      </c>
      <c r="C4856" s="7">
        <v>914</v>
      </c>
      <c r="D4856" s="8" t="s">
        <v>28712</v>
      </c>
      <c r="E4856" s="8" t="s">
        <v>28713</v>
      </c>
      <c r="F4856" s="8" t="s">
        <v>28714</v>
      </c>
      <c r="G4856" s="6" t="s">
        <v>38</v>
      </c>
      <c r="H4856" s="6" t="s">
        <v>53</v>
      </c>
      <c r="I4856" s="8" t="s">
        <v>90</v>
      </c>
      <c r="J4856" s="9">
        <v>1</v>
      </c>
      <c r="K4856" s="9">
        <v>175</v>
      </c>
      <c r="L4856" s="9">
        <v>2025</v>
      </c>
      <c r="M4856" s="8" t="s">
        <v>28715</v>
      </c>
      <c r="N4856" s="8" t="s">
        <v>413</v>
      </c>
      <c r="O4856" s="8" t="s">
        <v>1141</v>
      </c>
      <c r="P4856" s="6" t="s">
        <v>167</v>
      </c>
      <c r="Q4856" s="8" t="s">
        <v>44</v>
      </c>
      <c r="R4856" s="10" t="s">
        <v>13066</v>
      </c>
      <c r="S4856" s="11"/>
      <c r="T4856" s="6"/>
      <c r="U4856" s="24" t="str">
        <f>HYPERLINK("https://media.infra-m.ru/2192/2192259/cover/2192259.jpg", "Обложка")</f>
        <v>Обложка</v>
      </c>
      <c r="V4856" s="24" t="str">
        <f>HYPERLINK("https://znanium.ru/catalog/product/1844322", "Ознакомиться")</f>
        <v>Ознакомиться</v>
      </c>
      <c r="W4856" s="8" t="s">
        <v>1544</v>
      </c>
      <c r="X4856" s="6"/>
      <c r="Y4856" s="6"/>
      <c r="Z4856" s="6"/>
      <c r="AA4856" s="6" t="s">
        <v>47</v>
      </c>
      <c r="AB4856" s="8"/>
    </row>
    <row r="4857" spans="1:28" s="4" customFormat="1" ht="44.1" customHeight="1">
      <c r="A4857" s="5">
        <v>0</v>
      </c>
      <c r="B4857" s="6" t="s">
        <v>28716</v>
      </c>
      <c r="C4857" s="7">
        <v>754.9</v>
      </c>
      <c r="D4857" s="8" t="s">
        <v>28717</v>
      </c>
      <c r="E4857" s="8" t="s">
        <v>28713</v>
      </c>
      <c r="F4857" s="8" t="s">
        <v>28718</v>
      </c>
      <c r="G4857" s="6" t="s">
        <v>52</v>
      </c>
      <c r="H4857" s="6" t="s">
        <v>66</v>
      </c>
      <c r="I4857" s="8" t="s">
        <v>116</v>
      </c>
      <c r="J4857" s="9">
        <v>1</v>
      </c>
      <c r="K4857" s="9">
        <v>236</v>
      </c>
      <c r="L4857" s="9">
        <v>2019</v>
      </c>
      <c r="M4857" s="8" t="s">
        <v>28719</v>
      </c>
      <c r="N4857" s="8" t="s">
        <v>413</v>
      </c>
      <c r="O4857" s="8" t="s">
        <v>1141</v>
      </c>
      <c r="P4857" s="6" t="s">
        <v>43</v>
      </c>
      <c r="Q4857" s="8" t="s">
        <v>44</v>
      </c>
      <c r="R4857" s="10" t="s">
        <v>28669</v>
      </c>
      <c r="S4857" s="11"/>
      <c r="T4857" s="6" t="s">
        <v>299</v>
      </c>
      <c r="U4857" s="24" t="str">
        <f>HYPERLINK("https://media.infra-m.ru/1002/1002617/cover/1002617.jpg", "Обложка")</f>
        <v>Обложка</v>
      </c>
      <c r="V4857" s="24" t="str">
        <f>HYPERLINK("https://znanium.ru/catalog/product/1930696", "Ознакомиться")</f>
        <v>Ознакомиться</v>
      </c>
      <c r="W4857" s="8" t="s">
        <v>28671</v>
      </c>
      <c r="X4857" s="6"/>
      <c r="Y4857" s="6"/>
      <c r="Z4857" s="6"/>
      <c r="AA4857" s="6" t="s">
        <v>122</v>
      </c>
      <c r="AB4857" s="8"/>
    </row>
    <row r="4858" spans="1:28" s="4" customFormat="1" ht="51.95" customHeight="1">
      <c r="A4858" s="5">
        <v>0</v>
      </c>
      <c r="B4858" s="6" t="s">
        <v>28720</v>
      </c>
      <c r="C4858" s="13">
        <v>2100</v>
      </c>
      <c r="D4858" s="8" t="s">
        <v>28721</v>
      </c>
      <c r="E4858" s="8" t="s">
        <v>28722</v>
      </c>
      <c r="F4858" s="8" t="s">
        <v>28723</v>
      </c>
      <c r="G4858" s="6" t="s">
        <v>89</v>
      </c>
      <c r="H4858" s="6" t="s">
        <v>53</v>
      </c>
      <c r="I4858" s="8" t="s">
        <v>116</v>
      </c>
      <c r="J4858" s="9">
        <v>1</v>
      </c>
      <c r="K4858" s="9">
        <v>403</v>
      </c>
      <c r="L4858" s="9">
        <v>2025</v>
      </c>
      <c r="M4858" s="8" t="s">
        <v>28724</v>
      </c>
      <c r="N4858" s="8" t="s">
        <v>413</v>
      </c>
      <c r="O4858" s="8" t="s">
        <v>1528</v>
      </c>
      <c r="P4858" s="6" t="s">
        <v>43</v>
      </c>
      <c r="Q4858" s="8" t="s">
        <v>58</v>
      </c>
      <c r="R4858" s="10" t="s">
        <v>20586</v>
      </c>
      <c r="S4858" s="11" t="s">
        <v>28725</v>
      </c>
      <c r="T4858" s="6"/>
      <c r="U4858" s="24" t="str">
        <f>HYPERLINK("https://media.infra-m.ru/2132/2132241/cover/2132241.jpg", "Обложка")</f>
        <v>Обложка</v>
      </c>
      <c r="V4858" s="24" t="str">
        <f>HYPERLINK("https://znanium.ru/catalog/product/2132241", "Ознакомиться")</f>
        <v>Ознакомиться</v>
      </c>
      <c r="W4858" s="8" t="s">
        <v>399</v>
      </c>
      <c r="X4858" s="6" t="s">
        <v>60</v>
      </c>
      <c r="Y4858" s="6"/>
      <c r="Z4858" s="6"/>
      <c r="AA4858" s="6" t="s">
        <v>818</v>
      </c>
      <c r="AB4858" s="8"/>
    </row>
    <row r="4859" spans="1:28" s="4" customFormat="1" ht="51.95" customHeight="1">
      <c r="A4859" s="5">
        <v>0</v>
      </c>
      <c r="B4859" s="6" t="s">
        <v>28726</v>
      </c>
      <c r="C4859" s="13">
        <v>1764</v>
      </c>
      <c r="D4859" s="8" t="s">
        <v>28727</v>
      </c>
      <c r="E4859" s="8" t="s">
        <v>28728</v>
      </c>
      <c r="F4859" s="8" t="s">
        <v>28723</v>
      </c>
      <c r="G4859" s="6" t="s">
        <v>52</v>
      </c>
      <c r="H4859" s="6" t="s">
        <v>39</v>
      </c>
      <c r="I4859" s="8" t="s">
        <v>116</v>
      </c>
      <c r="J4859" s="9">
        <v>1</v>
      </c>
      <c r="K4859" s="9">
        <v>384</v>
      </c>
      <c r="L4859" s="9">
        <v>2024</v>
      </c>
      <c r="M4859" s="8" t="s">
        <v>28729</v>
      </c>
      <c r="N4859" s="8" t="s">
        <v>413</v>
      </c>
      <c r="O4859" s="8" t="s">
        <v>1528</v>
      </c>
      <c r="P4859" s="6" t="s">
        <v>43</v>
      </c>
      <c r="Q4859" s="8" t="s">
        <v>44</v>
      </c>
      <c r="R4859" s="10" t="s">
        <v>20586</v>
      </c>
      <c r="S4859" s="11" t="s">
        <v>28730</v>
      </c>
      <c r="T4859" s="6"/>
      <c r="U4859" s="24" t="str">
        <f>HYPERLINK("https://media.infra-m.ru/2119/2119932/cover/2119932.jpg", "Обложка")</f>
        <v>Обложка</v>
      </c>
      <c r="V4859" s="24" t="str">
        <f>HYPERLINK("https://znanium.ru/catalog/product/2132241", "Ознакомиться")</f>
        <v>Ознакомиться</v>
      </c>
      <c r="W4859" s="8" t="s">
        <v>399</v>
      </c>
      <c r="X4859" s="6"/>
      <c r="Y4859" s="6"/>
      <c r="Z4859" s="6"/>
      <c r="AA4859" s="6" t="s">
        <v>494</v>
      </c>
      <c r="AB4859" s="8"/>
    </row>
    <row r="4860" spans="1:28" s="4" customFormat="1" ht="51.95" customHeight="1">
      <c r="A4860" s="5">
        <v>0</v>
      </c>
      <c r="B4860" s="6" t="s">
        <v>28731</v>
      </c>
      <c r="C4860" s="13">
        <v>1180</v>
      </c>
      <c r="D4860" s="8" t="s">
        <v>28732</v>
      </c>
      <c r="E4860" s="8" t="s">
        <v>28733</v>
      </c>
      <c r="F4860" s="8" t="s">
        <v>28734</v>
      </c>
      <c r="G4860" s="6" t="s">
        <v>89</v>
      </c>
      <c r="H4860" s="6" t="s">
        <v>53</v>
      </c>
      <c r="I4860" s="8" t="s">
        <v>90</v>
      </c>
      <c r="J4860" s="9">
        <v>1</v>
      </c>
      <c r="K4860" s="9">
        <v>262</v>
      </c>
      <c r="L4860" s="9">
        <v>2023</v>
      </c>
      <c r="M4860" s="8" t="s">
        <v>28735</v>
      </c>
      <c r="N4860" s="8" t="s">
        <v>413</v>
      </c>
      <c r="O4860" s="8" t="s">
        <v>414</v>
      </c>
      <c r="P4860" s="6" t="s">
        <v>167</v>
      </c>
      <c r="Q4860" s="8" t="s">
        <v>44</v>
      </c>
      <c r="R4860" s="10" t="s">
        <v>28736</v>
      </c>
      <c r="S4860" s="11" t="s">
        <v>28737</v>
      </c>
      <c r="T4860" s="6"/>
      <c r="U4860" s="24" t="str">
        <f>HYPERLINK("https://media.infra-m.ru/1914/1914107/cover/1914107.jpg", "Обложка")</f>
        <v>Обложка</v>
      </c>
      <c r="V4860" s="24" t="str">
        <f>HYPERLINK("https://znanium.ru/catalog/product/1914107", "Ознакомиться")</f>
        <v>Ознакомиться</v>
      </c>
      <c r="W4860" s="8" t="s">
        <v>399</v>
      </c>
      <c r="X4860" s="6"/>
      <c r="Y4860" s="6"/>
      <c r="Z4860" s="6"/>
      <c r="AA4860" s="6" t="s">
        <v>111</v>
      </c>
      <c r="AB4860" s="8"/>
    </row>
    <row r="4861" spans="1:28" s="4" customFormat="1" ht="51.95" customHeight="1">
      <c r="A4861" s="5">
        <v>0</v>
      </c>
      <c r="B4861" s="6" t="s">
        <v>28738</v>
      </c>
      <c r="C4861" s="13">
        <v>1470</v>
      </c>
      <c r="D4861" s="8" t="s">
        <v>28739</v>
      </c>
      <c r="E4861" s="8" t="s">
        <v>28733</v>
      </c>
      <c r="F4861" s="8" t="s">
        <v>2927</v>
      </c>
      <c r="G4861" s="6" t="s">
        <v>52</v>
      </c>
      <c r="H4861" s="6" t="s">
        <v>53</v>
      </c>
      <c r="I4861" s="8" t="s">
        <v>712</v>
      </c>
      <c r="J4861" s="9">
        <v>1</v>
      </c>
      <c r="K4861" s="9">
        <v>318</v>
      </c>
      <c r="L4861" s="9">
        <v>2024</v>
      </c>
      <c r="M4861" s="8" t="s">
        <v>28740</v>
      </c>
      <c r="N4861" s="8" t="s">
        <v>413</v>
      </c>
      <c r="O4861" s="8" t="s">
        <v>1528</v>
      </c>
      <c r="P4861" s="6" t="s">
        <v>43</v>
      </c>
      <c r="Q4861" s="8" t="s">
        <v>58</v>
      </c>
      <c r="R4861" s="10" t="s">
        <v>28741</v>
      </c>
      <c r="S4861" s="11" t="s">
        <v>28742</v>
      </c>
      <c r="T4861" s="6"/>
      <c r="U4861" s="24" t="str">
        <f>HYPERLINK("https://media.infra-m.ru/2091/2091439/cover/2091439.jpg", "Обложка")</f>
        <v>Обложка</v>
      </c>
      <c r="V4861" s="24" t="str">
        <f>HYPERLINK("https://znanium.ru/catalog/product/2091439", "Ознакомиться")</f>
        <v>Ознакомиться</v>
      </c>
      <c r="W4861" s="8" t="s">
        <v>716</v>
      </c>
      <c r="X4861" s="6"/>
      <c r="Y4861" s="6"/>
      <c r="Z4861" s="6"/>
      <c r="AA4861" s="6" t="s">
        <v>133</v>
      </c>
      <c r="AB4861" s="8"/>
    </row>
    <row r="4862" spans="1:28" s="4" customFormat="1" ht="51.95" customHeight="1">
      <c r="A4862" s="5">
        <v>0</v>
      </c>
      <c r="B4862" s="6" t="s">
        <v>28743</v>
      </c>
      <c r="C4862" s="13">
        <v>1120</v>
      </c>
      <c r="D4862" s="8" t="s">
        <v>28744</v>
      </c>
      <c r="E4862" s="8" t="s">
        <v>28745</v>
      </c>
      <c r="F4862" s="8" t="s">
        <v>28746</v>
      </c>
      <c r="G4862" s="6" t="s">
        <v>89</v>
      </c>
      <c r="H4862" s="6" t="s">
        <v>184</v>
      </c>
      <c r="I4862" s="8"/>
      <c r="J4862" s="9">
        <v>1</v>
      </c>
      <c r="K4862" s="9">
        <v>242</v>
      </c>
      <c r="L4862" s="9">
        <v>2023</v>
      </c>
      <c r="M4862" s="8" t="s">
        <v>28747</v>
      </c>
      <c r="N4862" s="8" t="s">
        <v>41</v>
      </c>
      <c r="O4862" s="8" t="s">
        <v>676</v>
      </c>
      <c r="P4862" s="6" t="s">
        <v>43</v>
      </c>
      <c r="Q4862" s="8" t="s">
        <v>44</v>
      </c>
      <c r="R4862" s="10" t="s">
        <v>28748</v>
      </c>
      <c r="S4862" s="11" t="s">
        <v>28749</v>
      </c>
      <c r="T4862" s="6" t="s">
        <v>299</v>
      </c>
      <c r="U4862" s="24" t="str">
        <f>HYPERLINK("https://media.infra-m.ru/2129/2129599/cover/2129599.jpg", "Обложка")</f>
        <v>Обложка</v>
      </c>
      <c r="V4862" s="24" t="str">
        <f>HYPERLINK("https://znanium.ru/catalog/product/2129599", "Ознакомиться")</f>
        <v>Ознакомиться</v>
      </c>
      <c r="W4862" s="8" t="s">
        <v>913</v>
      </c>
      <c r="X4862" s="6"/>
      <c r="Y4862" s="6"/>
      <c r="Z4862" s="6"/>
      <c r="AA4862" s="6" t="s">
        <v>701</v>
      </c>
      <c r="AB4862" s="8"/>
    </row>
    <row r="4863" spans="1:28" s="4" customFormat="1" ht="51.95" customHeight="1">
      <c r="A4863" s="5">
        <v>0</v>
      </c>
      <c r="B4863" s="6" t="s">
        <v>28750</v>
      </c>
      <c r="C4863" s="13">
        <v>1394</v>
      </c>
      <c r="D4863" s="8" t="s">
        <v>28751</v>
      </c>
      <c r="E4863" s="8" t="s">
        <v>28752</v>
      </c>
      <c r="F4863" s="8" t="s">
        <v>9655</v>
      </c>
      <c r="G4863" s="6" t="s">
        <v>52</v>
      </c>
      <c r="H4863" s="6" t="s">
        <v>1094</v>
      </c>
      <c r="I4863" s="8"/>
      <c r="J4863" s="9">
        <v>1</v>
      </c>
      <c r="K4863" s="9">
        <v>304</v>
      </c>
      <c r="L4863" s="9">
        <v>2024</v>
      </c>
      <c r="M4863" s="8" t="s">
        <v>28753</v>
      </c>
      <c r="N4863" s="8" t="s">
        <v>41</v>
      </c>
      <c r="O4863" s="8" t="s">
        <v>676</v>
      </c>
      <c r="P4863" s="6" t="s">
        <v>43</v>
      </c>
      <c r="Q4863" s="8" t="s">
        <v>58</v>
      </c>
      <c r="R4863" s="10" t="s">
        <v>28754</v>
      </c>
      <c r="S4863" s="11"/>
      <c r="T4863" s="6"/>
      <c r="U4863" s="24" t="str">
        <f>HYPERLINK("https://media.infra-m.ru/2121/2121165/cover/2121165.jpg", "Обложка")</f>
        <v>Обложка</v>
      </c>
      <c r="V4863" s="24" t="str">
        <f>HYPERLINK("https://znanium.ru/catalog/product/2124764", "Ознакомиться")</f>
        <v>Ознакомиться</v>
      </c>
      <c r="W4863" s="8" t="s">
        <v>7139</v>
      </c>
      <c r="X4863" s="6"/>
      <c r="Y4863" s="6"/>
      <c r="Z4863" s="6"/>
      <c r="AA4863" s="6" t="s">
        <v>2001</v>
      </c>
      <c r="AB4863" s="8"/>
    </row>
    <row r="4864" spans="1:28" s="4" customFormat="1" ht="51.95" customHeight="1">
      <c r="A4864" s="5">
        <v>0</v>
      </c>
      <c r="B4864" s="6" t="s">
        <v>28755</v>
      </c>
      <c r="C4864" s="13">
        <v>1064</v>
      </c>
      <c r="D4864" s="8" t="s">
        <v>28756</v>
      </c>
      <c r="E4864" s="8" t="s">
        <v>28757</v>
      </c>
      <c r="F4864" s="8" t="s">
        <v>28758</v>
      </c>
      <c r="G4864" s="6" t="s">
        <v>52</v>
      </c>
      <c r="H4864" s="6" t="s">
        <v>184</v>
      </c>
      <c r="I4864" s="8" t="s">
        <v>90</v>
      </c>
      <c r="J4864" s="9">
        <v>1</v>
      </c>
      <c r="K4864" s="9">
        <v>213</v>
      </c>
      <c r="L4864" s="9">
        <v>2024</v>
      </c>
      <c r="M4864" s="8" t="s">
        <v>28759</v>
      </c>
      <c r="N4864" s="8" t="s">
        <v>41</v>
      </c>
      <c r="O4864" s="8" t="s">
        <v>676</v>
      </c>
      <c r="P4864" s="6" t="s">
        <v>43</v>
      </c>
      <c r="Q4864" s="8" t="s">
        <v>44</v>
      </c>
      <c r="R4864" s="10" t="s">
        <v>28760</v>
      </c>
      <c r="S4864" s="11" t="s">
        <v>28761</v>
      </c>
      <c r="T4864" s="6"/>
      <c r="U4864" s="24" t="str">
        <f>HYPERLINK("https://media.infra-m.ru/2102/2102706/cover/2102706.jpg", "Обложка")</f>
        <v>Обложка</v>
      </c>
      <c r="V4864" s="24" t="str">
        <f>HYPERLINK("https://znanium.ru/catalog/product/2102706", "Ознакомиться")</f>
        <v>Ознакомиться</v>
      </c>
      <c r="W4864" s="8" t="s">
        <v>678</v>
      </c>
      <c r="X4864" s="6"/>
      <c r="Y4864" s="6"/>
      <c r="Z4864" s="6"/>
      <c r="AA4864" s="6" t="s">
        <v>644</v>
      </c>
      <c r="AB4864" s="8"/>
    </row>
    <row r="4865" spans="1:28" s="4" customFormat="1" ht="51.95" customHeight="1">
      <c r="A4865" s="5">
        <v>0</v>
      </c>
      <c r="B4865" s="6" t="s">
        <v>28762</v>
      </c>
      <c r="C4865" s="7">
        <v>984</v>
      </c>
      <c r="D4865" s="8" t="s">
        <v>28763</v>
      </c>
      <c r="E4865" s="8" t="s">
        <v>28764</v>
      </c>
      <c r="F4865" s="8" t="s">
        <v>28765</v>
      </c>
      <c r="G4865" s="6" t="s">
        <v>89</v>
      </c>
      <c r="H4865" s="6" t="s">
        <v>184</v>
      </c>
      <c r="I4865" s="8" t="s">
        <v>90</v>
      </c>
      <c r="J4865" s="9">
        <v>1</v>
      </c>
      <c r="K4865" s="9">
        <v>195</v>
      </c>
      <c r="L4865" s="9">
        <v>2025</v>
      </c>
      <c r="M4865" s="8" t="s">
        <v>28766</v>
      </c>
      <c r="N4865" s="8" t="s">
        <v>41</v>
      </c>
      <c r="O4865" s="8" t="s">
        <v>676</v>
      </c>
      <c r="P4865" s="6" t="s">
        <v>43</v>
      </c>
      <c r="Q4865" s="8" t="s">
        <v>44</v>
      </c>
      <c r="R4865" s="10" t="s">
        <v>13621</v>
      </c>
      <c r="S4865" s="11" t="s">
        <v>28767</v>
      </c>
      <c r="T4865" s="6"/>
      <c r="U4865" s="24" t="str">
        <f>HYPERLINK("https://media.infra-m.ru/2187/2187069/cover/2187069.jpg", "Обложка")</f>
        <v>Обложка</v>
      </c>
      <c r="V4865" s="24" t="str">
        <f>HYPERLINK("https://znanium.ru/catalog/product/1902915", "Ознакомиться")</f>
        <v>Ознакомиться</v>
      </c>
      <c r="W4865" s="8" t="s">
        <v>8824</v>
      </c>
      <c r="X4865" s="6"/>
      <c r="Y4865" s="6"/>
      <c r="Z4865" s="6"/>
      <c r="AA4865" s="6" t="s">
        <v>418</v>
      </c>
      <c r="AB4865" s="8"/>
    </row>
    <row r="4866" spans="1:28" s="4" customFormat="1" ht="51.95" customHeight="1">
      <c r="A4866" s="5">
        <v>0</v>
      </c>
      <c r="B4866" s="6" t="s">
        <v>28768</v>
      </c>
      <c r="C4866" s="13">
        <v>2880</v>
      </c>
      <c r="D4866" s="8" t="s">
        <v>28769</v>
      </c>
      <c r="E4866" s="8" t="s">
        <v>28770</v>
      </c>
      <c r="F4866" s="8" t="s">
        <v>8975</v>
      </c>
      <c r="G4866" s="6" t="s">
        <v>52</v>
      </c>
      <c r="H4866" s="6" t="s">
        <v>184</v>
      </c>
      <c r="I4866" s="8" t="s">
        <v>116</v>
      </c>
      <c r="J4866" s="9">
        <v>1</v>
      </c>
      <c r="K4866" s="9">
        <v>578</v>
      </c>
      <c r="L4866" s="9">
        <v>2025</v>
      </c>
      <c r="M4866" s="8" t="s">
        <v>28771</v>
      </c>
      <c r="N4866" s="8" t="s">
        <v>41</v>
      </c>
      <c r="O4866" s="8" t="s">
        <v>676</v>
      </c>
      <c r="P4866" s="6" t="s">
        <v>167</v>
      </c>
      <c r="Q4866" s="8" t="s">
        <v>44</v>
      </c>
      <c r="R4866" s="10" t="s">
        <v>28760</v>
      </c>
      <c r="S4866" s="11"/>
      <c r="T4866" s="6"/>
      <c r="U4866" s="24" t="str">
        <f>HYPERLINK("https://media.infra-m.ru/2170/2170107/cover/2170107.jpg", "Обложка")</f>
        <v>Обложка</v>
      </c>
      <c r="V4866" s="24" t="str">
        <f>HYPERLINK("https://znanium.ru/catalog/product/2170107", "Ознакомиться")</f>
        <v>Ознакомиться</v>
      </c>
      <c r="W4866" s="8" t="s">
        <v>1313</v>
      </c>
      <c r="X4866" s="6"/>
      <c r="Y4866" s="6"/>
      <c r="Z4866" s="6"/>
      <c r="AA4866" s="6" t="s">
        <v>95</v>
      </c>
      <c r="AB4866" s="8"/>
    </row>
    <row r="4867" spans="1:28" s="4" customFormat="1" ht="51.95" customHeight="1">
      <c r="A4867" s="5">
        <v>0</v>
      </c>
      <c r="B4867" s="6" t="s">
        <v>28772</v>
      </c>
      <c r="C4867" s="13">
        <v>1894.9</v>
      </c>
      <c r="D4867" s="8" t="s">
        <v>28773</v>
      </c>
      <c r="E4867" s="8" t="s">
        <v>28774</v>
      </c>
      <c r="F4867" s="8" t="s">
        <v>8975</v>
      </c>
      <c r="G4867" s="6" t="s">
        <v>52</v>
      </c>
      <c r="H4867" s="6" t="s">
        <v>28775</v>
      </c>
      <c r="I4867" s="8"/>
      <c r="J4867" s="9">
        <v>1</v>
      </c>
      <c r="K4867" s="9">
        <v>560</v>
      </c>
      <c r="L4867" s="9">
        <v>2021</v>
      </c>
      <c r="M4867" s="8" t="s">
        <v>28776</v>
      </c>
      <c r="N4867" s="8" t="s">
        <v>41</v>
      </c>
      <c r="O4867" s="8" t="s">
        <v>676</v>
      </c>
      <c r="P4867" s="6" t="s">
        <v>167</v>
      </c>
      <c r="Q4867" s="8" t="s">
        <v>44</v>
      </c>
      <c r="R4867" s="10" t="s">
        <v>28760</v>
      </c>
      <c r="S4867" s="11"/>
      <c r="T4867" s="6"/>
      <c r="U4867" s="24" t="str">
        <f>HYPERLINK("https://media.infra-m.ru/1852/1852244/cover/1852244.jpg", "Обложка")</f>
        <v>Обложка</v>
      </c>
      <c r="V4867" s="24" t="str">
        <f>HYPERLINK("https://znanium.ru/catalog/product/2170107", "Ознакомиться")</f>
        <v>Ознакомиться</v>
      </c>
      <c r="W4867" s="8" t="s">
        <v>1313</v>
      </c>
      <c r="X4867" s="6"/>
      <c r="Y4867" s="6"/>
      <c r="Z4867" s="6"/>
      <c r="AA4867" s="6" t="s">
        <v>111</v>
      </c>
      <c r="AB4867" s="8"/>
    </row>
    <row r="4868" spans="1:28" s="4" customFormat="1" ht="51.95" customHeight="1">
      <c r="A4868" s="5">
        <v>0</v>
      </c>
      <c r="B4868" s="6" t="s">
        <v>28777</v>
      </c>
      <c r="C4868" s="13">
        <v>2500</v>
      </c>
      <c r="D4868" s="8" t="s">
        <v>28778</v>
      </c>
      <c r="E4868" s="8" t="s">
        <v>28779</v>
      </c>
      <c r="F4868" s="8" t="s">
        <v>5534</v>
      </c>
      <c r="G4868" s="6" t="s">
        <v>52</v>
      </c>
      <c r="H4868" s="6" t="s">
        <v>674</v>
      </c>
      <c r="I4868" s="8"/>
      <c r="J4868" s="9">
        <v>1</v>
      </c>
      <c r="K4868" s="9">
        <v>544</v>
      </c>
      <c r="L4868" s="9">
        <v>2024</v>
      </c>
      <c r="M4868" s="8" t="s">
        <v>28780</v>
      </c>
      <c r="N4868" s="8" t="s">
        <v>41</v>
      </c>
      <c r="O4868" s="8" t="s">
        <v>676</v>
      </c>
      <c r="P4868" s="6" t="s">
        <v>43</v>
      </c>
      <c r="Q4868" s="8" t="s">
        <v>44</v>
      </c>
      <c r="R4868" s="10" t="s">
        <v>28781</v>
      </c>
      <c r="S4868" s="11"/>
      <c r="T4868" s="6"/>
      <c r="U4868" s="24" t="str">
        <f>HYPERLINK("https://media.infra-m.ru/2114/2114319/cover/2114319.jpg", "Обложка")</f>
        <v>Обложка</v>
      </c>
      <c r="V4868" s="24" t="str">
        <f>HYPERLINK("https://znanium.ru/catalog/product/2114319", "Ознакомиться")</f>
        <v>Ознакомиться</v>
      </c>
      <c r="W4868" s="8" t="s">
        <v>347</v>
      </c>
      <c r="X4868" s="6"/>
      <c r="Y4868" s="6"/>
      <c r="Z4868" s="6"/>
      <c r="AA4868" s="6" t="s">
        <v>793</v>
      </c>
      <c r="AB4868" s="8"/>
    </row>
    <row r="4869" spans="1:28" s="4" customFormat="1" ht="51.95" customHeight="1">
      <c r="A4869" s="5">
        <v>0</v>
      </c>
      <c r="B4869" s="6" t="s">
        <v>28782</v>
      </c>
      <c r="C4869" s="13">
        <v>2414</v>
      </c>
      <c r="D4869" s="8" t="s">
        <v>28783</v>
      </c>
      <c r="E4869" s="8" t="s">
        <v>28757</v>
      </c>
      <c r="F4869" s="8" t="s">
        <v>28784</v>
      </c>
      <c r="G4869" s="6" t="s">
        <v>89</v>
      </c>
      <c r="H4869" s="6" t="s">
        <v>674</v>
      </c>
      <c r="I4869" s="8"/>
      <c r="J4869" s="9">
        <v>1</v>
      </c>
      <c r="K4869" s="9">
        <v>640</v>
      </c>
      <c r="L4869" s="9">
        <v>2025</v>
      </c>
      <c r="M4869" s="8" t="s">
        <v>28785</v>
      </c>
      <c r="N4869" s="8" t="s">
        <v>41</v>
      </c>
      <c r="O4869" s="8" t="s">
        <v>676</v>
      </c>
      <c r="P4869" s="6" t="s">
        <v>822</v>
      </c>
      <c r="Q4869" s="8" t="s">
        <v>44</v>
      </c>
      <c r="R4869" s="10" t="s">
        <v>28748</v>
      </c>
      <c r="S4869" s="11" t="s">
        <v>28786</v>
      </c>
      <c r="T4869" s="6"/>
      <c r="U4869" s="24" t="str">
        <f>HYPERLINK("https://media.infra-m.ru/1970/1970287/cover/1970287.jpg", "Обложка")</f>
        <v>Обложка</v>
      </c>
      <c r="V4869" s="24" t="str">
        <f>HYPERLINK("https://znanium.ru/catalog/product/1817818", "Ознакомиться")</f>
        <v>Ознакомиться</v>
      </c>
      <c r="W4869" s="8" t="s">
        <v>852</v>
      </c>
      <c r="X4869" s="6"/>
      <c r="Y4869" s="6"/>
      <c r="Z4869" s="6"/>
      <c r="AA4869" s="6" t="s">
        <v>4952</v>
      </c>
      <c r="AB4869" s="8"/>
    </row>
    <row r="4870" spans="1:28" s="4" customFormat="1" ht="51.95" customHeight="1">
      <c r="A4870" s="5">
        <v>0</v>
      </c>
      <c r="B4870" s="6" t="s">
        <v>28787</v>
      </c>
      <c r="C4870" s="13">
        <v>2444</v>
      </c>
      <c r="D4870" s="8" t="s">
        <v>28788</v>
      </c>
      <c r="E4870" s="8" t="s">
        <v>28789</v>
      </c>
      <c r="F4870" s="8" t="s">
        <v>5534</v>
      </c>
      <c r="G4870" s="6" t="s">
        <v>52</v>
      </c>
      <c r="H4870" s="6" t="s">
        <v>674</v>
      </c>
      <c r="I4870" s="8"/>
      <c r="J4870" s="9">
        <v>1</v>
      </c>
      <c r="K4870" s="9">
        <v>488</v>
      </c>
      <c r="L4870" s="9">
        <v>2025</v>
      </c>
      <c r="M4870" s="8" t="s">
        <v>28790</v>
      </c>
      <c r="N4870" s="8" t="s">
        <v>41</v>
      </c>
      <c r="O4870" s="8" t="s">
        <v>676</v>
      </c>
      <c r="P4870" s="6" t="s">
        <v>187</v>
      </c>
      <c r="Q4870" s="8" t="s">
        <v>58</v>
      </c>
      <c r="R4870" s="10" t="s">
        <v>677</v>
      </c>
      <c r="S4870" s="11"/>
      <c r="T4870" s="6"/>
      <c r="U4870" s="24" t="str">
        <f>HYPERLINK("https://media.infra-m.ru/2181/2181577/cover/2181577.jpg", "Обложка")</f>
        <v>Обложка</v>
      </c>
      <c r="V4870" s="24" t="str">
        <f>HYPERLINK("https://znanium.ru/catalog/product/2133355", "Ознакомиться")</f>
        <v>Ознакомиться</v>
      </c>
      <c r="W4870" s="8" t="s">
        <v>347</v>
      </c>
      <c r="X4870" s="6"/>
      <c r="Y4870" s="6"/>
      <c r="Z4870" s="6"/>
      <c r="AA4870" s="6" t="s">
        <v>793</v>
      </c>
      <c r="AB4870" s="8"/>
    </row>
    <row r="4871" spans="1:28" s="4" customFormat="1" ht="51.95" customHeight="1">
      <c r="A4871" s="5">
        <v>0</v>
      </c>
      <c r="B4871" s="6" t="s">
        <v>28791</v>
      </c>
      <c r="C4871" s="7">
        <v>804</v>
      </c>
      <c r="D4871" s="8" t="s">
        <v>28792</v>
      </c>
      <c r="E4871" s="8" t="s">
        <v>28793</v>
      </c>
      <c r="F4871" s="8" t="s">
        <v>5534</v>
      </c>
      <c r="G4871" s="6" t="s">
        <v>89</v>
      </c>
      <c r="H4871" s="6" t="s">
        <v>674</v>
      </c>
      <c r="I4871" s="8"/>
      <c r="J4871" s="9">
        <v>1</v>
      </c>
      <c r="K4871" s="9">
        <v>176</v>
      </c>
      <c r="L4871" s="9">
        <v>2024</v>
      </c>
      <c r="M4871" s="8" t="s">
        <v>28794</v>
      </c>
      <c r="N4871" s="8" t="s">
        <v>41</v>
      </c>
      <c r="O4871" s="8" t="s">
        <v>676</v>
      </c>
      <c r="P4871" s="6" t="s">
        <v>43</v>
      </c>
      <c r="Q4871" s="8" t="s">
        <v>44</v>
      </c>
      <c r="R4871" s="10" t="s">
        <v>28781</v>
      </c>
      <c r="S4871" s="11"/>
      <c r="T4871" s="6"/>
      <c r="U4871" s="24" t="str">
        <f>HYPERLINK("https://media.infra-m.ru/2114/2114326/cover/2114326.jpg", "Обложка")</f>
        <v>Обложка</v>
      </c>
      <c r="V4871" s="24" t="str">
        <f>HYPERLINK("https://znanium.ru/catalog/product/2114326", "Ознакомиться")</f>
        <v>Ознакомиться</v>
      </c>
      <c r="W4871" s="8" t="s">
        <v>347</v>
      </c>
      <c r="X4871" s="6"/>
      <c r="Y4871" s="6"/>
      <c r="Z4871" s="6"/>
      <c r="AA4871" s="6" t="s">
        <v>793</v>
      </c>
      <c r="AB4871" s="8"/>
    </row>
    <row r="4872" spans="1:28" s="4" customFormat="1" ht="51.95" customHeight="1">
      <c r="A4872" s="5">
        <v>0</v>
      </c>
      <c r="B4872" s="6" t="s">
        <v>28795</v>
      </c>
      <c r="C4872" s="13">
        <v>2950</v>
      </c>
      <c r="D4872" s="8" t="s">
        <v>28796</v>
      </c>
      <c r="E4872" s="8" t="s">
        <v>28789</v>
      </c>
      <c r="F4872" s="8" t="s">
        <v>28797</v>
      </c>
      <c r="G4872" s="6" t="s">
        <v>52</v>
      </c>
      <c r="H4872" s="6" t="s">
        <v>674</v>
      </c>
      <c r="I4872" s="8"/>
      <c r="J4872" s="9">
        <v>1</v>
      </c>
      <c r="K4872" s="9">
        <v>656</v>
      </c>
      <c r="L4872" s="9">
        <v>2025</v>
      </c>
      <c r="M4872" s="8" t="s">
        <v>28798</v>
      </c>
      <c r="N4872" s="8" t="s">
        <v>41</v>
      </c>
      <c r="O4872" s="8" t="s">
        <v>676</v>
      </c>
      <c r="P4872" s="6" t="s">
        <v>167</v>
      </c>
      <c r="Q4872" s="8" t="s">
        <v>44</v>
      </c>
      <c r="R4872" s="10" t="s">
        <v>28781</v>
      </c>
      <c r="S4872" s="11"/>
      <c r="T4872" s="6"/>
      <c r="U4872" s="24" t="str">
        <f>HYPERLINK("https://media.infra-m.ru/2174/2174583/cover/2174583.jpg", "Обложка")</f>
        <v>Обложка</v>
      </c>
      <c r="V4872" s="24" t="str">
        <f>HYPERLINK("https://znanium.ru/catalog/product/2174583", "Ознакомиться")</f>
        <v>Ознакомиться</v>
      </c>
      <c r="W4872" s="8" t="s">
        <v>347</v>
      </c>
      <c r="X4872" s="6"/>
      <c r="Y4872" s="6"/>
      <c r="Z4872" s="6"/>
      <c r="AA4872" s="6" t="s">
        <v>793</v>
      </c>
      <c r="AB4872" s="8"/>
    </row>
    <row r="4873" spans="1:28" s="4" customFormat="1" ht="51.95" customHeight="1">
      <c r="A4873" s="5">
        <v>0</v>
      </c>
      <c r="B4873" s="6" t="s">
        <v>28799</v>
      </c>
      <c r="C4873" s="13">
        <v>2770</v>
      </c>
      <c r="D4873" s="8" t="s">
        <v>28800</v>
      </c>
      <c r="E4873" s="8" t="s">
        <v>28801</v>
      </c>
      <c r="F4873" s="8" t="s">
        <v>28802</v>
      </c>
      <c r="G4873" s="6" t="s">
        <v>52</v>
      </c>
      <c r="H4873" s="6" t="s">
        <v>674</v>
      </c>
      <c r="I4873" s="8"/>
      <c r="J4873" s="9">
        <v>1</v>
      </c>
      <c r="K4873" s="9">
        <v>552</v>
      </c>
      <c r="L4873" s="9">
        <v>2025</v>
      </c>
      <c r="M4873" s="8" t="s">
        <v>28803</v>
      </c>
      <c r="N4873" s="8" t="s">
        <v>41</v>
      </c>
      <c r="O4873" s="8" t="s">
        <v>676</v>
      </c>
      <c r="P4873" s="6" t="s">
        <v>167</v>
      </c>
      <c r="Q4873" s="8" t="s">
        <v>44</v>
      </c>
      <c r="R4873" s="10" t="s">
        <v>28748</v>
      </c>
      <c r="S4873" s="11" t="s">
        <v>4821</v>
      </c>
      <c r="T4873" s="6"/>
      <c r="U4873" s="24" t="str">
        <f>HYPERLINK("https://media.infra-m.ru/2191/2191804/cover/2191804.jpg", "Обложка")</f>
        <v>Обложка</v>
      </c>
      <c r="V4873" s="24" t="str">
        <f>HYPERLINK("https://znanium.ru/catalog/product/2191804", "Ознакомиться")</f>
        <v>Ознакомиться</v>
      </c>
      <c r="W4873" s="8" t="s">
        <v>808</v>
      </c>
      <c r="X4873" s="6"/>
      <c r="Y4873" s="6"/>
      <c r="Z4873" s="6"/>
      <c r="AA4873" s="6" t="s">
        <v>10161</v>
      </c>
      <c r="AB4873" s="8"/>
    </row>
    <row r="4874" spans="1:28" s="4" customFormat="1" ht="51.95" customHeight="1">
      <c r="A4874" s="5">
        <v>0</v>
      </c>
      <c r="B4874" s="6" t="s">
        <v>28804</v>
      </c>
      <c r="C4874" s="13">
        <v>1764</v>
      </c>
      <c r="D4874" s="8" t="s">
        <v>28805</v>
      </c>
      <c r="E4874" s="8" t="s">
        <v>28789</v>
      </c>
      <c r="F4874" s="8" t="s">
        <v>28806</v>
      </c>
      <c r="G4874" s="6" t="s">
        <v>52</v>
      </c>
      <c r="H4874" s="6" t="s">
        <v>674</v>
      </c>
      <c r="I4874" s="8"/>
      <c r="J4874" s="9">
        <v>1</v>
      </c>
      <c r="K4874" s="9">
        <v>384</v>
      </c>
      <c r="L4874" s="9">
        <v>2024</v>
      </c>
      <c r="M4874" s="8" t="s">
        <v>28807</v>
      </c>
      <c r="N4874" s="8" t="s">
        <v>41</v>
      </c>
      <c r="O4874" s="8" t="s">
        <v>676</v>
      </c>
      <c r="P4874" s="6" t="s">
        <v>167</v>
      </c>
      <c r="Q4874" s="8" t="s">
        <v>58</v>
      </c>
      <c r="R4874" s="10" t="s">
        <v>28754</v>
      </c>
      <c r="S4874" s="11" t="s">
        <v>10459</v>
      </c>
      <c r="T4874" s="6"/>
      <c r="U4874" s="24" t="str">
        <f>HYPERLINK("https://media.infra-m.ru/2131/2131478/cover/2131478.jpg", "Обложка")</f>
        <v>Обложка</v>
      </c>
      <c r="V4874" s="24" t="str">
        <f>HYPERLINK("https://znanium.ru/catalog/product/1913788", "Ознакомиться")</f>
        <v>Ознакомиться</v>
      </c>
      <c r="W4874" s="8" t="s">
        <v>852</v>
      </c>
      <c r="X4874" s="6"/>
      <c r="Y4874" s="6"/>
      <c r="Z4874" s="6"/>
      <c r="AA4874" s="6" t="s">
        <v>654</v>
      </c>
      <c r="AB4874" s="8"/>
    </row>
    <row r="4875" spans="1:28" s="4" customFormat="1" ht="51.95" customHeight="1">
      <c r="A4875" s="5">
        <v>0</v>
      </c>
      <c r="B4875" s="6" t="s">
        <v>28808</v>
      </c>
      <c r="C4875" s="13">
        <v>2480</v>
      </c>
      <c r="D4875" s="8" t="s">
        <v>28809</v>
      </c>
      <c r="E4875" s="8" t="s">
        <v>28789</v>
      </c>
      <c r="F4875" s="8" t="s">
        <v>8965</v>
      </c>
      <c r="G4875" s="6" t="s">
        <v>52</v>
      </c>
      <c r="H4875" s="6" t="s">
        <v>184</v>
      </c>
      <c r="I4875" s="8" t="s">
        <v>116</v>
      </c>
      <c r="J4875" s="9">
        <v>1</v>
      </c>
      <c r="K4875" s="9">
        <v>540</v>
      </c>
      <c r="L4875" s="9">
        <v>2023</v>
      </c>
      <c r="M4875" s="8" t="s">
        <v>28810</v>
      </c>
      <c r="N4875" s="8" t="s">
        <v>41</v>
      </c>
      <c r="O4875" s="8" t="s">
        <v>676</v>
      </c>
      <c r="P4875" s="6" t="s">
        <v>167</v>
      </c>
      <c r="Q4875" s="8" t="s">
        <v>58</v>
      </c>
      <c r="R4875" s="10" t="s">
        <v>28811</v>
      </c>
      <c r="S4875" s="11"/>
      <c r="T4875" s="6"/>
      <c r="U4875" s="24" t="str">
        <f>HYPERLINK("https://media.infra-m.ru/2063/2063337/cover/2063337.jpg", "Обложка")</f>
        <v>Обложка</v>
      </c>
      <c r="V4875" s="12"/>
      <c r="W4875" s="8" t="s">
        <v>2343</v>
      </c>
      <c r="X4875" s="6"/>
      <c r="Y4875" s="6"/>
      <c r="Z4875" s="6"/>
      <c r="AA4875" s="6" t="s">
        <v>235</v>
      </c>
      <c r="AB4875" s="8"/>
    </row>
    <row r="4876" spans="1:28" s="4" customFormat="1" ht="51.95" customHeight="1">
      <c r="A4876" s="5">
        <v>0</v>
      </c>
      <c r="B4876" s="6" t="s">
        <v>28812</v>
      </c>
      <c r="C4876" s="13">
        <v>1164</v>
      </c>
      <c r="D4876" s="8" t="s">
        <v>28813</v>
      </c>
      <c r="E4876" s="8" t="s">
        <v>28789</v>
      </c>
      <c r="F4876" s="8" t="s">
        <v>23166</v>
      </c>
      <c r="G4876" s="6" t="s">
        <v>89</v>
      </c>
      <c r="H4876" s="6" t="s">
        <v>674</v>
      </c>
      <c r="I4876" s="8"/>
      <c r="J4876" s="9">
        <v>1</v>
      </c>
      <c r="K4876" s="9">
        <v>232</v>
      </c>
      <c r="L4876" s="9">
        <v>2025</v>
      </c>
      <c r="M4876" s="8" t="s">
        <v>28814</v>
      </c>
      <c r="N4876" s="8" t="s">
        <v>41</v>
      </c>
      <c r="O4876" s="8" t="s">
        <v>676</v>
      </c>
      <c r="P4876" s="6" t="s">
        <v>167</v>
      </c>
      <c r="Q4876" s="8" t="s">
        <v>44</v>
      </c>
      <c r="R4876" s="10" t="s">
        <v>28781</v>
      </c>
      <c r="S4876" s="11"/>
      <c r="T4876" s="6"/>
      <c r="U4876" s="24" t="str">
        <f>HYPERLINK("https://media.infra-m.ru/2174/2174005/cover/2174005.jpg", "Обложка")</f>
        <v>Обложка</v>
      </c>
      <c r="V4876" s="24" t="str">
        <f>HYPERLINK("https://znanium.ru/catalog/product/2126564", "Ознакомиться")</f>
        <v>Ознакомиться</v>
      </c>
      <c r="W4876" s="8" t="s">
        <v>354</v>
      </c>
      <c r="X4876" s="6"/>
      <c r="Y4876" s="6"/>
      <c r="Z4876" s="6"/>
      <c r="AA4876" s="6" t="s">
        <v>793</v>
      </c>
      <c r="AB4876" s="8"/>
    </row>
    <row r="4877" spans="1:28" s="4" customFormat="1" ht="51.95" customHeight="1">
      <c r="A4877" s="5">
        <v>0</v>
      </c>
      <c r="B4877" s="6" t="s">
        <v>28815</v>
      </c>
      <c r="C4877" s="13">
        <v>1170</v>
      </c>
      <c r="D4877" s="8" t="s">
        <v>28816</v>
      </c>
      <c r="E4877" s="8" t="s">
        <v>28789</v>
      </c>
      <c r="F4877" s="8" t="s">
        <v>8969</v>
      </c>
      <c r="G4877" s="6" t="s">
        <v>89</v>
      </c>
      <c r="H4877" s="6" t="s">
        <v>53</v>
      </c>
      <c r="I4877" s="8" t="s">
        <v>116</v>
      </c>
      <c r="J4877" s="9">
        <v>1</v>
      </c>
      <c r="K4877" s="9">
        <v>233</v>
      </c>
      <c r="L4877" s="9">
        <v>2025</v>
      </c>
      <c r="M4877" s="8" t="s">
        <v>28817</v>
      </c>
      <c r="N4877" s="8" t="s">
        <v>41</v>
      </c>
      <c r="O4877" s="8" t="s">
        <v>676</v>
      </c>
      <c r="P4877" s="6" t="s">
        <v>167</v>
      </c>
      <c r="Q4877" s="8" t="s">
        <v>58</v>
      </c>
      <c r="R4877" s="10" t="s">
        <v>28748</v>
      </c>
      <c r="S4877" s="11" t="s">
        <v>28818</v>
      </c>
      <c r="T4877" s="6"/>
      <c r="U4877" s="24" t="str">
        <f>HYPERLINK("https://media.infra-m.ru/2174/2174243/cover/2174243.jpg", "Обложка")</f>
        <v>Обложка</v>
      </c>
      <c r="V4877" s="24" t="str">
        <f>HYPERLINK("https://znanium.ru/catalog/product/2174243", "Ознакомиться")</f>
        <v>Ознакомиться</v>
      </c>
      <c r="W4877" s="8" t="s">
        <v>8972</v>
      </c>
      <c r="X4877" s="6"/>
      <c r="Y4877" s="6"/>
      <c r="Z4877" s="6"/>
      <c r="AA4877" s="6" t="s">
        <v>151</v>
      </c>
      <c r="AB4877" s="8"/>
    </row>
    <row r="4878" spans="1:28" s="4" customFormat="1" ht="51.95" customHeight="1">
      <c r="A4878" s="5">
        <v>0</v>
      </c>
      <c r="B4878" s="6" t="s">
        <v>28819</v>
      </c>
      <c r="C4878" s="13">
        <v>2990</v>
      </c>
      <c r="D4878" s="8" t="s">
        <v>28820</v>
      </c>
      <c r="E4878" s="8" t="s">
        <v>28801</v>
      </c>
      <c r="F4878" s="8" t="s">
        <v>28821</v>
      </c>
      <c r="G4878" s="6" t="s">
        <v>52</v>
      </c>
      <c r="H4878" s="6" t="s">
        <v>53</v>
      </c>
      <c r="I4878" s="8" t="s">
        <v>116</v>
      </c>
      <c r="J4878" s="9">
        <v>1</v>
      </c>
      <c r="K4878" s="9">
        <v>623</v>
      </c>
      <c r="L4878" s="9">
        <v>2025</v>
      </c>
      <c r="M4878" s="8" t="s">
        <v>28822</v>
      </c>
      <c r="N4878" s="8" t="s">
        <v>41</v>
      </c>
      <c r="O4878" s="8" t="s">
        <v>676</v>
      </c>
      <c r="P4878" s="6" t="s">
        <v>167</v>
      </c>
      <c r="Q4878" s="8" t="s">
        <v>58</v>
      </c>
      <c r="R4878" s="10" t="s">
        <v>7216</v>
      </c>
      <c r="S4878" s="11"/>
      <c r="T4878" s="6"/>
      <c r="U4878" s="24" t="str">
        <f>HYPERLINK("https://media.infra-m.ru/1844/1844531/cover/1844531.jpg", "Обложка")</f>
        <v>Обложка</v>
      </c>
      <c r="V4878" s="24" t="str">
        <f>HYPERLINK("https://znanium.ru/catalog/product/1844531", "Ознакомиться")</f>
        <v>Ознакомиться</v>
      </c>
      <c r="W4878" s="8" t="s">
        <v>4293</v>
      </c>
      <c r="X4878" s="6" t="s">
        <v>389</v>
      </c>
      <c r="Y4878" s="6"/>
      <c r="Z4878" s="6"/>
      <c r="AA4878" s="6" t="s">
        <v>3736</v>
      </c>
      <c r="AB4878" s="8"/>
    </row>
    <row r="4879" spans="1:28" s="4" customFormat="1" ht="42" customHeight="1">
      <c r="A4879" s="5">
        <v>0</v>
      </c>
      <c r="B4879" s="6" t="s">
        <v>28823</v>
      </c>
      <c r="C4879" s="13">
        <v>3120</v>
      </c>
      <c r="D4879" s="8" t="s">
        <v>28824</v>
      </c>
      <c r="E4879" s="8" t="s">
        <v>28801</v>
      </c>
      <c r="F4879" s="8" t="s">
        <v>28821</v>
      </c>
      <c r="G4879" s="6" t="s">
        <v>52</v>
      </c>
      <c r="H4879" s="6" t="s">
        <v>53</v>
      </c>
      <c r="I4879" s="8" t="s">
        <v>100</v>
      </c>
      <c r="J4879" s="9">
        <v>1</v>
      </c>
      <c r="K4879" s="9">
        <v>623</v>
      </c>
      <c r="L4879" s="9">
        <v>2025</v>
      </c>
      <c r="M4879" s="8" t="s">
        <v>28825</v>
      </c>
      <c r="N4879" s="8" t="s">
        <v>41</v>
      </c>
      <c r="O4879" s="8" t="s">
        <v>676</v>
      </c>
      <c r="P4879" s="6" t="s">
        <v>167</v>
      </c>
      <c r="Q4879" s="8" t="s">
        <v>102</v>
      </c>
      <c r="R4879" s="10" t="s">
        <v>256</v>
      </c>
      <c r="S4879" s="11"/>
      <c r="T4879" s="6"/>
      <c r="U4879" s="24" t="str">
        <f>HYPERLINK("https://media.infra-m.ru/2165/2165083/cover/2165083.jpg", "Обложка")</f>
        <v>Обложка</v>
      </c>
      <c r="V4879" s="24" t="str">
        <f>HYPERLINK("https://znanium.ru/catalog/product/2165083", "Ознакомиться")</f>
        <v>Ознакомиться</v>
      </c>
      <c r="W4879" s="8" t="s">
        <v>4293</v>
      </c>
      <c r="X4879" s="6" t="s">
        <v>1049</v>
      </c>
      <c r="Y4879" s="6"/>
      <c r="Z4879" s="6" t="s">
        <v>502</v>
      </c>
      <c r="AA4879" s="6" t="s">
        <v>3736</v>
      </c>
      <c r="AB4879" s="8"/>
    </row>
    <row r="4880" spans="1:28" s="4" customFormat="1" ht="51.95" customHeight="1">
      <c r="A4880" s="5">
        <v>0</v>
      </c>
      <c r="B4880" s="6" t="s">
        <v>28826</v>
      </c>
      <c r="C4880" s="13">
        <v>1670</v>
      </c>
      <c r="D4880" s="8" t="s">
        <v>28827</v>
      </c>
      <c r="E4880" s="8" t="s">
        <v>28828</v>
      </c>
      <c r="F4880" s="8" t="s">
        <v>28829</v>
      </c>
      <c r="G4880" s="6" t="s">
        <v>89</v>
      </c>
      <c r="H4880" s="6" t="s">
        <v>674</v>
      </c>
      <c r="I4880" s="8"/>
      <c r="J4880" s="9">
        <v>1</v>
      </c>
      <c r="K4880" s="9">
        <v>464</v>
      </c>
      <c r="L4880" s="9">
        <v>2021</v>
      </c>
      <c r="M4880" s="8" t="s">
        <v>28830</v>
      </c>
      <c r="N4880" s="8" t="s">
        <v>41</v>
      </c>
      <c r="O4880" s="8" t="s">
        <v>676</v>
      </c>
      <c r="P4880" s="6" t="s">
        <v>167</v>
      </c>
      <c r="Q4880" s="8" t="s">
        <v>44</v>
      </c>
      <c r="R4880" s="10" t="s">
        <v>28748</v>
      </c>
      <c r="S4880" s="11"/>
      <c r="T4880" s="6"/>
      <c r="U4880" s="24" t="str">
        <f>HYPERLINK("https://media.infra-m.ru/2108/2108997/cover/2108997.jpg", "Обложка")</f>
        <v>Обложка</v>
      </c>
      <c r="V4880" s="24" t="str">
        <f>HYPERLINK("https://znanium.ru/catalog/product/2107265", "Ознакомиться")</f>
        <v>Ознакомиться</v>
      </c>
      <c r="W4880" s="8" t="s">
        <v>4309</v>
      </c>
      <c r="X4880" s="6"/>
      <c r="Y4880" s="6"/>
      <c r="Z4880" s="6"/>
      <c r="AA4880" s="6" t="s">
        <v>5325</v>
      </c>
      <c r="AB4880" s="8"/>
    </row>
    <row r="4881" spans="1:28" s="4" customFormat="1" ht="51.95" customHeight="1">
      <c r="A4881" s="5">
        <v>0</v>
      </c>
      <c r="B4881" s="6" t="s">
        <v>28831</v>
      </c>
      <c r="C4881" s="13">
        <v>1414</v>
      </c>
      <c r="D4881" s="8" t="s">
        <v>28832</v>
      </c>
      <c r="E4881" s="8" t="s">
        <v>28789</v>
      </c>
      <c r="F4881" s="8" t="s">
        <v>22377</v>
      </c>
      <c r="G4881" s="6" t="s">
        <v>52</v>
      </c>
      <c r="H4881" s="6" t="s">
        <v>53</v>
      </c>
      <c r="I4881" s="8" t="s">
        <v>90</v>
      </c>
      <c r="J4881" s="9">
        <v>1</v>
      </c>
      <c r="K4881" s="9">
        <v>272</v>
      </c>
      <c r="L4881" s="9">
        <v>2025</v>
      </c>
      <c r="M4881" s="8" t="s">
        <v>28833</v>
      </c>
      <c r="N4881" s="8" t="s">
        <v>41</v>
      </c>
      <c r="O4881" s="8" t="s">
        <v>676</v>
      </c>
      <c r="P4881" s="6" t="s">
        <v>167</v>
      </c>
      <c r="Q4881" s="8" t="s">
        <v>44</v>
      </c>
      <c r="R4881" s="10" t="s">
        <v>262</v>
      </c>
      <c r="S4881" s="11" t="s">
        <v>28834</v>
      </c>
      <c r="T4881" s="6"/>
      <c r="U4881" s="24" t="str">
        <f>HYPERLINK("https://media.infra-m.ru/2192/2192238/cover/2192238.jpg", "Обложка")</f>
        <v>Обложка</v>
      </c>
      <c r="V4881" s="24" t="str">
        <f>HYPERLINK("https://znanium.ru/catalog/product/1844273", "Ознакомиться")</f>
        <v>Ознакомиться</v>
      </c>
      <c r="W4881" s="8" t="s">
        <v>234</v>
      </c>
      <c r="X4881" s="6"/>
      <c r="Y4881" s="6"/>
      <c r="Z4881" s="6"/>
      <c r="AA4881" s="6" t="s">
        <v>47</v>
      </c>
      <c r="AB4881" s="8"/>
    </row>
    <row r="4882" spans="1:28" s="4" customFormat="1" ht="51.95" customHeight="1">
      <c r="A4882" s="5">
        <v>0</v>
      </c>
      <c r="B4882" s="6" t="s">
        <v>28835</v>
      </c>
      <c r="C4882" s="13">
        <v>1230</v>
      </c>
      <c r="D4882" s="8" t="s">
        <v>28836</v>
      </c>
      <c r="E4882" s="8" t="s">
        <v>28789</v>
      </c>
      <c r="F4882" s="8" t="s">
        <v>10037</v>
      </c>
      <c r="G4882" s="6" t="s">
        <v>89</v>
      </c>
      <c r="H4882" s="6" t="s">
        <v>53</v>
      </c>
      <c r="I4882" s="8" t="s">
        <v>100</v>
      </c>
      <c r="J4882" s="9">
        <v>1</v>
      </c>
      <c r="K4882" s="9">
        <v>272</v>
      </c>
      <c r="L4882" s="9">
        <v>2023</v>
      </c>
      <c r="M4882" s="8" t="s">
        <v>28837</v>
      </c>
      <c r="N4882" s="8" t="s">
        <v>41</v>
      </c>
      <c r="O4882" s="8" t="s">
        <v>676</v>
      </c>
      <c r="P4882" s="6" t="s">
        <v>167</v>
      </c>
      <c r="Q4882" s="8" t="s">
        <v>102</v>
      </c>
      <c r="R4882" s="10" t="s">
        <v>256</v>
      </c>
      <c r="S4882" s="11" t="s">
        <v>25466</v>
      </c>
      <c r="T4882" s="6"/>
      <c r="U4882" s="24" t="str">
        <f>HYPERLINK("https://media.infra-m.ru/1932/1932342/cover/1932342.jpg", "Обложка")</f>
        <v>Обложка</v>
      </c>
      <c r="V4882" s="24" t="str">
        <f>HYPERLINK("https://znanium.ru/catalog/product/1932342", "Ознакомиться")</f>
        <v>Ознакомиться</v>
      </c>
      <c r="W4882" s="8" t="s">
        <v>234</v>
      </c>
      <c r="X4882" s="6"/>
      <c r="Y4882" s="6"/>
      <c r="Z4882" s="6" t="s">
        <v>104</v>
      </c>
      <c r="AA4882" s="6" t="s">
        <v>151</v>
      </c>
      <c r="AB4882" s="8"/>
    </row>
    <row r="4883" spans="1:28" s="4" customFormat="1" ht="51.95" customHeight="1">
      <c r="A4883" s="5">
        <v>0</v>
      </c>
      <c r="B4883" s="6" t="s">
        <v>28838</v>
      </c>
      <c r="C4883" s="13">
        <v>2354</v>
      </c>
      <c r="D4883" s="8" t="s">
        <v>28839</v>
      </c>
      <c r="E4883" s="8" t="s">
        <v>28840</v>
      </c>
      <c r="F4883" s="8" t="s">
        <v>28821</v>
      </c>
      <c r="G4883" s="6" t="s">
        <v>52</v>
      </c>
      <c r="H4883" s="6" t="s">
        <v>649</v>
      </c>
      <c r="I4883" s="8" t="s">
        <v>116</v>
      </c>
      <c r="J4883" s="9">
        <v>1</v>
      </c>
      <c r="K4883" s="9">
        <v>512</v>
      </c>
      <c r="L4883" s="9">
        <v>2022</v>
      </c>
      <c r="M4883" s="8" t="s">
        <v>28841</v>
      </c>
      <c r="N4883" s="8" t="s">
        <v>41</v>
      </c>
      <c r="O4883" s="8" t="s">
        <v>676</v>
      </c>
      <c r="P4883" s="6" t="s">
        <v>167</v>
      </c>
      <c r="Q4883" s="8" t="s">
        <v>44</v>
      </c>
      <c r="R4883" s="10" t="s">
        <v>7216</v>
      </c>
      <c r="S4883" s="11" t="s">
        <v>10505</v>
      </c>
      <c r="T4883" s="6"/>
      <c r="U4883" s="24" t="str">
        <f>HYPERLINK("https://media.infra-m.ru/1832/1832415/cover/1832415.jpg", "Обложка")</f>
        <v>Обложка</v>
      </c>
      <c r="V4883" s="24" t="str">
        <f>HYPERLINK("https://znanium.ru/catalog/product/1844531", "Ознакомиться")</f>
        <v>Ознакомиться</v>
      </c>
      <c r="W4883" s="8" t="s">
        <v>7139</v>
      </c>
      <c r="X4883" s="6"/>
      <c r="Y4883" s="6"/>
      <c r="Z4883" s="6"/>
      <c r="AA4883" s="6" t="s">
        <v>244</v>
      </c>
      <c r="AB4883" s="8"/>
    </row>
    <row r="4884" spans="1:28" s="4" customFormat="1" ht="51.95" customHeight="1">
      <c r="A4884" s="5">
        <v>0</v>
      </c>
      <c r="B4884" s="6" t="s">
        <v>28842</v>
      </c>
      <c r="C4884" s="13">
        <v>2440</v>
      </c>
      <c r="D4884" s="8" t="s">
        <v>28843</v>
      </c>
      <c r="E4884" s="8" t="s">
        <v>28844</v>
      </c>
      <c r="F4884" s="8" t="s">
        <v>28845</v>
      </c>
      <c r="G4884" s="6" t="s">
        <v>52</v>
      </c>
      <c r="H4884" s="6" t="s">
        <v>184</v>
      </c>
      <c r="I4884" s="8" t="s">
        <v>90</v>
      </c>
      <c r="J4884" s="9">
        <v>1</v>
      </c>
      <c r="K4884" s="9">
        <v>488</v>
      </c>
      <c r="L4884" s="9">
        <v>2025</v>
      </c>
      <c r="M4884" s="8" t="s">
        <v>28846</v>
      </c>
      <c r="N4884" s="8" t="s">
        <v>41</v>
      </c>
      <c r="O4884" s="8" t="s">
        <v>676</v>
      </c>
      <c r="P4884" s="6" t="s">
        <v>167</v>
      </c>
      <c r="Q4884" s="8" t="s">
        <v>44</v>
      </c>
      <c r="R4884" s="10" t="s">
        <v>7216</v>
      </c>
      <c r="S4884" s="11" t="s">
        <v>11366</v>
      </c>
      <c r="T4884" s="6"/>
      <c r="U4884" s="24" t="str">
        <f>HYPERLINK("https://media.infra-m.ru/2170/2170940/cover/2170940.jpg", "Обложка")</f>
        <v>Обложка</v>
      </c>
      <c r="V4884" s="24" t="str">
        <f>HYPERLINK("https://znanium.ru/catalog/product/2170940", "Ознакомиться")</f>
        <v>Ознакомиться</v>
      </c>
      <c r="W4884" s="8" t="s">
        <v>1313</v>
      </c>
      <c r="X4884" s="6"/>
      <c r="Y4884" s="6"/>
      <c r="Z4884" s="6"/>
      <c r="AA4884" s="6" t="s">
        <v>28847</v>
      </c>
      <c r="AB4884" s="8"/>
    </row>
    <row r="4885" spans="1:28" s="4" customFormat="1" ht="42" customHeight="1">
      <c r="A4885" s="5">
        <v>0</v>
      </c>
      <c r="B4885" s="6" t="s">
        <v>28848</v>
      </c>
      <c r="C4885" s="13">
        <v>2100</v>
      </c>
      <c r="D4885" s="8" t="s">
        <v>28849</v>
      </c>
      <c r="E4885" s="8" t="s">
        <v>28789</v>
      </c>
      <c r="F4885" s="8" t="s">
        <v>28850</v>
      </c>
      <c r="G4885" s="6" t="s">
        <v>52</v>
      </c>
      <c r="H4885" s="6" t="s">
        <v>674</v>
      </c>
      <c r="I4885" s="8" t="s">
        <v>5900</v>
      </c>
      <c r="J4885" s="9">
        <v>1</v>
      </c>
      <c r="K4885" s="9">
        <v>432</v>
      </c>
      <c r="L4885" s="9">
        <v>2025</v>
      </c>
      <c r="M4885" s="8" t="s">
        <v>28851</v>
      </c>
      <c r="N4885" s="8" t="s">
        <v>41</v>
      </c>
      <c r="O4885" s="8" t="s">
        <v>676</v>
      </c>
      <c r="P4885" s="6" t="s">
        <v>167</v>
      </c>
      <c r="Q4885" s="8" t="s">
        <v>102</v>
      </c>
      <c r="R4885" s="10" t="s">
        <v>256</v>
      </c>
      <c r="S4885" s="11"/>
      <c r="T4885" s="6"/>
      <c r="U4885" s="24" t="str">
        <f>HYPERLINK("https://media.infra-m.ru/2188/2188394/cover/2188394.jpg", "Обложка")</f>
        <v>Обложка</v>
      </c>
      <c r="V4885" s="24" t="str">
        <f>HYPERLINK("https://znanium.ru/catalog/product/2188394", "Ознакомиться")</f>
        <v>Ознакомиться</v>
      </c>
      <c r="W4885" s="8" t="s">
        <v>678</v>
      </c>
      <c r="X4885" s="6"/>
      <c r="Y4885" s="6"/>
      <c r="Z4885" s="6"/>
      <c r="AA4885" s="6" t="s">
        <v>2217</v>
      </c>
      <c r="AB4885" s="8"/>
    </row>
    <row r="4886" spans="1:28" s="4" customFormat="1" ht="51.95" customHeight="1">
      <c r="A4886" s="5">
        <v>0</v>
      </c>
      <c r="B4886" s="6" t="s">
        <v>28852</v>
      </c>
      <c r="C4886" s="13">
        <v>1294.9000000000001</v>
      </c>
      <c r="D4886" s="8" t="s">
        <v>28853</v>
      </c>
      <c r="E4886" s="8" t="s">
        <v>28854</v>
      </c>
      <c r="F4886" s="8" t="s">
        <v>8975</v>
      </c>
      <c r="G4886" s="6" t="s">
        <v>52</v>
      </c>
      <c r="H4886" s="6" t="s">
        <v>184</v>
      </c>
      <c r="I4886" s="8" t="s">
        <v>90</v>
      </c>
      <c r="J4886" s="9">
        <v>1</v>
      </c>
      <c r="K4886" s="9">
        <v>475</v>
      </c>
      <c r="L4886" s="9">
        <v>2020</v>
      </c>
      <c r="M4886" s="8" t="s">
        <v>28855</v>
      </c>
      <c r="N4886" s="8" t="s">
        <v>41</v>
      </c>
      <c r="O4886" s="8" t="s">
        <v>676</v>
      </c>
      <c r="P4886" s="6" t="s">
        <v>167</v>
      </c>
      <c r="Q4886" s="8" t="s">
        <v>44</v>
      </c>
      <c r="R4886" s="10" t="s">
        <v>7216</v>
      </c>
      <c r="S4886" s="11" t="s">
        <v>11366</v>
      </c>
      <c r="T4886" s="6"/>
      <c r="U4886" s="24" t="str">
        <f>HYPERLINK("https://media.infra-m.ru/1042/1042681/cover/1042681.jpg", "Обложка")</f>
        <v>Обложка</v>
      </c>
      <c r="V4886" s="24" t="str">
        <f>HYPERLINK("https://znanium.ru/catalog/product/2170940", "Ознакомиться")</f>
        <v>Ознакомиться</v>
      </c>
      <c r="W4886" s="8" t="s">
        <v>1313</v>
      </c>
      <c r="X4886" s="6"/>
      <c r="Y4886" s="6"/>
      <c r="Z4886" s="6"/>
      <c r="AA4886" s="6" t="s">
        <v>5848</v>
      </c>
      <c r="AB4886" s="8"/>
    </row>
    <row r="4887" spans="1:28" s="4" customFormat="1" ht="51.95" customHeight="1">
      <c r="A4887" s="5">
        <v>0</v>
      </c>
      <c r="B4887" s="6" t="s">
        <v>28856</v>
      </c>
      <c r="C4887" s="13">
        <v>1450</v>
      </c>
      <c r="D4887" s="8" t="s">
        <v>28857</v>
      </c>
      <c r="E4887" s="8" t="s">
        <v>28858</v>
      </c>
      <c r="F4887" s="8" t="s">
        <v>9211</v>
      </c>
      <c r="G4887" s="6" t="s">
        <v>89</v>
      </c>
      <c r="H4887" s="6" t="s">
        <v>53</v>
      </c>
      <c r="I4887" s="8" t="s">
        <v>116</v>
      </c>
      <c r="J4887" s="9">
        <v>1</v>
      </c>
      <c r="K4887" s="9">
        <v>322</v>
      </c>
      <c r="L4887" s="9">
        <v>2023</v>
      </c>
      <c r="M4887" s="8" t="s">
        <v>28859</v>
      </c>
      <c r="N4887" s="8" t="s">
        <v>41</v>
      </c>
      <c r="O4887" s="8" t="s">
        <v>676</v>
      </c>
      <c r="P4887" s="6" t="s">
        <v>43</v>
      </c>
      <c r="Q4887" s="8" t="s">
        <v>44</v>
      </c>
      <c r="R4887" s="10" t="s">
        <v>28748</v>
      </c>
      <c r="S4887" s="11" t="s">
        <v>28860</v>
      </c>
      <c r="T4887" s="6" t="s">
        <v>299</v>
      </c>
      <c r="U4887" s="24" t="str">
        <f>HYPERLINK("https://media.infra-m.ru/2002/2002647/cover/2002647.jpg", "Обложка")</f>
        <v>Обложка</v>
      </c>
      <c r="V4887" s="24" t="str">
        <f>HYPERLINK("https://znanium.ru/catalog/product/2002647", "Ознакомиться")</f>
        <v>Ознакомиться</v>
      </c>
      <c r="W4887" s="8" t="s">
        <v>354</v>
      </c>
      <c r="X4887" s="6"/>
      <c r="Y4887" s="6"/>
      <c r="Z4887" s="6"/>
      <c r="AA4887" s="6" t="s">
        <v>326</v>
      </c>
      <c r="AB4887" s="8"/>
    </row>
    <row r="4888" spans="1:28" s="4" customFormat="1" ht="51.95" customHeight="1">
      <c r="A4888" s="5">
        <v>0</v>
      </c>
      <c r="B4888" s="6" t="s">
        <v>28861</v>
      </c>
      <c r="C4888" s="13">
        <v>1844</v>
      </c>
      <c r="D4888" s="8" t="s">
        <v>28862</v>
      </c>
      <c r="E4888" s="8" t="s">
        <v>28789</v>
      </c>
      <c r="F4888" s="8" t="s">
        <v>28863</v>
      </c>
      <c r="G4888" s="6" t="s">
        <v>89</v>
      </c>
      <c r="H4888" s="6" t="s">
        <v>53</v>
      </c>
      <c r="I4888" s="8" t="s">
        <v>1223</v>
      </c>
      <c r="J4888" s="9">
        <v>1</v>
      </c>
      <c r="K4888" s="9">
        <v>365</v>
      </c>
      <c r="L4888" s="9">
        <v>2025</v>
      </c>
      <c r="M4888" s="8" t="s">
        <v>28864</v>
      </c>
      <c r="N4888" s="8" t="s">
        <v>41</v>
      </c>
      <c r="O4888" s="8" t="s">
        <v>676</v>
      </c>
      <c r="P4888" s="6" t="s">
        <v>43</v>
      </c>
      <c r="Q4888" s="8" t="s">
        <v>44</v>
      </c>
      <c r="R4888" s="10" t="s">
        <v>13621</v>
      </c>
      <c r="S4888" s="11"/>
      <c r="T4888" s="6"/>
      <c r="U4888" s="24" t="str">
        <f>HYPERLINK("https://media.infra-m.ru/2177/2177793/cover/2177793.jpg", "Обложка")</f>
        <v>Обложка</v>
      </c>
      <c r="V4888" s="24" t="str">
        <f>HYPERLINK("https://znanium.ru/catalog/product/2107422", "Ознакомиться")</f>
        <v>Ознакомиться</v>
      </c>
      <c r="W4888" s="8" t="s">
        <v>83</v>
      </c>
      <c r="X4888" s="6"/>
      <c r="Y4888" s="6"/>
      <c r="Z4888" s="6"/>
      <c r="AA4888" s="6" t="s">
        <v>258</v>
      </c>
      <c r="AB4888" s="8"/>
    </row>
    <row r="4889" spans="1:28" s="4" customFormat="1" ht="42" customHeight="1">
      <c r="A4889" s="5">
        <v>0</v>
      </c>
      <c r="B4889" s="6" t="s">
        <v>28865</v>
      </c>
      <c r="C4889" s="13">
        <v>1840</v>
      </c>
      <c r="D4889" s="8" t="s">
        <v>28866</v>
      </c>
      <c r="E4889" s="8" t="s">
        <v>28789</v>
      </c>
      <c r="F4889" s="8" t="s">
        <v>28863</v>
      </c>
      <c r="G4889" s="6" t="s">
        <v>52</v>
      </c>
      <c r="H4889" s="6" t="s">
        <v>53</v>
      </c>
      <c r="I4889" s="8" t="s">
        <v>100</v>
      </c>
      <c r="J4889" s="9">
        <v>1</v>
      </c>
      <c r="K4889" s="9">
        <v>365</v>
      </c>
      <c r="L4889" s="9">
        <v>2025</v>
      </c>
      <c r="M4889" s="8" t="s">
        <v>28867</v>
      </c>
      <c r="N4889" s="8" t="s">
        <v>41</v>
      </c>
      <c r="O4889" s="8" t="s">
        <v>676</v>
      </c>
      <c r="P4889" s="6" t="s">
        <v>43</v>
      </c>
      <c r="Q4889" s="8" t="s">
        <v>102</v>
      </c>
      <c r="R4889" s="10" t="s">
        <v>256</v>
      </c>
      <c r="S4889" s="11"/>
      <c r="T4889" s="6"/>
      <c r="U4889" s="24" t="str">
        <f>HYPERLINK("https://media.infra-m.ru/2175/2175116/cover/2175116.jpg", "Обложка")</f>
        <v>Обложка</v>
      </c>
      <c r="V4889" s="24" t="str">
        <f>HYPERLINK("https://znanium.ru/catalog/product/2175116", "Ознакомиться")</f>
        <v>Ознакомиться</v>
      </c>
      <c r="W4889" s="8" t="s">
        <v>83</v>
      </c>
      <c r="X4889" s="6" t="s">
        <v>785</v>
      </c>
      <c r="Y4889" s="6"/>
      <c r="Z4889" s="6" t="s">
        <v>104</v>
      </c>
      <c r="AA4889" s="6" t="s">
        <v>61</v>
      </c>
      <c r="AB4889" s="8"/>
    </row>
    <row r="4890" spans="1:28" s="4" customFormat="1" ht="42" customHeight="1">
      <c r="A4890" s="5">
        <v>0</v>
      </c>
      <c r="B4890" s="6" t="s">
        <v>28868</v>
      </c>
      <c r="C4890" s="13">
        <v>1690</v>
      </c>
      <c r="D4890" s="8" t="s">
        <v>28869</v>
      </c>
      <c r="E4890" s="8" t="s">
        <v>28789</v>
      </c>
      <c r="F4890" s="8" t="s">
        <v>28870</v>
      </c>
      <c r="G4890" s="6" t="s">
        <v>52</v>
      </c>
      <c r="H4890" s="6" t="s">
        <v>53</v>
      </c>
      <c r="I4890" s="8" t="s">
        <v>100</v>
      </c>
      <c r="J4890" s="9">
        <v>1</v>
      </c>
      <c r="K4890" s="9">
        <v>343</v>
      </c>
      <c r="L4890" s="9">
        <v>2024</v>
      </c>
      <c r="M4890" s="8" t="s">
        <v>28871</v>
      </c>
      <c r="N4890" s="8" t="s">
        <v>41</v>
      </c>
      <c r="O4890" s="8" t="s">
        <v>676</v>
      </c>
      <c r="P4890" s="6" t="s">
        <v>43</v>
      </c>
      <c r="Q4890" s="8" t="s">
        <v>102</v>
      </c>
      <c r="R4890" s="10" t="s">
        <v>256</v>
      </c>
      <c r="S4890" s="11"/>
      <c r="T4890" s="6"/>
      <c r="U4890" s="24" t="str">
        <f>HYPERLINK("https://media.infra-m.ru/1865/1865712/cover/1865712.jpg", "Обложка")</f>
        <v>Обложка</v>
      </c>
      <c r="V4890" s="24" t="str">
        <f>HYPERLINK("https://znanium.ru/catalog/product/1865712", "Ознакомиться")</f>
        <v>Ознакомиться</v>
      </c>
      <c r="W4890" s="8" t="s">
        <v>744</v>
      </c>
      <c r="X4890" s="6" t="s">
        <v>3761</v>
      </c>
      <c r="Y4890" s="6"/>
      <c r="Z4890" s="6"/>
      <c r="AA4890" s="6" t="s">
        <v>133</v>
      </c>
      <c r="AB4890" s="8"/>
    </row>
    <row r="4891" spans="1:28" s="4" customFormat="1" ht="51.95" customHeight="1">
      <c r="A4891" s="5">
        <v>0</v>
      </c>
      <c r="B4891" s="6" t="s">
        <v>28872</v>
      </c>
      <c r="C4891" s="13">
        <v>2254</v>
      </c>
      <c r="D4891" s="8" t="s">
        <v>28873</v>
      </c>
      <c r="E4891" s="8" t="s">
        <v>28757</v>
      </c>
      <c r="F4891" s="8" t="s">
        <v>23171</v>
      </c>
      <c r="G4891" s="6" t="s">
        <v>52</v>
      </c>
      <c r="H4891" s="6" t="s">
        <v>674</v>
      </c>
      <c r="I4891" s="8"/>
      <c r="J4891" s="9">
        <v>1</v>
      </c>
      <c r="K4891" s="9">
        <v>480</v>
      </c>
      <c r="L4891" s="9">
        <v>2024</v>
      </c>
      <c r="M4891" s="8" t="s">
        <v>28874</v>
      </c>
      <c r="N4891" s="8" t="s">
        <v>41</v>
      </c>
      <c r="O4891" s="8" t="s">
        <v>676</v>
      </c>
      <c r="P4891" s="6" t="s">
        <v>43</v>
      </c>
      <c r="Q4891" s="8" t="s">
        <v>44</v>
      </c>
      <c r="R4891" s="10" t="s">
        <v>28748</v>
      </c>
      <c r="S4891" s="11"/>
      <c r="T4891" s="6"/>
      <c r="U4891" s="24" t="str">
        <f>HYPERLINK("https://media.infra-m.ru/2155/2155023/cover/2155023.jpg", "Обложка")</f>
        <v>Обложка</v>
      </c>
      <c r="V4891" s="24" t="str">
        <f>HYPERLINK("https://znanium.ru/catalog/product/1932283", "Ознакомиться")</f>
        <v>Ознакомиться</v>
      </c>
      <c r="W4891" s="8" t="s">
        <v>947</v>
      </c>
      <c r="X4891" s="6"/>
      <c r="Y4891" s="6"/>
      <c r="Z4891" s="6"/>
      <c r="AA4891" s="6" t="s">
        <v>638</v>
      </c>
      <c r="AB4891" s="8"/>
    </row>
    <row r="4892" spans="1:28" s="4" customFormat="1" ht="51.95" customHeight="1">
      <c r="A4892" s="5">
        <v>0</v>
      </c>
      <c r="B4892" s="6" t="s">
        <v>28875</v>
      </c>
      <c r="C4892" s="13">
        <v>2644</v>
      </c>
      <c r="D4892" s="8" t="s">
        <v>28876</v>
      </c>
      <c r="E4892" s="8" t="s">
        <v>28757</v>
      </c>
      <c r="F4892" s="8" t="s">
        <v>28877</v>
      </c>
      <c r="G4892" s="6" t="s">
        <v>89</v>
      </c>
      <c r="H4892" s="6" t="s">
        <v>674</v>
      </c>
      <c r="I4892" s="8"/>
      <c r="J4892" s="9">
        <v>1</v>
      </c>
      <c r="K4892" s="9">
        <v>560</v>
      </c>
      <c r="L4892" s="9">
        <v>2025</v>
      </c>
      <c r="M4892" s="8" t="s">
        <v>28878</v>
      </c>
      <c r="N4892" s="8" t="s">
        <v>41</v>
      </c>
      <c r="O4892" s="8" t="s">
        <v>676</v>
      </c>
      <c r="P4892" s="6" t="s">
        <v>167</v>
      </c>
      <c r="Q4892" s="8" t="s">
        <v>44</v>
      </c>
      <c r="R4892" s="10" t="s">
        <v>2736</v>
      </c>
      <c r="S4892" s="11"/>
      <c r="T4892" s="6"/>
      <c r="U4892" s="24" t="str">
        <f>HYPERLINK("https://media.infra-m.ru/2170/2170382/cover/2170382.jpg", "Обложка")</f>
        <v>Обложка</v>
      </c>
      <c r="V4892" s="24" t="str">
        <f>HYPERLINK("https://znanium.ru/catalog/product/1895227", "Ознакомиться")</f>
        <v>Ознакомиться</v>
      </c>
      <c r="W4892" s="8" t="s">
        <v>3282</v>
      </c>
      <c r="X4892" s="6"/>
      <c r="Y4892" s="6"/>
      <c r="Z4892" s="6"/>
      <c r="AA4892" s="6" t="s">
        <v>638</v>
      </c>
      <c r="AB4892" s="8"/>
    </row>
    <row r="4893" spans="1:28" s="4" customFormat="1" ht="51.95" customHeight="1">
      <c r="A4893" s="5">
        <v>0</v>
      </c>
      <c r="B4893" s="6" t="s">
        <v>28879</v>
      </c>
      <c r="C4893" s="13">
        <v>1500</v>
      </c>
      <c r="D4893" s="8" t="s">
        <v>28880</v>
      </c>
      <c r="E4893" s="8" t="s">
        <v>28858</v>
      </c>
      <c r="F4893" s="8" t="s">
        <v>28877</v>
      </c>
      <c r="G4893" s="6" t="s">
        <v>89</v>
      </c>
      <c r="H4893" s="6" t="s">
        <v>674</v>
      </c>
      <c r="I4893" s="8"/>
      <c r="J4893" s="9">
        <v>1</v>
      </c>
      <c r="K4893" s="9">
        <v>576</v>
      </c>
      <c r="L4893" s="9">
        <v>2017</v>
      </c>
      <c r="M4893" s="8" t="s">
        <v>28881</v>
      </c>
      <c r="N4893" s="8" t="s">
        <v>41</v>
      </c>
      <c r="O4893" s="8" t="s">
        <v>676</v>
      </c>
      <c r="P4893" s="6" t="s">
        <v>43</v>
      </c>
      <c r="Q4893" s="8" t="s">
        <v>44</v>
      </c>
      <c r="R4893" s="10" t="s">
        <v>2736</v>
      </c>
      <c r="S4893" s="11"/>
      <c r="T4893" s="6"/>
      <c r="U4893" s="24" t="str">
        <f>HYPERLINK("https://media.infra-m.ru/0953/0953234/cover/953234.jpg", "Обложка")</f>
        <v>Обложка</v>
      </c>
      <c r="V4893" s="24" t="str">
        <f>HYPERLINK("https://znanium.ru/catalog/product/1895227", "Ознакомиться")</f>
        <v>Ознакомиться</v>
      </c>
      <c r="W4893" s="8" t="s">
        <v>3282</v>
      </c>
      <c r="X4893" s="6"/>
      <c r="Y4893" s="6"/>
      <c r="Z4893" s="6"/>
      <c r="AA4893" s="6" t="s">
        <v>4236</v>
      </c>
      <c r="AB4893" s="8"/>
    </row>
    <row r="4894" spans="1:28" s="4" customFormat="1" ht="51.95" customHeight="1">
      <c r="A4894" s="5">
        <v>0</v>
      </c>
      <c r="B4894" s="6" t="s">
        <v>28882</v>
      </c>
      <c r="C4894" s="7">
        <v>493</v>
      </c>
      <c r="D4894" s="8" t="s">
        <v>28883</v>
      </c>
      <c r="E4894" s="8" t="s">
        <v>28757</v>
      </c>
      <c r="F4894" s="8" t="s">
        <v>28884</v>
      </c>
      <c r="G4894" s="6" t="s">
        <v>38</v>
      </c>
      <c r="H4894" s="6" t="s">
        <v>184</v>
      </c>
      <c r="I4894" s="8" t="s">
        <v>116</v>
      </c>
      <c r="J4894" s="9">
        <v>1</v>
      </c>
      <c r="K4894" s="9">
        <v>126</v>
      </c>
      <c r="L4894" s="9">
        <v>2024</v>
      </c>
      <c r="M4894" s="8" t="s">
        <v>28885</v>
      </c>
      <c r="N4894" s="8" t="s">
        <v>41</v>
      </c>
      <c r="O4894" s="8" t="s">
        <v>676</v>
      </c>
      <c r="P4894" s="6" t="s">
        <v>43</v>
      </c>
      <c r="Q4894" s="8" t="s">
        <v>44</v>
      </c>
      <c r="R4894" s="10" t="s">
        <v>7216</v>
      </c>
      <c r="S4894" s="11"/>
      <c r="T4894" s="6"/>
      <c r="U4894" s="24" t="str">
        <f>HYPERLINK("https://media.infra-m.ru/2136/2136808/cover/2136808.jpg", "Обложка")</f>
        <v>Обложка</v>
      </c>
      <c r="V4894" s="24" t="str">
        <f>HYPERLINK("https://znanium.ru/catalog/product/2136808", "Ознакомиться")</f>
        <v>Ознакомиться</v>
      </c>
      <c r="W4894" s="8" t="s">
        <v>792</v>
      </c>
      <c r="X4894" s="6"/>
      <c r="Y4894" s="6"/>
      <c r="Z4894" s="6"/>
      <c r="AA4894" s="6" t="s">
        <v>1365</v>
      </c>
      <c r="AB4894" s="8"/>
    </row>
    <row r="4895" spans="1:28" s="4" customFormat="1" ht="51.95" customHeight="1">
      <c r="A4895" s="5">
        <v>0</v>
      </c>
      <c r="B4895" s="6" t="s">
        <v>28886</v>
      </c>
      <c r="C4895" s="13">
        <v>2394</v>
      </c>
      <c r="D4895" s="8" t="s">
        <v>28887</v>
      </c>
      <c r="E4895" s="8" t="s">
        <v>28757</v>
      </c>
      <c r="F4895" s="8" t="s">
        <v>28746</v>
      </c>
      <c r="G4895" s="6" t="s">
        <v>52</v>
      </c>
      <c r="H4895" s="6" t="s">
        <v>184</v>
      </c>
      <c r="I4895" s="8" t="s">
        <v>90</v>
      </c>
      <c r="J4895" s="9">
        <v>1</v>
      </c>
      <c r="K4895" s="9">
        <v>526</v>
      </c>
      <c r="L4895" s="9">
        <v>2024</v>
      </c>
      <c r="M4895" s="8" t="s">
        <v>28888</v>
      </c>
      <c r="N4895" s="8" t="s">
        <v>41</v>
      </c>
      <c r="O4895" s="8" t="s">
        <v>676</v>
      </c>
      <c r="P4895" s="6" t="s">
        <v>43</v>
      </c>
      <c r="Q4895" s="8" t="s">
        <v>44</v>
      </c>
      <c r="R4895" s="10" t="s">
        <v>677</v>
      </c>
      <c r="S4895" s="11"/>
      <c r="T4895" s="6"/>
      <c r="U4895" s="24" t="str">
        <f>HYPERLINK("https://media.infra-m.ru/2132/2132590/cover/2132590.jpg", "Обложка")</f>
        <v>Обложка</v>
      </c>
      <c r="V4895" s="24" t="str">
        <f>HYPERLINK("https://znanium.ru/catalog/product/2132590", "Ознакомиться")</f>
        <v>Ознакомиться</v>
      </c>
      <c r="W4895" s="8" t="s">
        <v>913</v>
      </c>
      <c r="X4895" s="6"/>
      <c r="Y4895" s="6"/>
      <c r="Z4895" s="6"/>
      <c r="AA4895" s="6" t="s">
        <v>701</v>
      </c>
      <c r="AB4895" s="8"/>
    </row>
    <row r="4896" spans="1:28" s="4" customFormat="1" ht="51.95" customHeight="1">
      <c r="A4896" s="5">
        <v>0</v>
      </c>
      <c r="B4896" s="6" t="s">
        <v>28889</v>
      </c>
      <c r="C4896" s="13">
        <v>2380</v>
      </c>
      <c r="D4896" s="8" t="s">
        <v>28890</v>
      </c>
      <c r="E4896" s="8" t="s">
        <v>28891</v>
      </c>
      <c r="F4896" s="8" t="s">
        <v>351</v>
      </c>
      <c r="G4896" s="6" t="s">
        <v>52</v>
      </c>
      <c r="H4896" s="6" t="s">
        <v>53</v>
      </c>
      <c r="I4896" s="8" t="s">
        <v>276</v>
      </c>
      <c r="J4896" s="9">
        <v>1</v>
      </c>
      <c r="K4896" s="9">
        <v>529</v>
      </c>
      <c r="L4896" s="9">
        <v>2023</v>
      </c>
      <c r="M4896" s="8" t="s">
        <v>28892</v>
      </c>
      <c r="N4896" s="8" t="s">
        <v>41</v>
      </c>
      <c r="O4896" s="8" t="s">
        <v>118</v>
      </c>
      <c r="P4896" s="6" t="s">
        <v>167</v>
      </c>
      <c r="Q4896" s="8" t="s">
        <v>279</v>
      </c>
      <c r="R4896" s="10" t="s">
        <v>28893</v>
      </c>
      <c r="S4896" s="11" t="s">
        <v>28894</v>
      </c>
      <c r="T4896" s="6"/>
      <c r="U4896" s="24" t="str">
        <f>HYPERLINK("https://media.infra-m.ru/1904/1904577/cover/1904577.jpg", "Обложка")</f>
        <v>Обложка</v>
      </c>
      <c r="V4896" s="24" t="str">
        <f>HYPERLINK("https://znanium.ru/catalog/product/2089212", "Ознакомиться")</f>
        <v>Ознакомиться</v>
      </c>
      <c r="W4896" s="8" t="s">
        <v>354</v>
      </c>
      <c r="X4896" s="6"/>
      <c r="Y4896" s="6"/>
      <c r="Z4896" s="6"/>
      <c r="AA4896" s="6" t="s">
        <v>258</v>
      </c>
      <c r="AB4896" s="8"/>
    </row>
    <row r="4897" spans="1:28" s="4" customFormat="1" ht="51.95" customHeight="1">
      <c r="A4897" s="5">
        <v>0</v>
      </c>
      <c r="B4897" s="6" t="s">
        <v>28895</v>
      </c>
      <c r="C4897" s="13">
        <v>2720</v>
      </c>
      <c r="D4897" s="8" t="s">
        <v>28896</v>
      </c>
      <c r="E4897" s="8" t="s">
        <v>28897</v>
      </c>
      <c r="F4897" s="8" t="s">
        <v>351</v>
      </c>
      <c r="G4897" s="6" t="s">
        <v>89</v>
      </c>
      <c r="H4897" s="6" t="s">
        <v>53</v>
      </c>
      <c r="I4897" s="8" t="s">
        <v>116</v>
      </c>
      <c r="J4897" s="9">
        <v>1</v>
      </c>
      <c r="K4897" s="9">
        <v>566</v>
      </c>
      <c r="L4897" s="9">
        <v>2024</v>
      </c>
      <c r="M4897" s="8" t="s">
        <v>28898</v>
      </c>
      <c r="N4897" s="8" t="s">
        <v>41</v>
      </c>
      <c r="O4897" s="8" t="s">
        <v>118</v>
      </c>
      <c r="P4897" s="6" t="s">
        <v>167</v>
      </c>
      <c r="Q4897" s="8" t="s">
        <v>279</v>
      </c>
      <c r="R4897" s="10" t="s">
        <v>28893</v>
      </c>
      <c r="S4897" s="11" t="s">
        <v>6008</v>
      </c>
      <c r="T4897" s="6"/>
      <c r="U4897" s="24" t="str">
        <f>HYPERLINK("https://media.infra-m.ru/2089/2089212/cover/2089212.jpg", "Обложка")</f>
        <v>Обложка</v>
      </c>
      <c r="V4897" s="24" t="str">
        <f>HYPERLINK("https://znanium.ru/catalog/product/2089212", "Ознакомиться")</f>
        <v>Ознакомиться</v>
      </c>
      <c r="W4897" s="8" t="s">
        <v>354</v>
      </c>
      <c r="X4897" s="6" t="s">
        <v>179</v>
      </c>
      <c r="Y4897" s="6"/>
      <c r="Z4897" s="6"/>
      <c r="AA4897" s="6" t="s">
        <v>105</v>
      </c>
      <c r="AB4897" s="8"/>
    </row>
    <row r="4898" spans="1:28" s="4" customFormat="1" ht="51.95" customHeight="1">
      <c r="A4898" s="5">
        <v>0</v>
      </c>
      <c r="B4898" s="6" t="s">
        <v>28899</v>
      </c>
      <c r="C4898" s="13">
        <v>1170</v>
      </c>
      <c r="D4898" s="8" t="s">
        <v>28900</v>
      </c>
      <c r="E4898" s="8" t="s">
        <v>28901</v>
      </c>
      <c r="F4898" s="8" t="s">
        <v>28902</v>
      </c>
      <c r="G4898" s="6" t="s">
        <v>89</v>
      </c>
      <c r="H4898" s="6" t="s">
        <v>53</v>
      </c>
      <c r="I4898" s="8" t="s">
        <v>212</v>
      </c>
      <c r="J4898" s="9">
        <v>1</v>
      </c>
      <c r="K4898" s="9">
        <v>253</v>
      </c>
      <c r="L4898" s="9">
        <v>2024</v>
      </c>
      <c r="M4898" s="8" t="s">
        <v>28903</v>
      </c>
      <c r="N4898" s="8" t="s">
        <v>79</v>
      </c>
      <c r="O4898" s="8" t="s">
        <v>396</v>
      </c>
      <c r="P4898" s="6" t="s">
        <v>167</v>
      </c>
      <c r="Q4898" s="8" t="s">
        <v>214</v>
      </c>
      <c r="R4898" s="10" t="s">
        <v>28904</v>
      </c>
      <c r="S4898" s="11" t="s">
        <v>28905</v>
      </c>
      <c r="T4898" s="6"/>
      <c r="U4898" s="24" t="str">
        <f>HYPERLINK("https://media.infra-m.ru/2099/2099041/cover/2099041.jpg", "Обложка")</f>
        <v>Обложка</v>
      </c>
      <c r="V4898" s="24" t="str">
        <f>HYPERLINK("https://znanium.ru/catalog/product/2099041", "Ознакомиться")</f>
        <v>Ознакомиться</v>
      </c>
      <c r="W4898" s="8" t="s">
        <v>12301</v>
      </c>
      <c r="X4898" s="6"/>
      <c r="Y4898" s="6"/>
      <c r="Z4898" s="6"/>
      <c r="AA4898" s="6" t="s">
        <v>793</v>
      </c>
      <c r="AB4898" s="8"/>
    </row>
    <row r="4899" spans="1:28" s="4" customFormat="1" ht="44.1" customHeight="1">
      <c r="A4899" s="5">
        <v>0</v>
      </c>
      <c r="B4899" s="6" t="s">
        <v>28906</v>
      </c>
      <c r="C4899" s="7">
        <v>670</v>
      </c>
      <c r="D4899" s="8" t="s">
        <v>28907</v>
      </c>
      <c r="E4899" s="8" t="s">
        <v>28908</v>
      </c>
      <c r="F4899" s="8" t="s">
        <v>28909</v>
      </c>
      <c r="G4899" s="6" t="s">
        <v>52</v>
      </c>
      <c r="H4899" s="6" t="s">
        <v>53</v>
      </c>
      <c r="I4899" s="8" t="s">
        <v>782</v>
      </c>
      <c r="J4899" s="9">
        <v>1</v>
      </c>
      <c r="K4899" s="9">
        <v>132</v>
      </c>
      <c r="L4899" s="9">
        <v>2024</v>
      </c>
      <c r="M4899" s="8" t="s">
        <v>28910</v>
      </c>
      <c r="N4899" s="8" t="s">
        <v>79</v>
      </c>
      <c r="O4899" s="8" t="s">
        <v>396</v>
      </c>
      <c r="P4899" s="6" t="s">
        <v>43</v>
      </c>
      <c r="Q4899" s="8" t="s">
        <v>58</v>
      </c>
      <c r="R4899" s="10" t="s">
        <v>28911</v>
      </c>
      <c r="S4899" s="11"/>
      <c r="T4899" s="6"/>
      <c r="U4899" s="24" t="str">
        <f>HYPERLINK("https://media.infra-m.ru/2130/2130480/cover/2130480.jpg", "Обложка")</f>
        <v>Обложка</v>
      </c>
      <c r="V4899" s="12"/>
      <c r="W4899" s="8" t="s">
        <v>784</v>
      </c>
      <c r="X4899" s="6"/>
      <c r="Y4899" s="6"/>
      <c r="Z4899" s="6"/>
      <c r="AA4899" s="6" t="s">
        <v>133</v>
      </c>
      <c r="AB4899" s="8"/>
    </row>
    <row r="4900" spans="1:28" s="4" customFormat="1" ht="44.1" customHeight="1">
      <c r="A4900" s="5">
        <v>0</v>
      </c>
      <c r="B4900" s="6" t="s">
        <v>28912</v>
      </c>
      <c r="C4900" s="13">
        <v>1094</v>
      </c>
      <c r="D4900" s="8" t="s">
        <v>28913</v>
      </c>
      <c r="E4900" s="8" t="s">
        <v>28914</v>
      </c>
      <c r="F4900" s="8" t="s">
        <v>28915</v>
      </c>
      <c r="G4900" s="6" t="s">
        <v>89</v>
      </c>
      <c r="H4900" s="6" t="s">
        <v>53</v>
      </c>
      <c r="I4900" s="8" t="s">
        <v>560</v>
      </c>
      <c r="J4900" s="9">
        <v>1</v>
      </c>
      <c r="K4900" s="9">
        <v>211</v>
      </c>
      <c r="L4900" s="9">
        <v>2025</v>
      </c>
      <c r="M4900" s="8" t="s">
        <v>28916</v>
      </c>
      <c r="N4900" s="8" t="s">
        <v>41</v>
      </c>
      <c r="O4900" s="8" t="s">
        <v>129</v>
      </c>
      <c r="P4900" s="6" t="s">
        <v>43</v>
      </c>
      <c r="Q4900" s="8" t="s">
        <v>58</v>
      </c>
      <c r="R4900" s="10" t="s">
        <v>28917</v>
      </c>
      <c r="S4900" s="11"/>
      <c r="T4900" s="6"/>
      <c r="U4900" s="24" t="str">
        <f>HYPERLINK("https://media.infra-m.ru/2202/2202916/cover/2202916.jpg", "Обложка")</f>
        <v>Обложка</v>
      </c>
      <c r="V4900" s="24" t="str">
        <f>HYPERLINK("https://znanium.ru/catalog/product/2096082", "Ознакомиться")</f>
        <v>Ознакомиться</v>
      </c>
      <c r="W4900" s="8" t="s">
        <v>564</v>
      </c>
      <c r="X4900" s="6"/>
      <c r="Y4900" s="6"/>
      <c r="Z4900" s="6"/>
      <c r="AA4900" s="6" t="s">
        <v>258</v>
      </c>
      <c r="AB4900" s="8"/>
    </row>
    <row r="4901" spans="1:28" s="4" customFormat="1" ht="51.95" customHeight="1">
      <c r="A4901" s="5">
        <v>0</v>
      </c>
      <c r="B4901" s="6" t="s">
        <v>28918</v>
      </c>
      <c r="C4901" s="7">
        <v>730</v>
      </c>
      <c r="D4901" s="8" t="s">
        <v>28919</v>
      </c>
      <c r="E4901" s="8" t="s">
        <v>28920</v>
      </c>
      <c r="F4901" s="8" t="s">
        <v>28921</v>
      </c>
      <c r="G4901" s="6" t="s">
        <v>38</v>
      </c>
      <c r="H4901" s="6" t="s">
        <v>53</v>
      </c>
      <c r="I4901" s="8" t="s">
        <v>116</v>
      </c>
      <c r="J4901" s="9">
        <v>1</v>
      </c>
      <c r="K4901" s="9">
        <v>146</v>
      </c>
      <c r="L4901" s="9">
        <v>2025</v>
      </c>
      <c r="M4901" s="8" t="s">
        <v>28922</v>
      </c>
      <c r="N4901" s="8" t="s">
        <v>997</v>
      </c>
      <c r="O4901" s="8" t="s">
        <v>998</v>
      </c>
      <c r="P4901" s="6" t="s">
        <v>167</v>
      </c>
      <c r="Q4901" s="8" t="s">
        <v>44</v>
      </c>
      <c r="R4901" s="10" t="s">
        <v>1598</v>
      </c>
      <c r="S4901" s="11" t="s">
        <v>1599</v>
      </c>
      <c r="T4901" s="6"/>
      <c r="U4901" s="24" t="str">
        <f>HYPERLINK("https://media.infra-m.ru/2161/2161419/cover/2161419.jpg", "Обложка")</f>
        <v>Обложка</v>
      </c>
      <c r="V4901" s="24" t="str">
        <f>HYPERLINK("https://znanium.ru/catalog/product/2161419", "Ознакомиться")</f>
        <v>Ознакомиться</v>
      </c>
      <c r="W4901" s="8" t="s">
        <v>2514</v>
      </c>
      <c r="X4901" s="6"/>
      <c r="Y4901" s="6"/>
      <c r="Z4901" s="6"/>
      <c r="AA4901" s="6" t="s">
        <v>418</v>
      </c>
      <c r="AB4901" s="8"/>
    </row>
    <row r="4902" spans="1:28" s="4" customFormat="1" ht="42" customHeight="1">
      <c r="A4902" s="5">
        <v>0</v>
      </c>
      <c r="B4902" s="6" t="s">
        <v>28923</v>
      </c>
      <c r="C4902" s="7">
        <v>760</v>
      </c>
      <c r="D4902" s="8" t="s">
        <v>28924</v>
      </c>
      <c r="E4902" s="8" t="s">
        <v>28920</v>
      </c>
      <c r="F4902" s="8" t="s">
        <v>28921</v>
      </c>
      <c r="G4902" s="6" t="s">
        <v>38</v>
      </c>
      <c r="H4902" s="6" t="s">
        <v>53</v>
      </c>
      <c r="I4902" s="8" t="s">
        <v>100</v>
      </c>
      <c r="J4902" s="9">
        <v>1</v>
      </c>
      <c r="K4902" s="9">
        <v>146</v>
      </c>
      <c r="L4902" s="9">
        <v>2025</v>
      </c>
      <c r="M4902" s="8" t="s">
        <v>28925</v>
      </c>
      <c r="N4902" s="8" t="s">
        <v>997</v>
      </c>
      <c r="O4902" s="8" t="s">
        <v>998</v>
      </c>
      <c r="P4902" s="6" t="s">
        <v>167</v>
      </c>
      <c r="Q4902" s="8" t="s">
        <v>102</v>
      </c>
      <c r="R4902" s="10" t="s">
        <v>17137</v>
      </c>
      <c r="S4902" s="11"/>
      <c r="T4902" s="6"/>
      <c r="U4902" s="24" t="str">
        <f>HYPERLINK("https://media.infra-m.ru/2156/2156862/cover/2156862.jpg", "Обложка")</f>
        <v>Обложка</v>
      </c>
      <c r="V4902" s="24" t="str">
        <f>HYPERLINK("https://znanium.ru/catalog/product/2156862", "Ознакомиться")</f>
        <v>Ознакомиться</v>
      </c>
      <c r="W4902" s="8" t="s">
        <v>2514</v>
      </c>
      <c r="X4902" s="6" t="s">
        <v>1049</v>
      </c>
      <c r="Y4902" s="6"/>
      <c r="Z4902" s="6" t="s">
        <v>104</v>
      </c>
      <c r="AA4902" s="6" t="s">
        <v>61</v>
      </c>
      <c r="AB4902" s="8"/>
    </row>
    <row r="4903" spans="1:28" s="4" customFormat="1" ht="51.95" customHeight="1">
      <c r="A4903" s="5">
        <v>0</v>
      </c>
      <c r="B4903" s="6" t="s">
        <v>28926</v>
      </c>
      <c r="C4903" s="13">
        <v>1190</v>
      </c>
      <c r="D4903" s="8" t="s">
        <v>28927</v>
      </c>
      <c r="E4903" s="8" t="s">
        <v>28928</v>
      </c>
      <c r="F4903" s="8" t="s">
        <v>28929</v>
      </c>
      <c r="G4903" s="6" t="s">
        <v>89</v>
      </c>
      <c r="H4903" s="6" t="s">
        <v>53</v>
      </c>
      <c r="I4903" s="8" t="s">
        <v>116</v>
      </c>
      <c r="J4903" s="9">
        <v>1</v>
      </c>
      <c r="K4903" s="9">
        <v>237</v>
      </c>
      <c r="L4903" s="9">
        <v>2025</v>
      </c>
      <c r="M4903" s="8" t="s">
        <v>28930</v>
      </c>
      <c r="N4903" s="8" t="s">
        <v>997</v>
      </c>
      <c r="O4903" s="8" t="s">
        <v>998</v>
      </c>
      <c r="P4903" s="6" t="s">
        <v>167</v>
      </c>
      <c r="Q4903" s="8" t="s">
        <v>44</v>
      </c>
      <c r="R4903" s="10" t="s">
        <v>6360</v>
      </c>
      <c r="S4903" s="11" t="s">
        <v>28931</v>
      </c>
      <c r="T4903" s="6" t="s">
        <v>299</v>
      </c>
      <c r="U4903" s="24" t="str">
        <f>HYPERLINK("https://media.infra-m.ru/2165/2165439/cover/2165439.jpg", "Обложка")</f>
        <v>Обложка</v>
      </c>
      <c r="V4903" s="24" t="str">
        <f>HYPERLINK("https://znanium.ru/catalog/product/2165439", "Ознакомиться")</f>
        <v>Ознакомиться</v>
      </c>
      <c r="W4903" s="8" t="s">
        <v>2514</v>
      </c>
      <c r="X4903" s="6"/>
      <c r="Y4903" s="6"/>
      <c r="Z4903" s="6"/>
      <c r="AA4903" s="6" t="s">
        <v>258</v>
      </c>
      <c r="AB4903" s="8"/>
    </row>
    <row r="4904" spans="1:28" s="4" customFormat="1" ht="51.95" customHeight="1">
      <c r="A4904" s="5">
        <v>0</v>
      </c>
      <c r="B4904" s="6" t="s">
        <v>28932</v>
      </c>
      <c r="C4904" s="13">
        <v>1180</v>
      </c>
      <c r="D4904" s="8" t="s">
        <v>28933</v>
      </c>
      <c r="E4904" s="8" t="s">
        <v>28928</v>
      </c>
      <c r="F4904" s="8" t="s">
        <v>28929</v>
      </c>
      <c r="G4904" s="6" t="s">
        <v>89</v>
      </c>
      <c r="H4904" s="6" t="s">
        <v>53</v>
      </c>
      <c r="I4904" s="8" t="s">
        <v>100</v>
      </c>
      <c r="J4904" s="9">
        <v>1</v>
      </c>
      <c r="K4904" s="9">
        <v>236</v>
      </c>
      <c r="L4904" s="9">
        <v>2025</v>
      </c>
      <c r="M4904" s="8" t="s">
        <v>28934</v>
      </c>
      <c r="N4904" s="8" t="s">
        <v>997</v>
      </c>
      <c r="O4904" s="8" t="s">
        <v>998</v>
      </c>
      <c r="P4904" s="6" t="s">
        <v>167</v>
      </c>
      <c r="Q4904" s="8" t="s">
        <v>102</v>
      </c>
      <c r="R4904" s="10" t="s">
        <v>14364</v>
      </c>
      <c r="S4904" s="11" t="s">
        <v>28935</v>
      </c>
      <c r="T4904" s="6"/>
      <c r="U4904" s="24" t="str">
        <f>HYPERLINK("https://media.infra-m.ru/2162/2162234/cover/2162234.jpg", "Обложка")</f>
        <v>Обложка</v>
      </c>
      <c r="V4904" s="24" t="str">
        <f>HYPERLINK("https://znanium.ru/catalog/product/2162234", "Ознакомиться")</f>
        <v>Ознакомиться</v>
      </c>
      <c r="W4904" s="8" t="s">
        <v>2514</v>
      </c>
      <c r="X4904" s="6"/>
      <c r="Y4904" s="6"/>
      <c r="Z4904" s="6" t="s">
        <v>104</v>
      </c>
      <c r="AA4904" s="6" t="s">
        <v>793</v>
      </c>
      <c r="AB4904" s="8"/>
    </row>
    <row r="4905" spans="1:28" s="4" customFormat="1" ht="51.95" customHeight="1">
      <c r="A4905" s="5">
        <v>0</v>
      </c>
      <c r="B4905" s="6" t="s">
        <v>28936</v>
      </c>
      <c r="C4905" s="13">
        <v>2294</v>
      </c>
      <c r="D4905" s="8" t="s">
        <v>28937</v>
      </c>
      <c r="E4905" s="8" t="s">
        <v>28938</v>
      </c>
      <c r="F4905" s="8" t="s">
        <v>28939</v>
      </c>
      <c r="G4905" s="6" t="s">
        <v>52</v>
      </c>
      <c r="H4905" s="6" t="s">
        <v>53</v>
      </c>
      <c r="I4905" s="8" t="s">
        <v>116</v>
      </c>
      <c r="J4905" s="9">
        <v>1</v>
      </c>
      <c r="K4905" s="9">
        <v>483</v>
      </c>
      <c r="L4905" s="9">
        <v>2025</v>
      </c>
      <c r="M4905" s="8" t="s">
        <v>28940</v>
      </c>
      <c r="N4905" s="8" t="s">
        <v>997</v>
      </c>
      <c r="O4905" s="8" t="s">
        <v>998</v>
      </c>
      <c r="P4905" s="6" t="s">
        <v>167</v>
      </c>
      <c r="Q4905" s="8" t="s">
        <v>58</v>
      </c>
      <c r="R4905" s="10" t="s">
        <v>4159</v>
      </c>
      <c r="S4905" s="11" t="s">
        <v>28941</v>
      </c>
      <c r="T4905" s="6"/>
      <c r="U4905" s="24" t="str">
        <f>HYPERLINK("https://media.infra-m.ru/2168/2168924/cover/2168924.jpg", "Обложка")</f>
        <v>Обложка</v>
      </c>
      <c r="V4905" s="24" t="str">
        <f>HYPERLINK("https://znanium.ru/catalog/product/1912092", "Ознакомиться")</f>
        <v>Ознакомиться</v>
      </c>
      <c r="W4905" s="8" t="s">
        <v>46</v>
      </c>
      <c r="X4905" s="6"/>
      <c r="Y4905" s="6"/>
      <c r="Z4905" s="6"/>
      <c r="AA4905" s="6" t="s">
        <v>793</v>
      </c>
      <c r="AB4905" s="8"/>
    </row>
    <row r="4906" spans="1:28" s="4" customFormat="1" ht="42" customHeight="1">
      <c r="A4906" s="5">
        <v>0</v>
      </c>
      <c r="B4906" s="6" t="s">
        <v>28942</v>
      </c>
      <c r="C4906" s="13">
        <v>1130</v>
      </c>
      <c r="D4906" s="8" t="s">
        <v>28943</v>
      </c>
      <c r="E4906" s="8" t="s">
        <v>28944</v>
      </c>
      <c r="F4906" s="8" t="s">
        <v>28945</v>
      </c>
      <c r="G4906" s="6" t="s">
        <v>52</v>
      </c>
      <c r="H4906" s="6" t="s">
        <v>53</v>
      </c>
      <c r="I4906" s="8" t="s">
        <v>100</v>
      </c>
      <c r="J4906" s="9">
        <v>1</v>
      </c>
      <c r="K4906" s="9">
        <v>242</v>
      </c>
      <c r="L4906" s="9">
        <v>2024</v>
      </c>
      <c r="M4906" s="8" t="s">
        <v>28946</v>
      </c>
      <c r="N4906" s="8" t="s">
        <v>997</v>
      </c>
      <c r="O4906" s="8" t="s">
        <v>998</v>
      </c>
      <c r="P4906" s="6" t="s">
        <v>43</v>
      </c>
      <c r="Q4906" s="8" t="s">
        <v>102</v>
      </c>
      <c r="R4906" s="10" t="s">
        <v>17137</v>
      </c>
      <c r="S4906" s="11"/>
      <c r="T4906" s="6"/>
      <c r="U4906" s="24" t="str">
        <f>HYPERLINK("https://media.infra-m.ru/1896/1896112/cover/1896112.jpg", "Обложка")</f>
        <v>Обложка</v>
      </c>
      <c r="V4906" s="24" t="str">
        <f>HYPERLINK("https://znanium.ru/catalog/product/1896112", "Ознакомиться")</f>
        <v>Ознакомиться</v>
      </c>
      <c r="W4906" s="8" t="s">
        <v>26392</v>
      </c>
      <c r="X4906" s="6"/>
      <c r="Y4906" s="6"/>
      <c r="Z4906" s="6"/>
      <c r="AA4906" s="6" t="s">
        <v>133</v>
      </c>
      <c r="AB4906" s="8"/>
    </row>
    <row r="4907" spans="1:28" s="4" customFormat="1" ht="42" customHeight="1">
      <c r="A4907" s="5">
        <v>0</v>
      </c>
      <c r="B4907" s="6" t="s">
        <v>28947</v>
      </c>
      <c r="C4907" s="7">
        <v>830</v>
      </c>
      <c r="D4907" s="8" t="s">
        <v>28948</v>
      </c>
      <c r="E4907" s="8" t="s">
        <v>28949</v>
      </c>
      <c r="F4907" s="8" t="s">
        <v>28950</v>
      </c>
      <c r="G4907" s="6" t="s">
        <v>89</v>
      </c>
      <c r="H4907" s="6" t="s">
        <v>184</v>
      </c>
      <c r="I4907" s="8" t="s">
        <v>116</v>
      </c>
      <c r="J4907" s="9">
        <v>1</v>
      </c>
      <c r="K4907" s="9">
        <v>166</v>
      </c>
      <c r="L4907" s="9">
        <v>2025</v>
      </c>
      <c r="M4907" s="8" t="s">
        <v>28951</v>
      </c>
      <c r="N4907" s="8" t="s">
        <v>997</v>
      </c>
      <c r="O4907" s="8" t="s">
        <v>998</v>
      </c>
      <c r="P4907" s="6" t="s">
        <v>43</v>
      </c>
      <c r="Q4907" s="8" t="s">
        <v>58</v>
      </c>
      <c r="R4907" s="10" t="s">
        <v>8620</v>
      </c>
      <c r="S4907" s="11"/>
      <c r="T4907" s="6"/>
      <c r="U4907" s="24" t="str">
        <f>HYPERLINK("https://media.infra-m.ru/2163/2163832/cover/2163832.jpg", "Обложка")</f>
        <v>Обложка</v>
      </c>
      <c r="V4907" s="12"/>
      <c r="W4907" s="8" t="s">
        <v>20186</v>
      </c>
      <c r="X4907" s="6"/>
      <c r="Y4907" s="6"/>
      <c r="Z4907" s="6"/>
      <c r="AA4907" s="6" t="s">
        <v>133</v>
      </c>
      <c r="AB4907" s="8"/>
    </row>
    <row r="4908" spans="1:28" s="4" customFormat="1" ht="51.95" customHeight="1">
      <c r="A4908" s="5">
        <v>0</v>
      </c>
      <c r="B4908" s="6" t="s">
        <v>28952</v>
      </c>
      <c r="C4908" s="13">
        <v>1470</v>
      </c>
      <c r="D4908" s="8" t="s">
        <v>28953</v>
      </c>
      <c r="E4908" s="8" t="s">
        <v>28954</v>
      </c>
      <c r="F4908" s="8" t="s">
        <v>28955</v>
      </c>
      <c r="G4908" s="6" t="s">
        <v>89</v>
      </c>
      <c r="H4908" s="6" t="s">
        <v>674</v>
      </c>
      <c r="I4908" s="8"/>
      <c r="J4908" s="9">
        <v>1</v>
      </c>
      <c r="K4908" s="9">
        <v>320</v>
      </c>
      <c r="L4908" s="9">
        <v>2024</v>
      </c>
      <c r="M4908" s="8" t="s">
        <v>28956</v>
      </c>
      <c r="N4908" s="8" t="s">
        <v>41</v>
      </c>
      <c r="O4908" s="8" t="s">
        <v>676</v>
      </c>
      <c r="P4908" s="6" t="s">
        <v>167</v>
      </c>
      <c r="Q4908" s="8" t="s">
        <v>279</v>
      </c>
      <c r="R4908" s="10" t="s">
        <v>983</v>
      </c>
      <c r="S4908" s="11"/>
      <c r="T4908" s="6"/>
      <c r="U4908" s="24" t="str">
        <f>HYPERLINK("https://media.infra-m.ru/2122/2122505/cover/2122505.jpg", "Обложка")</f>
        <v>Обложка</v>
      </c>
      <c r="V4908" s="24" t="str">
        <f>HYPERLINK("https://znanium.ru/catalog/product/2122505", "Ознакомиться")</f>
        <v>Ознакомиться</v>
      </c>
      <c r="W4908" s="8" t="s">
        <v>7139</v>
      </c>
      <c r="X4908" s="6"/>
      <c r="Y4908" s="6"/>
      <c r="Z4908" s="6"/>
      <c r="AA4908" s="6" t="s">
        <v>258</v>
      </c>
      <c r="AB4908" s="8"/>
    </row>
    <row r="4909" spans="1:28" s="4" customFormat="1" ht="42" customHeight="1">
      <c r="A4909" s="5">
        <v>0</v>
      </c>
      <c r="B4909" s="6" t="s">
        <v>28957</v>
      </c>
      <c r="C4909" s="13">
        <v>1024</v>
      </c>
      <c r="D4909" s="8" t="s">
        <v>28958</v>
      </c>
      <c r="E4909" s="8" t="s">
        <v>28959</v>
      </c>
      <c r="F4909" s="8" t="s">
        <v>28960</v>
      </c>
      <c r="G4909" s="6" t="s">
        <v>89</v>
      </c>
      <c r="H4909" s="6" t="s">
        <v>28775</v>
      </c>
      <c r="I4909" s="8"/>
      <c r="J4909" s="9">
        <v>1</v>
      </c>
      <c r="K4909" s="9">
        <v>198</v>
      </c>
      <c r="L4909" s="9">
        <v>2025</v>
      </c>
      <c r="M4909" s="8" t="s">
        <v>28961</v>
      </c>
      <c r="N4909" s="8" t="s">
        <v>997</v>
      </c>
      <c r="O4909" s="8" t="s">
        <v>998</v>
      </c>
      <c r="P4909" s="6" t="s">
        <v>43</v>
      </c>
      <c r="Q4909" s="8" t="s">
        <v>44</v>
      </c>
      <c r="R4909" s="10" t="s">
        <v>8769</v>
      </c>
      <c r="S4909" s="11"/>
      <c r="T4909" s="6"/>
      <c r="U4909" s="24" t="str">
        <f>HYPERLINK("https://media.infra-m.ru/2192/2192155/cover/2192155.jpg", "Обложка")</f>
        <v>Обложка</v>
      </c>
      <c r="V4909" s="24" t="str">
        <f>HYPERLINK("https://znanium.ru/catalog/product/1943514", "Ознакомиться")</f>
        <v>Ознакомиться</v>
      </c>
      <c r="W4909" s="8" t="s">
        <v>11304</v>
      </c>
      <c r="X4909" s="6"/>
      <c r="Y4909" s="6"/>
      <c r="Z4909" s="6"/>
      <c r="AA4909" s="6" t="s">
        <v>494</v>
      </c>
      <c r="AB4909" s="8"/>
    </row>
    <row r="4910" spans="1:28" s="4" customFormat="1" ht="51.95" customHeight="1">
      <c r="A4910" s="5">
        <v>0</v>
      </c>
      <c r="B4910" s="6" t="s">
        <v>28962</v>
      </c>
      <c r="C4910" s="13">
        <v>2020</v>
      </c>
      <c r="D4910" s="8" t="s">
        <v>28963</v>
      </c>
      <c r="E4910" s="8" t="s">
        <v>28964</v>
      </c>
      <c r="F4910" s="8" t="s">
        <v>28955</v>
      </c>
      <c r="G4910" s="6" t="s">
        <v>89</v>
      </c>
      <c r="H4910" s="6" t="s">
        <v>674</v>
      </c>
      <c r="I4910" s="8"/>
      <c r="J4910" s="9">
        <v>1</v>
      </c>
      <c r="K4910" s="9">
        <v>288</v>
      </c>
      <c r="L4910" s="9">
        <v>2025</v>
      </c>
      <c r="M4910" s="8" t="s">
        <v>28965</v>
      </c>
      <c r="N4910" s="8" t="s">
        <v>41</v>
      </c>
      <c r="O4910" s="8" t="s">
        <v>676</v>
      </c>
      <c r="P4910" s="6" t="s">
        <v>167</v>
      </c>
      <c r="Q4910" s="8" t="s">
        <v>279</v>
      </c>
      <c r="R4910" s="10" t="s">
        <v>806</v>
      </c>
      <c r="S4910" s="11"/>
      <c r="T4910" s="6"/>
      <c r="U4910" s="24" t="str">
        <f>HYPERLINK("https://media.infra-m.ru/2169/2169239/cover/2169239.jpg", "Обложка")</f>
        <v>Обложка</v>
      </c>
      <c r="V4910" s="24" t="str">
        <f>HYPERLINK("https://znanium.ru/catalog/product/2169239", "Ознакомиться")</f>
        <v>Ознакомиться</v>
      </c>
      <c r="W4910" s="8" t="s">
        <v>7139</v>
      </c>
      <c r="X4910" s="6"/>
      <c r="Y4910" s="6"/>
      <c r="Z4910" s="6"/>
      <c r="AA4910" s="6" t="s">
        <v>258</v>
      </c>
      <c r="AB4910" s="8"/>
    </row>
    <row r="4911" spans="1:28" s="4" customFormat="1" ht="51.95" customHeight="1">
      <c r="A4911" s="5">
        <v>0</v>
      </c>
      <c r="B4911" s="6" t="s">
        <v>28966</v>
      </c>
      <c r="C4911" s="7">
        <v>794.9</v>
      </c>
      <c r="D4911" s="8" t="s">
        <v>28967</v>
      </c>
      <c r="E4911" s="8" t="s">
        <v>28968</v>
      </c>
      <c r="F4911" s="8" t="s">
        <v>28969</v>
      </c>
      <c r="G4911" s="6" t="s">
        <v>38</v>
      </c>
      <c r="H4911" s="6" t="s">
        <v>39</v>
      </c>
      <c r="I4911" s="8" t="s">
        <v>90</v>
      </c>
      <c r="J4911" s="9">
        <v>1</v>
      </c>
      <c r="K4911" s="9">
        <v>176</v>
      </c>
      <c r="L4911" s="9">
        <v>2023</v>
      </c>
      <c r="M4911" s="8" t="s">
        <v>28970</v>
      </c>
      <c r="N4911" s="8" t="s">
        <v>79</v>
      </c>
      <c r="O4911" s="8" t="s">
        <v>424</v>
      </c>
      <c r="P4911" s="6" t="s">
        <v>43</v>
      </c>
      <c r="Q4911" s="8" t="s">
        <v>44</v>
      </c>
      <c r="R4911" s="10" t="s">
        <v>2944</v>
      </c>
      <c r="S4911" s="11" t="s">
        <v>28971</v>
      </c>
      <c r="T4911" s="6"/>
      <c r="U4911" s="24" t="str">
        <f>HYPERLINK("https://media.infra-m.ru/1893/1893659/cover/1893659.jpg", "Обложка")</f>
        <v>Обложка</v>
      </c>
      <c r="V4911" s="24" t="str">
        <f>HYPERLINK("https://znanium.ru/catalog/product/982630", "Ознакомиться")</f>
        <v>Ознакомиться</v>
      </c>
      <c r="W4911" s="8" t="s">
        <v>18342</v>
      </c>
      <c r="X4911" s="6"/>
      <c r="Y4911" s="6"/>
      <c r="Z4911" s="6"/>
      <c r="AA4911" s="6" t="s">
        <v>111</v>
      </c>
      <c r="AB4911" s="8"/>
    </row>
    <row r="4912" spans="1:28" s="4" customFormat="1" ht="51.95" customHeight="1">
      <c r="A4912" s="5">
        <v>0</v>
      </c>
      <c r="B4912" s="6" t="s">
        <v>28972</v>
      </c>
      <c r="C4912" s="13">
        <v>1590</v>
      </c>
      <c r="D4912" s="8" t="s">
        <v>28973</v>
      </c>
      <c r="E4912" s="8" t="s">
        <v>28974</v>
      </c>
      <c r="F4912" s="8" t="s">
        <v>28975</v>
      </c>
      <c r="G4912" s="6" t="s">
        <v>52</v>
      </c>
      <c r="H4912" s="6" t="s">
        <v>53</v>
      </c>
      <c r="I4912" s="8" t="s">
        <v>276</v>
      </c>
      <c r="J4912" s="9">
        <v>1</v>
      </c>
      <c r="K4912" s="9">
        <v>390</v>
      </c>
      <c r="L4912" s="9">
        <v>2022</v>
      </c>
      <c r="M4912" s="8" t="s">
        <v>28976</v>
      </c>
      <c r="N4912" s="8" t="s">
        <v>41</v>
      </c>
      <c r="O4912" s="8" t="s">
        <v>1007</v>
      </c>
      <c r="P4912" s="6" t="s">
        <v>43</v>
      </c>
      <c r="Q4912" s="8" t="s">
        <v>279</v>
      </c>
      <c r="R4912" s="10" t="s">
        <v>1251</v>
      </c>
      <c r="S4912" s="11" t="s">
        <v>28977</v>
      </c>
      <c r="T4912" s="6"/>
      <c r="U4912" s="24" t="str">
        <f>HYPERLINK("https://media.infra-m.ru/1031/1031121/cover/1031121.jpg", "Обложка")</f>
        <v>Обложка</v>
      </c>
      <c r="V4912" s="24" t="str">
        <f>HYPERLINK("https://znanium.ru/catalog/product/1031121", "Ознакомиться")</f>
        <v>Ознакомиться</v>
      </c>
      <c r="W4912" s="8" t="s">
        <v>7926</v>
      </c>
      <c r="X4912" s="6"/>
      <c r="Y4912" s="6"/>
      <c r="Z4912" s="6"/>
      <c r="AA4912" s="6" t="s">
        <v>235</v>
      </c>
      <c r="AB4912" s="8"/>
    </row>
    <row r="4913" spans="1:28" s="4" customFormat="1" ht="51.95" customHeight="1">
      <c r="A4913" s="5">
        <v>0</v>
      </c>
      <c r="B4913" s="6" t="s">
        <v>28978</v>
      </c>
      <c r="C4913" s="13">
        <v>1440</v>
      </c>
      <c r="D4913" s="8" t="s">
        <v>28979</v>
      </c>
      <c r="E4913" s="8" t="s">
        <v>28980</v>
      </c>
      <c r="F4913" s="8" t="s">
        <v>28981</v>
      </c>
      <c r="G4913" s="6" t="s">
        <v>89</v>
      </c>
      <c r="H4913" s="6" t="s">
        <v>53</v>
      </c>
      <c r="I4913" s="8" t="s">
        <v>116</v>
      </c>
      <c r="J4913" s="9">
        <v>1</v>
      </c>
      <c r="K4913" s="9">
        <v>288</v>
      </c>
      <c r="L4913" s="9">
        <v>2025</v>
      </c>
      <c r="M4913" s="8" t="s">
        <v>28982</v>
      </c>
      <c r="N4913" s="8" t="s">
        <v>41</v>
      </c>
      <c r="O4913" s="8" t="s">
        <v>118</v>
      </c>
      <c r="P4913" s="6" t="s">
        <v>43</v>
      </c>
      <c r="Q4913" s="8" t="s">
        <v>279</v>
      </c>
      <c r="R4913" s="10" t="s">
        <v>5657</v>
      </c>
      <c r="S4913" s="11" t="s">
        <v>28983</v>
      </c>
      <c r="T4913" s="6"/>
      <c r="U4913" s="24" t="str">
        <f>HYPERLINK("https://media.infra-m.ru/2187/2187020/cover/2187020.jpg", "Обложка")</f>
        <v>Обложка</v>
      </c>
      <c r="V4913" s="24" t="str">
        <f>HYPERLINK("https://znanium.ru/catalog/product/2187020", "Ознакомиться")</f>
        <v>Ознакомиться</v>
      </c>
      <c r="W4913" s="8" t="s">
        <v>28984</v>
      </c>
      <c r="X4913" s="6"/>
      <c r="Y4913" s="6"/>
      <c r="Z4913" s="6"/>
      <c r="AA4913" s="6" t="s">
        <v>84</v>
      </c>
      <c r="AB4913" s="8"/>
    </row>
    <row r="4914" spans="1:28" s="4" customFormat="1" ht="51.95" customHeight="1">
      <c r="A4914" s="5">
        <v>0</v>
      </c>
      <c r="B4914" s="6" t="s">
        <v>28985</v>
      </c>
      <c r="C4914" s="13">
        <v>1070</v>
      </c>
      <c r="D4914" s="8" t="s">
        <v>28986</v>
      </c>
      <c r="E4914" s="8" t="s">
        <v>28987</v>
      </c>
      <c r="F4914" s="8" t="s">
        <v>7081</v>
      </c>
      <c r="G4914" s="6" t="s">
        <v>89</v>
      </c>
      <c r="H4914" s="6" t="s">
        <v>53</v>
      </c>
      <c r="I4914" s="8" t="s">
        <v>276</v>
      </c>
      <c r="J4914" s="9">
        <v>1</v>
      </c>
      <c r="K4914" s="9">
        <v>219</v>
      </c>
      <c r="L4914" s="9">
        <v>2024</v>
      </c>
      <c r="M4914" s="8" t="s">
        <v>28988</v>
      </c>
      <c r="N4914" s="8" t="s">
        <v>41</v>
      </c>
      <c r="O4914" s="8" t="s">
        <v>1204</v>
      </c>
      <c r="P4914" s="6" t="s">
        <v>43</v>
      </c>
      <c r="Q4914" s="8" t="s">
        <v>279</v>
      </c>
      <c r="R4914" s="10" t="s">
        <v>28989</v>
      </c>
      <c r="S4914" s="11" t="s">
        <v>28990</v>
      </c>
      <c r="T4914" s="6" t="s">
        <v>299</v>
      </c>
      <c r="U4914" s="24" t="str">
        <f>HYPERLINK("https://media.infra-m.ru/2087/2087301/cover/2087301.jpg", "Обложка")</f>
        <v>Обложка</v>
      </c>
      <c r="V4914" s="24" t="str">
        <f>HYPERLINK("https://znanium.ru/catalog/product/2083813", "Ознакомиться")</f>
        <v>Ознакомиться</v>
      </c>
      <c r="W4914" s="8" t="s">
        <v>5635</v>
      </c>
      <c r="X4914" s="6"/>
      <c r="Y4914" s="6"/>
      <c r="Z4914" s="6"/>
      <c r="AA4914" s="6" t="s">
        <v>151</v>
      </c>
      <c r="AB4914" s="8"/>
    </row>
    <row r="4915" spans="1:28" s="4" customFormat="1" ht="51.95" customHeight="1">
      <c r="A4915" s="5">
        <v>0</v>
      </c>
      <c r="B4915" s="6" t="s">
        <v>28991</v>
      </c>
      <c r="C4915" s="13">
        <v>1974</v>
      </c>
      <c r="D4915" s="8" t="s">
        <v>28992</v>
      </c>
      <c r="E4915" s="8" t="s">
        <v>28993</v>
      </c>
      <c r="F4915" s="8" t="s">
        <v>28994</v>
      </c>
      <c r="G4915" s="6" t="s">
        <v>89</v>
      </c>
      <c r="H4915" s="6" t="s">
        <v>649</v>
      </c>
      <c r="I4915" s="8" t="s">
        <v>90</v>
      </c>
      <c r="J4915" s="9">
        <v>1</v>
      </c>
      <c r="K4915" s="9">
        <v>430</v>
      </c>
      <c r="L4915" s="9">
        <v>2024</v>
      </c>
      <c r="M4915" s="8" t="s">
        <v>28995</v>
      </c>
      <c r="N4915" s="8" t="s">
        <v>41</v>
      </c>
      <c r="O4915" s="8" t="s">
        <v>1007</v>
      </c>
      <c r="P4915" s="6" t="s">
        <v>43</v>
      </c>
      <c r="Q4915" s="8" t="s">
        <v>58</v>
      </c>
      <c r="R4915" s="10" t="s">
        <v>7519</v>
      </c>
      <c r="S4915" s="11" t="s">
        <v>28996</v>
      </c>
      <c r="T4915" s="6"/>
      <c r="U4915" s="24" t="str">
        <f>HYPERLINK("https://media.infra-m.ru/2074/2074269/cover/2074269.jpg", "Обложка")</f>
        <v>Обложка</v>
      </c>
      <c r="V4915" s="24" t="str">
        <f>HYPERLINK("https://znanium.ru/catalog/product/2074269", "Ознакомиться")</f>
        <v>Ознакомиться</v>
      </c>
      <c r="W4915" s="8"/>
      <c r="X4915" s="6"/>
      <c r="Y4915" s="6"/>
      <c r="Z4915" s="6"/>
      <c r="AA4915" s="6" t="s">
        <v>513</v>
      </c>
      <c r="AB4915" s="8"/>
    </row>
    <row r="4916" spans="1:28" s="4" customFormat="1" ht="51.95" customHeight="1">
      <c r="A4916" s="5">
        <v>0</v>
      </c>
      <c r="B4916" s="6" t="s">
        <v>28997</v>
      </c>
      <c r="C4916" s="13">
        <v>1264.9000000000001</v>
      </c>
      <c r="D4916" s="8" t="s">
        <v>28998</v>
      </c>
      <c r="E4916" s="8" t="s">
        <v>28999</v>
      </c>
      <c r="F4916" s="8" t="s">
        <v>29000</v>
      </c>
      <c r="G4916" s="6" t="s">
        <v>52</v>
      </c>
      <c r="H4916" s="6" t="s">
        <v>649</v>
      </c>
      <c r="I4916" s="8" t="s">
        <v>116</v>
      </c>
      <c r="J4916" s="9">
        <v>1</v>
      </c>
      <c r="K4916" s="9">
        <v>432</v>
      </c>
      <c r="L4916" s="9">
        <v>2018</v>
      </c>
      <c r="M4916" s="8" t="s">
        <v>29001</v>
      </c>
      <c r="N4916" s="8" t="s">
        <v>41</v>
      </c>
      <c r="O4916" s="8" t="s">
        <v>1007</v>
      </c>
      <c r="P4916" s="6" t="s">
        <v>43</v>
      </c>
      <c r="Q4916" s="8" t="s">
        <v>44</v>
      </c>
      <c r="R4916" s="10" t="s">
        <v>7519</v>
      </c>
      <c r="S4916" s="11" t="s">
        <v>29002</v>
      </c>
      <c r="T4916" s="6"/>
      <c r="U4916" s="24" t="str">
        <f>HYPERLINK("https://media.infra-m.ru/0966/0966744/cover/966744.jpg", "Обложка")</f>
        <v>Обложка</v>
      </c>
      <c r="V4916" s="24" t="str">
        <f>HYPERLINK("https://znanium.ru/catalog/product/2074269", "Ознакомиться")</f>
        <v>Ознакомиться</v>
      </c>
      <c r="W4916" s="8"/>
      <c r="X4916" s="6"/>
      <c r="Y4916" s="6"/>
      <c r="Z4916" s="6"/>
      <c r="AA4916" s="6" t="s">
        <v>622</v>
      </c>
      <c r="AB4916" s="8"/>
    </row>
    <row r="4917" spans="1:28" s="4" customFormat="1" ht="51.95" customHeight="1">
      <c r="A4917" s="5">
        <v>0</v>
      </c>
      <c r="B4917" s="6" t="s">
        <v>29003</v>
      </c>
      <c r="C4917" s="13">
        <v>1124</v>
      </c>
      <c r="D4917" s="8" t="s">
        <v>29004</v>
      </c>
      <c r="E4917" s="8" t="s">
        <v>29005</v>
      </c>
      <c r="F4917" s="8" t="s">
        <v>29006</v>
      </c>
      <c r="G4917" s="6" t="s">
        <v>89</v>
      </c>
      <c r="H4917" s="6" t="s">
        <v>649</v>
      </c>
      <c r="I4917" s="8" t="s">
        <v>90</v>
      </c>
      <c r="J4917" s="9">
        <v>1</v>
      </c>
      <c r="K4917" s="9">
        <v>224</v>
      </c>
      <c r="L4917" s="9">
        <v>2025</v>
      </c>
      <c r="M4917" s="8" t="s">
        <v>29007</v>
      </c>
      <c r="N4917" s="8" t="s">
        <v>56</v>
      </c>
      <c r="O4917" s="8" t="s">
        <v>4042</v>
      </c>
      <c r="P4917" s="6" t="s">
        <v>43</v>
      </c>
      <c r="Q4917" s="8" t="s">
        <v>44</v>
      </c>
      <c r="R4917" s="10" t="s">
        <v>29008</v>
      </c>
      <c r="S4917" s="11" t="s">
        <v>29009</v>
      </c>
      <c r="T4917" s="6"/>
      <c r="U4917" s="24" t="str">
        <f>HYPERLINK("https://media.infra-m.ru/2188/2188201/cover/2188201.jpg", "Обложка")</f>
        <v>Обложка</v>
      </c>
      <c r="V4917" s="24" t="str">
        <f>HYPERLINK("https://znanium.ru/catalog/product/2137071", "Ознакомиться")</f>
        <v>Ознакомиться</v>
      </c>
      <c r="W4917" s="8" t="s">
        <v>12172</v>
      </c>
      <c r="X4917" s="6"/>
      <c r="Y4917" s="6"/>
      <c r="Z4917" s="6"/>
      <c r="AA4917" s="6" t="s">
        <v>1135</v>
      </c>
      <c r="AB4917" s="8"/>
    </row>
    <row r="4918" spans="1:28" s="4" customFormat="1" ht="51.95" customHeight="1">
      <c r="A4918" s="5">
        <v>0</v>
      </c>
      <c r="B4918" s="6" t="s">
        <v>29010</v>
      </c>
      <c r="C4918" s="13">
        <v>1274</v>
      </c>
      <c r="D4918" s="8" t="s">
        <v>29011</v>
      </c>
      <c r="E4918" s="8" t="s">
        <v>29005</v>
      </c>
      <c r="F4918" s="8" t="s">
        <v>29012</v>
      </c>
      <c r="G4918" s="6" t="s">
        <v>89</v>
      </c>
      <c r="H4918" s="6" t="s">
        <v>674</v>
      </c>
      <c r="I4918" s="8"/>
      <c r="J4918" s="9">
        <v>1</v>
      </c>
      <c r="K4918" s="9">
        <v>272</v>
      </c>
      <c r="L4918" s="9">
        <v>2024</v>
      </c>
      <c r="M4918" s="8" t="s">
        <v>29013</v>
      </c>
      <c r="N4918" s="8" t="s">
        <v>56</v>
      </c>
      <c r="O4918" s="8" t="s">
        <v>4042</v>
      </c>
      <c r="P4918" s="6" t="s">
        <v>43</v>
      </c>
      <c r="Q4918" s="8" t="s">
        <v>44</v>
      </c>
      <c r="R4918" s="10" t="s">
        <v>29014</v>
      </c>
      <c r="S4918" s="11"/>
      <c r="T4918" s="6"/>
      <c r="U4918" s="24" t="str">
        <f>HYPERLINK("https://media.infra-m.ru/2142/2142331/cover/2142331.jpg", "Обложка")</f>
        <v>Обложка</v>
      </c>
      <c r="V4918" s="24" t="str">
        <f>HYPERLINK("https://znanium.ru/catalog/product/2142331", "Ознакомиться")</f>
        <v>Ознакомиться</v>
      </c>
      <c r="W4918" s="8" t="s">
        <v>792</v>
      </c>
      <c r="X4918" s="6"/>
      <c r="Y4918" s="6"/>
      <c r="Z4918" s="6"/>
      <c r="AA4918" s="6" t="s">
        <v>84</v>
      </c>
      <c r="AB4918" s="8"/>
    </row>
    <row r="4919" spans="1:28" s="4" customFormat="1" ht="51.95" customHeight="1">
      <c r="A4919" s="5">
        <v>0</v>
      </c>
      <c r="B4919" s="6" t="s">
        <v>29015</v>
      </c>
      <c r="C4919" s="13">
        <v>1354</v>
      </c>
      <c r="D4919" s="8" t="s">
        <v>29016</v>
      </c>
      <c r="E4919" s="8" t="s">
        <v>29017</v>
      </c>
      <c r="F4919" s="8" t="s">
        <v>29018</v>
      </c>
      <c r="G4919" s="6" t="s">
        <v>52</v>
      </c>
      <c r="H4919" s="6" t="s">
        <v>674</v>
      </c>
      <c r="I4919" s="8"/>
      <c r="J4919" s="9">
        <v>1</v>
      </c>
      <c r="K4919" s="9">
        <v>288</v>
      </c>
      <c r="L4919" s="9">
        <v>2024</v>
      </c>
      <c r="M4919" s="8" t="s">
        <v>29019</v>
      </c>
      <c r="N4919" s="8" t="s">
        <v>41</v>
      </c>
      <c r="O4919" s="8" t="s">
        <v>676</v>
      </c>
      <c r="P4919" s="6" t="s">
        <v>43</v>
      </c>
      <c r="Q4919" s="8" t="s">
        <v>279</v>
      </c>
      <c r="R4919" s="10" t="s">
        <v>24989</v>
      </c>
      <c r="S4919" s="11"/>
      <c r="T4919" s="6"/>
      <c r="U4919" s="24" t="str">
        <f>HYPERLINK("https://media.infra-m.ru/2146/2146826/cover/2146826.jpg", "Обложка")</f>
        <v>Обложка</v>
      </c>
      <c r="V4919" s="24" t="str">
        <f>HYPERLINK("https://znanium.ru/catalog/product/1902910", "Ознакомиться")</f>
        <v>Ознакомиться</v>
      </c>
      <c r="W4919" s="8" t="s">
        <v>792</v>
      </c>
      <c r="X4919" s="6"/>
      <c r="Y4919" s="6"/>
      <c r="Z4919" s="6"/>
      <c r="AA4919" s="6" t="s">
        <v>235</v>
      </c>
      <c r="AB4919" s="8"/>
    </row>
    <row r="4920" spans="1:28" s="4" customFormat="1" ht="42" customHeight="1">
      <c r="A4920" s="5">
        <v>0</v>
      </c>
      <c r="B4920" s="6" t="s">
        <v>29020</v>
      </c>
      <c r="C4920" s="13">
        <v>1340</v>
      </c>
      <c r="D4920" s="8" t="s">
        <v>29021</v>
      </c>
      <c r="E4920" s="8" t="s">
        <v>29022</v>
      </c>
      <c r="F4920" s="8" t="s">
        <v>29023</v>
      </c>
      <c r="G4920" s="6" t="s">
        <v>52</v>
      </c>
      <c r="H4920" s="6" t="s">
        <v>53</v>
      </c>
      <c r="I4920" s="8" t="s">
        <v>116</v>
      </c>
      <c r="J4920" s="9">
        <v>1</v>
      </c>
      <c r="K4920" s="9">
        <v>271</v>
      </c>
      <c r="L4920" s="9">
        <v>2024</v>
      </c>
      <c r="M4920" s="8" t="s">
        <v>29024</v>
      </c>
      <c r="N4920" s="8" t="s">
        <v>41</v>
      </c>
      <c r="O4920" s="8" t="s">
        <v>118</v>
      </c>
      <c r="P4920" s="6" t="s">
        <v>167</v>
      </c>
      <c r="Q4920" s="8" t="s">
        <v>44</v>
      </c>
      <c r="R4920" s="10" t="s">
        <v>157</v>
      </c>
      <c r="S4920" s="11"/>
      <c r="T4920" s="6"/>
      <c r="U4920" s="24" t="str">
        <f>HYPERLINK("https://media.infra-m.ru/1921/1921381/cover/1921381.jpg", "Обложка")</f>
        <v>Обложка</v>
      </c>
      <c r="V4920" s="24" t="str">
        <f>HYPERLINK("https://znanium.ru/catalog/product/1921381", "Ознакомиться")</f>
        <v>Ознакомиться</v>
      </c>
      <c r="W4920" s="8" t="s">
        <v>3577</v>
      </c>
      <c r="X4920" s="6"/>
      <c r="Y4920" s="6"/>
      <c r="Z4920" s="6"/>
      <c r="AA4920" s="6" t="s">
        <v>133</v>
      </c>
      <c r="AB4920" s="8"/>
    </row>
    <row r="4921" spans="1:28" s="4" customFormat="1" ht="51.95" customHeight="1">
      <c r="A4921" s="5">
        <v>0</v>
      </c>
      <c r="B4921" s="6" t="s">
        <v>29025</v>
      </c>
      <c r="C4921" s="7">
        <v>620</v>
      </c>
      <c r="D4921" s="8" t="s">
        <v>29026</v>
      </c>
      <c r="E4921" s="8" t="s">
        <v>29027</v>
      </c>
      <c r="F4921" s="8" t="s">
        <v>29028</v>
      </c>
      <c r="G4921" s="6" t="s">
        <v>38</v>
      </c>
      <c r="H4921" s="6" t="s">
        <v>674</v>
      </c>
      <c r="I4921" s="8"/>
      <c r="J4921" s="9">
        <v>1</v>
      </c>
      <c r="K4921" s="9">
        <v>112</v>
      </c>
      <c r="L4921" s="9">
        <v>2025</v>
      </c>
      <c r="M4921" s="8" t="s">
        <v>29029</v>
      </c>
      <c r="N4921" s="8" t="s">
        <v>41</v>
      </c>
      <c r="O4921" s="8" t="s">
        <v>676</v>
      </c>
      <c r="P4921" s="6" t="s">
        <v>43</v>
      </c>
      <c r="Q4921" s="8" t="s">
        <v>279</v>
      </c>
      <c r="R4921" s="10" t="s">
        <v>806</v>
      </c>
      <c r="S4921" s="11"/>
      <c r="T4921" s="6"/>
      <c r="U4921" s="24" t="str">
        <f>HYPERLINK("https://media.infra-m.ru/2170/2170035/cover/2170035.jpg", "Обложка")</f>
        <v>Обложка</v>
      </c>
      <c r="V4921" s="24" t="str">
        <f>HYPERLINK("https://znanium.ru/catalog/product/2170035", "Ознакомиться")</f>
        <v>Ознакомиться</v>
      </c>
      <c r="W4921" s="8" t="s">
        <v>792</v>
      </c>
      <c r="X4921" s="6"/>
      <c r="Y4921" s="6"/>
      <c r="Z4921" s="6"/>
      <c r="AA4921" s="6" t="s">
        <v>418</v>
      </c>
      <c r="AB4921" s="8"/>
    </row>
    <row r="4922" spans="1:28" s="4" customFormat="1" ht="51.95" customHeight="1">
      <c r="A4922" s="5">
        <v>0</v>
      </c>
      <c r="B4922" s="6" t="s">
        <v>29030</v>
      </c>
      <c r="C4922" s="13">
        <v>1724</v>
      </c>
      <c r="D4922" s="8" t="s">
        <v>29031</v>
      </c>
      <c r="E4922" s="8" t="s">
        <v>29032</v>
      </c>
      <c r="F4922" s="8" t="s">
        <v>29033</v>
      </c>
      <c r="G4922" s="6" t="s">
        <v>89</v>
      </c>
      <c r="H4922" s="6" t="s">
        <v>53</v>
      </c>
      <c r="I4922" s="8" t="s">
        <v>4855</v>
      </c>
      <c r="J4922" s="9">
        <v>1</v>
      </c>
      <c r="K4922" s="9">
        <v>372</v>
      </c>
      <c r="L4922" s="9">
        <v>2024</v>
      </c>
      <c r="M4922" s="8" t="s">
        <v>29034</v>
      </c>
      <c r="N4922" s="8" t="s">
        <v>41</v>
      </c>
      <c r="O4922" s="8" t="s">
        <v>278</v>
      </c>
      <c r="P4922" s="6" t="s">
        <v>43</v>
      </c>
      <c r="Q4922" s="8" t="s">
        <v>44</v>
      </c>
      <c r="R4922" s="10" t="s">
        <v>24715</v>
      </c>
      <c r="S4922" s="11" t="s">
        <v>29035</v>
      </c>
      <c r="T4922" s="6"/>
      <c r="U4922" s="24" t="str">
        <f>HYPERLINK("https://media.infra-m.ru/2088/2088638/cover/2088638.jpg", "Обложка")</f>
        <v>Обложка</v>
      </c>
      <c r="V4922" s="12"/>
      <c r="W4922" s="8" t="s">
        <v>784</v>
      </c>
      <c r="X4922" s="6"/>
      <c r="Y4922" s="6"/>
      <c r="Z4922" s="6"/>
      <c r="AA4922" s="6" t="s">
        <v>151</v>
      </c>
      <c r="AB4922" s="8"/>
    </row>
    <row r="4923" spans="1:28" s="4" customFormat="1" ht="51.95" customHeight="1">
      <c r="A4923" s="5">
        <v>0</v>
      </c>
      <c r="B4923" s="6" t="s">
        <v>29036</v>
      </c>
      <c r="C4923" s="13">
        <v>1164</v>
      </c>
      <c r="D4923" s="8" t="s">
        <v>29037</v>
      </c>
      <c r="E4923" s="8" t="s">
        <v>29038</v>
      </c>
      <c r="F4923" s="8" t="s">
        <v>29039</v>
      </c>
      <c r="G4923" s="6" t="s">
        <v>52</v>
      </c>
      <c r="H4923" s="6" t="s">
        <v>53</v>
      </c>
      <c r="I4923" s="8" t="s">
        <v>90</v>
      </c>
      <c r="J4923" s="9">
        <v>1</v>
      </c>
      <c r="K4923" s="9">
        <v>252</v>
      </c>
      <c r="L4923" s="9">
        <v>2024</v>
      </c>
      <c r="M4923" s="8" t="s">
        <v>29040</v>
      </c>
      <c r="N4923" s="8" t="s">
        <v>41</v>
      </c>
      <c r="O4923" s="8" t="s">
        <v>278</v>
      </c>
      <c r="P4923" s="6" t="s">
        <v>167</v>
      </c>
      <c r="Q4923" s="8" t="s">
        <v>44</v>
      </c>
      <c r="R4923" s="10" t="s">
        <v>29041</v>
      </c>
      <c r="S4923" s="11" t="s">
        <v>29042</v>
      </c>
      <c r="T4923" s="6"/>
      <c r="U4923" s="24" t="str">
        <f>HYPERLINK("https://media.infra-m.ru/1892/1892020/cover/1892020.jpg", "Обложка")</f>
        <v>Обложка</v>
      </c>
      <c r="V4923" s="24" t="str">
        <f>HYPERLINK("https://znanium.ru/catalog/product/1210727", "Ознакомиться")</f>
        <v>Ознакомиться</v>
      </c>
      <c r="W4923" s="8" t="s">
        <v>1076</v>
      </c>
      <c r="X4923" s="6"/>
      <c r="Y4923" s="6"/>
      <c r="Z4923" s="6"/>
      <c r="AA4923" s="6" t="s">
        <v>84</v>
      </c>
      <c r="AB4923" s="8"/>
    </row>
    <row r="4924" spans="1:28" s="4" customFormat="1" ht="51.95" customHeight="1">
      <c r="A4924" s="5">
        <v>0</v>
      </c>
      <c r="B4924" s="6" t="s">
        <v>29043</v>
      </c>
      <c r="C4924" s="13">
        <v>1560</v>
      </c>
      <c r="D4924" s="8" t="s">
        <v>29044</v>
      </c>
      <c r="E4924" s="8" t="s">
        <v>29045</v>
      </c>
      <c r="F4924" s="8" t="s">
        <v>20028</v>
      </c>
      <c r="G4924" s="6" t="s">
        <v>89</v>
      </c>
      <c r="H4924" s="6" t="s">
        <v>53</v>
      </c>
      <c r="I4924" s="8" t="s">
        <v>116</v>
      </c>
      <c r="J4924" s="9">
        <v>1</v>
      </c>
      <c r="K4924" s="9">
        <v>300</v>
      </c>
      <c r="L4924" s="9">
        <v>2025</v>
      </c>
      <c r="M4924" s="8" t="s">
        <v>29046</v>
      </c>
      <c r="N4924" s="8" t="s">
        <v>56</v>
      </c>
      <c r="O4924" s="8" t="s">
        <v>741</v>
      </c>
      <c r="P4924" s="6" t="s">
        <v>43</v>
      </c>
      <c r="Q4924" s="8" t="s">
        <v>44</v>
      </c>
      <c r="R4924" s="10" t="s">
        <v>24371</v>
      </c>
      <c r="S4924" s="11"/>
      <c r="T4924" s="6"/>
      <c r="U4924" s="24" t="str">
        <f>HYPERLINK("https://media.infra-m.ru/2198/2198339/cover/2198339.jpg", "Обложка")</f>
        <v>Обложка</v>
      </c>
      <c r="V4924" s="24" t="str">
        <f>HYPERLINK("https://znanium.ru/catalog/product/2198339", "Ознакомиться")</f>
        <v>Ознакомиться</v>
      </c>
      <c r="W4924" s="8" t="s">
        <v>1505</v>
      </c>
      <c r="X4924" s="6"/>
      <c r="Y4924" s="6"/>
      <c r="Z4924" s="6"/>
      <c r="AA4924" s="6" t="s">
        <v>133</v>
      </c>
      <c r="AB4924" s="8"/>
    </row>
    <row r="4925" spans="1:28" s="4" customFormat="1" ht="42" customHeight="1">
      <c r="A4925" s="5">
        <v>0</v>
      </c>
      <c r="B4925" s="6" t="s">
        <v>29047</v>
      </c>
      <c r="C4925" s="13">
        <v>1614</v>
      </c>
      <c r="D4925" s="8" t="s">
        <v>29048</v>
      </c>
      <c r="E4925" s="8" t="s">
        <v>29049</v>
      </c>
      <c r="F4925" s="8" t="s">
        <v>29050</v>
      </c>
      <c r="G4925" s="6" t="s">
        <v>52</v>
      </c>
      <c r="H4925" s="6" t="s">
        <v>39</v>
      </c>
      <c r="I4925" s="8" t="s">
        <v>90</v>
      </c>
      <c r="J4925" s="9">
        <v>1</v>
      </c>
      <c r="K4925" s="9">
        <v>352</v>
      </c>
      <c r="L4925" s="9">
        <v>2024</v>
      </c>
      <c r="M4925" s="8" t="s">
        <v>29051</v>
      </c>
      <c r="N4925" s="8" t="s">
        <v>41</v>
      </c>
      <c r="O4925" s="8" t="s">
        <v>1204</v>
      </c>
      <c r="P4925" s="6" t="s">
        <v>43</v>
      </c>
      <c r="Q4925" s="8" t="s">
        <v>44</v>
      </c>
      <c r="R4925" s="10" t="s">
        <v>23937</v>
      </c>
      <c r="S4925" s="11"/>
      <c r="T4925" s="6"/>
      <c r="U4925" s="24" t="str">
        <f>HYPERLINK("https://media.infra-m.ru/2104/2104873/cover/2104873.jpg", "Обложка")</f>
        <v>Обложка</v>
      </c>
      <c r="V4925" s="12"/>
      <c r="W4925" s="8" t="s">
        <v>5071</v>
      </c>
      <c r="X4925" s="6"/>
      <c r="Y4925" s="6"/>
      <c r="Z4925" s="6"/>
      <c r="AA4925" s="6" t="s">
        <v>47</v>
      </c>
      <c r="AB4925" s="8"/>
    </row>
    <row r="4926" spans="1:28" s="4" customFormat="1" ht="51.95" customHeight="1">
      <c r="A4926" s="5">
        <v>0</v>
      </c>
      <c r="B4926" s="6" t="s">
        <v>29052</v>
      </c>
      <c r="C4926" s="13">
        <v>1344.9</v>
      </c>
      <c r="D4926" s="8" t="s">
        <v>29053</v>
      </c>
      <c r="E4926" s="8" t="s">
        <v>29054</v>
      </c>
      <c r="F4926" s="8" t="s">
        <v>29055</v>
      </c>
      <c r="G4926" s="6" t="s">
        <v>38</v>
      </c>
      <c r="H4926" s="6" t="s">
        <v>53</v>
      </c>
      <c r="I4926" s="8"/>
      <c r="J4926" s="9">
        <v>1</v>
      </c>
      <c r="K4926" s="9">
        <v>299</v>
      </c>
      <c r="L4926" s="9">
        <v>2023</v>
      </c>
      <c r="M4926" s="8" t="s">
        <v>29056</v>
      </c>
      <c r="N4926" s="8" t="s">
        <v>41</v>
      </c>
      <c r="O4926" s="8" t="s">
        <v>278</v>
      </c>
      <c r="P4926" s="6" t="s">
        <v>43</v>
      </c>
      <c r="Q4926" s="8" t="s">
        <v>44</v>
      </c>
      <c r="R4926" s="10" t="s">
        <v>29057</v>
      </c>
      <c r="S4926" s="11"/>
      <c r="T4926" s="6"/>
      <c r="U4926" s="24" t="str">
        <f>HYPERLINK("https://media.infra-m.ru/1911/1911218/cover/1911218.jpg", "Обложка")</f>
        <v>Обложка</v>
      </c>
      <c r="V4926" s="24" t="str">
        <f>HYPERLINK("https://znanium.ru/catalog/product/1002476", "Ознакомиться")</f>
        <v>Ознакомиться</v>
      </c>
      <c r="W4926" s="8" t="s">
        <v>2343</v>
      </c>
      <c r="X4926" s="6"/>
      <c r="Y4926" s="6"/>
      <c r="Z4926" s="6"/>
      <c r="AA4926" s="6" t="s">
        <v>111</v>
      </c>
      <c r="AB4926" s="8"/>
    </row>
    <row r="4927" spans="1:28" s="4" customFormat="1" ht="51.95" customHeight="1">
      <c r="A4927" s="5">
        <v>0</v>
      </c>
      <c r="B4927" s="6" t="s">
        <v>29058</v>
      </c>
      <c r="C4927" s="13">
        <v>1767</v>
      </c>
      <c r="D4927" s="8" t="s">
        <v>29059</v>
      </c>
      <c r="E4927" s="8" t="s">
        <v>29060</v>
      </c>
      <c r="F4927" s="8" t="s">
        <v>29061</v>
      </c>
      <c r="G4927" s="6" t="s">
        <v>52</v>
      </c>
      <c r="H4927" s="6" t="s">
        <v>39</v>
      </c>
      <c r="I4927" s="8" t="s">
        <v>116</v>
      </c>
      <c r="J4927" s="9">
        <v>1</v>
      </c>
      <c r="K4927" s="9">
        <v>384</v>
      </c>
      <c r="L4927" s="9">
        <v>2024</v>
      </c>
      <c r="M4927" s="8" t="s">
        <v>29062</v>
      </c>
      <c r="N4927" s="8" t="s">
        <v>79</v>
      </c>
      <c r="O4927" s="8" t="s">
        <v>396</v>
      </c>
      <c r="P4927" s="6" t="s">
        <v>43</v>
      </c>
      <c r="Q4927" s="8" t="s">
        <v>44</v>
      </c>
      <c r="R4927" s="10" t="s">
        <v>29063</v>
      </c>
      <c r="S4927" s="11" t="s">
        <v>29064</v>
      </c>
      <c r="T4927" s="6"/>
      <c r="U4927" s="24" t="str">
        <f>HYPERLINK("https://media.infra-m.ru/2056/2056656/cover/2056656.jpg", "Обложка")</f>
        <v>Обложка</v>
      </c>
      <c r="V4927" s="24" t="str">
        <f>HYPERLINK("https://znanium.ru/catalog/product/1018362", "Ознакомиться")</f>
        <v>Ознакомиться</v>
      </c>
      <c r="W4927" s="8" t="s">
        <v>1514</v>
      </c>
      <c r="X4927" s="6"/>
      <c r="Y4927" s="6"/>
      <c r="Z4927" s="6"/>
      <c r="AA4927" s="6" t="s">
        <v>2414</v>
      </c>
      <c r="AB4927" s="8"/>
    </row>
    <row r="4928" spans="1:28" s="4" customFormat="1" ht="42" customHeight="1">
      <c r="A4928" s="5">
        <v>0</v>
      </c>
      <c r="B4928" s="6" t="s">
        <v>29065</v>
      </c>
      <c r="C4928" s="13">
        <v>2627</v>
      </c>
      <c r="D4928" s="8" t="s">
        <v>29066</v>
      </c>
      <c r="E4928" s="8" t="s">
        <v>29067</v>
      </c>
      <c r="F4928" s="8" t="s">
        <v>29068</v>
      </c>
      <c r="G4928" s="6" t="s">
        <v>52</v>
      </c>
      <c r="H4928" s="6" t="s">
        <v>39</v>
      </c>
      <c r="I4928" s="8" t="s">
        <v>116</v>
      </c>
      <c r="J4928" s="9">
        <v>1</v>
      </c>
      <c r="K4928" s="9">
        <v>448</v>
      </c>
      <c r="L4928" s="9">
        <v>2023</v>
      </c>
      <c r="M4928" s="8" t="s">
        <v>29069</v>
      </c>
      <c r="N4928" s="8" t="s">
        <v>79</v>
      </c>
      <c r="O4928" s="8" t="s">
        <v>396</v>
      </c>
      <c r="P4928" s="6" t="s">
        <v>167</v>
      </c>
      <c r="Q4928" s="8" t="s">
        <v>58</v>
      </c>
      <c r="R4928" s="10" t="s">
        <v>24844</v>
      </c>
      <c r="S4928" s="11"/>
      <c r="T4928" s="6"/>
      <c r="U4928" s="24" t="str">
        <f>HYPERLINK("https://media.infra-m.ru/1981/1981715/cover/1981715.jpg", "Обложка")</f>
        <v>Обложка</v>
      </c>
      <c r="V4928" s="12"/>
      <c r="W4928" s="8" t="s">
        <v>450</v>
      </c>
      <c r="X4928" s="6"/>
      <c r="Y4928" s="6"/>
      <c r="Z4928" s="6"/>
      <c r="AA4928" s="6" t="s">
        <v>122</v>
      </c>
      <c r="AB4928" s="8"/>
    </row>
    <row r="4929" spans="1:28" s="4" customFormat="1" ht="51.95" customHeight="1">
      <c r="A4929" s="5">
        <v>0</v>
      </c>
      <c r="B4929" s="6" t="s">
        <v>29070</v>
      </c>
      <c r="C4929" s="13">
        <v>1414.9</v>
      </c>
      <c r="D4929" s="8" t="s">
        <v>29071</v>
      </c>
      <c r="E4929" s="8" t="s">
        <v>29072</v>
      </c>
      <c r="F4929" s="8" t="s">
        <v>29073</v>
      </c>
      <c r="G4929" s="6" t="s">
        <v>89</v>
      </c>
      <c r="H4929" s="6" t="s">
        <v>53</v>
      </c>
      <c r="I4929" s="8" t="s">
        <v>116</v>
      </c>
      <c r="J4929" s="9">
        <v>1</v>
      </c>
      <c r="K4929" s="9">
        <v>384</v>
      </c>
      <c r="L4929" s="9">
        <v>2022</v>
      </c>
      <c r="M4929" s="8" t="s">
        <v>29074</v>
      </c>
      <c r="N4929" s="8" t="s">
        <v>79</v>
      </c>
      <c r="O4929" s="8" t="s">
        <v>396</v>
      </c>
      <c r="P4929" s="6" t="s">
        <v>167</v>
      </c>
      <c r="Q4929" s="8" t="s">
        <v>44</v>
      </c>
      <c r="R4929" s="10" t="s">
        <v>29075</v>
      </c>
      <c r="S4929" s="11" t="s">
        <v>29076</v>
      </c>
      <c r="T4929" s="6"/>
      <c r="U4929" s="24" t="str">
        <f>HYPERLINK("https://media.infra-m.ru/1836/1836735/cover/1836735.jpg", "Обложка")</f>
        <v>Обложка</v>
      </c>
      <c r="V4929" s="24" t="str">
        <f>HYPERLINK("https://znanium.ru/catalog/product/1836735", "Ознакомиться")</f>
        <v>Ознакомиться</v>
      </c>
      <c r="W4929" s="8" t="s">
        <v>5825</v>
      </c>
      <c r="X4929" s="6"/>
      <c r="Y4929" s="6"/>
      <c r="Z4929" s="6"/>
      <c r="AA4929" s="6" t="s">
        <v>72</v>
      </c>
      <c r="AB4929" s="8"/>
    </row>
    <row r="4930" spans="1:28" s="4" customFormat="1" ht="51.95" customHeight="1">
      <c r="A4930" s="5">
        <v>0</v>
      </c>
      <c r="B4930" s="6" t="s">
        <v>29077</v>
      </c>
      <c r="C4930" s="13">
        <v>1480</v>
      </c>
      <c r="D4930" s="8" t="s">
        <v>29078</v>
      </c>
      <c r="E4930" s="8" t="s">
        <v>29079</v>
      </c>
      <c r="F4930" s="8" t="s">
        <v>29073</v>
      </c>
      <c r="G4930" s="6" t="s">
        <v>89</v>
      </c>
      <c r="H4930" s="6" t="s">
        <v>53</v>
      </c>
      <c r="I4930" s="8" t="s">
        <v>116</v>
      </c>
      <c r="J4930" s="9">
        <v>1</v>
      </c>
      <c r="K4930" s="9">
        <v>406</v>
      </c>
      <c r="L4930" s="9">
        <v>2022</v>
      </c>
      <c r="M4930" s="8" t="s">
        <v>29080</v>
      </c>
      <c r="N4930" s="8" t="s">
        <v>79</v>
      </c>
      <c r="O4930" s="8" t="s">
        <v>396</v>
      </c>
      <c r="P4930" s="6" t="s">
        <v>167</v>
      </c>
      <c r="Q4930" s="8" t="s">
        <v>44</v>
      </c>
      <c r="R4930" s="10" t="s">
        <v>29081</v>
      </c>
      <c r="S4930" s="11" t="s">
        <v>29082</v>
      </c>
      <c r="T4930" s="6"/>
      <c r="U4930" s="24" t="str">
        <f>HYPERLINK("https://media.infra-m.ru/1222/1222937/cover/1222937.jpg", "Обложка")</f>
        <v>Обложка</v>
      </c>
      <c r="V4930" s="24" t="str">
        <f>HYPERLINK("https://znanium.ru/catalog/product/960009", "Ознакомиться")</f>
        <v>Ознакомиться</v>
      </c>
      <c r="W4930" s="8" t="s">
        <v>5825</v>
      </c>
      <c r="X4930" s="6"/>
      <c r="Y4930" s="6"/>
      <c r="Z4930" s="6"/>
      <c r="AA4930" s="6" t="s">
        <v>72</v>
      </c>
      <c r="AB4930" s="8"/>
    </row>
    <row r="4931" spans="1:28" s="4" customFormat="1" ht="51.95" customHeight="1">
      <c r="A4931" s="5">
        <v>0</v>
      </c>
      <c r="B4931" s="6" t="s">
        <v>29083</v>
      </c>
      <c r="C4931" s="13">
        <v>1204</v>
      </c>
      <c r="D4931" s="8" t="s">
        <v>29084</v>
      </c>
      <c r="E4931" s="8" t="s">
        <v>29085</v>
      </c>
      <c r="F4931" s="8" t="s">
        <v>28945</v>
      </c>
      <c r="G4931" s="6" t="s">
        <v>52</v>
      </c>
      <c r="H4931" s="6" t="s">
        <v>53</v>
      </c>
      <c r="I4931" s="8" t="s">
        <v>90</v>
      </c>
      <c r="J4931" s="9">
        <v>1</v>
      </c>
      <c r="K4931" s="9">
        <v>240</v>
      </c>
      <c r="L4931" s="9">
        <v>2025</v>
      </c>
      <c r="M4931" s="8" t="s">
        <v>29086</v>
      </c>
      <c r="N4931" s="8" t="s">
        <v>997</v>
      </c>
      <c r="O4931" s="8" t="s">
        <v>998</v>
      </c>
      <c r="P4931" s="6" t="s">
        <v>43</v>
      </c>
      <c r="Q4931" s="8" t="s">
        <v>44</v>
      </c>
      <c r="R4931" s="10" t="s">
        <v>6360</v>
      </c>
      <c r="S4931" s="11" t="s">
        <v>29087</v>
      </c>
      <c r="T4931" s="6"/>
      <c r="U4931" s="24" t="str">
        <f>HYPERLINK("https://media.infra-m.ru/2164/2164301/cover/2164301.jpg", "Обложка")</f>
        <v>Обложка</v>
      </c>
      <c r="V4931" s="24" t="str">
        <f>HYPERLINK("https://znanium.ru/catalog/product/1439628", "Ознакомиться")</f>
        <v>Ознакомиться</v>
      </c>
      <c r="W4931" s="8" t="s">
        <v>26392</v>
      </c>
      <c r="X4931" s="6"/>
      <c r="Y4931" s="6"/>
      <c r="Z4931" s="6"/>
      <c r="AA4931" s="6" t="s">
        <v>235</v>
      </c>
      <c r="AB4931" s="8" t="s">
        <v>1035</v>
      </c>
    </row>
    <row r="4932" spans="1:28" s="4" customFormat="1" ht="51.95" customHeight="1">
      <c r="A4932" s="5">
        <v>0</v>
      </c>
      <c r="B4932" s="6" t="s">
        <v>29088</v>
      </c>
      <c r="C4932" s="7">
        <v>964</v>
      </c>
      <c r="D4932" s="8" t="s">
        <v>29089</v>
      </c>
      <c r="E4932" s="8" t="s">
        <v>29090</v>
      </c>
      <c r="F4932" s="8" t="s">
        <v>29091</v>
      </c>
      <c r="G4932" s="6" t="s">
        <v>52</v>
      </c>
      <c r="H4932" s="6" t="s">
        <v>53</v>
      </c>
      <c r="I4932" s="8" t="s">
        <v>90</v>
      </c>
      <c r="J4932" s="9">
        <v>1</v>
      </c>
      <c r="K4932" s="9">
        <v>192</v>
      </c>
      <c r="L4932" s="9">
        <v>2025</v>
      </c>
      <c r="M4932" s="8" t="s">
        <v>29092</v>
      </c>
      <c r="N4932" s="8" t="s">
        <v>56</v>
      </c>
      <c r="O4932" s="8" t="s">
        <v>741</v>
      </c>
      <c r="P4932" s="6" t="s">
        <v>43</v>
      </c>
      <c r="Q4932" s="8" t="s">
        <v>44</v>
      </c>
      <c r="R4932" s="10" t="s">
        <v>29093</v>
      </c>
      <c r="S4932" s="11" t="s">
        <v>29094</v>
      </c>
      <c r="T4932" s="6"/>
      <c r="U4932" s="24" t="str">
        <f>HYPERLINK("https://media.infra-m.ru/2163/2163870/cover/2163870.jpg", "Обложка")</f>
        <v>Обложка</v>
      </c>
      <c r="V4932" s="24" t="str">
        <f>HYPERLINK("https://znanium.ru/catalog/product/1497870", "Ознакомиться")</f>
        <v>Ознакомиться</v>
      </c>
      <c r="W4932" s="8" t="s">
        <v>8824</v>
      </c>
      <c r="X4932" s="6"/>
      <c r="Y4932" s="6"/>
      <c r="Z4932" s="6"/>
      <c r="AA4932" s="6" t="s">
        <v>84</v>
      </c>
      <c r="AB4932" s="8"/>
    </row>
    <row r="4933" spans="1:28" s="4" customFormat="1" ht="51.95" customHeight="1">
      <c r="A4933" s="5">
        <v>0</v>
      </c>
      <c r="B4933" s="6" t="s">
        <v>29095</v>
      </c>
      <c r="C4933" s="13">
        <v>1400</v>
      </c>
      <c r="D4933" s="8" t="s">
        <v>29096</v>
      </c>
      <c r="E4933" s="8" t="s">
        <v>29097</v>
      </c>
      <c r="F4933" s="8" t="s">
        <v>29098</v>
      </c>
      <c r="G4933" s="6" t="s">
        <v>89</v>
      </c>
      <c r="H4933" s="6" t="s">
        <v>53</v>
      </c>
      <c r="I4933" s="8" t="s">
        <v>116</v>
      </c>
      <c r="J4933" s="9">
        <v>1</v>
      </c>
      <c r="K4933" s="9">
        <v>299</v>
      </c>
      <c r="L4933" s="9">
        <v>2024</v>
      </c>
      <c r="M4933" s="8" t="s">
        <v>29099</v>
      </c>
      <c r="N4933" s="8" t="s">
        <v>997</v>
      </c>
      <c r="O4933" s="8" t="s">
        <v>998</v>
      </c>
      <c r="P4933" s="6" t="s">
        <v>167</v>
      </c>
      <c r="Q4933" s="8" t="s">
        <v>44</v>
      </c>
      <c r="R4933" s="10" t="s">
        <v>21485</v>
      </c>
      <c r="S4933" s="11" t="s">
        <v>1599</v>
      </c>
      <c r="T4933" s="6" t="s">
        <v>299</v>
      </c>
      <c r="U4933" s="24" t="str">
        <f>HYPERLINK("https://media.infra-m.ru/2116/2116863/cover/2116863.jpg", "Обложка")</f>
        <v>Обложка</v>
      </c>
      <c r="V4933" s="24" t="str">
        <f>HYPERLINK("https://znanium.ru/catalog/product/2116863", "Ознакомиться")</f>
        <v>Ознакомиться</v>
      </c>
      <c r="W4933" s="8" t="s">
        <v>2514</v>
      </c>
      <c r="X4933" s="6"/>
      <c r="Y4933" s="6"/>
      <c r="Z4933" s="6"/>
      <c r="AA4933" s="6" t="s">
        <v>418</v>
      </c>
      <c r="AB4933" s="8"/>
    </row>
    <row r="4934" spans="1:28" s="4" customFormat="1" ht="51.95" customHeight="1">
      <c r="A4934" s="5">
        <v>0</v>
      </c>
      <c r="B4934" s="6" t="s">
        <v>29100</v>
      </c>
      <c r="C4934" s="13">
        <v>1930</v>
      </c>
      <c r="D4934" s="8" t="s">
        <v>29101</v>
      </c>
      <c r="E4934" s="8" t="s">
        <v>29102</v>
      </c>
      <c r="F4934" s="8" t="s">
        <v>15549</v>
      </c>
      <c r="G4934" s="6" t="s">
        <v>52</v>
      </c>
      <c r="H4934" s="6" t="s">
        <v>53</v>
      </c>
      <c r="I4934" s="8" t="s">
        <v>1779</v>
      </c>
      <c r="J4934" s="9">
        <v>1</v>
      </c>
      <c r="K4934" s="9">
        <v>418</v>
      </c>
      <c r="L4934" s="9">
        <v>2024</v>
      </c>
      <c r="M4934" s="8" t="s">
        <v>29103</v>
      </c>
      <c r="N4934" s="8" t="s">
        <v>413</v>
      </c>
      <c r="O4934" s="8" t="s">
        <v>1141</v>
      </c>
      <c r="P4934" s="6" t="s">
        <v>43</v>
      </c>
      <c r="Q4934" s="8" t="s">
        <v>44</v>
      </c>
      <c r="R4934" s="10" t="s">
        <v>29104</v>
      </c>
      <c r="S4934" s="11" t="s">
        <v>29105</v>
      </c>
      <c r="T4934" s="6"/>
      <c r="U4934" s="24" t="str">
        <f>HYPERLINK("https://media.infra-m.ru/2083/2083691/cover/2083691.jpg", "Обложка")</f>
        <v>Обложка</v>
      </c>
      <c r="V4934" s="24" t="str">
        <f>HYPERLINK("https://znanium.ru/catalog/product/2083691", "Ознакомиться")</f>
        <v>Ознакомиться</v>
      </c>
      <c r="W4934" s="8" t="s">
        <v>206</v>
      </c>
      <c r="X4934" s="6"/>
      <c r="Y4934" s="6"/>
      <c r="Z4934" s="6"/>
      <c r="AA4934" s="6" t="s">
        <v>258</v>
      </c>
      <c r="AB4934" s="8"/>
    </row>
    <row r="4935" spans="1:28" s="4" customFormat="1" ht="51.95" customHeight="1">
      <c r="A4935" s="5">
        <v>0</v>
      </c>
      <c r="B4935" s="6" t="s">
        <v>29106</v>
      </c>
      <c r="C4935" s="7">
        <v>734</v>
      </c>
      <c r="D4935" s="8" t="s">
        <v>29107</v>
      </c>
      <c r="E4935" s="8" t="s">
        <v>29108</v>
      </c>
      <c r="F4935" s="8" t="s">
        <v>29109</v>
      </c>
      <c r="G4935" s="6" t="s">
        <v>38</v>
      </c>
      <c r="H4935" s="6" t="s">
        <v>39</v>
      </c>
      <c r="I4935" s="8" t="s">
        <v>29110</v>
      </c>
      <c r="J4935" s="9">
        <v>1</v>
      </c>
      <c r="K4935" s="9">
        <v>128</v>
      </c>
      <c r="L4935" s="9">
        <v>2025</v>
      </c>
      <c r="M4935" s="8" t="s">
        <v>29111</v>
      </c>
      <c r="N4935" s="8" t="s">
        <v>413</v>
      </c>
      <c r="O4935" s="8" t="s">
        <v>1141</v>
      </c>
      <c r="P4935" s="6" t="s">
        <v>43</v>
      </c>
      <c r="Q4935" s="8" t="s">
        <v>44</v>
      </c>
      <c r="R4935" s="10" t="s">
        <v>29112</v>
      </c>
      <c r="S4935" s="11" t="s">
        <v>29113</v>
      </c>
      <c r="T4935" s="6"/>
      <c r="U4935" s="24" t="str">
        <f>HYPERLINK("https://media.infra-m.ru/2179/2179236/cover/2179236.jpg", "Обложка")</f>
        <v>Обложка</v>
      </c>
      <c r="V4935" s="24" t="str">
        <f>HYPERLINK("https://znanium.ru/catalog/product/2104787", "Ознакомиться")</f>
        <v>Ознакомиться</v>
      </c>
      <c r="W4935" s="8" t="s">
        <v>83</v>
      </c>
      <c r="X4935" s="6"/>
      <c r="Y4935" s="6"/>
      <c r="Z4935" s="6"/>
      <c r="AA4935" s="6" t="s">
        <v>122</v>
      </c>
      <c r="AB4935" s="8"/>
    </row>
    <row r="4936" spans="1:28" s="4" customFormat="1" ht="51.95" customHeight="1">
      <c r="A4936" s="5">
        <v>0</v>
      </c>
      <c r="B4936" s="6" t="s">
        <v>29114</v>
      </c>
      <c r="C4936" s="13">
        <v>1180</v>
      </c>
      <c r="D4936" s="8" t="s">
        <v>29115</v>
      </c>
      <c r="E4936" s="8" t="s">
        <v>29116</v>
      </c>
      <c r="F4936" s="8" t="s">
        <v>29117</v>
      </c>
      <c r="G4936" s="6" t="s">
        <v>89</v>
      </c>
      <c r="H4936" s="6" t="s">
        <v>53</v>
      </c>
      <c r="I4936" s="8" t="s">
        <v>146</v>
      </c>
      <c r="J4936" s="9">
        <v>1</v>
      </c>
      <c r="K4936" s="9">
        <v>236</v>
      </c>
      <c r="L4936" s="9">
        <v>2025</v>
      </c>
      <c r="M4936" s="8" t="s">
        <v>29118</v>
      </c>
      <c r="N4936" s="8" t="s">
        <v>413</v>
      </c>
      <c r="O4936" s="8" t="s">
        <v>1528</v>
      </c>
      <c r="P4936" s="6" t="s">
        <v>43</v>
      </c>
      <c r="Q4936" s="8" t="s">
        <v>44</v>
      </c>
      <c r="R4936" s="10" t="s">
        <v>29119</v>
      </c>
      <c r="S4936" s="11" t="s">
        <v>29120</v>
      </c>
      <c r="T4936" s="6"/>
      <c r="U4936" s="24" t="str">
        <f>HYPERLINK("https://media.infra-m.ru/2172/2172581/cover/2172581.jpg", "Обложка")</f>
        <v>Обложка</v>
      </c>
      <c r="V4936" s="24" t="str">
        <f>HYPERLINK("https://znanium.ru/catalog/product/2172581", "Ознакомиться")</f>
        <v>Ознакомиться</v>
      </c>
      <c r="W4936" s="8" t="s">
        <v>150</v>
      </c>
      <c r="X4936" s="6"/>
      <c r="Y4936" s="6"/>
      <c r="Z4936" s="6"/>
      <c r="AA4936" s="6" t="s">
        <v>235</v>
      </c>
      <c r="AB4936" s="8"/>
    </row>
    <row r="4937" spans="1:28" s="4" customFormat="1" ht="51.95" customHeight="1">
      <c r="A4937" s="5">
        <v>0</v>
      </c>
      <c r="B4937" s="6" t="s">
        <v>29121</v>
      </c>
      <c r="C4937" s="13">
        <v>1390</v>
      </c>
      <c r="D4937" s="8" t="s">
        <v>29122</v>
      </c>
      <c r="E4937" s="8" t="s">
        <v>29123</v>
      </c>
      <c r="F4937" s="8" t="s">
        <v>29124</v>
      </c>
      <c r="G4937" s="6" t="s">
        <v>52</v>
      </c>
      <c r="H4937" s="6" t="s">
        <v>53</v>
      </c>
      <c r="I4937" s="8" t="s">
        <v>116</v>
      </c>
      <c r="J4937" s="9">
        <v>1</v>
      </c>
      <c r="K4937" s="9">
        <v>259</v>
      </c>
      <c r="L4937" s="9">
        <v>2025</v>
      </c>
      <c r="M4937" s="8" t="s">
        <v>29125</v>
      </c>
      <c r="N4937" s="8" t="s">
        <v>413</v>
      </c>
      <c r="O4937" s="8" t="s">
        <v>2771</v>
      </c>
      <c r="P4937" s="6" t="s">
        <v>43</v>
      </c>
      <c r="Q4937" s="8" t="s">
        <v>58</v>
      </c>
      <c r="R4937" s="10" t="s">
        <v>29126</v>
      </c>
      <c r="S4937" s="11"/>
      <c r="T4937" s="6"/>
      <c r="U4937" s="24" t="str">
        <f>HYPERLINK("https://media.infra-m.ru/2143/2143074/cover/2143074.jpg", "Обложка")</f>
        <v>Обложка</v>
      </c>
      <c r="V4937" s="24" t="str">
        <f>HYPERLINK("https://znanium.ru/catalog/product/2143074", "Ознакомиться")</f>
        <v>Ознакомиться</v>
      </c>
      <c r="W4937" s="8" t="s">
        <v>71</v>
      </c>
      <c r="X4937" s="6" t="s">
        <v>60</v>
      </c>
      <c r="Y4937" s="6"/>
      <c r="Z4937" s="6"/>
      <c r="AA4937" s="6" t="s">
        <v>61</v>
      </c>
      <c r="AB4937" s="8"/>
    </row>
    <row r="4938" spans="1:28" s="4" customFormat="1" ht="42" customHeight="1">
      <c r="A4938" s="5">
        <v>0</v>
      </c>
      <c r="B4938" s="6" t="s">
        <v>29127</v>
      </c>
      <c r="C4938" s="13">
        <v>2420</v>
      </c>
      <c r="D4938" s="8" t="s">
        <v>29128</v>
      </c>
      <c r="E4938" s="8" t="s">
        <v>29129</v>
      </c>
      <c r="F4938" s="8" t="s">
        <v>29130</v>
      </c>
      <c r="G4938" s="6" t="s">
        <v>89</v>
      </c>
      <c r="H4938" s="6" t="s">
        <v>53</v>
      </c>
      <c r="I4938" s="8" t="s">
        <v>1325</v>
      </c>
      <c r="J4938" s="9">
        <v>1</v>
      </c>
      <c r="K4938" s="9">
        <v>372</v>
      </c>
      <c r="L4938" s="9">
        <v>2024</v>
      </c>
      <c r="M4938" s="8" t="s">
        <v>29131</v>
      </c>
      <c r="N4938" s="8" t="s">
        <v>79</v>
      </c>
      <c r="O4938" s="8" t="s">
        <v>570</v>
      </c>
      <c r="P4938" s="6" t="s">
        <v>167</v>
      </c>
      <c r="Q4938" s="8" t="s">
        <v>58</v>
      </c>
      <c r="R4938" s="10" t="s">
        <v>29132</v>
      </c>
      <c r="S4938" s="11"/>
      <c r="T4938" s="6"/>
      <c r="U4938" s="24" t="str">
        <f>HYPERLINK("https://media.infra-m.ru/2175/2175275/cover/2175275.jpg", "Обложка")</f>
        <v>Обложка</v>
      </c>
      <c r="V4938" s="24" t="str">
        <f>HYPERLINK("https://znanium.ru/catalog/product/2175275", "Ознакомиться")</f>
        <v>Ознакомиться</v>
      </c>
      <c r="W4938" s="8"/>
      <c r="X4938" s="6"/>
      <c r="Y4938" s="6"/>
      <c r="Z4938" s="6"/>
      <c r="AA4938" s="6" t="s">
        <v>207</v>
      </c>
      <c r="AB4938" s="8"/>
    </row>
    <row r="4939" spans="1:28" s="4" customFormat="1" ht="51.95" customHeight="1">
      <c r="A4939" s="5">
        <v>0</v>
      </c>
      <c r="B4939" s="6" t="s">
        <v>29133</v>
      </c>
      <c r="C4939" s="7">
        <v>750</v>
      </c>
      <c r="D4939" s="8" t="s">
        <v>29134</v>
      </c>
      <c r="E4939" s="8" t="s">
        <v>29135</v>
      </c>
      <c r="F4939" s="8" t="s">
        <v>29136</v>
      </c>
      <c r="G4939" s="6" t="s">
        <v>89</v>
      </c>
      <c r="H4939" s="6" t="s">
        <v>53</v>
      </c>
      <c r="I4939" s="8"/>
      <c r="J4939" s="9">
        <v>1</v>
      </c>
      <c r="K4939" s="9">
        <v>150</v>
      </c>
      <c r="L4939" s="9">
        <v>2024</v>
      </c>
      <c r="M4939" s="8" t="s">
        <v>29137</v>
      </c>
      <c r="N4939" s="8" t="s">
        <v>41</v>
      </c>
      <c r="O4939" s="8" t="s">
        <v>42</v>
      </c>
      <c r="P4939" s="6" t="s">
        <v>43</v>
      </c>
      <c r="Q4939" s="8" t="s">
        <v>44</v>
      </c>
      <c r="R4939" s="10" t="s">
        <v>29138</v>
      </c>
      <c r="S4939" s="11" t="s">
        <v>29139</v>
      </c>
      <c r="T4939" s="6"/>
      <c r="U4939" s="24" t="str">
        <f>HYPERLINK("https://media.infra-m.ru/2157/2157225/cover/2157225.jpg", "Обложка")</f>
        <v>Обложка</v>
      </c>
      <c r="V4939" s="12"/>
      <c r="W4939" s="8" t="s">
        <v>784</v>
      </c>
      <c r="X4939" s="6"/>
      <c r="Y4939" s="6"/>
      <c r="Z4939" s="6"/>
      <c r="AA4939" s="6" t="s">
        <v>151</v>
      </c>
      <c r="AB4939" s="8"/>
    </row>
    <row r="4940" spans="1:28" s="4" customFormat="1" ht="51.95" customHeight="1">
      <c r="A4940" s="5">
        <v>0</v>
      </c>
      <c r="B4940" s="6" t="s">
        <v>29140</v>
      </c>
      <c r="C4940" s="13">
        <v>1280</v>
      </c>
      <c r="D4940" s="8" t="s">
        <v>29141</v>
      </c>
      <c r="E4940" s="8" t="s">
        <v>29142</v>
      </c>
      <c r="F4940" s="8" t="s">
        <v>25592</v>
      </c>
      <c r="G4940" s="6" t="s">
        <v>52</v>
      </c>
      <c r="H4940" s="6" t="s">
        <v>53</v>
      </c>
      <c r="I4940" s="8" t="s">
        <v>712</v>
      </c>
      <c r="J4940" s="9">
        <v>1</v>
      </c>
      <c r="K4940" s="9">
        <v>270</v>
      </c>
      <c r="L4940" s="9">
        <v>2024</v>
      </c>
      <c r="M4940" s="8" t="s">
        <v>29143</v>
      </c>
      <c r="N4940" s="8" t="s">
        <v>56</v>
      </c>
      <c r="O4940" s="8" t="s">
        <v>2183</v>
      </c>
      <c r="P4940" s="6" t="s">
        <v>43</v>
      </c>
      <c r="Q4940" s="8" t="s">
        <v>58</v>
      </c>
      <c r="R4940" s="10" t="s">
        <v>11802</v>
      </c>
      <c r="S4940" s="11" t="s">
        <v>29144</v>
      </c>
      <c r="T4940" s="6"/>
      <c r="U4940" s="24" t="str">
        <f>HYPERLINK("https://media.infra-m.ru/2124/2124347/cover/2124347.jpg", "Обложка")</f>
        <v>Обложка</v>
      </c>
      <c r="V4940" s="24" t="str">
        <f>HYPERLINK("https://znanium.ru/catalog/product/2124347", "Ознакомиться")</f>
        <v>Ознакомиться</v>
      </c>
      <c r="W4940" s="8" t="s">
        <v>716</v>
      </c>
      <c r="X4940" s="6"/>
      <c r="Y4940" s="6"/>
      <c r="Z4940" s="6"/>
      <c r="AA4940" s="6" t="s">
        <v>133</v>
      </c>
      <c r="AB4940" s="8"/>
    </row>
    <row r="4941" spans="1:28" s="4" customFormat="1" ht="51.95" customHeight="1">
      <c r="A4941" s="5">
        <v>0</v>
      </c>
      <c r="B4941" s="6" t="s">
        <v>29145</v>
      </c>
      <c r="C4941" s="13">
        <v>1224.9000000000001</v>
      </c>
      <c r="D4941" s="8" t="s">
        <v>29146</v>
      </c>
      <c r="E4941" s="8" t="s">
        <v>29147</v>
      </c>
      <c r="F4941" s="8" t="s">
        <v>29148</v>
      </c>
      <c r="G4941" s="6" t="s">
        <v>52</v>
      </c>
      <c r="H4941" s="6" t="s">
        <v>53</v>
      </c>
      <c r="I4941" s="8" t="s">
        <v>90</v>
      </c>
      <c r="J4941" s="9">
        <v>1</v>
      </c>
      <c r="K4941" s="9">
        <v>272</v>
      </c>
      <c r="L4941" s="9">
        <v>2023</v>
      </c>
      <c r="M4941" s="8" t="s">
        <v>29149</v>
      </c>
      <c r="N4941" s="8" t="s">
        <v>41</v>
      </c>
      <c r="O4941" s="8" t="s">
        <v>118</v>
      </c>
      <c r="P4941" s="6" t="s">
        <v>43</v>
      </c>
      <c r="Q4941" s="8" t="s">
        <v>44</v>
      </c>
      <c r="R4941" s="10" t="s">
        <v>29150</v>
      </c>
      <c r="S4941" s="11" t="s">
        <v>29151</v>
      </c>
      <c r="T4941" s="6"/>
      <c r="U4941" s="24" t="str">
        <f>HYPERLINK("https://media.infra-m.ru/1872/1872733/cover/1872733.jpg", "Обложка")</f>
        <v>Обложка</v>
      </c>
      <c r="V4941" s="24" t="str">
        <f>HYPERLINK("https://znanium.ru/catalog/product/960022", "Ознакомиться")</f>
        <v>Ознакомиться</v>
      </c>
      <c r="W4941" s="8" t="s">
        <v>29152</v>
      </c>
      <c r="X4941" s="6"/>
      <c r="Y4941" s="6"/>
      <c r="Z4941" s="6"/>
      <c r="AA4941" s="6" t="s">
        <v>84</v>
      </c>
      <c r="AB4941" s="8"/>
    </row>
    <row r="4942" spans="1:28" s="4" customFormat="1" ht="51.95" customHeight="1">
      <c r="A4942" s="5">
        <v>0</v>
      </c>
      <c r="B4942" s="6" t="s">
        <v>29153</v>
      </c>
      <c r="C4942" s="13">
        <v>1724.9</v>
      </c>
      <c r="D4942" s="8" t="s">
        <v>29154</v>
      </c>
      <c r="E4942" s="8" t="s">
        <v>29155</v>
      </c>
      <c r="F4942" s="8" t="s">
        <v>17852</v>
      </c>
      <c r="G4942" s="6" t="s">
        <v>52</v>
      </c>
      <c r="H4942" s="6" t="s">
        <v>952</v>
      </c>
      <c r="I4942" s="8" t="s">
        <v>1171</v>
      </c>
      <c r="J4942" s="9">
        <v>1</v>
      </c>
      <c r="K4942" s="9">
        <v>384</v>
      </c>
      <c r="L4942" s="9">
        <v>2023</v>
      </c>
      <c r="M4942" s="8" t="s">
        <v>29156</v>
      </c>
      <c r="N4942" s="8" t="s">
        <v>41</v>
      </c>
      <c r="O4942" s="8" t="s">
        <v>118</v>
      </c>
      <c r="P4942" s="6" t="s">
        <v>167</v>
      </c>
      <c r="Q4942" s="8" t="s">
        <v>44</v>
      </c>
      <c r="R4942" s="10" t="s">
        <v>29157</v>
      </c>
      <c r="S4942" s="11" t="s">
        <v>29158</v>
      </c>
      <c r="T4942" s="6"/>
      <c r="U4942" s="24" t="str">
        <f>HYPERLINK("https://media.infra-m.ru/1903/1903243/cover/1903243.jpg", "Обложка")</f>
        <v>Обложка</v>
      </c>
      <c r="V4942" s="24" t="str">
        <f>HYPERLINK("https://znanium.ru/catalog/product/1844277", "Ознакомиться")</f>
        <v>Ознакомиться</v>
      </c>
      <c r="W4942" s="8" t="s">
        <v>2463</v>
      </c>
      <c r="X4942" s="6"/>
      <c r="Y4942" s="6"/>
      <c r="Z4942" s="6"/>
      <c r="AA4942" s="6" t="s">
        <v>47</v>
      </c>
      <c r="AB4942" s="8"/>
    </row>
    <row r="4943" spans="1:28" s="4" customFormat="1" ht="51.95" customHeight="1">
      <c r="A4943" s="5">
        <v>0</v>
      </c>
      <c r="B4943" s="6" t="s">
        <v>29159</v>
      </c>
      <c r="C4943" s="13">
        <v>1474</v>
      </c>
      <c r="D4943" s="8" t="s">
        <v>29160</v>
      </c>
      <c r="E4943" s="8" t="s">
        <v>29161</v>
      </c>
      <c r="F4943" s="8" t="s">
        <v>29162</v>
      </c>
      <c r="G4943" s="6" t="s">
        <v>52</v>
      </c>
      <c r="H4943" s="6" t="s">
        <v>53</v>
      </c>
      <c r="I4943" s="8" t="s">
        <v>90</v>
      </c>
      <c r="J4943" s="9">
        <v>1</v>
      </c>
      <c r="K4943" s="9">
        <v>320</v>
      </c>
      <c r="L4943" s="9">
        <v>2024</v>
      </c>
      <c r="M4943" s="8" t="s">
        <v>29163</v>
      </c>
      <c r="N4943" s="8" t="s">
        <v>41</v>
      </c>
      <c r="O4943" s="8" t="s">
        <v>118</v>
      </c>
      <c r="P4943" s="6" t="s">
        <v>43</v>
      </c>
      <c r="Q4943" s="8" t="s">
        <v>44</v>
      </c>
      <c r="R4943" s="10" t="s">
        <v>7881</v>
      </c>
      <c r="S4943" s="11" t="s">
        <v>29164</v>
      </c>
      <c r="T4943" s="6"/>
      <c r="U4943" s="24" t="str">
        <f>HYPERLINK("https://media.infra-m.ru/2084/2084445/cover/2084445.jpg", "Обложка")</f>
        <v>Обложка</v>
      </c>
      <c r="V4943" s="24" t="str">
        <f>HYPERLINK("https://znanium.ru/catalog/product/2084445", "Ознакомиться")</f>
        <v>Ознакомиться</v>
      </c>
      <c r="W4943" s="8" t="s">
        <v>189</v>
      </c>
      <c r="X4943" s="6"/>
      <c r="Y4943" s="6"/>
      <c r="Z4943" s="6"/>
      <c r="AA4943" s="6" t="s">
        <v>84</v>
      </c>
      <c r="AB4943" s="8"/>
    </row>
    <row r="4944" spans="1:28" s="4" customFormat="1" ht="51.95" customHeight="1">
      <c r="A4944" s="5">
        <v>0</v>
      </c>
      <c r="B4944" s="6" t="s">
        <v>29165</v>
      </c>
      <c r="C4944" s="13">
        <v>1224.9000000000001</v>
      </c>
      <c r="D4944" s="8" t="s">
        <v>29166</v>
      </c>
      <c r="E4944" s="8" t="s">
        <v>29167</v>
      </c>
      <c r="F4944" s="8" t="s">
        <v>29168</v>
      </c>
      <c r="G4944" s="6" t="s">
        <v>52</v>
      </c>
      <c r="H4944" s="6" t="s">
        <v>1738</v>
      </c>
      <c r="I4944" s="8" t="s">
        <v>1171</v>
      </c>
      <c r="J4944" s="9">
        <v>1</v>
      </c>
      <c r="K4944" s="9">
        <v>272</v>
      </c>
      <c r="L4944" s="9">
        <v>2023</v>
      </c>
      <c r="M4944" s="8" t="s">
        <v>29169</v>
      </c>
      <c r="N4944" s="8" t="s">
        <v>41</v>
      </c>
      <c r="O4944" s="8" t="s">
        <v>118</v>
      </c>
      <c r="P4944" s="6" t="s">
        <v>167</v>
      </c>
      <c r="Q4944" s="8" t="s">
        <v>44</v>
      </c>
      <c r="R4944" s="10" t="s">
        <v>29157</v>
      </c>
      <c r="S4944" s="11" t="s">
        <v>29170</v>
      </c>
      <c r="T4944" s="6"/>
      <c r="U4944" s="24" t="str">
        <f>HYPERLINK("https://media.infra-m.ru/1911/1911156/cover/1911156.jpg", "Обложка")</f>
        <v>Обложка</v>
      </c>
      <c r="V4944" s="24" t="str">
        <f>HYPERLINK("https://znanium.ru/catalog/product/935426", "Ознакомиться")</f>
        <v>Ознакомиться</v>
      </c>
      <c r="W4944" s="8" t="s">
        <v>1514</v>
      </c>
      <c r="X4944" s="6"/>
      <c r="Y4944" s="6"/>
      <c r="Z4944" s="6"/>
      <c r="AA4944" s="6" t="s">
        <v>47</v>
      </c>
      <c r="AB4944" s="8"/>
    </row>
    <row r="4945" spans="1:28" s="4" customFormat="1" ht="51.95" customHeight="1">
      <c r="A4945" s="5">
        <v>0</v>
      </c>
      <c r="B4945" s="6" t="s">
        <v>29171</v>
      </c>
      <c r="C4945" s="7">
        <v>954</v>
      </c>
      <c r="D4945" s="8" t="s">
        <v>29172</v>
      </c>
      <c r="E4945" s="8" t="s">
        <v>29167</v>
      </c>
      <c r="F4945" s="8" t="s">
        <v>3073</v>
      </c>
      <c r="G4945" s="6" t="s">
        <v>52</v>
      </c>
      <c r="H4945" s="6" t="s">
        <v>53</v>
      </c>
      <c r="I4945" s="8" t="s">
        <v>90</v>
      </c>
      <c r="J4945" s="9">
        <v>1</v>
      </c>
      <c r="K4945" s="9">
        <v>207</v>
      </c>
      <c r="L4945" s="9">
        <v>2024</v>
      </c>
      <c r="M4945" s="8" t="s">
        <v>29173</v>
      </c>
      <c r="N4945" s="8" t="s">
        <v>41</v>
      </c>
      <c r="O4945" s="8" t="s">
        <v>118</v>
      </c>
      <c r="P4945" s="6" t="s">
        <v>167</v>
      </c>
      <c r="Q4945" s="8" t="s">
        <v>44</v>
      </c>
      <c r="R4945" s="10" t="s">
        <v>25000</v>
      </c>
      <c r="S4945" s="11" t="s">
        <v>29174</v>
      </c>
      <c r="T4945" s="6"/>
      <c r="U4945" s="24" t="str">
        <f>HYPERLINK("https://media.infra-m.ru/2085/2085055/cover/2085055.jpg", "Обложка")</f>
        <v>Обложка</v>
      </c>
      <c r="V4945" s="24" t="str">
        <f>HYPERLINK("https://znanium.ru/catalog/product/1009021", "Ознакомиться")</f>
        <v>Ознакомиться</v>
      </c>
      <c r="W4945" s="8" t="s">
        <v>189</v>
      </c>
      <c r="X4945" s="6"/>
      <c r="Y4945" s="6"/>
      <c r="Z4945" s="6"/>
      <c r="AA4945" s="6" t="s">
        <v>84</v>
      </c>
      <c r="AB4945" s="8"/>
    </row>
    <row r="4946" spans="1:28" s="4" customFormat="1" ht="51.95" customHeight="1">
      <c r="A4946" s="5">
        <v>0</v>
      </c>
      <c r="B4946" s="6" t="s">
        <v>29175</v>
      </c>
      <c r="C4946" s="13">
        <v>1204</v>
      </c>
      <c r="D4946" s="8" t="s">
        <v>29176</v>
      </c>
      <c r="E4946" s="8" t="s">
        <v>29167</v>
      </c>
      <c r="F4946" s="8" t="s">
        <v>25067</v>
      </c>
      <c r="G4946" s="6" t="s">
        <v>52</v>
      </c>
      <c r="H4946" s="6" t="s">
        <v>53</v>
      </c>
      <c r="I4946" s="8" t="s">
        <v>90</v>
      </c>
      <c r="J4946" s="9">
        <v>1</v>
      </c>
      <c r="K4946" s="9">
        <v>263</v>
      </c>
      <c r="L4946" s="9">
        <v>2024</v>
      </c>
      <c r="M4946" s="8" t="s">
        <v>29177</v>
      </c>
      <c r="N4946" s="8" t="s">
        <v>41</v>
      </c>
      <c r="O4946" s="8" t="s">
        <v>118</v>
      </c>
      <c r="P4946" s="6" t="s">
        <v>167</v>
      </c>
      <c r="Q4946" s="8" t="s">
        <v>44</v>
      </c>
      <c r="R4946" s="10" t="s">
        <v>29178</v>
      </c>
      <c r="S4946" s="11" t="s">
        <v>29179</v>
      </c>
      <c r="T4946" s="6"/>
      <c r="U4946" s="24" t="str">
        <f>HYPERLINK("https://media.infra-m.ru/2091/2091934/cover/2091934.jpg", "Обложка")</f>
        <v>Обложка</v>
      </c>
      <c r="V4946" s="24" t="str">
        <f>HYPERLINK("https://znanium.ru/catalog/product/2091934", "Ознакомиться")</f>
        <v>Ознакомиться</v>
      </c>
      <c r="W4946" s="8" t="s">
        <v>189</v>
      </c>
      <c r="X4946" s="6"/>
      <c r="Y4946" s="6"/>
      <c r="Z4946" s="6"/>
      <c r="AA4946" s="6" t="s">
        <v>47</v>
      </c>
      <c r="AB4946" s="8"/>
    </row>
    <row r="4947" spans="1:28" s="4" customFormat="1" ht="51.95" customHeight="1">
      <c r="A4947" s="5">
        <v>0</v>
      </c>
      <c r="B4947" s="6" t="s">
        <v>29180</v>
      </c>
      <c r="C4947" s="13">
        <v>1654</v>
      </c>
      <c r="D4947" s="8" t="s">
        <v>29181</v>
      </c>
      <c r="E4947" s="8" t="s">
        <v>29167</v>
      </c>
      <c r="F4947" s="8" t="s">
        <v>19393</v>
      </c>
      <c r="G4947" s="6" t="s">
        <v>52</v>
      </c>
      <c r="H4947" s="6" t="s">
        <v>77</v>
      </c>
      <c r="I4947" s="8"/>
      <c r="J4947" s="9">
        <v>1</v>
      </c>
      <c r="K4947" s="9">
        <v>352</v>
      </c>
      <c r="L4947" s="9">
        <v>2024</v>
      </c>
      <c r="M4947" s="8" t="s">
        <v>29182</v>
      </c>
      <c r="N4947" s="8" t="s">
        <v>41</v>
      </c>
      <c r="O4947" s="8" t="s">
        <v>118</v>
      </c>
      <c r="P4947" s="6" t="s">
        <v>43</v>
      </c>
      <c r="Q4947" s="8" t="s">
        <v>44</v>
      </c>
      <c r="R4947" s="10" t="s">
        <v>7874</v>
      </c>
      <c r="S4947" s="11" t="s">
        <v>27718</v>
      </c>
      <c r="T4947" s="6"/>
      <c r="U4947" s="24" t="str">
        <f>HYPERLINK("https://media.infra-m.ru/2138/2138912/cover/2138912.jpg", "Обложка")</f>
        <v>Обложка</v>
      </c>
      <c r="V4947" s="24" t="str">
        <f>HYPERLINK("https://znanium.ru/catalog/product/931131", "Ознакомиться")</f>
        <v>Ознакомиться</v>
      </c>
      <c r="W4947" s="8" t="s">
        <v>4383</v>
      </c>
      <c r="X4947" s="6"/>
      <c r="Y4947" s="6"/>
      <c r="Z4947" s="6"/>
      <c r="AA4947" s="6" t="s">
        <v>84</v>
      </c>
      <c r="AB4947" s="8"/>
    </row>
    <row r="4948" spans="1:28" s="4" customFormat="1" ht="51.95" customHeight="1">
      <c r="A4948" s="5">
        <v>0</v>
      </c>
      <c r="B4948" s="6" t="s">
        <v>29183</v>
      </c>
      <c r="C4948" s="13">
        <v>1854</v>
      </c>
      <c r="D4948" s="8" t="s">
        <v>29184</v>
      </c>
      <c r="E4948" s="8" t="s">
        <v>29167</v>
      </c>
      <c r="F4948" s="8" t="s">
        <v>29185</v>
      </c>
      <c r="G4948" s="6" t="s">
        <v>52</v>
      </c>
      <c r="H4948" s="6" t="s">
        <v>53</v>
      </c>
      <c r="I4948" s="8" t="s">
        <v>90</v>
      </c>
      <c r="J4948" s="9">
        <v>1</v>
      </c>
      <c r="K4948" s="9">
        <v>357</v>
      </c>
      <c r="L4948" s="9">
        <v>2025</v>
      </c>
      <c r="M4948" s="8" t="s">
        <v>29186</v>
      </c>
      <c r="N4948" s="8" t="s">
        <v>41</v>
      </c>
      <c r="O4948" s="8" t="s">
        <v>118</v>
      </c>
      <c r="P4948" s="6" t="s">
        <v>43</v>
      </c>
      <c r="Q4948" s="8" t="s">
        <v>44</v>
      </c>
      <c r="R4948" s="10" t="s">
        <v>25000</v>
      </c>
      <c r="S4948" s="11" t="s">
        <v>27718</v>
      </c>
      <c r="T4948" s="6"/>
      <c r="U4948" s="24" t="str">
        <f>HYPERLINK("https://media.infra-m.ru/2194/2194335/cover/2194335.jpg", "Обложка")</f>
        <v>Обложка</v>
      </c>
      <c r="V4948" s="24" t="str">
        <f>HYPERLINK("https://znanium.ru/catalog/product/1210718", "Ознакомиться")</f>
        <v>Ознакомиться</v>
      </c>
      <c r="W4948" s="8" t="s">
        <v>7876</v>
      </c>
      <c r="X4948" s="6"/>
      <c r="Y4948" s="6"/>
      <c r="Z4948" s="6"/>
      <c r="AA4948" s="6" t="s">
        <v>84</v>
      </c>
      <c r="AB4948" s="8"/>
    </row>
    <row r="4949" spans="1:28" s="4" customFormat="1" ht="51.95" customHeight="1">
      <c r="A4949" s="5">
        <v>0</v>
      </c>
      <c r="B4949" s="6" t="s">
        <v>29187</v>
      </c>
      <c r="C4949" s="13">
        <v>1214.9000000000001</v>
      </c>
      <c r="D4949" s="8" t="s">
        <v>29188</v>
      </c>
      <c r="E4949" s="8" t="s">
        <v>29167</v>
      </c>
      <c r="F4949" s="8" t="s">
        <v>29189</v>
      </c>
      <c r="G4949" s="6" t="s">
        <v>52</v>
      </c>
      <c r="H4949" s="6" t="s">
        <v>184</v>
      </c>
      <c r="I4949" s="8" t="s">
        <v>90</v>
      </c>
      <c r="J4949" s="9">
        <v>1</v>
      </c>
      <c r="K4949" s="9">
        <v>268</v>
      </c>
      <c r="L4949" s="9">
        <v>2023</v>
      </c>
      <c r="M4949" s="8" t="s">
        <v>29190</v>
      </c>
      <c r="N4949" s="8" t="s">
        <v>41</v>
      </c>
      <c r="O4949" s="8" t="s">
        <v>118</v>
      </c>
      <c r="P4949" s="6" t="s">
        <v>43</v>
      </c>
      <c r="Q4949" s="8" t="s">
        <v>44</v>
      </c>
      <c r="R4949" s="10" t="s">
        <v>1958</v>
      </c>
      <c r="S4949" s="11" t="s">
        <v>29191</v>
      </c>
      <c r="T4949" s="6"/>
      <c r="U4949" s="24" t="str">
        <f>HYPERLINK("https://media.infra-m.ru/1894/1894487/cover/1894487.jpg", "Обложка")</f>
        <v>Обложка</v>
      </c>
      <c r="V4949" s="24" t="str">
        <f>HYPERLINK("https://znanium.ru/catalog/product/925873", "Ознакомиться")</f>
        <v>Ознакомиться</v>
      </c>
      <c r="W4949" s="8" t="s">
        <v>19012</v>
      </c>
      <c r="X4949" s="6"/>
      <c r="Y4949" s="6"/>
      <c r="Z4949" s="6"/>
      <c r="AA4949" s="6" t="s">
        <v>418</v>
      </c>
      <c r="AB4949" s="8"/>
    </row>
    <row r="4950" spans="1:28" s="4" customFormat="1" ht="51.95" customHeight="1">
      <c r="A4950" s="5">
        <v>0</v>
      </c>
      <c r="B4950" s="6" t="s">
        <v>29192</v>
      </c>
      <c r="C4950" s="13">
        <v>2600</v>
      </c>
      <c r="D4950" s="8" t="s">
        <v>29193</v>
      </c>
      <c r="E4950" s="8" t="s">
        <v>29194</v>
      </c>
      <c r="F4950" s="8" t="s">
        <v>28428</v>
      </c>
      <c r="G4950" s="6" t="s">
        <v>52</v>
      </c>
      <c r="H4950" s="6" t="s">
        <v>77</v>
      </c>
      <c r="I4950" s="8" t="s">
        <v>116</v>
      </c>
      <c r="J4950" s="9">
        <v>1</v>
      </c>
      <c r="K4950" s="9">
        <v>553</v>
      </c>
      <c r="L4950" s="9">
        <v>2024</v>
      </c>
      <c r="M4950" s="8" t="s">
        <v>29195</v>
      </c>
      <c r="N4950" s="8" t="s">
        <v>79</v>
      </c>
      <c r="O4950" s="8" t="s">
        <v>396</v>
      </c>
      <c r="P4950" s="6" t="s">
        <v>167</v>
      </c>
      <c r="Q4950" s="8" t="s">
        <v>44</v>
      </c>
      <c r="R4950" s="10" t="s">
        <v>29196</v>
      </c>
      <c r="S4950" s="11" t="s">
        <v>29197</v>
      </c>
      <c r="T4950" s="6"/>
      <c r="U4950" s="24" t="str">
        <f>HYPERLINK("https://media.infra-m.ru/2151/2151394/cover/2151394.jpg", "Обложка")</f>
        <v>Обложка</v>
      </c>
      <c r="V4950" s="24" t="str">
        <f>HYPERLINK("https://znanium.ru/catalog/product/2151394", "Ознакомиться")</f>
        <v>Ознакомиться</v>
      </c>
      <c r="W4950" s="8" t="s">
        <v>25526</v>
      </c>
      <c r="X4950" s="6"/>
      <c r="Y4950" s="6"/>
      <c r="Z4950" s="6"/>
      <c r="AA4950" s="6" t="s">
        <v>151</v>
      </c>
      <c r="AB4950" s="8"/>
    </row>
    <row r="4951" spans="1:28" s="4" customFormat="1" ht="51.95" customHeight="1">
      <c r="A4951" s="5">
        <v>0</v>
      </c>
      <c r="B4951" s="6" t="s">
        <v>29198</v>
      </c>
      <c r="C4951" s="13">
        <v>1310</v>
      </c>
      <c r="D4951" s="8" t="s">
        <v>29199</v>
      </c>
      <c r="E4951" s="8" t="s">
        <v>29200</v>
      </c>
      <c r="F4951" s="8" t="s">
        <v>29201</v>
      </c>
      <c r="G4951" s="6" t="s">
        <v>89</v>
      </c>
      <c r="H4951" s="6" t="s">
        <v>438</v>
      </c>
      <c r="I4951" s="8"/>
      <c r="J4951" s="9">
        <v>1</v>
      </c>
      <c r="K4951" s="9">
        <v>256</v>
      </c>
      <c r="L4951" s="9">
        <v>2025</v>
      </c>
      <c r="M4951" s="8" t="s">
        <v>29202</v>
      </c>
      <c r="N4951" s="8" t="s">
        <v>79</v>
      </c>
      <c r="O4951" s="8" t="s">
        <v>396</v>
      </c>
      <c r="P4951" s="6" t="s">
        <v>167</v>
      </c>
      <c r="Q4951" s="8" t="s">
        <v>44</v>
      </c>
      <c r="R4951" s="10" t="s">
        <v>29203</v>
      </c>
      <c r="S4951" s="11" t="s">
        <v>29204</v>
      </c>
      <c r="T4951" s="6"/>
      <c r="U4951" s="24" t="str">
        <f>HYPERLINK("https://media.infra-m.ru/2163/2163960/cover/2163960.jpg", "Обложка")</f>
        <v>Обложка</v>
      </c>
      <c r="V4951" s="24" t="str">
        <f>HYPERLINK("https://znanium.ru/catalog/product/2163960", "Ознакомиться")</f>
        <v>Ознакомиться</v>
      </c>
      <c r="W4951" s="8" t="s">
        <v>23019</v>
      </c>
      <c r="X4951" s="6"/>
      <c r="Y4951" s="6"/>
      <c r="Z4951" s="6"/>
      <c r="AA4951" s="6" t="s">
        <v>418</v>
      </c>
      <c r="AB4951" s="8"/>
    </row>
    <row r="4952" spans="1:28" s="4" customFormat="1" ht="51.95" customHeight="1">
      <c r="A4952" s="5">
        <v>0</v>
      </c>
      <c r="B4952" s="6" t="s">
        <v>29205</v>
      </c>
      <c r="C4952" s="13">
        <v>1314</v>
      </c>
      <c r="D4952" s="8" t="s">
        <v>29206</v>
      </c>
      <c r="E4952" s="8" t="s">
        <v>29207</v>
      </c>
      <c r="F4952" s="8" t="s">
        <v>28020</v>
      </c>
      <c r="G4952" s="6" t="s">
        <v>89</v>
      </c>
      <c r="H4952" s="6" t="s">
        <v>53</v>
      </c>
      <c r="I4952" s="8" t="s">
        <v>90</v>
      </c>
      <c r="J4952" s="9">
        <v>1</v>
      </c>
      <c r="K4952" s="9">
        <v>263</v>
      </c>
      <c r="L4952" s="9">
        <v>2025</v>
      </c>
      <c r="M4952" s="8" t="s">
        <v>29208</v>
      </c>
      <c r="N4952" s="8" t="s">
        <v>79</v>
      </c>
      <c r="O4952" s="8" t="s">
        <v>396</v>
      </c>
      <c r="P4952" s="6" t="s">
        <v>43</v>
      </c>
      <c r="Q4952" s="8" t="s">
        <v>44</v>
      </c>
      <c r="R4952" s="10" t="s">
        <v>149</v>
      </c>
      <c r="S4952" s="11" t="s">
        <v>29209</v>
      </c>
      <c r="T4952" s="6"/>
      <c r="U4952" s="24" t="str">
        <f>HYPERLINK("https://media.infra-m.ru/2184/2184958/cover/2184958.jpg", "Обложка")</f>
        <v>Обложка</v>
      </c>
      <c r="V4952" s="24" t="str">
        <f>HYPERLINK("https://znanium.ru/catalog/product/1939943", "Ознакомиться")</f>
        <v>Ознакомиться</v>
      </c>
      <c r="W4952" s="8" t="s">
        <v>12607</v>
      </c>
      <c r="X4952" s="6"/>
      <c r="Y4952" s="6"/>
      <c r="Z4952" s="6"/>
      <c r="AA4952" s="6" t="s">
        <v>8847</v>
      </c>
      <c r="AB4952" s="8"/>
    </row>
    <row r="4953" spans="1:28" s="4" customFormat="1" ht="51.95" customHeight="1">
      <c r="A4953" s="5">
        <v>0</v>
      </c>
      <c r="B4953" s="6" t="s">
        <v>29210</v>
      </c>
      <c r="C4953" s="13">
        <v>1494</v>
      </c>
      <c r="D4953" s="8" t="s">
        <v>29211</v>
      </c>
      <c r="E4953" s="8" t="s">
        <v>29212</v>
      </c>
      <c r="F4953" s="8" t="s">
        <v>28428</v>
      </c>
      <c r="G4953" s="6" t="s">
        <v>89</v>
      </c>
      <c r="H4953" s="6" t="s">
        <v>77</v>
      </c>
      <c r="I4953" s="8" t="s">
        <v>90</v>
      </c>
      <c r="J4953" s="9">
        <v>1</v>
      </c>
      <c r="K4953" s="9">
        <v>327</v>
      </c>
      <c r="L4953" s="9">
        <v>2023</v>
      </c>
      <c r="M4953" s="8" t="s">
        <v>29213</v>
      </c>
      <c r="N4953" s="8" t="s">
        <v>79</v>
      </c>
      <c r="O4953" s="8" t="s">
        <v>396</v>
      </c>
      <c r="P4953" s="6" t="s">
        <v>187</v>
      </c>
      <c r="Q4953" s="8" t="s">
        <v>44</v>
      </c>
      <c r="R4953" s="10" t="s">
        <v>29214</v>
      </c>
      <c r="S4953" s="11" t="s">
        <v>29197</v>
      </c>
      <c r="T4953" s="6"/>
      <c r="U4953" s="24" t="str">
        <f>HYPERLINK("https://media.infra-m.ru/2006/2006019/cover/2006019.jpg", "Обложка")</f>
        <v>Обложка</v>
      </c>
      <c r="V4953" s="24" t="str">
        <f>HYPERLINK("https://znanium.ru/catalog/product/1426330", "Ознакомиться")</f>
        <v>Ознакомиться</v>
      </c>
      <c r="W4953" s="8" t="s">
        <v>25526</v>
      </c>
      <c r="X4953" s="6"/>
      <c r="Y4953" s="6"/>
      <c r="Z4953" s="6"/>
      <c r="AA4953" s="6" t="s">
        <v>151</v>
      </c>
      <c r="AB4953" s="8"/>
    </row>
    <row r="4954" spans="1:28" s="4" customFormat="1" ht="44.1" customHeight="1">
      <c r="A4954" s="5">
        <v>0</v>
      </c>
      <c r="B4954" s="6" t="s">
        <v>29215</v>
      </c>
      <c r="C4954" s="13">
        <v>1484</v>
      </c>
      <c r="D4954" s="8" t="s">
        <v>29216</v>
      </c>
      <c r="E4954" s="8" t="s">
        <v>29217</v>
      </c>
      <c r="F4954" s="8" t="s">
        <v>29218</v>
      </c>
      <c r="G4954" s="6" t="s">
        <v>52</v>
      </c>
      <c r="H4954" s="6" t="s">
        <v>184</v>
      </c>
      <c r="I4954" s="8"/>
      <c r="J4954" s="9">
        <v>1</v>
      </c>
      <c r="K4954" s="9">
        <v>322</v>
      </c>
      <c r="L4954" s="9">
        <v>2023</v>
      </c>
      <c r="M4954" s="8" t="s">
        <v>29219</v>
      </c>
      <c r="N4954" s="8" t="s">
        <v>79</v>
      </c>
      <c r="O4954" s="8" t="s">
        <v>396</v>
      </c>
      <c r="P4954" s="6" t="s">
        <v>43</v>
      </c>
      <c r="Q4954" s="8" t="s">
        <v>44</v>
      </c>
      <c r="R4954" s="10" t="s">
        <v>29220</v>
      </c>
      <c r="S4954" s="11"/>
      <c r="T4954" s="6"/>
      <c r="U4954" s="24" t="str">
        <f>HYPERLINK("https://media.infra-m.ru/2006/2006917/cover/2006917.jpg", "Обложка")</f>
        <v>Обложка</v>
      </c>
      <c r="V4954" s="24" t="str">
        <f>HYPERLINK("https://znanium.ru/catalog/product/1943513", "Ознакомиться")</f>
        <v>Ознакомиться</v>
      </c>
      <c r="W4954" s="8" t="s">
        <v>637</v>
      </c>
      <c r="X4954" s="6"/>
      <c r="Y4954" s="6"/>
      <c r="Z4954" s="6"/>
      <c r="AA4954" s="6" t="s">
        <v>196</v>
      </c>
      <c r="AB4954" s="8"/>
    </row>
    <row r="4955" spans="1:28" s="4" customFormat="1" ht="51.95" customHeight="1">
      <c r="A4955" s="5">
        <v>0</v>
      </c>
      <c r="B4955" s="6" t="s">
        <v>29221</v>
      </c>
      <c r="C4955" s="13">
        <v>1080</v>
      </c>
      <c r="D4955" s="8" t="s">
        <v>29222</v>
      </c>
      <c r="E4955" s="8" t="s">
        <v>29212</v>
      </c>
      <c r="F4955" s="8" t="s">
        <v>29223</v>
      </c>
      <c r="G4955" s="6" t="s">
        <v>52</v>
      </c>
      <c r="H4955" s="6" t="s">
        <v>53</v>
      </c>
      <c r="I4955" s="8" t="s">
        <v>4855</v>
      </c>
      <c r="J4955" s="9">
        <v>1</v>
      </c>
      <c r="K4955" s="9">
        <v>229</v>
      </c>
      <c r="L4955" s="9">
        <v>2023</v>
      </c>
      <c r="M4955" s="8" t="s">
        <v>29224</v>
      </c>
      <c r="N4955" s="8" t="s">
        <v>79</v>
      </c>
      <c r="O4955" s="8" t="s">
        <v>396</v>
      </c>
      <c r="P4955" s="6" t="s">
        <v>43</v>
      </c>
      <c r="Q4955" s="8" t="s">
        <v>44</v>
      </c>
      <c r="R4955" s="10" t="s">
        <v>29225</v>
      </c>
      <c r="S4955" s="11" t="s">
        <v>25751</v>
      </c>
      <c r="T4955" s="6"/>
      <c r="U4955" s="24" t="str">
        <f>HYPERLINK("https://media.infra-m.ru/1910/1910857/cover/1910857.jpg", "Обложка")</f>
        <v>Обложка</v>
      </c>
      <c r="V4955" s="12"/>
      <c r="W4955" s="8" t="s">
        <v>784</v>
      </c>
      <c r="X4955" s="6"/>
      <c r="Y4955" s="6"/>
      <c r="Z4955" s="6"/>
      <c r="AA4955" s="6" t="s">
        <v>207</v>
      </c>
      <c r="AB4955" s="8"/>
    </row>
    <row r="4956" spans="1:28" s="4" customFormat="1" ht="51.95" customHeight="1">
      <c r="A4956" s="5">
        <v>0</v>
      </c>
      <c r="B4956" s="6" t="s">
        <v>29226</v>
      </c>
      <c r="C4956" s="13">
        <v>1280</v>
      </c>
      <c r="D4956" s="8" t="s">
        <v>29227</v>
      </c>
      <c r="E4956" s="8" t="s">
        <v>29228</v>
      </c>
      <c r="F4956" s="8" t="s">
        <v>29229</v>
      </c>
      <c r="G4956" s="6" t="s">
        <v>89</v>
      </c>
      <c r="H4956" s="6" t="s">
        <v>53</v>
      </c>
      <c r="I4956" s="8" t="s">
        <v>90</v>
      </c>
      <c r="J4956" s="9">
        <v>1</v>
      </c>
      <c r="K4956" s="9">
        <v>285</v>
      </c>
      <c r="L4956" s="9">
        <v>2023</v>
      </c>
      <c r="M4956" s="8" t="s">
        <v>29230</v>
      </c>
      <c r="N4956" s="8" t="s">
        <v>79</v>
      </c>
      <c r="O4956" s="8" t="s">
        <v>396</v>
      </c>
      <c r="P4956" s="6" t="s">
        <v>43</v>
      </c>
      <c r="Q4956" s="8" t="s">
        <v>44</v>
      </c>
      <c r="R4956" s="10" t="s">
        <v>29231</v>
      </c>
      <c r="S4956" s="11"/>
      <c r="T4956" s="6"/>
      <c r="U4956" s="24" t="str">
        <f>HYPERLINK("https://media.infra-m.ru/1932/1932282/cover/1932282.jpg", "Обложка")</f>
        <v>Обложка</v>
      </c>
      <c r="V4956" s="24" t="str">
        <f>HYPERLINK("https://znanium.ru/catalog/product/1932282", "Ознакомиться")</f>
        <v>Ознакомиться</v>
      </c>
      <c r="W4956" s="8" t="s">
        <v>5337</v>
      </c>
      <c r="X4956" s="6"/>
      <c r="Y4956" s="6"/>
      <c r="Z4956" s="6"/>
      <c r="AA4956" s="6" t="s">
        <v>72</v>
      </c>
      <c r="AB4956" s="8"/>
    </row>
    <row r="4957" spans="1:28" s="4" customFormat="1" ht="51.95" customHeight="1">
      <c r="A4957" s="5">
        <v>0</v>
      </c>
      <c r="B4957" s="6" t="s">
        <v>29232</v>
      </c>
      <c r="C4957" s="13">
        <v>2120</v>
      </c>
      <c r="D4957" s="8" t="s">
        <v>29233</v>
      </c>
      <c r="E4957" s="8" t="s">
        <v>29234</v>
      </c>
      <c r="F4957" s="8" t="s">
        <v>29235</v>
      </c>
      <c r="G4957" s="6" t="s">
        <v>52</v>
      </c>
      <c r="H4957" s="6" t="s">
        <v>53</v>
      </c>
      <c r="I4957" s="8" t="s">
        <v>90</v>
      </c>
      <c r="J4957" s="9">
        <v>1</v>
      </c>
      <c r="K4957" s="9">
        <v>576</v>
      </c>
      <c r="L4957" s="9">
        <v>2022</v>
      </c>
      <c r="M4957" s="8" t="s">
        <v>29236</v>
      </c>
      <c r="N4957" s="8" t="s">
        <v>79</v>
      </c>
      <c r="O4957" s="8" t="s">
        <v>80</v>
      </c>
      <c r="P4957" s="6" t="s">
        <v>43</v>
      </c>
      <c r="Q4957" s="8" t="s">
        <v>44</v>
      </c>
      <c r="R4957" s="10" t="s">
        <v>29237</v>
      </c>
      <c r="S4957" s="11" t="s">
        <v>29238</v>
      </c>
      <c r="T4957" s="6" t="s">
        <v>299</v>
      </c>
      <c r="U4957" s="24" t="str">
        <f>HYPERLINK("https://media.infra-m.ru/1869/1869674/cover/1869674.jpg", "Обложка")</f>
        <v>Обложка</v>
      </c>
      <c r="V4957" s="24" t="str">
        <f>HYPERLINK("https://znanium.ru/catalog/product/1869674", "Ознакомиться")</f>
        <v>Ознакомиться</v>
      </c>
      <c r="W4957" s="8" t="s">
        <v>26087</v>
      </c>
      <c r="X4957" s="6"/>
      <c r="Y4957" s="6"/>
      <c r="Z4957" s="6"/>
      <c r="AA4957" s="6" t="s">
        <v>111</v>
      </c>
      <c r="AB4957" s="8"/>
    </row>
    <row r="4958" spans="1:28" s="4" customFormat="1" ht="51.95" customHeight="1">
      <c r="A4958" s="5">
        <v>0</v>
      </c>
      <c r="B4958" s="6" t="s">
        <v>29239</v>
      </c>
      <c r="C4958" s="7">
        <v>760</v>
      </c>
      <c r="D4958" s="8" t="s">
        <v>29240</v>
      </c>
      <c r="E4958" s="8" t="s">
        <v>29241</v>
      </c>
      <c r="F4958" s="8" t="s">
        <v>4165</v>
      </c>
      <c r="G4958" s="6" t="s">
        <v>52</v>
      </c>
      <c r="H4958" s="6" t="s">
        <v>53</v>
      </c>
      <c r="I4958" s="8" t="s">
        <v>90</v>
      </c>
      <c r="J4958" s="9">
        <v>1</v>
      </c>
      <c r="K4958" s="9">
        <v>195</v>
      </c>
      <c r="L4958" s="9">
        <v>2022</v>
      </c>
      <c r="M4958" s="8" t="s">
        <v>29242</v>
      </c>
      <c r="N4958" s="8" t="s">
        <v>997</v>
      </c>
      <c r="O4958" s="8" t="s">
        <v>998</v>
      </c>
      <c r="P4958" s="6" t="s">
        <v>43</v>
      </c>
      <c r="Q4958" s="8" t="s">
        <v>44</v>
      </c>
      <c r="R4958" s="10" t="s">
        <v>9165</v>
      </c>
      <c r="S4958" s="11" t="s">
        <v>29243</v>
      </c>
      <c r="T4958" s="6"/>
      <c r="U4958" s="24" t="str">
        <f>HYPERLINK("https://media.infra-m.ru/1077/1077726/cover/1077726.jpg", "Обложка")</f>
        <v>Обложка</v>
      </c>
      <c r="V4958" s="24" t="str">
        <f>HYPERLINK("https://znanium.ru/catalog/product/1077726", "Ознакомиться")</f>
        <v>Ознакомиться</v>
      </c>
      <c r="W4958" s="8" t="s">
        <v>4161</v>
      </c>
      <c r="X4958" s="6"/>
      <c r="Y4958" s="6"/>
      <c r="Z4958" s="6"/>
      <c r="AA4958" s="6" t="s">
        <v>235</v>
      </c>
      <c r="AB4958" s="8"/>
    </row>
    <row r="4959" spans="1:28" s="4" customFormat="1" ht="51.95" customHeight="1">
      <c r="A4959" s="5">
        <v>0</v>
      </c>
      <c r="B4959" s="6" t="s">
        <v>29244</v>
      </c>
      <c r="C4959" s="13">
        <v>1764</v>
      </c>
      <c r="D4959" s="8" t="s">
        <v>29245</v>
      </c>
      <c r="E4959" s="8" t="s">
        <v>29246</v>
      </c>
      <c r="F4959" s="8" t="s">
        <v>29247</v>
      </c>
      <c r="G4959" s="6" t="s">
        <v>38</v>
      </c>
      <c r="H4959" s="6" t="s">
        <v>674</v>
      </c>
      <c r="I4959" s="8" t="s">
        <v>5841</v>
      </c>
      <c r="J4959" s="9">
        <v>1</v>
      </c>
      <c r="K4959" s="9">
        <v>352</v>
      </c>
      <c r="L4959" s="9">
        <v>2024</v>
      </c>
      <c r="M4959" s="8" t="s">
        <v>29248</v>
      </c>
      <c r="N4959" s="8" t="s">
        <v>41</v>
      </c>
      <c r="O4959" s="8" t="s">
        <v>676</v>
      </c>
      <c r="P4959" s="6" t="s">
        <v>2134</v>
      </c>
      <c r="Q4959" s="8" t="s">
        <v>44</v>
      </c>
      <c r="R4959" s="10" t="s">
        <v>806</v>
      </c>
      <c r="S4959" s="11"/>
      <c r="T4959" s="6"/>
      <c r="U4959" s="24" t="str">
        <f>HYPERLINK("https://media.infra-m.ru/2170/2170389/cover/2170389.jpg", "Обложка")</f>
        <v>Обложка</v>
      </c>
      <c r="V4959" s="24" t="str">
        <f>HYPERLINK("https://znanium.ru/catalog/product/2168891", "Ознакомиться")</f>
        <v>Ознакомиться</v>
      </c>
      <c r="W4959" s="8" t="s">
        <v>6690</v>
      </c>
      <c r="X4959" s="6"/>
      <c r="Y4959" s="6"/>
      <c r="Z4959" s="6"/>
      <c r="AA4959" s="6" t="s">
        <v>10161</v>
      </c>
      <c r="AB4959" s="8"/>
    </row>
    <row r="4960" spans="1:28" s="4" customFormat="1" ht="51.95" customHeight="1">
      <c r="A4960" s="5">
        <v>0</v>
      </c>
      <c r="B4960" s="6" t="s">
        <v>29249</v>
      </c>
      <c r="C4960" s="13">
        <v>1100</v>
      </c>
      <c r="D4960" s="8" t="s">
        <v>29250</v>
      </c>
      <c r="E4960" s="8" t="s">
        <v>29251</v>
      </c>
      <c r="F4960" s="8" t="s">
        <v>29252</v>
      </c>
      <c r="G4960" s="6" t="s">
        <v>38</v>
      </c>
      <c r="H4960" s="6" t="s">
        <v>674</v>
      </c>
      <c r="I4960" s="8" t="s">
        <v>5841</v>
      </c>
      <c r="J4960" s="9">
        <v>1</v>
      </c>
      <c r="K4960" s="9">
        <v>384</v>
      </c>
      <c r="L4960" s="9">
        <v>2020</v>
      </c>
      <c r="M4960" s="8" t="s">
        <v>29253</v>
      </c>
      <c r="N4960" s="8" t="s">
        <v>41</v>
      </c>
      <c r="O4960" s="8" t="s">
        <v>676</v>
      </c>
      <c r="P4960" s="6" t="s">
        <v>2134</v>
      </c>
      <c r="Q4960" s="8" t="s">
        <v>44</v>
      </c>
      <c r="R4960" s="10" t="s">
        <v>806</v>
      </c>
      <c r="S4960" s="11"/>
      <c r="T4960" s="6"/>
      <c r="U4960" s="24" t="str">
        <f>HYPERLINK("https://media.infra-m.ru/1059/1059302/cover/1059302.jpg", "Обложка")</f>
        <v>Обложка</v>
      </c>
      <c r="V4960" s="24" t="str">
        <f>HYPERLINK("https://znanium.ru/catalog/product/2168891", "Ознакомиться")</f>
        <v>Ознакомиться</v>
      </c>
      <c r="W4960" s="8" t="s">
        <v>22544</v>
      </c>
      <c r="X4960" s="6"/>
      <c r="Y4960" s="6"/>
      <c r="Z4960" s="6"/>
      <c r="AA4960" s="6" t="s">
        <v>5763</v>
      </c>
      <c r="AB4960" s="8"/>
    </row>
    <row r="4961" spans="1:28" s="4" customFormat="1" ht="51.95" customHeight="1">
      <c r="A4961" s="5">
        <v>0</v>
      </c>
      <c r="B4961" s="6" t="s">
        <v>29254</v>
      </c>
      <c r="C4961" s="13">
        <v>2790</v>
      </c>
      <c r="D4961" s="8" t="s">
        <v>29255</v>
      </c>
      <c r="E4961" s="8" t="s">
        <v>29246</v>
      </c>
      <c r="F4961" s="8" t="s">
        <v>29256</v>
      </c>
      <c r="G4961" s="6" t="s">
        <v>52</v>
      </c>
      <c r="H4961" s="6" t="s">
        <v>53</v>
      </c>
      <c r="I4961" s="8" t="s">
        <v>212</v>
      </c>
      <c r="J4961" s="9">
        <v>1</v>
      </c>
      <c r="K4961" s="9">
        <v>795</v>
      </c>
      <c r="L4961" s="9">
        <v>2024</v>
      </c>
      <c r="M4961" s="8" t="s">
        <v>29257</v>
      </c>
      <c r="N4961" s="8" t="s">
        <v>41</v>
      </c>
      <c r="O4961" s="8" t="s">
        <v>676</v>
      </c>
      <c r="P4961" s="6" t="s">
        <v>167</v>
      </c>
      <c r="Q4961" s="8" t="s">
        <v>214</v>
      </c>
      <c r="R4961" s="10" t="s">
        <v>806</v>
      </c>
      <c r="S4961" s="11" t="s">
        <v>29258</v>
      </c>
      <c r="T4961" s="6"/>
      <c r="U4961" s="24" t="str">
        <f>HYPERLINK("https://media.infra-m.ru/2132/2132491/cover/2132491.jpg", "Обложка")</f>
        <v>Обложка</v>
      </c>
      <c r="V4961" s="24" t="str">
        <f>HYPERLINK("https://znanium.ru/catalog/product/2132491", "Ознакомиться")</f>
        <v>Ознакомиться</v>
      </c>
      <c r="W4961" s="8" t="s">
        <v>22284</v>
      </c>
      <c r="X4961" s="6"/>
      <c r="Y4961" s="6"/>
      <c r="Z4961" s="6" t="s">
        <v>218</v>
      </c>
      <c r="AA4961" s="6" t="s">
        <v>5914</v>
      </c>
      <c r="AB4961" s="8"/>
    </row>
    <row r="4962" spans="1:28" s="4" customFormat="1" ht="51.95" customHeight="1">
      <c r="A4962" s="5">
        <v>0</v>
      </c>
      <c r="B4962" s="6" t="s">
        <v>29259</v>
      </c>
      <c r="C4962" s="13">
        <v>2990</v>
      </c>
      <c r="D4962" s="8" t="s">
        <v>29260</v>
      </c>
      <c r="E4962" s="8" t="s">
        <v>29246</v>
      </c>
      <c r="F4962" s="8" t="s">
        <v>29256</v>
      </c>
      <c r="G4962" s="6" t="s">
        <v>52</v>
      </c>
      <c r="H4962" s="6" t="s">
        <v>53</v>
      </c>
      <c r="I4962" s="8" t="s">
        <v>116</v>
      </c>
      <c r="J4962" s="9">
        <v>1</v>
      </c>
      <c r="K4962" s="9">
        <v>795</v>
      </c>
      <c r="L4962" s="9">
        <v>2025</v>
      </c>
      <c r="M4962" s="8" t="s">
        <v>29261</v>
      </c>
      <c r="N4962" s="8" t="s">
        <v>41</v>
      </c>
      <c r="O4962" s="8" t="s">
        <v>676</v>
      </c>
      <c r="P4962" s="6" t="s">
        <v>167</v>
      </c>
      <c r="Q4962" s="8" t="s">
        <v>44</v>
      </c>
      <c r="R4962" s="10" t="s">
        <v>806</v>
      </c>
      <c r="S4962" s="11"/>
      <c r="T4962" s="6"/>
      <c r="U4962" s="24" t="str">
        <f>HYPERLINK("https://media.infra-m.ru/2200/2200763/cover/2200763.jpg", "Обложка")</f>
        <v>Обложка</v>
      </c>
      <c r="V4962" s="24" t="str">
        <f>HYPERLINK("https://znanium.ru/catalog/product/2200763", "Ознакомиться")</f>
        <v>Ознакомиться</v>
      </c>
      <c r="W4962" s="8" t="s">
        <v>22284</v>
      </c>
      <c r="X4962" s="6"/>
      <c r="Y4962" s="6"/>
      <c r="Z4962" s="6"/>
      <c r="AA4962" s="6" t="s">
        <v>10161</v>
      </c>
      <c r="AB4962" s="8"/>
    </row>
    <row r="4963" spans="1:28" s="4" customFormat="1" ht="51.95" customHeight="1">
      <c r="A4963" s="5">
        <v>0</v>
      </c>
      <c r="B4963" s="6" t="s">
        <v>29262</v>
      </c>
      <c r="C4963" s="13">
        <v>1890</v>
      </c>
      <c r="D4963" s="8" t="s">
        <v>29263</v>
      </c>
      <c r="E4963" s="8" t="s">
        <v>29251</v>
      </c>
      <c r="F4963" s="8" t="s">
        <v>29256</v>
      </c>
      <c r="G4963" s="6" t="s">
        <v>89</v>
      </c>
      <c r="H4963" s="6" t="s">
        <v>53</v>
      </c>
      <c r="I4963" s="8" t="s">
        <v>90</v>
      </c>
      <c r="J4963" s="9">
        <v>1</v>
      </c>
      <c r="K4963" s="9">
        <v>772</v>
      </c>
      <c r="L4963" s="9">
        <v>2020</v>
      </c>
      <c r="M4963" s="8" t="s">
        <v>29264</v>
      </c>
      <c r="N4963" s="8" t="s">
        <v>41</v>
      </c>
      <c r="O4963" s="8" t="s">
        <v>676</v>
      </c>
      <c r="P4963" s="6" t="s">
        <v>167</v>
      </c>
      <c r="Q4963" s="8" t="s">
        <v>44</v>
      </c>
      <c r="R4963" s="10" t="s">
        <v>806</v>
      </c>
      <c r="S4963" s="11"/>
      <c r="T4963" s="6"/>
      <c r="U4963" s="24" t="str">
        <f>HYPERLINK("https://media.infra-m.ru/1046/1046896/cover/1046896.jpg", "Обложка")</f>
        <v>Обложка</v>
      </c>
      <c r="V4963" s="24" t="str">
        <f>HYPERLINK("https://znanium.ru/catalog/product/2200763", "Ознакомиться")</f>
        <v>Ознакомиться</v>
      </c>
      <c r="W4963" s="8" t="s">
        <v>22284</v>
      </c>
      <c r="X4963" s="6"/>
      <c r="Y4963" s="6"/>
      <c r="Z4963" s="6"/>
      <c r="AA4963" s="6" t="s">
        <v>2423</v>
      </c>
      <c r="AB4963" s="8"/>
    </row>
    <row r="4964" spans="1:28" s="4" customFormat="1" ht="51.95" customHeight="1">
      <c r="A4964" s="5">
        <v>0</v>
      </c>
      <c r="B4964" s="6" t="s">
        <v>29265</v>
      </c>
      <c r="C4964" s="13">
        <v>2254.9</v>
      </c>
      <c r="D4964" s="8" t="s">
        <v>29266</v>
      </c>
      <c r="E4964" s="8" t="s">
        <v>29251</v>
      </c>
      <c r="F4964" s="8" t="s">
        <v>29256</v>
      </c>
      <c r="G4964" s="6" t="s">
        <v>89</v>
      </c>
      <c r="H4964" s="6" t="s">
        <v>53</v>
      </c>
      <c r="I4964" s="8" t="s">
        <v>212</v>
      </c>
      <c r="J4964" s="9">
        <v>1</v>
      </c>
      <c r="K4964" s="9">
        <v>772</v>
      </c>
      <c r="L4964" s="9">
        <v>2022</v>
      </c>
      <c r="M4964" s="8" t="s">
        <v>29267</v>
      </c>
      <c r="N4964" s="8" t="s">
        <v>41</v>
      </c>
      <c r="O4964" s="8" t="s">
        <v>676</v>
      </c>
      <c r="P4964" s="6" t="s">
        <v>167</v>
      </c>
      <c r="Q4964" s="8" t="s">
        <v>214</v>
      </c>
      <c r="R4964" s="10" t="s">
        <v>806</v>
      </c>
      <c r="S4964" s="11" t="s">
        <v>29258</v>
      </c>
      <c r="T4964" s="6"/>
      <c r="U4964" s="24" t="str">
        <f>HYPERLINK("https://media.infra-m.ru/1898/1898373/cover/1898373.jpg", "Обложка")</f>
        <v>Обложка</v>
      </c>
      <c r="V4964" s="24" t="str">
        <f>HYPERLINK("https://znanium.ru/catalog/product/2132491", "Ознакомиться")</f>
        <v>Ознакомиться</v>
      </c>
      <c r="W4964" s="8" t="s">
        <v>22284</v>
      </c>
      <c r="X4964" s="6"/>
      <c r="Y4964" s="6"/>
      <c r="Z4964" s="6" t="s">
        <v>218</v>
      </c>
      <c r="AA4964" s="6" t="s">
        <v>867</v>
      </c>
      <c r="AB4964" s="8"/>
    </row>
    <row r="4965" spans="1:28" s="4" customFormat="1" ht="51.95" customHeight="1">
      <c r="A4965" s="5">
        <v>0</v>
      </c>
      <c r="B4965" s="6" t="s">
        <v>29268</v>
      </c>
      <c r="C4965" s="13">
        <v>1299.9000000000001</v>
      </c>
      <c r="D4965" s="8" t="s">
        <v>29269</v>
      </c>
      <c r="E4965" s="8" t="s">
        <v>29270</v>
      </c>
      <c r="F4965" s="8" t="s">
        <v>29252</v>
      </c>
      <c r="G4965" s="6" t="s">
        <v>52</v>
      </c>
      <c r="H4965" s="6" t="s">
        <v>53</v>
      </c>
      <c r="I4965" s="8" t="s">
        <v>90</v>
      </c>
      <c r="J4965" s="9">
        <v>6</v>
      </c>
      <c r="K4965" s="9">
        <v>712</v>
      </c>
      <c r="L4965" s="9">
        <v>2017</v>
      </c>
      <c r="M4965" s="8" t="s">
        <v>29271</v>
      </c>
      <c r="N4965" s="8" t="s">
        <v>41</v>
      </c>
      <c r="O4965" s="8" t="s">
        <v>676</v>
      </c>
      <c r="P4965" s="6" t="s">
        <v>167</v>
      </c>
      <c r="Q4965" s="8" t="s">
        <v>44</v>
      </c>
      <c r="R4965" s="10" t="s">
        <v>806</v>
      </c>
      <c r="S4965" s="11" t="s">
        <v>29272</v>
      </c>
      <c r="T4965" s="6"/>
      <c r="U4965" s="24" t="str">
        <f>HYPERLINK("https://media.infra-m.ru/0612/0612658/cover/612658.jpg", "Обложка")</f>
        <v>Обложка</v>
      </c>
      <c r="V4965" s="24" t="str">
        <f>HYPERLINK("https://znanium.ru/catalog/product/2200763", "Ознакомиться")</f>
        <v>Ознакомиться</v>
      </c>
      <c r="W4965" s="8" t="s">
        <v>22544</v>
      </c>
      <c r="X4965" s="6"/>
      <c r="Y4965" s="6"/>
      <c r="Z4965" s="6"/>
      <c r="AA4965" s="6" t="s">
        <v>644</v>
      </c>
      <c r="AB4965" s="8"/>
    </row>
    <row r="4966" spans="1:28" s="4" customFormat="1" ht="51.95" customHeight="1">
      <c r="A4966" s="5">
        <v>0</v>
      </c>
      <c r="B4966" s="6" t="s">
        <v>29273</v>
      </c>
      <c r="C4966" s="13">
        <v>1374</v>
      </c>
      <c r="D4966" s="8" t="s">
        <v>29274</v>
      </c>
      <c r="E4966" s="8" t="s">
        <v>29275</v>
      </c>
      <c r="F4966" s="8" t="s">
        <v>19393</v>
      </c>
      <c r="G4966" s="6" t="s">
        <v>52</v>
      </c>
      <c r="H4966" s="6" t="s">
        <v>77</v>
      </c>
      <c r="I4966" s="8"/>
      <c r="J4966" s="9">
        <v>1</v>
      </c>
      <c r="K4966" s="9">
        <v>299</v>
      </c>
      <c r="L4966" s="9">
        <v>2024</v>
      </c>
      <c r="M4966" s="8" t="s">
        <v>29276</v>
      </c>
      <c r="N4966" s="8" t="s">
        <v>41</v>
      </c>
      <c r="O4966" s="8" t="s">
        <v>118</v>
      </c>
      <c r="P4966" s="6" t="s">
        <v>43</v>
      </c>
      <c r="Q4966" s="8" t="s">
        <v>279</v>
      </c>
      <c r="R4966" s="10" t="s">
        <v>29277</v>
      </c>
      <c r="S4966" s="11" t="s">
        <v>29278</v>
      </c>
      <c r="T4966" s="6"/>
      <c r="U4966" s="24" t="str">
        <f>HYPERLINK("https://media.infra-m.ru/2110/2110044/cover/2110044.jpg", "Обложка")</f>
        <v>Обложка</v>
      </c>
      <c r="V4966" s="24" t="str">
        <f>HYPERLINK("https://znanium.ru/catalog/product/2110044", "Ознакомиться")</f>
        <v>Ознакомиться</v>
      </c>
      <c r="W4966" s="8" t="s">
        <v>4383</v>
      </c>
      <c r="X4966" s="6"/>
      <c r="Y4966" s="6"/>
      <c r="Z4966" s="6"/>
      <c r="AA4966" s="6" t="s">
        <v>84</v>
      </c>
      <c r="AB4966" s="8"/>
    </row>
    <row r="4967" spans="1:28" s="4" customFormat="1" ht="51.95" customHeight="1">
      <c r="A4967" s="5">
        <v>0</v>
      </c>
      <c r="B4967" s="6" t="s">
        <v>29279</v>
      </c>
      <c r="C4967" s="13">
        <v>1804</v>
      </c>
      <c r="D4967" s="8" t="s">
        <v>29280</v>
      </c>
      <c r="E4967" s="8" t="s">
        <v>29281</v>
      </c>
      <c r="F4967" s="8" t="s">
        <v>29282</v>
      </c>
      <c r="G4967" s="6" t="s">
        <v>89</v>
      </c>
      <c r="H4967" s="6" t="s">
        <v>53</v>
      </c>
      <c r="I4967" s="8" t="s">
        <v>276</v>
      </c>
      <c r="J4967" s="9">
        <v>1</v>
      </c>
      <c r="K4967" s="9">
        <v>360</v>
      </c>
      <c r="L4967" s="9">
        <v>2025</v>
      </c>
      <c r="M4967" s="8" t="s">
        <v>29283</v>
      </c>
      <c r="N4967" s="8" t="s">
        <v>41</v>
      </c>
      <c r="O4967" s="8" t="s">
        <v>118</v>
      </c>
      <c r="P4967" s="6" t="s">
        <v>43</v>
      </c>
      <c r="Q4967" s="8" t="s">
        <v>279</v>
      </c>
      <c r="R4967" s="10" t="s">
        <v>29284</v>
      </c>
      <c r="S4967" s="11" t="s">
        <v>29285</v>
      </c>
      <c r="T4967" s="6"/>
      <c r="U4967" s="24" t="str">
        <f>HYPERLINK("https://media.infra-m.ru/2188/2188738/cover/2188738.jpg", "Обложка")</f>
        <v>Обложка</v>
      </c>
      <c r="V4967" s="24" t="str">
        <f>HYPERLINK("https://znanium.ru/catalog/product/1841418", "Ознакомиться")</f>
        <v>Ознакомиться</v>
      </c>
      <c r="W4967" s="8" t="s">
        <v>27772</v>
      </c>
      <c r="X4967" s="6"/>
      <c r="Y4967" s="6"/>
      <c r="Z4967" s="6"/>
      <c r="AA4967" s="6" t="s">
        <v>326</v>
      </c>
      <c r="AB4967" s="8"/>
    </row>
    <row r="4968" spans="1:28" s="4" customFormat="1" ht="51.95" customHeight="1">
      <c r="A4968" s="5">
        <v>0</v>
      </c>
      <c r="B4968" s="6" t="s">
        <v>29286</v>
      </c>
      <c r="C4968" s="7">
        <v>970</v>
      </c>
      <c r="D4968" s="8" t="s">
        <v>29287</v>
      </c>
      <c r="E4968" s="8" t="s">
        <v>29275</v>
      </c>
      <c r="F4968" s="8" t="s">
        <v>29282</v>
      </c>
      <c r="G4968" s="6" t="s">
        <v>52</v>
      </c>
      <c r="H4968" s="6" t="s">
        <v>53</v>
      </c>
      <c r="I4968" s="8" t="s">
        <v>276</v>
      </c>
      <c r="J4968" s="9">
        <v>1</v>
      </c>
      <c r="K4968" s="9">
        <v>329</v>
      </c>
      <c r="L4968" s="9">
        <v>2017</v>
      </c>
      <c r="M4968" s="8" t="s">
        <v>29288</v>
      </c>
      <c r="N4968" s="8" t="s">
        <v>41</v>
      </c>
      <c r="O4968" s="8" t="s">
        <v>118</v>
      </c>
      <c r="P4968" s="6" t="s">
        <v>43</v>
      </c>
      <c r="Q4968" s="8" t="s">
        <v>279</v>
      </c>
      <c r="R4968" s="10" t="s">
        <v>29284</v>
      </c>
      <c r="S4968" s="11" t="s">
        <v>29289</v>
      </c>
      <c r="T4968" s="6"/>
      <c r="U4968" s="24" t="str">
        <f>HYPERLINK("https://media.infra-m.ru/0615/0615081/cover/615081.jpg", "Обложка")</f>
        <v>Обложка</v>
      </c>
      <c r="V4968" s="24" t="str">
        <f>HYPERLINK("https://znanium.ru/catalog/product/1841418", "Ознакомиться")</f>
        <v>Ознакомиться</v>
      </c>
      <c r="W4968" s="8" t="s">
        <v>27772</v>
      </c>
      <c r="X4968" s="6"/>
      <c r="Y4968" s="6"/>
      <c r="Z4968" s="6"/>
      <c r="AA4968" s="6" t="s">
        <v>72</v>
      </c>
      <c r="AB4968" s="8"/>
    </row>
    <row r="4969" spans="1:28" s="4" customFormat="1" ht="51.95" customHeight="1">
      <c r="A4969" s="5">
        <v>0</v>
      </c>
      <c r="B4969" s="6" t="s">
        <v>29290</v>
      </c>
      <c r="C4969" s="13">
        <v>1874.9</v>
      </c>
      <c r="D4969" s="8" t="s">
        <v>29291</v>
      </c>
      <c r="E4969" s="8" t="s">
        <v>29292</v>
      </c>
      <c r="F4969" s="8" t="s">
        <v>29293</v>
      </c>
      <c r="G4969" s="6" t="s">
        <v>52</v>
      </c>
      <c r="H4969" s="6" t="s">
        <v>53</v>
      </c>
      <c r="I4969" s="8" t="s">
        <v>2048</v>
      </c>
      <c r="J4969" s="9">
        <v>1</v>
      </c>
      <c r="K4969" s="9">
        <v>848</v>
      </c>
      <c r="L4969" s="9">
        <v>2025</v>
      </c>
      <c r="M4969" s="8" t="s">
        <v>29294</v>
      </c>
      <c r="N4969" s="8" t="s">
        <v>41</v>
      </c>
      <c r="O4969" s="8" t="s">
        <v>118</v>
      </c>
      <c r="P4969" s="6" t="s">
        <v>167</v>
      </c>
      <c r="Q4969" s="8" t="s">
        <v>44</v>
      </c>
      <c r="R4969" s="10" t="s">
        <v>14014</v>
      </c>
      <c r="S4969" s="11" t="s">
        <v>29295</v>
      </c>
      <c r="T4969" s="6"/>
      <c r="U4969" s="24" t="str">
        <f>HYPERLINK("https://media.infra-m.ru/2177/2177509/cover/2177509.jpg", "Обложка")</f>
        <v>Обложка</v>
      </c>
      <c r="V4969" s="24" t="str">
        <f>HYPERLINK("https://znanium.ru/catalog/product/2107424", "Ознакомиться")</f>
        <v>Ознакомиться</v>
      </c>
      <c r="W4969" s="8" t="s">
        <v>189</v>
      </c>
      <c r="X4969" s="6"/>
      <c r="Y4969" s="6"/>
      <c r="Z4969" s="6"/>
      <c r="AA4969" s="6" t="s">
        <v>29296</v>
      </c>
      <c r="AB4969" s="8"/>
    </row>
    <row r="4970" spans="1:28" s="4" customFormat="1" ht="51.95" customHeight="1">
      <c r="A4970" s="5">
        <v>0</v>
      </c>
      <c r="B4970" s="6" t="s">
        <v>29297</v>
      </c>
      <c r="C4970" s="7">
        <v>954</v>
      </c>
      <c r="D4970" s="8" t="s">
        <v>29298</v>
      </c>
      <c r="E4970" s="8" t="s">
        <v>29299</v>
      </c>
      <c r="F4970" s="8" t="s">
        <v>19393</v>
      </c>
      <c r="G4970" s="6" t="s">
        <v>52</v>
      </c>
      <c r="H4970" s="6" t="s">
        <v>77</v>
      </c>
      <c r="I4970" s="8"/>
      <c r="J4970" s="9">
        <v>1</v>
      </c>
      <c r="K4970" s="9">
        <v>208</v>
      </c>
      <c r="L4970" s="9">
        <v>2024</v>
      </c>
      <c r="M4970" s="8" t="s">
        <v>29300</v>
      </c>
      <c r="N4970" s="8" t="s">
        <v>41</v>
      </c>
      <c r="O4970" s="8" t="s">
        <v>118</v>
      </c>
      <c r="P4970" s="6" t="s">
        <v>43</v>
      </c>
      <c r="Q4970" s="8" t="s">
        <v>44</v>
      </c>
      <c r="R4970" s="10" t="s">
        <v>29284</v>
      </c>
      <c r="S4970" s="11" t="s">
        <v>29301</v>
      </c>
      <c r="T4970" s="6"/>
      <c r="U4970" s="24" t="str">
        <f>HYPERLINK("https://media.infra-m.ru/1873/1873253/cover/1873253.jpg", "Обложка")</f>
        <v>Обложка</v>
      </c>
      <c r="V4970" s="24" t="str">
        <f>HYPERLINK("https://znanium.ru/catalog/product/1873253", "Ознакомиться")</f>
        <v>Ознакомиться</v>
      </c>
      <c r="W4970" s="8" t="s">
        <v>4383</v>
      </c>
      <c r="X4970" s="6"/>
      <c r="Y4970" s="6"/>
      <c r="Z4970" s="6"/>
      <c r="AA4970" s="6" t="s">
        <v>47</v>
      </c>
      <c r="AB4970" s="8"/>
    </row>
    <row r="4971" spans="1:28" s="4" customFormat="1" ht="51.95" customHeight="1">
      <c r="A4971" s="5">
        <v>0</v>
      </c>
      <c r="B4971" s="6" t="s">
        <v>29302</v>
      </c>
      <c r="C4971" s="13">
        <v>1624</v>
      </c>
      <c r="D4971" s="8" t="s">
        <v>29303</v>
      </c>
      <c r="E4971" s="8" t="s">
        <v>29304</v>
      </c>
      <c r="F4971" s="8" t="s">
        <v>29305</v>
      </c>
      <c r="G4971" s="6" t="s">
        <v>52</v>
      </c>
      <c r="H4971" s="6" t="s">
        <v>53</v>
      </c>
      <c r="I4971" s="8" t="s">
        <v>90</v>
      </c>
      <c r="J4971" s="9">
        <v>1</v>
      </c>
      <c r="K4971" s="9">
        <v>345</v>
      </c>
      <c r="L4971" s="9">
        <v>2024</v>
      </c>
      <c r="M4971" s="8" t="s">
        <v>29306</v>
      </c>
      <c r="N4971" s="8" t="s">
        <v>41</v>
      </c>
      <c r="O4971" s="8" t="s">
        <v>118</v>
      </c>
      <c r="P4971" s="6" t="s">
        <v>43</v>
      </c>
      <c r="Q4971" s="8" t="s">
        <v>44</v>
      </c>
      <c r="R4971" s="10" t="s">
        <v>29307</v>
      </c>
      <c r="S4971" s="11" t="s">
        <v>29308</v>
      </c>
      <c r="T4971" s="6"/>
      <c r="U4971" s="24" t="str">
        <f>HYPERLINK("https://media.infra-m.ru/2125/2125417/cover/2125417.jpg", "Обложка")</f>
        <v>Обложка</v>
      </c>
      <c r="V4971" s="24" t="str">
        <f>HYPERLINK("https://znanium.ru/catalog/product/2125417", "Ознакомиться")</f>
        <v>Ознакомиться</v>
      </c>
      <c r="W4971" s="8" t="s">
        <v>14016</v>
      </c>
      <c r="X4971" s="6"/>
      <c r="Y4971" s="6"/>
      <c r="Z4971" s="6"/>
      <c r="AA4971" s="6" t="s">
        <v>11034</v>
      </c>
      <c r="AB4971" s="8"/>
    </row>
    <row r="4972" spans="1:28" s="4" customFormat="1" ht="51.95" customHeight="1">
      <c r="A4972" s="5">
        <v>0</v>
      </c>
      <c r="B4972" s="6" t="s">
        <v>29309</v>
      </c>
      <c r="C4972" s="13">
        <v>1624</v>
      </c>
      <c r="D4972" s="8" t="s">
        <v>29310</v>
      </c>
      <c r="E4972" s="8" t="s">
        <v>29311</v>
      </c>
      <c r="F4972" s="8" t="s">
        <v>29282</v>
      </c>
      <c r="G4972" s="6" t="s">
        <v>52</v>
      </c>
      <c r="H4972" s="6" t="s">
        <v>53</v>
      </c>
      <c r="I4972" s="8" t="s">
        <v>90</v>
      </c>
      <c r="J4972" s="9">
        <v>1</v>
      </c>
      <c r="K4972" s="9">
        <v>324</v>
      </c>
      <c r="L4972" s="9">
        <v>2025</v>
      </c>
      <c r="M4972" s="8" t="s">
        <v>29312</v>
      </c>
      <c r="N4972" s="8" t="s">
        <v>41</v>
      </c>
      <c r="O4972" s="8" t="s">
        <v>118</v>
      </c>
      <c r="P4972" s="6" t="s">
        <v>43</v>
      </c>
      <c r="Q4972" s="8" t="s">
        <v>44</v>
      </c>
      <c r="R4972" s="10" t="s">
        <v>27748</v>
      </c>
      <c r="S4972" s="11" t="s">
        <v>29313</v>
      </c>
      <c r="T4972" s="6"/>
      <c r="U4972" s="24" t="str">
        <f>HYPERLINK("https://media.infra-m.ru/2185/2185918/cover/2185918.jpg", "Обложка")</f>
        <v>Обложка</v>
      </c>
      <c r="V4972" s="24" t="str">
        <f>HYPERLINK("https://znanium.ru/catalog/product/1832150", "Ознакомиться")</f>
        <v>Ознакомиться</v>
      </c>
      <c r="W4972" s="8" t="s">
        <v>27772</v>
      </c>
      <c r="X4972" s="6"/>
      <c r="Y4972" s="6"/>
      <c r="Z4972" s="6"/>
      <c r="AA4972" s="6" t="s">
        <v>326</v>
      </c>
      <c r="AB4972" s="8"/>
    </row>
    <row r="4973" spans="1:28" s="4" customFormat="1" ht="51.95" customHeight="1">
      <c r="A4973" s="5">
        <v>0</v>
      </c>
      <c r="B4973" s="6" t="s">
        <v>29314</v>
      </c>
      <c r="C4973" s="7">
        <v>960</v>
      </c>
      <c r="D4973" s="8" t="s">
        <v>29315</v>
      </c>
      <c r="E4973" s="8" t="s">
        <v>29316</v>
      </c>
      <c r="F4973" s="8" t="s">
        <v>29317</v>
      </c>
      <c r="G4973" s="6" t="s">
        <v>89</v>
      </c>
      <c r="H4973" s="6" t="s">
        <v>674</v>
      </c>
      <c r="I4973" s="8"/>
      <c r="J4973" s="9">
        <v>1</v>
      </c>
      <c r="K4973" s="9">
        <v>208</v>
      </c>
      <c r="L4973" s="9">
        <v>2024</v>
      </c>
      <c r="M4973" s="8" t="s">
        <v>29318</v>
      </c>
      <c r="N4973" s="8" t="s">
        <v>41</v>
      </c>
      <c r="O4973" s="8" t="s">
        <v>676</v>
      </c>
      <c r="P4973" s="6" t="s">
        <v>43</v>
      </c>
      <c r="Q4973" s="8" t="s">
        <v>44</v>
      </c>
      <c r="R4973" s="10" t="s">
        <v>2736</v>
      </c>
      <c r="S4973" s="11" t="s">
        <v>7217</v>
      </c>
      <c r="T4973" s="6"/>
      <c r="U4973" s="24" t="str">
        <f>HYPERLINK("https://media.infra-m.ru/2084/2084242/cover/2084242.jpg", "Обложка")</f>
        <v>Обложка</v>
      </c>
      <c r="V4973" s="24" t="str">
        <f>HYPERLINK("https://znanium.ru/catalog/product/2084242", "Ознакомиться")</f>
        <v>Ознакомиться</v>
      </c>
      <c r="W4973" s="8" t="s">
        <v>354</v>
      </c>
      <c r="X4973" s="6"/>
      <c r="Y4973" s="6"/>
      <c r="Z4973" s="6"/>
      <c r="AA4973" s="6" t="s">
        <v>72</v>
      </c>
      <c r="AB4973" s="8"/>
    </row>
    <row r="4974" spans="1:28" s="4" customFormat="1" ht="51.95" customHeight="1">
      <c r="A4974" s="5">
        <v>0</v>
      </c>
      <c r="B4974" s="6" t="s">
        <v>29319</v>
      </c>
      <c r="C4974" s="13">
        <v>1360</v>
      </c>
      <c r="D4974" s="8" t="s">
        <v>29320</v>
      </c>
      <c r="E4974" s="8" t="s">
        <v>29321</v>
      </c>
      <c r="F4974" s="8" t="s">
        <v>9183</v>
      </c>
      <c r="G4974" s="6" t="s">
        <v>38</v>
      </c>
      <c r="H4974" s="6" t="s">
        <v>1094</v>
      </c>
      <c r="I4974" s="8" t="s">
        <v>5841</v>
      </c>
      <c r="J4974" s="9">
        <v>1</v>
      </c>
      <c r="K4974" s="9">
        <v>272</v>
      </c>
      <c r="L4974" s="9">
        <v>2025</v>
      </c>
      <c r="M4974" s="8" t="s">
        <v>29322</v>
      </c>
      <c r="N4974" s="8" t="s">
        <v>41</v>
      </c>
      <c r="O4974" s="8" t="s">
        <v>676</v>
      </c>
      <c r="P4974" s="6" t="s">
        <v>2134</v>
      </c>
      <c r="Q4974" s="8" t="s">
        <v>58</v>
      </c>
      <c r="R4974" s="10" t="s">
        <v>28754</v>
      </c>
      <c r="S4974" s="11"/>
      <c r="T4974" s="6"/>
      <c r="U4974" s="24" t="str">
        <f>HYPERLINK("https://media.infra-m.ru/2179/2179336/cover/2179336.jpg", "Обложка")</f>
        <v>Обложка</v>
      </c>
      <c r="V4974" s="24" t="str">
        <f>HYPERLINK("https://znanium.ru/catalog/product/2179336", "Ознакомиться")</f>
        <v>Ознакомиться</v>
      </c>
      <c r="W4974" s="8" t="s">
        <v>678</v>
      </c>
      <c r="X4974" s="6"/>
      <c r="Y4974" s="6"/>
      <c r="Z4974" s="6"/>
      <c r="AA4974" s="6" t="s">
        <v>16347</v>
      </c>
      <c r="AB4974" s="8"/>
    </row>
    <row r="4975" spans="1:28" s="4" customFormat="1" ht="44.1" customHeight="1">
      <c r="A4975" s="5">
        <v>0</v>
      </c>
      <c r="B4975" s="6" t="s">
        <v>29323</v>
      </c>
      <c r="C4975" s="7">
        <v>874.9</v>
      </c>
      <c r="D4975" s="8" t="s">
        <v>29324</v>
      </c>
      <c r="E4975" s="8" t="s">
        <v>29325</v>
      </c>
      <c r="F4975" s="8" t="s">
        <v>12439</v>
      </c>
      <c r="G4975" s="6" t="s">
        <v>52</v>
      </c>
      <c r="H4975" s="6" t="s">
        <v>184</v>
      </c>
      <c r="I4975" s="8" t="s">
        <v>276</v>
      </c>
      <c r="J4975" s="9">
        <v>1</v>
      </c>
      <c r="K4975" s="9">
        <v>195</v>
      </c>
      <c r="L4975" s="9">
        <v>2023</v>
      </c>
      <c r="M4975" s="8" t="s">
        <v>29326</v>
      </c>
      <c r="N4975" s="8" t="s">
        <v>41</v>
      </c>
      <c r="O4975" s="8" t="s">
        <v>1007</v>
      </c>
      <c r="P4975" s="6" t="s">
        <v>43</v>
      </c>
      <c r="Q4975" s="8" t="s">
        <v>279</v>
      </c>
      <c r="R4975" s="10" t="s">
        <v>29327</v>
      </c>
      <c r="S4975" s="11"/>
      <c r="T4975" s="6" t="s">
        <v>299</v>
      </c>
      <c r="U4975" s="24" t="str">
        <f>HYPERLINK("https://media.infra-m.ru/1911/1911809/cover/1911809.jpg", "Обложка")</f>
        <v>Обложка</v>
      </c>
      <c r="V4975" s="24" t="str">
        <f>HYPERLINK("https://znanium.ru/catalog/product/937987", "Ознакомиться")</f>
        <v>Ознакомиться</v>
      </c>
      <c r="W4975" s="8" t="s">
        <v>1563</v>
      </c>
      <c r="X4975" s="6"/>
      <c r="Y4975" s="6"/>
      <c r="Z4975" s="6"/>
      <c r="AA4975" s="6" t="s">
        <v>418</v>
      </c>
      <c r="AB4975" s="8"/>
    </row>
    <row r="4976" spans="1:28" s="4" customFormat="1" ht="51.95" customHeight="1">
      <c r="A4976" s="5">
        <v>0</v>
      </c>
      <c r="B4976" s="6" t="s">
        <v>29328</v>
      </c>
      <c r="C4976" s="13">
        <v>1004</v>
      </c>
      <c r="D4976" s="8" t="s">
        <v>29329</v>
      </c>
      <c r="E4976" s="8" t="s">
        <v>29330</v>
      </c>
      <c r="F4976" s="8" t="s">
        <v>29331</v>
      </c>
      <c r="G4976" s="6" t="s">
        <v>52</v>
      </c>
      <c r="H4976" s="6" t="s">
        <v>53</v>
      </c>
      <c r="I4976" s="8" t="s">
        <v>90</v>
      </c>
      <c r="J4976" s="9">
        <v>1</v>
      </c>
      <c r="K4976" s="9">
        <v>214</v>
      </c>
      <c r="L4976" s="9">
        <v>2024</v>
      </c>
      <c r="M4976" s="8" t="s">
        <v>29332</v>
      </c>
      <c r="N4976" s="8" t="s">
        <v>79</v>
      </c>
      <c r="O4976" s="8" t="s">
        <v>174</v>
      </c>
      <c r="P4976" s="6" t="s">
        <v>167</v>
      </c>
      <c r="Q4976" s="8" t="s">
        <v>44</v>
      </c>
      <c r="R4976" s="10" t="s">
        <v>29333</v>
      </c>
      <c r="S4976" s="11" t="s">
        <v>29334</v>
      </c>
      <c r="T4976" s="6"/>
      <c r="U4976" s="24" t="str">
        <f>HYPERLINK("https://media.infra-m.ru/2139/2139209/cover/2139209.jpg", "Обложка")</f>
        <v>Обложка</v>
      </c>
      <c r="V4976" s="24" t="str">
        <f>HYPERLINK("https://znanium.ru/catalog/product/1229322", "Ознакомиться")</f>
        <v>Ознакомиться</v>
      </c>
      <c r="W4976" s="8" t="s">
        <v>5475</v>
      </c>
      <c r="X4976" s="6"/>
      <c r="Y4976" s="6"/>
      <c r="Z4976" s="6"/>
      <c r="AA4976" s="6" t="s">
        <v>494</v>
      </c>
      <c r="AB4976" s="8"/>
    </row>
    <row r="4977" spans="1:28" s="4" customFormat="1" ht="51.95" customHeight="1">
      <c r="A4977" s="5">
        <v>0</v>
      </c>
      <c r="B4977" s="6" t="s">
        <v>29335</v>
      </c>
      <c r="C4977" s="13">
        <v>1070</v>
      </c>
      <c r="D4977" s="8" t="s">
        <v>29336</v>
      </c>
      <c r="E4977" s="8" t="s">
        <v>29330</v>
      </c>
      <c r="F4977" s="8" t="s">
        <v>29337</v>
      </c>
      <c r="G4977" s="6" t="s">
        <v>89</v>
      </c>
      <c r="H4977" s="6" t="s">
        <v>53</v>
      </c>
      <c r="I4977" s="8" t="s">
        <v>100</v>
      </c>
      <c r="J4977" s="9">
        <v>1</v>
      </c>
      <c r="K4977" s="9">
        <v>214</v>
      </c>
      <c r="L4977" s="9">
        <v>2024</v>
      </c>
      <c r="M4977" s="8" t="s">
        <v>29338</v>
      </c>
      <c r="N4977" s="8" t="s">
        <v>79</v>
      </c>
      <c r="O4977" s="8" t="s">
        <v>174</v>
      </c>
      <c r="P4977" s="6" t="s">
        <v>167</v>
      </c>
      <c r="Q4977" s="8" t="s">
        <v>102</v>
      </c>
      <c r="R4977" s="10" t="s">
        <v>29339</v>
      </c>
      <c r="S4977" s="11" t="s">
        <v>29340</v>
      </c>
      <c r="T4977" s="6" t="s">
        <v>299</v>
      </c>
      <c r="U4977" s="24" t="str">
        <f>HYPERLINK("https://media.infra-m.ru/2063/2063431/cover/2063431.jpg", "Обложка")</f>
        <v>Обложка</v>
      </c>
      <c r="V4977" s="24" t="str">
        <f>HYPERLINK("https://znanium.ru/catalog/product/2063431", "Ознакомиться")</f>
        <v>Ознакомиться</v>
      </c>
      <c r="W4977" s="8" t="s">
        <v>5475</v>
      </c>
      <c r="X4977" s="6"/>
      <c r="Y4977" s="6"/>
      <c r="Z4977" s="6" t="s">
        <v>104</v>
      </c>
      <c r="AA4977" s="6" t="s">
        <v>1374</v>
      </c>
      <c r="AB4977" s="8" t="s">
        <v>2336</v>
      </c>
    </row>
    <row r="4978" spans="1:28" s="4" customFormat="1" ht="51.95" customHeight="1">
      <c r="A4978" s="5">
        <v>0</v>
      </c>
      <c r="B4978" s="6" t="s">
        <v>29341</v>
      </c>
      <c r="C4978" s="13">
        <v>1340</v>
      </c>
      <c r="D4978" s="8" t="s">
        <v>29342</v>
      </c>
      <c r="E4978" s="8" t="s">
        <v>29343</v>
      </c>
      <c r="F4978" s="8" t="s">
        <v>29344</v>
      </c>
      <c r="G4978" s="6" t="s">
        <v>89</v>
      </c>
      <c r="H4978" s="6" t="s">
        <v>53</v>
      </c>
      <c r="I4978" s="8" t="s">
        <v>116</v>
      </c>
      <c r="J4978" s="9">
        <v>1</v>
      </c>
      <c r="K4978" s="9">
        <v>288</v>
      </c>
      <c r="L4978" s="9">
        <v>2024</v>
      </c>
      <c r="M4978" s="8" t="s">
        <v>29345</v>
      </c>
      <c r="N4978" s="8" t="s">
        <v>413</v>
      </c>
      <c r="O4978" s="8" t="s">
        <v>2771</v>
      </c>
      <c r="P4978" s="6" t="s">
        <v>43</v>
      </c>
      <c r="Q4978" s="8" t="s">
        <v>44</v>
      </c>
      <c r="R4978" s="10" t="s">
        <v>29346</v>
      </c>
      <c r="S4978" s="11" t="s">
        <v>29347</v>
      </c>
      <c r="T4978" s="6"/>
      <c r="U4978" s="24" t="str">
        <f>HYPERLINK("https://media.infra-m.ru/2111/2111332/cover/2111332.jpg", "Обложка")</f>
        <v>Обложка</v>
      </c>
      <c r="V4978" s="24" t="str">
        <f>HYPERLINK("https://znanium.ru/catalog/product/2111332", "Ознакомиться")</f>
        <v>Ознакомиться</v>
      </c>
      <c r="W4978" s="8" t="s">
        <v>14898</v>
      </c>
      <c r="X4978" s="6"/>
      <c r="Y4978" s="6"/>
      <c r="Z4978" s="6"/>
      <c r="AA4978" s="6" t="s">
        <v>84</v>
      </c>
      <c r="AB4978" s="8"/>
    </row>
    <row r="4979" spans="1:28" s="4" customFormat="1" ht="51.95" customHeight="1">
      <c r="A4979" s="5">
        <v>0</v>
      </c>
      <c r="B4979" s="6" t="s">
        <v>29348</v>
      </c>
      <c r="C4979" s="7">
        <v>490</v>
      </c>
      <c r="D4979" s="8" t="s">
        <v>29349</v>
      </c>
      <c r="E4979" s="8" t="s">
        <v>29350</v>
      </c>
      <c r="F4979" s="8" t="s">
        <v>29351</v>
      </c>
      <c r="G4979" s="6" t="s">
        <v>52</v>
      </c>
      <c r="H4979" s="6" t="s">
        <v>53</v>
      </c>
      <c r="I4979" s="8"/>
      <c r="J4979" s="9">
        <v>1</v>
      </c>
      <c r="K4979" s="9">
        <v>609</v>
      </c>
      <c r="L4979" s="9">
        <v>2018</v>
      </c>
      <c r="M4979" s="8" t="s">
        <v>29352</v>
      </c>
      <c r="N4979" s="8" t="s">
        <v>41</v>
      </c>
      <c r="O4979" s="8" t="s">
        <v>1204</v>
      </c>
      <c r="P4979" s="6" t="s">
        <v>1046</v>
      </c>
      <c r="Q4979" s="8" t="s">
        <v>279</v>
      </c>
      <c r="R4979" s="10" t="s">
        <v>29353</v>
      </c>
      <c r="S4979" s="11"/>
      <c r="T4979" s="6"/>
      <c r="U4979" s="24" t="str">
        <f>HYPERLINK("https://media.infra-m.ru/0977/0977675/cover/977675.jpg", "Обложка")</f>
        <v>Обложка</v>
      </c>
      <c r="V4979" s="24" t="str">
        <f>HYPERLINK("https://znanium.ru/catalog/product/1247123", "Ознакомиться")</f>
        <v>Ознакомиться</v>
      </c>
      <c r="W4979" s="8" t="s">
        <v>354</v>
      </c>
      <c r="X4979" s="6"/>
      <c r="Y4979" s="6"/>
      <c r="Z4979" s="6"/>
      <c r="AA4979" s="6" t="s">
        <v>151</v>
      </c>
      <c r="AB4979" s="8"/>
    </row>
    <row r="4980" spans="1:28" s="4" customFormat="1" ht="51.95" customHeight="1">
      <c r="A4980" s="5">
        <v>0</v>
      </c>
      <c r="B4980" s="6" t="s">
        <v>29354</v>
      </c>
      <c r="C4980" s="13">
        <v>1194</v>
      </c>
      <c r="D4980" s="8" t="s">
        <v>29355</v>
      </c>
      <c r="E4980" s="8" t="s">
        <v>29356</v>
      </c>
      <c r="F4980" s="8" t="s">
        <v>29357</v>
      </c>
      <c r="G4980" s="6" t="s">
        <v>89</v>
      </c>
      <c r="H4980" s="6" t="s">
        <v>53</v>
      </c>
      <c r="I4980" s="8" t="s">
        <v>90</v>
      </c>
      <c r="J4980" s="9">
        <v>1</v>
      </c>
      <c r="K4980" s="9">
        <v>238</v>
      </c>
      <c r="L4980" s="9">
        <v>2025</v>
      </c>
      <c r="M4980" s="8" t="s">
        <v>29358</v>
      </c>
      <c r="N4980" s="8" t="s">
        <v>41</v>
      </c>
      <c r="O4980" s="8" t="s">
        <v>6182</v>
      </c>
      <c r="P4980" s="6" t="s">
        <v>187</v>
      </c>
      <c r="Q4980" s="8" t="s">
        <v>44</v>
      </c>
      <c r="R4980" s="10" t="s">
        <v>29359</v>
      </c>
      <c r="S4980" s="11" t="s">
        <v>29360</v>
      </c>
      <c r="T4980" s="6"/>
      <c r="U4980" s="24" t="str">
        <f>HYPERLINK("https://media.infra-m.ru/2192/2192940/cover/2192940.jpg", "Обложка")</f>
        <v>Обложка</v>
      </c>
      <c r="V4980" s="24" t="str">
        <f>HYPERLINK("https://znanium.ru/catalog/product/2084449", "Ознакомиться")</f>
        <v>Ознакомиться</v>
      </c>
      <c r="W4980" s="8" t="s">
        <v>1253</v>
      </c>
      <c r="X4980" s="6"/>
      <c r="Y4980" s="6"/>
      <c r="Z4980" s="6"/>
      <c r="AA4980" s="6" t="s">
        <v>2202</v>
      </c>
      <c r="AB4980" s="8"/>
    </row>
    <row r="4981" spans="1:28" s="4" customFormat="1" ht="51.95" customHeight="1">
      <c r="A4981" s="5">
        <v>0</v>
      </c>
      <c r="B4981" s="6" t="s">
        <v>29361</v>
      </c>
      <c r="C4981" s="13">
        <v>1394.9</v>
      </c>
      <c r="D4981" s="8" t="s">
        <v>29362</v>
      </c>
      <c r="E4981" s="8" t="s">
        <v>29363</v>
      </c>
      <c r="F4981" s="8" t="s">
        <v>29364</v>
      </c>
      <c r="G4981" s="6" t="s">
        <v>52</v>
      </c>
      <c r="H4981" s="6" t="s">
        <v>53</v>
      </c>
      <c r="I4981" s="8" t="s">
        <v>90</v>
      </c>
      <c r="J4981" s="9">
        <v>1</v>
      </c>
      <c r="K4981" s="9">
        <v>476</v>
      </c>
      <c r="L4981" s="9">
        <v>2018</v>
      </c>
      <c r="M4981" s="8" t="s">
        <v>29365</v>
      </c>
      <c r="N4981" s="8" t="s">
        <v>41</v>
      </c>
      <c r="O4981" s="8" t="s">
        <v>6182</v>
      </c>
      <c r="P4981" s="6" t="s">
        <v>167</v>
      </c>
      <c r="Q4981" s="8" t="s">
        <v>44</v>
      </c>
      <c r="R4981" s="10" t="s">
        <v>29366</v>
      </c>
      <c r="S4981" s="11" t="s">
        <v>1285</v>
      </c>
      <c r="T4981" s="6"/>
      <c r="U4981" s="24" t="str">
        <f>HYPERLINK("https://media.infra-m.ru/0966/0966477/cover/966477.jpg", "Обложка")</f>
        <v>Обложка</v>
      </c>
      <c r="V4981" s="24" t="str">
        <f>HYPERLINK("https://znanium.ru/catalog/product/2084150", "Ознакомиться")</f>
        <v>Ознакомиться</v>
      </c>
      <c r="W4981" s="8" t="s">
        <v>1253</v>
      </c>
      <c r="X4981" s="6"/>
      <c r="Y4981" s="6"/>
      <c r="Z4981" s="6"/>
      <c r="AA4981" s="6" t="s">
        <v>4952</v>
      </c>
      <c r="AB4981" s="8"/>
    </row>
    <row r="4982" spans="1:28" s="4" customFormat="1" ht="51.95" customHeight="1">
      <c r="A4982" s="5">
        <v>0</v>
      </c>
      <c r="B4982" s="6" t="s">
        <v>29367</v>
      </c>
      <c r="C4982" s="13">
        <v>2140</v>
      </c>
      <c r="D4982" s="8" t="s">
        <v>29368</v>
      </c>
      <c r="E4982" s="8" t="s">
        <v>29369</v>
      </c>
      <c r="F4982" s="8" t="s">
        <v>29370</v>
      </c>
      <c r="G4982" s="6" t="s">
        <v>52</v>
      </c>
      <c r="H4982" s="6" t="s">
        <v>53</v>
      </c>
      <c r="I4982" s="8" t="s">
        <v>116</v>
      </c>
      <c r="J4982" s="9">
        <v>1</v>
      </c>
      <c r="K4982" s="9">
        <v>465</v>
      </c>
      <c r="L4982" s="9">
        <v>2024</v>
      </c>
      <c r="M4982" s="8" t="s">
        <v>29371</v>
      </c>
      <c r="N4982" s="8" t="s">
        <v>41</v>
      </c>
      <c r="O4982" s="8" t="s">
        <v>6182</v>
      </c>
      <c r="P4982" s="6" t="s">
        <v>167</v>
      </c>
      <c r="Q4982" s="8" t="s">
        <v>44</v>
      </c>
      <c r="R4982" s="10" t="s">
        <v>29366</v>
      </c>
      <c r="S4982" s="11" t="s">
        <v>29372</v>
      </c>
      <c r="T4982" s="6"/>
      <c r="U4982" s="24" t="str">
        <f>HYPERLINK("https://media.infra-m.ru/2084/2084150/cover/2084150.jpg", "Обложка")</f>
        <v>Обложка</v>
      </c>
      <c r="V4982" s="24" t="str">
        <f>HYPERLINK("https://znanium.ru/catalog/product/2084150", "Ознакомиться")</f>
        <v>Ознакомиться</v>
      </c>
      <c r="W4982" s="8" t="s">
        <v>1253</v>
      </c>
      <c r="X4982" s="6"/>
      <c r="Y4982" s="6"/>
      <c r="Z4982" s="6"/>
      <c r="AA4982" s="6" t="s">
        <v>1402</v>
      </c>
      <c r="AB4982" s="8"/>
    </row>
    <row r="4983" spans="1:28" s="4" customFormat="1" ht="51.95" customHeight="1">
      <c r="A4983" s="5">
        <v>0</v>
      </c>
      <c r="B4983" s="6" t="s">
        <v>29373</v>
      </c>
      <c r="C4983" s="13">
        <v>1840</v>
      </c>
      <c r="D4983" s="8" t="s">
        <v>29374</v>
      </c>
      <c r="E4983" s="8" t="s">
        <v>29375</v>
      </c>
      <c r="F4983" s="8" t="s">
        <v>29376</v>
      </c>
      <c r="G4983" s="6" t="s">
        <v>89</v>
      </c>
      <c r="H4983" s="6" t="s">
        <v>674</v>
      </c>
      <c r="I4983" s="8"/>
      <c r="J4983" s="9">
        <v>1</v>
      </c>
      <c r="K4983" s="9">
        <v>368</v>
      </c>
      <c r="L4983" s="9">
        <v>2025</v>
      </c>
      <c r="M4983" s="8" t="s">
        <v>29377</v>
      </c>
      <c r="N4983" s="8" t="s">
        <v>41</v>
      </c>
      <c r="O4983" s="8" t="s">
        <v>676</v>
      </c>
      <c r="P4983" s="6" t="s">
        <v>167</v>
      </c>
      <c r="Q4983" s="8" t="s">
        <v>44</v>
      </c>
      <c r="R4983" s="10" t="s">
        <v>806</v>
      </c>
      <c r="S4983" s="11" t="s">
        <v>29378</v>
      </c>
      <c r="T4983" s="6"/>
      <c r="U4983" s="24" t="str">
        <f>HYPERLINK("https://media.infra-m.ru/2175/2175118/cover/2175118.jpg", "Обложка")</f>
        <v>Обложка</v>
      </c>
      <c r="V4983" s="24" t="str">
        <f>HYPERLINK("https://znanium.ru/catalog/product/2175118", "Ознакомиться")</f>
        <v>Ознакомиться</v>
      </c>
      <c r="W4983" s="8" t="s">
        <v>792</v>
      </c>
      <c r="X4983" s="6"/>
      <c r="Y4983" s="6"/>
      <c r="Z4983" s="6"/>
      <c r="AA4983" s="6" t="s">
        <v>160</v>
      </c>
      <c r="AB4983" s="8"/>
    </row>
    <row r="4984" spans="1:28" s="4" customFormat="1" ht="51.95" customHeight="1">
      <c r="A4984" s="5">
        <v>0</v>
      </c>
      <c r="B4984" s="6" t="s">
        <v>29379</v>
      </c>
      <c r="C4984" s="13">
        <v>1440</v>
      </c>
      <c r="D4984" s="8" t="s">
        <v>29380</v>
      </c>
      <c r="E4984" s="8" t="s">
        <v>29381</v>
      </c>
      <c r="F4984" s="8" t="s">
        <v>29382</v>
      </c>
      <c r="G4984" s="6" t="s">
        <v>89</v>
      </c>
      <c r="H4984" s="6" t="s">
        <v>53</v>
      </c>
      <c r="I4984" s="8" t="s">
        <v>116</v>
      </c>
      <c r="J4984" s="9">
        <v>1</v>
      </c>
      <c r="K4984" s="9">
        <v>312</v>
      </c>
      <c r="L4984" s="9">
        <v>2024</v>
      </c>
      <c r="M4984" s="8" t="s">
        <v>29383</v>
      </c>
      <c r="N4984" s="8" t="s">
        <v>41</v>
      </c>
      <c r="O4984" s="8" t="s">
        <v>676</v>
      </c>
      <c r="P4984" s="6" t="s">
        <v>167</v>
      </c>
      <c r="Q4984" s="8" t="s">
        <v>44</v>
      </c>
      <c r="R4984" s="10" t="s">
        <v>5933</v>
      </c>
      <c r="S4984" s="11" t="s">
        <v>3907</v>
      </c>
      <c r="T4984" s="6"/>
      <c r="U4984" s="24" t="str">
        <f>HYPERLINK("https://media.infra-m.ru/2131/2131879/cover/2131879.jpg", "Обложка")</f>
        <v>Обложка</v>
      </c>
      <c r="V4984" s="24" t="str">
        <f>HYPERLINK("https://znanium.ru/catalog/product/1047130", "Ознакомиться")</f>
        <v>Ознакомиться</v>
      </c>
      <c r="W4984" s="8" t="s">
        <v>947</v>
      </c>
      <c r="X4984" s="6"/>
      <c r="Y4984" s="6"/>
      <c r="Z4984" s="6"/>
      <c r="AA4984" s="6" t="s">
        <v>442</v>
      </c>
      <c r="AB4984" s="8"/>
    </row>
    <row r="4985" spans="1:28" s="4" customFormat="1" ht="42" customHeight="1">
      <c r="A4985" s="5">
        <v>0</v>
      </c>
      <c r="B4985" s="6" t="s">
        <v>29384</v>
      </c>
      <c r="C4985" s="13">
        <v>1900</v>
      </c>
      <c r="D4985" s="8" t="s">
        <v>29385</v>
      </c>
      <c r="E4985" s="8" t="s">
        <v>29386</v>
      </c>
      <c r="F4985" s="8" t="s">
        <v>29387</v>
      </c>
      <c r="G4985" s="6" t="s">
        <v>52</v>
      </c>
      <c r="H4985" s="6" t="s">
        <v>53</v>
      </c>
      <c r="I4985" s="8" t="s">
        <v>116</v>
      </c>
      <c r="J4985" s="9">
        <v>1</v>
      </c>
      <c r="K4985" s="9">
        <v>378</v>
      </c>
      <c r="L4985" s="9">
        <v>2025</v>
      </c>
      <c r="M4985" s="8" t="s">
        <v>29388</v>
      </c>
      <c r="N4985" s="8" t="s">
        <v>56</v>
      </c>
      <c r="O4985" s="8" t="s">
        <v>57</v>
      </c>
      <c r="P4985" s="6" t="s">
        <v>43</v>
      </c>
      <c r="Q4985" s="8" t="s">
        <v>58</v>
      </c>
      <c r="R4985" s="10" t="s">
        <v>45</v>
      </c>
      <c r="S4985" s="11"/>
      <c r="T4985" s="6"/>
      <c r="U4985" s="24" t="str">
        <f>HYPERLINK("https://media.infra-m.ru/1171/1171926/cover/1171926.jpg", "Обложка")</f>
        <v>Обложка</v>
      </c>
      <c r="V4985" s="24" t="str">
        <f>HYPERLINK("https://znanium.ru/catalog/product/1171926", "Ознакомиться")</f>
        <v>Ознакомиться</v>
      </c>
      <c r="W4985" s="8" t="s">
        <v>12896</v>
      </c>
      <c r="X4985" s="6" t="s">
        <v>389</v>
      </c>
      <c r="Y4985" s="6"/>
      <c r="Z4985" s="6"/>
      <c r="AA4985" s="6" t="s">
        <v>61</v>
      </c>
      <c r="AB4985" s="8"/>
    </row>
    <row r="4986" spans="1:28" s="4" customFormat="1" ht="51.95" customHeight="1">
      <c r="A4986" s="5">
        <v>0</v>
      </c>
      <c r="B4986" s="6" t="s">
        <v>29389</v>
      </c>
      <c r="C4986" s="13">
        <v>1030</v>
      </c>
      <c r="D4986" s="8" t="s">
        <v>29390</v>
      </c>
      <c r="E4986" s="8" t="s">
        <v>29391</v>
      </c>
      <c r="F4986" s="8" t="s">
        <v>29392</v>
      </c>
      <c r="G4986" s="6" t="s">
        <v>52</v>
      </c>
      <c r="H4986" s="6" t="s">
        <v>53</v>
      </c>
      <c r="I4986" s="8" t="s">
        <v>212</v>
      </c>
      <c r="J4986" s="9">
        <v>1</v>
      </c>
      <c r="K4986" s="9">
        <v>320</v>
      </c>
      <c r="L4986" s="9">
        <v>2019</v>
      </c>
      <c r="M4986" s="8" t="s">
        <v>29393</v>
      </c>
      <c r="N4986" s="8" t="s">
        <v>79</v>
      </c>
      <c r="O4986" s="8" t="s">
        <v>396</v>
      </c>
      <c r="P4986" s="6" t="s">
        <v>167</v>
      </c>
      <c r="Q4986" s="8" t="s">
        <v>214</v>
      </c>
      <c r="R4986" s="10"/>
      <c r="S4986" s="11" t="s">
        <v>29394</v>
      </c>
      <c r="T4986" s="6"/>
      <c r="U4986" s="24" t="str">
        <f>HYPERLINK("https://media.infra-m.ru/0959/0959267/cover/959267.jpg", "Обложка")</f>
        <v>Обложка</v>
      </c>
      <c r="V4986" s="24" t="str">
        <f>HYPERLINK("https://znanium.ru/catalog/product/959267", "Ознакомиться")</f>
        <v>Ознакомиться</v>
      </c>
      <c r="W4986" s="8" t="s">
        <v>637</v>
      </c>
      <c r="X4986" s="6"/>
      <c r="Y4986" s="6"/>
      <c r="Z4986" s="6"/>
      <c r="AA4986" s="6" t="s">
        <v>707</v>
      </c>
      <c r="AB4986" s="8"/>
    </row>
    <row r="4987" spans="1:28" s="4" customFormat="1" ht="51.95" customHeight="1">
      <c r="A4987" s="5">
        <v>0</v>
      </c>
      <c r="B4987" s="6" t="s">
        <v>29395</v>
      </c>
      <c r="C4987" s="13">
        <v>1990</v>
      </c>
      <c r="D4987" s="8" t="s">
        <v>29396</v>
      </c>
      <c r="E4987" s="8" t="s">
        <v>29397</v>
      </c>
      <c r="F4987" s="8" t="s">
        <v>29398</v>
      </c>
      <c r="G4987" s="6" t="s">
        <v>89</v>
      </c>
      <c r="H4987" s="6" t="s">
        <v>53</v>
      </c>
      <c r="I4987" s="8" t="s">
        <v>90</v>
      </c>
      <c r="J4987" s="9">
        <v>1</v>
      </c>
      <c r="K4987" s="9">
        <v>584</v>
      </c>
      <c r="L4987" s="9">
        <v>2020</v>
      </c>
      <c r="M4987" s="8" t="s">
        <v>29399</v>
      </c>
      <c r="N4987" s="8" t="s">
        <v>413</v>
      </c>
      <c r="O4987" s="8" t="s">
        <v>1141</v>
      </c>
      <c r="P4987" s="6" t="s">
        <v>43</v>
      </c>
      <c r="Q4987" s="8" t="s">
        <v>44</v>
      </c>
      <c r="R4987" s="10" t="s">
        <v>29400</v>
      </c>
      <c r="S4987" s="11" t="s">
        <v>1513</v>
      </c>
      <c r="T4987" s="6"/>
      <c r="U4987" s="24" t="str">
        <f>HYPERLINK("https://media.infra-m.ru/1081/1081618/cover/1081618.jpg", "Обложка")</f>
        <v>Обложка</v>
      </c>
      <c r="V4987" s="24" t="str">
        <f>HYPERLINK("https://znanium.ru/catalog/product/1081618", "Ознакомиться")</f>
        <v>Ознакомиться</v>
      </c>
      <c r="W4987" s="8" t="s">
        <v>1514</v>
      </c>
      <c r="X4987" s="6"/>
      <c r="Y4987" s="6"/>
      <c r="Z4987" s="6"/>
      <c r="AA4987" s="6" t="s">
        <v>160</v>
      </c>
      <c r="AB4987" s="8"/>
    </row>
    <row r="4988" spans="1:28" s="4" customFormat="1" ht="51.95" customHeight="1">
      <c r="A4988" s="5">
        <v>0</v>
      </c>
      <c r="B4988" s="6" t="s">
        <v>29401</v>
      </c>
      <c r="C4988" s="13">
        <v>1140</v>
      </c>
      <c r="D4988" s="8" t="s">
        <v>29402</v>
      </c>
      <c r="E4988" s="8" t="s">
        <v>29403</v>
      </c>
      <c r="F4988" s="8" t="s">
        <v>29404</v>
      </c>
      <c r="G4988" s="6" t="s">
        <v>89</v>
      </c>
      <c r="H4988" s="6" t="s">
        <v>53</v>
      </c>
      <c r="I4988" s="8" t="s">
        <v>90</v>
      </c>
      <c r="J4988" s="9">
        <v>1</v>
      </c>
      <c r="K4988" s="9">
        <v>252</v>
      </c>
      <c r="L4988" s="9">
        <v>2023</v>
      </c>
      <c r="M4988" s="8" t="s">
        <v>29405</v>
      </c>
      <c r="N4988" s="8" t="s">
        <v>41</v>
      </c>
      <c r="O4988" s="8" t="s">
        <v>118</v>
      </c>
      <c r="P4988" s="6" t="s">
        <v>167</v>
      </c>
      <c r="Q4988" s="8" t="s">
        <v>44</v>
      </c>
      <c r="R4988" s="10" t="s">
        <v>29406</v>
      </c>
      <c r="S4988" s="11" t="s">
        <v>29407</v>
      </c>
      <c r="T4988" s="6"/>
      <c r="U4988" s="24" t="str">
        <f>HYPERLINK("https://media.infra-m.ru/1905/1905237/cover/1905237.jpg", "Обложка")</f>
        <v>Обложка</v>
      </c>
      <c r="V4988" s="24" t="str">
        <f>HYPERLINK("https://znanium.ru/catalog/product/1905237", "Ознакомиться")</f>
        <v>Ознакомиться</v>
      </c>
      <c r="W4988" s="8" t="s">
        <v>29408</v>
      </c>
      <c r="X4988" s="6"/>
      <c r="Y4988" s="6"/>
      <c r="Z4988" s="6"/>
      <c r="AA4988" s="6" t="s">
        <v>442</v>
      </c>
      <c r="AB4988" s="8"/>
    </row>
    <row r="4989" spans="1:28" s="4" customFormat="1" ht="51.95" customHeight="1">
      <c r="A4989" s="5">
        <v>0</v>
      </c>
      <c r="B4989" s="6" t="s">
        <v>29409</v>
      </c>
      <c r="C4989" s="7">
        <v>910</v>
      </c>
      <c r="D4989" s="8" t="s">
        <v>29410</v>
      </c>
      <c r="E4989" s="8" t="s">
        <v>29403</v>
      </c>
      <c r="F4989" s="8" t="s">
        <v>8683</v>
      </c>
      <c r="G4989" s="6" t="s">
        <v>89</v>
      </c>
      <c r="H4989" s="6" t="s">
        <v>53</v>
      </c>
      <c r="I4989" s="8" t="s">
        <v>90</v>
      </c>
      <c r="J4989" s="9">
        <v>1</v>
      </c>
      <c r="K4989" s="9">
        <v>202</v>
      </c>
      <c r="L4989" s="9">
        <v>2023</v>
      </c>
      <c r="M4989" s="8" t="s">
        <v>29411</v>
      </c>
      <c r="N4989" s="8" t="s">
        <v>41</v>
      </c>
      <c r="O4989" s="8" t="s">
        <v>118</v>
      </c>
      <c r="P4989" s="6" t="s">
        <v>43</v>
      </c>
      <c r="Q4989" s="8" t="s">
        <v>44</v>
      </c>
      <c r="R4989" s="10" t="s">
        <v>29412</v>
      </c>
      <c r="S4989" s="11" t="s">
        <v>29413</v>
      </c>
      <c r="T4989" s="6"/>
      <c r="U4989" s="24" t="str">
        <f>HYPERLINK("https://media.infra-m.ru/1877/1877108/cover/1877108.jpg", "Обложка")</f>
        <v>Обложка</v>
      </c>
      <c r="V4989" s="24" t="str">
        <f>HYPERLINK("https://znanium.ru/catalog/product/1877108", "Ознакомиться")</f>
        <v>Ознакомиться</v>
      </c>
      <c r="W4989" s="8" t="s">
        <v>354</v>
      </c>
      <c r="X4989" s="6"/>
      <c r="Y4989" s="6"/>
      <c r="Z4989" s="6" t="s">
        <v>29414</v>
      </c>
      <c r="AA4989" s="6" t="s">
        <v>258</v>
      </c>
      <c r="AB4989" s="8"/>
    </row>
    <row r="4990" spans="1:28" s="4" customFormat="1" ht="51.95" customHeight="1">
      <c r="A4990" s="5">
        <v>0</v>
      </c>
      <c r="B4990" s="6" t="s">
        <v>29415</v>
      </c>
      <c r="C4990" s="7">
        <v>744</v>
      </c>
      <c r="D4990" s="8" t="s">
        <v>29416</v>
      </c>
      <c r="E4990" s="8" t="s">
        <v>29417</v>
      </c>
      <c r="F4990" s="8" t="s">
        <v>29418</v>
      </c>
      <c r="G4990" s="6" t="s">
        <v>38</v>
      </c>
      <c r="H4990" s="6" t="s">
        <v>53</v>
      </c>
      <c r="I4990" s="8" t="s">
        <v>90</v>
      </c>
      <c r="J4990" s="9">
        <v>1</v>
      </c>
      <c r="K4990" s="9">
        <v>160</v>
      </c>
      <c r="L4990" s="9">
        <v>2024</v>
      </c>
      <c r="M4990" s="8" t="s">
        <v>29419</v>
      </c>
      <c r="N4990" s="8" t="s">
        <v>41</v>
      </c>
      <c r="O4990" s="8" t="s">
        <v>118</v>
      </c>
      <c r="P4990" s="6" t="s">
        <v>43</v>
      </c>
      <c r="Q4990" s="8" t="s">
        <v>44</v>
      </c>
      <c r="R4990" s="10" t="s">
        <v>29420</v>
      </c>
      <c r="S4990" s="11" t="s">
        <v>29421</v>
      </c>
      <c r="T4990" s="6"/>
      <c r="U4990" s="24" t="str">
        <f>HYPERLINK("https://media.infra-m.ru/2053/2053986/cover/2053986.jpg", "Обложка")</f>
        <v>Обложка</v>
      </c>
      <c r="V4990" s="24" t="str">
        <f>HYPERLINK("https://znanium.ru/catalog/product/1210720", "Ознакомиться")</f>
        <v>Ознакомиться</v>
      </c>
      <c r="W4990" s="8" t="s">
        <v>1544</v>
      </c>
      <c r="X4990" s="6"/>
      <c r="Y4990" s="6"/>
      <c r="Z4990" s="6"/>
      <c r="AA4990" s="6" t="s">
        <v>4952</v>
      </c>
      <c r="AB4990" s="8"/>
    </row>
    <row r="4991" spans="1:28" s="4" customFormat="1" ht="51.95" customHeight="1">
      <c r="A4991" s="5">
        <v>0</v>
      </c>
      <c r="B4991" s="6" t="s">
        <v>29422</v>
      </c>
      <c r="C4991" s="13">
        <v>1140</v>
      </c>
      <c r="D4991" s="8" t="s">
        <v>29423</v>
      </c>
      <c r="E4991" s="8" t="s">
        <v>29424</v>
      </c>
      <c r="F4991" s="8" t="s">
        <v>29425</v>
      </c>
      <c r="G4991" s="6" t="s">
        <v>89</v>
      </c>
      <c r="H4991" s="6" t="s">
        <v>53</v>
      </c>
      <c r="I4991" s="8" t="s">
        <v>90</v>
      </c>
      <c r="J4991" s="9">
        <v>1</v>
      </c>
      <c r="K4991" s="9">
        <v>253</v>
      </c>
      <c r="L4991" s="9">
        <v>2023</v>
      </c>
      <c r="M4991" s="8" t="s">
        <v>29426</v>
      </c>
      <c r="N4991" s="8" t="s">
        <v>413</v>
      </c>
      <c r="O4991" s="8" t="s">
        <v>1141</v>
      </c>
      <c r="P4991" s="6" t="s">
        <v>167</v>
      </c>
      <c r="Q4991" s="8" t="s">
        <v>44</v>
      </c>
      <c r="R4991" s="10" t="s">
        <v>29427</v>
      </c>
      <c r="S4991" s="11" t="s">
        <v>29428</v>
      </c>
      <c r="T4991" s="6"/>
      <c r="U4991" s="24" t="str">
        <f>HYPERLINK("https://media.infra-m.ru/1913/1913992/cover/1913992.jpg", "Обложка")</f>
        <v>Обложка</v>
      </c>
      <c r="V4991" s="24" t="str">
        <f>HYPERLINK("https://znanium.ru/catalog/product/1913992", "Ознакомиться")</f>
        <v>Ознакомиться</v>
      </c>
      <c r="W4991" s="8" t="s">
        <v>13407</v>
      </c>
      <c r="X4991" s="6"/>
      <c r="Y4991" s="6"/>
      <c r="Z4991" s="6"/>
      <c r="AA4991" s="6" t="s">
        <v>513</v>
      </c>
      <c r="AB4991" s="8"/>
    </row>
    <row r="4992" spans="1:28" s="4" customFormat="1" ht="51.95" customHeight="1">
      <c r="A4992" s="5">
        <v>0</v>
      </c>
      <c r="B4992" s="6" t="s">
        <v>29429</v>
      </c>
      <c r="C4992" s="7">
        <v>964.9</v>
      </c>
      <c r="D4992" s="8" t="s">
        <v>29430</v>
      </c>
      <c r="E4992" s="8" t="s">
        <v>29431</v>
      </c>
      <c r="F4992" s="8" t="s">
        <v>29425</v>
      </c>
      <c r="G4992" s="6" t="s">
        <v>52</v>
      </c>
      <c r="H4992" s="6" t="s">
        <v>53</v>
      </c>
      <c r="I4992" s="8" t="s">
        <v>90</v>
      </c>
      <c r="J4992" s="9">
        <v>1</v>
      </c>
      <c r="K4992" s="9">
        <v>254</v>
      </c>
      <c r="L4992" s="9">
        <v>2022</v>
      </c>
      <c r="M4992" s="8" t="s">
        <v>29432</v>
      </c>
      <c r="N4992" s="8" t="s">
        <v>413</v>
      </c>
      <c r="O4992" s="8" t="s">
        <v>1141</v>
      </c>
      <c r="P4992" s="6" t="s">
        <v>167</v>
      </c>
      <c r="Q4992" s="8" t="s">
        <v>44</v>
      </c>
      <c r="R4992" s="10" t="s">
        <v>29427</v>
      </c>
      <c r="S4992" s="11" t="s">
        <v>29428</v>
      </c>
      <c r="T4992" s="6"/>
      <c r="U4992" s="24" t="str">
        <f>HYPERLINK("https://media.infra-m.ru/1842/1842926/cover/1842926.jpg", "Обложка")</f>
        <v>Обложка</v>
      </c>
      <c r="V4992" s="24" t="str">
        <f>HYPERLINK("https://znanium.ru/catalog/product/1913992", "Ознакомиться")</f>
        <v>Ознакомиться</v>
      </c>
      <c r="W4992" s="8" t="s">
        <v>13407</v>
      </c>
      <c r="X4992" s="6"/>
      <c r="Y4992" s="6"/>
      <c r="Z4992" s="6"/>
      <c r="AA4992" s="6" t="s">
        <v>111</v>
      </c>
      <c r="AB4992" s="8"/>
    </row>
    <row r="4993" spans="1:28" s="4" customFormat="1" ht="51.95" customHeight="1">
      <c r="A4993" s="5">
        <v>0</v>
      </c>
      <c r="B4993" s="6" t="s">
        <v>29433</v>
      </c>
      <c r="C4993" s="7">
        <v>710</v>
      </c>
      <c r="D4993" s="8" t="s">
        <v>29434</v>
      </c>
      <c r="E4993" s="8" t="s">
        <v>29435</v>
      </c>
      <c r="F4993" s="8" t="s">
        <v>29436</v>
      </c>
      <c r="G4993" s="6" t="s">
        <v>52</v>
      </c>
      <c r="H4993" s="6" t="s">
        <v>53</v>
      </c>
      <c r="I4993" s="8" t="s">
        <v>90</v>
      </c>
      <c r="J4993" s="9">
        <v>1</v>
      </c>
      <c r="K4993" s="9">
        <v>180</v>
      </c>
      <c r="L4993" s="9">
        <v>2020</v>
      </c>
      <c r="M4993" s="8" t="s">
        <v>29437</v>
      </c>
      <c r="N4993" s="8" t="s">
        <v>413</v>
      </c>
      <c r="O4993" s="8" t="s">
        <v>1141</v>
      </c>
      <c r="P4993" s="6" t="s">
        <v>43</v>
      </c>
      <c r="Q4993" s="8" t="s">
        <v>44</v>
      </c>
      <c r="R4993" s="10" t="s">
        <v>29438</v>
      </c>
      <c r="S4993" s="11" t="s">
        <v>29439</v>
      </c>
      <c r="T4993" s="6"/>
      <c r="U4993" s="24" t="str">
        <f>HYPERLINK("https://media.infra-m.ru/1058/1058889/cover/1058889.jpg", "Обложка")</f>
        <v>Обложка</v>
      </c>
      <c r="V4993" s="24" t="str">
        <f>HYPERLINK("https://znanium.ru/catalog/product/1058889", "Ознакомиться")</f>
        <v>Ознакомиться</v>
      </c>
      <c r="W4993" s="8" t="s">
        <v>450</v>
      </c>
      <c r="X4993" s="6"/>
      <c r="Y4993" s="6"/>
      <c r="Z4993" s="6"/>
      <c r="AA4993" s="6" t="s">
        <v>793</v>
      </c>
      <c r="AB4993" s="8"/>
    </row>
    <row r="4994" spans="1:28" s="4" customFormat="1" ht="51.95" customHeight="1">
      <c r="A4994" s="5">
        <v>0</v>
      </c>
      <c r="B4994" s="6" t="s">
        <v>29440</v>
      </c>
      <c r="C4994" s="13">
        <v>1364</v>
      </c>
      <c r="D4994" s="8" t="s">
        <v>29441</v>
      </c>
      <c r="E4994" s="8" t="s">
        <v>29442</v>
      </c>
      <c r="F4994" s="8" t="s">
        <v>29443</v>
      </c>
      <c r="G4994" s="6" t="s">
        <v>89</v>
      </c>
      <c r="H4994" s="6" t="s">
        <v>649</v>
      </c>
      <c r="I4994" s="8"/>
      <c r="J4994" s="9">
        <v>1</v>
      </c>
      <c r="K4994" s="9">
        <v>304</v>
      </c>
      <c r="L4994" s="9">
        <v>2023</v>
      </c>
      <c r="M4994" s="8" t="s">
        <v>29444</v>
      </c>
      <c r="N4994" s="8" t="s">
        <v>79</v>
      </c>
      <c r="O4994" s="8" t="s">
        <v>80</v>
      </c>
      <c r="P4994" s="6" t="s">
        <v>43</v>
      </c>
      <c r="Q4994" s="8" t="s">
        <v>44</v>
      </c>
      <c r="R4994" s="10" t="s">
        <v>29445</v>
      </c>
      <c r="S4994" s="11" t="s">
        <v>29446</v>
      </c>
      <c r="T4994" s="6"/>
      <c r="U4994" s="24" t="str">
        <f>HYPERLINK("https://media.infra-m.ru/2006/2006044/cover/2006044.jpg", "Обложка")</f>
        <v>Обложка</v>
      </c>
      <c r="V4994" s="24" t="str">
        <f>HYPERLINK("https://znanium.ru/catalog/product/1003408", "Ознакомиться")</f>
        <v>Ознакомиться</v>
      </c>
      <c r="W4994" s="8" t="s">
        <v>8022</v>
      </c>
      <c r="X4994" s="6"/>
      <c r="Y4994" s="6"/>
      <c r="Z4994" s="6"/>
      <c r="AA4994" s="6" t="s">
        <v>151</v>
      </c>
      <c r="AB4994" s="8"/>
    </row>
    <row r="4995" spans="1:28" s="4" customFormat="1" ht="51.95" customHeight="1">
      <c r="A4995" s="5">
        <v>0</v>
      </c>
      <c r="B4995" s="6" t="s">
        <v>29447</v>
      </c>
      <c r="C4995" s="13">
        <v>1794</v>
      </c>
      <c r="D4995" s="8" t="s">
        <v>29448</v>
      </c>
      <c r="E4995" s="8" t="s">
        <v>29449</v>
      </c>
      <c r="F4995" s="8" t="s">
        <v>29450</v>
      </c>
      <c r="G4995" s="6" t="s">
        <v>89</v>
      </c>
      <c r="H4995" s="6" t="s">
        <v>53</v>
      </c>
      <c r="I4995" s="8" t="s">
        <v>90</v>
      </c>
      <c r="J4995" s="9">
        <v>1</v>
      </c>
      <c r="K4995" s="9">
        <v>389</v>
      </c>
      <c r="L4995" s="9">
        <v>2024</v>
      </c>
      <c r="M4995" s="8" t="s">
        <v>29451</v>
      </c>
      <c r="N4995" s="8" t="s">
        <v>41</v>
      </c>
      <c r="O4995" s="8" t="s">
        <v>1007</v>
      </c>
      <c r="P4995" s="6" t="s">
        <v>167</v>
      </c>
      <c r="Q4995" s="8" t="s">
        <v>44</v>
      </c>
      <c r="R4995" s="10" t="s">
        <v>2461</v>
      </c>
      <c r="S4995" s="11" t="s">
        <v>29452</v>
      </c>
      <c r="T4995" s="6"/>
      <c r="U4995" s="24" t="str">
        <f>HYPERLINK("https://media.infra-m.ru/2053/2053241/cover/2053241.jpg", "Обложка")</f>
        <v>Обложка</v>
      </c>
      <c r="V4995" s="24" t="str">
        <f>HYPERLINK("https://znanium.ru/catalog/product/2053241", "Ознакомиться")</f>
        <v>Ознакомиться</v>
      </c>
      <c r="W4995" s="8" t="s">
        <v>1253</v>
      </c>
      <c r="X4995" s="6"/>
      <c r="Y4995" s="6"/>
      <c r="Z4995" s="6"/>
      <c r="AA4995" s="6" t="s">
        <v>1402</v>
      </c>
      <c r="AB4995" s="8"/>
    </row>
    <row r="4996" spans="1:28" s="4" customFormat="1" ht="51.95" customHeight="1">
      <c r="A4996" s="5">
        <v>0</v>
      </c>
      <c r="B4996" s="6" t="s">
        <v>29453</v>
      </c>
      <c r="C4996" s="13">
        <v>1754.9</v>
      </c>
      <c r="D4996" s="8" t="s">
        <v>29454</v>
      </c>
      <c r="E4996" s="8" t="s">
        <v>29449</v>
      </c>
      <c r="F4996" s="8" t="s">
        <v>29455</v>
      </c>
      <c r="G4996" s="6" t="s">
        <v>52</v>
      </c>
      <c r="H4996" s="6" t="s">
        <v>53</v>
      </c>
      <c r="I4996" s="8" t="s">
        <v>90</v>
      </c>
      <c r="J4996" s="9">
        <v>1</v>
      </c>
      <c r="K4996" s="9">
        <v>462</v>
      </c>
      <c r="L4996" s="9">
        <v>2022</v>
      </c>
      <c r="M4996" s="8" t="s">
        <v>29456</v>
      </c>
      <c r="N4996" s="8" t="s">
        <v>41</v>
      </c>
      <c r="O4996" s="8" t="s">
        <v>1007</v>
      </c>
      <c r="P4996" s="6" t="s">
        <v>167</v>
      </c>
      <c r="Q4996" s="8" t="s">
        <v>44</v>
      </c>
      <c r="R4996" s="10" t="s">
        <v>1008</v>
      </c>
      <c r="S4996" s="11" t="s">
        <v>29457</v>
      </c>
      <c r="T4996" s="6"/>
      <c r="U4996" s="24" t="str">
        <f>HYPERLINK("https://media.infra-m.ru/1846/1846184/cover/1846184.jpg", "Обложка")</f>
        <v>Обложка</v>
      </c>
      <c r="V4996" s="24" t="str">
        <f>HYPERLINK("https://znanium.ru/catalog/product/1851552", "Ознакомиться")</f>
        <v>Ознакомиться</v>
      </c>
      <c r="W4996" s="8" t="s">
        <v>450</v>
      </c>
      <c r="X4996" s="6"/>
      <c r="Y4996" s="6"/>
      <c r="Z4996" s="6"/>
      <c r="AA4996" s="6" t="s">
        <v>6283</v>
      </c>
      <c r="AB4996" s="8"/>
    </row>
    <row r="4997" spans="1:28" s="4" customFormat="1" ht="51.95" customHeight="1">
      <c r="A4997" s="5">
        <v>0</v>
      </c>
      <c r="B4997" s="6" t="s">
        <v>29458</v>
      </c>
      <c r="C4997" s="13">
        <v>2614</v>
      </c>
      <c r="D4997" s="8" t="s">
        <v>29459</v>
      </c>
      <c r="E4997" s="8" t="s">
        <v>29460</v>
      </c>
      <c r="F4997" s="8" t="s">
        <v>29455</v>
      </c>
      <c r="G4997" s="6" t="s">
        <v>89</v>
      </c>
      <c r="H4997" s="6" t="s">
        <v>53</v>
      </c>
      <c r="I4997" s="8" t="s">
        <v>90</v>
      </c>
      <c r="J4997" s="9">
        <v>1</v>
      </c>
      <c r="K4997" s="9">
        <v>503</v>
      </c>
      <c r="L4997" s="9">
        <v>2025</v>
      </c>
      <c r="M4997" s="8" t="s">
        <v>29461</v>
      </c>
      <c r="N4997" s="8" t="s">
        <v>41</v>
      </c>
      <c r="O4997" s="8" t="s">
        <v>1007</v>
      </c>
      <c r="P4997" s="6" t="s">
        <v>167</v>
      </c>
      <c r="Q4997" s="8" t="s">
        <v>44</v>
      </c>
      <c r="R4997" s="10" t="s">
        <v>1008</v>
      </c>
      <c r="S4997" s="11" t="s">
        <v>29457</v>
      </c>
      <c r="T4997" s="6"/>
      <c r="U4997" s="24" t="str">
        <f>HYPERLINK("https://media.infra-m.ru/2196/2196084/cover/2196084.jpg", "Обложка")</f>
        <v>Обложка</v>
      </c>
      <c r="V4997" s="24" t="str">
        <f>HYPERLINK("https://znanium.ru/catalog/product/1851552", "Ознакомиться")</f>
        <v>Ознакомиться</v>
      </c>
      <c r="W4997" s="8" t="s">
        <v>450</v>
      </c>
      <c r="X4997" s="6"/>
      <c r="Y4997" s="6"/>
      <c r="Z4997" s="6"/>
      <c r="AA4997" s="6" t="s">
        <v>10466</v>
      </c>
      <c r="AB4997" s="8"/>
    </row>
    <row r="4998" spans="1:28" s="4" customFormat="1" ht="51.95" customHeight="1">
      <c r="A4998" s="5">
        <v>0</v>
      </c>
      <c r="B4998" s="6" t="s">
        <v>29462</v>
      </c>
      <c r="C4998" s="13">
        <v>1310</v>
      </c>
      <c r="D4998" s="8" t="s">
        <v>29463</v>
      </c>
      <c r="E4998" s="8" t="s">
        <v>29464</v>
      </c>
      <c r="F4998" s="8" t="s">
        <v>29455</v>
      </c>
      <c r="G4998" s="6" t="s">
        <v>52</v>
      </c>
      <c r="H4998" s="6" t="s">
        <v>53</v>
      </c>
      <c r="I4998" s="8" t="s">
        <v>90</v>
      </c>
      <c r="J4998" s="9">
        <v>1</v>
      </c>
      <c r="K4998" s="9">
        <v>449</v>
      </c>
      <c r="L4998" s="9">
        <v>2018</v>
      </c>
      <c r="M4998" s="8" t="s">
        <v>29465</v>
      </c>
      <c r="N4998" s="8" t="s">
        <v>41</v>
      </c>
      <c r="O4998" s="8" t="s">
        <v>1007</v>
      </c>
      <c r="P4998" s="6" t="s">
        <v>167</v>
      </c>
      <c r="Q4998" s="8" t="s">
        <v>44</v>
      </c>
      <c r="R4998" s="10" t="s">
        <v>1008</v>
      </c>
      <c r="S4998" s="11" t="s">
        <v>29466</v>
      </c>
      <c r="T4998" s="6"/>
      <c r="U4998" s="24" t="str">
        <f>HYPERLINK("https://media.infra-m.ru/0940/0940560/cover/940560.jpg", "Обложка")</f>
        <v>Обложка</v>
      </c>
      <c r="V4998" s="24" t="str">
        <f>HYPERLINK("https://znanium.ru/catalog/product/1851552", "Ознакомиться")</f>
        <v>Ознакомиться</v>
      </c>
      <c r="W4998" s="8" t="s">
        <v>450</v>
      </c>
      <c r="X4998" s="6"/>
      <c r="Y4998" s="6"/>
      <c r="Z4998" s="6"/>
      <c r="AA4998" s="6" t="s">
        <v>638</v>
      </c>
      <c r="AB4998" s="8"/>
    </row>
    <row r="4999" spans="1:28" s="4" customFormat="1" ht="51.95" customHeight="1">
      <c r="A4999" s="5">
        <v>0</v>
      </c>
      <c r="B4999" s="6" t="s">
        <v>29467</v>
      </c>
      <c r="C4999" s="7">
        <v>994.9</v>
      </c>
      <c r="D4999" s="8" t="s">
        <v>29468</v>
      </c>
      <c r="E4999" s="8" t="s">
        <v>29469</v>
      </c>
      <c r="F4999" s="8" t="s">
        <v>8946</v>
      </c>
      <c r="G4999" s="6" t="s">
        <v>38</v>
      </c>
      <c r="H4999" s="6" t="s">
        <v>53</v>
      </c>
      <c r="I4999" s="8" t="s">
        <v>90</v>
      </c>
      <c r="J4999" s="9">
        <v>1</v>
      </c>
      <c r="K4999" s="9">
        <v>222</v>
      </c>
      <c r="L4999" s="9">
        <v>2024</v>
      </c>
      <c r="M4999" s="8" t="s">
        <v>29470</v>
      </c>
      <c r="N4999" s="8" t="s">
        <v>41</v>
      </c>
      <c r="O4999" s="8" t="s">
        <v>1007</v>
      </c>
      <c r="P4999" s="6" t="s">
        <v>43</v>
      </c>
      <c r="Q4999" s="8" t="s">
        <v>44</v>
      </c>
      <c r="R4999" s="10" t="s">
        <v>29471</v>
      </c>
      <c r="S4999" s="11" t="s">
        <v>7925</v>
      </c>
      <c r="T4999" s="6"/>
      <c r="U4999" s="24" t="str">
        <f>HYPERLINK("https://media.infra-m.ru/1891/1891975/cover/1891975.jpg", "Обложка")</f>
        <v>Обложка</v>
      </c>
      <c r="V4999" s="24" t="str">
        <f>HYPERLINK("https://znanium.ru/catalog/product/1891975", "Ознакомиться")</f>
        <v>Ознакомиться</v>
      </c>
      <c r="W4999" s="8" t="s">
        <v>4161</v>
      </c>
      <c r="X4999" s="6"/>
      <c r="Y4999" s="6"/>
      <c r="Z4999" s="6"/>
      <c r="AA4999" s="6" t="s">
        <v>16347</v>
      </c>
      <c r="AB4999" s="8"/>
    </row>
    <row r="5000" spans="1:28" s="4" customFormat="1" ht="51.95" customHeight="1">
      <c r="A5000" s="5">
        <v>0</v>
      </c>
      <c r="B5000" s="6" t="s">
        <v>29472</v>
      </c>
      <c r="C5000" s="13">
        <v>1070</v>
      </c>
      <c r="D5000" s="8" t="s">
        <v>29473</v>
      </c>
      <c r="E5000" s="8" t="s">
        <v>29469</v>
      </c>
      <c r="F5000" s="8" t="s">
        <v>29474</v>
      </c>
      <c r="G5000" s="6" t="s">
        <v>38</v>
      </c>
      <c r="H5000" s="6" t="s">
        <v>53</v>
      </c>
      <c r="I5000" s="8" t="s">
        <v>116</v>
      </c>
      <c r="J5000" s="9">
        <v>1</v>
      </c>
      <c r="K5000" s="9">
        <v>238</v>
      </c>
      <c r="L5000" s="9">
        <v>2024</v>
      </c>
      <c r="M5000" s="8" t="s">
        <v>29475</v>
      </c>
      <c r="N5000" s="8" t="s">
        <v>41</v>
      </c>
      <c r="O5000" s="8" t="s">
        <v>1007</v>
      </c>
      <c r="P5000" s="6" t="s">
        <v>43</v>
      </c>
      <c r="Q5000" s="8" t="s">
        <v>44</v>
      </c>
      <c r="R5000" s="10" t="s">
        <v>1008</v>
      </c>
      <c r="S5000" s="11" t="s">
        <v>29476</v>
      </c>
      <c r="T5000" s="6"/>
      <c r="U5000" s="24" t="str">
        <f>HYPERLINK("https://media.infra-m.ru/2054/2054223/cover/2054223.jpg", "Обложка")</f>
        <v>Обложка</v>
      </c>
      <c r="V5000" s="24" t="str">
        <f>HYPERLINK("https://znanium.ru/catalog/product/2054223", "Ознакомиться")</f>
        <v>Ознакомиться</v>
      </c>
      <c r="W5000" s="8" t="s">
        <v>189</v>
      </c>
      <c r="X5000" s="6"/>
      <c r="Y5000" s="6"/>
      <c r="Z5000" s="6"/>
      <c r="AA5000" s="6" t="s">
        <v>3065</v>
      </c>
      <c r="AB5000" s="8"/>
    </row>
    <row r="5001" spans="1:28" s="4" customFormat="1" ht="51.95" customHeight="1">
      <c r="A5001" s="5">
        <v>0</v>
      </c>
      <c r="B5001" s="6" t="s">
        <v>29477</v>
      </c>
      <c r="C5001" s="13">
        <v>1334</v>
      </c>
      <c r="D5001" s="8" t="s">
        <v>29478</v>
      </c>
      <c r="E5001" s="8" t="s">
        <v>29479</v>
      </c>
      <c r="F5001" s="8" t="s">
        <v>667</v>
      </c>
      <c r="G5001" s="6" t="s">
        <v>89</v>
      </c>
      <c r="H5001" s="6" t="s">
        <v>39</v>
      </c>
      <c r="I5001" s="8" t="s">
        <v>90</v>
      </c>
      <c r="J5001" s="9">
        <v>1</v>
      </c>
      <c r="K5001" s="9">
        <v>256</v>
      </c>
      <c r="L5001" s="9">
        <v>2025</v>
      </c>
      <c r="M5001" s="8" t="s">
        <v>29480</v>
      </c>
      <c r="N5001" s="8" t="s">
        <v>79</v>
      </c>
      <c r="O5001" s="8" t="s">
        <v>570</v>
      </c>
      <c r="P5001" s="6" t="s">
        <v>43</v>
      </c>
      <c r="Q5001" s="8" t="s">
        <v>44</v>
      </c>
      <c r="R5001" s="10" t="s">
        <v>29481</v>
      </c>
      <c r="S5001" s="11"/>
      <c r="T5001" s="6"/>
      <c r="U5001" s="24" t="str">
        <f>HYPERLINK("https://media.infra-m.ru/2196/2196914/cover/2196914.jpg", "Обложка")</f>
        <v>Обложка</v>
      </c>
      <c r="V5001" s="24" t="str">
        <f>HYPERLINK("https://znanium.ru/catalog/product/2124364", "Ознакомиться")</f>
        <v>Ознакомиться</v>
      </c>
      <c r="W5001" s="8" t="s">
        <v>487</v>
      </c>
      <c r="X5001" s="6"/>
      <c r="Y5001" s="6"/>
      <c r="Z5001" s="6"/>
      <c r="AA5001" s="6" t="s">
        <v>47</v>
      </c>
      <c r="AB5001" s="8"/>
    </row>
    <row r="5002" spans="1:28" s="4" customFormat="1" ht="51.95" customHeight="1">
      <c r="A5002" s="5">
        <v>0</v>
      </c>
      <c r="B5002" s="6" t="s">
        <v>29482</v>
      </c>
      <c r="C5002" s="7">
        <v>994</v>
      </c>
      <c r="D5002" s="8" t="s">
        <v>29483</v>
      </c>
      <c r="E5002" s="8" t="s">
        <v>29484</v>
      </c>
      <c r="F5002" s="8" t="s">
        <v>7412</v>
      </c>
      <c r="G5002" s="6" t="s">
        <v>52</v>
      </c>
      <c r="H5002" s="6" t="s">
        <v>53</v>
      </c>
      <c r="I5002" s="8" t="s">
        <v>116</v>
      </c>
      <c r="J5002" s="9">
        <v>1</v>
      </c>
      <c r="K5002" s="9">
        <v>181</v>
      </c>
      <c r="L5002" s="9">
        <v>2025</v>
      </c>
      <c r="M5002" s="8" t="s">
        <v>29485</v>
      </c>
      <c r="N5002" s="8" t="s">
        <v>413</v>
      </c>
      <c r="O5002" s="8" t="s">
        <v>1141</v>
      </c>
      <c r="P5002" s="6" t="s">
        <v>43</v>
      </c>
      <c r="Q5002" s="8" t="s">
        <v>44</v>
      </c>
      <c r="R5002" s="10" t="s">
        <v>29486</v>
      </c>
      <c r="S5002" s="11"/>
      <c r="T5002" s="6"/>
      <c r="U5002" s="24" t="str">
        <f>HYPERLINK("https://media.infra-m.ru/2190/2190681/cover/2190681.jpg", "Обложка")</f>
        <v>Обложка</v>
      </c>
      <c r="V5002" s="24" t="str">
        <f>HYPERLINK("https://znanium.ru/catalog/product/1874258", "Ознакомиться")</f>
        <v>Ознакомиться</v>
      </c>
      <c r="W5002" s="8" t="s">
        <v>7415</v>
      </c>
      <c r="X5002" s="6"/>
      <c r="Y5002" s="6"/>
      <c r="Z5002" s="6"/>
      <c r="AA5002" s="6" t="s">
        <v>207</v>
      </c>
      <c r="AB5002" s="8"/>
    </row>
    <row r="5003" spans="1:28" s="4" customFormat="1" ht="51.95" customHeight="1">
      <c r="A5003" s="5">
        <v>0</v>
      </c>
      <c r="B5003" s="6" t="s">
        <v>29487</v>
      </c>
      <c r="C5003" s="7">
        <v>860</v>
      </c>
      <c r="D5003" s="8" t="s">
        <v>29488</v>
      </c>
      <c r="E5003" s="8" t="s">
        <v>29484</v>
      </c>
      <c r="F5003" s="8" t="s">
        <v>7412</v>
      </c>
      <c r="G5003" s="6" t="s">
        <v>52</v>
      </c>
      <c r="H5003" s="6" t="s">
        <v>53</v>
      </c>
      <c r="I5003" s="8" t="s">
        <v>100</v>
      </c>
      <c r="J5003" s="9">
        <v>1</v>
      </c>
      <c r="K5003" s="9">
        <v>181</v>
      </c>
      <c r="L5003" s="9">
        <v>2024</v>
      </c>
      <c r="M5003" s="8" t="s">
        <v>29489</v>
      </c>
      <c r="N5003" s="8" t="s">
        <v>413</v>
      </c>
      <c r="O5003" s="8" t="s">
        <v>1141</v>
      </c>
      <c r="P5003" s="6" t="s">
        <v>43</v>
      </c>
      <c r="Q5003" s="8" t="s">
        <v>102</v>
      </c>
      <c r="R5003" s="10" t="s">
        <v>29490</v>
      </c>
      <c r="S5003" s="11"/>
      <c r="T5003" s="6"/>
      <c r="U5003" s="24" t="str">
        <f>HYPERLINK("https://media.infra-m.ru/2081/2081023/cover/2081023.jpg", "Обложка")</f>
        <v>Обложка</v>
      </c>
      <c r="V5003" s="24" t="str">
        <f>HYPERLINK("https://znanium.ru/catalog/product/2081023", "Ознакомиться")</f>
        <v>Ознакомиться</v>
      </c>
      <c r="W5003" s="8" t="s">
        <v>7415</v>
      </c>
      <c r="X5003" s="6"/>
      <c r="Y5003" s="6"/>
      <c r="Z5003" s="6" t="s">
        <v>104</v>
      </c>
      <c r="AA5003" s="6" t="s">
        <v>133</v>
      </c>
      <c r="AB5003" s="8"/>
    </row>
    <row r="5004" spans="1:28" s="4" customFormat="1" ht="51.95" customHeight="1">
      <c r="A5004" s="5">
        <v>0</v>
      </c>
      <c r="B5004" s="6" t="s">
        <v>29491</v>
      </c>
      <c r="C5004" s="13">
        <v>1124</v>
      </c>
      <c r="D5004" s="8" t="s">
        <v>29492</v>
      </c>
      <c r="E5004" s="8" t="s">
        <v>29493</v>
      </c>
      <c r="F5004" s="8" t="s">
        <v>29494</v>
      </c>
      <c r="G5004" s="6" t="s">
        <v>52</v>
      </c>
      <c r="H5004" s="6" t="s">
        <v>184</v>
      </c>
      <c r="I5004" s="8" t="s">
        <v>90</v>
      </c>
      <c r="J5004" s="9">
        <v>1</v>
      </c>
      <c r="K5004" s="9">
        <v>240</v>
      </c>
      <c r="L5004" s="9">
        <v>2024</v>
      </c>
      <c r="M5004" s="8" t="s">
        <v>29495</v>
      </c>
      <c r="N5004" s="8" t="s">
        <v>79</v>
      </c>
      <c r="O5004" s="8" t="s">
        <v>537</v>
      </c>
      <c r="P5004" s="6" t="s">
        <v>43</v>
      </c>
      <c r="Q5004" s="8" t="s">
        <v>44</v>
      </c>
      <c r="R5004" s="10" t="s">
        <v>29496</v>
      </c>
      <c r="S5004" s="11" t="s">
        <v>29497</v>
      </c>
      <c r="T5004" s="6"/>
      <c r="U5004" s="24" t="str">
        <f>HYPERLINK("https://media.infra-m.ru/2138/2138797/cover/2138797.jpg", "Обложка")</f>
        <v>Обложка</v>
      </c>
      <c r="V5004" s="24" t="str">
        <f>HYPERLINK("https://znanium.ru/catalog/product/1002351", "Ознакомиться")</f>
        <v>Ознакомиться</v>
      </c>
      <c r="W5004" s="8"/>
      <c r="X5004" s="6"/>
      <c r="Y5004" s="6"/>
      <c r="Z5004" s="6"/>
      <c r="AA5004" s="6" t="s">
        <v>47</v>
      </c>
      <c r="AB5004" s="8"/>
    </row>
    <row r="5005" spans="1:28" s="4" customFormat="1" ht="51.95" customHeight="1">
      <c r="A5005" s="5">
        <v>0</v>
      </c>
      <c r="B5005" s="6" t="s">
        <v>29498</v>
      </c>
      <c r="C5005" s="13">
        <v>2240</v>
      </c>
      <c r="D5005" s="8" t="s">
        <v>29499</v>
      </c>
      <c r="E5005" s="8" t="s">
        <v>29500</v>
      </c>
      <c r="F5005" s="8" t="s">
        <v>29501</v>
      </c>
      <c r="G5005" s="6" t="s">
        <v>52</v>
      </c>
      <c r="H5005" s="6" t="s">
        <v>53</v>
      </c>
      <c r="I5005" s="8" t="s">
        <v>116</v>
      </c>
      <c r="J5005" s="9">
        <v>1</v>
      </c>
      <c r="K5005" s="9">
        <v>447</v>
      </c>
      <c r="L5005" s="9">
        <v>2025</v>
      </c>
      <c r="M5005" s="8" t="s">
        <v>29502</v>
      </c>
      <c r="N5005" s="8" t="s">
        <v>79</v>
      </c>
      <c r="O5005" s="8" t="s">
        <v>537</v>
      </c>
      <c r="P5005" s="6" t="s">
        <v>167</v>
      </c>
      <c r="Q5005" s="8" t="s">
        <v>44</v>
      </c>
      <c r="R5005" s="10" t="s">
        <v>29503</v>
      </c>
      <c r="S5005" s="11" t="s">
        <v>29504</v>
      </c>
      <c r="T5005" s="6"/>
      <c r="U5005" s="24" t="str">
        <f>HYPERLINK("https://media.infra-m.ru/2178/2178287/cover/2178287.jpg", "Обложка")</f>
        <v>Обложка</v>
      </c>
      <c r="V5005" s="24" t="str">
        <f>HYPERLINK("https://znanium.ru/catalog/product/2178287", "Ознакомиться")</f>
        <v>Ознакомиться</v>
      </c>
      <c r="W5005" s="8" t="s">
        <v>14002</v>
      </c>
      <c r="X5005" s="6"/>
      <c r="Y5005" s="6"/>
      <c r="Z5005" s="6"/>
      <c r="AA5005" s="6" t="s">
        <v>418</v>
      </c>
      <c r="AB5005" s="8"/>
    </row>
    <row r="5006" spans="1:28" s="4" customFormat="1" ht="42" customHeight="1">
      <c r="A5006" s="5">
        <v>0</v>
      </c>
      <c r="B5006" s="6" t="s">
        <v>29505</v>
      </c>
      <c r="C5006" s="13">
        <v>1524</v>
      </c>
      <c r="D5006" s="8" t="s">
        <v>29506</v>
      </c>
      <c r="E5006" s="8" t="s">
        <v>29507</v>
      </c>
      <c r="F5006" s="8" t="s">
        <v>29508</v>
      </c>
      <c r="G5006" s="6" t="s">
        <v>89</v>
      </c>
      <c r="H5006" s="6" t="s">
        <v>53</v>
      </c>
      <c r="I5006" s="8" t="s">
        <v>90</v>
      </c>
      <c r="J5006" s="9">
        <v>1</v>
      </c>
      <c r="K5006" s="9">
        <v>294</v>
      </c>
      <c r="L5006" s="9">
        <v>2025</v>
      </c>
      <c r="M5006" s="8" t="s">
        <v>29509</v>
      </c>
      <c r="N5006" s="8" t="s">
        <v>79</v>
      </c>
      <c r="O5006" s="8" t="s">
        <v>396</v>
      </c>
      <c r="P5006" s="6" t="s">
        <v>167</v>
      </c>
      <c r="Q5006" s="8" t="s">
        <v>44</v>
      </c>
      <c r="R5006" s="10" t="s">
        <v>6409</v>
      </c>
      <c r="S5006" s="11"/>
      <c r="T5006" s="6"/>
      <c r="U5006" s="24" t="str">
        <f>HYPERLINK("https://media.infra-m.ru/2194/2194375/cover/2194375.jpg", "Обложка")</f>
        <v>Обложка</v>
      </c>
      <c r="V5006" s="24" t="str">
        <f>HYPERLINK("https://znanium.ru/catalog/product/1941766", "Ознакомиться")</f>
        <v>Ознакомиться</v>
      </c>
      <c r="W5006" s="8" t="s">
        <v>450</v>
      </c>
      <c r="X5006" s="6"/>
      <c r="Y5006" s="6"/>
      <c r="Z5006" s="6"/>
      <c r="AA5006" s="6" t="s">
        <v>111</v>
      </c>
      <c r="AB5006" s="8"/>
    </row>
    <row r="5007" spans="1:28" s="4" customFormat="1" ht="44.1" customHeight="1">
      <c r="A5007" s="5">
        <v>0</v>
      </c>
      <c r="B5007" s="6" t="s">
        <v>29510</v>
      </c>
      <c r="C5007" s="13">
        <v>1694</v>
      </c>
      <c r="D5007" s="8" t="s">
        <v>29511</v>
      </c>
      <c r="E5007" s="8" t="s">
        <v>29512</v>
      </c>
      <c r="F5007" s="8" t="s">
        <v>29513</v>
      </c>
      <c r="G5007" s="6" t="s">
        <v>38</v>
      </c>
      <c r="H5007" s="6" t="s">
        <v>438</v>
      </c>
      <c r="I5007" s="8" t="s">
        <v>29514</v>
      </c>
      <c r="J5007" s="9">
        <v>1</v>
      </c>
      <c r="K5007" s="9">
        <v>368</v>
      </c>
      <c r="L5007" s="9">
        <v>2024</v>
      </c>
      <c r="M5007" s="8" t="s">
        <v>29515</v>
      </c>
      <c r="N5007" s="8" t="s">
        <v>41</v>
      </c>
      <c r="O5007" s="8" t="s">
        <v>1007</v>
      </c>
      <c r="P5007" s="6" t="s">
        <v>1046</v>
      </c>
      <c r="Q5007" s="8" t="s">
        <v>44</v>
      </c>
      <c r="R5007" s="10" t="s">
        <v>1251</v>
      </c>
      <c r="S5007" s="11"/>
      <c r="T5007" s="6"/>
      <c r="U5007" s="24" t="str">
        <f>HYPERLINK("https://media.infra-m.ru/2120/2120783/cover/2120783.jpg", "Обложка")</f>
        <v>Обложка</v>
      </c>
      <c r="V5007" s="24" t="str">
        <f>HYPERLINK("https://znanium.ru/catalog/product/1027409", "Ознакомиться")</f>
        <v>Ознакомиться</v>
      </c>
      <c r="W5007" s="8" t="s">
        <v>5635</v>
      </c>
      <c r="X5007" s="6"/>
      <c r="Y5007" s="6"/>
      <c r="Z5007" s="6"/>
      <c r="AA5007" s="6" t="s">
        <v>479</v>
      </c>
      <c r="AB5007" s="8"/>
    </row>
    <row r="5008" spans="1:28" s="4" customFormat="1" ht="51.95" customHeight="1">
      <c r="A5008" s="5">
        <v>0</v>
      </c>
      <c r="B5008" s="6" t="s">
        <v>29516</v>
      </c>
      <c r="C5008" s="7">
        <v>871.9</v>
      </c>
      <c r="D5008" s="8" t="s">
        <v>29517</v>
      </c>
      <c r="E5008" s="8" t="s">
        <v>29518</v>
      </c>
      <c r="F5008" s="8" t="s">
        <v>29519</v>
      </c>
      <c r="G5008" s="6" t="s">
        <v>52</v>
      </c>
      <c r="H5008" s="6" t="s">
        <v>53</v>
      </c>
      <c r="I5008" s="8"/>
      <c r="J5008" s="9">
        <v>1</v>
      </c>
      <c r="K5008" s="9">
        <v>91</v>
      </c>
      <c r="L5008" s="9">
        <v>2020</v>
      </c>
      <c r="M5008" s="8" t="s">
        <v>29520</v>
      </c>
      <c r="N5008" s="8" t="s">
        <v>79</v>
      </c>
      <c r="O5008" s="8" t="s">
        <v>174</v>
      </c>
      <c r="P5008" s="6" t="s">
        <v>29521</v>
      </c>
      <c r="Q5008" s="8" t="s">
        <v>58</v>
      </c>
      <c r="R5008" s="10" t="s">
        <v>29522</v>
      </c>
      <c r="S5008" s="11"/>
      <c r="T5008" s="6"/>
      <c r="U5008" s="24" t="str">
        <f>HYPERLINK("https://media.infra-m.ru/1208/1208558/cover/1208558.jpg", "Обложка")</f>
        <v>Обложка</v>
      </c>
      <c r="V5008" s="24" t="str">
        <f>HYPERLINK("https://znanium.ru/catalog/product/1232761", "Ознакомиться")</f>
        <v>Ознакомиться</v>
      </c>
      <c r="W5008" s="8" t="s">
        <v>16245</v>
      </c>
      <c r="X5008" s="6"/>
      <c r="Y5008" s="6"/>
      <c r="Z5008" s="6"/>
      <c r="AA5008" s="6" t="s">
        <v>793</v>
      </c>
      <c r="AB5008" s="8"/>
    </row>
    <row r="5009" spans="1:28" s="4" customFormat="1" ht="51.95" customHeight="1">
      <c r="A5009" s="5">
        <v>0</v>
      </c>
      <c r="B5009" s="6" t="s">
        <v>29523</v>
      </c>
      <c r="C5009" s="13">
        <v>1624</v>
      </c>
      <c r="D5009" s="8" t="s">
        <v>29524</v>
      </c>
      <c r="E5009" s="8" t="s">
        <v>29525</v>
      </c>
      <c r="F5009" s="8" t="s">
        <v>5382</v>
      </c>
      <c r="G5009" s="6" t="s">
        <v>89</v>
      </c>
      <c r="H5009" s="6" t="s">
        <v>53</v>
      </c>
      <c r="I5009" s="8" t="s">
        <v>116</v>
      </c>
      <c r="J5009" s="9">
        <v>1</v>
      </c>
      <c r="K5009" s="9">
        <v>325</v>
      </c>
      <c r="L5009" s="9">
        <v>2025</v>
      </c>
      <c r="M5009" s="8" t="s">
        <v>29526</v>
      </c>
      <c r="N5009" s="8" t="s">
        <v>79</v>
      </c>
      <c r="O5009" s="8" t="s">
        <v>396</v>
      </c>
      <c r="P5009" s="6" t="s">
        <v>43</v>
      </c>
      <c r="Q5009" s="8" t="s">
        <v>44</v>
      </c>
      <c r="R5009" s="10" t="s">
        <v>29527</v>
      </c>
      <c r="S5009" s="11" t="s">
        <v>29528</v>
      </c>
      <c r="T5009" s="6"/>
      <c r="U5009" s="24" t="str">
        <f>HYPERLINK("https://media.infra-m.ru/2168/2168874/cover/2168874.jpg", "Обложка")</f>
        <v>Обложка</v>
      </c>
      <c r="V5009" s="24" t="str">
        <f>HYPERLINK("https://znanium.ru/catalog/product/2125135", "Ознакомиться")</f>
        <v>Ознакомиться</v>
      </c>
      <c r="W5009" s="8" t="s">
        <v>1563</v>
      </c>
      <c r="X5009" s="6"/>
      <c r="Y5009" s="6"/>
      <c r="Z5009" s="6"/>
      <c r="AA5009" s="6" t="s">
        <v>122</v>
      </c>
      <c r="AB5009" s="8"/>
    </row>
    <row r="5010" spans="1:28" s="4" customFormat="1" ht="51.95" customHeight="1">
      <c r="A5010" s="5">
        <v>0</v>
      </c>
      <c r="B5010" s="6" t="s">
        <v>29529</v>
      </c>
      <c r="C5010" s="13">
        <v>1334</v>
      </c>
      <c r="D5010" s="8" t="s">
        <v>29530</v>
      </c>
      <c r="E5010" s="8" t="s">
        <v>29531</v>
      </c>
      <c r="F5010" s="8" t="s">
        <v>29532</v>
      </c>
      <c r="G5010" s="6" t="s">
        <v>89</v>
      </c>
      <c r="H5010" s="6" t="s">
        <v>66</v>
      </c>
      <c r="I5010" s="8" t="s">
        <v>100</v>
      </c>
      <c r="J5010" s="9">
        <v>1</v>
      </c>
      <c r="K5010" s="9">
        <v>266</v>
      </c>
      <c r="L5010" s="9">
        <v>2025</v>
      </c>
      <c r="M5010" s="8" t="s">
        <v>29533</v>
      </c>
      <c r="N5010" s="8" t="s">
        <v>79</v>
      </c>
      <c r="O5010" s="8" t="s">
        <v>424</v>
      </c>
      <c r="P5010" s="6" t="s">
        <v>167</v>
      </c>
      <c r="Q5010" s="8" t="s">
        <v>102</v>
      </c>
      <c r="R5010" s="10" t="s">
        <v>29534</v>
      </c>
      <c r="S5010" s="11" t="s">
        <v>29535</v>
      </c>
      <c r="T5010" s="6"/>
      <c r="U5010" s="24" t="str">
        <f>HYPERLINK("https://media.infra-m.ru/2172/2172689/cover/2172689.jpg", "Обложка")</f>
        <v>Обложка</v>
      </c>
      <c r="V5010" s="24" t="str">
        <f>HYPERLINK("https://znanium.ru/catalog/product/2099967", "Ознакомиться")</f>
        <v>Ознакомиться</v>
      </c>
      <c r="W5010" s="8" t="s">
        <v>478</v>
      </c>
      <c r="X5010" s="6"/>
      <c r="Y5010" s="6"/>
      <c r="Z5010" s="6"/>
      <c r="AA5010" s="6" t="s">
        <v>2193</v>
      </c>
      <c r="AB5010" s="8"/>
    </row>
    <row r="5011" spans="1:28" s="4" customFormat="1" ht="42" customHeight="1">
      <c r="A5011" s="5">
        <v>0</v>
      </c>
      <c r="B5011" s="6" t="s">
        <v>29536</v>
      </c>
      <c r="C5011" s="13">
        <v>1224.9000000000001</v>
      </c>
      <c r="D5011" s="8" t="s">
        <v>29537</v>
      </c>
      <c r="E5011" s="8" t="s">
        <v>29538</v>
      </c>
      <c r="F5011" s="8" t="s">
        <v>9797</v>
      </c>
      <c r="G5011" s="6" t="s">
        <v>52</v>
      </c>
      <c r="H5011" s="6" t="s">
        <v>53</v>
      </c>
      <c r="I5011" s="8" t="s">
        <v>90</v>
      </c>
      <c r="J5011" s="9">
        <v>1</v>
      </c>
      <c r="K5011" s="9">
        <v>272</v>
      </c>
      <c r="L5011" s="9">
        <v>2023</v>
      </c>
      <c r="M5011" s="8" t="s">
        <v>29539</v>
      </c>
      <c r="N5011" s="8" t="s">
        <v>79</v>
      </c>
      <c r="O5011" s="8" t="s">
        <v>424</v>
      </c>
      <c r="P5011" s="6" t="s">
        <v>43</v>
      </c>
      <c r="Q5011" s="8" t="s">
        <v>44</v>
      </c>
      <c r="R5011" s="10" t="s">
        <v>5274</v>
      </c>
      <c r="S5011" s="11"/>
      <c r="T5011" s="6"/>
      <c r="U5011" s="24" t="str">
        <f>HYPERLINK("https://media.infra-m.ru/2010/2010568/cover/2010568.jpg", "Обложка")</f>
        <v>Обложка</v>
      </c>
      <c r="V5011" s="24" t="str">
        <f>HYPERLINK("https://znanium.ru/catalog/product/1488204", "Ознакомиться")</f>
        <v>Ознакомиться</v>
      </c>
      <c r="W5011" s="8" t="s">
        <v>9799</v>
      </c>
      <c r="X5011" s="6"/>
      <c r="Y5011" s="6"/>
      <c r="Z5011" s="6"/>
      <c r="AA5011" s="6" t="s">
        <v>111</v>
      </c>
      <c r="AB5011" s="8"/>
    </row>
    <row r="5012" spans="1:28" s="4" customFormat="1" ht="51.95" customHeight="1">
      <c r="A5012" s="5">
        <v>0</v>
      </c>
      <c r="B5012" s="6" t="s">
        <v>29540</v>
      </c>
      <c r="C5012" s="13">
        <v>2324</v>
      </c>
      <c r="D5012" s="8" t="s">
        <v>29541</v>
      </c>
      <c r="E5012" s="8" t="s">
        <v>29542</v>
      </c>
      <c r="F5012" s="8" t="s">
        <v>29543</v>
      </c>
      <c r="G5012" s="6" t="s">
        <v>52</v>
      </c>
      <c r="H5012" s="6" t="s">
        <v>53</v>
      </c>
      <c r="I5012" s="8" t="s">
        <v>116</v>
      </c>
      <c r="J5012" s="9">
        <v>1</v>
      </c>
      <c r="K5012" s="9">
        <v>464</v>
      </c>
      <c r="L5012" s="9">
        <v>2025</v>
      </c>
      <c r="M5012" s="8" t="s">
        <v>29544</v>
      </c>
      <c r="N5012" s="8" t="s">
        <v>79</v>
      </c>
      <c r="O5012" s="8" t="s">
        <v>396</v>
      </c>
      <c r="P5012" s="6" t="s">
        <v>167</v>
      </c>
      <c r="Q5012" s="8" t="s">
        <v>44</v>
      </c>
      <c r="R5012" s="10" t="s">
        <v>29545</v>
      </c>
      <c r="S5012" s="11" t="s">
        <v>29546</v>
      </c>
      <c r="T5012" s="6"/>
      <c r="U5012" s="24" t="str">
        <f>HYPERLINK("https://media.infra-m.ru/2166/2166123/cover/2166123.jpg", "Обложка")</f>
        <v>Обложка</v>
      </c>
      <c r="V5012" s="24" t="str">
        <f>HYPERLINK("https://znanium.ru/catalog/product/1794138", "Ознакомиться")</f>
        <v>Ознакомиться</v>
      </c>
      <c r="W5012" s="8" t="s">
        <v>478</v>
      </c>
      <c r="X5012" s="6"/>
      <c r="Y5012" s="6"/>
      <c r="Z5012" s="6"/>
      <c r="AA5012" s="6" t="s">
        <v>122</v>
      </c>
      <c r="AB5012" s="8"/>
    </row>
    <row r="5013" spans="1:28" s="4" customFormat="1" ht="51.95" customHeight="1">
      <c r="A5013" s="5">
        <v>0</v>
      </c>
      <c r="B5013" s="6" t="s">
        <v>29547</v>
      </c>
      <c r="C5013" s="13">
        <v>1874</v>
      </c>
      <c r="D5013" s="8" t="s">
        <v>29548</v>
      </c>
      <c r="E5013" s="8" t="s">
        <v>29542</v>
      </c>
      <c r="F5013" s="8" t="s">
        <v>27911</v>
      </c>
      <c r="G5013" s="6" t="s">
        <v>52</v>
      </c>
      <c r="H5013" s="6" t="s">
        <v>53</v>
      </c>
      <c r="I5013" s="8" t="s">
        <v>90</v>
      </c>
      <c r="J5013" s="9">
        <v>1</v>
      </c>
      <c r="K5013" s="9">
        <v>375</v>
      </c>
      <c r="L5013" s="9">
        <v>2025</v>
      </c>
      <c r="M5013" s="8" t="s">
        <v>29549</v>
      </c>
      <c r="N5013" s="8" t="s">
        <v>79</v>
      </c>
      <c r="O5013" s="8" t="s">
        <v>396</v>
      </c>
      <c r="P5013" s="6" t="s">
        <v>43</v>
      </c>
      <c r="Q5013" s="8" t="s">
        <v>44</v>
      </c>
      <c r="R5013" s="10" t="s">
        <v>29550</v>
      </c>
      <c r="S5013" s="11" t="s">
        <v>29551</v>
      </c>
      <c r="T5013" s="6"/>
      <c r="U5013" s="24" t="str">
        <f>HYPERLINK("https://media.infra-m.ru/2160/2160897/cover/2160897.jpg", "Обложка")</f>
        <v>Обложка</v>
      </c>
      <c r="V5013" s="24" t="str">
        <f>HYPERLINK("https://znanium.ru/catalog/product/1842529", "Ознакомиться")</f>
        <v>Ознакомиться</v>
      </c>
      <c r="W5013" s="8" t="s">
        <v>1563</v>
      </c>
      <c r="X5013" s="6"/>
      <c r="Y5013" s="6"/>
      <c r="Z5013" s="6"/>
      <c r="AA5013" s="6" t="s">
        <v>122</v>
      </c>
      <c r="AB5013" s="8"/>
    </row>
    <row r="5014" spans="1:28" s="4" customFormat="1" ht="51.95" customHeight="1">
      <c r="A5014" s="5">
        <v>0</v>
      </c>
      <c r="B5014" s="6" t="s">
        <v>29552</v>
      </c>
      <c r="C5014" s="13">
        <v>1534</v>
      </c>
      <c r="D5014" s="8" t="s">
        <v>29553</v>
      </c>
      <c r="E5014" s="8" t="s">
        <v>29554</v>
      </c>
      <c r="F5014" s="8" t="s">
        <v>29555</v>
      </c>
      <c r="G5014" s="6" t="s">
        <v>52</v>
      </c>
      <c r="H5014" s="6" t="s">
        <v>53</v>
      </c>
      <c r="I5014" s="8" t="s">
        <v>90</v>
      </c>
      <c r="J5014" s="9">
        <v>1</v>
      </c>
      <c r="K5014" s="9">
        <v>295</v>
      </c>
      <c r="L5014" s="9">
        <v>2025</v>
      </c>
      <c r="M5014" s="8" t="s">
        <v>29556</v>
      </c>
      <c r="N5014" s="8" t="s">
        <v>79</v>
      </c>
      <c r="O5014" s="8" t="s">
        <v>396</v>
      </c>
      <c r="P5014" s="6" t="s">
        <v>43</v>
      </c>
      <c r="Q5014" s="8" t="s">
        <v>44</v>
      </c>
      <c r="R5014" s="10" t="s">
        <v>29557</v>
      </c>
      <c r="S5014" s="11" t="s">
        <v>29558</v>
      </c>
      <c r="T5014" s="6"/>
      <c r="U5014" s="24" t="str">
        <f>HYPERLINK("https://media.infra-m.ru/2196/2196095/cover/2196095.jpg", "Обложка")</f>
        <v>Обложка</v>
      </c>
      <c r="V5014" s="24" t="str">
        <f>HYPERLINK("https://znanium.ru/catalog/product/814542", "Ознакомиться")</f>
        <v>Ознакомиться</v>
      </c>
      <c r="W5014" s="8" t="s">
        <v>1571</v>
      </c>
      <c r="X5014" s="6"/>
      <c r="Y5014" s="6"/>
      <c r="Z5014" s="6"/>
      <c r="AA5014" s="6" t="s">
        <v>442</v>
      </c>
      <c r="AB5014" s="8"/>
    </row>
    <row r="5015" spans="1:28" s="4" customFormat="1" ht="51.95" customHeight="1">
      <c r="A5015" s="5">
        <v>0</v>
      </c>
      <c r="B5015" s="6" t="s">
        <v>29559</v>
      </c>
      <c r="C5015" s="13">
        <v>1020</v>
      </c>
      <c r="D5015" s="8" t="s">
        <v>29560</v>
      </c>
      <c r="E5015" s="8" t="s">
        <v>29561</v>
      </c>
      <c r="F5015" s="8" t="s">
        <v>29562</v>
      </c>
      <c r="G5015" s="6" t="s">
        <v>38</v>
      </c>
      <c r="H5015" s="6" t="s">
        <v>53</v>
      </c>
      <c r="I5015" s="8" t="s">
        <v>116</v>
      </c>
      <c r="J5015" s="9">
        <v>1</v>
      </c>
      <c r="K5015" s="9">
        <v>221</v>
      </c>
      <c r="L5015" s="9">
        <v>2024</v>
      </c>
      <c r="M5015" s="8" t="s">
        <v>29563</v>
      </c>
      <c r="N5015" s="8" t="s">
        <v>79</v>
      </c>
      <c r="O5015" s="8" t="s">
        <v>396</v>
      </c>
      <c r="P5015" s="6" t="s">
        <v>43</v>
      </c>
      <c r="Q5015" s="8" t="s">
        <v>58</v>
      </c>
      <c r="R5015" s="10" t="s">
        <v>29564</v>
      </c>
      <c r="S5015" s="11" t="s">
        <v>29565</v>
      </c>
      <c r="T5015" s="6"/>
      <c r="U5015" s="24" t="str">
        <f>HYPERLINK("https://media.infra-m.ru/1929/1929157/cover/1929157.jpg", "Обложка")</f>
        <v>Обложка</v>
      </c>
      <c r="V5015" s="24" t="str">
        <f>HYPERLINK("https://znanium.ru/catalog/product/1929157", "Ознакомиться")</f>
        <v>Ознакомиться</v>
      </c>
      <c r="W5015" s="8" t="s">
        <v>3002</v>
      </c>
      <c r="X5015" s="6"/>
      <c r="Y5015" s="6"/>
      <c r="Z5015" s="6"/>
      <c r="AA5015" s="6" t="s">
        <v>258</v>
      </c>
      <c r="AB5015" s="8"/>
    </row>
    <row r="5016" spans="1:28" s="4" customFormat="1" ht="51.95" customHeight="1">
      <c r="A5016" s="5">
        <v>0</v>
      </c>
      <c r="B5016" s="6" t="s">
        <v>29566</v>
      </c>
      <c r="C5016" s="13">
        <v>1740</v>
      </c>
      <c r="D5016" s="8" t="s">
        <v>29567</v>
      </c>
      <c r="E5016" s="8" t="s">
        <v>29568</v>
      </c>
      <c r="F5016" s="8" t="s">
        <v>29562</v>
      </c>
      <c r="G5016" s="6" t="s">
        <v>89</v>
      </c>
      <c r="H5016" s="6" t="s">
        <v>53</v>
      </c>
      <c r="I5016" s="8" t="s">
        <v>116</v>
      </c>
      <c r="J5016" s="9">
        <v>1</v>
      </c>
      <c r="K5016" s="9">
        <v>348</v>
      </c>
      <c r="L5016" s="9">
        <v>2025</v>
      </c>
      <c r="M5016" s="8" t="s">
        <v>29569</v>
      </c>
      <c r="N5016" s="8" t="s">
        <v>79</v>
      </c>
      <c r="O5016" s="8" t="s">
        <v>396</v>
      </c>
      <c r="P5016" s="6" t="s">
        <v>43</v>
      </c>
      <c r="Q5016" s="8" t="s">
        <v>44</v>
      </c>
      <c r="R5016" s="10" t="s">
        <v>29570</v>
      </c>
      <c r="S5016" s="11" t="s">
        <v>29565</v>
      </c>
      <c r="T5016" s="6"/>
      <c r="U5016" s="24" t="str">
        <f>HYPERLINK("https://media.infra-m.ru/2168/2168877/cover/2168877.jpg", "Обложка")</f>
        <v>Обложка</v>
      </c>
      <c r="V5016" s="24" t="str">
        <f>HYPERLINK("https://znanium.ru/catalog/product/2168877", "Ознакомиться")</f>
        <v>Ознакомиться</v>
      </c>
      <c r="W5016" s="8" t="s">
        <v>3002</v>
      </c>
      <c r="X5016" s="6"/>
      <c r="Y5016" s="6"/>
      <c r="Z5016" s="6"/>
      <c r="AA5016" s="6" t="s">
        <v>258</v>
      </c>
      <c r="AB5016" s="8"/>
    </row>
    <row r="5017" spans="1:28" s="4" customFormat="1" ht="51.95" customHeight="1">
      <c r="A5017" s="5">
        <v>0</v>
      </c>
      <c r="B5017" s="6" t="s">
        <v>29571</v>
      </c>
      <c r="C5017" s="13">
        <v>1844</v>
      </c>
      <c r="D5017" s="8" t="s">
        <v>29572</v>
      </c>
      <c r="E5017" s="8" t="s">
        <v>29573</v>
      </c>
      <c r="F5017" s="8" t="s">
        <v>29574</v>
      </c>
      <c r="G5017" s="6" t="s">
        <v>52</v>
      </c>
      <c r="H5017" s="6" t="s">
        <v>53</v>
      </c>
      <c r="I5017" s="8" t="s">
        <v>90</v>
      </c>
      <c r="J5017" s="9">
        <v>1</v>
      </c>
      <c r="K5017" s="9">
        <v>400</v>
      </c>
      <c r="L5017" s="9">
        <v>2024</v>
      </c>
      <c r="M5017" s="8" t="s">
        <v>29575</v>
      </c>
      <c r="N5017" s="8" t="s">
        <v>413</v>
      </c>
      <c r="O5017" s="8" t="s">
        <v>1141</v>
      </c>
      <c r="P5017" s="6" t="s">
        <v>167</v>
      </c>
      <c r="Q5017" s="8" t="s">
        <v>44</v>
      </c>
      <c r="R5017" s="10" t="s">
        <v>9042</v>
      </c>
      <c r="S5017" s="11" t="s">
        <v>29576</v>
      </c>
      <c r="T5017" s="6" t="s">
        <v>299</v>
      </c>
      <c r="U5017" s="24" t="str">
        <f>HYPERLINK("https://media.infra-m.ru/2082/2082006/cover/2082006.jpg", "Обложка")</f>
        <v>Обложка</v>
      </c>
      <c r="V5017" s="24" t="str">
        <f>HYPERLINK("https://znanium.ru/catalog/product/1939094", "Ознакомиться")</f>
        <v>Ознакомиться</v>
      </c>
      <c r="W5017" s="8" t="s">
        <v>399</v>
      </c>
      <c r="X5017" s="6"/>
      <c r="Y5017" s="6"/>
      <c r="Z5017" s="6"/>
      <c r="AA5017" s="6" t="s">
        <v>494</v>
      </c>
      <c r="AB5017" s="8"/>
    </row>
    <row r="5018" spans="1:28" s="4" customFormat="1" ht="51.95" customHeight="1">
      <c r="A5018" s="5">
        <v>0</v>
      </c>
      <c r="B5018" s="6" t="s">
        <v>29577</v>
      </c>
      <c r="C5018" s="13">
        <v>1914</v>
      </c>
      <c r="D5018" s="8" t="s">
        <v>29578</v>
      </c>
      <c r="E5018" s="8" t="s">
        <v>29579</v>
      </c>
      <c r="F5018" s="8" t="s">
        <v>29580</v>
      </c>
      <c r="G5018" s="6" t="s">
        <v>52</v>
      </c>
      <c r="H5018" s="6" t="s">
        <v>438</v>
      </c>
      <c r="I5018" s="8" t="s">
        <v>116</v>
      </c>
      <c r="J5018" s="9">
        <v>1</v>
      </c>
      <c r="K5018" s="9">
        <v>424</v>
      </c>
      <c r="L5018" s="9">
        <v>2023</v>
      </c>
      <c r="M5018" s="8" t="s">
        <v>29581</v>
      </c>
      <c r="N5018" s="8" t="s">
        <v>79</v>
      </c>
      <c r="O5018" s="8" t="s">
        <v>396</v>
      </c>
      <c r="P5018" s="6" t="s">
        <v>43</v>
      </c>
      <c r="Q5018" s="8" t="s">
        <v>44</v>
      </c>
      <c r="R5018" s="10" t="s">
        <v>29582</v>
      </c>
      <c r="S5018" s="11"/>
      <c r="T5018" s="6"/>
      <c r="U5018" s="24" t="str">
        <f>HYPERLINK("https://media.infra-m.ru/1913/1913224/cover/1913224.jpg", "Обложка")</f>
        <v>Обложка</v>
      </c>
      <c r="V5018" s="24" t="str">
        <f>HYPERLINK("https://znanium.ru/catalog/product/977184", "Ознакомиться")</f>
        <v>Ознакомиться</v>
      </c>
      <c r="W5018" s="8" t="s">
        <v>1563</v>
      </c>
      <c r="X5018" s="6"/>
      <c r="Y5018" s="6"/>
      <c r="Z5018" s="6"/>
      <c r="AA5018" s="6" t="s">
        <v>111</v>
      </c>
      <c r="AB5018" s="8"/>
    </row>
    <row r="5019" spans="1:28" s="4" customFormat="1" ht="44.1" customHeight="1">
      <c r="A5019" s="5">
        <v>0</v>
      </c>
      <c r="B5019" s="6" t="s">
        <v>29583</v>
      </c>
      <c r="C5019" s="7">
        <v>964.9</v>
      </c>
      <c r="D5019" s="8" t="s">
        <v>29584</v>
      </c>
      <c r="E5019" s="8" t="s">
        <v>29585</v>
      </c>
      <c r="F5019" s="8" t="s">
        <v>29586</v>
      </c>
      <c r="G5019" s="6" t="s">
        <v>52</v>
      </c>
      <c r="H5019" s="6" t="s">
        <v>53</v>
      </c>
      <c r="I5019" s="8" t="s">
        <v>90</v>
      </c>
      <c r="J5019" s="9">
        <v>14</v>
      </c>
      <c r="K5019" s="9">
        <v>303</v>
      </c>
      <c r="L5019" s="9">
        <v>2019</v>
      </c>
      <c r="M5019" s="8" t="s">
        <v>29587</v>
      </c>
      <c r="N5019" s="8" t="s">
        <v>79</v>
      </c>
      <c r="O5019" s="8" t="s">
        <v>424</v>
      </c>
      <c r="P5019" s="6" t="s">
        <v>43</v>
      </c>
      <c r="Q5019" s="8" t="s">
        <v>44</v>
      </c>
      <c r="R5019" s="10" t="s">
        <v>4598</v>
      </c>
      <c r="S5019" s="11"/>
      <c r="T5019" s="6"/>
      <c r="U5019" s="24" t="str">
        <f>HYPERLINK("https://media.infra-m.ru/0560/0560906/cover/560906.jpg", "Обложка")</f>
        <v>Обложка</v>
      </c>
      <c r="V5019" s="24" t="str">
        <f>HYPERLINK("https://znanium.ru/catalog/product/483092", "Ознакомиться")</f>
        <v>Ознакомиться</v>
      </c>
      <c r="W5019" s="8" t="s">
        <v>5825</v>
      </c>
      <c r="X5019" s="6"/>
      <c r="Y5019" s="6"/>
      <c r="Z5019" s="6"/>
      <c r="AA5019" s="6" t="s">
        <v>111</v>
      </c>
      <c r="AB5019" s="8"/>
    </row>
    <row r="5020" spans="1:28" s="4" customFormat="1" ht="51.95" customHeight="1">
      <c r="A5020" s="5">
        <v>0</v>
      </c>
      <c r="B5020" s="6" t="s">
        <v>29588</v>
      </c>
      <c r="C5020" s="7">
        <v>814</v>
      </c>
      <c r="D5020" s="8" t="s">
        <v>29589</v>
      </c>
      <c r="E5020" s="8" t="s">
        <v>29590</v>
      </c>
      <c r="F5020" s="8" t="s">
        <v>29591</v>
      </c>
      <c r="G5020" s="6" t="s">
        <v>38</v>
      </c>
      <c r="H5020" s="6" t="s">
        <v>53</v>
      </c>
      <c r="I5020" s="8" t="s">
        <v>90</v>
      </c>
      <c r="J5020" s="9">
        <v>1</v>
      </c>
      <c r="K5020" s="9">
        <v>156</v>
      </c>
      <c r="L5020" s="9">
        <v>2025</v>
      </c>
      <c r="M5020" s="8" t="s">
        <v>29592</v>
      </c>
      <c r="N5020" s="8" t="s">
        <v>41</v>
      </c>
      <c r="O5020" s="8" t="s">
        <v>118</v>
      </c>
      <c r="P5020" s="6" t="s">
        <v>43</v>
      </c>
      <c r="Q5020" s="8" t="s">
        <v>44</v>
      </c>
      <c r="R5020" s="10" t="s">
        <v>17877</v>
      </c>
      <c r="S5020" s="11" t="s">
        <v>29593</v>
      </c>
      <c r="T5020" s="6"/>
      <c r="U5020" s="24" t="str">
        <f>HYPERLINK("https://media.infra-m.ru/2192/2192254/cover/2192254.jpg", "Обложка")</f>
        <v>Обложка</v>
      </c>
      <c r="V5020" s="24" t="str">
        <f>HYPERLINK("https://znanium.ru/catalog/product/1911154", "Ознакомиться")</f>
        <v>Ознакомиться</v>
      </c>
      <c r="W5020" s="8" t="s">
        <v>399</v>
      </c>
      <c r="X5020" s="6"/>
      <c r="Y5020" s="6"/>
      <c r="Z5020" s="6"/>
      <c r="AA5020" s="6" t="s">
        <v>84</v>
      </c>
      <c r="AB5020" s="8"/>
    </row>
    <row r="5021" spans="1:28" s="4" customFormat="1" ht="51.95" customHeight="1">
      <c r="A5021" s="5">
        <v>0</v>
      </c>
      <c r="B5021" s="6" t="s">
        <v>29594</v>
      </c>
      <c r="C5021" s="13">
        <v>1840</v>
      </c>
      <c r="D5021" s="8" t="s">
        <v>29595</v>
      </c>
      <c r="E5021" s="8" t="s">
        <v>29596</v>
      </c>
      <c r="F5021" s="8" t="s">
        <v>29597</v>
      </c>
      <c r="G5021" s="6" t="s">
        <v>52</v>
      </c>
      <c r="H5021" s="6" t="s">
        <v>674</v>
      </c>
      <c r="I5021" s="8"/>
      <c r="J5021" s="9">
        <v>1</v>
      </c>
      <c r="K5021" s="9">
        <v>400</v>
      </c>
      <c r="L5021" s="9">
        <v>2024</v>
      </c>
      <c r="M5021" s="8" t="s">
        <v>29598</v>
      </c>
      <c r="N5021" s="8" t="s">
        <v>41</v>
      </c>
      <c r="O5021" s="8" t="s">
        <v>676</v>
      </c>
      <c r="P5021" s="6" t="s">
        <v>167</v>
      </c>
      <c r="Q5021" s="8" t="s">
        <v>44</v>
      </c>
      <c r="R5021" s="10" t="s">
        <v>29599</v>
      </c>
      <c r="S5021" s="11"/>
      <c r="T5021" s="6"/>
      <c r="U5021" s="24" t="str">
        <f>HYPERLINK("https://media.infra-m.ru/2104/2104316/cover/2104316.jpg", "Обложка")</f>
        <v>Обложка</v>
      </c>
      <c r="V5021" s="24" t="str">
        <f>HYPERLINK("https://znanium.ru/catalog/product/2104316", "Ознакомиться")</f>
        <v>Ознакомиться</v>
      </c>
      <c r="W5021" s="8" t="s">
        <v>792</v>
      </c>
      <c r="X5021" s="6"/>
      <c r="Y5021" s="6"/>
      <c r="Z5021" s="6"/>
      <c r="AA5021" s="6" t="s">
        <v>105</v>
      </c>
      <c r="AB5021" s="8"/>
    </row>
    <row r="5022" spans="1:28" s="4" customFormat="1" ht="51.95" customHeight="1">
      <c r="A5022" s="5">
        <v>0</v>
      </c>
      <c r="B5022" s="6" t="s">
        <v>29600</v>
      </c>
      <c r="C5022" s="13">
        <v>1230</v>
      </c>
      <c r="D5022" s="8" t="s">
        <v>29601</v>
      </c>
      <c r="E5022" s="8" t="s">
        <v>29602</v>
      </c>
      <c r="F5022" s="8" t="s">
        <v>29597</v>
      </c>
      <c r="G5022" s="6" t="s">
        <v>89</v>
      </c>
      <c r="H5022" s="6" t="s">
        <v>674</v>
      </c>
      <c r="I5022" s="8"/>
      <c r="J5022" s="9">
        <v>1</v>
      </c>
      <c r="K5022" s="9">
        <v>272</v>
      </c>
      <c r="L5022" s="9">
        <v>2019</v>
      </c>
      <c r="M5022" s="8" t="s">
        <v>29603</v>
      </c>
      <c r="N5022" s="8" t="s">
        <v>41</v>
      </c>
      <c r="O5022" s="8" t="s">
        <v>676</v>
      </c>
      <c r="P5022" s="6" t="s">
        <v>167</v>
      </c>
      <c r="Q5022" s="8" t="s">
        <v>44</v>
      </c>
      <c r="R5022" s="10" t="s">
        <v>29599</v>
      </c>
      <c r="S5022" s="11"/>
      <c r="T5022" s="6"/>
      <c r="U5022" s="24" t="str">
        <f>HYPERLINK("https://media.infra-m.ru/1012/1012773/cover/1012773.jpg", "Обложка")</f>
        <v>Обложка</v>
      </c>
      <c r="V5022" s="24" t="str">
        <f>HYPERLINK("https://znanium.ru/catalog/product/2104316", "Ознакомиться")</f>
        <v>Ознакомиться</v>
      </c>
      <c r="W5022" s="8" t="s">
        <v>792</v>
      </c>
      <c r="X5022" s="6"/>
      <c r="Y5022" s="6"/>
      <c r="Z5022" s="6"/>
      <c r="AA5022" s="6" t="s">
        <v>442</v>
      </c>
      <c r="AB5022" s="8"/>
    </row>
    <row r="5023" spans="1:28" s="4" customFormat="1" ht="51.95" customHeight="1">
      <c r="A5023" s="5">
        <v>0</v>
      </c>
      <c r="B5023" s="6" t="s">
        <v>29604</v>
      </c>
      <c r="C5023" s="13">
        <v>1164</v>
      </c>
      <c r="D5023" s="8" t="s">
        <v>29605</v>
      </c>
      <c r="E5023" s="8" t="s">
        <v>29606</v>
      </c>
      <c r="F5023" s="8" t="s">
        <v>29607</v>
      </c>
      <c r="G5023" s="6" t="s">
        <v>89</v>
      </c>
      <c r="H5023" s="6" t="s">
        <v>77</v>
      </c>
      <c r="I5023" s="8"/>
      <c r="J5023" s="9">
        <v>1</v>
      </c>
      <c r="K5023" s="9">
        <v>252</v>
      </c>
      <c r="L5023" s="9">
        <v>2024</v>
      </c>
      <c r="M5023" s="8" t="s">
        <v>29608</v>
      </c>
      <c r="N5023" s="8" t="s">
        <v>41</v>
      </c>
      <c r="O5023" s="8" t="s">
        <v>1007</v>
      </c>
      <c r="P5023" s="6" t="s">
        <v>43</v>
      </c>
      <c r="Q5023" s="8" t="s">
        <v>44</v>
      </c>
      <c r="R5023" s="10" t="s">
        <v>29609</v>
      </c>
      <c r="S5023" s="11" t="s">
        <v>29610</v>
      </c>
      <c r="T5023" s="6"/>
      <c r="U5023" s="24" t="str">
        <f>HYPERLINK("https://media.infra-m.ru/2053/2053984/cover/2053984.jpg", "Обложка")</f>
        <v>Обложка</v>
      </c>
      <c r="V5023" s="24" t="str">
        <f>HYPERLINK("https://znanium.ru/catalog/product/1237094", "Ознакомиться")</f>
        <v>Ознакомиться</v>
      </c>
      <c r="W5023" s="8" t="s">
        <v>4293</v>
      </c>
      <c r="X5023" s="6"/>
      <c r="Y5023" s="6"/>
      <c r="Z5023" s="6"/>
      <c r="AA5023" s="6" t="s">
        <v>663</v>
      </c>
      <c r="AB5023" s="8"/>
    </row>
    <row r="5024" spans="1:28" s="4" customFormat="1" ht="51.95" customHeight="1">
      <c r="A5024" s="5">
        <v>0</v>
      </c>
      <c r="B5024" s="6" t="s">
        <v>29611</v>
      </c>
      <c r="C5024" s="13">
        <v>1994.9</v>
      </c>
      <c r="D5024" s="8" t="s">
        <v>29612</v>
      </c>
      <c r="E5024" s="8" t="s">
        <v>29613</v>
      </c>
      <c r="F5024" s="8" t="s">
        <v>29614</v>
      </c>
      <c r="G5024" s="6" t="s">
        <v>89</v>
      </c>
      <c r="H5024" s="6" t="s">
        <v>53</v>
      </c>
      <c r="I5024" s="8" t="s">
        <v>90</v>
      </c>
      <c r="J5024" s="9">
        <v>1</v>
      </c>
      <c r="K5024" s="9">
        <v>583</v>
      </c>
      <c r="L5024" s="9">
        <v>2022</v>
      </c>
      <c r="M5024" s="8" t="s">
        <v>29615</v>
      </c>
      <c r="N5024" s="8" t="s">
        <v>41</v>
      </c>
      <c r="O5024" s="8" t="s">
        <v>278</v>
      </c>
      <c r="P5024" s="6" t="s">
        <v>167</v>
      </c>
      <c r="Q5024" s="8" t="s">
        <v>44</v>
      </c>
      <c r="R5024" s="10" t="s">
        <v>29616</v>
      </c>
      <c r="S5024" s="11" t="s">
        <v>29617</v>
      </c>
      <c r="T5024" s="6"/>
      <c r="U5024" s="24" t="str">
        <f>HYPERLINK("https://media.infra-m.ru/1817/1817933/cover/1817933.jpg", "Обложка")</f>
        <v>Обложка</v>
      </c>
      <c r="V5024" s="24" t="str">
        <f>HYPERLINK("https://znanium.ru/catalog/product/2062425", "Ознакомиться")</f>
        <v>Ознакомиться</v>
      </c>
      <c r="W5024" s="8" t="s">
        <v>354</v>
      </c>
      <c r="X5024" s="6"/>
      <c r="Y5024" s="6"/>
      <c r="Z5024" s="6"/>
      <c r="AA5024" s="6" t="s">
        <v>442</v>
      </c>
      <c r="AB5024" s="8"/>
    </row>
    <row r="5025" spans="1:28" s="4" customFormat="1" ht="51.95" customHeight="1">
      <c r="A5025" s="5">
        <v>0</v>
      </c>
      <c r="B5025" s="6" t="s">
        <v>29618</v>
      </c>
      <c r="C5025" s="13">
        <v>2580</v>
      </c>
      <c r="D5025" s="8" t="s">
        <v>29619</v>
      </c>
      <c r="E5025" s="8" t="s">
        <v>29620</v>
      </c>
      <c r="F5025" s="8" t="s">
        <v>29614</v>
      </c>
      <c r="G5025" s="6" t="s">
        <v>52</v>
      </c>
      <c r="H5025" s="6" t="s">
        <v>53</v>
      </c>
      <c r="I5025" s="8" t="s">
        <v>116</v>
      </c>
      <c r="J5025" s="9">
        <v>1</v>
      </c>
      <c r="K5025" s="9">
        <v>561</v>
      </c>
      <c r="L5025" s="9">
        <v>2024</v>
      </c>
      <c r="M5025" s="8" t="s">
        <v>29621</v>
      </c>
      <c r="N5025" s="8" t="s">
        <v>41</v>
      </c>
      <c r="O5025" s="8" t="s">
        <v>278</v>
      </c>
      <c r="P5025" s="6" t="s">
        <v>167</v>
      </c>
      <c r="Q5025" s="8" t="s">
        <v>58</v>
      </c>
      <c r="R5025" s="10" t="s">
        <v>29616</v>
      </c>
      <c r="S5025" s="11" t="s">
        <v>29617</v>
      </c>
      <c r="T5025" s="6"/>
      <c r="U5025" s="24" t="str">
        <f>HYPERLINK("https://media.infra-m.ru/2062/2062425/cover/2062425.jpg", "Обложка")</f>
        <v>Обложка</v>
      </c>
      <c r="V5025" s="24" t="str">
        <f>HYPERLINK("https://znanium.ru/catalog/product/2062425", "Ознакомиться")</f>
        <v>Ознакомиться</v>
      </c>
      <c r="W5025" s="8" t="s">
        <v>354</v>
      </c>
      <c r="X5025" s="6" t="s">
        <v>389</v>
      </c>
      <c r="Y5025" s="6"/>
      <c r="Z5025" s="6"/>
      <c r="AA5025" s="6" t="s">
        <v>105</v>
      </c>
      <c r="AB5025" s="8"/>
    </row>
    <row r="5026" spans="1:28" s="4" customFormat="1" ht="51.95" customHeight="1">
      <c r="A5026" s="5">
        <v>0</v>
      </c>
      <c r="B5026" s="6" t="s">
        <v>29622</v>
      </c>
      <c r="C5026" s="13">
        <v>1184</v>
      </c>
      <c r="D5026" s="8" t="s">
        <v>29623</v>
      </c>
      <c r="E5026" s="8" t="s">
        <v>29624</v>
      </c>
      <c r="F5026" s="8" t="s">
        <v>29625</v>
      </c>
      <c r="G5026" s="6" t="s">
        <v>89</v>
      </c>
      <c r="H5026" s="6" t="s">
        <v>53</v>
      </c>
      <c r="I5026" s="8" t="s">
        <v>90</v>
      </c>
      <c r="J5026" s="9">
        <v>1</v>
      </c>
      <c r="K5026" s="9">
        <v>262</v>
      </c>
      <c r="L5026" s="9">
        <v>2023</v>
      </c>
      <c r="M5026" s="8" t="s">
        <v>29626</v>
      </c>
      <c r="N5026" s="8" t="s">
        <v>79</v>
      </c>
      <c r="O5026" s="8" t="s">
        <v>396</v>
      </c>
      <c r="P5026" s="6" t="s">
        <v>167</v>
      </c>
      <c r="Q5026" s="8" t="s">
        <v>44</v>
      </c>
      <c r="R5026" s="10" t="s">
        <v>6409</v>
      </c>
      <c r="S5026" s="11" t="s">
        <v>29627</v>
      </c>
      <c r="T5026" s="6" t="s">
        <v>299</v>
      </c>
      <c r="U5026" s="24" t="str">
        <f>HYPERLINK("https://media.infra-m.ru/2004/2004347/cover/2004347.jpg", "Обложка")</f>
        <v>Обложка</v>
      </c>
      <c r="V5026" s="24" t="str">
        <f>HYPERLINK("https://znanium.ru/catalog/product/1939082", "Ознакомиться")</f>
        <v>Ознакомиться</v>
      </c>
      <c r="W5026" s="8" t="s">
        <v>4838</v>
      </c>
      <c r="X5026" s="6"/>
      <c r="Y5026" s="6"/>
      <c r="Z5026" s="6"/>
      <c r="AA5026" s="6" t="s">
        <v>418</v>
      </c>
      <c r="AB5026" s="8"/>
    </row>
    <row r="5027" spans="1:28" s="4" customFormat="1" ht="51.95" customHeight="1">
      <c r="A5027" s="5">
        <v>0</v>
      </c>
      <c r="B5027" s="6" t="s">
        <v>29628</v>
      </c>
      <c r="C5027" s="13">
        <v>1480</v>
      </c>
      <c r="D5027" s="8" t="s">
        <v>29629</v>
      </c>
      <c r="E5027" s="8" t="s">
        <v>29630</v>
      </c>
      <c r="F5027" s="8" t="s">
        <v>29631</v>
      </c>
      <c r="G5027" s="6" t="s">
        <v>89</v>
      </c>
      <c r="H5027" s="6" t="s">
        <v>53</v>
      </c>
      <c r="I5027" s="8" t="s">
        <v>100</v>
      </c>
      <c r="J5027" s="9">
        <v>1</v>
      </c>
      <c r="K5027" s="9">
        <v>295</v>
      </c>
      <c r="L5027" s="9">
        <v>2025</v>
      </c>
      <c r="M5027" s="8" t="s">
        <v>29632</v>
      </c>
      <c r="N5027" s="8" t="s">
        <v>56</v>
      </c>
      <c r="O5027" s="8" t="s">
        <v>2183</v>
      </c>
      <c r="P5027" s="6" t="s">
        <v>43</v>
      </c>
      <c r="Q5027" s="8" t="s">
        <v>102</v>
      </c>
      <c r="R5027" s="10" t="s">
        <v>29633</v>
      </c>
      <c r="S5027" s="11" t="s">
        <v>29634</v>
      </c>
      <c r="T5027" s="6" t="s">
        <v>299</v>
      </c>
      <c r="U5027" s="24" t="str">
        <f>HYPERLINK("https://media.infra-m.ru/2175/2175284/cover/2175284.jpg", "Обложка")</f>
        <v>Обложка</v>
      </c>
      <c r="V5027" s="24" t="str">
        <f>HYPERLINK("https://znanium.ru/catalog/product/2175284", "Ознакомиться")</f>
        <v>Ознакомиться</v>
      </c>
      <c r="W5027" s="8" t="s">
        <v>71</v>
      </c>
      <c r="X5027" s="6"/>
      <c r="Y5027" s="6"/>
      <c r="Z5027" s="6"/>
      <c r="AA5027" s="6" t="s">
        <v>1374</v>
      </c>
      <c r="AB5027" s="8"/>
    </row>
    <row r="5028" spans="1:28" s="4" customFormat="1" ht="51.95" customHeight="1">
      <c r="A5028" s="5">
        <v>0</v>
      </c>
      <c r="B5028" s="6" t="s">
        <v>29635</v>
      </c>
      <c r="C5028" s="13">
        <v>1730</v>
      </c>
      <c r="D5028" s="8" t="s">
        <v>29636</v>
      </c>
      <c r="E5028" s="8" t="s">
        <v>29637</v>
      </c>
      <c r="F5028" s="8" t="s">
        <v>29638</v>
      </c>
      <c r="G5028" s="6" t="s">
        <v>89</v>
      </c>
      <c r="H5028" s="6" t="s">
        <v>53</v>
      </c>
      <c r="I5028" s="8" t="s">
        <v>90</v>
      </c>
      <c r="J5028" s="9">
        <v>1</v>
      </c>
      <c r="K5028" s="9">
        <v>456</v>
      </c>
      <c r="L5028" s="9">
        <v>2022</v>
      </c>
      <c r="M5028" s="8" t="s">
        <v>29639</v>
      </c>
      <c r="N5028" s="8" t="s">
        <v>413</v>
      </c>
      <c r="O5028" s="8" t="s">
        <v>414</v>
      </c>
      <c r="P5028" s="6" t="s">
        <v>43</v>
      </c>
      <c r="Q5028" s="8" t="s">
        <v>44</v>
      </c>
      <c r="R5028" s="10" t="s">
        <v>13474</v>
      </c>
      <c r="S5028" s="11" t="s">
        <v>29640</v>
      </c>
      <c r="T5028" s="6"/>
      <c r="U5028" s="24" t="str">
        <f>HYPERLINK("https://media.infra-m.ru/1850/1850392/cover/1850392.jpg", "Обложка")</f>
        <v>Обложка</v>
      </c>
      <c r="V5028" s="24" t="str">
        <f>HYPERLINK("https://znanium.ru/catalog/product/1850392", "Ознакомиться")</f>
        <v>Ознакомиться</v>
      </c>
      <c r="W5028" s="8" t="s">
        <v>11097</v>
      </c>
      <c r="X5028" s="6"/>
      <c r="Y5028" s="6"/>
      <c r="Z5028" s="6"/>
      <c r="AA5028" s="6" t="s">
        <v>793</v>
      </c>
      <c r="AB5028" s="8"/>
    </row>
    <row r="5029" spans="1:28" s="4" customFormat="1" ht="44.1" customHeight="1">
      <c r="A5029" s="5">
        <v>0</v>
      </c>
      <c r="B5029" s="6" t="s">
        <v>29641</v>
      </c>
      <c r="C5029" s="13">
        <v>1840</v>
      </c>
      <c r="D5029" s="8" t="s">
        <v>29642</v>
      </c>
      <c r="E5029" s="8" t="s">
        <v>29643</v>
      </c>
      <c r="F5029" s="8" t="s">
        <v>28118</v>
      </c>
      <c r="G5029" s="6" t="s">
        <v>89</v>
      </c>
      <c r="H5029" s="6" t="s">
        <v>674</v>
      </c>
      <c r="I5029" s="8"/>
      <c r="J5029" s="9">
        <v>1</v>
      </c>
      <c r="K5029" s="9">
        <v>400</v>
      </c>
      <c r="L5029" s="9">
        <v>2024</v>
      </c>
      <c r="M5029" s="8" t="s">
        <v>29644</v>
      </c>
      <c r="N5029" s="8" t="s">
        <v>41</v>
      </c>
      <c r="O5029" s="8" t="s">
        <v>676</v>
      </c>
      <c r="P5029" s="6" t="s">
        <v>43</v>
      </c>
      <c r="Q5029" s="8" t="s">
        <v>214</v>
      </c>
      <c r="R5029" s="10" t="s">
        <v>215</v>
      </c>
      <c r="S5029" s="11"/>
      <c r="T5029" s="6"/>
      <c r="U5029" s="24" t="str">
        <f>HYPERLINK("https://media.infra-m.ru/2132/2132150/cover/2132150.jpg", "Обложка")</f>
        <v>Обложка</v>
      </c>
      <c r="V5029" s="24" t="str">
        <f>HYPERLINK("https://znanium.ru/catalog/product/2132150", "Ознакомиться")</f>
        <v>Ознакомиться</v>
      </c>
      <c r="W5029" s="8" t="s">
        <v>792</v>
      </c>
      <c r="X5029" s="6"/>
      <c r="Y5029" s="6"/>
      <c r="Z5029" s="6"/>
      <c r="AA5029" s="6" t="s">
        <v>151</v>
      </c>
      <c r="AB5029" s="8" t="s">
        <v>840</v>
      </c>
    </row>
    <row r="5030" spans="1:28" s="4" customFormat="1" ht="51.95" customHeight="1">
      <c r="A5030" s="5">
        <v>0</v>
      </c>
      <c r="B5030" s="6" t="s">
        <v>29645</v>
      </c>
      <c r="C5030" s="7">
        <v>514</v>
      </c>
      <c r="D5030" s="8" t="s">
        <v>29646</v>
      </c>
      <c r="E5030" s="8" t="s">
        <v>29647</v>
      </c>
      <c r="F5030" s="8" t="s">
        <v>29648</v>
      </c>
      <c r="G5030" s="6" t="s">
        <v>38</v>
      </c>
      <c r="H5030" s="6" t="s">
        <v>39</v>
      </c>
      <c r="I5030" s="8" t="s">
        <v>90</v>
      </c>
      <c r="J5030" s="9">
        <v>1</v>
      </c>
      <c r="K5030" s="9">
        <v>96</v>
      </c>
      <c r="L5030" s="9">
        <v>2024</v>
      </c>
      <c r="M5030" s="8" t="s">
        <v>29649</v>
      </c>
      <c r="N5030" s="8" t="s">
        <v>79</v>
      </c>
      <c r="O5030" s="8" t="s">
        <v>396</v>
      </c>
      <c r="P5030" s="6" t="s">
        <v>43</v>
      </c>
      <c r="Q5030" s="8" t="s">
        <v>44</v>
      </c>
      <c r="R5030" s="10" t="s">
        <v>15567</v>
      </c>
      <c r="S5030" s="11" t="s">
        <v>29650</v>
      </c>
      <c r="T5030" s="6"/>
      <c r="U5030" s="24" t="str">
        <f>HYPERLINK("https://media.infra-m.ru/2087/2087282/cover/2087282.jpg", "Обложка")</f>
        <v>Обложка</v>
      </c>
      <c r="V5030" s="24" t="str">
        <f>HYPERLINK("https://znanium.ru/catalog/product/1839652", "Ознакомиться")</f>
        <v>Ознакомиться</v>
      </c>
      <c r="W5030" s="8" t="s">
        <v>10544</v>
      </c>
      <c r="X5030" s="6"/>
      <c r="Y5030" s="6"/>
      <c r="Z5030" s="6"/>
      <c r="AA5030" s="6" t="s">
        <v>111</v>
      </c>
      <c r="AB5030" s="8"/>
    </row>
    <row r="5031" spans="1:28" s="4" customFormat="1" ht="51.95" customHeight="1">
      <c r="A5031" s="5">
        <v>0</v>
      </c>
      <c r="B5031" s="6" t="s">
        <v>29651</v>
      </c>
      <c r="C5031" s="7">
        <v>530</v>
      </c>
      <c r="D5031" s="8" t="s">
        <v>29652</v>
      </c>
      <c r="E5031" s="8" t="s">
        <v>29647</v>
      </c>
      <c r="F5031" s="8" t="s">
        <v>29653</v>
      </c>
      <c r="G5031" s="6" t="s">
        <v>38</v>
      </c>
      <c r="H5031" s="6" t="s">
        <v>39</v>
      </c>
      <c r="I5031" s="8" t="s">
        <v>100</v>
      </c>
      <c r="J5031" s="9">
        <v>1</v>
      </c>
      <c r="K5031" s="9">
        <v>96</v>
      </c>
      <c r="L5031" s="9">
        <v>2023</v>
      </c>
      <c r="M5031" s="8" t="s">
        <v>29654</v>
      </c>
      <c r="N5031" s="8" t="s">
        <v>79</v>
      </c>
      <c r="O5031" s="8" t="s">
        <v>396</v>
      </c>
      <c r="P5031" s="6" t="s">
        <v>43</v>
      </c>
      <c r="Q5031" s="8" t="s">
        <v>102</v>
      </c>
      <c r="R5031" s="10" t="s">
        <v>29655</v>
      </c>
      <c r="S5031" s="11" t="s">
        <v>29656</v>
      </c>
      <c r="T5031" s="6"/>
      <c r="U5031" s="24" t="str">
        <f>HYPERLINK("https://media.infra-m.ru/0999/0999930/cover/999930.jpg", "Обложка")</f>
        <v>Обложка</v>
      </c>
      <c r="V5031" s="24" t="str">
        <f>HYPERLINK("https://znanium.ru/catalog/product/999930", "Ознакомиться")</f>
        <v>Ознакомиться</v>
      </c>
      <c r="W5031" s="8" t="s">
        <v>10544</v>
      </c>
      <c r="X5031" s="6"/>
      <c r="Y5031" s="6"/>
      <c r="Z5031" s="6" t="s">
        <v>104</v>
      </c>
      <c r="AA5031" s="6" t="s">
        <v>207</v>
      </c>
      <c r="AB5031" s="8"/>
    </row>
    <row r="5032" spans="1:28" s="4" customFormat="1" ht="51.95" customHeight="1">
      <c r="A5032" s="5">
        <v>0</v>
      </c>
      <c r="B5032" s="6" t="s">
        <v>29657</v>
      </c>
      <c r="C5032" s="13">
        <v>1670</v>
      </c>
      <c r="D5032" s="8" t="s">
        <v>29658</v>
      </c>
      <c r="E5032" s="8" t="s">
        <v>29659</v>
      </c>
      <c r="F5032" s="8" t="s">
        <v>29660</v>
      </c>
      <c r="G5032" s="6" t="s">
        <v>89</v>
      </c>
      <c r="H5032" s="6" t="s">
        <v>53</v>
      </c>
      <c r="I5032" s="8" t="s">
        <v>100</v>
      </c>
      <c r="J5032" s="9">
        <v>1</v>
      </c>
      <c r="K5032" s="9">
        <v>334</v>
      </c>
      <c r="L5032" s="9">
        <v>2025</v>
      </c>
      <c r="M5032" s="8" t="s">
        <v>29661</v>
      </c>
      <c r="N5032" s="8" t="s">
        <v>79</v>
      </c>
      <c r="O5032" s="8" t="s">
        <v>148</v>
      </c>
      <c r="P5032" s="6" t="s">
        <v>167</v>
      </c>
      <c r="Q5032" s="8" t="s">
        <v>102</v>
      </c>
      <c r="R5032" s="10" t="s">
        <v>29662</v>
      </c>
      <c r="S5032" s="11" t="s">
        <v>29663</v>
      </c>
      <c r="T5032" s="6"/>
      <c r="U5032" s="24" t="str">
        <f>HYPERLINK("https://media.infra-m.ru/2170/2170453/cover/2170453.jpg", "Обложка")</f>
        <v>Обложка</v>
      </c>
      <c r="V5032" s="24" t="str">
        <f>HYPERLINK("https://znanium.ru/catalog/product/2170453", "Ознакомиться")</f>
        <v>Ознакомиться</v>
      </c>
      <c r="W5032" s="8" t="s">
        <v>1651</v>
      </c>
      <c r="X5032" s="6"/>
      <c r="Y5032" s="6"/>
      <c r="Z5032" s="6"/>
      <c r="AA5032" s="6" t="s">
        <v>513</v>
      </c>
      <c r="AB5032" s="8"/>
    </row>
    <row r="5033" spans="1:28" s="4" customFormat="1" ht="51.95" customHeight="1">
      <c r="A5033" s="5">
        <v>0</v>
      </c>
      <c r="B5033" s="6" t="s">
        <v>29664</v>
      </c>
      <c r="C5033" s="7">
        <v>924.9</v>
      </c>
      <c r="D5033" s="8" t="s">
        <v>29665</v>
      </c>
      <c r="E5033" s="8" t="s">
        <v>29666</v>
      </c>
      <c r="F5033" s="8" t="s">
        <v>25665</v>
      </c>
      <c r="G5033" s="6" t="s">
        <v>52</v>
      </c>
      <c r="H5033" s="6" t="s">
        <v>53</v>
      </c>
      <c r="I5033" s="8" t="s">
        <v>100</v>
      </c>
      <c r="J5033" s="9">
        <v>1</v>
      </c>
      <c r="K5033" s="9">
        <v>271</v>
      </c>
      <c r="L5033" s="9">
        <v>2019</v>
      </c>
      <c r="M5033" s="8" t="s">
        <v>29667</v>
      </c>
      <c r="N5033" s="8" t="s">
        <v>79</v>
      </c>
      <c r="O5033" s="8" t="s">
        <v>148</v>
      </c>
      <c r="P5033" s="6" t="s">
        <v>167</v>
      </c>
      <c r="Q5033" s="8" t="s">
        <v>102</v>
      </c>
      <c r="R5033" s="10" t="s">
        <v>29662</v>
      </c>
      <c r="S5033" s="11"/>
      <c r="T5033" s="6"/>
      <c r="U5033" s="24" t="str">
        <f>HYPERLINK("https://media.infra-m.ru/0994/0994459/cover/994459.jpg", "Обложка")</f>
        <v>Обложка</v>
      </c>
      <c r="V5033" s="24" t="str">
        <f>HYPERLINK("https://znanium.ru/catalog/product/2170453", "Ознакомиться")</f>
        <v>Ознакомиться</v>
      </c>
      <c r="W5033" s="8" t="s">
        <v>1651</v>
      </c>
      <c r="X5033" s="6"/>
      <c r="Y5033" s="6"/>
      <c r="Z5033" s="6"/>
      <c r="AA5033" s="6" t="s">
        <v>111</v>
      </c>
      <c r="AB5033" s="8"/>
    </row>
    <row r="5034" spans="1:28" s="4" customFormat="1" ht="42" customHeight="1">
      <c r="A5034" s="5">
        <v>0</v>
      </c>
      <c r="B5034" s="6" t="s">
        <v>29668</v>
      </c>
      <c r="C5034" s="13">
        <v>1270</v>
      </c>
      <c r="D5034" s="8" t="s">
        <v>29669</v>
      </c>
      <c r="E5034" s="8" t="s">
        <v>29670</v>
      </c>
      <c r="F5034" s="8" t="s">
        <v>29671</v>
      </c>
      <c r="G5034" s="6" t="s">
        <v>89</v>
      </c>
      <c r="H5034" s="6" t="s">
        <v>53</v>
      </c>
      <c r="I5034" s="8" t="s">
        <v>116</v>
      </c>
      <c r="J5034" s="9">
        <v>1</v>
      </c>
      <c r="K5034" s="9">
        <v>254</v>
      </c>
      <c r="L5034" s="9">
        <v>2025</v>
      </c>
      <c r="M5034" s="8" t="s">
        <v>29672</v>
      </c>
      <c r="N5034" s="8" t="s">
        <v>79</v>
      </c>
      <c r="O5034" s="8" t="s">
        <v>396</v>
      </c>
      <c r="P5034" s="6" t="s">
        <v>167</v>
      </c>
      <c r="Q5034" s="8" t="s">
        <v>44</v>
      </c>
      <c r="R5034" s="10" t="s">
        <v>6409</v>
      </c>
      <c r="S5034" s="11"/>
      <c r="T5034" s="6"/>
      <c r="U5034" s="24" t="str">
        <f>HYPERLINK("https://media.infra-m.ru/2163/2163772/cover/2163772.jpg", "Обложка")</f>
        <v>Обложка</v>
      </c>
      <c r="V5034" s="24" t="str">
        <f>HYPERLINK("https://znanium.ru/catalog/product/2163772", "Ознакомиться")</f>
        <v>Ознакомиться</v>
      </c>
      <c r="W5034" s="8" t="s">
        <v>15666</v>
      </c>
      <c r="X5034" s="6"/>
      <c r="Y5034" s="6"/>
      <c r="Z5034" s="6"/>
      <c r="AA5034" s="6" t="s">
        <v>133</v>
      </c>
      <c r="AB5034" s="8"/>
    </row>
    <row r="5035" spans="1:28" s="4" customFormat="1" ht="51.95" customHeight="1">
      <c r="A5035" s="5">
        <v>0</v>
      </c>
      <c r="B5035" s="6" t="s">
        <v>29673</v>
      </c>
      <c r="C5035" s="7">
        <v>680</v>
      </c>
      <c r="D5035" s="8" t="s">
        <v>29674</v>
      </c>
      <c r="E5035" s="8" t="s">
        <v>29675</v>
      </c>
      <c r="F5035" s="8" t="s">
        <v>29676</v>
      </c>
      <c r="G5035" s="6" t="s">
        <v>89</v>
      </c>
      <c r="H5035" s="6" t="s">
        <v>53</v>
      </c>
      <c r="I5035" s="8" t="s">
        <v>90</v>
      </c>
      <c r="J5035" s="9">
        <v>1</v>
      </c>
      <c r="K5035" s="9">
        <v>170</v>
      </c>
      <c r="L5035" s="9">
        <v>2022</v>
      </c>
      <c r="M5035" s="8" t="s">
        <v>29677</v>
      </c>
      <c r="N5035" s="8" t="s">
        <v>41</v>
      </c>
      <c r="O5035" s="8" t="s">
        <v>676</v>
      </c>
      <c r="P5035" s="6" t="s">
        <v>43</v>
      </c>
      <c r="Q5035" s="8" t="s">
        <v>44</v>
      </c>
      <c r="R5035" s="10" t="s">
        <v>29678</v>
      </c>
      <c r="S5035" s="11" t="s">
        <v>19182</v>
      </c>
      <c r="T5035" s="6" t="s">
        <v>299</v>
      </c>
      <c r="U5035" s="24" t="str">
        <f>HYPERLINK("https://media.infra-m.ru/1863/1863279/cover/1863279.jpg", "Обложка")</f>
        <v>Обложка</v>
      </c>
      <c r="V5035" s="24" t="str">
        <f>HYPERLINK("https://znanium.ru/catalog/product/1863279", "Ознакомиться")</f>
        <v>Ознакомиться</v>
      </c>
      <c r="W5035" s="8" t="s">
        <v>3226</v>
      </c>
      <c r="X5035" s="6"/>
      <c r="Y5035" s="6"/>
      <c r="Z5035" s="6"/>
      <c r="AA5035" s="6" t="s">
        <v>151</v>
      </c>
      <c r="AB5035" s="8"/>
    </row>
    <row r="5036" spans="1:28" s="4" customFormat="1" ht="51.95" customHeight="1">
      <c r="A5036" s="5">
        <v>0</v>
      </c>
      <c r="B5036" s="6" t="s">
        <v>29679</v>
      </c>
      <c r="C5036" s="13">
        <v>1180</v>
      </c>
      <c r="D5036" s="8" t="s">
        <v>29680</v>
      </c>
      <c r="E5036" s="8" t="s">
        <v>29681</v>
      </c>
      <c r="F5036" s="8" t="s">
        <v>29682</v>
      </c>
      <c r="G5036" s="6" t="s">
        <v>89</v>
      </c>
      <c r="H5036" s="6" t="s">
        <v>53</v>
      </c>
      <c r="I5036" s="8" t="s">
        <v>100</v>
      </c>
      <c r="J5036" s="9">
        <v>1</v>
      </c>
      <c r="K5036" s="9">
        <v>236</v>
      </c>
      <c r="L5036" s="9">
        <v>2025</v>
      </c>
      <c r="M5036" s="8" t="s">
        <v>29683</v>
      </c>
      <c r="N5036" s="8" t="s">
        <v>79</v>
      </c>
      <c r="O5036" s="8" t="s">
        <v>148</v>
      </c>
      <c r="P5036" s="6" t="s">
        <v>43</v>
      </c>
      <c r="Q5036" s="8" t="s">
        <v>102</v>
      </c>
      <c r="R5036" s="10" t="s">
        <v>29684</v>
      </c>
      <c r="S5036" s="11" t="s">
        <v>29685</v>
      </c>
      <c r="T5036" s="6"/>
      <c r="U5036" s="24" t="str">
        <f>HYPERLINK("https://media.infra-m.ru/2143/2143480/cover/2143480.jpg", "Обложка")</f>
        <v>Обложка</v>
      </c>
      <c r="V5036" s="24" t="str">
        <f>HYPERLINK("https://znanium.ru/catalog/product/2143480", "Ознакомиться")</f>
        <v>Ознакомиться</v>
      </c>
      <c r="W5036" s="8" t="s">
        <v>5345</v>
      </c>
      <c r="X5036" s="6"/>
      <c r="Y5036" s="6"/>
      <c r="Z5036" s="6"/>
      <c r="AA5036" s="6" t="s">
        <v>1259</v>
      </c>
      <c r="AB5036" s="8"/>
    </row>
    <row r="5037" spans="1:28" s="4" customFormat="1" ht="51.95" customHeight="1">
      <c r="A5037" s="5">
        <v>0</v>
      </c>
      <c r="B5037" s="6" t="s">
        <v>29686</v>
      </c>
      <c r="C5037" s="13">
        <v>1610</v>
      </c>
      <c r="D5037" s="8" t="s">
        <v>29687</v>
      </c>
      <c r="E5037" s="8" t="s">
        <v>29688</v>
      </c>
      <c r="F5037" s="8" t="s">
        <v>29689</v>
      </c>
      <c r="G5037" s="6" t="s">
        <v>89</v>
      </c>
      <c r="H5037" s="6" t="s">
        <v>53</v>
      </c>
      <c r="I5037" s="8" t="s">
        <v>276</v>
      </c>
      <c r="J5037" s="9">
        <v>1</v>
      </c>
      <c r="K5037" s="9">
        <v>350</v>
      </c>
      <c r="L5037" s="9">
        <v>2023</v>
      </c>
      <c r="M5037" s="8" t="s">
        <v>29690</v>
      </c>
      <c r="N5037" s="8" t="s">
        <v>79</v>
      </c>
      <c r="O5037" s="8" t="s">
        <v>148</v>
      </c>
      <c r="P5037" s="6" t="s">
        <v>43</v>
      </c>
      <c r="Q5037" s="8" t="s">
        <v>279</v>
      </c>
      <c r="R5037" s="10" t="s">
        <v>29691</v>
      </c>
      <c r="S5037" s="11" t="s">
        <v>29692</v>
      </c>
      <c r="T5037" s="6"/>
      <c r="U5037" s="24" t="str">
        <f>HYPERLINK("https://media.infra-m.ru/1960/1960098/cover/1960098.jpg", "Обложка")</f>
        <v>Обложка</v>
      </c>
      <c r="V5037" s="24" t="str">
        <f>HYPERLINK("https://znanium.ru/catalog/product/1960098", "Ознакомиться")</f>
        <v>Ознакомиться</v>
      </c>
      <c r="W5037" s="8" t="s">
        <v>6779</v>
      </c>
      <c r="X5037" s="6"/>
      <c r="Y5037" s="6"/>
      <c r="Z5037" s="6"/>
      <c r="AA5037" s="6" t="s">
        <v>258</v>
      </c>
      <c r="AB5037" s="8"/>
    </row>
    <row r="5038" spans="1:28" s="4" customFormat="1" ht="51.95" customHeight="1">
      <c r="A5038" s="5">
        <v>0</v>
      </c>
      <c r="B5038" s="6" t="s">
        <v>29693</v>
      </c>
      <c r="C5038" s="13">
        <v>1424</v>
      </c>
      <c r="D5038" s="8" t="s">
        <v>29694</v>
      </c>
      <c r="E5038" s="8" t="s">
        <v>29695</v>
      </c>
      <c r="F5038" s="8" t="s">
        <v>6291</v>
      </c>
      <c r="G5038" s="6" t="s">
        <v>38</v>
      </c>
      <c r="H5038" s="6" t="s">
        <v>53</v>
      </c>
      <c r="I5038" s="8" t="s">
        <v>100</v>
      </c>
      <c r="J5038" s="9">
        <v>1</v>
      </c>
      <c r="K5038" s="9">
        <v>132</v>
      </c>
      <c r="L5038" s="9">
        <v>2025</v>
      </c>
      <c r="M5038" s="8" t="s">
        <v>29696</v>
      </c>
      <c r="N5038" s="8" t="s">
        <v>79</v>
      </c>
      <c r="O5038" s="8" t="s">
        <v>148</v>
      </c>
      <c r="P5038" s="6" t="s">
        <v>43</v>
      </c>
      <c r="Q5038" s="8" t="s">
        <v>102</v>
      </c>
      <c r="R5038" s="10" t="s">
        <v>29697</v>
      </c>
      <c r="S5038" s="11" t="s">
        <v>29698</v>
      </c>
      <c r="T5038" s="6"/>
      <c r="U5038" s="24" t="str">
        <f>HYPERLINK("https://media.infra-m.ru/2201/2201174/cover/2201174.jpg", "Обложка")</f>
        <v>Обложка</v>
      </c>
      <c r="V5038" s="24" t="str">
        <f>HYPERLINK("https://znanium.ru/catalog/product/2173638", "Ознакомиться")</f>
        <v>Ознакомиться</v>
      </c>
      <c r="W5038" s="8" t="s">
        <v>6282</v>
      </c>
      <c r="X5038" s="6"/>
      <c r="Y5038" s="6"/>
      <c r="Z5038" s="6"/>
      <c r="AA5038" s="6" t="s">
        <v>1461</v>
      </c>
      <c r="AB5038" s="8"/>
    </row>
    <row r="5039" spans="1:28" s="4" customFormat="1" ht="51.95" customHeight="1">
      <c r="A5039" s="5">
        <v>0</v>
      </c>
      <c r="B5039" s="6" t="s">
        <v>29699</v>
      </c>
      <c r="C5039" s="13">
        <v>1954</v>
      </c>
      <c r="D5039" s="8" t="s">
        <v>29700</v>
      </c>
      <c r="E5039" s="8" t="s">
        <v>29701</v>
      </c>
      <c r="F5039" s="8" t="s">
        <v>29702</v>
      </c>
      <c r="G5039" s="6" t="s">
        <v>52</v>
      </c>
      <c r="H5039" s="6" t="s">
        <v>53</v>
      </c>
      <c r="I5039" s="8" t="s">
        <v>90</v>
      </c>
      <c r="J5039" s="9">
        <v>1</v>
      </c>
      <c r="K5039" s="9">
        <v>375</v>
      </c>
      <c r="L5039" s="9">
        <v>2025</v>
      </c>
      <c r="M5039" s="8" t="s">
        <v>29703</v>
      </c>
      <c r="N5039" s="8" t="s">
        <v>79</v>
      </c>
      <c r="O5039" s="8" t="s">
        <v>424</v>
      </c>
      <c r="P5039" s="6" t="s">
        <v>167</v>
      </c>
      <c r="Q5039" s="8" t="s">
        <v>44</v>
      </c>
      <c r="R5039" s="10" t="s">
        <v>5274</v>
      </c>
      <c r="S5039" s="11" t="s">
        <v>5109</v>
      </c>
      <c r="T5039" s="6"/>
      <c r="U5039" s="24" t="str">
        <f>HYPERLINK("https://media.infra-m.ru/2192/2192420/cover/2192420.jpg", "Обложка")</f>
        <v>Обложка</v>
      </c>
      <c r="V5039" s="24" t="str">
        <f>HYPERLINK("https://znanium.ru/catalog/product/989519", "Ознакомиться")</f>
        <v>Ознакомиться</v>
      </c>
      <c r="W5039" s="8" t="s">
        <v>14403</v>
      </c>
      <c r="X5039" s="6"/>
      <c r="Y5039" s="6"/>
      <c r="Z5039" s="6"/>
      <c r="AA5039" s="6" t="s">
        <v>442</v>
      </c>
      <c r="AB5039" s="8"/>
    </row>
    <row r="5040" spans="1:28" s="4" customFormat="1" ht="51.95" customHeight="1">
      <c r="A5040" s="5">
        <v>0</v>
      </c>
      <c r="B5040" s="6" t="s">
        <v>29704</v>
      </c>
      <c r="C5040" s="13">
        <v>1660</v>
      </c>
      <c r="D5040" s="8" t="s">
        <v>29705</v>
      </c>
      <c r="E5040" s="8" t="s">
        <v>29701</v>
      </c>
      <c r="F5040" s="8" t="s">
        <v>29706</v>
      </c>
      <c r="G5040" s="6" t="s">
        <v>89</v>
      </c>
      <c r="H5040" s="6" t="s">
        <v>53</v>
      </c>
      <c r="I5040" s="8" t="s">
        <v>100</v>
      </c>
      <c r="J5040" s="9">
        <v>1</v>
      </c>
      <c r="K5040" s="9">
        <v>320</v>
      </c>
      <c r="L5040" s="9">
        <v>2025</v>
      </c>
      <c r="M5040" s="8" t="s">
        <v>29707</v>
      </c>
      <c r="N5040" s="8" t="s">
        <v>79</v>
      </c>
      <c r="O5040" s="8" t="s">
        <v>148</v>
      </c>
      <c r="P5040" s="6" t="s">
        <v>167</v>
      </c>
      <c r="Q5040" s="8" t="s">
        <v>102</v>
      </c>
      <c r="R5040" s="10" t="s">
        <v>29708</v>
      </c>
      <c r="S5040" s="11" t="s">
        <v>29709</v>
      </c>
      <c r="T5040" s="6"/>
      <c r="U5040" s="24" t="str">
        <f>HYPERLINK("https://media.infra-m.ru/2197/2197610/cover/2197610.jpg", "Обложка")</f>
        <v>Обложка</v>
      </c>
      <c r="V5040" s="24" t="str">
        <f>HYPERLINK("https://znanium.ru/catalog/product/2197610", "Ознакомиться")</f>
        <v>Ознакомиться</v>
      </c>
      <c r="W5040" s="8" t="s">
        <v>399</v>
      </c>
      <c r="X5040" s="6"/>
      <c r="Y5040" s="6"/>
      <c r="Z5040" s="6"/>
      <c r="AA5040" s="6" t="s">
        <v>2217</v>
      </c>
      <c r="AB5040" s="8"/>
    </row>
    <row r="5041" spans="1:28" s="4" customFormat="1" ht="51.95" customHeight="1">
      <c r="A5041" s="5">
        <v>0</v>
      </c>
      <c r="B5041" s="6" t="s">
        <v>29710</v>
      </c>
      <c r="C5041" s="13">
        <v>2230</v>
      </c>
      <c r="D5041" s="8" t="s">
        <v>29711</v>
      </c>
      <c r="E5041" s="8" t="s">
        <v>29701</v>
      </c>
      <c r="F5041" s="8" t="s">
        <v>29712</v>
      </c>
      <c r="G5041" s="6" t="s">
        <v>52</v>
      </c>
      <c r="H5041" s="6" t="s">
        <v>53</v>
      </c>
      <c r="I5041" s="8" t="s">
        <v>212</v>
      </c>
      <c r="J5041" s="9">
        <v>1</v>
      </c>
      <c r="K5041" s="9">
        <v>486</v>
      </c>
      <c r="L5041" s="9">
        <v>2024</v>
      </c>
      <c r="M5041" s="8" t="s">
        <v>29713</v>
      </c>
      <c r="N5041" s="8" t="s">
        <v>79</v>
      </c>
      <c r="O5041" s="8" t="s">
        <v>148</v>
      </c>
      <c r="P5041" s="6" t="s">
        <v>167</v>
      </c>
      <c r="Q5041" s="8" t="s">
        <v>214</v>
      </c>
      <c r="R5041" s="10" t="s">
        <v>29714</v>
      </c>
      <c r="S5041" s="11" t="s">
        <v>29715</v>
      </c>
      <c r="T5041" s="6"/>
      <c r="U5041" s="24" t="str">
        <f>HYPERLINK("https://media.infra-m.ru/2099/2099042/cover/2099042.jpg", "Обложка")</f>
        <v>Обложка</v>
      </c>
      <c r="V5041" s="24" t="str">
        <f>HYPERLINK("https://znanium.ru/catalog/product/2099042", "Ознакомиться")</f>
        <v>Ознакомиться</v>
      </c>
      <c r="W5041" s="8" t="s">
        <v>8022</v>
      </c>
      <c r="X5041" s="6"/>
      <c r="Y5041" s="6"/>
      <c r="Z5041" s="6"/>
      <c r="AA5041" s="6" t="s">
        <v>235</v>
      </c>
      <c r="AB5041" s="8"/>
    </row>
    <row r="5042" spans="1:28" s="4" customFormat="1" ht="51.95" customHeight="1">
      <c r="A5042" s="5">
        <v>0</v>
      </c>
      <c r="B5042" s="6" t="s">
        <v>29716</v>
      </c>
      <c r="C5042" s="13">
        <v>1724.9</v>
      </c>
      <c r="D5042" s="8" t="s">
        <v>29717</v>
      </c>
      <c r="E5042" s="8" t="s">
        <v>29701</v>
      </c>
      <c r="F5042" s="8" t="s">
        <v>15028</v>
      </c>
      <c r="G5042" s="6" t="s">
        <v>52</v>
      </c>
      <c r="H5042" s="6" t="s">
        <v>184</v>
      </c>
      <c r="I5042" s="8" t="s">
        <v>116</v>
      </c>
      <c r="J5042" s="9">
        <v>1</v>
      </c>
      <c r="K5042" s="9">
        <v>384</v>
      </c>
      <c r="L5042" s="9">
        <v>2023</v>
      </c>
      <c r="M5042" s="8" t="s">
        <v>29718</v>
      </c>
      <c r="N5042" s="8" t="s">
        <v>79</v>
      </c>
      <c r="O5042" s="8" t="s">
        <v>148</v>
      </c>
      <c r="P5042" s="6" t="s">
        <v>43</v>
      </c>
      <c r="Q5042" s="8" t="s">
        <v>44</v>
      </c>
      <c r="R5042" s="10" t="s">
        <v>7747</v>
      </c>
      <c r="S5042" s="11" t="s">
        <v>15031</v>
      </c>
      <c r="T5042" s="6"/>
      <c r="U5042" s="24" t="str">
        <f>HYPERLINK("https://media.infra-m.ru/1841/1841427/cover/1841427.jpg", "Обложка")</f>
        <v>Обложка</v>
      </c>
      <c r="V5042" s="24" t="str">
        <f>HYPERLINK("https://znanium.ru/catalog/product/1072291", "Ознакомиться")</f>
        <v>Ознакомиться</v>
      </c>
      <c r="W5042" s="8" t="s">
        <v>427</v>
      </c>
      <c r="X5042" s="6"/>
      <c r="Y5042" s="6"/>
      <c r="Z5042" s="6"/>
      <c r="AA5042" s="6" t="s">
        <v>72</v>
      </c>
      <c r="AB5042" s="8"/>
    </row>
    <row r="5043" spans="1:28" s="4" customFormat="1" ht="51.95" customHeight="1">
      <c r="A5043" s="5">
        <v>0</v>
      </c>
      <c r="B5043" s="6" t="s">
        <v>29719</v>
      </c>
      <c r="C5043" s="13">
        <v>1920</v>
      </c>
      <c r="D5043" s="8" t="s">
        <v>29720</v>
      </c>
      <c r="E5043" s="8" t="s">
        <v>29701</v>
      </c>
      <c r="F5043" s="8" t="s">
        <v>29689</v>
      </c>
      <c r="G5043" s="6" t="s">
        <v>89</v>
      </c>
      <c r="H5043" s="6" t="s">
        <v>53</v>
      </c>
      <c r="I5043" s="8" t="s">
        <v>100</v>
      </c>
      <c r="J5043" s="9">
        <v>1</v>
      </c>
      <c r="K5043" s="9">
        <v>376</v>
      </c>
      <c r="L5043" s="9">
        <v>2025</v>
      </c>
      <c r="M5043" s="8" t="s">
        <v>29721</v>
      </c>
      <c r="N5043" s="8" t="s">
        <v>79</v>
      </c>
      <c r="O5043" s="8" t="s">
        <v>148</v>
      </c>
      <c r="P5043" s="6" t="s">
        <v>43</v>
      </c>
      <c r="Q5043" s="8" t="s">
        <v>102</v>
      </c>
      <c r="R5043" s="10" t="s">
        <v>29722</v>
      </c>
      <c r="S5043" s="11" t="s">
        <v>25028</v>
      </c>
      <c r="T5043" s="6"/>
      <c r="U5043" s="24" t="str">
        <f>HYPERLINK("https://media.infra-m.ru/2185/2185382/cover/2185382.jpg", "Обложка")</f>
        <v>Обложка</v>
      </c>
      <c r="V5043" s="24" t="str">
        <f>HYPERLINK("https://znanium.ru/catalog/product/2185382", "Ознакомиться")</f>
        <v>Ознакомиться</v>
      </c>
      <c r="W5043" s="8" t="s">
        <v>6779</v>
      </c>
      <c r="X5043" s="6"/>
      <c r="Y5043" s="6"/>
      <c r="Z5043" s="6"/>
      <c r="AA5043" s="6" t="s">
        <v>258</v>
      </c>
      <c r="AB5043" s="8"/>
    </row>
    <row r="5044" spans="1:28" s="4" customFormat="1" ht="51.95" customHeight="1">
      <c r="A5044" s="5">
        <v>0</v>
      </c>
      <c r="B5044" s="6" t="s">
        <v>29723</v>
      </c>
      <c r="C5044" s="13">
        <v>1040</v>
      </c>
      <c r="D5044" s="8" t="s">
        <v>29724</v>
      </c>
      <c r="E5044" s="8" t="s">
        <v>29725</v>
      </c>
      <c r="F5044" s="8" t="s">
        <v>26173</v>
      </c>
      <c r="G5044" s="6" t="s">
        <v>89</v>
      </c>
      <c r="H5044" s="6" t="s">
        <v>53</v>
      </c>
      <c r="I5044" s="8" t="s">
        <v>90</v>
      </c>
      <c r="J5044" s="9">
        <v>1</v>
      </c>
      <c r="K5044" s="9">
        <v>224</v>
      </c>
      <c r="L5044" s="9">
        <v>2023</v>
      </c>
      <c r="M5044" s="8" t="s">
        <v>29726</v>
      </c>
      <c r="N5044" s="8" t="s">
        <v>79</v>
      </c>
      <c r="O5044" s="8" t="s">
        <v>684</v>
      </c>
      <c r="P5044" s="6" t="s">
        <v>43</v>
      </c>
      <c r="Q5044" s="8" t="s">
        <v>44</v>
      </c>
      <c r="R5044" s="10" t="s">
        <v>29727</v>
      </c>
      <c r="S5044" s="11" t="s">
        <v>29728</v>
      </c>
      <c r="T5044" s="6"/>
      <c r="U5044" s="24" t="str">
        <f>HYPERLINK("https://media.infra-m.ru/2125/2125927/cover/2125927.jpg", "Обложка")</f>
        <v>Обложка</v>
      </c>
      <c r="V5044" s="24" t="str">
        <f>HYPERLINK("https://znanium.ru/catalog/product/2125927", "Ознакомиться")</f>
        <v>Ознакомиться</v>
      </c>
      <c r="W5044" s="8" t="s">
        <v>637</v>
      </c>
      <c r="X5044" s="6"/>
      <c r="Y5044" s="6"/>
      <c r="Z5044" s="6"/>
      <c r="AA5044" s="6" t="s">
        <v>95</v>
      </c>
      <c r="AB5044" s="8"/>
    </row>
    <row r="5045" spans="1:28" s="4" customFormat="1" ht="51.95" customHeight="1">
      <c r="A5045" s="5">
        <v>0</v>
      </c>
      <c r="B5045" s="6" t="s">
        <v>29729</v>
      </c>
      <c r="C5045" s="13">
        <v>1034</v>
      </c>
      <c r="D5045" s="8" t="s">
        <v>29730</v>
      </c>
      <c r="E5045" s="8" t="s">
        <v>29725</v>
      </c>
      <c r="F5045" s="8" t="s">
        <v>26173</v>
      </c>
      <c r="G5045" s="6" t="s">
        <v>52</v>
      </c>
      <c r="H5045" s="6" t="s">
        <v>53</v>
      </c>
      <c r="I5045" s="8" t="s">
        <v>100</v>
      </c>
      <c r="J5045" s="9">
        <v>1</v>
      </c>
      <c r="K5045" s="9">
        <v>224</v>
      </c>
      <c r="L5045" s="9">
        <v>2024</v>
      </c>
      <c r="M5045" s="8" t="s">
        <v>29731</v>
      </c>
      <c r="N5045" s="8" t="s">
        <v>79</v>
      </c>
      <c r="O5045" s="8" t="s">
        <v>684</v>
      </c>
      <c r="P5045" s="6" t="s">
        <v>43</v>
      </c>
      <c r="Q5045" s="8" t="s">
        <v>102</v>
      </c>
      <c r="R5045" s="10" t="s">
        <v>29732</v>
      </c>
      <c r="S5045" s="11" t="s">
        <v>29733</v>
      </c>
      <c r="T5045" s="6"/>
      <c r="U5045" s="24" t="str">
        <f>HYPERLINK("https://media.infra-m.ru/2110/2110951/cover/2110951.jpg", "Обложка")</f>
        <v>Обложка</v>
      </c>
      <c r="V5045" s="24" t="str">
        <f>HYPERLINK("https://znanium.ru/catalog/product/1406645", "Ознакомиться")</f>
        <v>Ознакомиться</v>
      </c>
      <c r="W5045" s="8" t="s">
        <v>637</v>
      </c>
      <c r="X5045" s="6"/>
      <c r="Y5045" s="6"/>
      <c r="Z5045" s="6" t="s">
        <v>104</v>
      </c>
      <c r="AA5045" s="6" t="s">
        <v>95</v>
      </c>
      <c r="AB5045" s="8"/>
    </row>
    <row r="5046" spans="1:28" s="4" customFormat="1" ht="51.95" customHeight="1">
      <c r="A5046" s="5">
        <v>0</v>
      </c>
      <c r="B5046" s="6" t="s">
        <v>29734</v>
      </c>
      <c r="C5046" s="13">
        <v>1924</v>
      </c>
      <c r="D5046" s="8" t="s">
        <v>29735</v>
      </c>
      <c r="E5046" s="8" t="s">
        <v>29736</v>
      </c>
      <c r="F5046" s="8" t="s">
        <v>29737</v>
      </c>
      <c r="G5046" s="6" t="s">
        <v>52</v>
      </c>
      <c r="H5046" s="6" t="s">
        <v>39</v>
      </c>
      <c r="I5046" s="8" t="s">
        <v>90</v>
      </c>
      <c r="J5046" s="9">
        <v>1</v>
      </c>
      <c r="K5046" s="9">
        <v>384</v>
      </c>
      <c r="L5046" s="9">
        <v>2025</v>
      </c>
      <c r="M5046" s="8" t="s">
        <v>29738</v>
      </c>
      <c r="N5046" s="8" t="s">
        <v>79</v>
      </c>
      <c r="O5046" s="8" t="s">
        <v>396</v>
      </c>
      <c r="P5046" s="6" t="s">
        <v>43</v>
      </c>
      <c r="Q5046" s="8" t="s">
        <v>44</v>
      </c>
      <c r="R5046" s="10" t="s">
        <v>29739</v>
      </c>
      <c r="S5046" s="11" t="s">
        <v>29740</v>
      </c>
      <c r="T5046" s="6"/>
      <c r="U5046" s="24" t="str">
        <f>HYPERLINK("https://media.infra-m.ru/2184/2184914/cover/2184914.jpg", "Обложка")</f>
        <v>Обложка</v>
      </c>
      <c r="V5046" s="24" t="str">
        <f>HYPERLINK("https://znanium.ru/catalog/product/1212522", "Ознакомиться")</f>
        <v>Ознакомиться</v>
      </c>
      <c r="W5046" s="8" t="s">
        <v>1571</v>
      </c>
      <c r="X5046" s="6"/>
      <c r="Y5046" s="6"/>
      <c r="Z5046" s="6"/>
      <c r="AA5046" s="6" t="s">
        <v>84</v>
      </c>
      <c r="AB5046" s="8"/>
    </row>
    <row r="5047" spans="1:28" s="4" customFormat="1" ht="51.95" customHeight="1">
      <c r="A5047" s="5">
        <v>0</v>
      </c>
      <c r="B5047" s="6" t="s">
        <v>29741</v>
      </c>
      <c r="C5047" s="13">
        <v>1550</v>
      </c>
      <c r="D5047" s="8" t="s">
        <v>29742</v>
      </c>
      <c r="E5047" s="8" t="s">
        <v>29743</v>
      </c>
      <c r="F5047" s="8" t="s">
        <v>29744</v>
      </c>
      <c r="G5047" s="6" t="s">
        <v>89</v>
      </c>
      <c r="H5047" s="6" t="s">
        <v>53</v>
      </c>
      <c r="I5047" s="8" t="s">
        <v>100</v>
      </c>
      <c r="J5047" s="9">
        <v>1</v>
      </c>
      <c r="K5047" s="9">
        <v>338</v>
      </c>
      <c r="L5047" s="9">
        <v>2023</v>
      </c>
      <c r="M5047" s="8" t="s">
        <v>29745</v>
      </c>
      <c r="N5047" s="8" t="s">
        <v>79</v>
      </c>
      <c r="O5047" s="8" t="s">
        <v>424</v>
      </c>
      <c r="P5047" s="6" t="s">
        <v>167</v>
      </c>
      <c r="Q5047" s="8" t="s">
        <v>102</v>
      </c>
      <c r="R5047" s="10" t="s">
        <v>29746</v>
      </c>
      <c r="S5047" s="11" t="s">
        <v>17060</v>
      </c>
      <c r="T5047" s="6"/>
      <c r="U5047" s="24" t="str">
        <f>HYPERLINK("https://media.infra-m.ru/1989/1989252/cover/1989252.jpg", "Обложка")</f>
        <v>Обложка</v>
      </c>
      <c r="V5047" s="24" t="str">
        <f>HYPERLINK("https://znanium.ru/catalog/product/2096290", "Ознакомиться")</f>
        <v>Ознакомиться</v>
      </c>
      <c r="W5047" s="8"/>
      <c r="X5047" s="6"/>
      <c r="Y5047" s="6" t="s">
        <v>30</v>
      </c>
      <c r="Z5047" s="6"/>
      <c r="AA5047" s="6" t="s">
        <v>326</v>
      </c>
      <c r="AB5047" s="8"/>
    </row>
    <row r="5048" spans="1:28" s="4" customFormat="1" ht="51.95" customHeight="1">
      <c r="A5048" s="5">
        <v>0</v>
      </c>
      <c r="B5048" s="6" t="s">
        <v>29747</v>
      </c>
      <c r="C5048" s="13">
        <v>1624.9</v>
      </c>
      <c r="D5048" s="8" t="s">
        <v>29748</v>
      </c>
      <c r="E5048" s="8" t="s">
        <v>29749</v>
      </c>
      <c r="F5048" s="8" t="s">
        <v>25090</v>
      </c>
      <c r="G5048" s="6" t="s">
        <v>89</v>
      </c>
      <c r="H5048" s="6" t="s">
        <v>53</v>
      </c>
      <c r="I5048" s="8" t="s">
        <v>2048</v>
      </c>
      <c r="J5048" s="9">
        <v>1</v>
      </c>
      <c r="K5048" s="9">
        <v>360</v>
      </c>
      <c r="L5048" s="9">
        <v>2023</v>
      </c>
      <c r="M5048" s="8" t="s">
        <v>29750</v>
      </c>
      <c r="N5048" s="8" t="s">
        <v>79</v>
      </c>
      <c r="O5048" s="8" t="s">
        <v>424</v>
      </c>
      <c r="P5048" s="6" t="s">
        <v>43</v>
      </c>
      <c r="Q5048" s="8" t="s">
        <v>58</v>
      </c>
      <c r="R5048" s="10" t="s">
        <v>29751</v>
      </c>
      <c r="S5048" s="11" t="s">
        <v>29752</v>
      </c>
      <c r="T5048" s="6" t="s">
        <v>299</v>
      </c>
      <c r="U5048" s="24" t="str">
        <f>HYPERLINK("https://media.infra-m.ru/1895/1895496/cover/1895496.jpg", "Обложка")</f>
        <v>Обложка</v>
      </c>
      <c r="V5048" s="24" t="str">
        <f>HYPERLINK("https://znanium.ru/catalog/product/1895496", "Ознакомиться")</f>
        <v>Ознакомиться</v>
      </c>
      <c r="W5048" s="8" t="s">
        <v>462</v>
      </c>
      <c r="X5048" s="6"/>
      <c r="Y5048" s="6"/>
      <c r="Z5048" s="6"/>
      <c r="AA5048" s="6" t="s">
        <v>258</v>
      </c>
      <c r="AB5048" s="8"/>
    </row>
    <row r="5049" spans="1:28" s="4" customFormat="1" ht="51.95" customHeight="1">
      <c r="A5049" s="5">
        <v>0</v>
      </c>
      <c r="B5049" s="6" t="s">
        <v>29753</v>
      </c>
      <c r="C5049" s="13">
        <v>1794</v>
      </c>
      <c r="D5049" s="8" t="s">
        <v>29754</v>
      </c>
      <c r="E5049" s="8" t="s">
        <v>29749</v>
      </c>
      <c r="F5049" s="8" t="s">
        <v>25090</v>
      </c>
      <c r="G5049" s="6" t="s">
        <v>89</v>
      </c>
      <c r="H5049" s="6" t="s">
        <v>53</v>
      </c>
      <c r="I5049" s="8" t="s">
        <v>100</v>
      </c>
      <c r="J5049" s="9">
        <v>1</v>
      </c>
      <c r="K5049" s="9">
        <v>359</v>
      </c>
      <c r="L5049" s="9">
        <v>2025</v>
      </c>
      <c r="M5049" s="8" t="s">
        <v>29755</v>
      </c>
      <c r="N5049" s="8" t="s">
        <v>79</v>
      </c>
      <c r="O5049" s="8" t="s">
        <v>424</v>
      </c>
      <c r="P5049" s="6" t="s">
        <v>43</v>
      </c>
      <c r="Q5049" s="8" t="s">
        <v>102</v>
      </c>
      <c r="R5049" s="10" t="s">
        <v>29756</v>
      </c>
      <c r="S5049" s="11" t="s">
        <v>29757</v>
      </c>
      <c r="T5049" s="6"/>
      <c r="U5049" s="24" t="str">
        <f>HYPERLINK("https://media.infra-m.ru/2182/2182622/cover/2182622.jpg", "Обложка")</f>
        <v>Обложка</v>
      </c>
      <c r="V5049" s="24" t="str">
        <f>HYPERLINK("https://znanium.ru/catalog/product/1860099", "Ознакомиться")</f>
        <v>Ознакомиться</v>
      </c>
      <c r="W5049" s="8" t="s">
        <v>462</v>
      </c>
      <c r="X5049" s="6"/>
      <c r="Y5049" s="6"/>
      <c r="Z5049" s="6" t="s">
        <v>502</v>
      </c>
      <c r="AA5049" s="6" t="s">
        <v>793</v>
      </c>
      <c r="AB5049" s="8"/>
    </row>
    <row r="5050" spans="1:28" s="4" customFormat="1" ht="51.95" customHeight="1">
      <c r="A5050" s="5">
        <v>0</v>
      </c>
      <c r="B5050" s="6" t="s">
        <v>29758</v>
      </c>
      <c r="C5050" s="13">
        <v>2932</v>
      </c>
      <c r="D5050" s="8" t="s">
        <v>29759</v>
      </c>
      <c r="E5050" s="8" t="s">
        <v>29760</v>
      </c>
      <c r="F5050" s="8" t="s">
        <v>29761</v>
      </c>
      <c r="G5050" s="6" t="s">
        <v>52</v>
      </c>
      <c r="H5050" s="6" t="s">
        <v>184</v>
      </c>
      <c r="I5050" s="8" t="s">
        <v>116</v>
      </c>
      <c r="J5050" s="9">
        <v>1</v>
      </c>
      <c r="K5050" s="9">
        <v>448</v>
      </c>
      <c r="L5050" s="9">
        <v>2025</v>
      </c>
      <c r="M5050" s="8" t="s">
        <v>29762</v>
      </c>
      <c r="N5050" s="8" t="s">
        <v>79</v>
      </c>
      <c r="O5050" s="8" t="s">
        <v>396</v>
      </c>
      <c r="P5050" s="6" t="s">
        <v>167</v>
      </c>
      <c r="Q5050" s="8" t="s">
        <v>214</v>
      </c>
      <c r="R5050" s="10" t="s">
        <v>29763</v>
      </c>
      <c r="S5050" s="11"/>
      <c r="T5050" s="6" t="s">
        <v>299</v>
      </c>
      <c r="U5050" s="24" t="str">
        <f>HYPERLINK("https://media.infra-m.ru/2170/2170395/cover/2170395.jpg", "Обложка")</f>
        <v>Обложка</v>
      </c>
      <c r="V5050" s="24" t="str">
        <f>HYPERLINK("https://znanium.ru/catalog/product/2184815", "Ознакомиться")</f>
        <v>Ознакомиться</v>
      </c>
      <c r="W5050" s="8" t="s">
        <v>2938</v>
      </c>
      <c r="X5050" s="6"/>
      <c r="Y5050" s="6"/>
      <c r="Z5050" s="6"/>
      <c r="AA5050" s="6" t="s">
        <v>219</v>
      </c>
      <c r="AB5050" s="8"/>
    </row>
    <row r="5051" spans="1:28" s="4" customFormat="1" ht="51.95" customHeight="1">
      <c r="A5051" s="5">
        <v>0</v>
      </c>
      <c r="B5051" s="6" t="s">
        <v>29764</v>
      </c>
      <c r="C5051" s="13">
        <v>2992</v>
      </c>
      <c r="D5051" s="8" t="s">
        <v>29765</v>
      </c>
      <c r="E5051" s="8" t="s">
        <v>29766</v>
      </c>
      <c r="F5051" s="8" t="s">
        <v>29767</v>
      </c>
      <c r="G5051" s="6" t="s">
        <v>52</v>
      </c>
      <c r="H5051" s="6" t="s">
        <v>184</v>
      </c>
      <c r="I5051" s="8" t="s">
        <v>116</v>
      </c>
      <c r="J5051" s="9">
        <v>1</v>
      </c>
      <c r="K5051" s="9">
        <v>456</v>
      </c>
      <c r="L5051" s="9">
        <v>2025</v>
      </c>
      <c r="M5051" s="8" t="s">
        <v>29768</v>
      </c>
      <c r="N5051" s="8" t="s">
        <v>79</v>
      </c>
      <c r="O5051" s="8" t="s">
        <v>570</v>
      </c>
      <c r="P5051" s="6" t="s">
        <v>167</v>
      </c>
      <c r="Q5051" s="8" t="s">
        <v>214</v>
      </c>
      <c r="R5051" s="10" t="s">
        <v>29763</v>
      </c>
      <c r="S5051" s="11"/>
      <c r="T5051" s="6" t="s">
        <v>299</v>
      </c>
      <c r="U5051" s="24" t="str">
        <f>HYPERLINK("https://media.infra-m.ru/2184/2184815/cover/2184815.jpg", "Обложка")</f>
        <v>Обложка</v>
      </c>
      <c r="V5051" s="24" t="str">
        <f>HYPERLINK("https://znanium.ru/catalog/product/2184815", "Ознакомиться")</f>
        <v>Ознакомиться</v>
      </c>
      <c r="W5051" s="8" t="s">
        <v>2938</v>
      </c>
      <c r="X5051" s="6" t="s">
        <v>2790</v>
      </c>
      <c r="Y5051" s="6"/>
      <c r="Z5051" s="6"/>
      <c r="AA5051" s="6" t="s">
        <v>549</v>
      </c>
      <c r="AB5051" s="8"/>
    </row>
    <row r="5052" spans="1:28" s="4" customFormat="1" ht="51.95" customHeight="1">
      <c r="A5052" s="5">
        <v>0</v>
      </c>
      <c r="B5052" s="6" t="s">
        <v>29769</v>
      </c>
      <c r="C5052" s="13">
        <v>1990</v>
      </c>
      <c r="D5052" s="8" t="s">
        <v>29770</v>
      </c>
      <c r="E5052" s="8" t="s">
        <v>29771</v>
      </c>
      <c r="F5052" s="8" t="s">
        <v>23278</v>
      </c>
      <c r="G5052" s="6" t="s">
        <v>89</v>
      </c>
      <c r="H5052" s="6" t="s">
        <v>53</v>
      </c>
      <c r="I5052" s="8" t="s">
        <v>100</v>
      </c>
      <c r="J5052" s="9">
        <v>1</v>
      </c>
      <c r="K5052" s="9">
        <v>396</v>
      </c>
      <c r="L5052" s="9">
        <v>2025</v>
      </c>
      <c r="M5052" s="8" t="s">
        <v>29772</v>
      </c>
      <c r="N5052" s="8" t="s">
        <v>79</v>
      </c>
      <c r="O5052" s="8" t="s">
        <v>80</v>
      </c>
      <c r="P5052" s="6" t="s">
        <v>43</v>
      </c>
      <c r="Q5052" s="8" t="s">
        <v>102</v>
      </c>
      <c r="R5052" s="10" t="s">
        <v>29773</v>
      </c>
      <c r="S5052" s="11" t="s">
        <v>29774</v>
      </c>
      <c r="T5052" s="6" t="s">
        <v>299</v>
      </c>
      <c r="U5052" s="24" t="str">
        <f>HYPERLINK("https://media.infra-m.ru/2187/2187015/cover/2187015.jpg", "Обложка")</f>
        <v>Обложка</v>
      </c>
      <c r="V5052" s="24" t="str">
        <f>HYPERLINK("https://znanium.ru/catalog/product/2126820", "Ознакомиться")</f>
        <v>Ознакомиться</v>
      </c>
      <c r="W5052" s="8" t="s">
        <v>2392</v>
      </c>
      <c r="X5052" s="6"/>
      <c r="Y5052" s="6"/>
      <c r="Z5052" s="6" t="s">
        <v>104</v>
      </c>
      <c r="AA5052" s="6" t="s">
        <v>258</v>
      </c>
      <c r="AB5052" s="8"/>
    </row>
    <row r="5053" spans="1:28" s="4" customFormat="1" ht="51.95" customHeight="1">
      <c r="A5053" s="5">
        <v>0</v>
      </c>
      <c r="B5053" s="6" t="s">
        <v>29775</v>
      </c>
      <c r="C5053" s="13">
        <v>2054</v>
      </c>
      <c r="D5053" s="8" t="s">
        <v>29776</v>
      </c>
      <c r="E5053" s="8" t="s">
        <v>29771</v>
      </c>
      <c r="F5053" s="8" t="s">
        <v>23278</v>
      </c>
      <c r="G5053" s="6" t="s">
        <v>89</v>
      </c>
      <c r="H5053" s="6" t="s">
        <v>53</v>
      </c>
      <c r="I5053" s="8" t="s">
        <v>116</v>
      </c>
      <c r="J5053" s="9">
        <v>1</v>
      </c>
      <c r="K5053" s="9">
        <v>396</v>
      </c>
      <c r="L5053" s="9">
        <v>2025</v>
      </c>
      <c r="M5053" s="8" t="s">
        <v>29777</v>
      </c>
      <c r="N5053" s="8" t="s">
        <v>79</v>
      </c>
      <c r="O5053" s="8" t="s">
        <v>80</v>
      </c>
      <c r="P5053" s="6" t="s">
        <v>43</v>
      </c>
      <c r="Q5053" s="8" t="s">
        <v>44</v>
      </c>
      <c r="R5053" s="10" t="s">
        <v>29778</v>
      </c>
      <c r="S5053" s="11" t="s">
        <v>7650</v>
      </c>
      <c r="T5053" s="6" t="s">
        <v>299</v>
      </c>
      <c r="U5053" s="24" t="str">
        <f>HYPERLINK("https://media.infra-m.ru/2202/2202900/cover/2202900.jpg", "Обложка")</f>
        <v>Обложка</v>
      </c>
      <c r="V5053" s="24" t="str">
        <f>HYPERLINK("https://znanium.ru/catalog/product/1948191", "Ознакомиться")</f>
        <v>Ознакомиться</v>
      </c>
      <c r="W5053" s="8" t="s">
        <v>2392</v>
      </c>
      <c r="X5053" s="6"/>
      <c r="Y5053" s="6"/>
      <c r="Z5053" s="6"/>
      <c r="AA5053" s="6" t="s">
        <v>122</v>
      </c>
      <c r="AB5053" s="8"/>
    </row>
    <row r="5054" spans="1:28" s="4" customFormat="1" ht="51.95" customHeight="1">
      <c r="A5054" s="5">
        <v>0</v>
      </c>
      <c r="B5054" s="6" t="s">
        <v>29779</v>
      </c>
      <c r="C5054" s="13">
        <v>1432</v>
      </c>
      <c r="D5054" s="8" t="s">
        <v>29780</v>
      </c>
      <c r="E5054" s="8" t="s">
        <v>29781</v>
      </c>
      <c r="F5054" s="8" t="s">
        <v>15517</v>
      </c>
      <c r="G5054" s="6" t="s">
        <v>38</v>
      </c>
      <c r="H5054" s="6" t="s">
        <v>184</v>
      </c>
      <c r="I5054" s="8" t="s">
        <v>116</v>
      </c>
      <c r="J5054" s="9">
        <v>1</v>
      </c>
      <c r="K5054" s="9">
        <v>152</v>
      </c>
      <c r="L5054" s="9">
        <v>2024</v>
      </c>
      <c r="M5054" s="8" t="s">
        <v>29782</v>
      </c>
      <c r="N5054" s="8" t="s">
        <v>79</v>
      </c>
      <c r="O5054" s="8" t="s">
        <v>537</v>
      </c>
      <c r="P5054" s="6" t="s">
        <v>43</v>
      </c>
      <c r="Q5054" s="8" t="s">
        <v>58</v>
      </c>
      <c r="R5054" s="10" t="s">
        <v>29783</v>
      </c>
      <c r="S5054" s="11" t="s">
        <v>29784</v>
      </c>
      <c r="T5054" s="6"/>
      <c r="U5054" s="24" t="str">
        <f>HYPERLINK("https://media.infra-m.ru/1916/1916402/cover/1916402.jpg", "Обложка")</f>
        <v>Обложка</v>
      </c>
      <c r="V5054" s="24" t="str">
        <f>HYPERLINK("https://znanium.ru/catalog/product/1916402", "Ознакомиться")</f>
        <v>Ознакомиться</v>
      </c>
      <c r="W5054" s="8" t="s">
        <v>8577</v>
      </c>
      <c r="X5054" s="6"/>
      <c r="Y5054" s="6"/>
      <c r="Z5054" s="6"/>
      <c r="AA5054" s="6" t="s">
        <v>494</v>
      </c>
      <c r="AB5054" s="8"/>
    </row>
    <row r="5055" spans="1:28" s="4" customFormat="1" ht="51.95" customHeight="1">
      <c r="A5055" s="5">
        <v>0</v>
      </c>
      <c r="B5055" s="6" t="s">
        <v>29785</v>
      </c>
      <c r="C5055" s="13">
        <v>1154</v>
      </c>
      <c r="D5055" s="8" t="s">
        <v>29786</v>
      </c>
      <c r="E5055" s="8" t="s">
        <v>29787</v>
      </c>
      <c r="F5055" s="8" t="s">
        <v>18083</v>
      </c>
      <c r="G5055" s="6" t="s">
        <v>52</v>
      </c>
      <c r="H5055" s="6" t="s">
        <v>438</v>
      </c>
      <c r="I5055" s="8" t="s">
        <v>100</v>
      </c>
      <c r="J5055" s="9">
        <v>1</v>
      </c>
      <c r="K5055" s="9">
        <v>256</v>
      </c>
      <c r="L5055" s="9">
        <v>2023</v>
      </c>
      <c r="M5055" s="8" t="s">
        <v>29788</v>
      </c>
      <c r="N5055" s="8" t="s">
        <v>79</v>
      </c>
      <c r="O5055" s="8" t="s">
        <v>80</v>
      </c>
      <c r="P5055" s="6" t="s">
        <v>167</v>
      </c>
      <c r="Q5055" s="8" t="s">
        <v>102</v>
      </c>
      <c r="R5055" s="10" t="s">
        <v>29789</v>
      </c>
      <c r="S5055" s="11"/>
      <c r="T5055" s="6"/>
      <c r="U5055" s="24" t="str">
        <f>HYPERLINK("https://media.infra-m.ru/2002/2002606/cover/2002606.jpg", "Обложка")</f>
        <v>Обложка</v>
      </c>
      <c r="V5055" s="24" t="str">
        <f>HYPERLINK("https://znanium.ru/catalog/product/1214881", "Ознакомиться")</f>
        <v>Ознакомиться</v>
      </c>
      <c r="W5055" s="8" t="s">
        <v>46</v>
      </c>
      <c r="X5055" s="6"/>
      <c r="Y5055" s="6"/>
      <c r="Z5055" s="6"/>
      <c r="AA5055" s="6" t="s">
        <v>442</v>
      </c>
      <c r="AB5055" s="8"/>
    </row>
    <row r="5056" spans="1:28" s="4" customFormat="1" ht="51.95" customHeight="1">
      <c r="A5056" s="5">
        <v>0</v>
      </c>
      <c r="B5056" s="6" t="s">
        <v>29790</v>
      </c>
      <c r="C5056" s="13">
        <v>1140</v>
      </c>
      <c r="D5056" s="8" t="s">
        <v>29791</v>
      </c>
      <c r="E5056" s="8" t="s">
        <v>29787</v>
      </c>
      <c r="F5056" s="8" t="s">
        <v>18083</v>
      </c>
      <c r="G5056" s="6" t="s">
        <v>89</v>
      </c>
      <c r="H5056" s="6" t="s">
        <v>438</v>
      </c>
      <c r="I5056" s="8" t="s">
        <v>100</v>
      </c>
      <c r="J5056" s="9">
        <v>1</v>
      </c>
      <c r="K5056" s="9">
        <v>242</v>
      </c>
      <c r="L5056" s="9">
        <v>2024</v>
      </c>
      <c r="M5056" s="8" t="s">
        <v>29792</v>
      </c>
      <c r="N5056" s="8" t="s">
        <v>79</v>
      </c>
      <c r="O5056" s="8" t="s">
        <v>80</v>
      </c>
      <c r="P5056" s="6" t="s">
        <v>167</v>
      </c>
      <c r="Q5056" s="8" t="s">
        <v>102</v>
      </c>
      <c r="R5056" s="10" t="s">
        <v>29793</v>
      </c>
      <c r="S5056" s="11"/>
      <c r="T5056" s="6"/>
      <c r="U5056" s="24" t="str">
        <f>HYPERLINK("https://media.infra-m.ru/2112/2112889/cover/2112889.jpg", "Обложка")</f>
        <v>Обложка</v>
      </c>
      <c r="V5056" s="24" t="str">
        <f>HYPERLINK("https://znanium.ru/catalog/product/2112889", "Ознакомиться")</f>
        <v>Ознакомиться</v>
      </c>
      <c r="W5056" s="8" t="s">
        <v>46</v>
      </c>
      <c r="X5056" s="6"/>
      <c r="Y5056" s="6"/>
      <c r="Z5056" s="6"/>
      <c r="AA5056" s="6" t="s">
        <v>442</v>
      </c>
      <c r="AB5056" s="8"/>
    </row>
    <row r="5057" spans="1:28" s="4" customFormat="1" ht="51.95" customHeight="1">
      <c r="A5057" s="5">
        <v>0</v>
      </c>
      <c r="B5057" s="6" t="s">
        <v>29794</v>
      </c>
      <c r="C5057" s="13">
        <v>1994</v>
      </c>
      <c r="D5057" s="8" t="s">
        <v>29795</v>
      </c>
      <c r="E5057" s="8" t="s">
        <v>29796</v>
      </c>
      <c r="F5057" s="8" t="s">
        <v>29797</v>
      </c>
      <c r="G5057" s="6" t="s">
        <v>52</v>
      </c>
      <c r="H5057" s="6" t="s">
        <v>39</v>
      </c>
      <c r="I5057" s="8" t="s">
        <v>185</v>
      </c>
      <c r="J5057" s="9">
        <v>1</v>
      </c>
      <c r="K5057" s="9">
        <v>608</v>
      </c>
      <c r="L5057" s="9">
        <v>2024</v>
      </c>
      <c r="M5057" s="8" t="s">
        <v>29798</v>
      </c>
      <c r="N5057" s="8" t="s">
        <v>79</v>
      </c>
      <c r="O5057" s="8" t="s">
        <v>80</v>
      </c>
      <c r="P5057" s="6" t="s">
        <v>167</v>
      </c>
      <c r="Q5057" s="8" t="s">
        <v>102</v>
      </c>
      <c r="R5057" s="10" t="s">
        <v>29799</v>
      </c>
      <c r="S5057" s="11" t="s">
        <v>29800</v>
      </c>
      <c r="T5057" s="6"/>
      <c r="U5057" s="24" t="str">
        <f>HYPERLINK("https://media.infra-m.ru/2054/2054179/cover/2054179.jpg", "Обложка")</f>
        <v>Обложка</v>
      </c>
      <c r="V5057" s="24" t="str">
        <f>HYPERLINK("https://znanium.ru/catalog/product/1189949", "Ознакомиться")</f>
        <v>Ознакомиться</v>
      </c>
      <c r="W5057" s="8" t="s">
        <v>2201</v>
      </c>
      <c r="X5057" s="6"/>
      <c r="Y5057" s="6"/>
      <c r="Z5057" s="6"/>
      <c r="AA5057" s="6" t="s">
        <v>11034</v>
      </c>
      <c r="AB5057" s="8"/>
    </row>
    <row r="5058" spans="1:28" s="4" customFormat="1" ht="51.95" customHeight="1">
      <c r="A5058" s="5">
        <v>0</v>
      </c>
      <c r="B5058" s="6" t="s">
        <v>29801</v>
      </c>
      <c r="C5058" s="13">
        <v>1224</v>
      </c>
      <c r="D5058" s="8" t="s">
        <v>29802</v>
      </c>
      <c r="E5058" s="8" t="s">
        <v>29803</v>
      </c>
      <c r="F5058" s="8" t="s">
        <v>29804</v>
      </c>
      <c r="G5058" s="6" t="s">
        <v>89</v>
      </c>
      <c r="H5058" s="6" t="s">
        <v>53</v>
      </c>
      <c r="I5058" s="8" t="s">
        <v>100</v>
      </c>
      <c r="J5058" s="9">
        <v>1</v>
      </c>
      <c r="K5058" s="9">
        <v>260</v>
      </c>
      <c r="L5058" s="9">
        <v>2024</v>
      </c>
      <c r="M5058" s="8" t="s">
        <v>29805</v>
      </c>
      <c r="N5058" s="8" t="s">
        <v>79</v>
      </c>
      <c r="O5058" s="8" t="s">
        <v>80</v>
      </c>
      <c r="P5058" s="6" t="s">
        <v>43</v>
      </c>
      <c r="Q5058" s="8" t="s">
        <v>102</v>
      </c>
      <c r="R5058" s="10" t="s">
        <v>29806</v>
      </c>
      <c r="S5058" s="11" t="s">
        <v>29807</v>
      </c>
      <c r="T5058" s="6"/>
      <c r="U5058" s="24" t="str">
        <f>HYPERLINK("https://media.infra-m.ru/2131/2131620/cover/2131620.jpg", "Обложка")</f>
        <v>Обложка</v>
      </c>
      <c r="V5058" s="24" t="str">
        <f>HYPERLINK("https://znanium.ru/catalog/product/1083293", "Ознакомиться")</f>
        <v>Ознакомиться</v>
      </c>
      <c r="W5058" s="8" t="s">
        <v>2216</v>
      </c>
      <c r="X5058" s="6"/>
      <c r="Y5058" s="6" t="s">
        <v>30</v>
      </c>
      <c r="Z5058" s="6"/>
      <c r="AA5058" s="6" t="s">
        <v>95</v>
      </c>
      <c r="AB5058" s="8"/>
    </row>
    <row r="5059" spans="1:28" s="4" customFormat="1" ht="51.95" customHeight="1">
      <c r="A5059" s="5">
        <v>0</v>
      </c>
      <c r="B5059" s="6" t="s">
        <v>29808</v>
      </c>
      <c r="C5059" s="7">
        <v>820</v>
      </c>
      <c r="D5059" s="8" t="s">
        <v>29809</v>
      </c>
      <c r="E5059" s="8" t="s">
        <v>29787</v>
      </c>
      <c r="F5059" s="8" t="s">
        <v>29810</v>
      </c>
      <c r="G5059" s="6" t="s">
        <v>89</v>
      </c>
      <c r="H5059" s="6" t="s">
        <v>649</v>
      </c>
      <c r="I5059" s="8" t="s">
        <v>100</v>
      </c>
      <c r="J5059" s="9">
        <v>1</v>
      </c>
      <c r="K5059" s="9">
        <v>256</v>
      </c>
      <c r="L5059" s="9">
        <v>2019</v>
      </c>
      <c r="M5059" s="8" t="s">
        <v>29811</v>
      </c>
      <c r="N5059" s="8" t="s">
        <v>79</v>
      </c>
      <c r="O5059" s="8" t="s">
        <v>80</v>
      </c>
      <c r="P5059" s="6" t="s">
        <v>43</v>
      </c>
      <c r="Q5059" s="8" t="s">
        <v>102</v>
      </c>
      <c r="R5059" s="10" t="s">
        <v>29806</v>
      </c>
      <c r="S5059" s="11" t="s">
        <v>29812</v>
      </c>
      <c r="T5059" s="6"/>
      <c r="U5059" s="24" t="str">
        <f>HYPERLINK("https://media.infra-m.ru/1021/1021128/cover/1021128.jpg", "Обложка")</f>
        <v>Обложка</v>
      </c>
      <c r="V5059" s="24" t="str">
        <f>HYPERLINK("https://znanium.ru/catalog/product/1083293", "Ознакомиться")</f>
        <v>Ознакомиться</v>
      </c>
      <c r="W5059" s="8" t="s">
        <v>2216</v>
      </c>
      <c r="X5059" s="6"/>
      <c r="Y5059" s="6" t="s">
        <v>30</v>
      </c>
      <c r="Z5059" s="6"/>
      <c r="AA5059" s="6" t="s">
        <v>622</v>
      </c>
      <c r="AB5059" s="8"/>
    </row>
    <row r="5060" spans="1:28" s="4" customFormat="1" ht="51.95" customHeight="1">
      <c r="A5060" s="5">
        <v>0</v>
      </c>
      <c r="B5060" s="6" t="s">
        <v>29813</v>
      </c>
      <c r="C5060" s="7">
        <v>504</v>
      </c>
      <c r="D5060" s="8" t="s">
        <v>29814</v>
      </c>
      <c r="E5060" s="8" t="s">
        <v>29815</v>
      </c>
      <c r="F5060" s="8" t="s">
        <v>29816</v>
      </c>
      <c r="G5060" s="6" t="s">
        <v>38</v>
      </c>
      <c r="H5060" s="6" t="s">
        <v>53</v>
      </c>
      <c r="I5060" s="8" t="s">
        <v>1325</v>
      </c>
      <c r="J5060" s="9">
        <v>1</v>
      </c>
      <c r="K5060" s="9">
        <v>51</v>
      </c>
      <c r="L5060" s="9">
        <v>2023</v>
      </c>
      <c r="M5060" s="8" t="s">
        <v>29817</v>
      </c>
      <c r="N5060" s="8" t="s">
        <v>79</v>
      </c>
      <c r="O5060" s="8" t="s">
        <v>570</v>
      </c>
      <c r="P5060" s="6" t="s">
        <v>175</v>
      </c>
      <c r="Q5060" s="8" t="s">
        <v>58</v>
      </c>
      <c r="R5060" s="10" t="s">
        <v>29818</v>
      </c>
      <c r="S5060" s="11"/>
      <c r="T5060" s="6"/>
      <c r="U5060" s="24" t="str">
        <f>HYPERLINK("https://media.infra-m.ru/1150/1150286/cover/1150286.jpg", "Обложка")</f>
        <v>Обложка</v>
      </c>
      <c r="V5060" s="24" t="str">
        <f>HYPERLINK("https://znanium.ru/catalog/product/1015650", "Ознакомиться")</f>
        <v>Ознакомиться</v>
      </c>
      <c r="W5060" s="8" t="s">
        <v>1329</v>
      </c>
      <c r="X5060" s="6"/>
      <c r="Y5060" s="6"/>
      <c r="Z5060" s="6"/>
      <c r="AA5060" s="6" t="s">
        <v>258</v>
      </c>
      <c r="AB5060" s="8"/>
    </row>
    <row r="5061" spans="1:28" s="4" customFormat="1" ht="51.95" customHeight="1">
      <c r="A5061" s="5">
        <v>0</v>
      </c>
      <c r="B5061" s="6" t="s">
        <v>29819</v>
      </c>
      <c r="C5061" s="7">
        <v>420</v>
      </c>
      <c r="D5061" s="8" t="s">
        <v>29820</v>
      </c>
      <c r="E5061" s="8" t="s">
        <v>29821</v>
      </c>
      <c r="F5061" s="8" t="s">
        <v>29822</v>
      </c>
      <c r="G5061" s="6" t="s">
        <v>38</v>
      </c>
      <c r="H5061" s="6" t="s">
        <v>53</v>
      </c>
      <c r="I5061" s="8" t="s">
        <v>1325</v>
      </c>
      <c r="J5061" s="9">
        <v>1</v>
      </c>
      <c r="K5061" s="9">
        <v>50</v>
      </c>
      <c r="L5061" s="9">
        <v>2023</v>
      </c>
      <c r="M5061" s="8" t="s">
        <v>29823</v>
      </c>
      <c r="N5061" s="8" t="s">
        <v>79</v>
      </c>
      <c r="O5061" s="8" t="s">
        <v>570</v>
      </c>
      <c r="P5061" s="6" t="s">
        <v>175</v>
      </c>
      <c r="Q5061" s="8" t="s">
        <v>58</v>
      </c>
      <c r="R5061" s="10" t="s">
        <v>29824</v>
      </c>
      <c r="S5061" s="11"/>
      <c r="T5061" s="6"/>
      <c r="U5061" s="24" t="str">
        <f>HYPERLINK("https://media.infra-m.ru/1976/1976132/cover/1976132.jpg", "Обложка")</f>
        <v>Обложка</v>
      </c>
      <c r="V5061" s="24" t="str">
        <f>HYPERLINK("https://znanium.ru/catalog/product/1976132", "Ознакомиться")</f>
        <v>Ознакомиться</v>
      </c>
      <c r="W5061" s="8" t="s">
        <v>1329</v>
      </c>
      <c r="X5061" s="6"/>
      <c r="Y5061" s="6"/>
      <c r="Z5061" s="6"/>
      <c r="AA5061" s="6" t="s">
        <v>258</v>
      </c>
      <c r="AB5061" s="8"/>
    </row>
    <row r="5062" spans="1:28" s="4" customFormat="1" ht="51.95" customHeight="1">
      <c r="A5062" s="5">
        <v>0</v>
      </c>
      <c r="B5062" s="6" t="s">
        <v>29825</v>
      </c>
      <c r="C5062" s="13">
        <v>1044</v>
      </c>
      <c r="D5062" s="8" t="s">
        <v>29826</v>
      </c>
      <c r="E5062" s="8" t="s">
        <v>29827</v>
      </c>
      <c r="F5062" s="8" t="s">
        <v>29828</v>
      </c>
      <c r="G5062" s="6" t="s">
        <v>52</v>
      </c>
      <c r="H5062" s="6" t="s">
        <v>66</v>
      </c>
      <c r="I5062" s="8" t="s">
        <v>116</v>
      </c>
      <c r="J5062" s="9">
        <v>1</v>
      </c>
      <c r="K5062" s="9">
        <v>200</v>
      </c>
      <c r="L5062" s="9">
        <v>2025</v>
      </c>
      <c r="M5062" s="8" t="s">
        <v>29829</v>
      </c>
      <c r="N5062" s="8" t="s">
        <v>41</v>
      </c>
      <c r="O5062" s="8" t="s">
        <v>118</v>
      </c>
      <c r="P5062" s="6" t="s">
        <v>167</v>
      </c>
      <c r="Q5062" s="8" t="s">
        <v>44</v>
      </c>
      <c r="R5062" s="10" t="s">
        <v>29830</v>
      </c>
      <c r="S5062" s="11" t="s">
        <v>29831</v>
      </c>
      <c r="T5062" s="6"/>
      <c r="U5062" s="24" t="str">
        <f>HYPERLINK("https://media.infra-m.ru/2193/2193168/cover/2193168.jpg", "Обложка")</f>
        <v>Обложка</v>
      </c>
      <c r="V5062" s="24" t="str">
        <f>HYPERLINK("https://znanium.ru/catalog/product/991843", "Ознакомиться")</f>
        <v>Ознакомиться</v>
      </c>
      <c r="W5062" s="8" t="s">
        <v>1345</v>
      </c>
      <c r="X5062" s="6"/>
      <c r="Y5062" s="6"/>
      <c r="Z5062" s="6"/>
      <c r="AA5062" s="6" t="s">
        <v>622</v>
      </c>
      <c r="AB5062" s="8"/>
    </row>
    <row r="5063" spans="1:28" s="4" customFormat="1" ht="42" customHeight="1">
      <c r="A5063" s="5">
        <v>0</v>
      </c>
      <c r="B5063" s="6" t="s">
        <v>29832</v>
      </c>
      <c r="C5063" s="7">
        <v>680</v>
      </c>
      <c r="D5063" s="8" t="s">
        <v>29833</v>
      </c>
      <c r="E5063" s="8" t="s">
        <v>29834</v>
      </c>
      <c r="F5063" s="8" t="s">
        <v>29835</v>
      </c>
      <c r="G5063" s="6" t="s">
        <v>38</v>
      </c>
      <c r="H5063" s="6" t="s">
        <v>53</v>
      </c>
      <c r="I5063" s="8" t="s">
        <v>276</v>
      </c>
      <c r="J5063" s="9">
        <v>1</v>
      </c>
      <c r="K5063" s="9">
        <v>101</v>
      </c>
      <c r="L5063" s="9">
        <v>2024</v>
      </c>
      <c r="M5063" s="8" t="s">
        <v>29836</v>
      </c>
      <c r="N5063" s="8" t="s">
        <v>41</v>
      </c>
      <c r="O5063" s="8" t="s">
        <v>1007</v>
      </c>
      <c r="P5063" s="6" t="s">
        <v>43</v>
      </c>
      <c r="Q5063" s="8" t="s">
        <v>279</v>
      </c>
      <c r="R5063" s="10" t="s">
        <v>1380</v>
      </c>
      <c r="S5063" s="11"/>
      <c r="T5063" s="6"/>
      <c r="U5063" s="24" t="str">
        <f>HYPERLINK("https://media.infra-m.ru/2084/2084463/cover/2084463.jpg", "Обложка")</f>
        <v>Обложка</v>
      </c>
      <c r="V5063" s="24" t="str">
        <f>HYPERLINK("https://znanium.ru/catalog/product/2084463", "Ознакомиться")</f>
        <v>Ознакомиться</v>
      </c>
      <c r="W5063" s="8" t="s">
        <v>83</v>
      </c>
      <c r="X5063" s="6"/>
      <c r="Y5063" s="6"/>
      <c r="Z5063" s="6"/>
      <c r="AA5063" s="6" t="s">
        <v>151</v>
      </c>
      <c r="AB5063" s="8"/>
    </row>
    <row r="5064" spans="1:28" s="4" customFormat="1" ht="51.95" customHeight="1">
      <c r="A5064" s="5">
        <v>0</v>
      </c>
      <c r="B5064" s="6" t="s">
        <v>29837</v>
      </c>
      <c r="C5064" s="13">
        <v>1464</v>
      </c>
      <c r="D5064" s="8" t="s">
        <v>29838</v>
      </c>
      <c r="E5064" s="8" t="s">
        <v>29839</v>
      </c>
      <c r="F5064" s="8" t="s">
        <v>29840</v>
      </c>
      <c r="G5064" s="6" t="s">
        <v>38</v>
      </c>
      <c r="H5064" s="6" t="s">
        <v>53</v>
      </c>
      <c r="I5064" s="8" t="s">
        <v>90</v>
      </c>
      <c r="J5064" s="9">
        <v>1</v>
      </c>
      <c r="K5064" s="9">
        <v>282</v>
      </c>
      <c r="L5064" s="9">
        <v>2025</v>
      </c>
      <c r="M5064" s="8" t="s">
        <v>29841</v>
      </c>
      <c r="N5064" s="8" t="s">
        <v>79</v>
      </c>
      <c r="O5064" s="8" t="s">
        <v>570</v>
      </c>
      <c r="P5064" s="6" t="s">
        <v>43</v>
      </c>
      <c r="Q5064" s="8" t="s">
        <v>44</v>
      </c>
      <c r="R5064" s="10" t="s">
        <v>8088</v>
      </c>
      <c r="S5064" s="11" t="s">
        <v>29842</v>
      </c>
      <c r="T5064" s="6"/>
      <c r="U5064" s="24" t="str">
        <f>HYPERLINK("https://media.infra-m.ru/2196/2196864/cover/2196864.jpg", "Обложка")</f>
        <v>Обложка</v>
      </c>
      <c r="V5064" s="24" t="str">
        <f>HYPERLINK("https://znanium.ru/catalog/product/1834702", "Ознакомиться")</f>
        <v>Ознакомиться</v>
      </c>
      <c r="W5064" s="8" t="s">
        <v>2938</v>
      </c>
      <c r="X5064" s="6"/>
      <c r="Y5064" s="6"/>
      <c r="Z5064" s="6"/>
      <c r="AA5064" s="6" t="s">
        <v>654</v>
      </c>
      <c r="AB5064" s="8"/>
    </row>
    <row r="5065" spans="1:28" s="4" customFormat="1" ht="51.95" customHeight="1">
      <c r="A5065" s="5">
        <v>0</v>
      </c>
      <c r="B5065" s="6" t="s">
        <v>29843</v>
      </c>
      <c r="C5065" s="13">
        <v>1334</v>
      </c>
      <c r="D5065" s="8" t="s">
        <v>29844</v>
      </c>
      <c r="E5065" s="8" t="s">
        <v>29839</v>
      </c>
      <c r="F5065" s="8" t="s">
        <v>29840</v>
      </c>
      <c r="G5065" s="6" t="s">
        <v>52</v>
      </c>
      <c r="H5065" s="6" t="s">
        <v>53</v>
      </c>
      <c r="I5065" s="8" t="s">
        <v>100</v>
      </c>
      <c r="J5065" s="9">
        <v>1</v>
      </c>
      <c r="K5065" s="9">
        <v>282</v>
      </c>
      <c r="L5065" s="9">
        <v>2024</v>
      </c>
      <c r="M5065" s="8" t="s">
        <v>29845</v>
      </c>
      <c r="N5065" s="8" t="s">
        <v>79</v>
      </c>
      <c r="O5065" s="8" t="s">
        <v>570</v>
      </c>
      <c r="P5065" s="6" t="s">
        <v>43</v>
      </c>
      <c r="Q5065" s="8" t="s">
        <v>102</v>
      </c>
      <c r="R5065" s="10" t="s">
        <v>29846</v>
      </c>
      <c r="S5065" s="11" t="s">
        <v>29847</v>
      </c>
      <c r="T5065" s="6"/>
      <c r="U5065" s="24" t="str">
        <f>HYPERLINK("https://media.infra-m.ru/2152/2152112/cover/2152112.jpg", "Обложка")</f>
        <v>Обложка</v>
      </c>
      <c r="V5065" s="24" t="str">
        <f>HYPERLINK("https://znanium.ru/catalog/product/1858849", "Ознакомиться")</f>
        <v>Ознакомиться</v>
      </c>
      <c r="W5065" s="8" t="s">
        <v>2938</v>
      </c>
      <c r="X5065" s="6"/>
      <c r="Y5065" s="6"/>
      <c r="Z5065" s="6" t="s">
        <v>104</v>
      </c>
      <c r="AA5065" s="6" t="s">
        <v>258</v>
      </c>
      <c r="AB5065" s="8"/>
    </row>
    <row r="5066" spans="1:28" s="4" customFormat="1" ht="51.95" customHeight="1">
      <c r="A5066" s="5">
        <v>0</v>
      </c>
      <c r="B5066" s="6" t="s">
        <v>29848</v>
      </c>
      <c r="C5066" s="13">
        <v>2000</v>
      </c>
      <c r="D5066" s="8" t="s">
        <v>29849</v>
      </c>
      <c r="E5066" s="8" t="s">
        <v>29850</v>
      </c>
      <c r="F5066" s="8" t="s">
        <v>29851</v>
      </c>
      <c r="G5066" s="6" t="s">
        <v>89</v>
      </c>
      <c r="H5066" s="6" t="s">
        <v>53</v>
      </c>
      <c r="I5066" s="8" t="s">
        <v>100</v>
      </c>
      <c r="J5066" s="9">
        <v>1</v>
      </c>
      <c r="K5066" s="9">
        <v>400</v>
      </c>
      <c r="L5066" s="9">
        <v>2025</v>
      </c>
      <c r="M5066" s="8" t="s">
        <v>29852</v>
      </c>
      <c r="N5066" s="8" t="s">
        <v>79</v>
      </c>
      <c r="O5066" s="8" t="s">
        <v>424</v>
      </c>
      <c r="P5066" s="6" t="s">
        <v>167</v>
      </c>
      <c r="Q5066" s="8" t="s">
        <v>102</v>
      </c>
      <c r="R5066" s="10" t="s">
        <v>29853</v>
      </c>
      <c r="S5066" s="11" t="s">
        <v>29709</v>
      </c>
      <c r="T5066" s="6"/>
      <c r="U5066" s="24" t="str">
        <f>HYPERLINK("https://media.infra-m.ru/2171/2171476/cover/2171476.jpg", "Обложка")</f>
        <v>Обложка</v>
      </c>
      <c r="V5066" s="24" t="str">
        <f>HYPERLINK("https://znanium.ru/catalog/product/2171476", "Ознакомиться")</f>
        <v>Ознакомиться</v>
      </c>
      <c r="W5066" s="8" t="s">
        <v>71</v>
      </c>
      <c r="X5066" s="6"/>
      <c r="Y5066" s="6"/>
      <c r="Z5066" s="6"/>
      <c r="AA5066" s="6" t="s">
        <v>2217</v>
      </c>
      <c r="AB5066" s="8"/>
    </row>
    <row r="5067" spans="1:28" s="4" customFormat="1" ht="51.95" customHeight="1">
      <c r="A5067" s="5">
        <v>0</v>
      </c>
      <c r="B5067" s="6" t="s">
        <v>29854</v>
      </c>
      <c r="C5067" s="13">
        <v>1040</v>
      </c>
      <c r="D5067" s="8" t="s">
        <v>29855</v>
      </c>
      <c r="E5067" s="8" t="s">
        <v>29856</v>
      </c>
      <c r="F5067" s="8" t="s">
        <v>21179</v>
      </c>
      <c r="G5067" s="6" t="s">
        <v>89</v>
      </c>
      <c r="H5067" s="6" t="s">
        <v>649</v>
      </c>
      <c r="I5067" s="8" t="s">
        <v>100</v>
      </c>
      <c r="J5067" s="9">
        <v>1</v>
      </c>
      <c r="K5067" s="9">
        <v>208</v>
      </c>
      <c r="L5067" s="9">
        <v>2025</v>
      </c>
      <c r="M5067" s="8" t="s">
        <v>29857</v>
      </c>
      <c r="N5067" s="8" t="s">
        <v>79</v>
      </c>
      <c r="O5067" s="8" t="s">
        <v>570</v>
      </c>
      <c r="P5067" s="6" t="s">
        <v>43</v>
      </c>
      <c r="Q5067" s="8" t="s">
        <v>102</v>
      </c>
      <c r="R5067" s="10" t="s">
        <v>6520</v>
      </c>
      <c r="S5067" s="11" t="s">
        <v>29858</v>
      </c>
      <c r="T5067" s="6"/>
      <c r="U5067" s="24" t="str">
        <f>HYPERLINK("https://media.infra-m.ru/2180/2180542/cover/2180542.jpg", "Обложка")</f>
        <v>Обложка</v>
      </c>
      <c r="V5067" s="24" t="str">
        <f>HYPERLINK("https://znanium.ru/catalog/product/2180542", "Ознакомиться")</f>
        <v>Ознакомиться</v>
      </c>
      <c r="W5067" s="8" t="s">
        <v>653</v>
      </c>
      <c r="X5067" s="6"/>
      <c r="Y5067" s="6"/>
      <c r="Z5067" s="6"/>
      <c r="AA5067" s="6" t="s">
        <v>1135</v>
      </c>
      <c r="AB5067" s="8"/>
    </row>
    <row r="5068" spans="1:28" s="4" customFormat="1" ht="51.95" customHeight="1">
      <c r="A5068" s="5">
        <v>0</v>
      </c>
      <c r="B5068" s="6" t="s">
        <v>29859</v>
      </c>
      <c r="C5068" s="13">
        <v>1210</v>
      </c>
      <c r="D5068" s="8" t="s">
        <v>29860</v>
      </c>
      <c r="E5068" s="8" t="s">
        <v>29861</v>
      </c>
      <c r="F5068" s="8" t="s">
        <v>21179</v>
      </c>
      <c r="G5068" s="6" t="s">
        <v>89</v>
      </c>
      <c r="H5068" s="6" t="s">
        <v>649</v>
      </c>
      <c r="I5068" s="8" t="s">
        <v>100</v>
      </c>
      <c r="J5068" s="9">
        <v>1</v>
      </c>
      <c r="K5068" s="9">
        <v>256</v>
      </c>
      <c r="L5068" s="9">
        <v>2024</v>
      </c>
      <c r="M5068" s="8" t="s">
        <v>29862</v>
      </c>
      <c r="N5068" s="8" t="s">
        <v>79</v>
      </c>
      <c r="O5068" s="8" t="s">
        <v>570</v>
      </c>
      <c r="P5068" s="6" t="s">
        <v>43</v>
      </c>
      <c r="Q5068" s="8" t="s">
        <v>102</v>
      </c>
      <c r="R5068" s="10" t="s">
        <v>29863</v>
      </c>
      <c r="S5068" s="11" t="s">
        <v>29858</v>
      </c>
      <c r="T5068" s="6"/>
      <c r="U5068" s="24" t="str">
        <f>HYPERLINK("https://media.infra-m.ru/2149/2149614/cover/2149614.jpg", "Обложка")</f>
        <v>Обложка</v>
      </c>
      <c r="V5068" s="24" t="str">
        <f>HYPERLINK("https://znanium.ru/catalog/product/2149614", "Ознакомиться")</f>
        <v>Ознакомиться</v>
      </c>
      <c r="W5068" s="8" t="s">
        <v>653</v>
      </c>
      <c r="X5068" s="6"/>
      <c r="Y5068" s="6"/>
      <c r="Z5068" s="6"/>
      <c r="AA5068" s="6" t="s">
        <v>3065</v>
      </c>
      <c r="AB5068" s="8"/>
    </row>
    <row r="5069" spans="1:28" s="4" customFormat="1" ht="51.95" customHeight="1">
      <c r="A5069" s="5">
        <v>0</v>
      </c>
      <c r="B5069" s="6" t="s">
        <v>29864</v>
      </c>
      <c r="C5069" s="13">
        <v>2997</v>
      </c>
      <c r="D5069" s="8" t="s">
        <v>29865</v>
      </c>
      <c r="E5069" s="8" t="s">
        <v>29866</v>
      </c>
      <c r="F5069" s="8" t="s">
        <v>29867</v>
      </c>
      <c r="G5069" s="6" t="s">
        <v>38</v>
      </c>
      <c r="H5069" s="6" t="s">
        <v>649</v>
      </c>
      <c r="I5069" s="8" t="s">
        <v>100</v>
      </c>
      <c r="J5069" s="9">
        <v>1</v>
      </c>
      <c r="K5069" s="9">
        <v>349</v>
      </c>
      <c r="L5069" s="9">
        <v>2025</v>
      </c>
      <c r="M5069" s="8" t="s">
        <v>29868</v>
      </c>
      <c r="N5069" s="8" t="s">
        <v>79</v>
      </c>
      <c r="O5069" s="8" t="s">
        <v>570</v>
      </c>
      <c r="P5069" s="6" t="s">
        <v>43</v>
      </c>
      <c r="Q5069" s="8" t="s">
        <v>102</v>
      </c>
      <c r="R5069" s="10" t="s">
        <v>29869</v>
      </c>
      <c r="S5069" s="11" t="s">
        <v>6521</v>
      </c>
      <c r="T5069" s="6"/>
      <c r="U5069" s="24" t="str">
        <f>HYPERLINK("https://media.infra-m.ru/2141/2141753/cover/2141753.jpg", "Обложка")</f>
        <v>Обложка</v>
      </c>
      <c r="V5069" s="24" t="str">
        <f>HYPERLINK("https://znanium.ru/catalog/product/2012654", "Ознакомиться")</f>
        <v>Ознакомиться</v>
      </c>
      <c r="W5069" s="8" t="s">
        <v>2938</v>
      </c>
      <c r="X5069" s="6"/>
      <c r="Y5069" s="6"/>
      <c r="Z5069" s="6"/>
      <c r="AA5069" s="6" t="s">
        <v>663</v>
      </c>
      <c r="AB5069" s="8"/>
    </row>
    <row r="5070" spans="1:28" s="4" customFormat="1" ht="51.95" customHeight="1">
      <c r="A5070" s="5">
        <v>0</v>
      </c>
      <c r="B5070" s="6" t="s">
        <v>29870</v>
      </c>
      <c r="C5070" s="7">
        <v>984</v>
      </c>
      <c r="D5070" s="8" t="s">
        <v>29871</v>
      </c>
      <c r="E5070" s="8" t="s">
        <v>29872</v>
      </c>
      <c r="F5070" s="8" t="s">
        <v>648</v>
      </c>
      <c r="G5070" s="6" t="s">
        <v>89</v>
      </c>
      <c r="H5070" s="6" t="s">
        <v>649</v>
      </c>
      <c r="I5070" s="8" t="s">
        <v>100</v>
      </c>
      <c r="J5070" s="9">
        <v>1</v>
      </c>
      <c r="K5070" s="9">
        <v>192</v>
      </c>
      <c r="L5070" s="9">
        <v>2025</v>
      </c>
      <c r="M5070" s="8" t="s">
        <v>29873</v>
      </c>
      <c r="N5070" s="8" t="s">
        <v>79</v>
      </c>
      <c r="O5070" s="8" t="s">
        <v>570</v>
      </c>
      <c r="P5070" s="6" t="s">
        <v>43</v>
      </c>
      <c r="Q5070" s="8" t="s">
        <v>102</v>
      </c>
      <c r="R5070" s="10" t="s">
        <v>6527</v>
      </c>
      <c r="S5070" s="11" t="s">
        <v>6521</v>
      </c>
      <c r="T5070" s="6"/>
      <c r="U5070" s="24" t="str">
        <f>HYPERLINK("https://media.infra-m.ru/2180/2180543/cover/2180543.jpg", "Обложка")</f>
        <v>Обложка</v>
      </c>
      <c r="V5070" s="24" t="str">
        <f>HYPERLINK("https://znanium.ru/catalog/product/1921416", "Ознакомиться")</f>
        <v>Ознакомиться</v>
      </c>
      <c r="W5070" s="8" t="s">
        <v>653</v>
      </c>
      <c r="X5070" s="6"/>
      <c r="Y5070" s="6"/>
      <c r="Z5070" s="6"/>
      <c r="AA5070" s="6" t="s">
        <v>555</v>
      </c>
      <c r="AB5070" s="8"/>
    </row>
    <row r="5071" spans="1:28" s="4" customFormat="1" ht="44.1" customHeight="1">
      <c r="A5071" s="5">
        <v>0</v>
      </c>
      <c r="B5071" s="6" t="s">
        <v>29874</v>
      </c>
      <c r="C5071" s="7">
        <v>697</v>
      </c>
      <c r="D5071" s="8" t="s">
        <v>29875</v>
      </c>
      <c r="E5071" s="8" t="s">
        <v>29876</v>
      </c>
      <c r="F5071" s="8" t="s">
        <v>29877</v>
      </c>
      <c r="G5071" s="6" t="s">
        <v>52</v>
      </c>
      <c r="H5071" s="6" t="s">
        <v>66</v>
      </c>
      <c r="I5071" s="8" t="s">
        <v>29878</v>
      </c>
      <c r="J5071" s="9">
        <v>1</v>
      </c>
      <c r="K5071" s="9">
        <v>128</v>
      </c>
      <c r="L5071" s="9">
        <v>2024</v>
      </c>
      <c r="M5071" s="8" t="s">
        <v>29879</v>
      </c>
      <c r="N5071" s="8" t="s">
        <v>41</v>
      </c>
      <c r="O5071" s="8" t="s">
        <v>118</v>
      </c>
      <c r="P5071" s="6" t="s">
        <v>43</v>
      </c>
      <c r="Q5071" s="8" t="s">
        <v>58</v>
      </c>
      <c r="R5071" s="10" t="s">
        <v>29880</v>
      </c>
      <c r="S5071" s="11"/>
      <c r="T5071" s="6"/>
      <c r="U5071" s="24" t="str">
        <f>HYPERLINK("https://media.infra-m.ru/2063/2063443/cover/2063443.jpg", "Обложка")</f>
        <v>Обложка</v>
      </c>
      <c r="V5071" s="24" t="str">
        <f>HYPERLINK("https://znanium.ru/catalog/product/2063443", "Ознакомиться")</f>
        <v>Ознакомиться</v>
      </c>
      <c r="W5071" s="8" t="s">
        <v>13407</v>
      </c>
      <c r="X5071" s="6"/>
      <c r="Y5071" s="6"/>
      <c r="Z5071" s="6"/>
      <c r="AA5071" s="6" t="s">
        <v>622</v>
      </c>
      <c r="AB5071" s="8"/>
    </row>
    <row r="5072" spans="1:28" s="4" customFormat="1" ht="51.95" customHeight="1">
      <c r="A5072" s="5">
        <v>0</v>
      </c>
      <c r="B5072" s="6" t="s">
        <v>29881</v>
      </c>
      <c r="C5072" s="13">
        <v>2164</v>
      </c>
      <c r="D5072" s="8" t="s">
        <v>29882</v>
      </c>
      <c r="E5072" s="8" t="s">
        <v>29861</v>
      </c>
      <c r="F5072" s="8" t="s">
        <v>21179</v>
      </c>
      <c r="G5072" s="6" t="s">
        <v>89</v>
      </c>
      <c r="H5072" s="6" t="s">
        <v>649</v>
      </c>
      <c r="I5072" s="8" t="s">
        <v>100</v>
      </c>
      <c r="J5072" s="9">
        <v>1</v>
      </c>
      <c r="K5072" s="9">
        <v>432</v>
      </c>
      <c r="L5072" s="9">
        <v>2025</v>
      </c>
      <c r="M5072" s="8" t="s">
        <v>29883</v>
      </c>
      <c r="N5072" s="8" t="s">
        <v>79</v>
      </c>
      <c r="O5072" s="8" t="s">
        <v>570</v>
      </c>
      <c r="P5072" s="6" t="s">
        <v>43</v>
      </c>
      <c r="Q5072" s="8" t="s">
        <v>102</v>
      </c>
      <c r="R5072" s="10" t="s">
        <v>29884</v>
      </c>
      <c r="S5072" s="11" t="s">
        <v>29885</v>
      </c>
      <c r="T5072" s="6"/>
      <c r="U5072" s="24" t="str">
        <f>HYPERLINK("https://media.infra-m.ru/2185/2185902/cover/2185902.jpg", "Обложка")</f>
        <v>Обложка</v>
      </c>
      <c r="V5072" s="24" t="str">
        <f>HYPERLINK("https://znanium.ru/catalog/product/1971871", "Ознакомиться")</f>
        <v>Ознакомиться</v>
      </c>
      <c r="W5072" s="8" t="s">
        <v>653</v>
      </c>
      <c r="X5072" s="6"/>
      <c r="Y5072" s="6"/>
      <c r="Z5072" s="6"/>
      <c r="AA5072" s="6" t="s">
        <v>3065</v>
      </c>
      <c r="AB5072" s="8"/>
    </row>
    <row r="5073" spans="1:28" s="4" customFormat="1" ht="51.95" customHeight="1">
      <c r="A5073" s="5">
        <v>0</v>
      </c>
      <c r="B5073" s="6" t="s">
        <v>29886</v>
      </c>
      <c r="C5073" s="7">
        <v>960</v>
      </c>
      <c r="D5073" s="8" t="s">
        <v>29887</v>
      </c>
      <c r="E5073" s="8" t="s">
        <v>29888</v>
      </c>
      <c r="F5073" s="8" t="s">
        <v>29889</v>
      </c>
      <c r="G5073" s="6" t="s">
        <v>89</v>
      </c>
      <c r="H5073" s="6" t="s">
        <v>53</v>
      </c>
      <c r="I5073" s="8" t="s">
        <v>116</v>
      </c>
      <c r="J5073" s="9">
        <v>1</v>
      </c>
      <c r="K5073" s="9">
        <v>198</v>
      </c>
      <c r="L5073" s="9">
        <v>2024</v>
      </c>
      <c r="M5073" s="8" t="s">
        <v>29890</v>
      </c>
      <c r="N5073" s="8" t="s">
        <v>413</v>
      </c>
      <c r="O5073" s="8" t="s">
        <v>414</v>
      </c>
      <c r="P5073" s="6" t="s">
        <v>43</v>
      </c>
      <c r="Q5073" s="8" t="s">
        <v>58</v>
      </c>
      <c r="R5073" s="10" t="s">
        <v>29891</v>
      </c>
      <c r="S5073" s="11" t="s">
        <v>29892</v>
      </c>
      <c r="T5073" s="6"/>
      <c r="U5073" s="24" t="str">
        <f>HYPERLINK("https://media.infra-m.ru/2048/2048059/cover/2048059.jpg", "Обложка")</f>
        <v>Обложка</v>
      </c>
      <c r="V5073" s="24" t="str">
        <f>HYPERLINK("https://znanium.ru/catalog/product/2048059", "Ознакомиться")</f>
        <v>Ознакомиться</v>
      </c>
      <c r="W5073" s="8" t="s">
        <v>4815</v>
      </c>
      <c r="X5073" s="6"/>
      <c r="Y5073" s="6"/>
      <c r="Z5073" s="6"/>
      <c r="AA5073" s="6" t="s">
        <v>494</v>
      </c>
      <c r="AB5073" s="8"/>
    </row>
    <row r="5074" spans="1:28" s="4" customFormat="1" ht="42" customHeight="1">
      <c r="A5074" s="5">
        <v>0</v>
      </c>
      <c r="B5074" s="6" t="s">
        <v>29893</v>
      </c>
      <c r="C5074" s="13">
        <v>1764.9</v>
      </c>
      <c r="D5074" s="8" t="s">
        <v>29894</v>
      </c>
      <c r="E5074" s="8" t="s">
        <v>29895</v>
      </c>
      <c r="F5074" s="8" t="s">
        <v>29896</v>
      </c>
      <c r="G5074" s="6" t="s">
        <v>52</v>
      </c>
      <c r="H5074" s="6" t="s">
        <v>53</v>
      </c>
      <c r="I5074" s="8" t="s">
        <v>90</v>
      </c>
      <c r="J5074" s="9">
        <v>1</v>
      </c>
      <c r="K5074" s="9">
        <v>378</v>
      </c>
      <c r="L5074" s="9">
        <v>2022</v>
      </c>
      <c r="M5074" s="8" t="s">
        <v>29897</v>
      </c>
      <c r="N5074" s="8" t="s">
        <v>41</v>
      </c>
      <c r="O5074" s="8" t="s">
        <v>1204</v>
      </c>
      <c r="P5074" s="6" t="s">
        <v>167</v>
      </c>
      <c r="Q5074" s="8" t="s">
        <v>44</v>
      </c>
      <c r="R5074" s="10" t="s">
        <v>4214</v>
      </c>
      <c r="S5074" s="11"/>
      <c r="T5074" s="6"/>
      <c r="U5074" s="24" t="str">
        <f>HYPERLINK("https://media.infra-m.ru/1911/1911511/cover/1911511.jpg", "Обложка")</f>
        <v>Обложка</v>
      </c>
      <c r="V5074" s="24" t="str">
        <f>HYPERLINK("https://znanium.ru/catalog/product/1840854", "Ознакомиться")</f>
        <v>Ознакомиться</v>
      </c>
      <c r="W5074" s="8" t="s">
        <v>29898</v>
      </c>
      <c r="X5074" s="6"/>
      <c r="Y5074" s="6"/>
      <c r="Z5074" s="6"/>
      <c r="AA5074" s="6" t="s">
        <v>235</v>
      </c>
      <c r="AB5074" s="8"/>
    </row>
    <row r="5075" spans="1:28" s="4" customFormat="1" ht="51.95" customHeight="1">
      <c r="A5075" s="5">
        <v>0</v>
      </c>
      <c r="B5075" s="6" t="s">
        <v>29899</v>
      </c>
      <c r="C5075" s="7">
        <v>444</v>
      </c>
      <c r="D5075" s="8" t="s">
        <v>29900</v>
      </c>
      <c r="E5075" s="8" t="s">
        <v>29901</v>
      </c>
      <c r="F5075" s="8" t="s">
        <v>29902</v>
      </c>
      <c r="G5075" s="6" t="s">
        <v>38</v>
      </c>
      <c r="H5075" s="6" t="s">
        <v>77</v>
      </c>
      <c r="I5075" s="8"/>
      <c r="J5075" s="9">
        <v>1</v>
      </c>
      <c r="K5075" s="9">
        <v>96</v>
      </c>
      <c r="L5075" s="9">
        <v>2024</v>
      </c>
      <c r="M5075" s="8" t="s">
        <v>29903</v>
      </c>
      <c r="N5075" s="8" t="s">
        <v>79</v>
      </c>
      <c r="O5075" s="8" t="s">
        <v>174</v>
      </c>
      <c r="P5075" s="6" t="s">
        <v>43</v>
      </c>
      <c r="Q5075" s="8" t="s">
        <v>44</v>
      </c>
      <c r="R5075" s="10" t="s">
        <v>29904</v>
      </c>
      <c r="S5075" s="11" t="s">
        <v>29905</v>
      </c>
      <c r="T5075" s="6"/>
      <c r="U5075" s="24" t="str">
        <f>HYPERLINK("https://media.infra-m.ru/2078/2078407/cover/2078407.jpg", "Обложка")</f>
        <v>Обложка</v>
      </c>
      <c r="V5075" s="24" t="str">
        <f>HYPERLINK("https://znanium.ru/catalog/product/1840465", "Ознакомиться")</f>
        <v>Ознакомиться</v>
      </c>
      <c r="W5075" s="8" t="s">
        <v>5475</v>
      </c>
      <c r="X5075" s="6"/>
      <c r="Y5075" s="6"/>
      <c r="Z5075" s="6"/>
      <c r="AA5075" s="6" t="s">
        <v>2193</v>
      </c>
      <c r="AB5075" s="8"/>
    </row>
    <row r="5076" spans="1:28" s="4" customFormat="1" ht="42" customHeight="1">
      <c r="A5076" s="5">
        <v>0</v>
      </c>
      <c r="B5076" s="6" t="s">
        <v>29906</v>
      </c>
      <c r="C5076" s="13">
        <v>1540</v>
      </c>
      <c r="D5076" s="8" t="s">
        <v>29907</v>
      </c>
      <c r="E5076" s="8" t="s">
        <v>29908</v>
      </c>
      <c r="F5076" s="8" t="s">
        <v>29909</v>
      </c>
      <c r="G5076" s="6" t="s">
        <v>52</v>
      </c>
      <c r="H5076" s="6" t="s">
        <v>53</v>
      </c>
      <c r="I5076" s="8" t="s">
        <v>100</v>
      </c>
      <c r="J5076" s="9">
        <v>1</v>
      </c>
      <c r="K5076" s="9">
        <v>308</v>
      </c>
      <c r="L5076" s="9">
        <v>2025</v>
      </c>
      <c r="M5076" s="8" t="s">
        <v>29910</v>
      </c>
      <c r="N5076" s="8" t="s">
        <v>68</v>
      </c>
      <c r="O5076" s="8" t="s">
        <v>69</v>
      </c>
      <c r="P5076" s="6" t="s">
        <v>43</v>
      </c>
      <c r="Q5076" s="8" t="s">
        <v>102</v>
      </c>
      <c r="R5076" s="10" t="s">
        <v>29911</v>
      </c>
      <c r="S5076" s="11"/>
      <c r="T5076" s="6"/>
      <c r="U5076" s="24" t="str">
        <f>HYPERLINK("https://media.infra-m.ru/2169/2169356/cover/2169356.jpg", "Обложка")</f>
        <v>Обложка</v>
      </c>
      <c r="V5076" s="24" t="str">
        <f>HYPERLINK("https://znanium.ru/catalog/product/2169356", "Ознакомиться")</f>
        <v>Ознакомиться</v>
      </c>
      <c r="W5076" s="8" t="s">
        <v>2672</v>
      </c>
      <c r="X5076" s="6" t="s">
        <v>785</v>
      </c>
      <c r="Y5076" s="6"/>
      <c r="Z5076" s="6" t="s">
        <v>104</v>
      </c>
      <c r="AA5076" s="6" t="s">
        <v>61</v>
      </c>
      <c r="AB5076" s="8"/>
    </row>
    <row r="5077" spans="1:28" s="4" customFormat="1" ht="42" customHeight="1">
      <c r="A5077" s="5">
        <v>0</v>
      </c>
      <c r="B5077" s="6" t="s">
        <v>29912</v>
      </c>
      <c r="C5077" s="13">
        <v>1460</v>
      </c>
      <c r="D5077" s="8" t="s">
        <v>29913</v>
      </c>
      <c r="E5077" s="8" t="s">
        <v>29908</v>
      </c>
      <c r="F5077" s="8" t="s">
        <v>29909</v>
      </c>
      <c r="G5077" s="6" t="s">
        <v>52</v>
      </c>
      <c r="H5077" s="6" t="s">
        <v>53</v>
      </c>
      <c r="I5077" s="8" t="s">
        <v>116</v>
      </c>
      <c r="J5077" s="9">
        <v>1</v>
      </c>
      <c r="K5077" s="9">
        <v>308</v>
      </c>
      <c r="L5077" s="9">
        <v>2024</v>
      </c>
      <c r="M5077" s="8" t="s">
        <v>29914</v>
      </c>
      <c r="N5077" s="8" t="s">
        <v>68</v>
      </c>
      <c r="O5077" s="8" t="s">
        <v>69</v>
      </c>
      <c r="P5077" s="6" t="s">
        <v>43</v>
      </c>
      <c r="Q5077" s="8" t="s">
        <v>44</v>
      </c>
      <c r="R5077" s="10" t="s">
        <v>29915</v>
      </c>
      <c r="S5077" s="11"/>
      <c r="T5077" s="6"/>
      <c r="U5077" s="24" t="str">
        <f>HYPERLINK("https://media.infra-m.ru/1938/1938066/cover/1938066.jpg", "Обложка")</f>
        <v>Обложка</v>
      </c>
      <c r="V5077" s="24" t="str">
        <f>HYPERLINK("https://znanium.ru/catalog/product/1938066", "Ознакомиться")</f>
        <v>Ознакомиться</v>
      </c>
      <c r="W5077" s="8" t="s">
        <v>2672</v>
      </c>
      <c r="X5077" s="6"/>
      <c r="Y5077" s="6"/>
      <c r="Z5077" s="6"/>
      <c r="AA5077" s="6" t="s">
        <v>133</v>
      </c>
      <c r="AB5077" s="8"/>
    </row>
    <row r="5078" spans="1:28" s="4" customFormat="1" ht="51.95" customHeight="1">
      <c r="A5078" s="5">
        <v>0</v>
      </c>
      <c r="B5078" s="6" t="s">
        <v>29916</v>
      </c>
      <c r="C5078" s="7">
        <v>870</v>
      </c>
      <c r="D5078" s="8" t="s">
        <v>29917</v>
      </c>
      <c r="E5078" s="8" t="s">
        <v>29918</v>
      </c>
      <c r="F5078" s="8" t="s">
        <v>29919</v>
      </c>
      <c r="G5078" s="6" t="s">
        <v>52</v>
      </c>
      <c r="H5078" s="6" t="s">
        <v>53</v>
      </c>
      <c r="I5078" s="8" t="s">
        <v>712</v>
      </c>
      <c r="J5078" s="9">
        <v>1</v>
      </c>
      <c r="K5078" s="9">
        <v>173</v>
      </c>
      <c r="L5078" s="9">
        <v>2024</v>
      </c>
      <c r="M5078" s="8" t="s">
        <v>29920</v>
      </c>
      <c r="N5078" s="8" t="s">
        <v>79</v>
      </c>
      <c r="O5078" s="8" t="s">
        <v>684</v>
      </c>
      <c r="P5078" s="6" t="s">
        <v>43</v>
      </c>
      <c r="Q5078" s="8" t="s">
        <v>58</v>
      </c>
      <c r="R5078" s="10" t="s">
        <v>29921</v>
      </c>
      <c r="S5078" s="11" t="s">
        <v>29922</v>
      </c>
      <c r="T5078" s="6"/>
      <c r="U5078" s="24" t="str">
        <f>HYPERLINK("https://media.infra-m.ru/2105/2105241/cover/2105241.jpg", "Обложка")</f>
        <v>Обложка</v>
      </c>
      <c r="V5078" s="24" t="str">
        <f>HYPERLINK("https://znanium.ru/catalog/product/2105241", "Ознакомиться")</f>
        <v>Ознакомиться</v>
      </c>
      <c r="W5078" s="8" t="s">
        <v>716</v>
      </c>
      <c r="X5078" s="6"/>
      <c r="Y5078" s="6"/>
      <c r="Z5078" s="6"/>
      <c r="AA5078" s="6" t="s">
        <v>133</v>
      </c>
      <c r="AB5078" s="8"/>
    </row>
    <row r="5079" spans="1:28" s="4" customFormat="1" ht="51.95" customHeight="1">
      <c r="A5079" s="5">
        <v>0</v>
      </c>
      <c r="B5079" s="6" t="s">
        <v>29923</v>
      </c>
      <c r="C5079" s="7">
        <v>960</v>
      </c>
      <c r="D5079" s="8" t="s">
        <v>29924</v>
      </c>
      <c r="E5079" s="8" t="s">
        <v>29925</v>
      </c>
      <c r="F5079" s="8" t="s">
        <v>29926</v>
      </c>
      <c r="G5079" s="6" t="s">
        <v>89</v>
      </c>
      <c r="H5079" s="6" t="s">
        <v>53</v>
      </c>
      <c r="I5079" s="8" t="s">
        <v>165</v>
      </c>
      <c r="J5079" s="9">
        <v>1</v>
      </c>
      <c r="K5079" s="9">
        <v>203</v>
      </c>
      <c r="L5079" s="9">
        <v>2024</v>
      </c>
      <c r="M5079" s="8" t="s">
        <v>29927</v>
      </c>
      <c r="N5079" s="8" t="s">
        <v>41</v>
      </c>
      <c r="O5079" s="8" t="s">
        <v>1204</v>
      </c>
      <c r="P5079" s="6" t="s">
        <v>43</v>
      </c>
      <c r="Q5079" s="8" t="s">
        <v>44</v>
      </c>
      <c r="R5079" s="10" t="s">
        <v>29928</v>
      </c>
      <c r="S5079" s="11" t="s">
        <v>29929</v>
      </c>
      <c r="T5079" s="6"/>
      <c r="U5079" s="24" t="str">
        <f>HYPERLINK("https://media.infra-m.ru/2139/2139320/cover/2139320.jpg", "Обложка")</f>
        <v>Обложка</v>
      </c>
      <c r="V5079" s="24" t="str">
        <f>HYPERLINK("https://znanium.ru/catalog/product/2139320", "Ознакомиться")</f>
        <v>Ознакомиться</v>
      </c>
      <c r="W5079" s="8"/>
      <c r="X5079" s="6"/>
      <c r="Y5079" s="6"/>
      <c r="Z5079" s="6"/>
      <c r="AA5079" s="6" t="s">
        <v>235</v>
      </c>
      <c r="AB5079" s="8"/>
    </row>
    <row r="5080" spans="1:28" s="4" customFormat="1" ht="42" customHeight="1">
      <c r="A5080" s="5">
        <v>0</v>
      </c>
      <c r="B5080" s="6" t="s">
        <v>29930</v>
      </c>
      <c r="C5080" s="13">
        <v>1320</v>
      </c>
      <c r="D5080" s="8" t="s">
        <v>29931</v>
      </c>
      <c r="E5080" s="8" t="s">
        <v>29932</v>
      </c>
      <c r="F5080" s="8" t="s">
        <v>29933</v>
      </c>
      <c r="G5080" s="6" t="s">
        <v>52</v>
      </c>
      <c r="H5080" s="6" t="s">
        <v>53</v>
      </c>
      <c r="I5080" s="8" t="s">
        <v>1054</v>
      </c>
      <c r="J5080" s="9">
        <v>1</v>
      </c>
      <c r="K5080" s="9">
        <v>266</v>
      </c>
      <c r="L5080" s="9">
        <v>2024</v>
      </c>
      <c r="M5080" s="8" t="s">
        <v>29934</v>
      </c>
      <c r="N5080" s="8" t="s">
        <v>41</v>
      </c>
      <c r="O5080" s="8" t="s">
        <v>1007</v>
      </c>
      <c r="P5080" s="6" t="s">
        <v>167</v>
      </c>
      <c r="Q5080" s="8" t="s">
        <v>279</v>
      </c>
      <c r="R5080" s="10" t="s">
        <v>2385</v>
      </c>
      <c r="S5080" s="11"/>
      <c r="T5080" s="6"/>
      <c r="U5080" s="24" t="str">
        <f>HYPERLINK("https://media.infra-m.ru/1908/1908973/cover/1908973.jpg", "Обложка")</f>
        <v>Обложка</v>
      </c>
      <c r="V5080" s="24" t="str">
        <f>HYPERLINK("https://znanium.ru/catalog/product/1908973", "Ознакомиться")</f>
        <v>Ознакомиться</v>
      </c>
      <c r="W5080" s="8" t="s">
        <v>83</v>
      </c>
      <c r="X5080" s="6"/>
      <c r="Y5080" s="6"/>
      <c r="Z5080" s="6"/>
      <c r="AA5080" s="6" t="s">
        <v>133</v>
      </c>
      <c r="AB5080" s="8"/>
    </row>
    <row r="5081" spans="1:28" s="4" customFormat="1" ht="51.95" customHeight="1">
      <c r="A5081" s="5">
        <v>0</v>
      </c>
      <c r="B5081" s="6" t="s">
        <v>29935</v>
      </c>
      <c r="C5081" s="13">
        <v>2214</v>
      </c>
      <c r="D5081" s="8" t="s">
        <v>29936</v>
      </c>
      <c r="E5081" s="8" t="s">
        <v>29937</v>
      </c>
      <c r="F5081" s="8" t="s">
        <v>9730</v>
      </c>
      <c r="G5081" s="6" t="s">
        <v>89</v>
      </c>
      <c r="H5081" s="6" t="s">
        <v>53</v>
      </c>
      <c r="I5081" s="8" t="s">
        <v>90</v>
      </c>
      <c r="J5081" s="9">
        <v>1</v>
      </c>
      <c r="K5081" s="9">
        <v>492</v>
      </c>
      <c r="L5081" s="9">
        <v>2023</v>
      </c>
      <c r="M5081" s="8" t="s">
        <v>29938</v>
      </c>
      <c r="N5081" s="8" t="s">
        <v>41</v>
      </c>
      <c r="O5081" s="8" t="s">
        <v>118</v>
      </c>
      <c r="P5081" s="6" t="s">
        <v>167</v>
      </c>
      <c r="Q5081" s="8" t="s">
        <v>44</v>
      </c>
      <c r="R5081" s="10" t="s">
        <v>29939</v>
      </c>
      <c r="S5081" s="11" t="s">
        <v>29940</v>
      </c>
      <c r="T5081" s="6"/>
      <c r="U5081" s="24" t="str">
        <f>HYPERLINK("https://media.infra-m.ru/2021/2021403/cover/2021403.jpg", "Обложка")</f>
        <v>Обложка</v>
      </c>
      <c r="V5081" s="24" t="str">
        <f>HYPERLINK("https://znanium.ru/catalog/product/1324185", "Ознакомиться")</f>
        <v>Ознакомиться</v>
      </c>
      <c r="W5081" s="8" t="s">
        <v>8621</v>
      </c>
      <c r="X5081" s="6"/>
      <c r="Y5081" s="6"/>
      <c r="Z5081" s="6"/>
      <c r="AA5081" s="6" t="s">
        <v>258</v>
      </c>
      <c r="AB5081" s="8"/>
    </row>
    <row r="5082" spans="1:28" s="4" customFormat="1" ht="42" customHeight="1">
      <c r="A5082" s="5">
        <v>0</v>
      </c>
      <c r="B5082" s="6" t="s">
        <v>29941</v>
      </c>
      <c r="C5082" s="13">
        <v>1684.9</v>
      </c>
      <c r="D5082" s="8" t="s">
        <v>29942</v>
      </c>
      <c r="E5082" s="8" t="s">
        <v>29943</v>
      </c>
      <c r="F5082" s="8" t="s">
        <v>29944</v>
      </c>
      <c r="G5082" s="6" t="s">
        <v>52</v>
      </c>
      <c r="H5082" s="6" t="s">
        <v>39</v>
      </c>
      <c r="I5082" s="8" t="s">
        <v>90</v>
      </c>
      <c r="J5082" s="9">
        <v>1</v>
      </c>
      <c r="K5082" s="9">
        <v>288</v>
      </c>
      <c r="L5082" s="9">
        <v>2023</v>
      </c>
      <c r="M5082" s="8" t="s">
        <v>29945</v>
      </c>
      <c r="N5082" s="8" t="s">
        <v>79</v>
      </c>
      <c r="O5082" s="8" t="s">
        <v>396</v>
      </c>
      <c r="P5082" s="6" t="s">
        <v>43</v>
      </c>
      <c r="Q5082" s="8" t="s">
        <v>44</v>
      </c>
      <c r="R5082" s="10" t="s">
        <v>20533</v>
      </c>
      <c r="S5082" s="11"/>
      <c r="T5082" s="6"/>
      <c r="U5082" s="24" t="str">
        <f>HYPERLINK("https://media.infra-m.ru/1913/1913677/cover/1913677.jpg", "Обложка")</f>
        <v>Обложка</v>
      </c>
      <c r="V5082" s="24" t="str">
        <f>HYPERLINK("https://znanium.ru/catalog/product/1036513", "Ознакомиться")</f>
        <v>Ознакомиться</v>
      </c>
      <c r="W5082" s="8"/>
      <c r="X5082" s="6"/>
      <c r="Y5082" s="6"/>
      <c r="Z5082" s="6"/>
      <c r="AA5082" s="6" t="s">
        <v>418</v>
      </c>
      <c r="AB5082" s="8"/>
    </row>
    <row r="5083" spans="1:28" s="4" customFormat="1" ht="44.1" customHeight="1">
      <c r="A5083" s="5">
        <v>0</v>
      </c>
      <c r="B5083" s="6" t="s">
        <v>29946</v>
      </c>
      <c r="C5083" s="13">
        <v>1190</v>
      </c>
      <c r="D5083" s="8" t="s">
        <v>29947</v>
      </c>
      <c r="E5083" s="8" t="s">
        <v>29948</v>
      </c>
      <c r="F5083" s="8" t="s">
        <v>29949</v>
      </c>
      <c r="G5083" s="6" t="s">
        <v>52</v>
      </c>
      <c r="H5083" s="6" t="s">
        <v>53</v>
      </c>
      <c r="I5083" s="8" t="s">
        <v>100</v>
      </c>
      <c r="J5083" s="9">
        <v>1</v>
      </c>
      <c r="K5083" s="9">
        <v>231</v>
      </c>
      <c r="L5083" s="9">
        <v>2025</v>
      </c>
      <c r="M5083" s="8" t="s">
        <v>29950</v>
      </c>
      <c r="N5083" s="8" t="s">
        <v>997</v>
      </c>
      <c r="O5083" s="8" t="s">
        <v>998</v>
      </c>
      <c r="P5083" s="6" t="s">
        <v>43</v>
      </c>
      <c r="Q5083" s="8" t="s">
        <v>102</v>
      </c>
      <c r="R5083" s="10" t="s">
        <v>29951</v>
      </c>
      <c r="S5083" s="11"/>
      <c r="T5083" s="6"/>
      <c r="U5083" s="24" t="str">
        <f>HYPERLINK("https://media.infra-m.ru/2169/2169086/cover/2169086.jpg", "Обложка")</f>
        <v>Обложка</v>
      </c>
      <c r="V5083" s="24" t="str">
        <f>HYPERLINK("https://znanium.ru/catalog/product/2169086", "Ознакомиться")</f>
        <v>Ознакомиться</v>
      </c>
      <c r="W5083" s="8" t="s">
        <v>234</v>
      </c>
      <c r="X5083" s="6" t="s">
        <v>785</v>
      </c>
      <c r="Y5083" s="6"/>
      <c r="Z5083" s="6" t="s">
        <v>104</v>
      </c>
      <c r="AA5083" s="6" t="s">
        <v>61</v>
      </c>
      <c r="AB5083" s="8"/>
    </row>
    <row r="5084" spans="1:28" s="4" customFormat="1" ht="51.95" customHeight="1">
      <c r="A5084" s="5">
        <v>0</v>
      </c>
      <c r="B5084" s="6" t="s">
        <v>29952</v>
      </c>
      <c r="C5084" s="13">
        <v>1090</v>
      </c>
      <c r="D5084" s="8" t="s">
        <v>29953</v>
      </c>
      <c r="E5084" s="8" t="s">
        <v>29948</v>
      </c>
      <c r="F5084" s="8" t="s">
        <v>29949</v>
      </c>
      <c r="G5084" s="6" t="s">
        <v>52</v>
      </c>
      <c r="H5084" s="6" t="s">
        <v>53</v>
      </c>
      <c r="I5084" s="8" t="s">
        <v>90</v>
      </c>
      <c r="J5084" s="9">
        <v>1</v>
      </c>
      <c r="K5084" s="9">
        <v>231</v>
      </c>
      <c r="L5084" s="9">
        <v>2023</v>
      </c>
      <c r="M5084" s="8" t="s">
        <v>29954</v>
      </c>
      <c r="N5084" s="8" t="s">
        <v>997</v>
      </c>
      <c r="O5084" s="8" t="s">
        <v>998</v>
      </c>
      <c r="P5084" s="6" t="s">
        <v>43</v>
      </c>
      <c r="Q5084" s="8" t="s">
        <v>44</v>
      </c>
      <c r="R5084" s="10" t="s">
        <v>1598</v>
      </c>
      <c r="S5084" s="11" t="s">
        <v>29955</v>
      </c>
      <c r="T5084" s="6"/>
      <c r="U5084" s="24" t="str">
        <f>HYPERLINK("https://media.infra-m.ru/1171/1171998/cover/1171998.jpg", "Обложка")</f>
        <v>Обложка</v>
      </c>
      <c r="V5084" s="24" t="str">
        <f>HYPERLINK("https://znanium.ru/catalog/product/1171998", "Ознакомиться")</f>
        <v>Ознакомиться</v>
      </c>
      <c r="W5084" s="8" t="s">
        <v>234</v>
      </c>
      <c r="X5084" s="6"/>
      <c r="Y5084" s="6"/>
      <c r="Z5084" s="6"/>
      <c r="AA5084" s="6" t="s">
        <v>207</v>
      </c>
      <c r="AB5084" s="8"/>
    </row>
    <row r="5085" spans="1:28" s="4" customFormat="1" ht="51.95" customHeight="1">
      <c r="A5085" s="5">
        <v>0</v>
      </c>
      <c r="B5085" s="6" t="s">
        <v>29956</v>
      </c>
      <c r="C5085" s="13">
        <v>1260</v>
      </c>
      <c r="D5085" s="8" t="s">
        <v>29957</v>
      </c>
      <c r="E5085" s="8" t="s">
        <v>29958</v>
      </c>
      <c r="F5085" s="8" t="s">
        <v>29959</v>
      </c>
      <c r="G5085" s="6" t="s">
        <v>89</v>
      </c>
      <c r="H5085" s="6" t="s">
        <v>53</v>
      </c>
      <c r="I5085" s="8" t="s">
        <v>165</v>
      </c>
      <c r="J5085" s="9">
        <v>1</v>
      </c>
      <c r="K5085" s="9">
        <v>273</v>
      </c>
      <c r="L5085" s="9">
        <v>2024</v>
      </c>
      <c r="M5085" s="8" t="s">
        <v>29960</v>
      </c>
      <c r="N5085" s="8" t="s">
        <v>41</v>
      </c>
      <c r="O5085" s="8" t="s">
        <v>118</v>
      </c>
      <c r="P5085" s="6" t="s">
        <v>167</v>
      </c>
      <c r="Q5085" s="8" t="s">
        <v>58</v>
      </c>
      <c r="R5085" s="10" t="s">
        <v>29961</v>
      </c>
      <c r="S5085" s="11" t="s">
        <v>29962</v>
      </c>
      <c r="T5085" s="6" t="s">
        <v>299</v>
      </c>
      <c r="U5085" s="24" t="str">
        <f>HYPERLINK("https://media.infra-m.ru/2079/2079945/cover/2079945.jpg", "Обложка")</f>
        <v>Обложка</v>
      </c>
      <c r="V5085" s="24" t="str">
        <f>HYPERLINK("https://znanium.ru/catalog/product/2079945", "Ознакомиться")</f>
        <v>Ознакомиться</v>
      </c>
      <c r="W5085" s="8" t="s">
        <v>83</v>
      </c>
      <c r="X5085" s="6"/>
      <c r="Y5085" s="6"/>
      <c r="Z5085" s="6"/>
      <c r="AA5085" s="6" t="s">
        <v>513</v>
      </c>
      <c r="AB5085" s="8"/>
    </row>
    <row r="5086" spans="1:28" s="4" customFormat="1" ht="44.1" customHeight="1">
      <c r="A5086" s="5">
        <v>0</v>
      </c>
      <c r="B5086" s="6" t="s">
        <v>29963</v>
      </c>
      <c r="C5086" s="7">
        <v>880</v>
      </c>
      <c r="D5086" s="8" t="s">
        <v>29964</v>
      </c>
      <c r="E5086" s="8" t="s">
        <v>29965</v>
      </c>
      <c r="F5086" s="8" t="s">
        <v>29966</v>
      </c>
      <c r="G5086" s="6" t="s">
        <v>89</v>
      </c>
      <c r="H5086" s="6" t="s">
        <v>77</v>
      </c>
      <c r="I5086" s="8"/>
      <c r="J5086" s="9">
        <v>1</v>
      </c>
      <c r="K5086" s="9">
        <v>256</v>
      </c>
      <c r="L5086" s="9">
        <v>2020</v>
      </c>
      <c r="M5086" s="8" t="s">
        <v>29967</v>
      </c>
      <c r="N5086" s="8" t="s">
        <v>41</v>
      </c>
      <c r="O5086" s="8" t="s">
        <v>118</v>
      </c>
      <c r="P5086" s="6" t="s">
        <v>167</v>
      </c>
      <c r="Q5086" s="8" t="s">
        <v>44</v>
      </c>
      <c r="R5086" s="10" t="s">
        <v>29961</v>
      </c>
      <c r="S5086" s="11"/>
      <c r="T5086" s="6" t="s">
        <v>299</v>
      </c>
      <c r="U5086" s="24" t="str">
        <f>HYPERLINK("https://media.infra-m.ru/0937/0937514/cover/937514.jpg", "Обложка")</f>
        <v>Обложка</v>
      </c>
      <c r="V5086" s="24" t="str">
        <f>HYPERLINK("https://znanium.ru/catalog/product/2079945", "Ознакомиться")</f>
        <v>Ознакомиться</v>
      </c>
      <c r="W5086" s="8" t="s">
        <v>83</v>
      </c>
      <c r="X5086" s="6"/>
      <c r="Y5086" s="6"/>
      <c r="Z5086" s="6"/>
      <c r="AA5086" s="6" t="s">
        <v>418</v>
      </c>
      <c r="AB5086" s="8"/>
    </row>
    <row r="5087" spans="1:28" s="4" customFormat="1" ht="51.95" customHeight="1">
      <c r="A5087" s="5">
        <v>0</v>
      </c>
      <c r="B5087" s="6" t="s">
        <v>29968</v>
      </c>
      <c r="C5087" s="7">
        <v>970</v>
      </c>
      <c r="D5087" s="8" t="s">
        <v>29969</v>
      </c>
      <c r="E5087" s="8" t="s">
        <v>29970</v>
      </c>
      <c r="F5087" s="8" t="s">
        <v>29971</v>
      </c>
      <c r="G5087" s="6" t="s">
        <v>89</v>
      </c>
      <c r="H5087" s="6" t="s">
        <v>649</v>
      </c>
      <c r="I5087" s="8" t="s">
        <v>100</v>
      </c>
      <c r="J5087" s="9">
        <v>1</v>
      </c>
      <c r="K5087" s="9">
        <v>206</v>
      </c>
      <c r="L5087" s="9">
        <v>2024</v>
      </c>
      <c r="M5087" s="8" t="s">
        <v>29972</v>
      </c>
      <c r="N5087" s="8" t="s">
        <v>79</v>
      </c>
      <c r="O5087" s="8" t="s">
        <v>80</v>
      </c>
      <c r="P5087" s="6" t="s">
        <v>43</v>
      </c>
      <c r="Q5087" s="8" t="s">
        <v>102</v>
      </c>
      <c r="R5087" s="10" t="s">
        <v>23273</v>
      </c>
      <c r="S5087" s="11" t="s">
        <v>2638</v>
      </c>
      <c r="T5087" s="6"/>
      <c r="U5087" s="24" t="str">
        <f>HYPERLINK("https://media.infra-m.ru/2155/2155758/cover/2155758.jpg", "Обложка")</f>
        <v>Обложка</v>
      </c>
      <c r="V5087" s="24" t="str">
        <f>HYPERLINK("https://znanium.ru/catalog/product/1189950", "Ознакомиться")</f>
        <v>Ознакомиться</v>
      </c>
      <c r="W5087" s="8" t="s">
        <v>2216</v>
      </c>
      <c r="X5087" s="6"/>
      <c r="Y5087" s="6"/>
      <c r="Z5087" s="6" t="s">
        <v>502</v>
      </c>
      <c r="AA5087" s="6" t="s">
        <v>258</v>
      </c>
      <c r="AB5087" s="8"/>
    </row>
    <row r="5088" spans="1:28" s="4" customFormat="1" ht="51.95" customHeight="1">
      <c r="A5088" s="5">
        <v>0</v>
      </c>
      <c r="B5088" s="6" t="s">
        <v>29973</v>
      </c>
      <c r="C5088" s="7">
        <v>944</v>
      </c>
      <c r="D5088" s="8" t="s">
        <v>29974</v>
      </c>
      <c r="E5088" s="8" t="s">
        <v>29970</v>
      </c>
      <c r="F5088" s="8" t="s">
        <v>29975</v>
      </c>
      <c r="G5088" s="6" t="s">
        <v>52</v>
      </c>
      <c r="H5088" s="6" t="s">
        <v>649</v>
      </c>
      <c r="I5088" s="8" t="s">
        <v>116</v>
      </c>
      <c r="J5088" s="9">
        <v>1</v>
      </c>
      <c r="K5088" s="9">
        <v>206</v>
      </c>
      <c r="L5088" s="9">
        <v>2024</v>
      </c>
      <c r="M5088" s="8" t="s">
        <v>29976</v>
      </c>
      <c r="N5088" s="8" t="s">
        <v>79</v>
      </c>
      <c r="O5088" s="8" t="s">
        <v>80</v>
      </c>
      <c r="P5088" s="6" t="s">
        <v>43</v>
      </c>
      <c r="Q5088" s="8" t="s">
        <v>58</v>
      </c>
      <c r="R5088" s="10" t="s">
        <v>29977</v>
      </c>
      <c r="S5088" s="11" t="s">
        <v>29978</v>
      </c>
      <c r="T5088" s="6"/>
      <c r="U5088" s="24" t="str">
        <f>HYPERLINK("https://media.infra-m.ru/1927/1927333/cover/1927333.jpg", "Обложка")</f>
        <v>Обложка</v>
      </c>
      <c r="V5088" s="12"/>
      <c r="W5088" s="8" t="s">
        <v>2216</v>
      </c>
      <c r="X5088" s="6"/>
      <c r="Y5088" s="6"/>
      <c r="Z5088" s="6"/>
      <c r="AA5088" s="6" t="s">
        <v>654</v>
      </c>
      <c r="AB5088" s="8"/>
    </row>
    <row r="5089" spans="1:28" s="4" customFormat="1" ht="51.95" customHeight="1">
      <c r="A5089" s="5">
        <v>0</v>
      </c>
      <c r="B5089" s="6" t="s">
        <v>29979</v>
      </c>
      <c r="C5089" s="13">
        <v>1254</v>
      </c>
      <c r="D5089" s="8" t="s">
        <v>29980</v>
      </c>
      <c r="E5089" s="8" t="s">
        <v>29981</v>
      </c>
      <c r="F5089" s="8" t="s">
        <v>29982</v>
      </c>
      <c r="G5089" s="6" t="s">
        <v>52</v>
      </c>
      <c r="H5089" s="6" t="s">
        <v>77</v>
      </c>
      <c r="I5089" s="8"/>
      <c r="J5089" s="9">
        <v>1</v>
      </c>
      <c r="K5089" s="9">
        <v>272</v>
      </c>
      <c r="L5089" s="9">
        <v>2024</v>
      </c>
      <c r="M5089" s="8" t="s">
        <v>29983</v>
      </c>
      <c r="N5089" s="8" t="s">
        <v>41</v>
      </c>
      <c r="O5089" s="8" t="s">
        <v>278</v>
      </c>
      <c r="P5089" s="6" t="s">
        <v>43</v>
      </c>
      <c r="Q5089" s="8" t="s">
        <v>44</v>
      </c>
      <c r="R5089" s="10" t="s">
        <v>24715</v>
      </c>
      <c r="S5089" s="11" t="s">
        <v>13938</v>
      </c>
      <c r="T5089" s="6"/>
      <c r="U5089" s="24" t="str">
        <f>HYPERLINK("https://media.infra-m.ru/2063/2063444/cover/2063444.jpg", "Обложка")</f>
        <v>Обложка</v>
      </c>
      <c r="V5089" s="24" t="str">
        <f>HYPERLINK("https://znanium.ru/catalog/product/1195622", "Ознакомиться")</f>
        <v>Ознакомиться</v>
      </c>
      <c r="W5089" s="8" t="s">
        <v>189</v>
      </c>
      <c r="X5089" s="6"/>
      <c r="Y5089" s="6"/>
      <c r="Z5089" s="6"/>
      <c r="AA5089" s="6" t="s">
        <v>622</v>
      </c>
      <c r="AB5089" s="8"/>
    </row>
    <row r="5090" spans="1:28" s="4" customFormat="1" ht="51.95" customHeight="1">
      <c r="A5090" s="5">
        <v>0</v>
      </c>
      <c r="B5090" s="6" t="s">
        <v>29984</v>
      </c>
      <c r="C5090" s="13">
        <v>1324</v>
      </c>
      <c r="D5090" s="8" t="s">
        <v>29985</v>
      </c>
      <c r="E5090" s="8" t="s">
        <v>29986</v>
      </c>
      <c r="F5090" s="8" t="s">
        <v>29987</v>
      </c>
      <c r="G5090" s="6" t="s">
        <v>89</v>
      </c>
      <c r="H5090" s="6" t="s">
        <v>53</v>
      </c>
      <c r="I5090" s="8" t="s">
        <v>90</v>
      </c>
      <c r="J5090" s="9">
        <v>1</v>
      </c>
      <c r="K5090" s="9">
        <v>281</v>
      </c>
      <c r="L5090" s="9">
        <v>2024</v>
      </c>
      <c r="M5090" s="8" t="s">
        <v>29988</v>
      </c>
      <c r="N5090" s="8" t="s">
        <v>997</v>
      </c>
      <c r="O5090" s="8" t="s">
        <v>998</v>
      </c>
      <c r="P5090" s="6" t="s">
        <v>167</v>
      </c>
      <c r="Q5090" s="8" t="s">
        <v>44</v>
      </c>
      <c r="R5090" s="10" t="s">
        <v>29989</v>
      </c>
      <c r="S5090" s="11" t="s">
        <v>29990</v>
      </c>
      <c r="T5090" s="6"/>
      <c r="U5090" s="24" t="str">
        <f>HYPERLINK("https://media.infra-m.ru/2139/2139620/cover/2139620.jpg", "Обложка")</f>
        <v>Обложка</v>
      </c>
      <c r="V5090" s="24" t="str">
        <f>HYPERLINK("https://znanium.ru/catalog/product/1549473", "Ознакомиться")</f>
        <v>Ознакомиться</v>
      </c>
      <c r="W5090" s="8" t="s">
        <v>46</v>
      </c>
      <c r="X5090" s="6"/>
      <c r="Y5090" s="6"/>
      <c r="Z5090" s="6"/>
      <c r="AA5090" s="6" t="s">
        <v>326</v>
      </c>
      <c r="AB5090" s="8"/>
    </row>
    <row r="5091" spans="1:28" s="4" customFormat="1" ht="51.95" customHeight="1">
      <c r="A5091" s="5">
        <v>0</v>
      </c>
      <c r="B5091" s="6" t="s">
        <v>29991</v>
      </c>
      <c r="C5091" s="13">
        <v>1414</v>
      </c>
      <c r="D5091" s="8" t="s">
        <v>29992</v>
      </c>
      <c r="E5091" s="8" t="s">
        <v>29986</v>
      </c>
      <c r="F5091" s="8" t="s">
        <v>29987</v>
      </c>
      <c r="G5091" s="6" t="s">
        <v>89</v>
      </c>
      <c r="H5091" s="6" t="s">
        <v>53</v>
      </c>
      <c r="I5091" s="8" t="s">
        <v>100</v>
      </c>
      <c r="J5091" s="9">
        <v>1</v>
      </c>
      <c r="K5091" s="9">
        <v>281</v>
      </c>
      <c r="L5091" s="9">
        <v>2025</v>
      </c>
      <c r="M5091" s="8" t="s">
        <v>29993</v>
      </c>
      <c r="N5091" s="8" t="s">
        <v>997</v>
      </c>
      <c r="O5091" s="8" t="s">
        <v>998</v>
      </c>
      <c r="P5091" s="6" t="s">
        <v>167</v>
      </c>
      <c r="Q5091" s="8" t="s">
        <v>102</v>
      </c>
      <c r="R5091" s="10" t="s">
        <v>7253</v>
      </c>
      <c r="S5091" s="11" t="s">
        <v>29994</v>
      </c>
      <c r="T5091" s="6"/>
      <c r="U5091" s="24" t="str">
        <f>HYPERLINK("https://media.infra-m.ru/2188/2188263/cover/2188263.jpg", "Обложка")</f>
        <v>Обложка</v>
      </c>
      <c r="V5091" s="24" t="str">
        <f>HYPERLINK("https://znanium.ru/catalog/product/2134060", "Ознакомиться")</f>
        <v>Ознакомиться</v>
      </c>
      <c r="W5091" s="8" t="s">
        <v>46</v>
      </c>
      <c r="X5091" s="6"/>
      <c r="Y5091" s="6"/>
      <c r="Z5091" s="6" t="s">
        <v>104</v>
      </c>
      <c r="AA5091" s="6" t="s">
        <v>813</v>
      </c>
      <c r="AB5091" s="8"/>
    </row>
    <row r="5092" spans="1:28" s="4" customFormat="1" ht="51.95" customHeight="1">
      <c r="A5092" s="5">
        <v>0</v>
      </c>
      <c r="B5092" s="6" t="s">
        <v>29995</v>
      </c>
      <c r="C5092" s="13">
        <v>1254</v>
      </c>
      <c r="D5092" s="8" t="s">
        <v>29996</v>
      </c>
      <c r="E5092" s="8" t="s">
        <v>29997</v>
      </c>
      <c r="F5092" s="8" t="s">
        <v>29998</v>
      </c>
      <c r="G5092" s="6" t="s">
        <v>89</v>
      </c>
      <c r="H5092" s="6" t="s">
        <v>53</v>
      </c>
      <c r="I5092" s="8" t="s">
        <v>90</v>
      </c>
      <c r="J5092" s="9">
        <v>1</v>
      </c>
      <c r="K5092" s="9">
        <v>272</v>
      </c>
      <c r="L5092" s="9">
        <v>2023</v>
      </c>
      <c r="M5092" s="8" t="s">
        <v>29999</v>
      </c>
      <c r="N5092" s="8" t="s">
        <v>41</v>
      </c>
      <c r="O5092" s="8" t="s">
        <v>1204</v>
      </c>
      <c r="P5092" s="6" t="s">
        <v>43</v>
      </c>
      <c r="Q5092" s="8" t="s">
        <v>44</v>
      </c>
      <c r="R5092" s="10" t="s">
        <v>23937</v>
      </c>
      <c r="S5092" s="11" t="s">
        <v>30000</v>
      </c>
      <c r="T5092" s="6"/>
      <c r="U5092" s="24" t="str">
        <f>HYPERLINK("https://media.infra-m.ru/2127/2127095/cover/2127095.jpg", "Обложка")</f>
        <v>Обложка</v>
      </c>
      <c r="V5092" s="24" t="str">
        <f>HYPERLINK("https://znanium.ru/catalog/product/1914130", "Ознакомиться")</f>
        <v>Ознакомиться</v>
      </c>
      <c r="W5092" s="8" t="s">
        <v>2321</v>
      </c>
      <c r="X5092" s="6"/>
      <c r="Y5092" s="6"/>
      <c r="Z5092" s="6"/>
      <c r="AA5092" s="6" t="s">
        <v>2217</v>
      </c>
      <c r="AB5092" s="8"/>
    </row>
    <row r="5093" spans="1:28" s="4" customFormat="1" ht="51.95" customHeight="1">
      <c r="A5093" s="5">
        <v>0</v>
      </c>
      <c r="B5093" s="6" t="s">
        <v>30001</v>
      </c>
      <c r="C5093" s="13">
        <v>1200</v>
      </c>
      <c r="D5093" s="8" t="s">
        <v>30002</v>
      </c>
      <c r="E5093" s="8" t="s">
        <v>30003</v>
      </c>
      <c r="F5093" s="8" t="s">
        <v>24416</v>
      </c>
      <c r="G5093" s="6" t="s">
        <v>89</v>
      </c>
      <c r="H5093" s="6" t="s">
        <v>53</v>
      </c>
      <c r="I5093" s="8" t="s">
        <v>116</v>
      </c>
      <c r="J5093" s="9">
        <v>1</v>
      </c>
      <c r="K5093" s="9">
        <v>232</v>
      </c>
      <c r="L5093" s="9">
        <v>2025</v>
      </c>
      <c r="M5093" s="8" t="s">
        <v>30004</v>
      </c>
      <c r="N5093" s="8" t="s">
        <v>41</v>
      </c>
      <c r="O5093" s="8" t="s">
        <v>1007</v>
      </c>
      <c r="P5093" s="6" t="s">
        <v>167</v>
      </c>
      <c r="Q5093" s="8" t="s">
        <v>44</v>
      </c>
      <c r="R5093" s="10" t="s">
        <v>1953</v>
      </c>
      <c r="S5093" s="11" t="s">
        <v>30005</v>
      </c>
      <c r="T5093" s="6"/>
      <c r="U5093" s="24" t="str">
        <f>HYPERLINK("https://media.infra-m.ru/2198/2198341/cover/2198341.jpg", "Обложка")</f>
        <v>Обложка</v>
      </c>
      <c r="V5093" s="24" t="str">
        <f>HYPERLINK("https://znanium.ru/catalog/product/2198341", "Ознакомиться")</f>
        <v>Ознакомиться</v>
      </c>
      <c r="W5093" s="8" t="s">
        <v>24419</v>
      </c>
      <c r="X5093" s="6"/>
      <c r="Y5093" s="6"/>
      <c r="Z5093" s="6"/>
      <c r="AA5093" s="6" t="s">
        <v>793</v>
      </c>
      <c r="AB5093" s="8"/>
    </row>
    <row r="5094" spans="1:28" s="4" customFormat="1" ht="51.95" customHeight="1">
      <c r="A5094" s="5">
        <v>0</v>
      </c>
      <c r="B5094" s="6" t="s">
        <v>30006</v>
      </c>
      <c r="C5094" s="13">
        <v>1194</v>
      </c>
      <c r="D5094" s="8" t="s">
        <v>30007</v>
      </c>
      <c r="E5094" s="8" t="s">
        <v>30008</v>
      </c>
      <c r="F5094" s="8" t="s">
        <v>8178</v>
      </c>
      <c r="G5094" s="6" t="s">
        <v>52</v>
      </c>
      <c r="H5094" s="6" t="s">
        <v>53</v>
      </c>
      <c r="I5094" s="8" t="s">
        <v>100</v>
      </c>
      <c r="J5094" s="9">
        <v>1</v>
      </c>
      <c r="K5094" s="9">
        <v>238</v>
      </c>
      <c r="L5094" s="9">
        <v>2025</v>
      </c>
      <c r="M5094" s="8" t="s">
        <v>30009</v>
      </c>
      <c r="N5094" s="8" t="s">
        <v>41</v>
      </c>
      <c r="O5094" s="8" t="s">
        <v>278</v>
      </c>
      <c r="P5094" s="6" t="s">
        <v>43</v>
      </c>
      <c r="Q5094" s="8" t="s">
        <v>102</v>
      </c>
      <c r="R5094" s="10" t="s">
        <v>30010</v>
      </c>
      <c r="S5094" s="11" t="s">
        <v>30011</v>
      </c>
      <c r="T5094" s="6"/>
      <c r="U5094" s="24" t="str">
        <f>HYPERLINK("https://media.infra-m.ru/2185/2185211/cover/2185211.jpg", "Обложка")</f>
        <v>Обложка</v>
      </c>
      <c r="V5094" s="24" t="str">
        <f>HYPERLINK("https://znanium.ru/catalog/product/2083342", "Ознакомиться")</f>
        <v>Ознакомиться</v>
      </c>
      <c r="W5094" s="8" t="s">
        <v>8182</v>
      </c>
      <c r="X5094" s="6"/>
      <c r="Y5094" s="6" t="s">
        <v>30</v>
      </c>
      <c r="Z5094" s="6"/>
      <c r="AA5094" s="6" t="s">
        <v>793</v>
      </c>
      <c r="AB5094" s="8" t="s">
        <v>2344</v>
      </c>
    </row>
    <row r="5095" spans="1:28" s="4" customFormat="1" ht="42" customHeight="1">
      <c r="A5095" s="5">
        <v>0</v>
      </c>
      <c r="B5095" s="6" t="s">
        <v>30012</v>
      </c>
      <c r="C5095" s="13">
        <v>1020</v>
      </c>
      <c r="D5095" s="8" t="s">
        <v>30013</v>
      </c>
      <c r="E5095" s="8" t="s">
        <v>30014</v>
      </c>
      <c r="F5095" s="8" t="s">
        <v>30015</v>
      </c>
      <c r="G5095" s="6" t="s">
        <v>89</v>
      </c>
      <c r="H5095" s="6" t="s">
        <v>438</v>
      </c>
      <c r="I5095" s="8"/>
      <c r="J5095" s="9">
        <v>1</v>
      </c>
      <c r="K5095" s="9">
        <v>218</v>
      </c>
      <c r="L5095" s="9">
        <v>2024</v>
      </c>
      <c r="M5095" s="8" t="s">
        <v>30016</v>
      </c>
      <c r="N5095" s="8" t="s">
        <v>79</v>
      </c>
      <c r="O5095" s="8" t="s">
        <v>80</v>
      </c>
      <c r="P5095" s="6" t="s">
        <v>167</v>
      </c>
      <c r="Q5095" s="8" t="s">
        <v>102</v>
      </c>
      <c r="R5095" s="10" t="s">
        <v>30017</v>
      </c>
      <c r="S5095" s="11"/>
      <c r="T5095" s="6"/>
      <c r="U5095" s="24" t="str">
        <f>HYPERLINK("https://media.infra-m.ru/2145/2145819/cover/2145819.jpg", "Обложка")</f>
        <v>Обложка</v>
      </c>
      <c r="V5095" s="24" t="str">
        <f>HYPERLINK("https://znanium.ru/catalog/product/2145819", "Ознакомиться")</f>
        <v>Ознакомиться</v>
      </c>
      <c r="W5095" s="8" t="s">
        <v>1175</v>
      </c>
      <c r="X5095" s="6"/>
      <c r="Y5095" s="6"/>
      <c r="Z5095" s="6"/>
      <c r="AA5095" s="6" t="s">
        <v>442</v>
      </c>
      <c r="AB5095" s="8"/>
    </row>
    <row r="5096" spans="1:28" s="4" customFormat="1" ht="51.95" customHeight="1">
      <c r="A5096" s="5">
        <v>0</v>
      </c>
      <c r="B5096" s="6" t="s">
        <v>30018</v>
      </c>
      <c r="C5096" s="7">
        <v>890</v>
      </c>
      <c r="D5096" s="8" t="s">
        <v>30019</v>
      </c>
      <c r="E5096" s="8" t="s">
        <v>30020</v>
      </c>
      <c r="F5096" s="8" t="s">
        <v>30021</v>
      </c>
      <c r="G5096" s="6" t="s">
        <v>89</v>
      </c>
      <c r="H5096" s="6" t="s">
        <v>53</v>
      </c>
      <c r="I5096" s="8" t="s">
        <v>116</v>
      </c>
      <c r="J5096" s="9">
        <v>1</v>
      </c>
      <c r="K5096" s="9">
        <v>160</v>
      </c>
      <c r="L5096" s="9">
        <v>2025</v>
      </c>
      <c r="M5096" s="8" t="s">
        <v>30022</v>
      </c>
      <c r="N5096" s="8" t="s">
        <v>997</v>
      </c>
      <c r="O5096" s="8" t="s">
        <v>998</v>
      </c>
      <c r="P5096" s="6" t="s">
        <v>43</v>
      </c>
      <c r="Q5096" s="8" t="s">
        <v>44</v>
      </c>
      <c r="R5096" s="10" t="s">
        <v>6390</v>
      </c>
      <c r="S5096" s="11"/>
      <c r="T5096" s="6"/>
      <c r="U5096" s="24" t="str">
        <f>HYPERLINK("https://media.infra-m.ru/2179/2179077/cover/2179077.jpg", "Обложка")</f>
        <v>Обложка</v>
      </c>
      <c r="V5096" s="24" t="str">
        <f>HYPERLINK("https://znanium.ru/catalog/product/2179077", "Ознакомиться")</f>
        <v>Ознакомиться</v>
      </c>
      <c r="W5096" s="8" t="s">
        <v>2514</v>
      </c>
      <c r="X5096" s="6"/>
      <c r="Y5096" s="6"/>
      <c r="Z5096" s="6"/>
      <c r="AA5096" s="6" t="s">
        <v>207</v>
      </c>
      <c r="AB5096" s="8" t="s">
        <v>30023</v>
      </c>
    </row>
    <row r="5097" spans="1:28" s="4" customFormat="1" ht="51.95" customHeight="1">
      <c r="A5097" s="5">
        <v>0</v>
      </c>
      <c r="B5097" s="6" t="s">
        <v>30024</v>
      </c>
      <c r="C5097" s="13">
        <v>1624</v>
      </c>
      <c r="D5097" s="8" t="s">
        <v>30025</v>
      </c>
      <c r="E5097" s="8" t="s">
        <v>30026</v>
      </c>
      <c r="F5097" s="8" t="s">
        <v>30027</v>
      </c>
      <c r="G5097" s="6" t="s">
        <v>52</v>
      </c>
      <c r="H5097" s="6" t="s">
        <v>53</v>
      </c>
      <c r="I5097" s="8" t="s">
        <v>90</v>
      </c>
      <c r="J5097" s="9">
        <v>1</v>
      </c>
      <c r="K5097" s="9">
        <v>345</v>
      </c>
      <c r="L5097" s="9">
        <v>2024</v>
      </c>
      <c r="M5097" s="8" t="s">
        <v>30028</v>
      </c>
      <c r="N5097" s="8" t="s">
        <v>79</v>
      </c>
      <c r="O5097" s="8" t="s">
        <v>396</v>
      </c>
      <c r="P5097" s="6" t="s">
        <v>43</v>
      </c>
      <c r="Q5097" s="8" t="s">
        <v>44</v>
      </c>
      <c r="R5097" s="10" t="s">
        <v>14357</v>
      </c>
      <c r="S5097" s="11" t="s">
        <v>30029</v>
      </c>
      <c r="T5097" s="6"/>
      <c r="U5097" s="24" t="str">
        <f>HYPERLINK("https://media.infra-m.ru/2142/2142592/cover/2142592.jpg", "Обложка")</f>
        <v>Обложка</v>
      </c>
      <c r="V5097" s="24" t="str">
        <f>HYPERLINK("https://znanium.ru/catalog/product/2142592", "Ознакомиться")</f>
        <v>Ознакомиться</v>
      </c>
      <c r="W5097" s="8" t="s">
        <v>450</v>
      </c>
      <c r="X5097" s="6"/>
      <c r="Y5097" s="6"/>
      <c r="Z5097" s="6"/>
      <c r="AA5097" s="6" t="s">
        <v>442</v>
      </c>
      <c r="AB5097" s="8"/>
    </row>
    <row r="5098" spans="1:28" s="4" customFormat="1" ht="51.95" customHeight="1">
      <c r="A5098" s="5">
        <v>0</v>
      </c>
      <c r="B5098" s="6" t="s">
        <v>30030</v>
      </c>
      <c r="C5098" s="13">
        <v>1354</v>
      </c>
      <c r="D5098" s="8" t="s">
        <v>30031</v>
      </c>
      <c r="E5098" s="8" t="s">
        <v>30032</v>
      </c>
      <c r="F5098" s="8" t="s">
        <v>30033</v>
      </c>
      <c r="G5098" s="6" t="s">
        <v>52</v>
      </c>
      <c r="H5098" s="6" t="s">
        <v>53</v>
      </c>
      <c r="I5098" s="8" t="s">
        <v>100</v>
      </c>
      <c r="J5098" s="9">
        <v>1</v>
      </c>
      <c r="K5098" s="9">
        <v>271</v>
      </c>
      <c r="L5098" s="9">
        <v>2024</v>
      </c>
      <c r="M5098" s="8" t="s">
        <v>30034</v>
      </c>
      <c r="N5098" s="8" t="s">
        <v>79</v>
      </c>
      <c r="O5098" s="8" t="s">
        <v>396</v>
      </c>
      <c r="P5098" s="6" t="s">
        <v>43</v>
      </c>
      <c r="Q5098" s="8" t="s">
        <v>102</v>
      </c>
      <c r="R5098" s="10" t="s">
        <v>30035</v>
      </c>
      <c r="S5098" s="11" t="s">
        <v>30036</v>
      </c>
      <c r="T5098" s="6"/>
      <c r="U5098" s="24" t="str">
        <f>HYPERLINK("https://media.infra-m.ru/2141/2141766/cover/2141766.jpg", "Обложка")</f>
        <v>Обложка</v>
      </c>
      <c r="V5098" s="24" t="str">
        <f>HYPERLINK("https://znanium.ru/catalog/product/1037188", "Ознакомиться")</f>
        <v>Ознакомиться</v>
      </c>
      <c r="W5098" s="8" t="s">
        <v>2343</v>
      </c>
      <c r="X5098" s="6"/>
      <c r="Y5098" s="6"/>
      <c r="Z5098" s="6"/>
      <c r="AA5098" s="6" t="s">
        <v>235</v>
      </c>
      <c r="AB5098" s="8" t="s">
        <v>2336</v>
      </c>
    </row>
    <row r="5099" spans="1:28" s="4" customFormat="1" ht="51.95" customHeight="1">
      <c r="A5099" s="5">
        <v>0</v>
      </c>
      <c r="B5099" s="6" t="s">
        <v>30037</v>
      </c>
      <c r="C5099" s="7">
        <v>930</v>
      </c>
      <c r="D5099" s="8" t="s">
        <v>30038</v>
      </c>
      <c r="E5099" s="8" t="s">
        <v>30039</v>
      </c>
      <c r="F5099" s="8" t="s">
        <v>30040</v>
      </c>
      <c r="G5099" s="6" t="s">
        <v>89</v>
      </c>
      <c r="H5099" s="6" t="s">
        <v>53</v>
      </c>
      <c r="I5099" s="8" t="s">
        <v>90</v>
      </c>
      <c r="J5099" s="9">
        <v>1</v>
      </c>
      <c r="K5099" s="9">
        <v>244</v>
      </c>
      <c r="L5099" s="9">
        <v>2022</v>
      </c>
      <c r="M5099" s="8" t="s">
        <v>30041</v>
      </c>
      <c r="N5099" s="8" t="s">
        <v>79</v>
      </c>
      <c r="O5099" s="8" t="s">
        <v>684</v>
      </c>
      <c r="P5099" s="6" t="s">
        <v>43</v>
      </c>
      <c r="Q5099" s="8" t="s">
        <v>44</v>
      </c>
      <c r="R5099" s="10" t="s">
        <v>5343</v>
      </c>
      <c r="S5099" s="11" t="s">
        <v>30042</v>
      </c>
      <c r="T5099" s="6"/>
      <c r="U5099" s="24" t="str">
        <f>HYPERLINK("https://media.infra-m.ru/1864/1864199/cover/1864199.jpg", "Обложка")</f>
        <v>Обложка</v>
      </c>
      <c r="V5099" s="24" t="str">
        <f>HYPERLINK("https://znanium.ru/catalog/product/1864199", "Ознакомиться")</f>
        <v>Ознакомиться</v>
      </c>
      <c r="W5099" s="8" t="s">
        <v>637</v>
      </c>
      <c r="X5099" s="6"/>
      <c r="Y5099" s="6"/>
      <c r="Z5099" s="6"/>
      <c r="AA5099" s="6" t="s">
        <v>258</v>
      </c>
      <c r="AB5099" s="8"/>
    </row>
    <row r="5100" spans="1:28" s="4" customFormat="1" ht="51.95" customHeight="1">
      <c r="A5100" s="5">
        <v>0</v>
      </c>
      <c r="B5100" s="6" t="s">
        <v>30043</v>
      </c>
      <c r="C5100" s="13">
        <v>1520</v>
      </c>
      <c r="D5100" s="8" t="s">
        <v>30044</v>
      </c>
      <c r="E5100" s="8" t="s">
        <v>30045</v>
      </c>
      <c r="F5100" s="8" t="s">
        <v>30046</v>
      </c>
      <c r="G5100" s="6" t="s">
        <v>52</v>
      </c>
      <c r="H5100" s="6" t="s">
        <v>53</v>
      </c>
      <c r="I5100" s="8" t="s">
        <v>712</v>
      </c>
      <c r="J5100" s="9">
        <v>1</v>
      </c>
      <c r="K5100" s="9">
        <v>302</v>
      </c>
      <c r="L5100" s="9">
        <v>2025</v>
      </c>
      <c r="M5100" s="8" t="s">
        <v>30047</v>
      </c>
      <c r="N5100" s="8" t="s">
        <v>79</v>
      </c>
      <c r="O5100" s="8" t="s">
        <v>396</v>
      </c>
      <c r="P5100" s="6" t="s">
        <v>43</v>
      </c>
      <c r="Q5100" s="8" t="s">
        <v>58</v>
      </c>
      <c r="R5100" s="10" t="s">
        <v>21689</v>
      </c>
      <c r="S5100" s="11" t="s">
        <v>30048</v>
      </c>
      <c r="T5100" s="6"/>
      <c r="U5100" s="24" t="str">
        <f>HYPERLINK("https://media.infra-m.ru/2169/2169741/cover/2169741.jpg", "Обложка")</f>
        <v>Обложка</v>
      </c>
      <c r="V5100" s="24" t="str">
        <f>HYPERLINK("https://znanium.ru/catalog/product/2169741", "Ознакомиться")</f>
        <v>Ознакомиться</v>
      </c>
      <c r="W5100" s="8" t="s">
        <v>716</v>
      </c>
      <c r="X5100" s="6" t="s">
        <v>132</v>
      </c>
      <c r="Y5100" s="6"/>
      <c r="Z5100" s="6"/>
      <c r="AA5100" s="6" t="s">
        <v>61</v>
      </c>
      <c r="AB5100" s="8"/>
    </row>
    <row r="5101" spans="1:28" s="4" customFormat="1" ht="51.95" customHeight="1">
      <c r="A5101" s="5">
        <v>0</v>
      </c>
      <c r="B5101" s="6" t="s">
        <v>30049</v>
      </c>
      <c r="C5101" s="13">
        <v>2280</v>
      </c>
      <c r="D5101" s="8" t="s">
        <v>30050</v>
      </c>
      <c r="E5101" s="8" t="s">
        <v>30051</v>
      </c>
      <c r="F5101" s="8" t="s">
        <v>30052</v>
      </c>
      <c r="G5101" s="6" t="s">
        <v>52</v>
      </c>
      <c r="H5101" s="6" t="s">
        <v>53</v>
      </c>
      <c r="I5101" s="8" t="s">
        <v>116</v>
      </c>
      <c r="J5101" s="9">
        <v>1</v>
      </c>
      <c r="K5101" s="9">
        <v>457</v>
      </c>
      <c r="L5101" s="9">
        <v>2025</v>
      </c>
      <c r="M5101" s="8" t="s">
        <v>30053</v>
      </c>
      <c r="N5101" s="8" t="s">
        <v>79</v>
      </c>
      <c r="O5101" s="8" t="s">
        <v>396</v>
      </c>
      <c r="P5101" s="6" t="s">
        <v>167</v>
      </c>
      <c r="Q5101" s="8" t="s">
        <v>44</v>
      </c>
      <c r="R5101" s="10" t="s">
        <v>30054</v>
      </c>
      <c r="S5101" s="11" t="s">
        <v>30055</v>
      </c>
      <c r="T5101" s="6"/>
      <c r="U5101" s="24" t="str">
        <f>HYPERLINK("https://media.infra-m.ru/2159/2159172/cover/2159172.jpg", "Обложка")</f>
        <v>Обложка</v>
      </c>
      <c r="V5101" s="24" t="str">
        <f>HYPERLINK("https://znanium.ru/catalog/product/2159172", "Ознакомиться")</f>
        <v>Ознакомиться</v>
      </c>
      <c r="W5101" s="8" t="s">
        <v>1345</v>
      </c>
      <c r="X5101" s="6"/>
      <c r="Y5101" s="6"/>
      <c r="Z5101" s="6"/>
      <c r="AA5101" s="6" t="s">
        <v>793</v>
      </c>
      <c r="AB5101" s="8"/>
    </row>
    <row r="5102" spans="1:28" s="4" customFormat="1" ht="51.95" customHeight="1">
      <c r="A5102" s="5">
        <v>0</v>
      </c>
      <c r="B5102" s="6" t="s">
        <v>30056</v>
      </c>
      <c r="C5102" s="7">
        <v>794.9</v>
      </c>
      <c r="D5102" s="8" t="s">
        <v>30057</v>
      </c>
      <c r="E5102" s="8" t="s">
        <v>30058</v>
      </c>
      <c r="F5102" s="8" t="s">
        <v>30059</v>
      </c>
      <c r="G5102" s="6" t="s">
        <v>89</v>
      </c>
      <c r="H5102" s="6" t="s">
        <v>39</v>
      </c>
      <c r="I5102" s="8" t="s">
        <v>100</v>
      </c>
      <c r="J5102" s="9">
        <v>1</v>
      </c>
      <c r="K5102" s="9">
        <v>176</v>
      </c>
      <c r="L5102" s="9">
        <v>2023</v>
      </c>
      <c r="M5102" s="8" t="s">
        <v>30060</v>
      </c>
      <c r="N5102" s="8" t="s">
        <v>79</v>
      </c>
      <c r="O5102" s="8" t="s">
        <v>684</v>
      </c>
      <c r="P5102" s="6" t="s">
        <v>43</v>
      </c>
      <c r="Q5102" s="8" t="s">
        <v>102</v>
      </c>
      <c r="R5102" s="10" t="s">
        <v>30061</v>
      </c>
      <c r="S5102" s="11" t="s">
        <v>30062</v>
      </c>
      <c r="T5102" s="6"/>
      <c r="U5102" s="24" t="str">
        <f>HYPERLINK("https://media.infra-m.ru/2045/2045973/cover/2045973.jpg", "Обложка")</f>
        <v>Обложка</v>
      </c>
      <c r="V5102" s="24" t="str">
        <f>HYPERLINK("https://znanium.ru/catalog/product/1096018", "Ознакомиться")</f>
        <v>Ознакомиться</v>
      </c>
      <c r="W5102" s="8" t="s">
        <v>1123</v>
      </c>
      <c r="X5102" s="6"/>
      <c r="Y5102" s="6"/>
      <c r="Z5102" s="6" t="s">
        <v>104</v>
      </c>
      <c r="AA5102" s="6" t="s">
        <v>793</v>
      </c>
      <c r="AB5102" s="8"/>
    </row>
    <row r="5103" spans="1:28" s="4" customFormat="1" ht="51.95" customHeight="1">
      <c r="A5103" s="5">
        <v>0</v>
      </c>
      <c r="B5103" s="6" t="s">
        <v>30063</v>
      </c>
      <c r="C5103" s="7">
        <v>884</v>
      </c>
      <c r="D5103" s="8" t="s">
        <v>30064</v>
      </c>
      <c r="E5103" s="8" t="s">
        <v>30058</v>
      </c>
      <c r="F5103" s="8" t="s">
        <v>30059</v>
      </c>
      <c r="G5103" s="6" t="s">
        <v>38</v>
      </c>
      <c r="H5103" s="6" t="s">
        <v>39</v>
      </c>
      <c r="I5103" s="8" t="s">
        <v>116</v>
      </c>
      <c r="J5103" s="9">
        <v>1</v>
      </c>
      <c r="K5103" s="9">
        <v>176</v>
      </c>
      <c r="L5103" s="9">
        <v>2025</v>
      </c>
      <c r="M5103" s="8" t="s">
        <v>30065</v>
      </c>
      <c r="N5103" s="8" t="s">
        <v>79</v>
      </c>
      <c r="O5103" s="8" t="s">
        <v>684</v>
      </c>
      <c r="P5103" s="6" t="s">
        <v>43</v>
      </c>
      <c r="Q5103" s="8" t="s">
        <v>44</v>
      </c>
      <c r="R5103" s="10" t="s">
        <v>30066</v>
      </c>
      <c r="S5103" s="11" t="s">
        <v>30067</v>
      </c>
      <c r="T5103" s="6"/>
      <c r="U5103" s="24" t="str">
        <f>HYPERLINK("https://media.infra-m.ru/2188/2188204/cover/2188204.jpg", "Обложка")</f>
        <v>Обложка</v>
      </c>
      <c r="V5103" s="24" t="str">
        <f>HYPERLINK("https://znanium.ru/catalog/product/1832413", "Ознакомиться")</f>
        <v>Ознакомиться</v>
      </c>
      <c r="W5103" s="8" t="s">
        <v>1123</v>
      </c>
      <c r="X5103" s="6"/>
      <c r="Y5103" s="6"/>
      <c r="Z5103" s="6"/>
      <c r="AA5103" s="6" t="s">
        <v>1135</v>
      </c>
      <c r="AB5103" s="8"/>
    </row>
    <row r="5104" spans="1:28" s="4" customFormat="1" ht="51.95" customHeight="1">
      <c r="A5104" s="5">
        <v>0</v>
      </c>
      <c r="B5104" s="6" t="s">
        <v>30068</v>
      </c>
      <c r="C5104" s="13">
        <v>1360</v>
      </c>
      <c r="D5104" s="8" t="s">
        <v>30069</v>
      </c>
      <c r="E5104" s="8" t="s">
        <v>30070</v>
      </c>
      <c r="F5104" s="8" t="s">
        <v>30071</v>
      </c>
      <c r="G5104" s="6" t="s">
        <v>89</v>
      </c>
      <c r="H5104" s="6" t="s">
        <v>438</v>
      </c>
      <c r="I5104" s="8" t="s">
        <v>1171</v>
      </c>
      <c r="J5104" s="9">
        <v>20</v>
      </c>
      <c r="K5104" s="9">
        <v>272</v>
      </c>
      <c r="L5104" s="9">
        <v>2025</v>
      </c>
      <c r="M5104" s="8" t="s">
        <v>30072</v>
      </c>
      <c r="N5104" s="8" t="s">
        <v>79</v>
      </c>
      <c r="O5104" s="8" t="s">
        <v>396</v>
      </c>
      <c r="P5104" s="6" t="s">
        <v>167</v>
      </c>
      <c r="Q5104" s="8" t="s">
        <v>44</v>
      </c>
      <c r="R5104" s="10" t="s">
        <v>507</v>
      </c>
      <c r="S5104" s="11" t="s">
        <v>30073</v>
      </c>
      <c r="T5104" s="6"/>
      <c r="U5104" s="24" t="str">
        <f>HYPERLINK("https://media.infra-m.ru/2157/2157863/cover/2157863.jpg", "Обложка")</f>
        <v>Обложка</v>
      </c>
      <c r="V5104" s="24" t="str">
        <f>HYPERLINK("https://znanium.ru/catalog/product/2157863", "Ознакомиться")</f>
        <v>Ознакомиться</v>
      </c>
      <c r="W5104" s="8" t="s">
        <v>450</v>
      </c>
      <c r="X5104" s="6"/>
      <c r="Y5104" s="6"/>
      <c r="Z5104" s="6"/>
      <c r="AA5104" s="6" t="s">
        <v>442</v>
      </c>
      <c r="AB5104" s="8"/>
    </row>
    <row r="5105" spans="1:28" s="4" customFormat="1" ht="51.95" customHeight="1">
      <c r="A5105" s="5">
        <v>0</v>
      </c>
      <c r="B5105" s="6" t="s">
        <v>30074</v>
      </c>
      <c r="C5105" s="13">
        <v>1524</v>
      </c>
      <c r="D5105" s="8" t="s">
        <v>30075</v>
      </c>
      <c r="E5105" s="8" t="s">
        <v>30076</v>
      </c>
      <c r="F5105" s="8" t="s">
        <v>30077</v>
      </c>
      <c r="G5105" s="6" t="s">
        <v>52</v>
      </c>
      <c r="H5105" s="6" t="s">
        <v>649</v>
      </c>
      <c r="I5105" s="8" t="s">
        <v>116</v>
      </c>
      <c r="J5105" s="9">
        <v>16</v>
      </c>
      <c r="K5105" s="9">
        <v>304</v>
      </c>
      <c r="L5105" s="9">
        <v>2025</v>
      </c>
      <c r="M5105" s="8" t="s">
        <v>30078</v>
      </c>
      <c r="N5105" s="8" t="s">
        <v>79</v>
      </c>
      <c r="O5105" s="8" t="s">
        <v>396</v>
      </c>
      <c r="P5105" s="6" t="s">
        <v>43</v>
      </c>
      <c r="Q5105" s="8" t="s">
        <v>44</v>
      </c>
      <c r="R5105" s="10" t="s">
        <v>11000</v>
      </c>
      <c r="S5105" s="11" t="s">
        <v>30079</v>
      </c>
      <c r="T5105" s="6"/>
      <c r="U5105" s="24" t="str">
        <f>HYPERLINK("https://media.infra-m.ru/2165/2165436/cover/2165436.jpg", "Обложка")</f>
        <v>Обложка</v>
      </c>
      <c r="V5105" s="24" t="str">
        <f>HYPERLINK("https://znanium.ru/catalog/product/1002236", "Ознакомиться")</f>
        <v>Ознакомиться</v>
      </c>
      <c r="W5105" s="8" t="s">
        <v>2321</v>
      </c>
      <c r="X5105" s="6"/>
      <c r="Y5105" s="6"/>
      <c r="Z5105" s="6"/>
      <c r="AA5105" s="6" t="s">
        <v>72</v>
      </c>
      <c r="AB5105" s="8"/>
    </row>
    <row r="5106" spans="1:28" s="4" customFormat="1" ht="51.95" customHeight="1">
      <c r="A5106" s="5">
        <v>0</v>
      </c>
      <c r="B5106" s="6" t="s">
        <v>30080</v>
      </c>
      <c r="C5106" s="13">
        <v>1104</v>
      </c>
      <c r="D5106" s="8" t="s">
        <v>30081</v>
      </c>
      <c r="E5106" s="8" t="s">
        <v>30082</v>
      </c>
      <c r="F5106" s="8" t="s">
        <v>30083</v>
      </c>
      <c r="G5106" s="6" t="s">
        <v>52</v>
      </c>
      <c r="H5106" s="6" t="s">
        <v>39</v>
      </c>
      <c r="I5106" s="8" t="s">
        <v>116</v>
      </c>
      <c r="J5106" s="9">
        <v>1</v>
      </c>
      <c r="K5106" s="9">
        <v>240</v>
      </c>
      <c r="L5106" s="9">
        <v>2024</v>
      </c>
      <c r="M5106" s="8" t="s">
        <v>30084</v>
      </c>
      <c r="N5106" s="8" t="s">
        <v>41</v>
      </c>
      <c r="O5106" s="8" t="s">
        <v>278</v>
      </c>
      <c r="P5106" s="6" t="s">
        <v>43</v>
      </c>
      <c r="Q5106" s="8" t="s">
        <v>44</v>
      </c>
      <c r="R5106" s="10" t="s">
        <v>18035</v>
      </c>
      <c r="S5106" s="11" t="s">
        <v>30085</v>
      </c>
      <c r="T5106" s="6"/>
      <c r="U5106" s="24" t="str">
        <f>HYPERLINK("https://media.infra-m.ru/2056/2056628/cover/2056628.jpg", "Обложка")</f>
        <v>Обложка</v>
      </c>
      <c r="V5106" s="12"/>
      <c r="W5106" s="8" t="s">
        <v>30086</v>
      </c>
      <c r="X5106" s="6"/>
      <c r="Y5106" s="6"/>
      <c r="Z5106" s="6"/>
      <c r="AA5106" s="6" t="s">
        <v>1135</v>
      </c>
      <c r="AB5106" s="8"/>
    </row>
    <row r="5107" spans="1:28" s="4" customFormat="1" ht="51.95" customHeight="1">
      <c r="A5107" s="5">
        <v>0</v>
      </c>
      <c r="B5107" s="6" t="s">
        <v>30087</v>
      </c>
      <c r="C5107" s="13">
        <v>1734</v>
      </c>
      <c r="D5107" s="8" t="s">
        <v>30088</v>
      </c>
      <c r="E5107" s="8" t="s">
        <v>30089</v>
      </c>
      <c r="F5107" s="8" t="s">
        <v>30090</v>
      </c>
      <c r="G5107" s="6" t="s">
        <v>52</v>
      </c>
      <c r="H5107" s="6" t="s">
        <v>53</v>
      </c>
      <c r="I5107" s="8" t="s">
        <v>100</v>
      </c>
      <c r="J5107" s="9">
        <v>1</v>
      </c>
      <c r="K5107" s="9">
        <v>346</v>
      </c>
      <c r="L5107" s="9">
        <v>2025</v>
      </c>
      <c r="M5107" s="8" t="s">
        <v>30091</v>
      </c>
      <c r="N5107" s="8" t="s">
        <v>79</v>
      </c>
      <c r="O5107" s="8" t="s">
        <v>396</v>
      </c>
      <c r="P5107" s="6" t="s">
        <v>43</v>
      </c>
      <c r="Q5107" s="8" t="s">
        <v>102</v>
      </c>
      <c r="R5107" s="10" t="s">
        <v>30092</v>
      </c>
      <c r="S5107" s="11" t="s">
        <v>30093</v>
      </c>
      <c r="T5107" s="6"/>
      <c r="U5107" s="24" t="str">
        <f>HYPERLINK("https://media.infra-m.ru/2156/2156923/cover/2156923.jpg", "Обложка")</f>
        <v>Обложка</v>
      </c>
      <c r="V5107" s="24" t="str">
        <f>HYPERLINK("https://znanium.ru/catalog/product/2103200", "Ознакомиться")</f>
        <v>Ознакомиться</v>
      </c>
      <c r="W5107" s="8" t="s">
        <v>637</v>
      </c>
      <c r="X5107" s="6"/>
      <c r="Y5107" s="6"/>
      <c r="Z5107" s="6" t="s">
        <v>104</v>
      </c>
      <c r="AA5107" s="6" t="s">
        <v>793</v>
      </c>
      <c r="AB5107" s="8"/>
    </row>
    <row r="5108" spans="1:28" s="4" customFormat="1" ht="51.95" customHeight="1">
      <c r="A5108" s="5">
        <v>0</v>
      </c>
      <c r="B5108" s="6" t="s">
        <v>30094</v>
      </c>
      <c r="C5108" s="13">
        <v>1174.9000000000001</v>
      </c>
      <c r="D5108" s="8" t="s">
        <v>30095</v>
      </c>
      <c r="E5108" s="8" t="s">
        <v>30089</v>
      </c>
      <c r="F5108" s="8" t="s">
        <v>30090</v>
      </c>
      <c r="G5108" s="6" t="s">
        <v>52</v>
      </c>
      <c r="H5108" s="6" t="s">
        <v>53</v>
      </c>
      <c r="I5108" s="8" t="s">
        <v>90</v>
      </c>
      <c r="J5108" s="9">
        <v>1</v>
      </c>
      <c r="K5108" s="9">
        <v>346</v>
      </c>
      <c r="L5108" s="9">
        <v>2020</v>
      </c>
      <c r="M5108" s="8" t="s">
        <v>30096</v>
      </c>
      <c r="N5108" s="8" t="s">
        <v>79</v>
      </c>
      <c r="O5108" s="8" t="s">
        <v>396</v>
      </c>
      <c r="P5108" s="6" t="s">
        <v>43</v>
      </c>
      <c r="Q5108" s="8" t="s">
        <v>44</v>
      </c>
      <c r="R5108" s="10" t="s">
        <v>14954</v>
      </c>
      <c r="S5108" s="11" t="s">
        <v>30097</v>
      </c>
      <c r="T5108" s="6"/>
      <c r="U5108" s="24" t="str">
        <f>HYPERLINK("https://media.infra-m.ru/1043/1043823/cover/1043823.jpg", "Обложка")</f>
        <v>Обложка</v>
      </c>
      <c r="V5108" s="24" t="str">
        <f>HYPERLINK("https://znanium.ru/catalog/product/1945425", "Ознакомиться")</f>
        <v>Ознакомиться</v>
      </c>
      <c r="W5108" s="8" t="s">
        <v>637</v>
      </c>
      <c r="X5108" s="6"/>
      <c r="Y5108" s="6"/>
      <c r="Z5108" s="6"/>
      <c r="AA5108" s="6" t="s">
        <v>442</v>
      </c>
      <c r="AB5108" s="8"/>
    </row>
    <row r="5109" spans="1:28" s="4" customFormat="1" ht="44.1" customHeight="1">
      <c r="A5109" s="5">
        <v>0</v>
      </c>
      <c r="B5109" s="6" t="s">
        <v>30098</v>
      </c>
      <c r="C5109" s="13">
        <v>2640</v>
      </c>
      <c r="D5109" s="8" t="s">
        <v>30099</v>
      </c>
      <c r="E5109" s="8" t="s">
        <v>30100</v>
      </c>
      <c r="F5109" s="8" t="s">
        <v>30101</v>
      </c>
      <c r="G5109" s="6" t="s">
        <v>52</v>
      </c>
      <c r="H5109" s="6" t="s">
        <v>39</v>
      </c>
      <c r="I5109" s="8" t="s">
        <v>116</v>
      </c>
      <c r="J5109" s="9">
        <v>1</v>
      </c>
      <c r="K5109" s="9">
        <v>559</v>
      </c>
      <c r="L5109" s="9">
        <v>2024</v>
      </c>
      <c r="M5109" s="8" t="s">
        <v>30102</v>
      </c>
      <c r="N5109" s="8" t="s">
        <v>79</v>
      </c>
      <c r="O5109" s="8" t="s">
        <v>396</v>
      </c>
      <c r="P5109" s="6" t="s">
        <v>43</v>
      </c>
      <c r="Q5109" s="8" t="s">
        <v>44</v>
      </c>
      <c r="R5109" s="10" t="s">
        <v>7636</v>
      </c>
      <c r="S5109" s="11"/>
      <c r="T5109" s="6"/>
      <c r="U5109" s="24" t="str">
        <f>HYPERLINK("https://media.infra-m.ru/1026/1026334/cover/1026334.jpg", "Обложка")</f>
        <v>Обложка</v>
      </c>
      <c r="V5109" s="24" t="str">
        <f>HYPERLINK("https://znanium.ru/catalog/product/1026334", "Ознакомиться")</f>
        <v>Ознакомиться</v>
      </c>
      <c r="W5109" s="8" t="s">
        <v>450</v>
      </c>
      <c r="X5109" s="6"/>
      <c r="Y5109" s="6"/>
      <c r="Z5109" s="6"/>
      <c r="AA5109" s="6" t="s">
        <v>105</v>
      </c>
      <c r="AB5109" s="8"/>
    </row>
    <row r="5110" spans="1:28" s="4" customFormat="1" ht="51.95" customHeight="1">
      <c r="A5110" s="5">
        <v>0</v>
      </c>
      <c r="B5110" s="6" t="s">
        <v>30103</v>
      </c>
      <c r="C5110" s="13">
        <v>1694.9</v>
      </c>
      <c r="D5110" s="8" t="s">
        <v>30104</v>
      </c>
      <c r="E5110" s="8" t="s">
        <v>30105</v>
      </c>
      <c r="F5110" s="8" t="s">
        <v>30106</v>
      </c>
      <c r="G5110" s="6" t="s">
        <v>52</v>
      </c>
      <c r="H5110" s="6" t="s">
        <v>39</v>
      </c>
      <c r="I5110" s="8" t="s">
        <v>116</v>
      </c>
      <c r="J5110" s="9">
        <v>1</v>
      </c>
      <c r="K5110" s="9">
        <v>528</v>
      </c>
      <c r="L5110" s="9">
        <v>2019</v>
      </c>
      <c r="M5110" s="8" t="s">
        <v>30107</v>
      </c>
      <c r="N5110" s="8" t="s">
        <v>79</v>
      </c>
      <c r="O5110" s="8" t="s">
        <v>396</v>
      </c>
      <c r="P5110" s="6" t="s">
        <v>43</v>
      </c>
      <c r="Q5110" s="8" t="s">
        <v>44</v>
      </c>
      <c r="R5110" s="10" t="s">
        <v>7636</v>
      </c>
      <c r="S5110" s="11" t="s">
        <v>30108</v>
      </c>
      <c r="T5110" s="6"/>
      <c r="U5110" s="24" t="str">
        <f>HYPERLINK("https://media.infra-m.ru/0987/0987218/cover/987218.jpg", "Обложка")</f>
        <v>Обложка</v>
      </c>
      <c r="V5110" s="24" t="str">
        <f>HYPERLINK("https://znanium.ru/catalog/product/1026334", "Ознакомиться")</f>
        <v>Ознакомиться</v>
      </c>
      <c r="W5110" s="8" t="s">
        <v>758</v>
      </c>
      <c r="X5110" s="6"/>
      <c r="Y5110" s="6"/>
      <c r="Z5110" s="6"/>
      <c r="AA5110" s="6" t="s">
        <v>622</v>
      </c>
      <c r="AB5110" s="8"/>
    </row>
    <row r="5111" spans="1:28" s="4" customFormat="1" ht="51.95" customHeight="1">
      <c r="A5111" s="5">
        <v>0</v>
      </c>
      <c r="B5111" s="6" t="s">
        <v>30109</v>
      </c>
      <c r="C5111" s="13">
        <v>1134</v>
      </c>
      <c r="D5111" s="8" t="s">
        <v>30110</v>
      </c>
      <c r="E5111" s="8" t="s">
        <v>30105</v>
      </c>
      <c r="F5111" s="8" t="s">
        <v>30111</v>
      </c>
      <c r="G5111" s="6" t="s">
        <v>52</v>
      </c>
      <c r="H5111" s="6" t="s">
        <v>53</v>
      </c>
      <c r="I5111" s="8" t="s">
        <v>90</v>
      </c>
      <c r="J5111" s="9">
        <v>1</v>
      </c>
      <c r="K5111" s="9">
        <v>218</v>
      </c>
      <c r="L5111" s="9">
        <v>2025</v>
      </c>
      <c r="M5111" s="8" t="s">
        <v>30112</v>
      </c>
      <c r="N5111" s="8" t="s">
        <v>79</v>
      </c>
      <c r="O5111" s="8" t="s">
        <v>396</v>
      </c>
      <c r="P5111" s="6" t="s">
        <v>167</v>
      </c>
      <c r="Q5111" s="8" t="s">
        <v>44</v>
      </c>
      <c r="R5111" s="10" t="s">
        <v>30113</v>
      </c>
      <c r="S5111" s="11"/>
      <c r="T5111" s="6"/>
      <c r="U5111" s="24" t="str">
        <f>HYPERLINK("https://media.infra-m.ru/2137/2137108/cover/2137108.jpg", "Обложка")</f>
        <v>Обложка</v>
      </c>
      <c r="V5111" s="24" t="str">
        <f>HYPERLINK("https://znanium.ru/catalog/product/1009015", "Ознакомиться")</f>
        <v>Ознакомиться</v>
      </c>
      <c r="W5111" s="8" t="s">
        <v>16961</v>
      </c>
      <c r="X5111" s="6"/>
      <c r="Y5111" s="6"/>
      <c r="Z5111" s="6"/>
      <c r="AA5111" s="6" t="s">
        <v>84</v>
      </c>
      <c r="AB5111" s="8"/>
    </row>
    <row r="5112" spans="1:28" s="4" customFormat="1" ht="44.1" customHeight="1">
      <c r="A5112" s="5">
        <v>0</v>
      </c>
      <c r="B5112" s="6" t="s">
        <v>30114</v>
      </c>
      <c r="C5112" s="13">
        <v>1190</v>
      </c>
      <c r="D5112" s="8" t="s">
        <v>30115</v>
      </c>
      <c r="E5112" s="8" t="s">
        <v>30116</v>
      </c>
      <c r="F5112" s="8" t="s">
        <v>30117</v>
      </c>
      <c r="G5112" s="6" t="s">
        <v>52</v>
      </c>
      <c r="H5112" s="6" t="s">
        <v>53</v>
      </c>
      <c r="I5112" s="8" t="s">
        <v>116</v>
      </c>
      <c r="J5112" s="9">
        <v>1</v>
      </c>
      <c r="K5112" s="9">
        <v>221</v>
      </c>
      <c r="L5112" s="9">
        <v>2024</v>
      </c>
      <c r="M5112" s="8" t="s">
        <v>30118</v>
      </c>
      <c r="N5112" s="8" t="s">
        <v>79</v>
      </c>
      <c r="O5112" s="8" t="s">
        <v>396</v>
      </c>
      <c r="P5112" s="6" t="s">
        <v>43</v>
      </c>
      <c r="Q5112" s="8" t="s">
        <v>279</v>
      </c>
      <c r="R5112" s="10" t="s">
        <v>30119</v>
      </c>
      <c r="S5112" s="11"/>
      <c r="T5112" s="6"/>
      <c r="U5112" s="24" t="str">
        <f>HYPERLINK("https://media.infra-m.ru/1900/1900534/cover/1900534.jpg", "Обложка")</f>
        <v>Обложка</v>
      </c>
      <c r="V5112" s="24" t="str">
        <f>HYPERLINK("https://znanium.ru/catalog/product/1900534", "Ознакомиться")</f>
        <v>Ознакомиться</v>
      </c>
      <c r="W5112" s="8" t="s">
        <v>2343</v>
      </c>
      <c r="X5112" s="6" t="s">
        <v>389</v>
      </c>
      <c r="Y5112" s="6"/>
      <c r="Z5112" s="6"/>
      <c r="AA5112" s="6" t="s">
        <v>133</v>
      </c>
      <c r="AB5112" s="8"/>
    </row>
    <row r="5113" spans="1:28" s="4" customFormat="1" ht="51.95" customHeight="1">
      <c r="A5113" s="5">
        <v>0</v>
      </c>
      <c r="B5113" s="6" t="s">
        <v>30120</v>
      </c>
      <c r="C5113" s="7">
        <v>840</v>
      </c>
      <c r="D5113" s="8" t="s">
        <v>30121</v>
      </c>
      <c r="E5113" s="8" t="s">
        <v>30122</v>
      </c>
      <c r="F5113" s="8" t="s">
        <v>30123</v>
      </c>
      <c r="G5113" s="6" t="s">
        <v>89</v>
      </c>
      <c r="H5113" s="6" t="s">
        <v>53</v>
      </c>
      <c r="I5113" s="8" t="s">
        <v>7025</v>
      </c>
      <c r="J5113" s="9">
        <v>1</v>
      </c>
      <c r="K5113" s="9">
        <v>171</v>
      </c>
      <c r="L5113" s="9">
        <v>2024</v>
      </c>
      <c r="M5113" s="8" t="s">
        <v>30124</v>
      </c>
      <c r="N5113" s="8" t="s">
        <v>79</v>
      </c>
      <c r="O5113" s="8" t="s">
        <v>570</v>
      </c>
      <c r="P5113" s="6" t="s">
        <v>43</v>
      </c>
      <c r="Q5113" s="8" t="s">
        <v>102</v>
      </c>
      <c r="R5113" s="10" t="s">
        <v>30125</v>
      </c>
      <c r="S5113" s="11" t="s">
        <v>30126</v>
      </c>
      <c r="T5113" s="6"/>
      <c r="U5113" s="24" t="str">
        <f>HYPERLINK("https://media.infra-m.ru/2141/2141853/cover/2141853.jpg", "Обложка")</f>
        <v>Обложка</v>
      </c>
      <c r="V5113" s="12"/>
      <c r="W5113" s="8" t="s">
        <v>784</v>
      </c>
      <c r="X5113" s="6"/>
      <c r="Y5113" s="6"/>
      <c r="Z5113" s="6" t="s">
        <v>104</v>
      </c>
      <c r="AA5113" s="6" t="s">
        <v>258</v>
      </c>
      <c r="AB5113" s="8"/>
    </row>
    <row r="5114" spans="1:28" s="4" customFormat="1" ht="51.95" customHeight="1">
      <c r="A5114" s="5">
        <v>0</v>
      </c>
      <c r="B5114" s="6" t="s">
        <v>30127</v>
      </c>
      <c r="C5114" s="7">
        <v>844</v>
      </c>
      <c r="D5114" s="8" t="s">
        <v>30128</v>
      </c>
      <c r="E5114" s="8" t="s">
        <v>30129</v>
      </c>
      <c r="F5114" s="8" t="s">
        <v>30123</v>
      </c>
      <c r="G5114" s="6" t="s">
        <v>89</v>
      </c>
      <c r="H5114" s="6" t="s">
        <v>53</v>
      </c>
      <c r="I5114" s="8" t="s">
        <v>7025</v>
      </c>
      <c r="J5114" s="9">
        <v>1</v>
      </c>
      <c r="K5114" s="9">
        <v>168</v>
      </c>
      <c r="L5114" s="9">
        <v>2025</v>
      </c>
      <c r="M5114" s="8" t="s">
        <v>30130</v>
      </c>
      <c r="N5114" s="8" t="s">
        <v>79</v>
      </c>
      <c r="O5114" s="8" t="s">
        <v>570</v>
      </c>
      <c r="P5114" s="6" t="s">
        <v>43</v>
      </c>
      <c r="Q5114" s="8" t="s">
        <v>102</v>
      </c>
      <c r="R5114" s="10" t="s">
        <v>30125</v>
      </c>
      <c r="S5114" s="11" t="s">
        <v>30126</v>
      </c>
      <c r="T5114" s="6"/>
      <c r="U5114" s="24" t="str">
        <f>HYPERLINK("https://media.infra-m.ru/2187/2187051/cover/2187051.jpg", "Обложка")</f>
        <v>Обложка</v>
      </c>
      <c r="V5114" s="12"/>
      <c r="W5114" s="8" t="s">
        <v>784</v>
      </c>
      <c r="X5114" s="6"/>
      <c r="Y5114" s="6"/>
      <c r="Z5114" s="6" t="s">
        <v>104</v>
      </c>
      <c r="AA5114" s="6" t="s">
        <v>258</v>
      </c>
      <c r="AB5114" s="8"/>
    </row>
    <row r="5115" spans="1:28" s="4" customFormat="1" ht="51.95" customHeight="1">
      <c r="A5115" s="5">
        <v>0</v>
      </c>
      <c r="B5115" s="6" t="s">
        <v>30131</v>
      </c>
      <c r="C5115" s="7">
        <v>794</v>
      </c>
      <c r="D5115" s="8" t="s">
        <v>30132</v>
      </c>
      <c r="E5115" s="8" t="s">
        <v>30129</v>
      </c>
      <c r="F5115" s="8" t="s">
        <v>30123</v>
      </c>
      <c r="G5115" s="6" t="s">
        <v>89</v>
      </c>
      <c r="H5115" s="6" t="s">
        <v>53</v>
      </c>
      <c r="I5115" s="8"/>
      <c r="J5115" s="9">
        <v>1</v>
      </c>
      <c r="K5115" s="9">
        <v>168</v>
      </c>
      <c r="L5115" s="9">
        <v>2024</v>
      </c>
      <c r="M5115" s="8" t="s">
        <v>30133</v>
      </c>
      <c r="N5115" s="8" t="s">
        <v>79</v>
      </c>
      <c r="O5115" s="8" t="s">
        <v>570</v>
      </c>
      <c r="P5115" s="6" t="s">
        <v>43</v>
      </c>
      <c r="Q5115" s="8" t="s">
        <v>44</v>
      </c>
      <c r="R5115" s="10" t="s">
        <v>5296</v>
      </c>
      <c r="S5115" s="11" t="s">
        <v>30134</v>
      </c>
      <c r="T5115" s="6"/>
      <c r="U5115" s="24" t="str">
        <f>HYPERLINK("https://media.infra-m.ru/2006/2006849/cover/2006849.jpg", "Обложка")</f>
        <v>Обложка</v>
      </c>
      <c r="V5115" s="12"/>
      <c r="W5115" s="8" t="s">
        <v>784</v>
      </c>
      <c r="X5115" s="6"/>
      <c r="Y5115" s="6"/>
      <c r="Z5115" s="6"/>
      <c r="AA5115" s="6" t="s">
        <v>151</v>
      </c>
      <c r="AB5115" s="8"/>
    </row>
    <row r="5116" spans="1:28" s="4" customFormat="1" ht="51.95" customHeight="1">
      <c r="A5116" s="5">
        <v>0</v>
      </c>
      <c r="B5116" s="6" t="s">
        <v>30135</v>
      </c>
      <c r="C5116" s="7">
        <v>550</v>
      </c>
      <c r="D5116" s="8" t="s">
        <v>30136</v>
      </c>
      <c r="E5116" s="8" t="s">
        <v>30137</v>
      </c>
      <c r="F5116" s="8" t="s">
        <v>30123</v>
      </c>
      <c r="G5116" s="6" t="s">
        <v>89</v>
      </c>
      <c r="H5116" s="6" t="s">
        <v>53</v>
      </c>
      <c r="I5116" s="8" t="s">
        <v>4855</v>
      </c>
      <c r="J5116" s="9">
        <v>1</v>
      </c>
      <c r="K5116" s="9">
        <v>171</v>
      </c>
      <c r="L5116" s="9">
        <v>2019</v>
      </c>
      <c r="M5116" s="8" t="s">
        <v>30138</v>
      </c>
      <c r="N5116" s="8" t="s">
        <v>79</v>
      </c>
      <c r="O5116" s="8" t="s">
        <v>570</v>
      </c>
      <c r="P5116" s="6" t="s">
        <v>43</v>
      </c>
      <c r="Q5116" s="8" t="s">
        <v>44</v>
      </c>
      <c r="R5116" s="10"/>
      <c r="S5116" s="11" t="s">
        <v>30134</v>
      </c>
      <c r="T5116" s="6"/>
      <c r="U5116" s="24" t="str">
        <f>HYPERLINK("https://media.infra-m.ru/1008/1008368/cover/1008368.jpg", "Обложка")</f>
        <v>Обложка</v>
      </c>
      <c r="V5116" s="12"/>
      <c r="W5116" s="8" t="s">
        <v>784</v>
      </c>
      <c r="X5116" s="6"/>
      <c r="Y5116" s="6"/>
      <c r="Z5116" s="6"/>
      <c r="AA5116" s="6" t="s">
        <v>151</v>
      </c>
      <c r="AB5116" s="8"/>
    </row>
    <row r="5117" spans="1:28" s="4" customFormat="1" ht="51.95" customHeight="1">
      <c r="A5117" s="5">
        <v>0</v>
      </c>
      <c r="B5117" s="6" t="s">
        <v>30139</v>
      </c>
      <c r="C5117" s="13">
        <v>1400</v>
      </c>
      <c r="D5117" s="8" t="s">
        <v>30140</v>
      </c>
      <c r="E5117" s="8" t="s">
        <v>30141</v>
      </c>
      <c r="F5117" s="8" t="s">
        <v>30142</v>
      </c>
      <c r="G5117" s="6" t="s">
        <v>52</v>
      </c>
      <c r="H5117" s="6" t="s">
        <v>53</v>
      </c>
      <c r="I5117" s="8" t="s">
        <v>712</v>
      </c>
      <c r="J5117" s="9">
        <v>1</v>
      </c>
      <c r="K5117" s="9">
        <v>280</v>
      </c>
      <c r="L5117" s="9">
        <v>2025</v>
      </c>
      <c r="M5117" s="8" t="s">
        <v>30143</v>
      </c>
      <c r="N5117" s="8" t="s">
        <v>79</v>
      </c>
      <c r="O5117" s="8" t="s">
        <v>684</v>
      </c>
      <c r="P5117" s="6" t="s">
        <v>43</v>
      </c>
      <c r="Q5117" s="8" t="s">
        <v>58</v>
      </c>
      <c r="R5117" s="10" t="s">
        <v>1121</v>
      </c>
      <c r="S5117" s="11" t="s">
        <v>30144</v>
      </c>
      <c r="T5117" s="6"/>
      <c r="U5117" s="24" t="str">
        <f>HYPERLINK("https://media.infra-m.ru/2169/2169739/cover/2169739.jpg", "Обложка")</f>
        <v>Обложка</v>
      </c>
      <c r="V5117" s="24" t="str">
        <f>HYPERLINK("https://znanium.ru/catalog/product/2169739", "Ознакомиться")</f>
        <v>Ознакомиться</v>
      </c>
      <c r="W5117" s="8" t="s">
        <v>716</v>
      </c>
      <c r="X5117" s="6" t="s">
        <v>132</v>
      </c>
      <c r="Y5117" s="6"/>
      <c r="Z5117" s="6"/>
      <c r="AA5117" s="6" t="s">
        <v>61</v>
      </c>
      <c r="AB5117" s="8"/>
    </row>
    <row r="5118" spans="1:28" s="4" customFormat="1" ht="51.95" customHeight="1">
      <c r="A5118" s="5">
        <v>0</v>
      </c>
      <c r="B5118" s="6" t="s">
        <v>30145</v>
      </c>
      <c r="C5118" s="13">
        <v>2564</v>
      </c>
      <c r="D5118" s="8" t="s">
        <v>30146</v>
      </c>
      <c r="E5118" s="8" t="s">
        <v>30147</v>
      </c>
      <c r="F5118" s="8" t="s">
        <v>27300</v>
      </c>
      <c r="G5118" s="6" t="s">
        <v>52</v>
      </c>
      <c r="H5118" s="6" t="s">
        <v>53</v>
      </c>
      <c r="I5118" s="8" t="s">
        <v>100</v>
      </c>
      <c r="J5118" s="9">
        <v>1</v>
      </c>
      <c r="K5118" s="9">
        <v>512</v>
      </c>
      <c r="L5118" s="9">
        <v>2025</v>
      </c>
      <c r="M5118" s="8" t="s">
        <v>30148</v>
      </c>
      <c r="N5118" s="8" t="s">
        <v>79</v>
      </c>
      <c r="O5118" s="8" t="s">
        <v>396</v>
      </c>
      <c r="P5118" s="6" t="s">
        <v>167</v>
      </c>
      <c r="Q5118" s="8" t="s">
        <v>102</v>
      </c>
      <c r="R5118" s="10" t="s">
        <v>30149</v>
      </c>
      <c r="S5118" s="11" t="s">
        <v>30150</v>
      </c>
      <c r="T5118" s="6"/>
      <c r="U5118" s="24" t="str">
        <f>HYPERLINK("https://media.infra-m.ru/2185/2185637/cover/2185637.jpg", "Обложка")</f>
        <v>Обложка</v>
      </c>
      <c r="V5118" s="24" t="str">
        <f>HYPERLINK("https://znanium.ru/catalog/product/1288990", "Ознакомиться")</f>
        <v>Ознакомиться</v>
      </c>
      <c r="W5118" s="8" t="s">
        <v>71</v>
      </c>
      <c r="X5118" s="6"/>
      <c r="Y5118" s="6"/>
      <c r="Z5118" s="6"/>
      <c r="AA5118" s="6" t="s">
        <v>2086</v>
      </c>
      <c r="AB5118" s="8"/>
    </row>
    <row r="5119" spans="1:28" s="4" customFormat="1" ht="51.95" customHeight="1">
      <c r="A5119" s="5">
        <v>0</v>
      </c>
      <c r="B5119" s="6" t="s">
        <v>30151</v>
      </c>
      <c r="C5119" s="7">
        <v>590</v>
      </c>
      <c r="D5119" s="8" t="s">
        <v>30152</v>
      </c>
      <c r="E5119" s="8" t="s">
        <v>30153</v>
      </c>
      <c r="F5119" s="8" t="s">
        <v>21162</v>
      </c>
      <c r="G5119" s="6" t="s">
        <v>38</v>
      </c>
      <c r="H5119" s="6" t="s">
        <v>53</v>
      </c>
      <c r="I5119" s="8" t="s">
        <v>100</v>
      </c>
      <c r="J5119" s="9">
        <v>1</v>
      </c>
      <c r="K5119" s="9">
        <v>104</v>
      </c>
      <c r="L5119" s="9">
        <v>2025</v>
      </c>
      <c r="M5119" s="8" t="s">
        <v>30154</v>
      </c>
      <c r="N5119" s="8" t="s">
        <v>79</v>
      </c>
      <c r="O5119" s="8" t="s">
        <v>396</v>
      </c>
      <c r="P5119" s="6" t="s">
        <v>187</v>
      </c>
      <c r="Q5119" s="8" t="s">
        <v>102</v>
      </c>
      <c r="R5119" s="10" t="s">
        <v>30155</v>
      </c>
      <c r="S5119" s="11" t="s">
        <v>30156</v>
      </c>
      <c r="T5119" s="6"/>
      <c r="U5119" s="24" t="str">
        <f>HYPERLINK("https://media.infra-m.ru/2201/2201251/cover/2201251.jpg", "Обложка")</f>
        <v>Обложка</v>
      </c>
      <c r="V5119" s="24" t="str">
        <f>HYPERLINK("https://znanium.ru/catalog/product/2201251", "Ознакомиться")</f>
        <v>Ознакомиться</v>
      </c>
      <c r="W5119" s="8" t="s">
        <v>71</v>
      </c>
      <c r="X5119" s="6"/>
      <c r="Y5119" s="6"/>
      <c r="Z5119" s="6"/>
      <c r="AA5119" s="6" t="s">
        <v>84</v>
      </c>
      <c r="AB5119" s="8"/>
    </row>
    <row r="5120" spans="1:28" s="4" customFormat="1" ht="51.95" customHeight="1">
      <c r="A5120" s="5">
        <v>0</v>
      </c>
      <c r="B5120" s="6" t="s">
        <v>30157</v>
      </c>
      <c r="C5120" s="13">
        <v>2344</v>
      </c>
      <c r="D5120" s="8" t="s">
        <v>30158</v>
      </c>
      <c r="E5120" s="8" t="s">
        <v>30159</v>
      </c>
      <c r="F5120" s="8" t="s">
        <v>30160</v>
      </c>
      <c r="G5120" s="6" t="s">
        <v>52</v>
      </c>
      <c r="H5120" s="6" t="s">
        <v>53</v>
      </c>
      <c r="I5120" s="8" t="s">
        <v>100</v>
      </c>
      <c r="J5120" s="9">
        <v>1</v>
      </c>
      <c r="K5120" s="9">
        <v>469</v>
      </c>
      <c r="L5120" s="9">
        <v>2024</v>
      </c>
      <c r="M5120" s="8" t="s">
        <v>30161</v>
      </c>
      <c r="N5120" s="8" t="s">
        <v>79</v>
      </c>
      <c r="O5120" s="8" t="s">
        <v>396</v>
      </c>
      <c r="P5120" s="6" t="s">
        <v>167</v>
      </c>
      <c r="Q5120" s="8" t="s">
        <v>102</v>
      </c>
      <c r="R5120" s="10" t="s">
        <v>30162</v>
      </c>
      <c r="S5120" s="11" t="s">
        <v>30163</v>
      </c>
      <c r="T5120" s="6"/>
      <c r="U5120" s="24" t="str">
        <f>HYPERLINK("https://media.infra-m.ru/2187/2187249/cover/2187249.jpg", "Обложка")</f>
        <v>Обложка</v>
      </c>
      <c r="V5120" s="24" t="str">
        <f>HYPERLINK("https://znanium.ru/catalog/product/2147288", "Ознакомиться")</f>
        <v>Ознакомиться</v>
      </c>
      <c r="W5120" s="8"/>
      <c r="X5120" s="6"/>
      <c r="Y5120" s="6"/>
      <c r="Z5120" s="6"/>
      <c r="AA5120" s="6" t="s">
        <v>2086</v>
      </c>
      <c r="AB5120" s="8"/>
    </row>
    <row r="5121" spans="1:28" s="4" customFormat="1" ht="51.95" customHeight="1">
      <c r="A5121" s="5">
        <v>0</v>
      </c>
      <c r="B5121" s="6" t="s">
        <v>30164</v>
      </c>
      <c r="C5121" s="13">
        <v>1654.9</v>
      </c>
      <c r="D5121" s="8" t="s">
        <v>30165</v>
      </c>
      <c r="E5121" s="8" t="s">
        <v>30166</v>
      </c>
      <c r="F5121" s="8" t="s">
        <v>27300</v>
      </c>
      <c r="G5121" s="6" t="s">
        <v>52</v>
      </c>
      <c r="H5121" s="6" t="s">
        <v>39</v>
      </c>
      <c r="I5121" s="8" t="s">
        <v>185</v>
      </c>
      <c r="J5121" s="9">
        <v>1</v>
      </c>
      <c r="K5121" s="9">
        <v>448</v>
      </c>
      <c r="L5121" s="9">
        <v>2021</v>
      </c>
      <c r="M5121" s="8" t="s">
        <v>30167</v>
      </c>
      <c r="N5121" s="8" t="s">
        <v>79</v>
      </c>
      <c r="O5121" s="8" t="s">
        <v>396</v>
      </c>
      <c r="P5121" s="6" t="s">
        <v>167</v>
      </c>
      <c r="Q5121" s="8" t="s">
        <v>102</v>
      </c>
      <c r="R5121" s="10" t="s">
        <v>30149</v>
      </c>
      <c r="S5121" s="11" t="s">
        <v>30150</v>
      </c>
      <c r="T5121" s="6"/>
      <c r="U5121" s="24" t="str">
        <f>HYPERLINK("https://media.infra-m.ru/1288/1288990/cover/1288990.jpg", "Обложка")</f>
        <v>Обложка</v>
      </c>
      <c r="V5121" s="24" t="str">
        <f>HYPERLINK("https://znanium.ru/catalog/product/1288990", "Ознакомиться")</f>
        <v>Ознакомиться</v>
      </c>
      <c r="W5121" s="8" t="s">
        <v>71</v>
      </c>
      <c r="X5121" s="6"/>
      <c r="Y5121" s="6"/>
      <c r="Z5121" s="6"/>
      <c r="AA5121" s="6" t="s">
        <v>407</v>
      </c>
      <c r="AB5121" s="8"/>
    </row>
    <row r="5122" spans="1:28" s="4" customFormat="1" ht="51.95" customHeight="1">
      <c r="A5122" s="5">
        <v>0</v>
      </c>
      <c r="B5122" s="6" t="s">
        <v>30168</v>
      </c>
      <c r="C5122" s="13">
        <v>1994</v>
      </c>
      <c r="D5122" s="8" t="s">
        <v>30169</v>
      </c>
      <c r="E5122" s="8" t="s">
        <v>30170</v>
      </c>
      <c r="F5122" s="8" t="s">
        <v>30171</v>
      </c>
      <c r="G5122" s="6" t="s">
        <v>52</v>
      </c>
      <c r="H5122" s="6" t="s">
        <v>53</v>
      </c>
      <c r="I5122" s="8" t="s">
        <v>90</v>
      </c>
      <c r="J5122" s="9">
        <v>1</v>
      </c>
      <c r="K5122" s="9">
        <v>496</v>
      </c>
      <c r="L5122" s="9">
        <v>2024</v>
      </c>
      <c r="M5122" s="8" t="s">
        <v>30172</v>
      </c>
      <c r="N5122" s="8" t="s">
        <v>79</v>
      </c>
      <c r="O5122" s="8" t="s">
        <v>396</v>
      </c>
      <c r="P5122" s="6" t="s">
        <v>167</v>
      </c>
      <c r="Q5122" s="8" t="s">
        <v>44</v>
      </c>
      <c r="R5122" s="10" t="s">
        <v>16986</v>
      </c>
      <c r="S5122" s="11" t="s">
        <v>30173</v>
      </c>
      <c r="T5122" s="6"/>
      <c r="U5122" s="24" t="str">
        <f>HYPERLINK("https://media.infra-m.ru/2084/2084563/cover/2084563.jpg", "Обложка")</f>
        <v>Обложка</v>
      </c>
      <c r="V5122" s="24" t="str">
        <f>HYPERLINK("https://znanium.ru/catalog/product/1850632", "Ознакомиться")</f>
        <v>Ознакомиться</v>
      </c>
      <c r="W5122" s="8" t="s">
        <v>1587</v>
      </c>
      <c r="X5122" s="6"/>
      <c r="Y5122" s="6"/>
      <c r="Z5122" s="6"/>
      <c r="AA5122" s="6" t="s">
        <v>9405</v>
      </c>
      <c r="AB5122" s="8"/>
    </row>
    <row r="5123" spans="1:28" s="4" customFormat="1" ht="51.95" customHeight="1">
      <c r="A5123" s="5">
        <v>0</v>
      </c>
      <c r="B5123" s="6" t="s">
        <v>30174</v>
      </c>
      <c r="C5123" s="13">
        <v>1640</v>
      </c>
      <c r="D5123" s="8" t="s">
        <v>30175</v>
      </c>
      <c r="E5123" s="8" t="s">
        <v>30176</v>
      </c>
      <c r="F5123" s="8" t="s">
        <v>30160</v>
      </c>
      <c r="G5123" s="6" t="s">
        <v>89</v>
      </c>
      <c r="H5123" s="6" t="s">
        <v>649</v>
      </c>
      <c r="I5123" s="8" t="s">
        <v>100</v>
      </c>
      <c r="J5123" s="9">
        <v>1</v>
      </c>
      <c r="K5123" s="9">
        <v>480</v>
      </c>
      <c r="L5123" s="9">
        <v>2019</v>
      </c>
      <c r="M5123" s="8" t="s">
        <v>30177</v>
      </c>
      <c r="N5123" s="8" t="s">
        <v>79</v>
      </c>
      <c r="O5123" s="8" t="s">
        <v>396</v>
      </c>
      <c r="P5123" s="6" t="s">
        <v>167</v>
      </c>
      <c r="Q5123" s="8" t="s">
        <v>102</v>
      </c>
      <c r="R5123" s="10" t="s">
        <v>30162</v>
      </c>
      <c r="S5123" s="11" t="s">
        <v>30163</v>
      </c>
      <c r="T5123" s="6"/>
      <c r="U5123" s="24" t="str">
        <f>HYPERLINK("https://media.infra-m.ru/1003/1003603/cover/1003603.jpg", "Обложка")</f>
        <v>Обложка</v>
      </c>
      <c r="V5123" s="24" t="str">
        <f>HYPERLINK("https://znanium.ru/catalog/product/2147288", "Ознакомиться")</f>
        <v>Ознакомиться</v>
      </c>
      <c r="W5123" s="8"/>
      <c r="X5123" s="6"/>
      <c r="Y5123" s="6"/>
      <c r="Z5123" s="6"/>
      <c r="AA5123" s="6" t="s">
        <v>407</v>
      </c>
      <c r="AB5123" s="8"/>
    </row>
    <row r="5124" spans="1:28" s="4" customFormat="1" ht="51.95" customHeight="1">
      <c r="A5124" s="5">
        <v>0</v>
      </c>
      <c r="B5124" s="6" t="s">
        <v>30178</v>
      </c>
      <c r="C5124" s="13">
        <v>1774</v>
      </c>
      <c r="D5124" s="8" t="s">
        <v>30179</v>
      </c>
      <c r="E5124" s="8" t="s">
        <v>30180</v>
      </c>
      <c r="F5124" s="8" t="s">
        <v>30181</v>
      </c>
      <c r="G5124" s="6" t="s">
        <v>52</v>
      </c>
      <c r="H5124" s="6" t="s">
        <v>53</v>
      </c>
      <c r="I5124" s="8" t="s">
        <v>90</v>
      </c>
      <c r="J5124" s="9">
        <v>1</v>
      </c>
      <c r="K5124" s="9">
        <v>353</v>
      </c>
      <c r="L5124" s="9">
        <v>2025</v>
      </c>
      <c r="M5124" s="8" t="s">
        <v>30182</v>
      </c>
      <c r="N5124" s="8" t="s">
        <v>79</v>
      </c>
      <c r="O5124" s="8" t="s">
        <v>396</v>
      </c>
      <c r="P5124" s="6" t="s">
        <v>167</v>
      </c>
      <c r="Q5124" s="8" t="s">
        <v>44</v>
      </c>
      <c r="R5124" s="10" t="s">
        <v>23533</v>
      </c>
      <c r="S5124" s="11" t="s">
        <v>30183</v>
      </c>
      <c r="T5124" s="6"/>
      <c r="U5124" s="24" t="str">
        <f>HYPERLINK("https://media.infra-m.ru/2173/2173975/cover/2173975.jpg", "Обложка")</f>
        <v>Обложка</v>
      </c>
      <c r="V5124" s="24" t="str">
        <f>HYPERLINK("https://znanium.ru/catalog/product/1832088", "Ознакомиться")</f>
        <v>Ознакомиться</v>
      </c>
      <c r="W5124" s="8" t="s">
        <v>16961</v>
      </c>
      <c r="X5124" s="6"/>
      <c r="Y5124" s="6"/>
      <c r="Z5124" s="6"/>
      <c r="AA5124" s="6" t="s">
        <v>235</v>
      </c>
      <c r="AB5124" s="8"/>
    </row>
    <row r="5125" spans="1:28" s="4" customFormat="1" ht="51.95" customHeight="1">
      <c r="A5125" s="5">
        <v>0</v>
      </c>
      <c r="B5125" s="6" t="s">
        <v>30184</v>
      </c>
      <c r="C5125" s="13">
        <v>1364</v>
      </c>
      <c r="D5125" s="8" t="s">
        <v>30185</v>
      </c>
      <c r="E5125" s="8" t="s">
        <v>30186</v>
      </c>
      <c r="F5125" s="8" t="s">
        <v>30187</v>
      </c>
      <c r="G5125" s="6" t="s">
        <v>89</v>
      </c>
      <c r="H5125" s="6" t="s">
        <v>66</v>
      </c>
      <c r="I5125" s="8" t="s">
        <v>30188</v>
      </c>
      <c r="J5125" s="9">
        <v>1</v>
      </c>
      <c r="K5125" s="9">
        <v>262</v>
      </c>
      <c r="L5125" s="9">
        <v>2025</v>
      </c>
      <c r="M5125" s="8" t="s">
        <v>30189</v>
      </c>
      <c r="N5125" s="8" t="s">
        <v>79</v>
      </c>
      <c r="O5125" s="8" t="s">
        <v>396</v>
      </c>
      <c r="P5125" s="6" t="s">
        <v>43</v>
      </c>
      <c r="Q5125" s="8" t="s">
        <v>44</v>
      </c>
      <c r="R5125" s="10" t="s">
        <v>30190</v>
      </c>
      <c r="S5125" s="11" t="s">
        <v>30191</v>
      </c>
      <c r="T5125" s="6"/>
      <c r="U5125" s="24" t="str">
        <f>HYPERLINK("https://media.infra-m.ru/2188/2188736/cover/2188736.jpg", "Обложка")</f>
        <v>Обложка</v>
      </c>
      <c r="V5125" s="24" t="str">
        <f>HYPERLINK("https://znanium.ru/catalog/product/2126632", "Ознакомиться")</f>
        <v>Ознакомиться</v>
      </c>
      <c r="W5125" s="8" t="s">
        <v>1144</v>
      </c>
      <c r="X5125" s="6"/>
      <c r="Y5125" s="6"/>
      <c r="Z5125" s="6"/>
      <c r="AA5125" s="6" t="s">
        <v>72</v>
      </c>
      <c r="AB5125" s="8"/>
    </row>
    <row r="5126" spans="1:28" s="4" customFormat="1" ht="51.95" customHeight="1">
      <c r="A5126" s="5">
        <v>0</v>
      </c>
      <c r="B5126" s="6" t="s">
        <v>30192</v>
      </c>
      <c r="C5126" s="13">
        <v>1120</v>
      </c>
      <c r="D5126" s="8" t="s">
        <v>30193</v>
      </c>
      <c r="E5126" s="8" t="s">
        <v>30194</v>
      </c>
      <c r="F5126" s="8" t="s">
        <v>30195</v>
      </c>
      <c r="G5126" s="6" t="s">
        <v>89</v>
      </c>
      <c r="H5126" s="6" t="s">
        <v>53</v>
      </c>
      <c r="I5126" s="8" t="s">
        <v>100</v>
      </c>
      <c r="J5126" s="9">
        <v>1</v>
      </c>
      <c r="K5126" s="9">
        <v>238</v>
      </c>
      <c r="L5126" s="9">
        <v>2024</v>
      </c>
      <c r="M5126" s="8" t="s">
        <v>30196</v>
      </c>
      <c r="N5126" s="8" t="s">
        <v>79</v>
      </c>
      <c r="O5126" s="8" t="s">
        <v>396</v>
      </c>
      <c r="P5126" s="6" t="s">
        <v>43</v>
      </c>
      <c r="Q5126" s="8" t="s">
        <v>102</v>
      </c>
      <c r="R5126" s="10" t="s">
        <v>30197</v>
      </c>
      <c r="S5126" s="11" t="s">
        <v>3081</v>
      </c>
      <c r="T5126" s="6"/>
      <c r="U5126" s="24" t="str">
        <f>HYPERLINK("https://media.infra-m.ru/2131/2131730/cover/2131730.jpg", "Обложка")</f>
        <v>Обложка</v>
      </c>
      <c r="V5126" s="24" t="str">
        <f>HYPERLINK("https://znanium.ru/catalog/product/2131730", "Ознакомиться")</f>
        <v>Ознакомиться</v>
      </c>
      <c r="W5126" s="8" t="s">
        <v>450</v>
      </c>
      <c r="X5126" s="6"/>
      <c r="Y5126" s="6"/>
      <c r="Z5126" s="6"/>
      <c r="AA5126" s="6" t="s">
        <v>1135</v>
      </c>
      <c r="AB5126" s="8"/>
    </row>
    <row r="5127" spans="1:28" s="4" customFormat="1" ht="51.95" customHeight="1">
      <c r="A5127" s="5">
        <v>0</v>
      </c>
      <c r="B5127" s="6" t="s">
        <v>30198</v>
      </c>
      <c r="C5127" s="13">
        <v>1640</v>
      </c>
      <c r="D5127" s="8" t="s">
        <v>30199</v>
      </c>
      <c r="E5127" s="8" t="s">
        <v>30200</v>
      </c>
      <c r="F5127" s="8" t="s">
        <v>30201</v>
      </c>
      <c r="G5127" s="6" t="s">
        <v>89</v>
      </c>
      <c r="H5127" s="6" t="s">
        <v>53</v>
      </c>
      <c r="I5127" s="8" t="s">
        <v>116</v>
      </c>
      <c r="J5127" s="9">
        <v>1</v>
      </c>
      <c r="K5127" s="9">
        <v>316</v>
      </c>
      <c r="L5127" s="9">
        <v>2025</v>
      </c>
      <c r="M5127" s="8" t="s">
        <v>30202</v>
      </c>
      <c r="N5127" s="8" t="s">
        <v>41</v>
      </c>
      <c r="O5127" s="8" t="s">
        <v>278</v>
      </c>
      <c r="P5127" s="6" t="s">
        <v>43</v>
      </c>
      <c r="Q5127" s="8" t="s">
        <v>44</v>
      </c>
      <c r="R5127" s="10" t="s">
        <v>30203</v>
      </c>
      <c r="S5127" s="11" t="s">
        <v>30204</v>
      </c>
      <c r="T5127" s="6"/>
      <c r="U5127" s="24" t="str">
        <f>HYPERLINK("https://media.infra-m.ru/2174/2174465/cover/2174465.jpg", "Обложка")</f>
        <v>Обложка</v>
      </c>
      <c r="V5127" s="24" t="str">
        <f>HYPERLINK("https://znanium.ru/catalog/product/2174465", "Ознакомиться")</f>
        <v>Ознакомиться</v>
      </c>
      <c r="W5127" s="8" t="s">
        <v>2915</v>
      </c>
      <c r="X5127" s="6"/>
      <c r="Y5127" s="6"/>
      <c r="Z5127" s="6"/>
      <c r="AA5127" s="6" t="s">
        <v>235</v>
      </c>
      <c r="AB5127" s="8"/>
    </row>
    <row r="5128" spans="1:28" s="4" customFormat="1" ht="51.95" customHeight="1">
      <c r="A5128" s="5">
        <v>0</v>
      </c>
      <c r="B5128" s="6" t="s">
        <v>30205</v>
      </c>
      <c r="C5128" s="7">
        <v>634</v>
      </c>
      <c r="D5128" s="8" t="s">
        <v>30206</v>
      </c>
      <c r="E5128" s="8" t="s">
        <v>30207</v>
      </c>
      <c r="F5128" s="8" t="s">
        <v>17604</v>
      </c>
      <c r="G5128" s="6" t="s">
        <v>38</v>
      </c>
      <c r="H5128" s="6" t="s">
        <v>53</v>
      </c>
      <c r="I5128" s="8" t="s">
        <v>4767</v>
      </c>
      <c r="J5128" s="9">
        <v>1</v>
      </c>
      <c r="K5128" s="9">
        <v>103</v>
      </c>
      <c r="L5128" s="9">
        <v>2025</v>
      </c>
      <c r="M5128" s="8" t="s">
        <v>30208</v>
      </c>
      <c r="N5128" s="8" t="s">
        <v>997</v>
      </c>
      <c r="O5128" s="8" t="s">
        <v>998</v>
      </c>
      <c r="P5128" s="6" t="s">
        <v>6714</v>
      </c>
      <c r="Q5128" s="8" t="s">
        <v>44</v>
      </c>
      <c r="R5128" s="10" t="s">
        <v>30209</v>
      </c>
      <c r="S5128" s="11" t="s">
        <v>30210</v>
      </c>
      <c r="T5128" s="6" t="s">
        <v>299</v>
      </c>
      <c r="U5128" s="24" t="str">
        <f>HYPERLINK("https://media.infra-m.ru/2184/2184919/cover/2184919.jpg", "Обложка")</f>
        <v>Обложка</v>
      </c>
      <c r="V5128" s="24" t="str">
        <f>HYPERLINK("https://znanium.ru/catalog/product/2084498", "Ознакомиться")</f>
        <v>Ознакомиться</v>
      </c>
      <c r="W5128" s="8" t="s">
        <v>46</v>
      </c>
      <c r="X5128" s="6"/>
      <c r="Y5128" s="6"/>
      <c r="Z5128" s="6"/>
      <c r="AA5128" s="6" t="s">
        <v>442</v>
      </c>
      <c r="AB5128" s="8"/>
    </row>
    <row r="5129" spans="1:28" s="4" customFormat="1" ht="51.95" customHeight="1">
      <c r="A5129" s="5">
        <v>0</v>
      </c>
      <c r="B5129" s="6" t="s">
        <v>30211</v>
      </c>
      <c r="C5129" s="13">
        <v>1104</v>
      </c>
      <c r="D5129" s="8" t="s">
        <v>30212</v>
      </c>
      <c r="E5129" s="8" t="s">
        <v>30213</v>
      </c>
      <c r="F5129" s="8" t="s">
        <v>30214</v>
      </c>
      <c r="G5129" s="6" t="s">
        <v>38</v>
      </c>
      <c r="H5129" s="6" t="s">
        <v>39</v>
      </c>
      <c r="I5129" s="8" t="s">
        <v>116</v>
      </c>
      <c r="J5129" s="9">
        <v>1</v>
      </c>
      <c r="K5129" s="9">
        <v>240</v>
      </c>
      <c r="L5129" s="9">
        <v>2023</v>
      </c>
      <c r="M5129" s="8" t="s">
        <v>30215</v>
      </c>
      <c r="N5129" s="8" t="s">
        <v>79</v>
      </c>
      <c r="O5129" s="8" t="s">
        <v>424</v>
      </c>
      <c r="P5129" s="6" t="s">
        <v>175</v>
      </c>
      <c r="Q5129" s="8" t="s">
        <v>44</v>
      </c>
      <c r="R5129" s="10" t="s">
        <v>4598</v>
      </c>
      <c r="S5129" s="11" t="s">
        <v>30216</v>
      </c>
      <c r="T5129" s="6"/>
      <c r="U5129" s="24" t="str">
        <f>HYPERLINK("https://media.infra-m.ru/1893/1893804/cover/1893804.jpg", "Обложка")</f>
        <v>Обложка</v>
      </c>
      <c r="V5129" s="24" t="str">
        <f>HYPERLINK("https://znanium.ru/catalog/product/1221628", "Ознакомиться")</f>
        <v>Ознакомиться</v>
      </c>
      <c r="W5129" s="8" t="s">
        <v>1563</v>
      </c>
      <c r="X5129" s="6"/>
      <c r="Y5129" s="6"/>
      <c r="Z5129" s="6"/>
      <c r="AA5129" s="6" t="s">
        <v>111</v>
      </c>
      <c r="AB5129" s="8"/>
    </row>
    <row r="5130" spans="1:28" s="4" customFormat="1" ht="51.95" customHeight="1">
      <c r="A5130" s="5">
        <v>0</v>
      </c>
      <c r="B5130" s="6" t="s">
        <v>30217</v>
      </c>
      <c r="C5130" s="13">
        <v>1544</v>
      </c>
      <c r="D5130" s="8" t="s">
        <v>30218</v>
      </c>
      <c r="E5130" s="8" t="s">
        <v>30219</v>
      </c>
      <c r="F5130" s="8" t="s">
        <v>3408</v>
      </c>
      <c r="G5130" s="6" t="s">
        <v>89</v>
      </c>
      <c r="H5130" s="6" t="s">
        <v>53</v>
      </c>
      <c r="I5130" s="8" t="s">
        <v>100</v>
      </c>
      <c r="J5130" s="9">
        <v>1</v>
      </c>
      <c r="K5130" s="9">
        <v>307</v>
      </c>
      <c r="L5130" s="9">
        <v>2025</v>
      </c>
      <c r="M5130" s="8" t="s">
        <v>30220</v>
      </c>
      <c r="N5130" s="8" t="s">
        <v>41</v>
      </c>
      <c r="O5130" s="8" t="s">
        <v>278</v>
      </c>
      <c r="P5130" s="6" t="s">
        <v>43</v>
      </c>
      <c r="Q5130" s="8" t="s">
        <v>102</v>
      </c>
      <c r="R5130" s="10" t="s">
        <v>30221</v>
      </c>
      <c r="S5130" s="11" t="s">
        <v>30222</v>
      </c>
      <c r="T5130" s="6"/>
      <c r="U5130" s="24" t="str">
        <f>HYPERLINK("https://media.infra-m.ru/2175/2175270/cover/2175270.jpg", "Обложка")</f>
        <v>Обложка</v>
      </c>
      <c r="V5130" s="24" t="str">
        <f>HYPERLINK("https://znanium.ru/catalog/product/2174270", "Ознакомиться")</f>
        <v>Ознакомиться</v>
      </c>
      <c r="W5130" s="8" t="s">
        <v>3412</v>
      </c>
      <c r="X5130" s="6"/>
      <c r="Y5130" s="6"/>
      <c r="Z5130" s="6"/>
      <c r="AA5130" s="6" t="s">
        <v>1374</v>
      </c>
      <c r="AB5130" s="8"/>
    </row>
    <row r="5131" spans="1:28" s="4" customFormat="1" ht="51.95" customHeight="1">
      <c r="A5131" s="5">
        <v>0</v>
      </c>
      <c r="B5131" s="6" t="s">
        <v>30223</v>
      </c>
      <c r="C5131" s="13">
        <v>1664</v>
      </c>
      <c r="D5131" s="8" t="s">
        <v>30224</v>
      </c>
      <c r="E5131" s="8" t="s">
        <v>30225</v>
      </c>
      <c r="F5131" s="8" t="s">
        <v>30226</v>
      </c>
      <c r="G5131" s="6" t="s">
        <v>52</v>
      </c>
      <c r="H5131" s="6" t="s">
        <v>53</v>
      </c>
      <c r="I5131" s="8" t="s">
        <v>90</v>
      </c>
      <c r="J5131" s="9">
        <v>1</v>
      </c>
      <c r="K5131" s="9">
        <v>362</v>
      </c>
      <c r="L5131" s="9">
        <v>2024</v>
      </c>
      <c r="M5131" s="8" t="s">
        <v>30227</v>
      </c>
      <c r="N5131" s="8" t="s">
        <v>413</v>
      </c>
      <c r="O5131" s="8" t="s">
        <v>414</v>
      </c>
      <c r="P5131" s="6" t="s">
        <v>43</v>
      </c>
      <c r="Q5131" s="8" t="s">
        <v>44</v>
      </c>
      <c r="R5131" s="10" t="s">
        <v>30228</v>
      </c>
      <c r="S5131" s="11"/>
      <c r="T5131" s="6"/>
      <c r="U5131" s="24" t="str">
        <f>HYPERLINK("https://media.infra-m.ru/2126/2126313/cover/2126313.jpg", "Обложка")</f>
        <v>Обложка</v>
      </c>
      <c r="V5131" s="24" t="str">
        <f>HYPERLINK("https://znanium.ru/catalog/product/2126313", "Ознакомиться")</f>
        <v>Ознакомиться</v>
      </c>
      <c r="W5131" s="8" t="s">
        <v>4815</v>
      </c>
      <c r="X5131" s="6"/>
      <c r="Y5131" s="6"/>
      <c r="Z5131" s="6"/>
      <c r="AA5131" s="6" t="s">
        <v>111</v>
      </c>
      <c r="AB5131" s="8"/>
    </row>
    <row r="5132" spans="1:28" s="4" customFormat="1" ht="42" customHeight="1">
      <c r="A5132" s="5">
        <v>0</v>
      </c>
      <c r="B5132" s="6" t="s">
        <v>30229</v>
      </c>
      <c r="C5132" s="13">
        <v>1090</v>
      </c>
      <c r="D5132" s="8" t="s">
        <v>30230</v>
      </c>
      <c r="E5132" s="8" t="s">
        <v>30231</v>
      </c>
      <c r="F5132" s="8" t="s">
        <v>30232</v>
      </c>
      <c r="G5132" s="6" t="s">
        <v>52</v>
      </c>
      <c r="H5132" s="6" t="s">
        <v>53</v>
      </c>
      <c r="I5132" s="8" t="s">
        <v>3356</v>
      </c>
      <c r="J5132" s="9">
        <v>1</v>
      </c>
      <c r="K5132" s="9">
        <v>213</v>
      </c>
      <c r="L5132" s="9">
        <v>2024</v>
      </c>
      <c r="M5132" s="8" t="s">
        <v>30233</v>
      </c>
      <c r="N5132" s="8" t="s">
        <v>79</v>
      </c>
      <c r="O5132" s="8" t="s">
        <v>396</v>
      </c>
      <c r="P5132" s="6" t="s">
        <v>43</v>
      </c>
      <c r="Q5132" s="8" t="s">
        <v>58</v>
      </c>
      <c r="R5132" s="10" t="s">
        <v>17763</v>
      </c>
      <c r="S5132" s="11"/>
      <c r="T5132" s="6"/>
      <c r="U5132" s="24" t="str">
        <f>HYPERLINK("https://media.infra-m.ru/2133/2133996/cover/2133996.jpg", "Обложка")</f>
        <v>Обложка</v>
      </c>
      <c r="V5132" s="12"/>
      <c r="W5132" s="8" t="s">
        <v>784</v>
      </c>
      <c r="X5132" s="6" t="s">
        <v>389</v>
      </c>
      <c r="Y5132" s="6"/>
      <c r="Z5132" s="6"/>
      <c r="AA5132" s="6" t="s">
        <v>133</v>
      </c>
      <c r="AB5132" s="8"/>
    </row>
    <row r="5133" spans="1:28" s="4" customFormat="1" ht="51.95" customHeight="1">
      <c r="A5133" s="5">
        <v>0</v>
      </c>
      <c r="B5133" s="6" t="s">
        <v>30234</v>
      </c>
      <c r="C5133" s="13">
        <v>1514</v>
      </c>
      <c r="D5133" s="8" t="s">
        <v>30235</v>
      </c>
      <c r="E5133" s="8" t="s">
        <v>30236</v>
      </c>
      <c r="F5133" s="8" t="s">
        <v>25090</v>
      </c>
      <c r="G5133" s="6" t="s">
        <v>89</v>
      </c>
      <c r="H5133" s="6" t="s">
        <v>53</v>
      </c>
      <c r="I5133" s="8" t="s">
        <v>90</v>
      </c>
      <c r="J5133" s="9">
        <v>1</v>
      </c>
      <c r="K5133" s="9">
        <v>330</v>
      </c>
      <c r="L5133" s="9">
        <v>2024</v>
      </c>
      <c r="M5133" s="8" t="s">
        <v>30237</v>
      </c>
      <c r="N5133" s="8" t="s">
        <v>79</v>
      </c>
      <c r="O5133" s="8" t="s">
        <v>424</v>
      </c>
      <c r="P5133" s="6" t="s">
        <v>43</v>
      </c>
      <c r="Q5133" s="8" t="s">
        <v>44</v>
      </c>
      <c r="R5133" s="10" t="s">
        <v>30238</v>
      </c>
      <c r="S5133" s="11" t="s">
        <v>18756</v>
      </c>
      <c r="T5133" s="6"/>
      <c r="U5133" s="24" t="str">
        <f>HYPERLINK("https://media.infra-m.ru/2103/2103735/cover/2103735.jpg", "Обложка")</f>
        <v>Обложка</v>
      </c>
      <c r="V5133" s="24" t="str">
        <f>HYPERLINK("https://znanium.ru/catalog/product/2103735", "Ознакомиться")</f>
        <v>Ознакомиться</v>
      </c>
      <c r="W5133" s="8" t="s">
        <v>462</v>
      </c>
      <c r="X5133" s="6"/>
      <c r="Y5133" s="6"/>
      <c r="Z5133" s="6"/>
      <c r="AA5133" s="6" t="s">
        <v>258</v>
      </c>
      <c r="AB5133" s="8"/>
    </row>
    <row r="5134" spans="1:28" s="4" customFormat="1" ht="51.95" customHeight="1">
      <c r="A5134" s="5">
        <v>0</v>
      </c>
      <c r="B5134" s="6" t="s">
        <v>30239</v>
      </c>
      <c r="C5134" s="13">
        <v>1494</v>
      </c>
      <c r="D5134" s="8" t="s">
        <v>30240</v>
      </c>
      <c r="E5134" s="8" t="s">
        <v>30236</v>
      </c>
      <c r="F5134" s="8" t="s">
        <v>25090</v>
      </c>
      <c r="G5134" s="6" t="s">
        <v>52</v>
      </c>
      <c r="H5134" s="6" t="s">
        <v>53</v>
      </c>
      <c r="I5134" s="8" t="s">
        <v>100</v>
      </c>
      <c r="J5134" s="9">
        <v>1</v>
      </c>
      <c r="K5134" s="9">
        <v>329</v>
      </c>
      <c r="L5134" s="9">
        <v>2023</v>
      </c>
      <c r="M5134" s="8" t="s">
        <v>30241</v>
      </c>
      <c r="N5134" s="8" t="s">
        <v>79</v>
      </c>
      <c r="O5134" s="8" t="s">
        <v>424</v>
      </c>
      <c r="P5134" s="6" t="s">
        <v>43</v>
      </c>
      <c r="Q5134" s="8" t="s">
        <v>102</v>
      </c>
      <c r="R5134" s="10" t="s">
        <v>30242</v>
      </c>
      <c r="S5134" s="11" t="s">
        <v>30243</v>
      </c>
      <c r="T5134" s="6"/>
      <c r="U5134" s="24" t="str">
        <f>HYPERLINK("https://media.infra-m.ru/2045/2045840/cover/2045840.jpg", "Обложка")</f>
        <v>Обложка</v>
      </c>
      <c r="V5134" s="24" t="str">
        <f>HYPERLINK("https://znanium.ru/catalog/product/1031285", "Ознакомиться")</f>
        <v>Ознакомиться</v>
      </c>
      <c r="W5134" s="8" t="s">
        <v>462</v>
      </c>
      <c r="X5134" s="6"/>
      <c r="Y5134" s="6"/>
      <c r="Z5134" s="6" t="s">
        <v>104</v>
      </c>
      <c r="AA5134" s="6" t="s">
        <v>258</v>
      </c>
      <c r="AB5134" s="8" t="s">
        <v>271</v>
      </c>
    </row>
    <row r="5135" spans="1:28" s="4" customFormat="1" ht="51.95" customHeight="1">
      <c r="A5135" s="5">
        <v>0</v>
      </c>
      <c r="B5135" s="6" t="s">
        <v>30244</v>
      </c>
      <c r="C5135" s="13">
        <v>1484</v>
      </c>
      <c r="D5135" s="8" t="s">
        <v>30245</v>
      </c>
      <c r="E5135" s="8" t="s">
        <v>30246</v>
      </c>
      <c r="F5135" s="8" t="s">
        <v>30247</v>
      </c>
      <c r="G5135" s="6" t="s">
        <v>89</v>
      </c>
      <c r="H5135" s="6" t="s">
        <v>53</v>
      </c>
      <c r="I5135" s="8" t="s">
        <v>100</v>
      </c>
      <c r="J5135" s="9">
        <v>1</v>
      </c>
      <c r="K5135" s="9">
        <v>316</v>
      </c>
      <c r="L5135" s="9">
        <v>2024</v>
      </c>
      <c r="M5135" s="8" t="s">
        <v>30248</v>
      </c>
      <c r="N5135" s="8" t="s">
        <v>79</v>
      </c>
      <c r="O5135" s="8" t="s">
        <v>396</v>
      </c>
      <c r="P5135" s="6" t="s">
        <v>43</v>
      </c>
      <c r="Q5135" s="8" t="s">
        <v>102</v>
      </c>
      <c r="R5135" s="10" t="s">
        <v>30249</v>
      </c>
      <c r="S5135" s="11" t="s">
        <v>30250</v>
      </c>
      <c r="T5135" s="6"/>
      <c r="U5135" s="24" t="str">
        <f>HYPERLINK("https://media.infra-m.ru/2137/2137644/cover/2137644.jpg", "Обложка")</f>
        <v>Обложка</v>
      </c>
      <c r="V5135" s="24" t="str">
        <f>HYPERLINK("https://znanium.ru/catalog/product/1864128", "Ознакомиться")</f>
        <v>Ознакомиться</v>
      </c>
      <c r="W5135" s="8" t="s">
        <v>7020</v>
      </c>
      <c r="X5135" s="6"/>
      <c r="Y5135" s="6"/>
      <c r="Z5135" s="6" t="s">
        <v>104</v>
      </c>
      <c r="AA5135" s="6" t="s">
        <v>1382</v>
      </c>
      <c r="AB5135" s="8"/>
    </row>
    <row r="5136" spans="1:28" s="4" customFormat="1" ht="51.95" customHeight="1">
      <c r="A5136" s="5">
        <v>0</v>
      </c>
      <c r="B5136" s="6" t="s">
        <v>30251</v>
      </c>
      <c r="C5136" s="13">
        <v>1494</v>
      </c>
      <c r="D5136" s="8" t="s">
        <v>30252</v>
      </c>
      <c r="E5136" s="8" t="s">
        <v>30246</v>
      </c>
      <c r="F5136" s="8" t="s">
        <v>30247</v>
      </c>
      <c r="G5136" s="6" t="s">
        <v>52</v>
      </c>
      <c r="H5136" s="6" t="s">
        <v>53</v>
      </c>
      <c r="I5136" s="8" t="s">
        <v>90</v>
      </c>
      <c r="J5136" s="9">
        <v>1</v>
      </c>
      <c r="K5136" s="9">
        <v>316</v>
      </c>
      <c r="L5136" s="9">
        <v>2024</v>
      </c>
      <c r="M5136" s="8" t="s">
        <v>30253</v>
      </c>
      <c r="N5136" s="8" t="s">
        <v>79</v>
      </c>
      <c r="O5136" s="8" t="s">
        <v>396</v>
      </c>
      <c r="P5136" s="6" t="s">
        <v>43</v>
      </c>
      <c r="Q5136" s="8" t="s">
        <v>44</v>
      </c>
      <c r="R5136" s="10" t="s">
        <v>10827</v>
      </c>
      <c r="S5136" s="11" t="s">
        <v>30254</v>
      </c>
      <c r="T5136" s="6"/>
      <c r="U5136" s="24" t="str">
        <f>HYPERLINK("https://media.infra-m.ru/2137/2137648/cover/2137648.jpg", "Обложка")</f>
        <v>Обложка</v>
      </c>
      <c r="V5136" s="24" t="str">
        <f>HYPERLINK("https://znanium.ru/catalog/product/1099276", "Ознакомиться")</f>
        <v>Ознакомиться</v>
      </c>
      <c r="W5136" s="8" t="s">
        <v>7020</v>
      </c>
      <c r="X5136" s="6"/>
      <c r="Y5136" s="6"/>
      <c r="Z5136" s="6"/>
      <c r="AA5136" s="6" t="s">
        <v>1382</v>
      </c>
      <c r="AB5136" s="8"/>
    </row>
    <row r="5137" spans="1:28" s="4" customFormat="1" ht="51.95" customHeight="1">
      <c r="A5137" s="5">
        <v>0</v>
      </c>
      <c r="B5137" s="6" t="s">
        <v>30255</v>
      </c>
      <c r="C5137" s="13">
        <v>1670</v>
      </c>
      <c r="D5137" s="8" t="s">
        <v>30256</v>
      </c>
      <c r="E5137" s="8" t="s">
        <v>30257</v>
      </c>
      <c r="F5137" s="8" t="s">
        <v>6251</v>
      </c>
      <c r="G5137" s="6" t="s">
        <v>52</v>
      </c>
      <c r="H5137" s="6" t="s">
        <v>53</v>
      </c>
      <c r="I5137" s="8" t="s">
        <v>100</v>
      </c>
      <c r="J5137" s="9">
        <v>1</v>
      </c>
      <c r="K5137" s="9">
        <v>327</v>
      </c>
      <c r="L5137" s="9">
        <v>2025</v>
      </c>
      <c r="M5137" s="8" t="s">
        <v>30258</v>
      </c>
      <c r="N5137" s="8" t="s">
        <v>79</v>
      </c>
      <c r="O5137" s="8" t="s">
        <v>396</v>
      </c>
      <c r="P5137" s="6" t="s">
        <v>43</v>
      </c>
      <c r="Q5137" s="8" t="s">
        <v>102</v>
      </c>
      <c r="R5137" s="10" t="s">
        <v>30259</v>
      </c>
      <c r="S5137" s="11"/>
      <c r="T5137" s="6"/>
      <c r="U5137" s="24" t="str">
        <f>HYPERLINK("https://media.infra-m.ru/2163/2163857/cover/2163857.jpg", "Обложка")</f>
        <v>Обложка</v>
      </c>
      <c r="V5137" s="24" t="str">
        <f>HYPERLINK("https://znanium.ru/catalog/product/2163857", "Ознакомиться")</f>
        <v>Ознакомиться</v>
      </c>
      <c r="W5137" s="8" t="s">
        <v>2878</v>
      </c>
      <c r="X5137" s="6" t="s">
        <v>785</v>
      </c>
      <c r="Y5137" s="6"/>
      <c r="Z5137" s="6" t="s">
        <v>104</v>
      </c>
      <c r="AA5137" s="6" t="s">
        <v>61</v>
      </c>
      <c r="AB5137" s="8" t="s">
        <v>1969</v>
      </c>
    </row>
    <row r="5138" spans="1:28" s="4" customFormat="1" ht="51.95" customHeight="1">
      <c r="A5138" s="5">
        <v>0</v>
      </c>
      <c r="B5138" s="6" t="s">
        <v>30260</v>
      </c>
      <c r="C5138" s="13">
        <v>1094.9000000000001</v>
      </c>
      <c r="D5138" s="8" t="s">
        <v>30261</v>
      </c>
      <c r="E5138" s="8" t="s">
        <v>30262</v>
      </c>
      <c r="F5138" s="8" t="s">
        <v>30263</v>
      </c>
      <c r="G5138" s="6" t="s">
        <v>52</v>
      </c>
      <c r="H5138" s="6" t="s">
        <v>53</v>
      </c>
      <c r="I5138" s="8" t="s">
        <v>116</v>
      </c>
      <c r="J5138" s="9">
        <v>1</v>
      </c>
      <c r="K5138" s="9">
        <v>288</v>
      </c>
      <c r="L5138" s="9">
        <v>2022</v>
      </c>
      <c r="M5138" s="8" t="s">
        <v>30264</v>
      </c>
      <c r="N5138" s="8" t="s">
        <v>79</v>
      </c>
      <c r="O5138" s="8" t="s">
        <v>396</v>
      </c>
      <c r="P5138" s="6" t="s">
        <v>43</v>
      </c>
      <c r="Q5138" s="8" t="s">
        <v>44</v>
      </c>
      <c r="R5138" s="10" t="s">
        <v>30265</v>
      </c>
      <c r="S5138" s="11" t="s">
        <v>30266</v>
      </c>
      <c r="T5138" s="6"/>
      <c r="U5138" s="24" t="str">
        <f>HYPERLINK("https://media.infra-m.ru/1853/1853552/cover/1853552.jpg", "Обложка")</f>
        <v>Обложка</v>
      </c>
      <c r="V5138" s="24" t="str">
        <f>HYPERLINK("https://znanium.ru/catalog/product/1009733", "Ознакомиться")</f>
        <v>Ознакомиться</v>
      </c>
      <c r="W5138" s="8" t="s">
        <v>1571</v>
      </c>
      <c r="X5138" s="6"/>
      <c r="Y5138" s="6"/>
      <c r="Z5138" s="6"/>
      <c r="AA5138" s="6" t="s">
        <v>111</v>
      </c>
      <c r="AB5138" s="8"/>
    </row>
    <row r="5139" spans="1:28" s="4" customFormat="1" ht="42" customHeight="1">
      <c r="A5139" s="5">
        <v>0</v>
      </c>
      <c r="B5139" s="6" t="s">
        <v>30267</v>
      </c>
      <c r="C5139" s="13">
        <v>1690</v>
      </c>
      <c r="D5139" s="8" t="s">
        <v>30268</v>
      </c>
      <c r="E5139" s="8" t="s">
        <v>30257</v>
      </c>
      <c r="F5139" s="8" t="s">
        <v>6251</v>
      </c>
      <c r="G5139" s="6" t="s">
        <v>52</v>
      </c>
      <c r="H5139" s="6" t="s">
        <v>53</v>
      </c>
      <c r="I5139" s="8" t="s">
        <v>116</v>
      </c>
      <c r="J5139" s="9">
        <v>1</v>
      </c>
      <c r="K5139" s="9">
        <v>327</v>
      </c>
      <c r="L5139" s="9">
        <v>2025</v>
      </c>
      <c r="M5139" s="8" t="s">
        <v>30269</v>
      </c>
      <c r="N5139" s="8" t="s">
        <v>79</v>
      </c>
      <c r="O5139" s="8" t="s">
        <v>396</v>
      </c>
      <c r="P5139" s="6" t="s">
        <v>43</v>
      </c>
      <c r="Q5139" s="8" t="s">
        <v>44</v>
      </c>
      <c r="R5139" s="10" t="s">
        <v>9042</v>
      </c>
      <c r="S5139" s="11"/>
      <c r="T5139" s="6"/>
      <c r="U5139" s="24" t="str">
        <f>HYPERLINK("https://media.infra-m.ru/1874/1874284/cover/1874284.jpg", "Обложка")</f>
        <v>Обложка</v>
      </c>
      <c r="V5139" s="24" t="str">
        <f>HYPERLINK("https://znanium.ru/catalog/product/1874284", "Ознакомиться")</f>
        <v>Ознакомиться</v>
      </c>
      <c r="W5139" s="8" t="s">
        <v>2878</v>
      </c>
      <c r="X5139" s="6" t="s">
        <v>389</v>
      </c>
      <c r="Y5139" s="6"/>
      <c r="Z5139" s="6"/>
      <c r="AA5139" s="6" t="s">
        <v>61</v>
      </c>
      <c r="AB5139" s="8"/>
    </row>
    <row r="5140" spans="1:28" s="4" customFormat="1" ht="51.95" customHeight="1">
      <c r="A5140" s="5">
        <v>0</v>
      </c>
      <c r="B5140" s="6" t="s">
        <v>30270</v>
      </c>
      <c r="C5140" s="7">
        <v>844.9</v>
      </c>
      <c r="D5140" s="8" t="s">
        <v>30271</v>
      </c>
      <c r="E5140" s="8" t="s">
        <v>30272</v>
      </c>
      <c r="F5140" s="8" t="s">
        <v>30273</v>
      </c>
      <c r="G5140" s="6" t="s">
        <v>52</v>
      </c>
      <c r="H5140" s="6" t="s">
        <v>53</v>
      </c>
      <c r="I5140" s="8" t="s">
        <v>100</v>
      </c>
      <c r="J5140" s="9">
        <v>1</v>
      </c>
      <c r="K5140" s="9">
        <v>176</v>
      </c>
      <c r="L5140" s="9">
        <v>2024</v>
      </c>
      <c r="M5140" s="8" t="s">
        <v>30274</v>
      </c>
      <c r="N5140" s="8" t="s">
        <v>41</v>
      </c>
      <c r="O5140" s="8" t="s">
        <v>1007</v>
      </c>
      <c r="P5140" s="6" t="s">
        <v>167</v>
      </c>
      <c r="Q5140" s="8" t="s">
        <v>102</v>
      </c>
      <c r="R5140" s="10" t="s">
        <v>2779</v>
      </c>
      <c r="S5140" s="11" t="s">
        <v>30275</v>
      </c>
      <c r="T5140" s="6"/>
      <c r="U5140" s="24" t="str">
        <f>HYPERLINK("https://media.infra-m.ru/2145/2145518/cover/2145518.jpg", "Обложка")</f>
        <v>Обложка</v>
      </c>
      <c r="V5140" s="24" t="str">
        <f>HYPERLINK("https://znanium.ru/catalog/product/1903875", "Ознакомиться")</f>
        <v>Ознакомиться</v>
      </c>
      <c r="W5140" s="8" t="s">
        <v>1076</v>
      </c>
      <c r="X5140" s="6"/>
      <c r="Y5140" s="6"/>
      <c r="Z5140" s="6" t="s">
        <v>104</v>
      </c>
      <c r="AA5140" s="6" t="s">
        <v>219</v>
      </c>
      <c r="AB5140" s="8"/>
    </row>
    <row r="5141" spans="1:28" s="4" customFormat="1" ht="51.95" customHeight="1">
      <c r="A5141" s="5">
        <v>0</v>
      </c>
      <c r="B5141" s="6" t="s">
        <v>30276</v>
      </c>
      <c r="C5141" s="13">
        <v>1000</v>
      </c>
      <c r="D5141" s="8" t="s">
        <v>30277</v>
      </c>
      <c r="E5141" s="8" t="s">
        <v>30278</v>
      </c>
      <c r="F5141" s="8" t="s">
        <v>25090</v>
      </c>
      <c r="G5141" s="6" t="s">
        <v>89</v>
      </c>
      <c r="H5141" s="6" t="s">
        <v>53</v>
      </c>
      <c r="I5141" s="8" t="s">
        <v>100</v>
      </c>
      <c r="J5141" s="9">
        <v>1</v>
      </c>
      <c r="K5141" s="9">
        <v>200</v>
      </c>
      <c r="L5141" s="9">
        <v>2025</v>
      </c>
      <c r="M5141" s="8" t="s">
        <v>30279</v>
      </c>
      <c r="N5141" s="8" t="s">
        <v>79</v>
      </c>
      <c r="O5141" s="8" t="s">
        <v>424</v>
      </c>
      <c r="P5141" s="6" t="s">
        <v>43</v>
      </c>
      <c r="Q5141" s="8" t="s">
        <v>102</v>
      </c>
      <c r="R5141" s="10" t="s">
        <v>17066</v>
      </c>
      <c r="S5141" s="11" t="s">
        <v>30280</v>
      </c>
      <c r="T5141" s="6"/>
      <c r="U5141" s="24" t="str">
        <f>HYPERLINK("https://media.infra-m.ru/2163/2163997/cover/2163997.jpg", "Обложка")</f>
        <v>Обложка</v>
      </c>
      <c r="V5141" s="24" t="str">
        <f>HYPERLINK("https://znanium.ru/catalog/product/2163997", "Ознакомиться")</f>
        <v>Ознакомиться</v>
      </c>
      <c r="W5141" s="8" t="s">
        <v>462</v>
      </c>
      <c r="X5141" s="6"/>
      <c r="Y5141" s="6"/>
      <c r="Z5141" s="6" t="s">
        <v>104</v>
      </c>
      <c r="AA5141" s="6" t="s">
        <v>793</v>
      </c>
      <c r="AB5141" s="8"/>
    </row>
    <row r="5142" spans="1:28" s="4" customFormat="1" ht="51.95" customHeight="1">
      <c r="A5142" s="5">
        <v>0</v>
      </c>
      <c r="B5142" s="6" t="s">
        <v>30281</v>
      </c>
      <c r="C5142" s="13">
        <v>2520</v>
      </c>
      <c r="D5142" s="8" t="s">
        <v>30282</v>
      </c>
      <c r="E5142" s="8" t="s">
        <v>30283</v>
      </c>
      <c r="F5142" s="8" t="s">
        <v>17954</v>
      </c>
      <c r="G5142" s="6" t="s">
        <v>52</v>
      </c>
      <c r="H5142" s="6" t="s">
        <v>53</v>
      </c>
      <c r="I5142" s="8" t="s">
        <v>100</v>
      </c>
      <c r="J5142" s="9">
        <v>1</v>
      </c>
      <c r="K5142" s="9">
        <v>536</v>
      </c>
      <c r="L5142" s="9">
        <v>2024</v>
      </c>
      <c r="M5142" s="8" t="s">
        <v>30284</v>
      </c>
      <c r="N5142" s="8" t="s">
        <v>41</v>
      </c>
      <c r="O5142" s="8" t="s">
        <v>278</v>
      </c>
      <c r="P5142" s="6" t="s">
        <v>167</v>
      </c>
      <c r="Q5142" s="8" t="s">
        <v>102</v>
      </c>
      <c r="R5142" s="10" t="s">
        <v>30285</v>
      </c>
      <c r="S5142" s="11" t="s">
        <v>30286</v>
      </c>
      <c r="T5142" s="6"/>
      <c r="U5142" s="24" t="str">
        <f>HYPERLINK("https://media.infra-m.ru/2149/2149693/cover/2149693.jpg", "Обложка")</f>
        <v>Обложка</v>
      </c>
      <c r="V5142" s="24" t="str">
        <f>HYPERLINK("https://znanium.ru/catalog/product/2149693", "Ознакомиться")</f>
        <v>Ознакомиться</v>
      </c>
      <c r="W5142" s="8" t="s">
        <v>6124</v>
      </c>
      <c r="X5142" s="6"/>
      <c r="Y5142" s="6"/>
      <c r="Z5142" s="6" t="s">
        <v>104</v>
      </c>
      <c r="AA5142" s="6" t="s">
        <v>219</v>
      </c>
      <c r="AB5142" s="8"/>
    </row>
    <row r="5143" spans="1:28" s="4" customFormat="1" ht="42" customHeight="1">
      <c r="A5143" s="5">
        <v>0</v>
      </c>
      <c r="B5143" s="6" t="s">
        <v>30287</v>
      </c>
      <c r="C5143" s="7">
        <v>990</v>
      </c>
      <c r="D5143" s="8" t="s">
        <v>30288</v>
      </c>
      <c r="E5143" s="8" t="s">
        <v>30289</v>
      </c>
      <c r="F5143" s="8" t="s">
        <v>25090</v>
      </c>
      <c r="G5143" s="6" t="s">
        <v>52</v>
      </c>
      <c r="H5143" s="6" t="s">
        <v>53</v>
      </c>
      <c r="I5143" s="8" t="s">
        <v>116</v>
      </c>
      <c r="J5143" s="9">
        <v>1</v>
      </c>
      <c r="K5143" s="9">
        <v>193</v>
      </c>
      <c r="L5143" s="9">
        <v>2024</v>
      </c>
      <c r="M5143" s="8" t="s">
        <v>30290</v>
      </c>
      <c r="N5143" s="8" t="s">
        <v>79</v>
      </c>
      <c r="O5143" s="8" t="s">
        <v>424</v>
      </c>
      <c r="P5143" s="6" t="s">
        <v>43</v>
      </c>
      <c r="Q5143" s="8" t="s">
        <v>44</v>
      </c>
      <c r="R5143" s="10" t="s">
        <v>5274</v>
      </c>
      <c r="S5143" s="11"/>
      <c r="T5143" s="6" t="s">
        <v>299</v>
      </c>
      <c r="U5143" s="24" t="str">
        <f>HYPERLINK("https://media.infra-m.ru/0943/0943557/cover/943557.jpg", "Обложка")</f>
        <v>Обложка</v>
      </c>
      <c r="V5143" s="24" t="str">
        <f>HYPERLINK("https://znanium.ru/catalog/product/943557", "Ознакомиться")</f>
        <v>Ознакомиться</v>
      </c>
      <c r="W5143" s="8" t="s">
        <v>462</v>
      </c>
      <c r="X5143" s="6"/>
      <c r="Y5143" s="6"/>
      <c r="Z5143" s="6"/>
      <c r="AA5143" s="6" t="s">
        <v>133</v>
      </c>
      <c r="AB5143" s="8"/>
    </row>
    <row r="5144" spans="1:28" s="4" customFormat="1" ht="51.95" customHeight="1">
      <c r="A5144" s="5">
        <v>0</v>
      </c>
      <c r="B5144" s="6" t="s">
        <v>30291</v>
      </c>
      <c r="C5144" s="13">
        <v>1470</v>
      </c>
      <c r="D5144" s="8" t="s">
        <v>30292</v>
      </c>
      <c r="E5144" s="8" t="s">
        <v>30293</v>
      </c>
      <c r="F5144" s="8" t="s">
        <v>25090</v>
      </c>
      <c r="G5144" s="6" t="s">
        <v>89</v>
      </c>
      <c r="H5144" s="6" t="s">
        <v>53</v>
      </c>
      <c r="I5144" s="8" t="s">
        <v>100</v>
      </c>
      <c r="J5144" s="9">
        <v>1</v>
      </c>
      <c r="K5144" s="9">
        <v>282</v>
      </c>
      <c r="L5144" s="9">
        <v>2025</v>
      </c>
      <c r="M5144" s="8" t="s">
        <v>30294</v>
      </c>
      <c r="N5144" s="8" t="s">
        <v>79</v>
      </c>
      <c r="O5144" s="8" t="s">
        <v>424</v>
      </c>
      <c r="P5144" s="6" t="s">
        <v>43</v>
      </c>
      <c r="Q5144" s="8" t="s">
        <v>102</v>
      </c>
      <c r="R5144" s="10" t="s">
        <v>30295</v>
      </c>
      <c r="S5144" s="11"/>
      <c r="T5144" s="6"/>
      <c r="U5144" s="24" t="str">
        <f>HYPERLINK("https://media.infra-m.ru/2185/2185872/cover/2185872.jpg", "Обложка")</f>
        <v>Обложка</v>
      </c>
      <c r="V5144" s="24" t="str">
        <f>HYPERLINK("https://znanium.ru/catalog/product/2185872", "Ознакомиться")</f>
        <v>Ознакомиться</v>
      </c>
      <c r="W5144" s="8" t="s">
        <v>462</v>
      </c>
      <c r="X5144" s="6"/>
      <c r="Y5144" s="6"/>
      <c r="Z5144" s="6"/>
      <c r="AA5144" s="6" t="s">
        <v>133</v>
      </c>
      <c r="AB5144" s="8"/>
    </row>
    <row r="5145" spans="1:28" s="4" customFormat="1" ht="51.95" customHeight="1">
      <c r="A5145" s="5">
        <v>0</v>
      </c>
      <c r="B5145" s="6" t="s">
        <v>30296</v>
      </c>
      <c r="C5145" s="13">
        <v>2600</v>
      </c>
      <c r="D5145" s="8" t="s">
        <v>30297</v>
      </c>
      <c r="E5145" s="8" t="s">
        <v>30283</v>
      </c>
      <c r="F5145" s="8" t="s">
        <v>17954</v>
      </c>
      <c r="G5145" s="6" t="s">
        <v>52</v>
      </c>
      <c r="H5145" s="6" t="s">
        <v>53</v>
      </c>
      <c r="I5145" s="8" t="s">
        <v>90</v>
      </c>
      <c r="J5145" s="9">
        <v>1</v>
      </c>
      <c r="K5145" s="9">
        <v>536</v>
      </c>
      <c r="L5145" s="9">
        <v>2023</v>
      </c>
      <c r="M5145" s="8" t="s">
        <v>30298</v>
      </c>
      <c r="N5145" s="8" t="s">
        <v>41</v>
      </c>
      <c r="O5145" s="8" t="s">
        <v>278</v>
      </c>
      <c r="P5145" s="6" t="s">
        <v>167</v>
      </c>
      <c r="Q5145" s="8" t="s">
        <v>44</v>
      </c>
      <c r="R5145" s="10" t="s">
        <v>30299</v>
      </c>
      <c r="S5145" s="11" t="s">
        <v>30300</v>
      </c>
      <c r="T5145" s="6"/>
      <c r="U5145" s="24" t="str">
        <f>HYPERLINK("https://media.infra-m.ru/2122/2122942/cover/2122942.jpg", "Обложка")</f>
        <v>Обложка</v>
      </c>
      <c r="V5145" s="24" t="str">
        <f>HYPERLINK("https://znanium.ru/catalog/product/2122942", "Ознакомиться")</f>
        <v>Ознакомиться</v>
      </c>
      <c r="W5145" s="8" t="s">
        <v>6124</v>
      </c>
      <c r="X5145" s="6"/>
      <c r="Y5145" s="6"/>
      <c r="Z5145" s="6"/>
      <c r="AA5145" s="6" t="s">
        <v>442</v>
      </c>
      <c r="AB5145" s="8"/>
    </row>
    <row r="5146" spans="1:28" s="4" customFormat="1" ht="51.95" customHeight="1">
      <c r="A5146" s="5">
        <v>0</v>
      </c>
      <c r="B5146" s="6" t="s">
        <v>30301</v>
      </c>
      <c r="C5146" s="7">
        <v>994</v>
      </c>
      <c r="D5146" s="8" t="s">
        <v>30302</v>
      </c>
      <c r="E5146" s="8" t="s">
        <v>30278</v>
      </c>
      <c r="F5146" s="8" t="s">
        <v>25090</v>
      </c>
      <c r="G5146" s="6" t="s">
        <v>89</v>
      </c>
      <c r="H5146" s="6" t="s">
        <v>53</v>
      </c>
      <c r="I5146" s="8" t="s">
        <v>90</v>
      </c>
      <c r="J5146" s="9">
        <v>1</v>
      </c>
      <c r="K5146" s="9">
        <v>215</v>
      </c>
      <c r="L5146" s="9">
        <v>2024</v>
      </c>
      <c r="M5146" s="8" t="s">
        <v>30303</v>
      </c>
      <c r="N5146" s="8" t="s">
        <v>79</v>
      </c>
      <c r="O5146" s="8" t="s">
        <v>424</v>
      </c>
      <c r="P5146" s="6" t="s">
        <v>43</v>
      </c>
      <c r="Q5146" s="8" t="s">
        <v>44</v>
      </c>
      <c r="R5146" s="10" t="s">
        <v>4598</v>
      </c>
      <c r="S5146" s="11" t="s">
        <v>30304</v>
      </c>
      <c r="T5146" s="6"/>
      <c r="U5146" s="24" t="str">
        <f>HYPERLINK("https://media.infra-m.ru/2084/2084329/cover/2084329.jpg", "Обложка")</f>
        <v>Обложка</v>
      </c>
      <c r="V5146" s="24" t="str">
        <f>HYPERLINK("https://znanium.ru/catalog/product/1981646", "Ознакомиться")</f>
        <v>Ознакомиться</v>
      </c>
      <c r="W5146" s="8" t="s">
        <v>462</v>
      </c>
      <c r="X5146" s="6"/>
      <c r="Y5146" s="6"/>
      <c r="Z5146" s="6"/>
      <c r="AA5146" s="6" t="s">
        <v>258</v>
      </c>
      <c r="AB5146" s="8"/>
    </row>
    <row r="5147" spans="1:28" s="4" customFormat="1" ht="51.95" customHeight="1">
      <c r="A5147" s="5">
        <v>0</v>
      </c>
      <c r="B5147" s="6" t="s">
        <v>30305</v>
      </c>
      <c r="C5147" s="7">
        <v>800</v>
      </c>
      <c r="D5147" s="8" t="s">
        <v>30306</v>
      </c>
      <c r="E5147" s="8" t="s">
        <v>30272</v>
      </c>
      <c r="F5147" s="8" t="s">
        <v>30273</v>
      </c>
      <c r="G5147" s="6" t="s">
        <v>89</v>
      </c>
      <c r="H5147" s="6" t="s">
        <v>53</v>
      </c>
      <c r="I5147" s="8" t="s">
        <v>90</v>
      </c>
      <c r="J5147" s="9">
        <v>1</v>
      </c>
      <c r="K5147" s="9">
        <v>176</v>
      </c>
      <c r="L5147" s="9">
        <v>2023</v>
      </c>
      <c r="M5147" s="8" t="s">
        <v>30307</v>
      </c>
      <c r="N5147" s="8" t="s">
        <v>41</v>
      </c>
      <c r="O5147" s="8" t="s">
        <v>1007</v>
      </c>
      <c r="P5147" s="6" t="s">
        <v>167</v>
      </c>
      <c r="Q5147" s="8" t="s">
        <v>44</v>
      </c>
      <c r="R5147" s="10" t="s">
        <v>16200</v>
      </c>
      <c r="S5147" s="11" t="s">
        <v>30308</v>
      </c>
      <c r="T5147" s="6"/>
      <c r="U5147" s="24" t="str">
        <f>HYPERLINK("https://media.infra-m.ru/1904/1904786/cover/1904786.jpg", "Обложка")</f>
        <v>Обложка</v>
      </c>
      <c r="V5147" s="24" t="str">
        <f>HYPERLINK("https://znanium.ru/catalog/product/1904786", "Ознакомиться")</f>
        <v>Ознакомиться</v>
      </c>
      <c r="W5147" s="8" t="s">
        <v>1076</v>
      </c>
      <c r="X5147" s="6"/>
      <c r="Y5147" s="6"/>
      <c r="Z5147" s="6"/>
      <c r="AA5147" s="6" t="s">
        <v>47</v>
      </c>
      <c r="AB5147" s="8"/>
    </row>
    <row r="5148" spans="1:28" s="4" customFormat="1" ht="42" customHeight="1">
      <c r="A5148" s="5">
        <v>0</v>
      </c>
      <c r="B5148" s="6" t="s">
        <v>30309</v>
      </c>
      <c r="C5148" s="13">
        <v>1250</v>
      </c>
      <c r="D5148" s="8" t="s">
        <v>30310</v>
      </c>
      <c r="E5148" s="8" t="s">
        <v>30311</v>
      </c>
      <c r="F5148" s="8" t="s">
        <v>18527</v>
      </c>
      <c r="G5148" s="6" t="s">
        <v>52</v>
      </c>
      <c r="H5148" s="6" t="s">
        <v>53</v>
      </c>
      <c r="I5148" s="8" t="s">
        <v>116</v>
      </c>
      <c r="J5148" s="9">
        <v>1</v>
      </c>
      <c r="K5148" s="9">
        <v>219</v>
      </c>
      <c r="L5148" s="9">
        <v>2025</v>
      </c>
      <c r="M5148" s="8" t="s">
        <v>30312</v>
      </c>
      <c r="N5148" s="8" t="s">
        <v>41</v>
      </c>
      <c r="O5148" s="8" t="s">
        <v>278</v>
      </c>
      <c r="P5148" s="6" t="s">
        <v>167</v>
      </c>
      <c r="Q5148" s="8" t="s">
        <v>58</v>
      </c>
      <c r="R5148" s="10" t="s">
        <v>25627</v>
      </c>
      <c r="S5148" s="11"/>
      <c r="T5148" s="6"/>
      <c r="U5148" s="24" t="str">
        <f>HYPERLINK("https://media.infra-m.ru/2136/2136705/cover/2136705.jpg", "Обложка")</f>
        <v>Обложка</v>
      </c>
      <c r="V5148" s="24" t="str">
        <f>HYPERLINK("https://znanium.ru/catalog/product/2136705", "Ознакомиться")</f>
        <v>Ознакомиться</v>
      </c>
      <c r="W5148" s="8" t="s">
        <v>1245</v>
      </c>
      <c r="X5148" s="6" t="s">
        <v>226</v>
      </c>
      <c r="Y5148" s="6"/>
      <c r="Z5148" s="6"/>
      <c r="AA5148" s="6" t="s">
        <v>61</v>
      </c>
      <c r="AB5148" s="8"/>
    </row>
    <row r="5149" spans="1:28" s="4" customFormat="1" ht="42" customHeight="1">
      <c r="A5149" s="5">
        <v>0</v>
      </c>
      <c r="B5149" s="6" t="s">
        <v>30313</v>
      </c>
      <c r="C5149" s="13">
        <v>1990</v>
      </c>
      <c r="D5149" s="8" t="s">
        <v>30314</v>
      </c>
      <c r="E5149" s="8" t="s">
        <v>30315</v>
      </c>
      <c r="F5149" s="8" t="s">
        <v>25090</v>
      </c>
      <c r="G5149" s="6" t="s">
        <v>52</v>
      </c>
      <c r="H5149" s="6" t="s">
        <v>53</v>
      </c>
      <c r="I5149" s="8" t="s">
        <v>116</v>
      </c>
      <c r="J5149" s="9">
        <v>1</v>
      </c>
      <c r="K5149" s="9">
        <v>389</v>
      </c>
      <c r="L5149" s="9">
        <v>2025</v>
      </c>
      <c r="M5149" s="8" t="s">
        <v>30316</v>
      </c>
      <c r="N5149" s="8" t="s">
        <v>79</v>
      </c>
      <c r="O5149" s="8" t="s">
        <v>424</v>
      </c>
      <c r="P5149" s="6" t="s">
        <v>43</v>
      </c>
      <c r="Q5149" s="8" t="s">
        <v>44</v>
      </c>
      <c r="R5149" s="10" t="s">
        <v>5274</v>
      </c>
      <c r="S5149" s="11"/>
      <c r="T5149" s="6"/>
      <c r="U5149" s="24" t="str">
        <f>HYPERLINK("https://media.infra-m.ru/1911/1911053/cover/1911053.jpg", "Обложка")</f>
        <v>Обложка</v>
      </c>
      <c r="V5149" s="24" t="str">
        <f>HYPERLINK("https://znanium.ru/catalog/product/1911053", "Ознакомиться")</f>
        <v>Ознакомиться</v>
      </c>
      <c r="W5149" s="8" t="s">
        <v>462</v>
      </c>
      <c r="X5149" s="6" t="s">
        <v>389</v>
      </c>
      <c r="Y5149" s="6"/>
      <c r="Z5149" s="6"/>
      <c r="AA5149" s="6" t="s">
        <v>61</v>
      </c>
      <c r="AB5149" s="8"/>
    </row>
    <row r="5150" spans="1:28" s="4" customFormat="1" ht="51.95" customHeight="1">
      <c r="A5150" s="5">
        <v>0</v>
      </c>
      <c r="B5150" s="6" t="s">
        <v>30317</v>
      </c>
      <c r="C5150" s="7">
        <v>914</v>
      </c>
      <c r="D5150" s="8" t="s">
        <v>30318</v>
      </c>
      <c r="E5150" s="8" t="s">
        <v>30319</v>
      </c>
      <c r="F5150" s="8" t="s">
        <v>30320</v>
      </c>
      <c r="G5150" s="6" t="s">
        <v>89</v>
      </c>
      <c r="H5150" s="6" t="s">
        <v>53</v>
      </c>
      <c r="I5150" s="8" t="s">
        <v>4855</v>
      </c>
      <c r="J5150" s="9">
        <v>1</v>
      </c>
      <c r="K5150" s="9">
        <v>202</v>
      </c>
      <c r="L5150" s="9">
        <v>2023</v>
      </c>
      <c r="M5150" s="8" t="s">
        <v>30321</v>
      </c>
      <c r="N5150" s="8" t="s">
        <v>79</v>
      </c>
      <c r="O5150" s="8" t="s">
        <v>424</v>
      </c>
      <c r="P5150" s="6" t="s">
        <v>43</v>
      </c>
      <c r="Q5150" s="8" t="s">
        <v>44</v>
      </c>
      <c r="R5150" s="10" t="s">
        <v>4798</v>
      </c>
      <c r="S5150" s="11" t="s">
        <v>21905</v>
      </c>
      <c r="T5150" s="6"/>
      <c r="U5150" s="24" t="str">
        <f>HYPERLINK("https://media.infra-m.ru/2006/2006882/cover/2006882.jpg", "Обложка")</f>
        <v>Обложка</v>
      </c>
      <c r="V5150" s="12"/>
      <c r="W5150" s="8" t="s">
        <v>784</v>
      </c>
      <c r="X5150" s="6"/>
      <c r="Y5150" s="6"/>
      <c r="Z5150" s="6"/>
      <c r="AA5150" s="6" t="s">
        <v>151</v>
      </c>
      <c r="AB5150" s="8"/>
    </row>
    <row r="5151" spans="1:28" s="4" customFormat="1" ht="33" customHeight="1">
      <c r="A5151" s="5">
        <v>0</v>
      </c>
      <c r="B5151" s="6" t="s">
        <v>30322</v>
      </c>
      <c r="C5151" s="13">
        <v>2069.8000000000002</v>
      </c>
      <c r="D5151" s="8" t="s">
        <v>30323</v>
      </c>
      <c r="E5151" s="8" t="s">
        <v>30324</v>
      </c>
      <c r="F5151" s="8" t="s">
        <v>30325</v>
      </c>
      <c r="G5151" s="6" t="s">
        <v>52</v>
      </c>
      <c r="H5151" s="6" t="s">
        <v>53</v>
      </c>
      <c r="I5151" s="8"/>
      <c r="J5151" s="9">
        <v>1</v>
      </c>
      <c r="K5151" s="9">
        <v>850</v>
      </c>
      <c r="L5151" s="9">
        <v>2019</v>
      </c>
      <c r="M5151" s="8"/>
      <c r="N5151" s="8" t="s">
        <v>413</v>
      </c>
      <c r="O5151" s="8" t="s">
        <v>414</v>
      </c>
      <c r="P5151" s="6" t="s">
        <v>30326</v>
      </c>
      <c r="Q5151" s="8" t="s">
        <v>44</v>
      </c>
      <c r="R5151" s="10"/>
      <c r="S5151" s="11"/>
      <c r="T5151" s="6"/>
      <c r="U5151" s="12"/>
      <c r="V5151" s="12"/>
      <c r="W5151" s="8" t="s">
        <v>71</v>
      </c>
      <c r="X5151" s="6"/>
      <c r="Y5151" s="6"/>
      <c r="Z5151" s="6"/>
      <c r="AA5151" s="6" t="s">
        <v>258</v>
      </c>
      <c r="AB5151" s="8"/>
    </row>
    <row r="5152" spans="1:28" s="4" customFormat="1" ht="51.95" customHeight="1">
      <c r="A5152" s="5">
        <v>0</v>
      </c>
      <c r="B5152" s="6" t="s">
        <v>30327</v>
      </c>
      <c r="C5152" s="13">
        <v>1064.9000000000001</v>
      </c>
      <c r="D5152" s="8" t="s">
        <v>30328</v>
      </c>
      <c r="E5152" s="8" t="s">
        <v>30324</v>
      </c>
      <c r="F5152" s="8" t="s">
        <v>30325</v>
      </c>
      <c r="G5152" s="6" t="s">
        <v>52</v>
      </c>
      <c r="H5152" s="6" t="s">
        <v>53</v>
      </c>
      <c r="I5152" s="8" t="s">
        <v>90</v>
      </c>
      <c r="J5152" s="9">
        <v>1</v>
      </c>
      <c r="K5152" s="9">
        <v>237</v>
      </c>
      <c r="L5152" s="9">
        <v>2022</v>
      </c>
      <c r="M5152" s="8" t="s">
        <v>30329</v>
      </c>
      <c r="N5152" s="8" t="s">
        <v>413</v>
      </c>
      <c r="O5152" s="8" t="s">
        <v>414</v>
      </c>
      <c r="P5152" s="6" t="s">
        <v>43</v>
      </c>
      <c r="Q5152" s="8" t="s">
        <v>44</v>
      </c>
      <c r="R5152" s="10" t="s">
        <v>30330</v>
      </c>
      <c r="S5152" s="11"/>
      <c r="T5152" s="6"/>
      <c r="U5152" s="24" t="str">
        <f>HYPERLINK("https://media.infra-m.ru/1891/1891649/cover/1891649.jpg", "Обложка")</f>
        <v>Обложка</v>
      </c>
      <c r="V5152" s="24" t="str">
        <f>HYPERLINK("https://znanium.ru/catalog/product/1232333", "Ознакомиться")</f>
        <v>Ознакомиться</v>
      </c>
      <c r="W5152" s="8" t="s">
        <v>71</v>
      </c>
      <c r="X5152" s="6"/>
      <c r="Y5152" s="6"/>
      <c r="Z5152" s="6"/>
      <c r="AA5152" s="6" t="s">
        <v>47</v>
      </c>
      <c r="AB5152" s="8"/>
    </row>
    <row r="5153" spans="1:28" s="4" customFormat="1" ht="51.95" customHeight="1">
      <c r="A5153" s="5">
        <v>0</v>
      </c>
      <c r="B5153" s="6" t="s">
        <v>30331</v>
      </c>
      <c r="C5153" s="13">
        <v>2890</v>
      </c>
      <c r="D5153" s="8" t="s">
        <v>30332</v>
      </c>
      <c r="E5153" s="8" t="s">
        <v>30333</v>
      </c>
      <c r="F5153" s="8" t="s">
        <v>30325</v>
      </c>
      <c r="G5153" s="6" t="s">
        <v>52</v>
      </c>
      <c r="H5153" s="6" t="s">
        <v>53</v>
      </c>
      <c r="I5153" s="8" t="s">
        <v>116</v>
      </c>
      <c r="J5153" s="9">
        <v>1</v>
      </c>
      <c r="K5153" s="9">
        <v>613</v>
      </c>
      <c r="L5153" s="9">
        <v>2024</v>
      </c>
      <c r="M5153" s="8" t="s">
        <v>30334</v>
      </c>
      <c r="N5153" s="8" t="s">
        <v>413</v>
      </c>
      <c r="O5153" s="8" t="s">
        <v>414</v>
      </c>
      <c r="P5153" s="6" t="s">
        <v>43</v>
      </c>
      <c r="Q5153" s="8" t="s">
        <v>44</v>
      </c>
      <c r="R5153" s="10" t="s">
        <v>30335</v>
      </c>
      <c r="S5153" s="11" t="s">
        <v>30336</v>
      </c>
      <c r="T5153" s="6"/>
      <c r="U5153" s="24" t="str">
        <f>HYPERLINK("https://media.infra-m.ru/2100/2100469/cover/2100469.jpg", "Обложка")</f>
        <v>Обложка</v>
      </c>
      <c r="V5153" s="24" t="str">
        <f>HYPERLINK("https://znanium.ru/catalog/product/2100469", "Ознакомиться")</f>
        <v>Ознакомиться</v>
      </c>
      <c r="W5153" s="8" t="s">
        <v>71</v>
      </c>
      <c r="X5153" s="6"/>
      <c r="Y5153" s="6"/>
      <c r="Z5153" s="6"/>
      <c r="AA5153" s="6" t="s">
        <v>47</v>
      </c>
      <c r="AB5153" s="8"/>
    </row>
    <row r="5154" spans="1:28" s="4" customFormat="1" ht="51.95" customHeight="1">
      <c r="A5154" s="5">
        <v>0</v>
      </c>
      <c r="B5154" s="6" t="s">
        <v>30337</v>
      </c>
      <c r="C5154" s="13">
        <v>2040</v>
      </c>
      <c r="D5154" s="8" t="s">
        <v>30338</v>
      </c>
      <c r="E5154" s="8" t="s">
        <v>30339</v>
      </c>
      <c r="F5154" s="8" t="s">
        <v>30340</v>
      </c>
      <c r="G5154" s="6" t="s">
        <v>52</v>
      </c>
      <c r="H5154" s="6" t="s">
        <v>53</v>
      </c>
      <c r="I5154" s="8" t="s">
        <v>90</v>
      </c>
      <c r="J5154" s="9">
        <v>1</v>
      </c>
      <c r="K5154" s="9">
        <v>443</v>
      </c>
      <c r="L5154" s="9">
        <v>2024</v>
      </c>
      <c r="M5154" s="8" t="s">
        <v>30341</v>
      </c>
      <c r="N5154" s="8" t="s">
        <v>79</v>
      </c>
      <c r="O5154" s="8" t="s">
        <v>396</v>
      </c>
      <c r="P5154" s="6" t="s">
        <v>43</v>
      </c>
      <c r="Q5154" s="8" t="s">
        <v>44</v>
      </c>
      <c r="R5154" s="10" t="s">
        <v>30342</v>
      </c>
      <c r="S5154" s="11" t="s">
        <v>30343</v>
      </c>
      <c r="T5154" s="6" t="s">
        <v>299</v>
      </c>
      <c r="U5154" s="24" t="str">
        <f>HYPERLINK("https://media.infra-m.ru/2083/2083884/cover/2083884.jpg", "Обложка")</f>
        <v>Обложка</v>
      </c>
      <c r="V5154" s="24" t="str">
        <f>HYPERLINK("https://znanium.ru/catalog/product/2083884", "Ознакомиться")</f>
        <v>Ознакомиться</v>
      </c>
      <c r="W5154" s="8" t="s">
        <v>637</v>
      </c>
      <c r="X5154" s="6"/>
      <c r="Y5154" s="6"/>
      <c r="Z5154" s="6"/>
      <c r="AA5154" s="6" t="s">
        <v>160</v>
      </c>
      <c r="AB5154" s="8"/>
    </row>
    <row r="5155" spans="1:28" s="4" customFormat="1" ht="51.95" customHeight="1">
      <c r="A5155" s="5">
        <v>0</v>
      </c>
      <c r="B5155" s="6" t="s">
        <v>30344</v>
      </c>
      <c r="C5155" s="13">
        <v>2210</v>
      </c>
      <c r="D5155" s="8" t="s">
        <v>30345</v>
      </c>
      <c r="E5155" s="8" t="s">
        <v>30339</v>
      </c>
      <c r="F5155" s="8" t="s">
        <v>30340</v>
      </c>
      <c r="G5155" s="6" t="s">
        <v>52</v>
      </c>
      <c r="H5155" s="6" t="s">
        <v>53</v>
      </c>
      <c r="I5155" s="8" t="s">
        <v>100</v>
      </c>
      <c r="J5155" s="9">
        <v>1</v>
      </c>
      <c r="K5155" s="9">
        <v>443</v>
      </c>
      <c r="L5155" s="9">
        <v>2025</v>
      </c>
      <c r="M5155" s="8" t="s">
        <v>30346</v>
      </c>
      <c r="N5155" s="8" t="s">
        <v>79</v>
      </c>
      <c r="O5155" s="8" t="s">
        <v>396</v>
      </c>
      <c r="P5155" s="6" t="s">
        <v>43</v>
      </c>
      <c r="Q5155" s="8" t="s">
        <v>102</v>
      </c>
      <c r="R5155" s="10" t="s">
        <v>30347</v>
      </c>
      <c r="S5155" s="11" t="s">
        <v>30348</v>
      </c>
      <c r="T5155" s="6" t="s">
        <v>299</v>
      </c>
      <c r="U5155" s="24" t="str">
        <f>HYPERLINK("https://media.infra-m.ru/2162/2162576/cover/2162576.jpg", "Обложка")</f>
        <v>Обложка</v>
      </c>
      <c r="V5155" s="24" t="str">
        <f>HYPERLINK("https://znanium.ru/catalog/product/2162576", "Ознакомиться")</f>
        <v>Ознакомиться</v>
      </c>
      <c r="W5155" s="8" t="s">
        <v>637</v>
      </c>
      <c r="X5155" s="6"/>
      <c r="Y5155" s="6"/>
      <c r="Z5155" s="6" t="s">
        <v>104</v>
      </c>
      <c r="AA5155" s="6" t="s">
        <v>95</v>
      </c>
      <c r="AB5155" s="8"/>
    </row>
    <row r="5156" spans="1:28" s="4" customFormat="1" ht="51.95" customHeight="1">
      <c r="A5156" s="5">
        <v>0</v>
      </c>
      <c r="B5156" s="6" t="s">
        <v>30349</v>
      </c>
      <c r="C5156" s="13">
        <v>1614</v>
      </c>
      <c r="D5156" s="8" t="s">
        <v>30350</v>
      </c>
      <c r="E5156" s="8" t="s">
        <v>30351</v>
      </c>
      <c r="F5156" s="8" t="s">
        <v>20551</v>
      </c>
      <c r="G5156" s="6" t="s">
        <v>52</v>
      </c>
      <c r="H5156" s="6" t="s">
        <v>53</v>
      </c>
      <c r="I5156" s="8" t="s">
        <v>90</v>
      </c>
      <c r="J5156" s="9">
        <v>1</v>
      </c>
      <c r="K5156" s="9">
        <v>358</v>
      </c>
      <c r="L5156" s="9">
        <v>2023</v>
      </c>
      <c r="M5156" s="8" t="s">
        <v>30352</v>
      </c>
      <c r="N5156" s="8" t="s">
        <v>79</v>
      </c>
      <c r="O5156" s="8" t="s">
        <v>396</v>
      </c>
      <c r="P5156" s="6" t="s">
        <v>43</v>
      </c>
      <c r="Q5156" s="8" t="s">
        <v>44</v>
      </c>
      <c r="R5156" s="10" t="s">
        <v>29203</v>
      </c>
      <c r="S5156" s="11" t="s">
        <v>30353</v>
      </c>
      <c r="T5156" s="6"/>
      <c r="U5156" s="24" t="str">
        <f>HYPERLINK("https://media.infra-m.ru/2006/2006867/cover/2006867.jpg", "Обложка")</f>
        <v>Обложка</v>
      </c>
      <c r="V5156" s="24" t="str">
        <f>HYPERLINK("https://znanium.ru/catalog/product/1003411", "Ознакомиться")</f>
        <v>Ознакомиться</v>
      </c>
      <c r="W5156" s="8" t="s">
        <v>462</v>
      </c>
      <c r="X5156" s="6"/>
      <c r="Y5156" s="6"/>
      <c r="Z5156" s="6"/>
      <c r="AA5156" s="6" t="s">
        <v>151</v>
      </c>
      <c r="AB5156" s="8"/>
    </row>
    <row r="5157" spans="1:28" s="4" customFormat="1" ht="51.95" customHeight="1">
      <c r="A5157" s="5">
        <v>0</v>
      </c>
      <c r="B5157" s="6" t="s">
        <v>30354</v>
      </c>
      <c r="C5157" s="13">
        <v>1050</v>
      </c>
      <c r="D5157" s="8" t="s">
        <v>30355</v>
      </c>
      <c r="E5157" s="8" t="s">
        <v>30356</v>
      </c>
      <c r="F5157" s="8" t="s">
        <v>23729</v>
      </c>
      <c r="G5157" s="6" t="s">
        <v>89</v>
      </c>
      <c r="H5157" s="6" t="s">
        <v>649</v>
      </c>
      <c r="I5157" s="8" t="s">
        <v>100</v>
      </c>
      <c r="J5157" s="9">
        <v>1</v>
      </c>
      <c r="K5157" s="9">
        <v>208</v>
      </c>
      <c r="L5157" s="9">
        <v>2025</v>
      </c>
      <c r="M5157" s="8" t="s">
        <v>30357</v>
      </c>
      <c r="N5157" s="8" t="s">
        <v>79</v>
      </c>
      <c r="O5157" s="8" t="s">
        <v>396</v>
      </c>
      <c r="P5157" s="6" t="s">
        <v>167</v>
      </c>
      <c r="Q5157" s="8" t="s">
        <v>102</v>
      </c>
      <c r="R5157" s="10" t="s">
        <v>30358</v>
      </c>
      <c r="S5157" s="11" t="s">
        <v>15038</v>
      </c>
      <c r="T5157" s="6"/>
      <c r="U5157" s="24" t="str">
        <f>HYPERLINK("https://media.infra-m.ru/2185/2185403/cover/2185403.jpg", "Обложка")</f>
        <v>Обложка</v>
      </c>
      <c r="V5157" s="24" t="str">
        <f>HYPERLINK("https://znanium.ru/catalog/product/2185403", "Ознакомиться")</f>
        <v>Ознакомиться</v>
      </c>
      <c r="W5157" s="8" t="s">
        <v>450</v>
      </c>
      <c r="X5157" s="6"/>
      <c r="Y5157" s="6"/>
      <c r="Z5157" s="6"/>
      <c r="AA5157" s="6" t="s">
        <v>111</v>
      </c>
      <c r="AB5157" s="8"/>
    </row>
    <row r="5158" spans="1:28" s="4" customFormat="1" ht="51.95" customHeight="1">
      <c r="A5158" s="5">
        <v>0</v>
      </c>
      <c r="B5158" s="6" t="s">
        <v>30359</v>
      </c>
      <c r="C5158" s="13">
        <v>1610</v>
      </c>
      <c r="D5158" s="8" t="s">
        <v>30360</v>
      </c>
      <c r="E5158" s="8" t="s">
        <v>30351</v>
      </c>
      <c r="F5158" s="8" t="s">
        <v>20551</v>
      </c>
      <c r="G5158" s="6" t="s">
        <v>89</v>
      </c>
      <c r="H5158" s="6" t="s">
        <v>53</v>
      </c>
      <c r="I5158" s="8" t="s">
        <v>100</v>
      </c>
      <c r="J5158" s="9">
        <v>1</v>
      </c>
      <c r="K5158" s="9">
        <v>358</v>
      </c>
      <c r="L5158" s="9">
        <v>2023</v>
      </c>
      <c r="M5158" s="8" t="s">
        <v>30361</v>
      </c>
      <c r="N5158" s="8" t="s">
        <v>79</v>
      </c>
      <c r="O5158" s="8" t="s">
        <v>396</v>
      </c>
      <c r="P5158" s="6" t="s">
        <v>43</v>
      </c>
      <c r="Q5158" s="8" t="s">
        <v>102</v>
      </c>
      <c r="R5158" s="10" t="s">
        <v>30362</v>
      </c>
      <c r="S5158" s="11" t="s">
        <v>20557</v>
      </c>
      <c r="T5158" s="6"/>
      <c r="U5158" s="24" t="str">
        <f>HYPERLINK("https://media.infra-m.ru/1965/1965755/cover/1965755.jpg", "Обложка")</f>
        <v>Обложка</v>
      </c>
      <c r="V5158" s="24" t="str">
        <f>HYPERLINK("https://znanium.ru/catalog/product/1965755", "Ознакомиться")</f>
        <v>Ознакомиться</v>
      </c>
      <c r="W5158" s="8" t="s">
        <v>462</v>
      </c>
      <c r="X5158" s="6"/>
      <c r="Y5158" s="6"/>
      <c r="Z5158" s="6" t="s">
        <v>104</v>
      </c>
      <c r="AA5158" s="6" t="s">
        <v>258</v>
      </c>
      <c r="AB5158" s="8"/>
    </row>
    <row r="5159" spans="1:28" s="4" customFormat="1" ht="51.95" customHeight="1">
      <c r="A5159" s="5">
        <v>0</v>
      </c>
      <c r="B5159" s="6" t="s">
        <v>30363</v>
      </c>
      <c r="C5159" s="13">
        <v>1964.9</v>
      </c>
      <c r="D5159" s="8" t="s">
        <v>30364</v>
      </c>
      <c r="E5159" s="8" t="s">
        <v>30365</v>
      </c>
      <c r="F5159" s="8" t="s">
        <v>30366</v>
      </c>
      <c r="G5159" s="6" t="s">
        <v>89</v>
      </c>
      <c r="H5159" s="6" t="s">
        <v>53</v>
      </c>
      <c r="I5159" s="8" t="s">
        <v>90</v>
      </c>
      <c r="J5159" s="9">
        <v>1</v>
      </c>
      <c r="K5159" s="9">
        <v>437</v>
      </c>
      <c r="L5159" s="9">
        <v>2023</v>
      </c>
      <c r="M5159" s="8" t="s">
        <v>30367</v>
      </c>
      <c r="N5159" s="8" t="s">
        <v>79</v>
      </c>
      <c r="O5159" s="8" t="s">
        <v>396</v>
      </c>
      <c r="P5159" s="6" t="s">
        <v>43</v>
      </c>
      <c r="Q5159" s="8" t="s">
        <v>44</v>
      </c>
      <c r="R5159" s="10" t="s">
        <v>30368</v>
      </c>
      <c r="S5159" s="11" t="s">
        <v>30369</v>
      </c>
      <c r="T5159" s="6"/>
      <c r="U5159" s="24" t="str">
        <f>HYPERLINK("https://media.infra-m.ru/1976/1976185/cover/1976185.jpg", "Обложка")</f>
        <v>Обложка</v>
      </c>
      <c r="V5159" s="24" t="str">
        <f>HYPERLINK("https://znanium.ru/catalog/product/1227681", "Ознакомиться")</f>
        <v>Ознакомиться</v>
      </c>
      <c r="W5159" s="8" t="s">
        <v>9044</v>
      </c>
      <c r="X5159" s="6"/>
      <c r="Y5159" s="6"/>
      <c r="Z5159" s="6"/>
      <c r="AA5159" s="6" t="s">
        <v>1259</v>
      </c>
      <c r="AB5159" s="8"/>
    </row>
    <row r="5160" spans="1:28" s="4" customFormat="1" ht="42" customHeight="1">
      <c r="A5160" s="5">
        <v>0</v>
      </c>
      <c r="B5160" s="6" t="s">
        <v>30370</v>
      </c>
      <c r="C5160" s="13">
        <v>2580</v>
      </c>
      <c r="D5160" s="8" t="s">
        <v>30371</v>
      </c>
      <c r="E5160" s="8" t="s">
        <v>30372</v>
      </c>
      <c r="F5160" s="8" t="s">
        <v>30373</v>
      </c>
      <c r="G5160" s="6" t="s">
        <v>52</v>
      </c>
      <c r="H5160" s="6" t="s">
        <v>53</v>
      </c>
      <c r="I5160" s="8" t="s">
        <v>116</v>
      </c>
      <c r="J5160" s="9">
        <v>1</v>
      </c>
      <c r="K5160" s="9">
        <v>495</v>
      </c>
      <c r="L5160" s="9">
        <v>2025</v>
      </c>
      <c r="M5160" s="8" t="s">
        <v>30374</v>
      </c>
      <c r="N5160" s="8" t="s">
        <v>79</v>
      </c>
      <c r="O5160" s="8" t="s">
        <v>424</v>
      </c>
      <c r="P5160" s="6" t="s">
        <v>43</v>
      </c>
      <c r="Q5160" s="8" t="s">
        <v>44</v>
      </c>
      <c r="R5160" s="10" t="s">
        <v>16550</v>
      </c>
      <c r="S5160" s="11"/>
      <c r="T5160" s="6"/>
      <c r="U5160" s="24" t="str">
        <f>HYPERLINK("https://media.infra-m.ru/2141/2141115/cover/2141115.jpg", "Обложка")</f>
        <v>Обложка</v>
      </c>
      <c r="V5160" s="24" t="str">
        <f>HYPERLINK("https://znanium.ru/catalog/product/2141115", "Ознакомиться")</f>
        <v>Ознакомиться</v>
      </c>
      <c r="W5160" s="8" t="s">
        <v>5097</v>
      </c>
      <c r="X5160" s="6" t="s">
        <v>60</v>
      </c>
      <c r="Y5160" s="6"/>
      <c r="Z5160" s="6"/>
      <c r="AA5160" s="6" t="s">
        <v>549</v>
      </c>
      <c r="AB5160" s="8"/>
    </row>
    <row r="5161" spans="1:28" s="4" customFormat="1" ht="51.95" customHeight="1">
      <c r="A5161" s="5">
        <v>0</v>
      </c>
      <c r="B5161" s="6" t="s">
        <v>30375</v>
      </c>
      <c r="C5161" s="13">
        <v>2174</v>
      </c>
      <c r="D5161" s="8" t="s">
        <v>30376</v>
      </c>
      <c r="E5161" s="8" t="s">
        <v>30377</v>
      </c>
      <c r="F5161" s="8" t="s">
        <v>30378</v>
      </c>
      <c r="G5161" s="6" t="s">
        <v>89</v>
      </c>
      <c r="H5161" s="6" t="s">
        <v>53</v>
      </c>
      <c r="I5161" s="8" t="s">
        <v>90</v>
      </c>
      <c r="J5161" s="9">
        <v>1</v>
      </c>
      <c r="K5161" s="9">
        <v>472</v>
      </c>
      <c r="L5161" s="9">
        <v>2024</v>
      </c>
      <c r="M5161" s="8" t="s">
        <v>30379</v>
      </c>
      <c r="N5161" s="8" t="s">
        <v>79</v>
      </c>
      <c r="O5161" s="8" t="s">
        <v>424</v>
      </c>
      <c r="P5161" s="6" t="s">
        <v>43</v>
      </c>
      <c r="Q5161" s="8" t="s">
        <v>44</v>
      </c>
      <c r="R5161" s="10" t="s">
        <v>16550</v>
      </c>
      <c r="S5161" s="11" t="s">
        <v>30380</v>
      </c>
      <c r="T5161" s="6"/>
      <c r="U5161" s="24" t="str">
        <f>HYPERLINK("https://media.infra-m.ru/2104/2104859/cover/2104859.jpg", "Обложка")</f>
        <v>Обложка</v>
      </c>
      <c r="V5161" s="24" t="str">
        <f>HYPERLINK("https://znanium.ru/catalog/product/2141115", "Ознакомиться")</f>
        <v>Ознакомиться</v>
      </c>
      <c r="W5161" s="8" t="s">
        <v>5097</v>
      </c>
      <c r="X5161" s="6"/>
      <c r="Y5161" s="6"/>
      <c r="Z5161" s="6"/>
      <c r="AA5161" s="6" t="s">
        <v>442</v>
      </c>
      <c r="AB5161" s="8"/>
    </row>
    <row r="5162" spans="1:28" s="4" customFormat="1" ht="51.95" customHeight="1">
      <c r="A5162" s="5">
        <v>0</v>
      </c>
      <c r="B5162" s="6" t="s">
        <v>30381</v>
      </c>
      <c r="C5162" s="13">
        <v>2314</v>
      </c>
      <c r="D5162" s="8" t="s">
        <v>30382</v>
      </c>
      <c r="E5162" s="8" t="s">
        <v>30383</v>
      </c>
      <c r="F5162" s="8" t="s">
        <v>30384</v>
      </c>
      <c r="G5162" s="6" t="s">
        <v>52</v>
      </c>
      <c r="H5162" s="6" t="s">
        <v>53</v>
      </c>
      <c r="I5162" s="8" t="s">
        <v>100</v>
      </c>
      <c r="J5162" s="9">
        <v>1</v>
      </c>
      <c r="K5162" s="9">
        <v>445</v>
      </c>
      <c r="L5162" s="9">
        <v>2025</v>
      </c>
      <c r="M5162" s="8" t="s">
        <v>30385</v>
      </c>
      <c r="N5162" s="8" t="s">
        <v>79</v>
      </c>
      <c r="O5162" s="8" t="s">
        <v>396</v>
      </c>
      <c r="P5162" s="6" t="s">
        <v>167</v>
      </c>
      <c r="Q5162" s="8" t="s">
        <v>102</v>
      </c>
      <c r="R5162" s="10" t="s">
        <v>30386</v>
      </c>
      <c r="S5162" s="11" t="s">
        <v>30387</v>
      </c>
      <c r="T5162" s="6"/>
      <c r="U5162" s="24" t="str">
        <f>HYPERLINK("https://media.infra-m.ru/2181/2181435/cover/2181435.jpg", "Обложка")</f>
        <v>Обложка</v>
      </c>
      <c r="V5162" s="24" t="str">
        <f>HYPERLINK("https://znanium.ru/catalog/product/2102695", "Ознакомиться")</f>
        <v>Ознакомиться</v>
      </c>
      <c r="W5162" s="8" t="s">
        <v>1571</v>
      </c>
      <c r="X5162" s="6"/>
      <c r="Y5162" s="6"/>
      <c r="Z5162" s="6" t="s">
        <v>104</v>
      </c>
      <c r="AA5162" s="6" t="s">
        <v>219</v>
      </c>
      <c r="AB5162" s="8" t="s">
        <v>2336</v>
      </c>
    </row>
    <row r="5163" spans="1:28" s="4" customFormat="1" ht="51.95" customHeight="1">
      <c r="A5163" s="5">
        <v>0</v>
      </c>
      <c r="B5163" s="6" t="s">
        <v>30388</v>
      </c>
      <c r="C5163" s="13">
        <v>2044</v>
      </c>
      <c r="D5163" s="8" t="s">
        <v>30389</v>
      </c>
      <c r="E5163" s="8" t="s">
        <v>30383</v>
      </c>
      <c r="F5163" s="8" t="s">
        <v>30390</v>
      </c>
      <c r="G5163" s="6" t="s">
        <v>89</v>
      </c>
      <c r="H5163" s="6" t="s">
        <v>53</v>
      </c>
      <c r="I5163" s="8" t="s">
        <v>90</v>
      </c>
      <c r="J5163" s="9">
        <v>1</v>
      </c>
      <c r="K5163" s="9">
        <v>443</v>
      </c>
      <c r="L5163" s="9">
        <v>2024</v>
      </c>
      <c r="M5163" s="8" t="s">
        <v>30391</v>
      </c>
      <c r="N5163" s="8" t="s">
        <v>79</v>
      </c>
      <c r="O5163" s="8" t="s">
        <v>396</v>
      </c>
      <c r="P5163" s="6" t="s">
        <v>167</v>
      </c>
      <c r="Q5163" s="8" t="s">
        <v>44</v>
      </c>
      <c r="R5163" s="10" t="s">
        <v>1569</v>
      </c>
      <c r="S5163" s="11" t="s">
        <v>30392</v>
      </c>
      <c r="T5163" s="6"/>
      <c r="U5163" s="24" t="str">
        <f>HYPERLINK("https://media.infra-m.ru/2096/2096084/cover/2096084.jpg", "Обложка")</f>
        <v>Обложка</v>
      </c>
      <c r="V5163" s="24" t="str">
        <f>HYPERLINK("https://znanium.ru/catalog/product/1224801", "Ознакомиться")</f>
        <v>Ознакомиться</v>
      </c>
      <c r="W5163" s="8" t="s">
        <v>1571</v>
      </c>
      <c r="X5163" s="6"/>
      <c r="Y5163" s="6"/>
      <c r="Z5163" s="6"/>
      <c r="AA5163" s="6" t="s">
        <v>258</v>
      </c>
      <c r="AB5163" s="8"/>
    </row>
    <row r="5164" spans="1:28" s="4" customFormat="1" ht="51.95" customHeight="1">
      <c r="A5164" s="5">
        <v>0</v>
      </c>
      <c r="B5164" s="6" t="s">
        <v>30393</v>
      </c>
      <c r="C5164" s="13">
        <v>1160</v>
      </c>
      <c r="D5164" s="8" t="s">
        <v>30394</v>
      </c>
      <c r="E5164" s="8" t="s">
        <v>30395</v>
      </c>
      <c r="F5164" s="8" t="s">
        <v>21560</v>
      </c>
      <c r="G5164" s="6" t="s">
        <v>89</v>
      </c>
      <c r="H5164" s="6" t="s">
        <v>53</v>
      </c>
      <c r="I5164" s="8" t="s">
        <v>8618</v>
      </c>
      <c r="J5164" s="9">
        <v>1</v>
      </c>
      <c r="K5164" s="9">
        <v>239</v>
      </c>
      <c r="L5164" s="9">
        <v>2024</v>
      </c>
      <c r="M5164" s="8" t="s">
        <v>30396</v>
      </c>
      <c r="N5164" s="8" t="s">
        <v>997</v>
      </c>
      <c r="O5164" s="8" t="s">
        <v>998</v>
      </c>
      <c r="P5164" s="6" t="s">
        <v>175</v>
      </c>
      <c r="Q5164" s="8" t="s">
        <v>1674</v>
      </c>
      <c r="R5164" s="10" t="s">
        <v>30397</v>
      </c>
      <c r="S5164" s="11" t="s">
        <v>30398</v>
      </c>
      <c r="T5164" s="6"/>
      <c r="U5164" s="24" t="str">
        <f>HYPERLINK("https://media.infra-m.ru/2089/2089370/cover/2089370.jpg", "Обложка")</f>
        <v>Обложка</v>
      </c>
      <c r="V5164" s="24" t="str">
        <f>HYPERLINK("https://znanium.ru/catalog/product/2089370", "Ознакомиться")</f>
        <v>Ознакомиться</v>
      </c>
      <c r="W5164" s="8"/>
      <c r="X5164" s="6"/>
      <c r="Y5164" s="6"/>
      <c r="Z5164" s="6"/>
      <c r="AA5164" s="6" t="s">
        <v>219</v>
      </c>
      <c r="AB5164" s="8"/>
    </row>
    <row r="5165" spans="1:28" s="4" customFormat="1" ht="51.95" customHeight="1">
      <c r="A5165" s="5">
        <v>0</v>
      </c>
      <c r="B5165" s="6" t="s">
        <v>30399</v>
      </c>
      <c r="C5165" s="7">
        <v>940</v>
      </c>
      <c r="D5165" s="8" t="s">
        <v>30400</v>
      </c>
      <c r="E5165" s="8" t="s">
        <v>30401</v>
      </c>
      <c r="F5165" s="8" t="s">
        <v>30402</v>
      </c>
      <c r="G5165" s="6" t="s">
        <v>89</v>
      </c>
      <c r="H5165" s="6" t="s">
        <v>53</v>
      </c>
      <c r="I5165" s="8" t="s">
        <v>116</v>
      </c>
      <c r="J5165" s="9">
        <v>1</v>
      </c>
      <c r="K5165" s="9">
        <v>204</v>
      </c>
      <c r="L5165" s="9">
        <v>2024</v>
      </c>
      <c r="M5165" s="8" t="s">
        <v>30403</v>
      </c>
      <c r="N5165" s="8" t="s">
        <v>79</v>
      </c>
      <c r="O5165" s="8" t="s">
        <v>396</v>
      </c>
      <c r="P5165" s="6" t="s">
        <v>43</v>
      </c>
      <c r="Q5165" s="8" t="s">
        <v>58</v>
      </c>
      <c r="R5165" s="10" t="s">
        <v>30404</v>
      </c>
      <c r="S5165" s="11" t="s">
        <v>30405</v>
      </c>
      <c r="T5165" s="6"/>
      <c r="U5165" s="24" t="str">
        <f>HYPERLINK("https://media.infra-m.ru/2082/2082716/cover/2082716.jpg", "Обложка")</f>
        <v>Обложка</v>
      </c>
      <c r="V5165" s="24" t="str">
        <f>HYPERLINK("https://znanium.ru/catalog/product/2082716", "Ознакомиться")</f>
        <v>Ознакомиться</v>
      </c>
      <c r="W5165" s="8" t="s">
        <v>487</v>
      </c>
      <c r="X5165" s="6"/>
      <c r="Y5165" s="6"/>
      <c r="Z5165" s="6"/>
      <c r="AA5165" s="6" t="s">
        <v>95</v>
      </c>
      <c r="AB5165" s="8"/>
    </row>
    <row r="5166" spans="1:28" s="4" customFormat="1" ht="51.95" customHeight="1">
      <c r="A5166" s="5">
        <v>0</v>
      </c>
      <c r="B5166" s="6" t="s">
        <v>30406</v>
      </c>
      <c r="C5166" s="13">
        <v>2474.9</v>
      </c>
      <c r="D5166" s="8" t="s">
        <v>30407</v>
      </c>
      <c r="E5166" s="8" t="s">
        <v>30408</v>
      </c>
      <c r="F5166" s="8" t="s">
        <v>30409</v>
      </c>
      <c r="G5166" s="6" t="s">
        <v>52</v>
      </c>
      <c r="H5166" s="6" t="s">
        <v>53</v>
      </c>
      <c r="I5166" s="8" t="s">
        <v>90</v>
      </c>
      <c r="J5166" s="9">
        <v>1</v>
      </c>
      <c r="K5166" s="9">
        <v>551</v>
      </c>
      <c r="L5166" s="9">
        <v>2023</v>
      </c>
      <c r="M5166" s="8" t="s">
        <v>30410</v>
      </c>
      <c r="N5166" s="8" t="s">
        <v>79</v>
      </c>
      <c r="O5166" s="8" t="s">
        <v>396</v>
      </c>
      <c r="P5166" s="6" t="s">
        <v>43</v>
      </c>
      <c r="Q5166" s="8" t="s">
        <v>44</v>
      </c>
      <c r="R5166" s="10" t="s">
        <v>11473</v>
      </c>
      <c r="S5166" s="11" t="s">
        <v>30411</v>
      </c>
      <c r="T5166" s="6"/>
      <c r="U5166" s="24" t="str">
        <f>HYPERLINK("https://media.infra-m.ru/1981/1981713/cover/1981713.jpg", "Обложка")</f>
        <v>Обложка</v>
      </c>
      <c r="V5166" s="12"/>
      <c r="W5166" s="8" t="s">
        <v>784</v>
      </c>
      <c r="X5166" s="6"/>
      <c r="Y5166" s="6"/>
      <c r="Z5166" s="6"/>
      <c r="AA5166" s="6" t="s">
        <v>84</v>
      </c>
      <c r="AB5166" s="8"/>
    </row>
    <row r="5167" spans="1:28" s="4" customFormat="1" ht="51.95" customHeight="1">
      <c r="A5167" s="5">
        <v>0</v>
      </c>
      <c r="B5167" s="6" t="s">
        <v>30412</v>
      </c>
      <c r="C5167" s="7">
        <v>810</v>
      </c>
      <c r="D5167" s="8" t="s">
        <v>30413</v>
      </c>
      <c r="E5167" s="8" t="s">
        <v>30414</v>
      </c>
      <c r="F5167" s="8" t="s">
        <v>11508</v>
      </c>
      <c r="G5167" s="6" t="s">
        <v>52</v>
      </c>
      <c r="H5167" s="6" t="s">
        <v>53</v>
      </c>
      <c r="I5167" s="8" t="s">
        <v>6796</v>
      </c>
      <c r="J5167" s="9">
        <v>1</v>
      </c>
      <c r="K5167" s="9">
        <v>214</v>
      </c>
      <c r="L5167" s="9">
        <v>2021</v>
      </c>
      <c r="M5167" s="8" t="s">
        <v>30415</v>
      </c>
      <c r="N5167" s="8" t="s">
        <v>79</v>
      </c>
      <c r="O5167" s="8" t="s">
        <v>396</v>
      </c>
      <c r="P5167" s="6" t="s">
        <v>167</v>
      </c>
      <c r="Q5167" s="8" t="s">
        <v>279</v>
      </c>
      <c r="R5167" s="10" t="s">
        <v>30416</v>
      </c>
      <c r="S5167" s="11" t="s">
        <v>30417</v>
      </c>
      <c r="T5167" s="6"/>
      <c r="U5167" s="24" t="str">
        <f>HYPERLINK("https://media.infra-m.ru/1243/1243774/cover/1243774.jpg", "Обложка")</f>
        <v>Обложка</v>
      </c>
      <c r="V5167" s="24" t="str">
        <f>HYPERLINK("https://znanium.ru/catalog/product/1819335", "Ознакомиться")</f>
        <v>Ознакомиться</v>
      </c>
      <c r="W5167" s="8" t="s">
        <v>784</v>
      </c>
      <c r="X5167" s="6"/>
      <c r="Y5167" s="6"/>
      <c r="Z5167" s="6"/>
      <c r="AA5167" s="6" t="s">
        <v>219</v>
      </c>
      <c r="AB5167" s="8"/>
    </row>
    <row r="5168" spans="1:28" s="4" customFormat="1" ht="51.95" customHeight="1">
      <c r="A5168" s="5">
        <v>0</v>
      </c>
      <c r="B5168" s="6" t="s">
        <v>30418</v>
      </c>
      <c r="C5168" s="7">
        <v>950</v>
      </c>
      <c r="D5168" s="8" t="s">
        <v>30419</v>
      </c>
      <c r="E5168" s="8" t="s">
        <v>30420</v>
      </c>
      <c r="F5168" s="8" t="s">
        <v>30421</v>
      </c>
      <c r="G5168" s="6" t="s">
        <v>89</v>
      </c>
      <c r="H5168" s="6" t="s">
        <v>53</v>
      </c>
      <c r="I5168" s="8" t="s">
        <v>712</v>
      </c>
      <c r="J5168" s="9">
        <v>1</v>
      </c>
      <c r="K5168" s="9">
        <v>189</v>
      </c>
      <c r="L5168" s="9">
        <v>2025</v>
      </c>
      <c r="M5168" s="8" t="s">
        <v>30422</v>
      </c>
      <c r="N5168" s="8" t="s">
        <v>79</v>
      </c>
      <c r="O5168" s="8" t="s">
        <v>396</v>
      </c>
      <c r="P5168" s="6" t="s">
        <v>43</v>
      </c>
      <c r="Q5168" s="8" t="s">
        <v>44</v>
      </c>
      <c r="R5168" s="10" t="s">
        <v>30423</v>
      </c>
      <c r="S5168" s="11" t="s">
        <v>30424</v>
      </c>
      <c r="T5168" s="6"/>
      <c r="U5168" s="24" t="str">
        <f>HYPERLINK("https://media.infra-m.ru/2166/2166232/cover/2166232.jpg", "Обложка")</f>
        <v>Обложка</v>
      </c>
      <c r="V5168" s="24" t="str">
        <f>HYPERLINK("https://znanium.ru/catalog/product/2166232", "Ознакомиться")</f>
        <v>Ознакомиться</v>
      </c>
      <c r="W5168" s="8" t="s">
        <v>716</v>
      </c>
      <c r="X5168" s="6"/>
      <c r="Y5168" s="6"/>
      <c r="Z5168" s="6"/>
      <c r="AA5168" s="6" t="s">
        <v>207</v>
      </c>
      <c r="AB5168" s="8"/>
    </row>
    <row r="5169" spans="1:28" s="4" customFormat="1" ht="51.95" customHeight="1">
      <c r="A5169" s="5">
        <v>0</v>
      </c>
      <c r="B5169" s="6" t="s">
        <v>30425</v>
      </c>
      <c r="C5169" s="13">
        <v>1140</v>
      </c>
      <c r="D5169" s="8" t="s">
        <v>30426</v>
      </c>
      <c r="E5169" s="8" t="s">
        <v>30427</v>
      </c>
      <c r="F5169" s="8" t="s">
        <v>30428</v>
      </c>
      <c r="G5169" s="6" t="s">
        <v>52</v>
      </c>
      <c r="H5169" s="6" t="s">
        <v>53</v>
      </c>
      <c r="I5169" s="8" t="s">
        <v>712</v>
      </c>
      <c r="J5169" s="9">
        <v>1</v>
      </c>
      <c r="K5169" s="9">
        <v>227</v>
      </c>
      <c r="L5169" s="9">
        <v>2025</v>
      </c>
      <c r="M5169" s="8" t="s">
        <v>30429</v>
      </c>
      <c r="N5169" s="8" t="s">
        <v>79</v>
      </c>
      <c r="O5169" s="8" t="s">
        <v>396</v>
      </c>
      <c r="P5169" s="6" t="s">
        <v>43</v>
      </c>
      <c r="Q5169" s="8" t="s">
        <v>58</v>
      </c>
      <c r="R5169" s="10" t="s">
        <v>30430</v>
      </c>
      <c r="S5169" s="11" t="s">
        <v>30431</v>
      </c>
      <c r="T5169" s="6"/>
      <c r="U5169" s="24" t="str">
        <f>HYPERLINK("https://media.infra-m.ru/2169/2169742/cover/2169742.jpg", "Обложка")</f>
        <v>Обложка</v>
      </c>
      <c r="V5169" s="24" t="str">
        <f>HYPERLINK("https://znanium.ru/catalog/product/2169742", "Ознакомиться")</f>
        <v>Ознакомиться</v>
      </c>
      <c r="W5169" s="8" t="s">
        <v>716</v>
      </c>
      <c r="X5169" s="6" t="s">
        <v>132</v>
      </c>
      <c r="Y5169" s="6"/>
      <c r="Z5169" s="6"/>
      <c r="AA5169" s="6" t="s">
        <v>61</v>
      </c>
      <c r="AB5169" s="8"/>
    </row>
    <row r="5170" spans="1:28" s="4" customFormat="1" ht="51.95" customHeight="1">
      <c r="A5170" s="5">
        <v>0</v>
      </c>
      <c r="B5170" s="6" t="s">
        <v>30432</v>
      </c>
      <c r="C5170" s="13">
        <v>1320</v>
      </c>
      <c r="D5170" s="8" t="s">
        <v>30433</v>
      </c>
      <c r="E5170" s="8" t="s">
        <v>30434</v>
      </c>
      <c r="F5170" s="8" t="s">
        <v>30428</v>
      </c>
      <c r="G5170" s="6" t="s">
        <v>52</v>
      </c>
      <c r="H5170" s="6" t="s">
        <v>53</v>
      </c>
      <c r="I5170" s="8" t="s">
        <v>712</v>
      </c>
      <c r="J5170" s="9">
        <v>1</v>
      </c>
      <c r="K5170" s="9">
        <v>262</v>
      </c>
      <c r="L5170" s="9">
        <v>2025</v>
      </c>
      <c r="M5170" s="8" t="s">
        <v>30435</v>
      </c>
      <c r="N5170" s="8" t="s">
        <v>79</v>
      </c>
      <c r="O5170" s="8" t="s">
        <v>396</v>
      </c>
      <c r="P5170" s="6" t="s">
        <v>43</v>
      </c>
      <c r="Q5170" s="8" t="s">
        <v>58</v>
      </c>
      <c r="R5170" s="10" t="s">
        <v>30430</v>
      </c>
      <c r="S5170" s="11" t="s">
        <v>30431</v>
      </c>
      <c r="T5170" s="6"/>
      <c r="U5170" s="24" t="str">
        <f>HYPERLINK("https://media.infra-m.ru/2169/2169743/cover/2169743.jpg", "Обложка")</f>
        <v>Обложка</v>
      </c>
      <c r="V5170" s="24" t="str">
        <f>HYPERLINK("https://znanium.ru/catalog/product/2169743", "Ознакомиться")</f>
        <v>Ознакомиться</v>
      </c>
      <c r="W5170" s="8" t="s">
        <v>716</v>
      </c>
      <c r="X5170" s="6" t="s">
        <v>132</v>
      </c>
      <c r="Y5170" s="6"/>
      <c r="Z5170" s="6"/>
      <c r="AA5170" s="6" t="s">
        <v>61</v>
      </c>
      <c r="AB5170" s="8"/>
    </row>
    <row r="5171" spans="1:28" s="4" customFormat="1" ht="51.95" customHeight="1">
      <c r="A5171" s="5">
        <v>0</v>
      </c>
      <c r="B5171" s="6" t="s">
        <v>30436</v>
      </c>
      <c r="C5171" s="7">
        <v>714</v>
      </c>
      <c r="D5171" s="8" t="s">
        <v>30437</v>
      </c>
      <c r="E5171" s="8" t="s">
        <v>30438</v>
      </c>
      <c r="F5171" s="8" t="s">
        <v>30439</v>
      </c>
      <c r="G5171" s="6" t="s">
        <v>38</v>
      </c>
      <c r="H5171" s="6" t="s">
        <v>53</v>
      </c>
      <c r="I5171" s="8" t="s">
        <v>100</v>
      </c>
      <c r="J5171" s="9">
        <v>1</v>
      </c>
      <c r="K5171" s="9">
        <v>142</v>
      </c>
      <c r="L5171" s="9">
        <v>2025</v>
      </c>
      <c r="M5171" s="8" t="s">
        <v>30440</v>
      </c>
      <c r="N5171" s="8" t="s">
        <v>79</v>
      </c>
      <c r="O5171" s="8" t="s">
        <v>396</v>
      </c>
      <c r="P5171" s="6" t="s">
        <v>43</v>
      </c>
      <c r="Q5171" s="8" t="s">
        <v>102</v>
      </c>
      <c r="R5171" s="10" t="s">
        <v>30441</v>
      </c>
      <c r="S5171" s="11" t="s">
        <v>30442</v>
      </c>
      <c r="T5171" s="6"/>
      <c r="U5171" s="24" t="str">
        <f>HYPERLINK("https://media.infra-m.ru/2179/2179850/cover/2179850.jpg", "Обложка")</f>
        <v>Обложка</v>
      </c>
      <c r="V5171" s="24" t="str">
        <f>HYPERLINK("https://znanium.ru/catalog/product/2177881", "Ознакомиться")</f>
        <v>Ознакомиться</v>
      </c>
      <c r="W5171" s="8" t="s">
        <v>758</v>
      </c>
      <c r="X5171" s="6"/>
      <c r="Y5171" s="6"/>
      <c r="Z5171" s="6" t="s">
        <v>104</v>
      </c>
      <c r="AA5171" s="6" t="s">
        <v>793</v>
      </c>
      <c r="AB5171" s="8"/>
    </row>
    <row r="5172" spans="1:28" s="4" customFormat="1" ht="51.95" customHeight="1">
      <c r="A5172" s="5">
        <v>0</v>
      </c>
      <c r="B5172" s="6" t="s">
        <v>30443</v>
      </c>
      <c r="C5172" s="13">
        <v>1944</v>
      </c>
      <c r="D5172" s="8" t="s">
        <v>30444</v>
      </c>
      <c r="E5172" s="8" t="s">
        <v>30445</v>
      </c>
      <c r="F5172" s="8" t="s">
        <v>30446</v>
      </c>
      <c r="G5172" s="6" t="s">
        <v>52</v>
      </c>
      <c r="H5172" s="6" t="s">
        <v>53</v>
      </c>
      <c r="I5172" s="8" t="s">
        <v>90</v>
      </c>
      <c r="J5172" s="9">
        <v>1</v>
      </c>
      <c r="K5172" s="9">
        <v>423</v>
      </c>
      <c r="L5172" s="9">
        <v>2024</v>
      </c>
      <c r="M5172" s="8" t="s">
        <v>30447</v>
      </c>
      <c r="N5172" s="8" t="s">
        <v>79</v>
      </c>
      <c r="O5172" s="8" t="s">
        <v>396</v>
      </c>
      <c r="P5172" s="6" t="s">
        <v>167</v>
      </c>
      <c r="Q5172" s="8" t="s">
        <v>44</v>
      </c>
      <c r="R5172" s="10" t="s">
        <v>22996</v>
      </c>
      <c r="S5172" s="11" t="s">
        <v>30448</v>
      </c>
      <c r="T5172" s="6"/>
      <c r="U5172" s="24" t="str">
        <f>HYPERLINK("https://media.infra-m.ru/2124/2124923/cover/2124923.jpg", "Обложка")</f>
        <v>Обложка</v>
      </c>
      <c r="V5172" s="24" t="str">
        <f>HYPERLINK("https://znanium.ru/catalog/product/2124923", "Ознакомиться")</f>
        <v>Ознакомиться</v>
      </c>
      <c r="W5172" s="8" t="s">
        <v>399</v>
      </c>
      <c r="X5172" s="6"/>
      <c r="Y5172" s="6"/>
      <c r="Z5172" s="6"/>
      <c r="AA5172" s="6" t="s">
        <v>47</v>
      </c>
      <c r="AB5172" s="8"/>
    </row>
    <row r="5173" spans="1:28" s="4" customFormat="1" ht="51.95" customHeight="1">
      <c r="A5173" s="5">
        <v>0</v>
      </c>
      <c r="B5173" s="6" t="s">
        <v>30449</v>
      </c>
      <c r="C5173" s="7">
        <v>714</v>
      </c>
      <c r="D5173" s="8" t="s">
        <v>30450</v>
      </c>
      <c r="E5173" s="8" t="s">
        <v>30438</v>
      </c>
      <c r="F5173" s="8" t="s">
        <v>30439</v>
      </c>
      <c r="G5173" s="6" t="s">
        <v>38</v>
      </c>
      <c r="H5173" s="6" t="s">
        <v>53</v>
      </c>
      <c r="I5173" s="8" t="s">
        <v>90</v>
      </c>
      <c r="J5173" s="9">
        <v>1</v>
      </c>
      <c r="K5173" s="9">
        <v>142</v>
      </c>
      <c r="L5173" s="9">
        <v>2025</v>
      </c>
      <c r="M5173" s="8" t="s">
        <v>30451</v>
      </c>
      <c r="N5173" s="8" t="s">
        <v>79</v>
      </c>
      <c r="O5173" s="8" t="s">
        <v>396</v>
      </c>
      <c r="P5173" s="6" t="s">
        <v>43</v>
      </c>
      <c r="Q5173" s="8" t="s">
        <v>44</v>
      </c>
      <c r="R5173" s="10" t="s">
        <v>30452</v>
      </c>
      <c r="S5173" s="11" t="s">
        <v>30453</v>
      </c>
      <c r="T5173" s="6"/>
      <c r="U5173" s="24" t="str">
        <f>HYPERLINK("https://media.infra-m.ru/2188/2188753/cover/2188753.jpg", "Обложка")</f>
        <v>Обложка</v>
      </c>
      <c r="V5173" s="24" t="str">
        <f>HYPERLINK("https://znanium.ru/catalog/product/1841688", "Ознакомиться")</f>
        <v>Ознакомиться</v>
      </c>
      <c r="W5173" s="8" t="s">
        <v>758</v>
      </c>
      <c r="X5173" s="6"/>
      <c r="Y5173" s="6"/>
      <c r="Z5173" s="6"/>
      <c r="AA5173" s="6" t="s">
        <v>122</v>
      </c>
      <c r="AB5173" s="8"/>
    </row>
    <row r="5174" spans="1:28" s="4" customFormat="1" ht="51.95" customHeight="1">
      <c r="A5174" s="5">
        <v>0</v>
      </c>
      <c r="B5174" s="6" t="s">
        <v>30454</v>
      </c>
      <c r="C5174" s="13">
        <v>2694</v>
      </c>
      <c r="D5174" s="8" t="s">
        <v>30455</v>
      </c>
      <c r="E5174" s="8" t="s">
        <v>30456</v>
      </c>
      <c r="F5174" s="8" t="s">
        <v>4458</v>
      </c>
      <c r="G5174" s="6" t="s">
        <v>89</v>
      </c>
      <c r="H5174" s="6" t="s">
        <v>53</v>
      </c>
      <c r="I5174" s="8" t="s">
        <v>90</v>
      </c>
      <c r="J5174" s="9">
        <v>1</v>
      </c>
      <c r="K5174" s="9">
        <v>656</v>
      </c>
      <c r="L5174" s="9">
        <v>2023</v>
      </c>
      <c r="M5174" s="8" t="s">
        <v>30457</v>
      </c>
      <c r="N5174" s="8" t="s">
        <v>79</v>
      </c>
      <c r="O5174" s="8" t="s">
        <v>396</v>
      </c>
      <c r="P5174" s="6" t="s">
        <v>167</v>
      </c>
      <c r="Q5174" s="8" t="s">
        <v>44</v>
      </c>
      <c r="R5174" s="10" t="s">
        <v>7643</v>
      </c>
      <c r="S5174" s="11" t="s">
        <v>30458</v>
      </c>
      <c r="T5174" s="6"/>
      <c r="U5174" s="24" t="str">
        <f>HYPERLINK("https://media.infra-m.ru/2006/2006866/cover/2006866.jpg", "Обложка")</f>
        <v>Обложка</v>
      </c>
      <c r="V5174" s="24" t="str">
        <f>HYPERLINK("https://znanium.ru/catalog/product/1190681", "Ознакомиться")</f>
        <v>Ознакомиться</v>
      </c>
      <c r="W5174" s="8" t="s">
        <v>462</v>
      </c>
      <c r="X5174" s="6"/>
      <c r="Y5174" s="6"/>
      <c r="Z5174" s="6"/>
      <c r="AA5174" s="6" t="s">
        <v>196</v>
      </c>
      <c r="AB5174" s="8"/>
    </row>
    <row r="5175" spans="1:28" s="4" customFormat="1" ht="51.95" customHeight="1">
      <c r="A5175" s="5">
        <v>0</v>
      </c>
      <c r="B5175" s="6" t="s">
        <v>30459</v>
      </c>
      <c r="C5175" s="13">
        <v>2300</v>
      </c>
      <c r="D5175" s="8" t="s">
        <v>30460</v>
      </c>
      <c r="E5175" s="8" t="s">
        <v>30461</v>
      </c>
      <c r="F5175" s="8" t="s">
        <v>30462</v>
      </c>
      <c r="G5175" s="6" t="s">
        <v>52</v>
      </c>
      <c r="H5175" s="6" t="s">
        <v>53</v>
      </c>
      <c r="I5175" s="8" t="s">
        <v>782</v>
      </c>
      <c r="J5175" s="9">
        <v>1</v>
      </c>
      <c r="K5175" s="9">
        <v>475</v>
      </c>
      <c r="L5175" s="9">
        <v>2024</v>
      </c>
      <c r="M5175" s="8" t="s">
        <v>30463</v>
      </c>
      <c r="N5175" s="8" t="s">
        <v>79</v>
      </c>
      <c r="O5175" s="8" t="s">
        <v>148</v>
      </c>
      <c r="P5175" s="6" t="s">
        <v>167</v>
      </c>
      <c r="Q5175" s="8" t="s">
        <v>58</v>
      </c>
      <c r="R5175" s="10" t="s">
        <v>30464</v>
      </c>
      <c r="S5175" s="11" t="s">
        <v>30465</v>
      </c>
      <c r="T5175" s="6"/>
      <c r="U5175" s="24" t="str">
        <f>HYPERLINK("https://media.infra-m.ru/2102/2102702/cover/2102702.jpg", "Обложка")</f>
        <v>Обложка</v>
      </c>
      <c r="V5175" s="12"/>
      <c r="W5175" s="8" t="s">
        <v>784</v>
      </c>
      <c r="X5175" s="6"/>
      <c r="Y5175" s="6"/>
      <c r="Z5175" s="6"/>
      <c r="AA5175" s="6" t="s">
        <v>258</v>
      </c>
      <c r="AB5175" s="8"/>
    </row>
    <row r="5176" spans="1:28" s="4" customFormat="1" ht="51.95" customHeight="1">
      <c r="A5176" s="5">
        <v>0</v>
      </c>
      <c r="B5176" s="6" t="s">
        <v>30466</v>
      </c>
      <c r="C5176" s="13">
        <v>1184</v>
      </c>
      <c r="D5176" s="8" t="s">
        <v>30467</v>
      </c>
      <c r="E5176" s="8" t="s">
        <v>30461</v>
      </c>
      <c r="F5176" s="8" t="s">
        <v>30468</v>
      </c>
      <c r="G5176" s="6" t="s">
        <v>89</v>
      </c>
      <c r="H5176" s="6" t="s">
        <v>53</v>
      </c>
      <c r="I5176" s="8" t="s">
        <v>90</v>
      </c>
      <c r="J5176" s="9">
        <v>1</v>
      </c>
      <c r="K5176" s="9">
        <v>263</v>
      </c>
      <c r="L5176" s="9">
        <v>2019</v>
      </c>
      <c r="M5176" s="8" t="s">
        <v>30469</v>
      </c>
      <c r="N5176" s="8" t="s">
        <v>79</v>
      </c>
      <c r="O5176" s="8" t="s">
        <v>148</v>
      </c>
      <c r="P5176" s="6" t="s">
        <v>43</v>
      </c>
      <c r="Q5176" s="8" t="s">
        <v>44</v>
      </c>
      <c r="R5176" s="10" t="s">
        <v>20533</v>
      </c>
      <c r="S5176" s="11" t="s">
        <v>30470</v>
      </c>
      <c r="T5176" s="6"/>
      <c r="U5176" s="24" t="str">
        <f>HYPERLINK("https://media.infra-m.ru/2113/2113426/cover/2113426.jpg", "Обложка")</f>
        <v>Обложка</v>
      </c>
      <c r="V5176" s="24" t="str">
        <f>HYPERLINK("https://znanium.ru/catalog/product/2111936", "Ознакомиться")</f>
        <v>Ознакомиться</v>
      </c>
      <c r="W5176" s="8" t="s">
        <v>14962</v>
      </c>
      <c r="X5176" s="6"/>
      <c r="Y5176" s="6"/>
      <c r="Z5176" s="6"/>
      <c r="AA5176" s="6" t="s">
        <v>258</v>
      </c>
      <c r="AB5176" s="8"/>
    </row>
    <row r="5177" spans="1:28" s="4" customFormat="1" ht="51.95" customHeight="1">
      <c r="A5177" s="5">
        <v>0</v>
      </c>
      <c r="B5177" s="6" t="s">
        <v>30471</v>
      </c>
      <c r="C5177" s="13">
        <v>1214</v>
      </c>
      <c r="D5177" s="8" t="s">
        <v>30472</v>
      </c>
      <c r="E5177" s="8" t="s">
        <v>30461</v>
      </c>
      <c r="F5177" s="8" t="s">
        <v>30468</v>
      </c>
      <c r="G5177" s="6" t="s">
        <v>52</v>
      </c>
      <c r="H5177" s="6" t="s">
        <v>53</v>
      </c>
      <c r="I5177" s="8" t="s">
        <v>100</v>
      </c>
      <c r="J5177" s="9">
        <v>1</v>
      </c>
      <c r="K5177" s="9">
        <v>263</v>
      </c>
      <c r="L5177" s="9">
        <v>2024</v>
      </c>
      <c r="M5177" s="8" t="s">
        <v>30473</v>
      </c>
      <c r="N5177" s="8" t="s">
        <v>79</v>
      </c>
      <c r="O5177" s="8" t="s">
        <v>148</v>
      </c>
      <c r="P5177" s="6" t="s">
        <v>43</v>
      </c>
      <c r="Q5177" s="8" t="s">
        <v>102</v>
      </c>
      <c r="R5177" s="10" t="s">
        <v>30474</v>
      </c>
      <c r="S5177" s="11" t="s">
        <v>30475</v>
      </c>
      <c r="T5177" s="6"/>
      <c r="U5177" s="24" t="str">
        <f>HYPERLINK("https://media.infra-m.ru/2116/2116703/cover/2116703.jpg", "Обложка")</f>
        <v>Обложка</v>
      </c>
      <c r="V5177" s="24" t="str">
        <f>HYPERLINK("https://znanium.ru/catalog/product/2103213", "Ознакомиться")</f>
        <v>Ознакомиться</v>
      </c>
      <c r="W5177" s="8" t="s">
        <v>14962</v>
      </c>
      <c r="X5177" s="6"/>
      <c r="Y5177" s="6"/>
      <c r="Z5177" s="6" t="s">
        <v>104</v>
      </c>
      <c r="AA5177" s="6" t="s">
        <v>258</v>
      </c>
      <c r="AB5177" s="8"/>
    </row>
    <row r="5178" spans="1:28" s="4" customFormat="1" ht="51.95" customHeight="1">
      <c r="A5178" s="5">
        <v>0</v>
      </c>
      <c r="B5178" s="6" t="s">
        <v>30476</v>
      </c>
      <c r="C5178" s="13">
        <v>1364</v>
      </c>
      <c r="D5178" s="8" t="s">
        <v>30477</v>
      </c>
      <c r="E5178" s="8" t="s">
        <v>30478</v>
      </c>
      <c r="F5178" s="8" t="s">
        <v>30479</v>
      </c>
      <c r="G5178" s="6" t="s">
        <v>52</v>
      </c>
      <c r="H5178" s="6" t="s">
        <v>53</v>
      </c>
      <c r="I5178" s="8" t="s">
        <v>90</v>
      </c>
      <c r="J5178" s="9">
        <v>1</v>
      </c>
      <c r="K5178" s="9">
        <v>272</v>
      </c>
      <c r="L5178" s="9">
        <v>2025</v>
      </c>
      <c r="M5178" s="8" t="s">
        <v>30480</v>
      </c>
      <c r="N5178" s="8" t="s">
        <v>79</v>
      </c>
      <c r="O5178" s="8" t="s">
        <v>396</v>
      </c>
      <c r="P5178" s="6" t="s">
        <v>43</v>
      </c>
      <c r="Q5178" s="8" t="s">
        <v>44</v>
      </c>
      <c r="R5178" s="10" t="s">
        <v>14240</v>
      </c>
      <c r="S5178" s="11" t="s">
        <v>30481</v>
      </c>
      <c r="T5178" s="6"/>
      <c r="U5178" s="24" t="str">
        <f>HYPERLINK("https://media.infra-m.ru/2188/2188741/cover/2188741.jpg", "Обложка")</f>
        <v>Обложка</v>
      </c>
      <c r="V5178" s="24" t="str">
        <f>HYPERLINK("https://znanium.ru/catalog/product/1841430", "Ознакомиться")</f>
        <v>Ознакомиться</v>
      </c>
      <c r="W5178" s="8" t="s">
        <v>5298</v>
      </c>
      <c r="X5178" s="6"/>
      <c r="Y5178" s="6"/>
      <c r="Z5178" s="6"/>
      <c r="AA5178" s="6" t="s">
        <v>7663</v>
      </c>
      <c r="AB5178" s="8"/>
    </row>
    <row r="5179" spans="1:28" s="4" customFormat="1" ht="51.95" customHeight="1">
      <c r="A5179" s="5">
        <v>0</v>
      </c>
      <c r="B5179" s="6" t="s">
        <v>30482</v>
      </c>
      <c r="C5179" s="13">
        <v>1224.9000000000001</v>
      </c>
      <c r="D5179" s="8" t="s">
        <v>30483</v>
      </c>
      <c r="E5179" s="8" t="s">
        <v>30478</v>
      </c>
      <c r="F5179" s="8" t="s">
        <v>30484</v>
      </c>
      <c r="G5179" s="6" t="s">
        <v>52</v>
      </c>
      <c r="H5179" s="6" t="s">
        <v>53</v>
      </c>
      <c r="I5179" s="8" t="s">
        <v>100</v>
      </c>
      <c r="J5179" s="9">
        <v>1</v>
      </c>
      <c r="K5179" s="9">
        <v>272</v>
      </c>
      <c r="L5179" s="9">
        <v>2023</v>
      </c>
      <c r="M5179" s="8" t="s">
        <v>30485</v>
      </c>
      <c r="N5179" s="8" t="s">
        <v>79</v>
      </c>
      <c r="O5179" s="8" t="s">
        <v>396</v>
      </c>
      <c r="P5179" s="6" t="s">
        <v>43</v>
      </c>
      <c r="Q5179" s="8" t="s">
        <v>102</v>
      </c>
      <c r="R5179" s="10" t="s">
        <v>30486</v>
      </c>
      <c r="S5179" s="11" t="s">
        <v>30487</v>
      </c>
      <c r="T5179" s="6"/>
      <c r="U5179" s="24" t="str">
        <f>HYPERLINK("https://media.infra-m.ru/1976/1976173/cover/1976173.jpg", "Обложка")</f>
        <v>Обложка</v>
      </c>
      <c r="V5179" s="24" t="str">
        <f>HYPERLINK("https://znanium.ru/catalog/product/1021172", "Ознакомиться")</f>
        <v>Ознакомиться</v>
      </c>
      <c r="W5179" s="8" t="s">
        <v>5298</v>
      </c>
      <c r="X5179" s="6"/>
      <c r="Y5179" s="6"/>
      <c r="Z5179" s="6" t="s">
        <v>104</v>
      </c>
      <c r="AA5179" s="6" t="s">
        <v>874</v>
      </c>
      <c r="AB5179" s="8"/>
    </row>
    <row r="5180" spans="1:28" s="4" customFormat="1" ht="51.95" customHeight="1">
      <c r="A5180" s="5">
        <v>0</v>
      </c>
      <c r="B5180" s="6" t="s">
        <v>30488</v>
      </c>
      <c r="C5180" s="7">
        <v>760</v>
      </c>
      <c r="D5180" s="8" t="s">
        <v>30489</v>
      </c>
      <c r="E5180" s="8" t="s">
        <v>30490</v>
      </c>
      <c r="F5180" s="8" t="s">
        <v>30491</v>
      </c>
      <c r="G5180" s="6" t="s">
        <v>89</v>
      </c>
      <c r="H5180" s="6" t="s">
        <v>53</v>
      </c>
      <c r="I5180" s="8" t="s">
        <v>782</v>
      </c>
      <c r="J5180" s="9">
        <v>1</v>
      </c>
      <c r="K5180" s="9">
        <v>168</v>
      </c>
      <c r="L5180" s="9">
        <v>2023</v>
      </c>
      <c r="M5180" s="8" t="s">
        <v>30492</v>
      </c>
      <c r="N5180" s="8" t="s">
        <v>79</v>
      </c>
      <c r="O5180" s="8" t="s">
        <v>396</v>
      </c>
      <c r="P5180" s="6" t="s">
        <v>43</v>
      </c>
      <c r="Q5180" s="8" t="s">
        <v>58</v>
      </c>
      <c r="R5180" s="10" t="s">
        <v>4857</v>
      </c>
      <c r="S5180" s="11" t="s">
        <v>30411</v>
      </c>
      <c r="T5180" s="6"/>
      <c r="U5180" s="24" t="str">
        <f>HYPERLINK("https://media.infra-m.ru/2030/2030830/cover/2030830.jpg", "Обложка")</f>
        <v>Обложка</v>
      </c>
      <c r="V5180" s="12"/>
      <c r="W5180" s="8" t="s">
        <v>784</v>
      </c>
      <c r="X5180" s="6"/>
      <c r="Y5180" s="6"/>
      <c r="Z5180" s="6"/>
      <c r="AA5180" s="6" t="s">
        <v>151</v>
      </c>
      <c r="AB5180" s="8"/>
    </row>
    <row r="5181" spans="1:28" s="4" customFormat="1" ht="51.95" customHeight="1">
      <c r="A5181" s="5">
        <v>0</v>
      </c>
      <c r="B5181" s="6" t="s">
        <v>30493</v>
      </c>
      <c r="C5181" s="13">
        <v>2904</v>
      </c>
      <c r="D5181" s="8" t="s">
        <v>30494</v>
      </c>
      <c r="E5181" s="8" t="s">
        <v>30495</v>
      </c>
      <c r="F5181" s="8" t="s">
        <v>30496</v>
      </c>
      <c r="G5181" s="6" t="s">
        <v>89</v>
      </c>
      <c r="H5181" s="6" t="s">
        <v>39</v>
      </c>
      <c r="I5181" s="8" t="s">
        <v>185</v>
      </c>
      <c r="J5181" s="9">
        <v>1</v>
      </c>
      <c r="K5181" s="9">
        <v>610</v>
      </c>
      <c r="L5181" s="9">
        <v>2025</v>
      </c>
      <c r="M5181" s="8" t="s">
        <v>30497</v>
      </c>
      <c r="N5181" s="8" t="s">
        <v>79</v>
      </c>
      <c r="O5181" s="8" t="s">
        <v>396</v>
      </c>
      <c r="P5181" s="6" t="s">
        <v>43</v>
      </c>
      <c r="Q5181" s="8" t="s">
        <v>102</v>
      </c>
      <c r="R5181" s="10" t="s">
        <v>30498</v>
      </c>
      <c r="S5181" s="11" t="s">
        <v>30499</v>
      </c>
      <c r="T5181" s="6"/>
      <c r="U5181" s="24" t="str">
        <f>HYPERLINK("https://media.infra-m.ru/2201/2201208/cover/2201208.jpg", "Обложка")</f>
        <v>Обложка</v>
      </c>
      <c r="V5181" s="24" t="str">
        <f>HYPERLINK("https://znanium.ru/catalog/product/1226473", "Ознакомиться")</f>
        <v>Ознакомиться</v>
      </c>
      <c r="W5181" s="8" t="s">
        <v>450</v>
      </c>
      <c r="X5181" s="6"/>
      <c r="Y5181" s="6"/>
      <c r="Z5181" s="6"/>
      <c r="AA5181" s="6" t="s">
        <v>72</v>
      </c>
      <c r="AB5181" s="8"/>
    </row>
    <row r="5182" spans="1:28" s="4" customFormat="1" ht="51.95" customHeight="1">
      <c r="A5182" s="5">
        <v>0</v>
      </c>
      <c r="B5182" s="6" t="s">
        <v>30500</v>
      </c>
      <c r="C5182" s="13">
        <v>1364.9</v>
      </c>
      <c r="D5182" s="8" t="s">
        <v>30501</v>
      </c>
      <c r="E5182" s="8" t="s">
        <v>30502</v>
      </c>
      <c r="F5182" s="8" t="s">
        <v>30503</v>
      </c>
      <c r="G5182" s="6" t="s">
        <v>52</v>
      </c>
      <c r="H5182" s="6" t="s">
        <v>53</v>
      </c>
      <c r="I5182" s="8" t="s">
        <v>90</v>
      </c>
      <c r="J5182" s="9">
        <v>1</v>
      </c>
      <c r="K5182" s="9">
        <v>304</v>
      </c>
      <c r="L5182" s="9">
        <v>2023</v>
      </c>
      <c r="M5182" s="8" t="s">
        <v>30504</v>
      </c>
      <c r="N5182" s="8" t="s">
        <v>79</v>
      </c>
      <c r="O5182" s="8" t="s">
        <v>396</v>
      </c>
      <c r="P5182" s="6" t="s">
        <v>43</v>
      </c>
      <c r="Q5182" s="8" t="s">
        <v>44</v>
      </c>
      <c r="R5182" s="10" t="s">
        <v>30505</v>
      </c>
      <c r="S5182" s="11" t="s">
        <v>30506</v>
      </c>
      <c r="T5182" s="6"/>
      <c r="U5182" s="24" t="str">
        <f>HYPERLINK("https://media.infra-m.ru/1896/1896468/cover/1896468.jpg", "Обложка")</f>
        <v>Обложка</v>
      </c>
      <c r="V5182" s="24" t="str">
        <f>HYPERLINK("https://znanium.ru/catalog/product/1052256", "Ознакомиться")</f>
        <v>Ознакомиться</v>
      </c>
      <c r="W5182" s="8" t="s">
        <v>30507</v>
      </c>
      <c r="X5182" s="6"/>
      <c r="Y5182" s="6"/>
      <c r="Z5182" s="6"/>
      <c r="AA5182" s="6" t="s">
        <v>644</v>
      </c>
      <c r="AB5182" s="8"/>
    </row>
    <row r="5183" spans="1:28" s="4" customFormat="1" ht="51.95" customHeight="1">
      <c r="A5183" s="5">
        <v>0</v>
      </c>
      <c r="B5183" s="6" t="s">
        <v>30508</v>
      </c>
      <c r="C5183" s="7">
        <v>830</v>
      </c>
      <c r="D5183" s="8" t="s">
        <v>30509</v>
      </c>
      <c r="E5183" s="8" t="s">
        <v>30510</v>
      </c>
      <c r="F5183" s="8" t="s">
        <v>30511</v>
      </c>
      <c r="G5183" s="6" t="s">
        <v>89</v>
      </c>
      <c r="H5183" s="6" t="s">
        <v>53</v>
      </c>
      <c r="I5183" s="8" t="s">
        <v>100</v>
      </c>
      <c r="J5183" s="9">
        <v>1</v>
      </c>
      <c r="K5183" s="9">
        <v>224</v>
      </c>
      <c r="L5183" s="9">
        <v>2022</v>
      </c>
      <c r="M5183" s="8" t="s">
        <v>30512</v>
      </c>
      <c r="N5183" s="8" t="s">
        <v>79</v>
      </c>
      <c r="O5183" s="8" t="s">
        <v>396</v>
      </c>
      <c r="P5183" s="6" t="s">
        <v>43</v>
      </c>
      <c r="Q5183" s="8" t="s">
        <v>102</v>
      </c>
      <c r="R5183" s="10" t="s">
        <v>30513</v>
      </c>
      <c r="S5183" s="11" t="s">
        <v>30514</v>
      </c>
      <c r="T5183" s="6"/>
      <c r="U5183" s="24" t="str">
        <f>HYPERLINK("https://media.infra-m.ru/1723/1723512/cover/1723512.jpg", "Обложка")</f>
        <v>Обложка</v>
      </c>
      <c r="V5183" s="24" t="str">
        <f>HYPERLINK("https://znanium.ru/catalog/product/1723512", "Ознакомиться")</f>
        <v>Ознакомиться</v>
      </c>
      <c r="W5183" s="8" t="s">
        <v>1571</v>
      </c>
      <c r="X5183" s="6"/>
      <c r="Y5183" s="6"/>
      <c r="Z5183" s="6" t="s">
        <v>104</v>
      </c>
      <c r="AA5183" s="6" t="s">
        <v>793</v>
      </c>
      <c r="AB5183" s="8"/>
    </row>
    <row r="5184" spans="1:28" s="4" customFormat="1" ht="51.95" customHeight="1">
      <c r="A5184" s="5">
        <v>0</v>
      </c>
      <c r="B5184" s="6" t="s">
        <v>30515</v>
      </c>
      <c r="C5184" s="13">
        <v>1524</v>
      </c>
      <c r="D5184" s="8" t="s">
        <v>30516</v>
      </c>
      <c r="E5184" s="8" t="s">
        <v>30517</v>
      </c>
      <c r="F5184" s="8" t="s">
        <v>30518</v>
      </c>
      <c r="G5184" s="6" t="s">
        <v>52</v>
      </c>
      <c r="H5184" s="6" t="s">
        <v>39</v>
      </c>
      <c r="I5184" s="8" t="s">
        <v>185</v>
      </c>
      <c r="J5184" s="9">
        <v>1</v>
      </c>
      <c r="K5184" s="9">
        <v>304</v>
      </c>
      <c r="L5184" s="9">
        <v>2025</v>
      </c>
      <c r="M5184" s="8" t="s">
        <v>30519</v>
      </c>
      <c r="N5184" s="8" t="s">
        <v>79</v>
      </c>
      <c r="O5184" s="8" t="s">
        <v>396</v>
      </c>
      <c r="P5184" s="6" t="s">
        <v>43</v>
      </c>
      <c r="Q5184" s="8" t="s">
        <v>102</v>
      </c>
      <c r="R5184" s="10" t="s">
        <v>30520</v>
      </c>
      <c r="S5184" s="11" t="s">
        <v>12744</v>
      </c>
      <c r="T5184" s="6"/>
      <c r="U5184" s="24" t="str">
        <f>HYPERLINK("https://media.infra-m.ru/2161/2161685/cover/2161685.jpg", "Обложка")</f>
        <v>Обложка</v>
      </c>
      <c r="V5184" s="24" t="str">
        <f>HYPERLINK("https://znanium.ru/catalog/product/1834753", "Ознакомиться")</f>
        <v>Ознакомиться</v>
      </c>
      <c r="W5184" s="8" t="s">
        <v>450</v>
      </c>
      <c r="X5184" s="6"/>
      <c r="Y5184" s="6"/>
      <c r="Z5184" s="6"/>
      <c r="AA5184" s="6" t="s">
        <v>654</v>
      </c>
      <c r="AB5184" s="8"/>
    </row>
    <row r="5185" spans="1:28" s="4" customFormat="1" ht="51.95" customHeight="1">
      <c r="A5185" s="5">
        <v>0</v>
      </c>
      <c r="B5185" s="6" t="s">
        <v>30521</v>
      </c>
      <c r="C5185" s="13">
        <v>1034.9000000000001</v>
      </c>
      <c r="D5185" s="8" t="s">
        <v>30522</v>
      </c>
      <c r="E5185" s="8" t="s">
        <v>30523</v>
      </c>
      <c r="F5185" s="8" t="s">
        <v>30524</v>
      </c>
      <c r="G5185" s="6" t="s">
        <v>89</v>
      </c>
      <c r="H5185" s="6" t="s">
        <v>53</v>
      </c>
      <c r="I5185" s="8" t="s">
        <v>90</v>
      </c>
      <c r="J5185" s="9">
        <v>1</v>
      </c>
      <c r="K5185" s="9">
        <v>229</v>
      </c>
      <c r="L5185" s="9">
        <v>2023</v>
      </c>
      <c r="M5185" s="8" t="s">
        <v>30525</v>
      </c>
      <c r="N5185" s="8" t="s">
        <v>79</v>
      </c>
      <c r="O5185" s="8" t="s">
        <v>396</v>
      </c>
      <c r="P5185" s="6" t="s">
        <v>43</v>
      </c>
      <c r="Q5185" s="8" t="s">
        <v>44</v>
      </c>
      <c r="R5185" s="10" t="s">
        <v>30526</v>
      </c>
      <c r="S5185" s="11" t="s">
        <v>30527</v>
      </c>
      <c r="T5185" s="6"/>
      <c r="U5185" s="24" t="str">
        <f>HYPERLINK("https://media.infra-m.ru/1913/1913708/cover/1913708.jpg", "Обложка")</f>
        <v>Обложка</v>
      </c>
      <c r="V5185" s="24" t="str">
        <f>HYPERLINK("https://znanium.ru/catalog/product/1081966", "Ознакомиться")</f>
        <v>Ознакомиться</v>
      </c>
      <c r="W5185" s="8" t="s">
        <v>450</v>
      </c>
      <c r="X5185" s="6"/>
      <c r="Y5185" s="6"/>
      <c r="Z5185" s="6"/>
      <c r="AA5185" s="6" t="s">
        <v>442</v>
      </c>
      <c r="AB5185" s="8"/>
    </row>
    <row r="5186" spans="1:28" s="4" customFormat="1" ht="51.95" customHeight="1">
      <c r="A5186" s="5">
        <v>0</v>
      </c>
      <c r="B5186" s="6" t="s">
        <v>30528</v>
      </c>
      <c r="C5186" s="7">
        <v>804.9</v>
      </c>
      <c r="D5186" s="8" t="s">
        <v>30529</v>
      </c>
      <c r="E5186" s="8" t="s">
        <v>30510</v>
      </c>
      <c r="F5186" s="8" t="s">
        <v>24823</v>
      </c>
      <c r="G5186" s="6" t="s">
        <v>52</v>
      </c>
      <c r="H5186" s="6" t="s">
        <v>53</v>
      </c>
      <c r="I5186" s="8" t="s">
        <v>90</v>
      </c>
      <c r="J5186" s="9">
        <v>1</v>
      </c>
      <c r="K5186" s="9">
        <v>224</v>
      </c>
      <c r="L5186" s="9">
        <v>2021</v>
      </c>
      <c r="M5186" s="8" t="s">
        <v>30530</v>
      </c>
      <c r="N5186" s="8" t="s">
        <v>79</v>
      </c>
      <c r="O5186" s="8" t="s">
        <v>396</v>
      </c>
      <c r="P5186" s="6" t="s">
        <v>43</v>
      </c>
      <c r="Q5186" s="8" t="s">
        <v>44</v>
      </c>
      <c r="R5186" s="10" t="s">
        <v>30531</v>
      </c>
      <c r="S5186" s="11" t="s">
        <v>30532</v>
      </c>
      <c r="T5186" s="6"/>
      <c r="U5186" s="24" t="str">
        <f>HYPERLINK("https://media.infra-m.ru/1194/1194872/cover/1194872.jpg", "Обложка")</f>
        <v>Обложка</v>
      </c>
      <c r="V5186" s="24" t="str">
        <f>HYPERLINK("https://znanium.ru/catalog/product/1194872", "Ознакомиться")</f>
        <v>Ознакомиться</v>
      </c>
      <c r="W5186" s="8" t="s">
        <v>1571</v>
      </c>
      <c r="X5186" s="6"/>
      <c r="Y5186" s="6"/>
      <c r="Z5186" s="6"/>
      <c r="AA5186" s="6" t="s">
        <v>84</v>
      </c>
      <c r="AB5186" s="8"/>
    </row>
    <row r="5187" spans="1:28" s="4" customFormat="1" ht="51.95" customHeight="1">
      <c r="A5187" s="5">
        <v>0</v>
      </c>
      <c r="B5187" s="6" t="s">
        <v>30533</v>
      </c>
      <c r="C5187" s="13">
        <v>1064.9000000000001</v>
      </c>
      <c r="D5187" s="8" t="s">
        <v>30534</v>
      </c>
      <c r="E5187" s="8" t="s">
        <v>30535</v>
      </c>
      <c r="F5187" s="8" t="s">
        <v>30536</v>
      </c>
      <c r="G5187" s="6" t="s">
        <v>52</v>
      </c>
      <c r="H5187" s="6" t="s">
        <v>66</v>
      </c>
      <c r="I5187" s="8" t="s">
        <v>116</v>
      </c>
      <c r="J5187" s="9">
        <v>1</v>
      </c>
      <c r="K5187" s="9">
        <v>288</v>
      </c>
      <c r="L5187" s="9">
        <v>2022</v>
      </c>
      <c r="M5187" s="8" t="s">
        <v>30504</v>
      </c>
      <c r="N5187" s="8" t="s">
        <v>79</v>
      </c>
      <c r="O5187" s="8" t="s">
        <v>396</v>
      </c>
      <c r="P5187" s="6" t="s">
        <v>43</v>
      </c>
      <c r="Q5187" s="8" t="s">
        <v>44</v>
      </c>
      <c r="R5187" s="10" t="s">
        <v>30505</v>
      </c>
      <c r="S5187" s="11" t="s">
        <v>30506</v>
      </c>
      <c r="T5187" s="6"/>
      <c r="U5187" s="24" t="str">
        <f>HYPERLINK("https://media.infra-m.ru/1815/1815592/cover/1815592.jpg", "Обложка")</f>
        <v>Обложка</v>
      </c>
      <c r="V5187" s="24" t="str">
        <f>HYPERLINK("https://znanium.ru/catalog/product/1052256", "Ознакомиться")</f>
        <v>Ознакомиться</v>
      </c>
      <c r="W5187" s="8" t="s">
        <v>30507</v>
      </c>
      <c r="X5187" s="6"/>
      <c r="Y5187" s="6"/>
      <c r="Z5187" s="6"/>
      <c r="AA5187" s="6" t="s">
        <v>1442</v>
      </c>
      <c r="AB5187" s="8"/>
    </row>
    <row r="5188" spans="1:28" s="4" customFormat="1" ht="51.95" customHeight="1">
      <c r="A5188" s="5">
        <v>0</v>
      </c>
      <c r="B5188" s="6" t="s">
        <v>30537</v>
      </c>
      <c r="C5188" s="13">
        <v>1100</v>
      </c>
      <c r="D5188" s="8" t="s">
        <v>30538</v>
      </c>
      <c r="E5188" s="8" t="s">
        <v>30502</v>
      </c>
      <c r="F5188" s="8" t="s">
        <v>30503</v>
      </c>
      <c r="G5188" s="6" t="s">
        <v>52</v>
      </c>
      <c r="H5188" s="6" t="s">
        <v>53</v>
      </c>
      <c r="I5188" s="8" t="s">
        <v>100</v>
      </c>
      <c r="J5188" s="9">
        <v>1</v>
      </c>
      <c r="K5188" s="9">
        <v>305</v>
      </c>
      <c r="L5188" s="9">
        <v>2021</v>
      </c>
      <c r="M5188" s="8" t="s">
        <v>30539</v>
      </c>
      <c r="N5188" s="8" t="s">
        <v>79</v>
      </c>
      <c r="O5188" s="8" t="s">
        <v>396</v>
      </c>
      <c r="P5188" s="6" t="s">
        <v>43</v>
      </c>
      <c r="Q5188" s="8" t="s">
        <v>102</v>
      </c>
      <c r="R5188" s="10" t="s">
        <v>30540</v>
      </c>
      <c r="S5188" s="11" t="s">
        <v>30541</v>
      </c>
      <c r="T5188" s="6"/>
      <c r="U5188" s="24" t="str">
        <f>HYPERLINK("https://media.infra-m.ru/1043/1043102/cover/1043102.jpg", "Обложка")</f>
        <v>Обложка</v>
      </c>
      <c r="V5188" s="12"/>
      <c r="W5188" s="8" t="s">
        <v>30507</v>
      </c>
      <c r="X5188" s="6"/>
      <c r="Y5188" s="6"/>
      <c r="Z5188" s="6" t="s">
        <v>104</v>
      </c>
      <c r="AA5188" s="6" t="s">
        <v>1382</v>
      </c>
      <c r="AB5188" s="8"/>
    </row>
    <row r="5189" spans="1:28" s="4" customFormat="1" ht="51.95" customHeight="1">
      <c r="A5189" s="5">
        <v>0</v>
      </c>
      <c r="B5189" s="6" t="s">
        <v>30542</v>
      </c>
      <c r="C5189" s="13">
        <v>2384</v>
      </c>
      <c r="D5189" s="8" t="s">
        <v>30543</v>
      </c>
      <c r="E5189" s="8" t="s">
        <v>30544</v>
      </c>
      <c r="F5189" s="8" t="s">
        <v>30545</v>
      </c>
      <c r="G5189" s="6" t="s">
        <v>89</v>
      </c>
      <c r="H5189" s="6" t="s">
        <v>53</v>
      </c>
      <c r="I5189" s="8" t="s">
        <v>90</v>
      </c>
      <c r="J5189" s="9">
        <v>1</v>
      </c>
      <c r="K5189" s="9">
        <v>530</v>
      </c>
      <c r="L5189" s="9">
        <v>2023</v>
      </c>
      <c r="M5189" s="8" t="s">
        <v>30546</v>
      </c>
      <c r="N5189" s="8" t="s">
        <v>79</v>
      </c>
      <c r="O5189" s="8" t="s">
        <v>396</v>
      </c>
      <c r="P5189" s="6" t="s">
        <v>167</v>
      </c>
      <c r="Q5189" s="8" t="s">
        <v>44</v>
      </c>
      <c r="R5189" s="10" t="s">
        <v>30547</v>
      </c>
      <c r="S5189" s="11"/>
      <c r="T5189" s="6"/>
      <c r="U5189" s="24" t="str">
        <f>HYPERLINK("https://media.infra-m.ru/2006/2006078/cover/2006078.jpg", "Обложка")</f>
        <v>Обложка</v>
      </c>
      <c r="V5189" s="24" t="str">
        <f>HYPERLINK("https://znanium.ru/catalog/product/1846181", "Ознакомиться")</f>
        <v>Ознакомиться</v>
      </c>
      <c r="W5189" s="8" t="s">
        <v>462</v>
      </c>
      <c r="X5189" s="6"/>
      <c r="Y5189" s="6"/>
      <c r="Z5189" s="6"/>
      <c r="AA5189" s="6" t="s">
        <v>638</v>
      </c>
      <c r="AB5189" s="8"/>
    </row>
    <row r="5190" spans="1:28" s="4" customFormat="1" ht="51.95" customHeight="1">
      <c r="A5190" s="5">
        <v>0</v>
      </c>
      <c r="B5190" s="6" t="s">
        <v>30548</v>
      </c>
      <c r="C5190" s="13">
        <v>2594</v>
      </c>
      <c r="D5190" s="8" t="s">
        <v>30549</v>
      </c>
      <c r="E5190" s="8" t="s">
        <v>30544</v>
      </c>
      <c r="F5190" s="8" t="s">
        <v>30545</v>
      </c>
      <c r="G5190" s="6" t="s">
        <v>89</v>
      </c>
      <c r="H5190" s="6" t="s">
        <v>53</v>
      </c>
      <c r="I5190" s="8" t="s">
        <v>100</v>
      </c>
      <c r="J5190" s="9">
        <v>1</v>
      </c>
      <c r="K5190" s="9">
        <v>530</v>
      </c>
      <c r="L5190" s="9">
        <v>2025</v>
      </c>
      <c r="M5190" s="8" t="s">
        <v>30550</v>
      </c>
      <c r="N5190" s="8" t="s">
        <v>79</v>
      </c>
      <c r="O5190" s="8" t="s">
        <v>396</v>
      </c>
      <c r="P5190" s="6" t="s">
        <v>167</v>
      </c>
      <c r="Q5190" s="8" t="s">
        <v>102</v>
      </c>
      <c r="R5190" s="10" t="s">
        <v>30551</v>
      </c>
      <c r="S5190" s="11" t="s">
        <v>30552</v>
      </c>
      <c r="T5190" s="6"/>
      <c r="U5190" s="24" t="str">
        <f>HYPERLINK("https://media.infra-m.ru/2141/2141830/cover/2141830.jpg", "Обложка")</f>
        <v>Обложка</v>
      </c>
      <c r="V5190" s="24" t="str">
        <f>HYPERLINK("https://znanium.ru/catalog/product/1850693", "Ознакомиться")</f>
        <v>Ознакомиться</v>
      </c>
      <c r="W5190" s="8" t="s">
        <v>462</v>
      </c>
      <c r="X5190" s="6"/>
      <c r="Y5190" s="6"/>
      <c r="Z5190" s="6" t="s">
        <v>104</v>
      </c>
      <c r="AA5190" s="6" t="s">
        <v>1382</v>
      </c>
      <c r="AB5190" s="8"/>
    </row>
    <row r="5191" spans="1:28" s="4" customFormat="1" ht="51.95" customHeight="1">
      <c r="A5191" s="5">
        <v>0</v>
      </c>
      <c r="B5191" s="6" t="s">
        <v>30553</v>
      </c>
      <c r="C5191" s="13">
        <v>2544</v>
      </c>
      <c r="D5191" s="8" t="s">
        <v>30554</v>
      </c>
      <c r="E5191" s="8" t="s">
        <v>30535</v>
      </c>
      <c r="F5191" s="8" t="s">
        <v>30555</v>
      </c>
      <c r="G5191" s="6" t="s">
        <v>52</v>
      </c>
      <c r="H5191" s="6" t="s">
        <v>39</v>
      </c>
      <c r="I5191" s="8" t="s">
        <v>100</v>
      </c>
      <c r="J5191" s="9">
        <v>1</v>
      </c>
      <c r="K5191" s="9">
        <v>864</v>
      </c>
      <c r="L5191" s="9">
        <v>2024</v>
      </c>
      <c r="M5191" s="8" t="s">
        <v>30556</v>
      </c>
      <c r="N5191" s="8" t="s">
        <v>79</v>
      </c>
      <c r="O5191" s="8" t="s">
        <v>396</v>
      </c>
      <c r="P5191" s="6" t="s">
        <v>167</v>
      </c>
      <c r="Q5191" s="8" t="s">
        <v>102</v>
      </c>
      <c r="R5191" s="10" t="s">
        <v>30557</v>
      </c>
      <c r="S5191" s="11" t="s">
        <v>30558</v>
      </c>
      <c r="T5191" s="6"/>
      <c r="U5191" s="24" t="str">
        <f>HYPERLINK("https://media.infra-m.ru/2053/2053252/cover/2053252.jpg", "Обложка")</f>
        <v>Обложка</v>
      </c>
      <c r="V5191" s="12"/>
      <c r="W5191" s="8" t="s">
        <v>450</v>
      </c>
      <c r="X5191" s="6"/>
      <c r="Y5191" s="6"/>
      <c r="Z5191" s="6"/>
      <c r="AA5191" s="6" t="s">
        <v>4504</v>
      </c>
      <c r="AB5191" s="8"/>
    </row>
    <row r="5192" spans="1:28" s="4" customFormat="1" ht="51.95" customHeight="1">
      <c r="A5192" s="5">
        <v>0</v>
      </c>
      <c r="B5192" s="6" t="s">
        <v>30559</v>
      </c>
      <c r="C5192" s="13">
        <v>1780</v>
      </c>
      <c r="D5192" s="8" t="s">
        <v>30560</v>
      </c>
      <c r="E5192" s="8" t="s">
        <v>30561</v>
      </c>
      <c r="F5192" s="8" t="s">
        <v>20512</v>
      </c>
      <c r="G5192" s="6" t="s">
        <v>89</v>
      </c>
      <c r="H5192" s="6" t="s">
        <v>53</v>
      </c>
      <c r="I5192" s="8" t="s">
        <v>116</v>
      </c>
      <c r="J5192" s="9">
        <v>1</v>
      </c>
      <c r="K5192" s="9">
        <v>387</v>
      </c>
      <c r="L5192" s="9">
        <v>2024</v>
      </c>
      <c r="M5192" s="8" t="s">
        <v>30562</v>
      </c>
      <c r="N5192" s="8" t="s">
        <v>79</v>
      </c>
      <c r="O5192" s="8" t="s">
        <v>396</v>
      </c>
      <c r="P5192" s="6" t="s">
        <v>167</v>
      </c>
      <c r="Q5192" s="8" t="s">
        <v>44</v>
      </c>
      <c r="R5192" s="10" t="s">
        <v>20519</v>
      </c>
      <c r="S5192" s="11" t="s">
        <v>30563</v>
      </c>
      <c r="T5192" s="6"/>
      <c r="U5192" s="24" t="str">
        <f>HYPERLINK("https://media.infra-m.ru/2091/2091910/cover/2091910.jpg", "Обложка")</f>
        <v>Обложка</v>
      </c>
      <c r="V5192" s="24" t="str">
        <f>HYPERLINK("https://znanium.ru/catalog/product/2091910", "Ознакомиться")</f>
        <v>Ознакомиться</v>
      </c>
      <c r="W5192" s="8" t="s">
        <v>450</v>
      </c>
      <c r="X5192" s="6"/>
      <c r="Y5192" s="6"/>
      <c r="Z5192" s="6"/>
      <c r="AA5192" s="6" t="s">
        <v>442</v>
      </c>
      <c r="AB5192" s="8"/>
    </row>
    <row r="5193" spans="1:28" s="4" customFormat="1" ht="51.95" customHeight="1">
      <c r="A5193" s="5">
        <v>0</v>
      </c>
      <c r="B5193" s="6" t="s">
        <v>30564</v>
      </c>
      <c r="C5193" s="7">
        <v>820</v>
      </c>
      <c r="D5193" s="8" t="s">
        <v>30565</v>
      </c>
      <c r="E5193" s="8" t="s">
        <v>30535</v>
      </c>
      <c r="F5193" s="8" t="s">
        <v>30511</v>
      </c>
      <c r="G5193" s="6" t="s">
        <v>52</v>
      </c>
      <c r="H5193" s="6" t="s">
        <v>53</v>
      </c>
      <c r="I5193" s="8" t="s">
        <v>100</v>
      </c>
      <c r="J5193" s="9">
        <v>1</v>
      </c>
      <c r="K5193" s="9">
        <v>240</v>
      </c>
      <c r="L5193" s="9">
        <v>2020</v>
      </c>
      <c r="M5193" s="8" t="s">
        <v>30566</v>
      </c>
      <c r="N5193" s="8" t="s">
        <v>79</v>
      </c>
      <c r="O5193" s="8" t="s">
        <v>396</v>
      </c>
      <c r="P5193" s="6" t="s">
        <v>43</v>
      </c>
      <c r="Q5193" s="8" t="s">
        <v>102</v>
      </c>
      <c r="R5193" s="10" t="s">
        <v>30567</v>
      </c>
      <c r="S5193" s="11" t="s">
        <v>30568</v>
      </c>
      <c r="T5193" s="6"/>
      <c r="U5193" s="24" t="str">
        <f>HYPERLINK("https://media.infra-m.ru/1043/1043105/cover/1043105.jpg", "Обложка")</f>
        <v>Обложка</v>
      </c>
      <c r="V5193" s="24" t="str">
        <f>HYPERLINK("https://znanium.ru/catalog/product/1043105", "Ознакомиться")</f>
        <v>Ознакомиться</v>
      </c>
      <c r="W5193" s="8" t="s">
        <v>1571</v>
      </c>
      <c r="X5193" s="6"/>
      <c r="Y5193" s="6"/>
      <c r="Z5193" s="6" t="s">
        <v>104</v>
      </c>
      <c r="AA5193" s="6" t="s">
        <v>1259</v>
      </c>
      <c r="AB5193" s="8"/>
    </row>
    <row r="5194" spans="1:28" s="4" customFormat="1" ht="51.95" customHeight="1">
      <c r="A5194" s="5">
        <v>0</v>
      </c>
      <c r="B5194" s="6" t="s">
        <v>30569</v>
      </c>
      <c r="C5194" s="13">
        <v>1104</v>
      </c>
      <c r="D5194" s="8" t="s">
        <v>30570</v>
      </c>
      <c r="E5194" s="8" t="s">
        <v>30535</v>
      </c>
      <c r="F5194" s="8" t="s">
        <v>30511</v>
      </c>
      <c r="G5194" s="6" t="s">
        <v>52</v>
      </c>
      <c r="H5194" s="6" t="s">
        <v>53</v>
      </c>
      <c r="I5194" s="8" t="s">
        <v>90</v>
      </c>
      <c r="J5194" s="9">
        <v>1</v>
      </c>
      <c r="K5194" s="9">
        <v>240</v>
      </c>
      <c r="L5194" s="9">
        <v>2024</v>
      </c>
      <c r="M5194" s="8" t="s">
        <v>30571</v>
      </c>
      <c r="N5194" s="8" t="s">
        <v>79</v>
      </c>
      <c r="O5194" s="8" t="s">
        <v>396</v>
      </c>
      <c r="P5194" s="6" t="s">
        <v>43</v>
      </c>
      <c r="Q5194" s="8" t="s">
        <v>44</v>
      </c>
      <c r="R5194" s="10" t="s">
        <v>30572</v>
      </c>
      <c r="S5194" s="11" t="s">
        <v>30573</v>
      </c>
      <c r="T5194" s="6"/>
      <c r="U5194" s="24" t="str">
        <f>HYPERLINK("https://media.infra-m.ru/2058/2058779/cover/2058779.jpg", "Обложка")</f>
        <v>Обложка</v>
      </c>
      <c r="V5194" s="24" t="str">
        <f>HYPERLINK("https://znanium.ru/catalog/product/2058779", "Ознакомиться")</f>
        <v>Ознакомиться</v>
      </c>
      <c r="W5194" s="8" t="s">
        <v>1571</v>
      </c>
      <c r="X5194" s="6"/>
      <c r="Y5194" s="6"/>
      <c r="Z5194" s="6"/>
      <c r="AA5194" s="6" t="s">
        <v>160</v>
      </c>
      <c r="AB5194" s="8"/>
    </row>
    <row r="5195" spans="1:28" s="4" customFormat="1" ht="51.95" customHeight="1">
      <c r="A5195" s="5">
        <v>0</v>
      </c>
      <c r="B5195" s="6" t="s">
        <v>30574</v>
      </c>
      <c r="C5195" s="13">
        <v>1234</v>
      </c>
      <c r="D5195" s="8" t="s">
        <v>30575</v>
      </c>
      <c r="E5195" s="8" t="s">
        <v>30576</v>
      </c>
      <c r="F5195" s="8" t="s">
        <v>30577</v>
      </c>
      <c r="G5195" s="6" t="s">
        <v>52</v>
      </c>
      <c r="H5195" s="6" t="s">
        <v>53</v>
      </c>
      <c r="I5195" s="8" t="s">
        <v>90</v>
      </c>
      <c r="J5195" s="9">
        <v>1</v>
      </c>
      <c r="K5195" s="9">
        <v>269</v>
      </c>
      <c r="L5195" s="9">
        <v>2024</v>
      </c>
      <c r="M5195" s="8" t="s">
        <v>30578</v>
      </c>
      <c r="N5195" s="8" t="s">
        <v>79</v>
      </c>
      <c r="O5195" s="8" t="s">
        <v>396</v>
      </c>
      <c r="P5195" s="6" t="s">
        <v>167</v>
      </c>
      <c r="Q5195" s="8" t="s">
        <v>44</v>
      </c>
      <c r="R5195" s="10" t="s">
        <v>20533</v>
      </c>
      <c r="S5195" s="11" t="s">
        <v>30579</v>
      </c>
      <c r="T5195" s="6"/>
      <c r="U5195" s="24" t="str">
        <f>HYPERLINK("https://media.infra-m.ru/2087/2087295/cover/2087295.jpg", "Обложка")</f>
        <v>Обложка</v>
      </c>
      <c r="V5195" s="24" t="str">
        <f>HYPERLINK("https://znanium.ru/catalog/product/1009619", "Ознакомиться")</f>
        <v>Ознакомиться</v>
      </c>
      <c r="W5195" s="8" t="s">
        <v>450</v>
      </c>
      <c r="X5195" s="6"/>
      <c r="Y5195" s="6"/>
      <c r="Z5195" s="6"/>
      <c r="AA5195" s="6" t="s">
        <v>111</v>
      </c>
      <c r="AB5195" s="8"/>
    </row>
    <row r="5196" spans="1:28" s="4" customFormat="1" ht="51.95" customHeight="1">
      <c r="A5196" s="5">
        <v>0</v>
      </c>
      <c r="B5196" s="6" t="s">
        <v>30580</v>
      </c>
      <c r="C5196" s="7">
        <v>900</v>
      </c>
      <c r="D5196" s="8" t="s">
        <v>30581</v>
      </c>
      <c r="E5196" s="8" t="s">
        <v>30582</v>
      </c>
      <c r="F5196" s="8" t="s">
        <v>30583</v>
      </c>
      <c r="G5196" s="6" t="s">
        <v>89</v>
      </c>
      <c r="H5196" s="6" t="s">
        <v>53</v>
      </c>
      <c r="I5196" s="8" t="s">
        <v>116</v>
      </c>
      <c r="J5196" s="9">
        <v>1</v>
      </c>
      <c r="K5196" s="9">
        <v>180</v>
      </c>
      <c r="L5196" s="9">
        <v>2025</v>
      </c>
      <c r="M5196" s="8" t="s">
        <v>30584</v>
      </c>
      <c r="N5196" s="8" t="s">
        <v>79</v>
      </c>
      <c r="O5196" s="8" t="s">
        <v>396</v>
      </c>
      <c r="P5196" s="6" t="s">
        <v>43</v>
      </c>
      <c r="Q5196" s="8" t="s">
        <v>44</v>
      </c>
      <c r="R5196" s="10" t="s">
        <v>30423</v>
      </c>
      <c r="S5196" s="11" t="s">
        <v>30585</v>
      </c>
      <c r="T5196" s="6"/>
      <c r="U5196" s="24" t="str">
        <f>HYPERLINK("https://media.infra-m.ru/2186/2186907/cover/2186907.jpg", "Обложка")</f>
        <v>Обложка</v>
      </c>
      <c r="V5196" s="24" t="str">
        <f>HYPERLINK("https://znanium.ru/catalog/product/1904818", "Ознакомиться")</f>
        <v>Ознакомиться</v>
      </c>
      <c r="W5196" s="8" t="s">
        <v>637</v>
      </c>
      <c r="X5196" s="6"/>
      <c r="Y5196" s="6"/>
      <c r="Z5196" s="6"/>
      <c r="AA5196" s="6" t="s">
        <v>418</v>
      </c>
      <c r="AB5196" s="8"/>
    </row>
    <row r="5197" spans="1:28" s="4" customFormat="1" ht="51.95" customHeight="1">
      <c r="A5197" s="5">
        <v>0</v>
      </c>
      <c r="B5197" s="6" t="s">
        <v>30586</v>
      </c>
      <c r="C5197" s="7">
        <v>840</v>
      </c>
      <c r="D5197" s="8" t="s">
        <v>30587</v>
      </c>
      <c r="E5197" s="8" t="s">
        <v>30582</v>
      </c>
      <c r="F5197" s="8" t="s">
        <v>30583</v>
      </c>
      <c r="G5197" s="6" t="s">
        <v>89</v>
      </c>
      <c r="H5197" s="6" t="s">
        <v>53</v>
      </c>
      <c r="I5197" s="8" t="s">
        <v>100</v>
      </c>
      <c r="J5197" s="9">
        <v>1</v>
      </c>
      <c r="K5197" s="9">
        <v>180</v>
      </c>
      <c r="L5197" s="9">
        <v>2023</v>
      </c>
      <c r="M5197" s="8" t="s">
        <v>30588</v>
      </c>
      <c r="N5197" s="8" t="s">
        <v>79</v>
      </c>
      <c r="O5197" s="8" t="s">
        <v>396</v>
      </c>
      <c r="P5197" s="6" t="s">
        <v>43</v>
      </c>
      <c r="Q5197" s="8" t="s">
        <v>102</v>
      </c>
      <c r="R5197" s="10" t="s">
        <v>30589</v>
      </c>
      <c r="S5197" s="11" t="s">
        <v>30590</v>
      </c>
      <c r="T5197" s="6"/>
      <c r="U5197" s="24" t="str">
        <f>HYPERLINK("https://media.infra-m.ru/1893/1893797/cover/1893797.jpg", "Обложка")</f>
        <v>Обложка</v>
      </c>
      <c r="V5197" s="24" t="str">
        <f>HYPERLINK("https://znanium.ru/catalog/product/1893797", "Ознакомиться")</f>
        <v>Ознакомиться</v>
      </c>
      <c r="W5197" s="8" t="s">
        <v>637</v>
      </c>
      <c r="X5197" s="6"/>
      <c r="Y5197" s="6"/>
      <c r="Z5197" s="6" t="s">
        <v>104</v>
      </c>
      <c r="AA5197" s="6" t="s">
        <v>258</v>
      </c>
      <c r="AB5197" s="8"/>
    </row>
    <row r="5198" spans="1:28" s="4" customFormat="1" ht="51.95" customHeight="1">
      <c r="A5198" s="5">
        <v>0</v>
      </c>
      <c r="B5198" s="6" t="s">
        <v>30591</v>
      </c>
      <c r="C5198" s="13">
        <v>1789</v>
      </c>
      <c r="D5198" s="8" t="s">
        <v>30592</v>
      </c>
      <c r="E5198" s="8" t="s">
        <v>30593</v>
      </c>
      <c r="F5198" s="8" t="s">
        <v>30594</v>
      </c>
      <c r="G5198" s="6" t="s">
        <v>89</v>
      </c>
      <c r="H5198" s="6" t="s">
        <v>53</v>
      </c>
      <c r="I5198" s="8" t="s">
        <v>712</v>
      </c>
      <c r="J5198" s="9">
        <v>1</v>
      </c>
      <c r="K5198" s="9">
        <v>270</v>
      </c>
      <c r="L5198" s="9">
        <v>2025</v>
      </c>
      <c r="M5198" s="8" t="s">
        <v>30595</v>
      </c>
      <c r="N5198" s="8" t="s">
        <v>79</v>
      </c>
      <c r="O5198" s="8" t="s">
        <v>396</v>
      </c>
      <c r="P5198" s="6" t="s">
        <v>43</v>
      </c>
      <c r="Q5198" s="8" t="s">
        <v>58</v>
      </c>
      <c r="R5198" s="10" t="s">
        <v>30596</v>
      </c>
      <c r="S5198" s="11" t="s">
        <v>30597</v>
      </c>
      <c r="T5198" s="6"/>
      <c r="U5198" s="24" t="str">
        <f>HYPERLINK("https://media.infra-m.ru/2184/2184587/cover/2184587.jpg", "Обложка")</f>
        <v>Обложка</v>
      </c>
      <c r="V5198" s="24" t="str">
        <f>HYPERLINK("https://znanium.ru/catalog/product/2184587", "Ознакомиться")</f>
        <v>Ознакомиться</v>
      </c>
      <c r="W5198" s="8" t="s">
        <v>716</v>
      </c>
      <c r="X5198" s="6"/>
      <c r="Y5198" s="6"/>
      <c r="Z5198" s="6"/>
      <c r="AA5198" s="6" t="s">
        <v>133</v>
      </c>
      <c r="AB5198" s="8"/>
    </row>
    <row r="5199" spans="1:28" s="4" customFormat="1" ht="42" customHeight="1">
      <c r="A5199" s="5">
        <v>0</v>
      </c>
      <c r="B5199" s="6" t="s">
        <v>30598</v>
      </c>
      <c r="C5199" s="13">
        <v>1799</v>
      </c>
      <c r="D5199" s="8" t="s">
        <v>30599</v>
      </c>
      <c r="E5199" s="8" t="s">
        <v>30593</v>
      </c>
      <c r="F5199" s="8" t="s">
        <v>30594</v>
      </c>
      <c r="G5199" s="6" t="s">
        <v>52</v>
      </c>
      <c r="H5199" s="6" t="s">
        <v>53</v>
      </c>
      <c r="I5199" s="8" t="s">
        <v>1631</v>
      </c>
      <c r="J5199" s="9">
        <v>1</v>
      </c>
      <c r="K5199" s="9">
        <v>270</v>
      </c>
      <c r="L5199" s="9">
        <v>2025</v>
      </c>
      <c r="M5199" s="8" t="s">
        <v>30600</v>
      </c>
      <c r="N5199" s="8" t="s">
        <v>79</v>
      </c>
      <c r="O5199" s="8" t="s">
        <v>396</v>
      </c>
      <c r="P5199" s="6" t="s">
        <v>43</v>
      </c>
      <c r="Q5199" s="8" t="s">
        <v>102</v>
      </c>
      <c r="R5199" s="10" t="s">
        <v>30601</v>
      </c>
      <c r="S5199" s="11"/>
      <c r="T5199" s="6"/>
      <c r="U5199" s="24" t="str">
        <f>HYPERLINK("https://media.infra-m.ru/2184/2184550/cover/2184550.jpg", "Обложка")</f>
        <v>Обложка</v>
      </c>
      <c r="V5199" s="24" t="str">
        <f>HYPERLINK("https://znanium.ru/catalog/product/2184550", "Ознакомиться")</f>
        <v>Ознакомиться</v>
      </c>
      <c r="W5199" s="8" t="s">
        <v>716</v>
      </c>
      <c r="X5199" s="6" t="s">
        <v>60</v>
      </c>
      <c r="Y5199" s="6"/>
      <c r="Z5199" s="6" t="s">
        <v>502</v>
      </c>
      <c r="AA5199" s="6" t="s">
        <v>61</v>
      </c>
      <c r="AB5199" s="8"/>
    </row>
    <row r="5200" spans="1:28" s="4" customFormat="1" ht="51.95" customHeight="1">
      <c r="A5200" s="5">
        <v>0</v>
      </c>
      <c r="B5200" s="6" t="s">
        <v>30602</v>
      </c>
      <c r="C5200" s="13">
        <v>1354</v>
      </c>
      <c r="D5200" s="8" t="s">
        <v>30603</v>
      </c>
      <c r="E5200" s="8" t="s">
        <v>30604</v>
      </c>
      <c r="F5200" s="8" t="s">
        <v>30605</v>
      </c>
      <c r="G5200" s="6" t="s">
        <v>89</v>
      </c>
      <c r="H5200" s="6" t="s">
        <v>53</v>
      </c>
      <c r="I5200" s="8" t="s">
        <v>90</v>
      </c>
      <c r="J5200" s="9">
        <v>1</v>
      </c>
      <c r="K5200" s="9">
        <v>260</v>
      </c>
      <c r="L5200" s="9">
        <v>2025</v>
      </c>
      <c r="M5200" s="8" t="s">
        <v>30606</v>
      </c>
      <c r="N5200" s="8" t="s">
        <v>79</v>
      </c>
      <c r="O5200" s="8" t="s">
        <v>570</v>
      </c>
      <c r="P5200" s="6" t="s">
        <v>43</v>
      </c>
      <c r="Q5200" s="8" t="s">
        <v>44</v>
      </c>
      <c r="R5200" s="10" t="s">
        <v>6415</v>
      </c>
      <c r="S5200" s="11" t="s">
        <v>30607</v>
      </c>
      <c r="T5200" s="6"/>
      <c r="U5200" s="24" t="str">
        <f>HYPERLINK("https://media.infra-m.ru/2194/2194317/cover/2194317.jpg", "Обложка")</f>
        <v>Обложка</v>
      </c>
      <c r="V5200" s="24" t="str">
        <f>HYPERLINK("https://znanium.ru/catalog/product/1971820", "Ознакомиться")</f>
        <v>Ознакомиться</v>
      </c>
      <c r="W5200" s="8" t="s">
        <v>521</v>
      </c>
      <c r="X5200" s="6"/>
      <c r="Y5200" s="6"/>
      <c r="Z5200" s="6"/>
      <c r="AA5200" s="6" t="s">
        <v>47</v>
      </c>
      <c r="AB5200" s="8"/>
    </row>
    <row r="5201" spans="1:28" s="4" customFormat="1" ht="51.95" customHeight="1">
      <c r="A5201" s="5">
        <v>0</v>
      </c>
      <c r="B5201" s="6" t="s">
        <v>30608</v>
      </c>
      <c r="C5201" s="13">
        <v>1880</v>
      </c>
      <c r="D5201" s="8" t="s">
        <v>30609</v>
      </c>
      <c r="E5201" s="8" t="s">
        <v>30610</v>
      </c>
      <c r="F5201" s="8" t="s">
        <v>17954</v>
      </c>
      <c r="G5201" s="6" t="s">
        <v>89</v>
      </c>
      <c r="H5201" s="6" t="s">
        <v>53</v>
      </c>
      <c r="I5201" s="8" t="s">
        <v>100</v>
      </c>
      <c r="J5201" s="9">
        <v>1</v>
      </c>
      <c r="K5201" s="9">
        <v>375</v>
      </c>
      <c r="L5201" s="9">
        <v>2025</v>
      </c>
      <c r="M5201" s="8" t="s">
        <v>30611</v>
      </c>
      <c r="N5201" s="8" t="s">
        <v>41</v>
      </c>
      <c r="O5201" s="8" t="s">
        <v>278</v>
      </c>
      <c r="P5201" s="6" t="s">
        <v>167</v>
      </c>
      <c r="Q5201" s="8" t="s">
        <v>102</v>
      </c>
      <c r="R5201" s="10" t="s">
        <v>2779</v>
      </c>
      <c r="S5201" s="11" t="s">
        <v>8381</v>
      </c>
      <c r="T5201" s="6"/>
      <c r="U5201" s="24" t="str">
        <f>HYPERLINK("https://media.infra-m.ru/2179/2179094/cover/2179094.jpg", "Обложка")</f>
        <v>Обложка</v>
      </c>
      <c r="V5201" s="24" t="str">
        <f>HYPERLINK("https://znanium.ru/catalog/product/2179094", "Ознакомиться")</f>
        <v>Ознакомиться</v>
      </c>
      <c r="W5201" s="8" t="s">
        <v>6124</v>
      </c>
      <c r="X5201" s="6"/>
      <c r="Y5201" s="6"/>
      <c r="Z5201" s="6" t="s">
        <v>104</v>
      </c>
      <c r="AA5201" s="6" t="s">
        <v>258</v>
      </c>
      <c r="AB5201" s="8"/>
    </row>
    <row r="5202" spans="1:28" s="4" customFormat="1" ht="51.95" customHeight="1">
      <c r="A5202" s="5">
        <v>0</v>
      </c>
      <c r="B5202" s="6" t="s">
        <v>30612</v>
      </c>
      <c r="C5202" s="13">
        <v>1430</v>
      </c>
      <c r="D5202" s="8" t="s">
        <v>30613</v>
      </c>
      <c r="E5202" s="8" t="s">
        <v>30610</v>
      </c>
      <c r="F5202" s="8" t="s">
        <v>17954</v>
      </c>
      <c r="G5202" s="6" t="s">
        <v>89</v>
      </c>
      <c r="H5202" s="6" t="s">
        <v>53</v>
      </c>
      <c r="I5202" s="8" t="s">
        <v>90</v>
      </c>
      <c r="J5202" s="9">
        <v>1</v>
      </c>
      <c r="K5202" s="9">
        <v>375</v>
      </c>
      <c r="L5202" s="9">
        <v>2022</v>
      </c>
      <c r="M5202" s="8" t="s">
        <v>30614</v>
      </c>
      <c r="N5202" s="8" t="s">
        <v>41</v>
      </c>
      <c r="O5202" s="8" t="s">
        <v>278</v>
      </c>
      <c r="P5202" s="6" t="s">
        <v>167</v>
      </c>
      <c r="Q5202" s="8" t="s">
        <v>44</v>
      </c>
      <c r="R5202" s="10" t="s">
        <v>1794</v>
      </c>
      <c r="S5202" s="11" t="s">
        <v>30615</v>
      </c>
      <c r="T5202" s="6"/>
      <c r="U5202" s="24" t="str">
        <f>HYPERLINK("https://media.infra-m.ru/1855/1855507/cover/1855507.jpg", "Обложка")</f>
        <v>Обложка</v>
      </c>
      <c r="V5202" s="24" t="str">
        <f>HYPERLINK("https://znanium.ru/catalog/product/1855507", "Ознакомиться")</f>
        <v>Ознакомиться</v>
      </c>
      <c r="W5202" s="8" t="s">
        <v>6124</v>
      </c>
      <c r="X5202" s="6"/>
      <c r="Y5202" s="6"/>
      <c r="Z5202" s="6"/>
      <c r="AA5202" s="6" t="s">
        <v>151</v>
      </c>
      <c r="AB5202" s="8"/>
    </row>
    <row r="5203" spans="1:28" s="4" customFormat="1" ht="51.95" customHeight="1">
      <c r="A5203" s="5">
        <v>0</v>
      </c>
      <c r="B5203" s="6" t="s">
        <v>30616</v>
      </c>
      <c r="C5203" s="13">
        <v>1614</v>
      </c>
      <c r="D5203" s="8" t="s">
        <v>30617</v>
      </c>
      <c r="E5203" s="8" t="s">
        <v>30618</v>
      </c>
      <c r="F5203" s="8" t="s">
        <v>30619</v>
      </c>
      <c r="G5203" s="6" t="s">
        <v>52</v>
      </c>
      <c r="H5203" s="6" t="s">
        <v>1738</v>
      </c>
      <c r="I5203" s="8" t="s">
        <v>9907</v>
      </c>
      <c r="J5203" s="9">
        <v>1</v>
      </c>
      <c r="K5203" s="9">
        <v>352</v>
      </c>
      <c r="L5203" s="9">
        <v>2024</v>
      </c>
      <c r="M5203" s="8" t="s">
        <v>30620</v>
      </c>
      <c r="N5203" s="8" t="s">
        <v>41</v>
      </c>
      <c r="O5203" s="8" t="s">
        <v>278</v>
      </c>
      <c r="P5203" s="6" t="s">
        <v>167</v>
      </c>
      <c r="Q5203" s="8" t="s">
        <v>44</v>
      </c>
      <c r="R5203" s="10" t="s">
        <v>7726</v>
      </c>
      <c r="S5203" s="11" t="s">
        <v>30621</v>
      </c>
      <c r="T5203" s="6"/>
      <c r="U5203" s="24" t="str">
        <f>HYPERLINK("https://media.infra-m.ru/2079/2079685/cover/2079685.jpg", "Обложка")</f>
        <v>Обложка</v>
      </c>
      <c r="V5203" s="24" t="str">
        <f>HYPERLINK("https://znanium.ru/catalog/product/1831182", "Ознакомиться")</f>
        <v>Ознакомиться</v>
      </c>
      <c r="W5203" s="8" t="s">
        <v>3974</v>
      </c>
      <c r="X5203" s="6"/>
      <c r="Y5203" s="6"/>
      <c r="Z5203" s="6"/>
      <c r="AA5203" s="6" t="s">
        <v>72</v>
      </c>
      <c r="AB5203" s="8"/>
    </row>
    <row r="5204" spans="1:28" s="4" customFormat="1" ht="42" customHeight="1">
      <c r="A5204" s="5">
        <v>0</v>
      </c>
      <c r="B5204" s="6" t="s">
        <v>30622</v>
      </c>
      <c r="C5204" s="13">
        <v>1160</v>
      </c>
      <c r="D5204" s="8" t="s">
        <v>30623</v>
      </c>
      <c r="E5204" s="8" t="s">
        <v>30624</v>
      </c>
      <c r="F5204" s="8" t="s">
        <v>18923</v>
      </c>
      <c r="G5204" s="6" t="s">
        <v>52</v>
      </c>
      <c r="H5204" s="6" t="s">
        <v>53</v>
      </c>
      <c r="I5204" s="8" t="s">
        <v>100</v>
      </c>
      <c r="J5204" s="9">
        <v>1</v>
      </c>
      <c r="K5204" s="9">
        <v>210</v>
      </c>
      <c r="L5204" s="9">
        <v>2024</v>
      </c>
      <c r="M5204" s="8" t="s">
        <v>30625</v>
      </c>
      <c r="N5204" s="8" t="s">
        <v>41</v>
      </c>
      <c r="O5204" s="8" t="s">
        <v>278</v>
      </c>
      <c r="P5204" s="6" t="s">
        <v>43</v>
      </c>
      <c r="Q5204" s="8" t="s">
        <v>102</v>
      </c>
      <c r="R5204" s="10" t="s">
        <v>18040</v>
      </c>
      <c r="S5204" s="11"/>
      <c r="T5204" s="6"/>
      <c r="U5204" s="24" t="str">
        <f>HYPERLINK("https://media.infra-m.ru/2063/2063437/cover/2063437.jpg", "Обложка")</f>
        <v>Обложка</v>
      </c>
      <c r="V5204" s="24" t="str">
        <f>HYPERLINK("https://znanium.ru/catalog/product/2063437", "Ознакомиться")</f>
        <v>Ознакомиться</v>
      </c>
      <c r="W5204" s="8" t="s">
        <v>71</v>
      </c>
      <c r="X5204" s="6" t="s">
        <v>772</v>
      </c>
      <c r="Y5204" s="6"/>
      <c r="Z5204" s="6"/>
      <c r="AA5204" s="6" t="s">
        <v>133</v>
      </c>
      <c r="AB5204" s="8"/>
    </row>
    <row r="5205" spans="1:28" s="4" customFormat="1" ht="51.95" customHeight="1">
      <c r="A5205" s="5">
        <v>0</v>
      </c>
      <c r="B5205" s="6" t="s">
        <v>30626</v>
      </c>
      <c r="C5205" s="13">
        <v>1014</v>
      </c>
      <c r="D5205" s="8" t="s">
        <v>30627</v>
      </c>
      <c r="E5205" s="8" t="s">
        <v>30628</v>
      </c>
      <c r="F5205" s="8" t="s">
        <v>30629</v>
      </c>
      <c r="G5205" s="6" t="s">
        <v>89</v>
      </c>
      <c r="H5205" s="6" t="s">
        <v>53</v>
      </c>
      <c r="I5205" s="8" t="s">
        <v>100</v>
      </c>
      <c r="J5205" s="9">
        <v>1</v>
      </c>
      <c r="K5205" s="9">
        <v>202</v>
      </c>
      <c r="L5205" s="9">
        <v>2025</v>
      </c>
      <c r="M5205" s="8" t="s">
        <v>30630</v>
      </c>
      <c r="N5205" s="8" t="s">
        <v>79</v>
      </c>
      <c r="O5205" s="8" t="s">
        <v>396</v>
      </c>
      <c r="P5205" s="6" t="s">
        <v>43</v>
      </c>
      <c r="Q5205" s="8" t="s">
        <v>102</v>
      </c>
      <c r="R5205" s="10" t="s">
        <v>30631</v>
      </c>
      <c r="S5205" s="11" t="s">
        <v>30632</v>
      </c>
      <c r="T5205" s="6"/>
      <c r="U5205" s="24" t="str">
        <f>HYPERLINK("https://media.infra-m.ru/2187/2187053/cover/2187053.jpg", "Обложка")</f>
        <v>Обложка</v>
      </c>
      <c r="V5205" s="24" t="str">
        <f>HYPERLINK("https://znanium.ru/catalog/product/2132946", "Ознакомиться")</f>
        <v>Ознакомиться</v>
      </c>
      <c r="W5205" s="8" t="s">
        <v>1587</v>
      </c>
      <c r="X5205" s="6"/>
      <c r="Y5205" s="6"/>
      <c r="Z5205" s="6" t="s">
        <v>104</v>
      </c>
      <c r="AA5205" s="6" t="s">
        <v>219</v>
      </c>
      <c r="AB5205" s="8"/>
    </row>
    <row r="5206" spans="1:28" s="4" customFormat="1" ht="51.95" customHeight="1">
      <c r="A5206" s="5">
        <v>0</v>
      </c>
      <c r="B5206" s="6" t="s">
        <v>30633</v>
      </c>
      <c r="C5206" s="7">
        <v>990</v>
      </c>
      <c r="D5206" s="8" t="s">
        <v>30634</v>
      </c>
      <c r="E5206" s="8" t="s">
        <v>30635</v>
      </c>
      <c r="F5206" s="8" t="s">
        <v>30629</v>
      </c>
      <c r="G5206" s="6" t="s">
        <v>89</v>
      </c>
      <c r="H5206" s="6" t="s">
        <v>53</v>
      </c>
      <c r="I5206" s="8" t="s">
        <v>116</v>
      </c>
      <c r="J5206" s="9">
        <v>1</v>
      </c>
      <c r="K5206" s="9">
        <v>202</v>
      </c>
      <c r="L5206" s="9">
        <v>2024</v>
      </c>
      <c r="M5206" s="8" t="s">
        <v>30636</v>
      </c>
      <c r="N5206" s="8" t="s">
        <v>79</v>
      </c>
      <c r="O5206" s="8" t="s">
        <v>396</v>
      </c>
      <c r="P5206" s="6" t="s">
        <v>43</v>
      </c>
      <c r="Q5206" s="8" t="s">
        <v>44</v>
      </c>
      <c r="R5206" s="10" t="s">
        <v>30637</v>
      </c>
      <c r="S5206" s="11" t="s">
        <v>30638</v>
      </c>
      <c r="T5206" s="6"/>
      <c r="U5206" s="24" t="str">
        <f>HYPERLINK("https://media.infra-m.ru/2126/2126468/cover/2126468.jpg", "Обложка")</f>
        <v>Обложка</v>
      </c>
      <c r="V5206" s="24" t="str">
        <f>HYPERLINK("https://znanium.ru/catalog/product/2126468", "Ознакомиться")</f>
        <v>Ознакомиться</v>
      </c>
      <c r="W5206" s="8" t="s">
        <v>1587</v>
      </c>
      <c r="X5206" s="6"/>
      <c r="Y5206" s="6"/>
      <c r="Z5206" s="6"/>
      <c r="AA5206" s="6" t="s">
        <v>95</v>
      </c>
      <c r="AB5206" s="8"/>
    </row>
    <row r="5207" spans="1:28" s="4" customFormat="1" ht="51.95" customHeight="1">
      <c r="A5207" s="5">
        <v>0</v>
      </c>
      <c r="B5207" s="6" t="s">
        <v>30639</v>
      </c>
      <c r="C5207" s="7">
        <v>684.9</v>
      </c>
      <c r="D5207" s="8" t="s">
        <v>30640</v>
      </c>
      <c r="E5207" s="8" t="s">
        <v>30641</v>
      </c>
      <c r="F5207" s="8" t="s">
        <v>30629</v>
      </c>
      <c r="G5207" s="6" t="s">
        <v>52</v>
      </c>
      <c r="H5207" s="6" t="s">
        <v>53</v>
      </c>
      <c r="I5207" s="8" t="s">
        <v>90</v>
      </c>
      <c r="J5207" s="9">
        <v>1</v>
      </c>
      <c r="K5207" s="9">
        <v>202</v>
      </c>
      <c r="L5207" s="9">
        <v>2020</v>
      </c>
      <c r="M5207" s="8" t="s">
        <v>30642</v>
      </c>
      <c r="N5207" s="8" t="s">
        <v>79</v>
      </c>
      <c r="O5207" s="8" t="s">
        <v>396</v>
      </c>
      <c r="P5207" s="6" t="s">
        <v>43</v>
      </c>
      <c r="Q5207" s="8" t="s">
        <v>44</v>
      </c>
      <c r="R5207" s="10" t="s">
        <v>30637</v>
      </c>
      <c r="S5207" s="11" t="s">
        <v>30643</v>
      </c>
      <c r="T5207" s="6"/>
      <c r="U5207" s="24" t="str">
        <f>HYPERLINK("https://media.infra-m.ru/1047/1047169/cover/1047169.jpg", "Обложка")</f>
        <v>Обложка</v>
      </c>
      <c r="V5207" s="24" t="str">
        <f>HYPERLINK("https://znanium.ru/catalog/product/2126468", "Ознакомиться")</f>
        <v>Ознакомиться</v>
      </c>
      <c r="W5207" s="8" t="s">
        <v>1587</v>
      </c>
      <c r="X5207" s="6"/>
      <c r="Y5207" s="6"/>
      <c r="Z5207" s="6"/>
      <c r="AA5207" s="6" t="s">
        <v>442</v>
      </c>
      <c r="AB5207" s="8"/>
    </row>
    <row r="5208" spans="1:28" s="4" customFormat="1" ht="51.95" customHeight="1">
      <c r="A5208" s="5">
        <v>0</v>
      </c>
      <c r="B5208" s="6" t="s">
        <v>30644</v>
      </c>
      <c r="C5208" s="7">
        <v>700</v>
      </c>
      <c r="D5208" s="8" t="s">
        <v>30645</v>
      </c>
      <c r="E5208" s="8" t="s">
        <v>30646</v>
      </c>
      <c r="F5208" s="8" t="s">
        <v>30647</v>
      </c>
      <c r="G5208" s="6" t="s">
        <v>38</v>
      </c>
      <c r="H5208" s="6" t="s">
        <v>39</v>
      </c>
      <c r="I5208" s="8" t="s">
        <v>116</v>
      </c>
      <c r="J5208" s="9">
        <v>1</v>
      </c>
      <c r="K5208" s="9">
        <v>146</v>
      </c>
      <c r="L5208" s="9">
        <v>2023</v>
      </c>
      <c r="M5208" s="8" t="s">
        <v>30648</v>
      </c>
      <c r="N5208" s="8" t="s">
        <v>56</v>
      </c>
      <c r="O5208" s="8" t="s">
        <v>57</v>
      </c>
      <c r="P5208" s="6" t="s">
        <v>43</v>
      </c>
      <c r="Q5208" s="8" t="s">
        <v>58</v>
      </c>
      <c r="R5208" s="10" t="s">
        <v>30649</v>
      </c>
      <c r="S5208" s="11" t="s">
        <v>30650</v>
      </c>
      <c r="T5208" s="6"/>
      <c r="U5208" s="24" t="str">
        <f>HYPERLINK("https://media.infra-m.ru/2017/2017319/cover/2017319.jpg", "Обложка")</f>
        <v>Обложка</v>
      </c>
      <c r="V5208" s="24" t="str">
        <f>HYPERLINK("https://znanium.ru/catalog/product/2017319", "Ознакомиться")</f>
        <v>Ознакомиться</v>
      </c>
      <c r="W5208" s="8" t="s">
        <v>2122</v>
      </c>
      <c r="X5208" s="6"/>
      <c r="Y5208" s="6"/>
      <c r="Z5208" s="6"/>
      <c r="AA5208" s="6" t="s">
        <v>326</v>
      </c>
      <c r="AB5208" s="8"/>
    </row>
    <row r="5209" spans="1:28" s="4" customFormat="1" ht="51.95" customHeight="1">
      <c r="A5209" s="5">
        <v>0</v>
      </c>
      <c r="B5209" s="6" t="s">
        <v>30651</v>
      </c>
      <c r="C5209" s="7">
        <v>800</v>
      </c>
      <c r="D5209" s="8" t="s">
        <v>30652</v>
      </c>
      <c r="E5209" s="8" t="s">
        <v>30653</v>
      </c>
      <c r="F5209" s="8" t="s">
        <v>30654</v>
      </c>
      <c r="G5209" s="6" t="s">
        <v>52</v>
      </c>
      <c r="H5209" s="6" t="s">
        <v>53</v>
      </c>
      <c r="I5209" s="8" t="s">
        <v>6796</v>
      </c>
      <c r="J5209" s="9">
        <v>1</v>
      </c>
      <c r="K5209" s="9">
        <v>235</v>
      </c>
      <c r="L5209" s="9">
        <v>2020</v>
      </c>
      <c r="M5209" s="8" t="s">
        <v>30655</v>
      </c>
      <c r="N5209" s="8" t="s">
        <v>79</v>
      </c>
      <c r="O5209" s="8" t="s">
        <v>396</v>
      </c>
      <c r="P5209" s="6" t="s">
        <v>167</v>
      </c>
      <c r="Q5209" s="8" t="s">
        <v>279</v>
      </c>
      <c r="R5209" s="10" t="s">
        <v>30656</v>
      </c>
      <c r="S5209" s="11" t="s">
        <v>30657</v>
      </c>
      <c r="T5209" s="6"/>
      <c r="U5209" s="24" t="str">
        <f>HYPERLINK("https://media.infra-m.ru/1060/1060852/cover/1060852.jpg", "Обложка")</f>
        <v>Обложка</v>
      </c>
      <c r="V5209" s="12"/>
      <c r="W5209" s="8" t="s">
        <v>784</v>
      </c>
      <c r="X5209" s="6"/>
      <c r="Y5209" s="6"/>
      <c r="Z5209" s="6"/>
      <c r="AA5209" s="6" t="s">
        <v>793</v>
      </c>
      <c r="AB5209" s="8"/>
    </row>
    <row r="5210" spans="1:28" s="4" customFormat="1" ht="42" customHeight="1">
      <c r="A5210" s="5">
        <v>0</v>
      </c>
      <c r="B5210" s="6" t="s">
        <v>30658</v>
      </c>
      <c r="C5210" s="7">
        <v>780</v>
      </c>
      <c r="D5210" s="8" t="s">
        <v>30659</v>
      </c>
      <c r="E5210" s="8" t="s">
        <v>30660</v>
      </c>
      <c r="F5210" s="8" t="s">
        <v>30661</v>
      </c>
      <c r="G5210" s="6" t="s">
        <v>52</v>
      </c>
      <c r="H5210" s="6" t="s">
        <v>53</v>
      </c>
      <c r="I5210" s="8" t="s">
        <v>712</v>
      </c>
      <c r="J5210" s="9">
        <v>1</v>
      </c>
      <c r="K5210" s="9">
        <v>134</v>
      </c>
      <c r="L5210" s="9">
        <v>2025</v>
      </c>
      <c r="M5210" s="8" t="s">
        <v>30662</v>
      </c>
      <c r="N5210" s="8" t="s">
        <v>79</v>
      </c>
      <c r="O5210" s="8" t="s">
        <v>396</v>
      </c>
      <c r="P5210" s="6" t="s">
        <v>43</v>
      </c>
      <c r="Q5210" s="8" t="s">
        <v>58</v>
      </c>
      <c r="R5210" s="10" t="s">
        <v>25627</v>
      </c>
      <c r="S5210" s="11"/>
      <c r="T5210" s="6"/>
      <c r="U5210" s="24" t="str">
        <f>HYPERLINK("https://media.infra-m.ru/2169/2169746/cover/2169746.jpg", "Обложка")</f>
        <v>Обложка</v>
      </c>
      <c r="V5210" s="24" t="str">
        <f>HYPERLINK("https://znanium.ru/catalog/product/2169746", "Ознакомиться")</f>
        <v>Ознакомиться</v>
      </c>
      <c r="W5210" s="8" t="s">
        <v>784</v>
      </c>
      <c r="X5210" s="6" t="s">
        <v>132</v>
      </c>
      <c r="Y5210" s="6"/>
      <c r="Z5210" s="6"/>
      <c r="AA5210" s="6" t="s">
        <v>61</v>
      </c>
      <c r="AB5210" s="8"/>
    </row>
    <row r="5211" spans="1:28" s="4" customFormat="1" ht="51.95" customHeight="1">
      <c r="A5211" s="5">
        <v>0</v>
      </c>
      <c r="B5211" s="6" t="s">
        <v>30663</v>
      </c>
      <c r="C5211" s="13">
        <v>1180</v>
      </c>
      <c r="D5211" s="8" t="s">
        <v>30664</v>
      </c>
      <c r="E5211" s="8" t="s">
        <v>30665</v>
      </c>
      <c r="F5211" s="8" t="s">
        <v>30666</v>
      </c>
      <c r="G5211" s="6" t="s">
        <v>38</v>
      </c>
      <c r="H5211" s="6" t="s">
        <v>952</v>
      </c>
      <c r="I5211" s="8"/>
      <c r="J5211" s="9">
        <v>1</v>
      </c>
      <c r="K5211" s="9">
        <v>256</v>
      </c>
      <c r="L5211" s="9">
        <v>2024</v>
      </c>
      <c r="M5211" s="8" t="s">
        <v>30667</v>
      </c>
      <c r="N5211" s="8" t="s">
        <v>79</v>
      </c>
      <c r="O5211" s="8" t="s">
        <v>396</v>
      </c>
      <c r="P5211" s="6" t="s">
        <v>43</v>
      </c>
      <c r="Q5211" s="8" t="s">
        <v>44</v>
      </c>
      <c r="R5211" s="10" t="s">
        <v>25627</v>
      </c>
      <c r="S5211" s="11" t="s">
        <v>30668</v>
      </c>
      <c r="T5211" s="6"/>
      <c r="U5211" s="24" t="str">
        <f>HYPERLINK("https://media.infra-m.ru/2124/2124341/cover/2124341.jpg", "Обложка")</f>
        <v>Обложка</v>
      </c>
      <c r="V5211" s="24" t="str">
        <f>HYPERLINK("https://znanium.ru/catalog/product/2124341", "Ознакомиться")</f>
        <v>Ознакомиться</v>
      </c>
      <c r="W5211" s="8" t="s">
        <v>12607</v>
      </c>
      <c r="X5211" s="6"/>
      <c r="Y5211" s="6"/>
      <c r="Z5211" s="6"/>
      <c r="AA5211" s="6" t="s">
        <v>122</v>
      </c>
      <c r="AB5211" s="8"/>
    </row>
    <row r="5212" spans="1:28" s="4" customFormat="1" ht="51.95" customHeight="1">
      <c r="A5212" s="5">
        <v>0</v>
      </c>
      <c r="B5212" s="6" t="s">
        <v>30669</v>
      </c>
      <c r="C5212" s="13">
        <v>2060</v>
      </c>
      <c r="D5212" s="8" t="s">
        <v>30670</v>
      </c>
      <c r="E5212" s="8" t="s">
        <v>30671</v>
      </c>
      <c r="F5212" s="8" t="s">
        <v>30672</v>
      </c>
      <c r="G5212" s="6" t="s">
        <v>89</v>
      </c>
      <c r="H5212" s="6" t="s">
        <v>39</v>
      </c>
      <c r="I5212" s="8" t="s">
        <v>100</v>
      </c>
      <c r="J5212" s="9">
        <v>1</v>
      </c>
      <c r="K5212" s="9">
        <v>395</v>
      </c>
      <c r="L5212" s="9">
        <v>2025</v>
      </c>
      <c r="M5212" s="8" t="s">
        <v>30673</v>
      </c>
      <c r="N5212" s="8" t="s">
        <v>79</v>
      </c>
      <c r="O5212" s="8" t="s">
        <v>396</v>
      </c>
      <c r="P5212" s="6" t="s">
        <v>43</v>
      </c>
      <c r="Q5212" s="8" t="s">
        <v>102</v>
      </c>
      <c r="R5212" s="10" t="s">
        <v>30674</v>
      </c>
      <c r="S5212" s="11" t="s">
        <v>3081</v>
      </c>
      <c r="T5212" s="6"/>
      <c r="U5212" s="24" t="str">
        <f>HYPERLINK("https://media.infra-m.ru/2186/2186558/cover/2186558.jpg", "Обложка")</f>
        <v>Обложка</v>
      </c>
      <c r="V5212" s="24" t="str">
        <f>HYPERLINK("https://znanium.ru/catalog/product/2186558", "Ознакомиться")</f>
        <v>Ознакомиться</v>
      </c>
      <c r="W5212" s="8" t="s">
        <v>71</v>
      </c>
      <c r="X5212" s="6"/>
      <c r="Y5212" s="6"/>
      <c r="Z5212" s="6"/>
      <c r="AA5212" s="6" t="s">
        <v>479</v>
      </c>
      <c r="AB5212" s="8"/>
    </row>
    <row r="5213" spans="1:28" s="4" customFormat="1" ht="51.95" customHeight="1">
      <c r="A5213" s="5">
        <v>0</v>
      </c>
      <c r="B5213" s="6" t="s">
        <v>30675</v>
      </c>
      <c r="C5213" s="13">
        <v>1420</v>
      </c>
      <c r="D5213" s="8" t="s">
        <v>30676</v>
      </c>
      <c r="E5213" s="8" t="s">
        <v>30677</v>
      </c>
      <c r="F5213" s="8" t="s">
        <v>18527</v>
      </c>
      <c r="G5213" s="6" t="s">
        <v>52</v>
      </c>
      <c r="H5213" s="6" t="s">
        <v>53</v>
      </c>
      <c r="I5213" s="8" t="s">
        <v>100</v>
      </c>
      <c r="J5213" s="9">
        <v>1</v>
      </c>
      <c r="K5213" s="9">
        <v>271</v>
      </c>
      <c r="L5213" s="9">
        <v>2025</v>
      </c>
      <c r="M5213" s="8" t="s">
        <v>30678</v>
      </c>
      <c r="N5213" s="8" t="s">
        <v>79</v>
      </c>
      <c r="O5213" s="8" t="s">
        <v>396</v>
      </c>
      <c r="P5213" s="6" t="s">
        <v>167</v>
      </c>
      <c r="Q5213" s="8" t="s">
        <v>102</v>
      </c>
      <c r="R5213" s="10" t="s">
        <v>30679</v>
      </c>
      <c r="S5213" s="11" t="s">
        <v>30680</v>
      </c>
      <c r="T5213" s="6"/>
      <c r="U5213" s="24" t="str">
        <f>HYPERLINK("https://media.infra-m.ru/1934/1934003/cover/1934003.jpg", "Обложка")</f>
        <v>Обложка</v>
      </c>
      <c r="V5213" s="24" t="str">
        <f>HYPERLINK("https://znanium.ru/catalog/product/1934003", "Ознакомиться")</f>
        <v>Ознакомиться</v>
      </c>
      <c r="W5213" s="8" t="s">
        <v>1245</v>
      </c>
      <c r="X5213" s="6" t="s">
        <v>548</v>
      </c>
      <c r="Y5213" s="6"/>
      <c r="Z5213" s="6"/>
      <c r="AA5213" s="6" t="s">
        <v>61</v>
      </c>
      <c r="AB5213" s="8"/>
    </row>
    <row r="5214" spans="1:28" s="4" customFormat="1" ht="42" customHeight="1">
      <c r="A5214" s="5">
        <v>0</v>
      </c>
      <c r="B5214" s="6" t="s">
        <v>30681</v>
      </c>
      <c r="C5214" s="13">
        <v>1880</v>
      </c>
      <c r="D5214" s="8" t="s">
        <v>30682</v>
      </c>
      <c r="E5214" s="8" t="s">
        <v>30683</v>
      </c>
      <c r="F5214" s="8" t="s">
        <v>30684</v>
      </c>
      <c r="G5214" s="6" t="s">
        <v>52</v>
      </c>
      <c r="H5214" s="6" t="s">
        <v>53</v>
      </c>
      <c r="I5214" s="8" t="s">
        <v>116</v>
      </c>
      <c r="J5214" s="9">
        <v>1</v>
      </c>
      <c r="K5214" s="9">
        <v>376</v>
      </c>
      <c r="L5214" s="9">
        <v>2025</v>
      </c>
      <c r="M5214" s="8" t="s">
        <v>30685</v>
      </c>
      <c r="N5214" s="8" t="s">
        <v>79</v>
      </c>
      <c r="O5214" s="8" t="s">
        <v>396</v>
      </c>
      <c r="P5214" s="6" t="s">
        <v>43</v>
      </c>
      <c r="Q5214" s="8" t="s">
        <v>44</v>
      </c>
      <c r="R5214" s="10" t="s">
        <v>25627</v>
      </c>
      <c r="S5214" s="11"/>
      <c r="T5214" s="6"/>
      <c r="U5214" s="24" t="str">
        <f>HYPERLINK("https://media.infra-m.ru/2143/2143079/cover/2143079.jpg", "Обложка")</f>
        <v>Обложка</v>
      </c>
      <c r="V5214" s="24" t="str">
        <f>HYPERLINK("https://znanium.ru/catalog/product/2143079", "Ознакомиться")</f>
        <v>Ознакомиться</v>
      </c>
      <c r="W5214" s="8" t="s">
        <v>189</v>
      </c>
      <c r="X5214" s="6" t="s">
        <v>785</v>
      </c>
      <c r="Y5214" s="6"/>
      <c r="Z5214" s="6"/>
      <c r="AA5214" s="6" t="s">
        <v>15475</v>
      </c>
      <c r="AB5214" s="8"/>
    </row>
    <row r="5215" spans="1:28" s="4" customFormat="1" ht="51.95" customHeight="1">
      <c r="A5215" s="5">
        <v>0</v>
      </c>
      <c r="B5215" s="6" t="s">
        <v>30686</v>
      </c>
      <c r="C5215" s="13">
        <v>1200</v>
      </c>
      <c r="D5215" s="8" t="s">
        <v>30687</v>
      </c>
      <c r="E5215" s="8" t="s">
        <v>30688</v>
      </c>
      <c r="F5215" s="8" t="s">
        <v>30689</v>
      </c>
      <c r="G5215" s="6" t="s">
        <v>89</v>
      </c>
      <c r="H5215" s="6" t="s">
        <v>39</v>
      </c>
      <c r="I5215" s="8" t="s">
        <v>116</v>
      </c>
      <c r="J5215" s="9">
        <v>1</v>
      </c>
      <c r="K5215" s="9">
        <v>376</v>
      </c>
      <c r="L5215" s="9">
        <v>2019</v>
      </c>
      <c r="M5215" s="8" t="s">
        <v>30690</v>
      </c>
      <c r="N5215" s="8" t="s">
        <v>79</v>
      </c>
      <c r="O5215" s="8" t="s">
        <v>396</v>
      </c>
      <c r="P5215" s="6" t="s">
        <v>43</v>
      </c>
      <c r="Q5215" s="8" t="s">
        <v>44</v>
      </c>
      <c r="R5215" s="10" t="s">
        <v>25627</v>
      </c>
      <c r="S5215" s="11" t="s">
        <v>30691</v>
      </c>
      <c r="T5215" s="6"/>
      <c r="U5215" s="24" t="str">
        <f>HYPERLINK("https://media.infra-m.ru/0983/0983545/cover/983545.jpg", "Обложка")</f>
        <v>Обложка</v>
      </c>
      <c r="V5215" s="24" t="str">
        <f>HYPERLINK("https://znanium.ru/catalog/product/2143079", "Ознакомиться")</f>
        <v>Ознакомиться</v>
      </c>
      <c r="W5215" s="8" t="s">
        <v>189</v>
      </c>
      <c r="X5215" s="6"/>
      <c r="Y5215" s="6"/>
      <c r="Z5215" s="6"/>
      <c r="AA5215" s="6" t="s">
        <v>160</v>
      </c>
      <c r="AB5215" s="8"/>
    </row>
    <row r="5216" spans="1:28" s="4" customFormat="1" ht="51.95" customHeight="1">
      <c r="A5216" s="5">
        <v>0</v>
      </c>
      <c r="B5216" s="6" t="s">
        <v>30692</v>
      </c>
      <c r="C5216" s="13">
        <v>1730</v>
      </c>
      <c r="D5216" s="8" t="s">
        <v>30693</v>
      </c>
      <c r="E5216" s="8" t="s">
        <v>30694</v>
      </c>
      <c r="F5216" s="8" t="s">
        <v>30695</v>
      </c>
      <c r="G5216" s="6" t="s">
        <v>89</v>
      </c>
      <c r="H5216" s="6" t="s">
        <v>53</v>
      </c>
      <c r="I5216" s="8" t="s">
        <v>90</v>
      </c>
      <c r="J5216" s="9">
        <v>1</v>
      </c>
      <c r="K5216" s="9">
        <v>374</v>
      </c>
      <c r="L5216" s="9">
        <v>2024</v>
      </c>
      <c r="M5216" s="8" t="s">
        <v>30696</v>
      </c>
      <c r="N5216" s="8" t="s">
        <v>79</v>
      </c>
      <c r="O5216" s="8" t="s">
        <v>396</v>
      </c>
      <c r="P5216" s="6" t="s">
        <v>43</v>
      </c>
      <c r="Q5216" s="8" t="s">
        <v>44</v>
      </c>
      <c r="R5216" s="10" t="s">
        <v>25627</v>
      </c>
      <c r="S5216" s="11" t="s">
        <v>30697</v>
      </c>
      <c r="T5216" s="6"/>
      <c r="U5216" s="24" t="str">
        <f>HYPERLINK("https://media.infra-m.ru/2122/2122964/cover/2122964.jpg", "Обложка")</f>
        <v>Обложка</v>
      </c>
      <c r="V5216" s="24" t="str">
        <f>HYPERLINK("https://znanium.ru/catalog/product/2143079", "Ознакомиться")</f>
        <v>Ознакомиться</v>
      </c>
      <c r="W5216" s="8" t="s">
        <v>189</v>
      </c>
      <c r="X5216" s="6"/>
      <c r="Y5216" s="6"/>
      <c r="Z5216" s="6"/>
      <c r="AA5216" s="6" t="s">
        <v>874</v>
      </c>
      <c r="AB5216" s="8"/>
    </row>
    <row r="5217" spans="1:28" s="4" customFormat="1" ht="51.95" customHeight="1">
      <c r="A5217" s="5">
        <v>0</v>
      </c>
      <c r="B5217" s="6" t="s">
        <v>30698</v>
      </c>
      <c r="C5217" s="7">
        <v>920</v>
      </c>
      <c r="D5217" s="8" t="s">
        <v>30699</v>
      </c>
      <c r="E5217" s="8" t="s">
        <v>30700</v>
      </c>
      <c r="F5217" s="8" t="s">
        <v>30701</v>
      </c>
      <c r="G5217" s="6" t="s">
        <v>89</v>
      </c>
      <c r="H5217" s="6" t="s">
        <v>53</v>
      </c>
      <c r="I5217" s="8" t="s">
        <v>90</v>
      </c>
      <c r="J5217" s="9">
        <v>1</v>
      </c>
      <c r="K5217" s="9">
        <v>241</v>
      </c>
      <c r="L5217" s="9">
        <v>2022</v>
      </c>
      <c r="M5217" s="8" t="s">
        <v>30702</v>
      </c>
      <c r="N5217" s="8" t="s">
        <v>79</v>
      </c>
      <c r="O5217" s="8" t="s">
        <v>396</v>
      </c>
      <c r="P5217" s="6" t="s">
        <v>167</v>
      </c>
      <c r="Q5217" s="8" t="s">
        <v>44</v>
      </c>
      <c r="R5217" s="10" t="s">
        <v>30703</v>
      </c>
      <c r="S5217" s="11" t="s">
        <v>30704</v>
      </c>
      <c r="T5217" s="6"/>
      <c r="U5217" s="24" t="str">
        <f>HYPERLINK("https://media.infra-m.ru/1861/1861798/cover/1861798.jpg", "Обложка")</f>
        <v>Обложка</v>
      </c>
      <c r="V5217" s="24" t="str">
        <f>HYPERLINK("https://znanium.ru/catalog/product/1861798", "Ознакомиться")</f>
        <v>Ознакомиться</v>
      </c>
      <c r="W5217" s="8" t="s">
        <v>30705</v>
      </c>
      <c r="X5217" s="6"/>
      <c r="Y5217" s="6"/>
      <c r="Z5217" s="6"/>
      <c r="AA5217" s="6" t="s">
        <v>1259</v>
      </c>
      <c r="AB5217" s="8"/>
    </row>
    <row r="5218" spans="1:28" s="4" customFormat="1" ht="51.95" customHeight="1">
      <c r="A5218" s="5">
        <v>0</v>
      </c>
      <c r="B5218" s="6" t="s">
        <v>30706</v>
      </c>
      <c r="C5218" s="7">
        <v>800</v>
      </c>
      <c r="D5218" s="8" t="s">
        <v>30707</v>
      </c>
      <c r="E5218" s="8" t="s">
        <v>30708</v>
      </c>
      <c r="F5218" s="8" t="s">
        <v>30701</v>
      </c>
      <c r="G5218" s="6" t="s">
        <v>38</v>
      </c>
      <c r="H5218" s="6" t="s">
        <v>39</v>
      </c>
      <c r="I5218" s="8" t="s">
        <v>116</v>
      </c>
      <c r="J5218" s="9">
        <v>1</v>
      </c>
      <c r="K5218" s="9">
        <v>240</v>
      </c>
      <c r="L5218" s="9">
        <v>2019</v>
      </c>
      <c r="M5218" s="8" t="s">
        <v>30709</v>
      </c>
      <c r="N5218" s="8" t="s">
        <v>79</v>
      </c>
      <c r="O5218" s="8" t="s">
        <v>396</v>
      </c>
      <c r="P5218" s="6" t="s">
        <v>167</v>
      </c>
      <c r="Q5218" s="8" t="s">
        <v>44</v>
      </c>
      <c r="R5218" s="10" t="s">
        <v>30703</v>
      </c>
      <c r="S5218" s="11" t="s">
        <v>30710</v>
      </c>
      <c r="T5218" s="6"/>
      <c r="U5218" s="24" t="str">
        <f>HYPERLINK("https://media.infra-m.ru/1016/1016432/cover/1016432.jpg", "Обложка")</f>
        <v>Обложка</v>
      </c>
      <c r="V5218" s="24" t="str">
        <f>HYPERLINK("https://znanium.ru/catalog/product/1861798", "Ознакомиться")</f>
        <v>Ознакомиться</v>
      </c>
      <c r="W5218" s="8" t="s">
        <v>30705</v>
      </c>
      <c r="X5218" s="6"/>
      <c r="Y5218" s="6"/>
      <c r="Z5218" s="6"/>
      <c r="AA5218" s="6" t="s">
        <v>418</v>
      </c>
      <c r="AB5218" s="8"/>
    </row>
    <row r="5219" spans="1:28" s="4" customFormat="1" ht="42" customHeight="1">
      <c r="A5219" s="5">
        <v>0</v>
      </c>
      <c r="B5219" s="6" t="s">
        <v>30711</v>
      </c>
      <c r="C5219" s="13">
        <v>1360</v>
      </c>
      <c r="D5219" s="8" t="s">
        <v>30712</v>
      </c>
      <c r="E5219" s="8" t="s">
        <v>30708</v>
      </c>
      <c r="F5219" s="8" t="s">
        <v>30713</v>
      </c>
      <c r="G5219" s="6" t="s">
        <v>52</v>
      </c>
      <c r="H5219" s="6" t="s">
        <v>53</v>
      </c>
      <c r="I5219" s="8" t="s">
        <v>782</v>
      </c>
      <c r="J5219" s="9">
        <v>1</v>
      </c>
      <c r="K5219" s="9">
        <v>272</v>
      </c>
      <c r="L5219" s="9">
        <v>2024</v>
      </c>
      <c r="M5219" s="8" t="s">
        <v>30714</v>
      </c>
      <c r="N5219" s="8" t="s">
        <v>79</v>
      </c>
      <c r="O5219" s="8" t="s">
        <v>396</v>
      </c>
      <c r="P5219" s="6" t="s">
        <v>43</v>
      </c>
      <c r="Q5219" s="8" t="s">
        <v>58</v>
      </c>
      <c r="R5219" s="10" t="s">
        <v>26176</v>
      </c>
      <c r="S5219" s="11"/>
      <c r="T5219" s="6"/>
      <c r="U5219" s="24" t="str">
        <f>HYPERLINK("https://media.infra-m.ru/2133/2133997/cover/2133997.jpg", "Обложка")</f>
        <v>Обложка</v>
      </c>
      <c r="V5219" s="12"/>
      <c r="W5219" s="8" t="s">
        <v>784</v>
      </c>
      <c r="X5219" s="6" t="s">
        <v>389</v>
      </c>
      <c r="Y5219" s="6"/>
      <c r="Z5219" s="6"/>
      <c r="AA5219" s="6" t="s">
        <v>133</v>
      </c>
      <c r="AB5219" s="8"/>
    </row>
    <row r="5220" spans="1:28" s="4" customFormat="1" ht="51.95" customHeight="1">
      <c r="A5220" s="5">
        <v>0</v>
      </c>
      <c r="B5220" s="6" t="s">
        <v>30715</v>
      </c>
      <c r="C5220" s="13">
        <v>1210</v>
      </c>
      <c r="D5220" s="8" t="s">
        <v>30716</v>
      </c>
      <c r="E5220" s="8" t="s">
        <v>30717</v>
      </c>
      <c r="F5220" s="8" t="s">
        <v>30718</v>
      </c>
      <c r="G5220" s="6" t="s">
        <v>89</v>
      </c>
      <c r="H5220" s="6" t="s">
        <v>53</v>
      </c>
      <c r="I5220" s="8" t="s">
        <v>116</v>
      </c>
      <c r="J5220" s="9">
        <v>1</v>
      </c>
      <c r="K5220" s="9">
        <v>242</v>
      </c>
      <c r="L5220" s="9">
        <v>2025</v>
      </c>
      <c r="M5220" s="8" t="s">
        <v>30719</v>
      </c>
      <c r="N5220" s="8" t="s">
        <v>79</v>
      </c>
      <c r="O5220" s="8" t="s">
        <v>396</v>
      </c>
      <c r="P5220" s="6" t="s">
        <v>175</v>
      </c>
      <c r="Q5220" s="8" t="s">
        <v>44</v>
      </c>
      <c r="R5220" s="10" t="s">
        <v>9042</v>
      </c>
      <c r="S5220" s="11" t="s">
        <v>30720</v>
      </c>
      <c r="T5220" s="6"/>
      <c r="U5220" s="24" t="str">
        <f>HYPERLINK("https://media.infra-m.ru/2186/2186413/cover/2186413.jpg", "Обложка")</f>
        <v>Обложка</v>
      </c>
      <c r="V5220" s="24" t="str">
        <f>HYPERLINK("https://znanium.ru/catalog/product/2130642", "Ознакомиться")</f>
        <v>Ознакомиться</v>
      </c>
      <c r="W5220" s="8" t="s">
        <v>9044</v>
      </c>
      <c r="X5220" s="6"/>
      <c r="Y5220" s="6"/>
      <c r="Z5220" s="6"/>
      <c r="AA5220" s="6" t="s">
        <v>1259</v>
      </c>
      <c r="AB5220" s="8"/>
    </row>
    <row r="5221" spans="1:28" s="4" customFormat="1" ht="51.95" customHeight="1">
      <c r="A5221" s="5">
        <v>0</v>
      </c>
      <c r="B5221" s="6" t="s">
        <v>30721</v>
      </c>
      <c r="C5221" s="7">
        <v>900</v>
      </c>
      <c r="D5221" s="8" t="s">
        <v>30722</v>
      </c>
      <c r="E5221" s="8" t="s">
        <v>30723</v>
      </c>
      <c r="F5221" s="8" t="s">
        <v>30724</v>
      </c>
      <c r="G5221" s="6" t="s">
        <v>89</v>
      </c>
      <c r="H5221" s="6" t="s">
        <v>53</v>
      </c>
      <c r="I5221" s="8" t="s">
        <v>90</v>
      </c>
      <c r="J5221" s="9">
        <v>1</v>
      </c>
      <c r="K5221" s="9">
        <v>244</v>
      </c>
      <c r="L5221" s="9">
        <v>2022</v>
      </c>
      <c r="M5221" s="8" t="s">
        <v>30725</v>
      </c>
      <c r="N5221" s="8" t="s">
        <v>79</v>
      </c>
      <c r="O5221" s="8" t="s">
        <v>148</v>
      </c>
      <c r="P5221" s="6" t="s">
        <v>43</v>
      </c>
      <c r="Q5221" s="8" t="s">
        <v>44</v>
      </c>
      <c r="R5221" s="10" t="s">
        <v>23285</v>
      </c>
      <c r="S5221" s="11" t="s">
        <v>30726</v>
      </c>
      <c r="T5221" s="6"/>
      <c r="U5221" s="24" t="str">
        <f>HYPERLINK("https://media.infra-m.ru/1769/1769674/cover/1769674.jpg", "Обложка")</f>
        <v>Обложка</v>
      </c>
      <c r="V5221" s="24" t="str">
        <f>HYPERLINK("https://znanium.ru/catalog/product/1769674", "Ознакомиться")</f>
        <v>Ознакомиться</v>
      </c>
      <c r="W5221" s="8" t="s">
        <v>9885</v>
      </c>
      <c r="X5221" s="6"/>
      <c r="Y5221" s="6"/>
      <c r="Z5221" s="6"/>
      <c r="AA5221" s="6" t="s">
        <v>258</v>
      </c>
      <c r="AB5221" s="8"/>
    </row>
    <row r="5222" spans="1:28" s="4" customFormat="1" ht="51.95" customHeight="1">
      <c r="A5222" s="5">
        <v>0</v>
      </c>
      <c r="B5222" s="6" t="s">
        <v>30727</v>
      </c>
      <c r="C5222" s="13">
        <v>1894</v>
      </c>
      <c r="D5222" s="8" t="s">
        <v>30728</v>
      </c>
      <c r="E5222" s="8" t="s">
        <v>30729</v>
      </c>
      <c r="F5222" s="8" t="s">
        <v>30730</v>
      </c>
      <c r="G5222" s="6" t="s">
        <v>52</v>
      </c>
      <c r="H5222" s="6" t="s">
        <v>53</v>
      </c>
      <c r="I5222" s="8" t="s">
        <v>276</v>
      </c>
      <c r="J5222" s="9">
        <v>1</v>
      </c>
      <c r="K5222" s="9">
        <v>376</v>
      </c>
      <c r="L5222" s="9">
        <v>2025</v>
      </c>
      <c r="M5222" s="8" t="s">
        <v>30731</v>
      </c>
      <c r="N5222" s="8" t="s">
        <v>79</v>
      </c>
      <c r="O5222" s="8" t="s">
        <v>570</v>
      </c>
      <c r="P5222" s="6" t="s">
        <v>167</v>
      </c>
      <c r="Q5222" s="8" t="s">
        <v>279</v>
      </c>
      <c r="R5222" s="10" t="s">
        <v>30732</v>
      </c>
      <c r="S5222" s="11"/>
      <c r="T5222" s="6" t="s">
        <v>299</v>
      </c>
      <c r="U5222" s="24" t="str">
        <f>HYPERLINK("https://media.infra-m.ru/2163/2163986/cover/2163986.jpg", "Обложка")</f>
        <v>Обложка</v>
      </c>
      <c r="V5222" s="24" t="str">
        <f>HYPERLINK("https://znanium.ru/catalog/product/1192228", "Ознакомиться")</f>
        <v>Ознакомиться</v>
      </c>
      <c r="W5222" s="8" t="s">
        <v>2938</v>
      </c>
      <c r="X5222" s="6"/>
      <c r="Y5222" s="6"/>
      <c r="Z5222" s="6"/>
      <c r="AA5222" s="6" t="s">
        <v>111</v>
      </c>
      <c r="AB5222" s="8"/>
    </row>
    <row r="5223" spans="1:28" s="4" customFormat="1" ht="51.95" customHeight="1">
      <c r="A5223" s="5">
        <v>0</v>
      </c>
      <c r="B5223" s="6" t="s">
        <v>30733</v>
      </c>
      <c r="C5223" s="13">
        <v>2300</v>
      </c>
      <c r="D5223" s="8" t="s">
        <v>30734</v>
      </c>
      <c r="E5223" s="8" t="s">
        <v>30735</v>
      </c>
      <c r="F5223" s="8" t="s">
        <v>30736</v>
      </c>
      <c r="G5223" s="6" t="s">
        <v>52</v>
      </c>
      <c r="H5223" s="6" t="s">
        <v>53</v>
      </c>
      <c r="I5223" s="8" t="s">
        <v>100</v>
      </c>
      <c r="J5223" s="9">
        <v>1</v>
      </c>
      <c r="K5223" s="9">
        <v>442</v>
      </c>
      <c r="L5223" s="9">
        <v>2025</v>
      </c>
      <c r="M5223" s="8" t="s">
        <v>30737</v>
      </c>
      <c r="N5223" s="8" t="s">
        <v>79</v>
      </c>
      <c r="O5223" s="8" t="s">
        <v>424</v>
      </c>
      <c r="P5223" s="6" t="s">
        <v>167</v>
      </c>
      <c r="Q5223" s="8" t="s">
        <v>102</v>
      </c>
      <c r="R5223" s="10" t="s">
        <v>30738</v>
      </c>
      <c r="S5223" s="11" t="s">
        <v>30739</v>
      </c>
      <c r="T5223" s="6"/>
      <c r="U5223" s="24" t="str">
        <f>HYPERLINK("https://media.infra-m.ru/2130/2130247/cover/2130247.jpg", "Обложка")</f>
        <v>Обложка</v>
      </c>
      <c r="V5223" s="24" t="str">
        <f>HYPERLINK("https://znanium.ru/catalog/product/2130247", "Ознакомиться")</f>
        <v>Ознакомиться</v>
      </c>
      <c r="W5223" s="8" t="s">
        <v>478</v>
      </c>
      <c r="X5223" s="6"/>
      <c r="Y5223" s="6"/>
      <c r="Z5223" s="6"/>
      <c r="AA5223" s="6" t="s">
        <v>3065</v>
      </c>
      <c r="AB5223" s="8"/>
    </row>
    <row r="5224" spans="1:28" s="4" customFormat="1" ht="51.95" customHeight="1">
      <c r="A5224" s="5">
        <v>0</v>
      </c>
      <c r="B5224" s="6" t="s">
        <v>30740</v>
      </c>
      <c r="C5224" s="13">
        <v>1494</v>
      </c>
      <c r="D5224" s="8" t="s">
        <v>30741</v>
      </c>
      <c r="E5224" s="8" t="s">
        <v>30742</v>
      </c>
      <c r="F5224" s="8" t="s">
        <v>30743</v>
      </c>
      <c r="G5224" s="6" t="s">
        <v>52</v>
      </c>
      <c r="H5224" s="6" t="s">
        <v>39</v>
      </c>
      <c r="I5224" s="8" t="s">
        <v>185</v>
      </c>
      <c r="J5224" s="9">
        <v>1</v>
      </c>
      <c r="K5224" s="9">
        <v>288</v>
      </c>
      <c r="L5224" s="9">
        <v>2025</v>
      </c>
      <c r="M5224" s="8" t="s">
        <v>30744</v>
      </c>
      <c r="N5224" s="8" t="s">
        <v>79</v>
      </c>
      <c r="O5224" s="8" t="s">
        <v>396</v>
      </c>
      <c r="P5224" s="6" t="s">
        <v>43</v>
      </c>
      <c r="Q5224" s="8" t="s">
        <v>102</v>
      </c>
      <c r="R5224" s="10" t="s">
        <v>30745</v>
      </c>
      <c r="S5224" s="11" t="s">
        <v>6083</v>
      </c>
      <c r="T5224" s="6"/>
      <c r="U5224" s="24" t="str">
        <f>HYPERLINK("https://media.infra-m.ru/2193/2193090/cover/2193090.jpg", "Обложка")</f>
        <v>Обложка</v>
      </c>
      <c r="V5224" s="24" t="str">
        <f>HYPERLINK("https://znanium.ru/catalog/product/1088223", "Ознакомиться")</f>
        <v>Ознакомиться</v>
      </c>
      <c r="W5224" s="8" t="s">
        <v>450</v>
      </c>
      <c r="X5224" s="6"/>
      <c r="Y5224" s="6"/>
      <c r="Z5224" s="6"/>
      <c r="AA5224" s="6" t="s">
        <v>2217</v>
      </c>
      <c r="AB5224" s="8"/>
    </row>
    <row r="5225" spans="1:28" s="4" customFormat="1" ht="51.95" customHeight="1">
      <c r="A5225" s="5">
        <v>0</v>
      </c>
      <c r="B5225" s="6" t="s">
        <v>30746</v>
      </c>
      <c r="C5225" s="13">
        <v>1124</v>
      </c>
      <c r="D5225" s="8" t="s">
        <v>30747</v>
      </c>
      <c r="E5225" s="8" t="s">
        <v>30723</v>
      </c>
      <c r="F5225" s="8" t="s">
        <v>30724</v>
      </c>
      <c r="G5225" s="6" t="s">
        <v>52</v>
      </c>
      <c r="H5225" s="6" t="s">
        <v>53</v>
      </c>
      <c r="I5225" s="8" t="s">
        <v>100</v>
      </c>
      <c r="J5225" s="9">
        <v>1</v>
      </c>
      <c r="K5225" s="9">
        <v>244</v>
      </c>
      <c r="L5225" s="9">
        <v>2023</v>
      </c>
      <c r="M5225" s="8" t="s">
        <v>30748</v>
      </c>
      <c r="N5225" s="8" t="s">
        <v>79</v>
      </c>
      <c r="O5225" s="8" t="s">
        <v>148</v>
      </c>
      <c r="P5225" s="6" t="s">
        <v>43</v>
      </c>
      <c r="Q5225" s="8" t="s">
        <v>102</v>
      </c>
      <c r="R5225" s="10" t="s">
        <v>30749</v>
      </c>
      <c r="S5225" s="11" t="s">
        <v>30750</v>
      </c>
      <c r="T5225" s="6"/>
      <c r="U5225" s="24" t="str">
        <f>HYPERLINK("https://media.infra-m.ru/1976/1976190/cover/1976190.jpg", "Обложка")</f>
        <v>Обложка</v>
      </c>
      <c r="V5225" s="24" t="str">
        <f>HYPERLINK("https://znanium.ru/catalog/product/1021725", "Ознакомиться")</f>
        <v>Ознакомиться</v>
      </c>
      <c r="W5225" s="8" t="s">
        <v>9885</v>
      </c>
      <c r="X5225" s="6"/>
      <c r="Y5225" s="6"/>
      <c r="Z5225" s="6" t="s">
        <v>104</v>
      </c>
      <c r="AA5225" s="6" t="s">
        <v>258</v>
      </c>
      <c r="AB5225" s="8"/>
    </row>
    <row r="5226" spans="1:28" s="4" customFormat="1" ht="42" customHeight="1">
      <c r="A5226" s="5">
        <v>0</v>
      </c>
      <c r="B5226" s="6" t="s">
        <v>30751</v>
      </c>
      <c r="C5226" s="13">
        <v>2250</v>
      </c>
      <c r="D5226" s="8" t="s">
        <v>30752</v>
      </c>
      <c r="E5226" s="8" t="s">
        <v>30753</v>
      </c>
      <c r="F5226" s="8" t="s">
        <v>9040</v>
      </c>
      <c r="G5226" s="6" t="s">
        <v>52</v>
      </c>
      <c r="H5226" s="6" t="s">
        <v>53</v>
      </c>
      <c r="I5226" s="8" t="s">
        <v>100</v>
      </c>
      <c r="J5226" s="9">
        <v>1</v>
      </c>
      <c r="K5226" s="9">
        <v>475</v>
      </c>
      <c r="L5226" s="9">
        <v>2024</v>
      </c>
      <c r="M5226" s="8" t="s">
        <v>30754</v>
      </c>
      <c r="N5226" s="8" t="s">
        <v>79</v>
      </c>
      <c r="O5226" s="8" t="s">
        <v>396</v>
      </c>
      <c r="P5226" s="6" t="s">
        <v>43</v>
      </c>
      <c r="Q5226" s="8" t="s">
        <v>102</v>
      </c>
      <c r="R5226" s="10" t="s">
        <v>7018</v>
      </c>
      <c r="S5226" s="11"/>
      <c r="T5226" s="6"/>
      <c r="U5226" s="24" t="str">
        <f>HYPERLINK("https://media.infra-m.ru/1031/1031596/cover/1031596.jpg", "Обложка")</f>
        <v>Обложка</v>
      </c>
      <c r="V5226" s="24" t="str">
        <f>HYPERLINK("https://znanium.ru/catalog/product/1031596", "Ознакомиться")</f>
        <v>Ознакомиться</v>
      </c>
      <c r="W5226" s="8" t="s">
        <v>9044</v>
      </c>
      <c r="X5226" s="6"/>
      <c r="Y5226" s="6"/>
      <c r="Z5226" s="6"/>
      <c r="AA5226" s="6" t="s">
        <v>105</v>
      </c>
      <c r="AB5226" s="8"/>
    </row>
    <row r="5227" spans="1:28" s="4" customFormat="1" ht="51.95" customHeight="1">
      <c r="A5227" s="5">
        <v>0</v>
      </c>
      <c r="B5227" s="6" t="s">
        <v>30755</v>
      </c>
      <c r="C5227" s="7">
        <v>650</v>
      </c>
      <c r="D5227" s="8" t="s">
        <v>30756</v>
      </c>
      <c r="E5227" s="8" t="s">
        <v>30757</v>
      </c>
      <c r="F5227" s="8" t="s">
        <v>30758</v>
      </c>
      <c r="G5227" s="6" t="s">
        <v>89</v>
      </c>
      <c r="H5227" s="6" t="s">
        <v>53</v>
      </c>
      <c r="I5227" s="8" t="s">
        <v>6796</v>
      </c>
      <c r="J5227" s="9">
        <v>1</v>
      </c>
      <c r="K5227" s="9">
        <v>180</v>
      </c>
      <c r="L5227" s="9">
        <v>2021</v>
      </c>
      <c r="M5227" s="8" t="s">
        <v>30759</v>
      </c>
      <c r="N5227" s="8" t="s">
        <v>79</v>
      </c>
      <c r="O5227" s="8" t="s">
        <v>396</v>
      </c>
      <c r="P5227" s="6" t="s">
        <v>167</v>
      </c>
      <c r="Q5227" s="8" t="s">
        <v>279</v>
      </c>
      <c r="R5227" s="10" t="s">
        <v>30656</v>
      </c>
      <c r="S5227" s="11" t="s">
        <v>30760</v>
      </c>
      <c r="T5227" s="6"/>
      <c r="U5227" s="24" t="str">
        <f>HYPERLINK("https://media.infra-m.ru/1219/1219352/cover/1219352.jpg", "Обложка")</f>
        <v>Обложка</v>
      </c>
      <c r="V5227" s="12"/>
      <c r="W5227" s="8" t="s">
        <v>784</v>
      </c>
      <c r="X5227" s="6"/>
      <c r="Y5227" s="6"/>
      <c r="Z5227" s="6"/>
      <c r="AA5227" s="6" t="s">
        <v>874</v>
      </c>
      <c r="AB5227" s="8"/>
    </row>
    <row r="5228" spans="1:28" s="4" customFormat="1" ht="42" customHeight="1">
      <c r="A5228" s="5">
        <v>0</v>
      </c>
      <c r="B5228" s="6" t="s">
        <v>30761</v>
      </c>
      <c r="C5228" s="13">
        <v>1250</v>
      </c>
      <c r="D5228" s="8" t="s">
        <v>30762</v>
      </c>
      <c r="E5228" s="8" t="s">
        <v>30763</v>
      </c>
      <c r="F5228" s="8" t="s">
        <v>30764</v>
      </c>
      <c r="G5228" s="6" t="s">
        <v>52</v>
      </c>
      <c r="H5228" s="6" t="s">
        <v>53</v>
      </c>
      <c r="I5228" s="8" t="s">
        <v>276</v>
      </c>
      <c r="J5228" s="9">
        <v>1</v>
      </c>
      <c r="K5228" s="9">
        <v>250</v>
      </c>
      <c r="L5228" s="9">
        <v>2024</v>
      </c>
      <c r="M5228" s="8" t="s">
        <v>30765</v>
      </c>
      <c r="N5228" s="8" t="s">
        <v>41</v>
      </c>
      <c r="O5228" s="8" t="s">
        <v>1204</v>
      </c>
      <c r="P5228" s="6" t="s">
        <v>43</v>
      </c>
      <c r="Q5228" s="8" t="s">
        <v>279</v>
      </c>
      <c r="R5228" s="10" t="s">
        <v>30766</v>
      </c>
      <c r="S5228" s="11"/>
      <c r="T5228" s="6"/>
      <c r="U5228" s="24" t="str">
        <f>HYPERLINK("https://media.infra-m.ru/1002/1002565/cover/1002565.jpg", "Обложка")</f>
        <v>Обложка</v>
      </c>
      <c r="V5228" s="24" t="str">
        <f>HYPERLINK("https://znanium.ru/catalog/product/1002565", "Ознакомиться")</f>
        <v>Ознакомиться</v>
      </c>
      <c r="W5228" s="8" t="s">
        <v>5973</v>
      </c>
      <c r="X5228" s="6"/>
      <c r="Y5228" s="6"/>
      <c r="Z5228" s="6"/>
      <c r="AA5228" s="6" t="s">
        <v>133</v>
      </c>
      <c r="AB5228" s="8"/>
    </row>
    <row r="5229" spans="1:28" s="4" customFormat="1" ht="51.95" customHeight="1">
      <c r="A5229" s="5">
        <v>0</v>
      </c>
      <c r="B5229" s="6" t="s">
        <v>30767</v>
      </c>
      <c r="C5229" s="13">
        <v>1994</v>
      </c>
      <c r="D5229" s="8" t="s">
        <v>30768</v>
      </c>
      <c r="E5229" s="8" t="s">
        <v>30769</v>
      </c>
      <c r="F5229" s="8" t="s">
        <v>30770</v>
      </c>
      <c r="G5229" s="6" t="s">
        <v>52</v>
      </c>
      <c r="H5229" s="6" t="s">
        <v>649</v>
      </c>
      <c r="I5229" s="8" t="s">
        <v>116</v>
      </c>
      <c r="J5229" s="9">
        <v>16</v>
      </c>
      <c r="K5229" s="9">
        <v>400</v>
      </c>
      <c r="L5229" s="9">
        <v>2025</v>
      </c>
      <c r="M5229" s="8" t="s">
        <v>30771</v>
      </c>
      <c r="N5229" s="8" t="s">
        <v>79</v>
      </c>
      <c r="O5229" s="8" t="s">
        <v>80</v>
      </c>
      <c r="P5229" s="6" t="s">
        <v>43</v>
      </c>
      <c r="Q5229" s="8" t="s">
        <v>44</v>
      </c>
      <c r="R5229" s="10" t="s">
        <v>30772</v>
      </c>
      <c r="S5229" s="11" t="s">
        <v>30773</v>
      </c>
      <c r="T5229" s="6"/>
      <c r="U5229" s="24" t="str">
        <f>HYPERLINK("https://media.infra-m.ru/2186/2186217/cover/2186217.jpg", "Обложка")</f>
        <v>Обложка</v>
      </c>
      <c r="V5229" s="24" t="str">
        <f>HYPERLINK("https://znanium.ru/catalog/product/2149181", "Ознакомиться")</f>
        <v>Ознакомиться</v>
      </c>
      <c r="W5229" s="8" t="s">
        <v>2216</v>
      </c>
      <c r="X5229" s="6"/>
      <c r="Y5229" s="6"/>
      <c r="Z5229" s="6"/>
      <c r="AA5229" s="6" t="s">
        <v>654</v>
      </c>
      <c r="AB5229" s="8"/>
    </row>
    <row r="5230" spans="1:28" s="4" customFormat="1" ht="51.95" customHeight="1">
      <c r="A5230" s="5">
        <v>0</v>
      </c>
      <c r="B5230" s="6" t="s">
        <v>30774</v>
      </c>
      <c r="C5230" s="13">
        <v>1884</v>
      </c>
      <c r="D5230" s="8" t="s">
        <v>30775</v>
      </c>
      <c r="E5230" s="8" t="s">
        <v>30769</v>
      </c>
      <c r="F5230" s="8" t="s">
        <v>30770</v>
      </c>
      <c r="G5230" s="6" t="s">
        <v>89</v>
      </c>
      <c r="H5230" s="6" t="s">
        <v>649</v>
      </c>
      <c r="I5230" s="8" t="s">
        <v>100</v>
      </c>
      <c r="J5230" s="9">
        <v>1</v>
      </c>
      <c r="K5230" s="9">
        <v>400</v>
      </c>
      <c r="L5230" s="9">
        <v>2024</v>
      </c>
      <c r="M5230" s="8" t="s">
        <v>30776</v>
      </c>
      <c r="N5230" s="8" t="s">
        <v>79</v>
      </c>
      <c r="O5230" s="8" t="s">
        <v>80</v>
      </c>
      <c r="P5230" s="6" t="s">
        <v>43</v>
      </c>
      <c r="Q5230" s="8" t="s">
        <v>102</v>
      </c>
      <c r="R5230" s="10" t="s">
        <v>2199</v>
      </c>
      <c r="S5230" s="11" t="s">
        <v>23413</v>
      </c>
      <c r="T5230" s="6"/>
      <c r="U5230" s="24" t="str">
        <f>HYPERLINK("https://media.infra-m.ru/2141/2141565/cover/2141565.jpg", "Обложка")</f>
        <v>Обложка</v>
      </c>
      <c r="V5230" s="24" t="str">
        <f>HYPERLINK("https://znanium.ru/catalog/product/2183867", "Ознакомиться")</f>
        <v>Ознакомиться</v>
      </c>
      <c r="W5230" s="8" t="s">
        <v>2216</v>
      </c>
      <c r="X5230" s="6"/>
      <c r="Y5230" s="6" t="s">
        <v>30</v>
      </c>
      <c r="Z5230" s="6" t="s">
        <v>104</v>
      </c>
      <c r="AA5230" s="6" t="s">
        <v>151</v>
      </c>
      <c r="AB5230" s="8"/>
    </row>
    <row r="5231" spans="1:28" s="4" customFormat="1" ht="51.95" customHeight="1">
      <c r="A5231" s="5">
        <v>0</v>
      </c>
      <c r="B5231" s="6" t="s">
        <v>30777</v>
      </c>
      <c r="C5231" s="13">
        <v>1260</v>
      </c>
      <c r="D5231" s="8" t="s">
        <v>30778</v>
      </c>
      <c r="E5231" s="8" t="s">
        <v>30779</v>
      </c>
      <c r="F5231" s="8" t="s">
        <v>30780</v>
      </c>
      <c r="G5231" s="6" t="s">
        <v>89</v>
      </c>
      <c r="H5231" s="6" t="s">
        <v>53</v>
      </c>
      <c r="I5231" s="8" t="s">
        <v>100</v>
      </c>
      <c r="J5231" s="9">
        <v>1</v>
      </c>
      <c r="K5231" s="9">
        <v>250</v>
      </c>
      <c r="L5231" s="9">
        <v>2025</v>
      </c>
      <c r="M5231" s="8" t="s">
        <v>30781</v>
      </c>
      <c r="N5231" s="8" t="s">
        <v>79</v>
      </c>
      <c r="O5231" s="8" t="s">
        <v>424</v>
      </c>
      <c r="P5231" s="6" t="s">
        <v>43</v>
      </c>
      <c r="Q5231" s="8" t="s">
        <v>102</v>
      </c>
      <c r="R5231" s="10" t="s">
        <v>21308</v>
      </c>
      <c r="S5231" s="11" t="s">
        <v>30782</v>
      </c>
      <c r="T5231" s="6"/>
      <c r="U5231" s="24" t="str">
        <f>HYPERLINK("https://media.infra-m.ru/2179/2179470/cover/2179470.jpg", "Обложка")</f>
        <v>Обложка</v>
      </c>
      <c r="V5231" s="24" t="str">
        <f>HYPERLINK("https://znanium.ru/catalog/product/2179470", "Ознакомиться")</f>
        <v>Ознакомиться</v>
      </c>
      <c r="W5231" s="8" t="s">
        <v>30783</v>
      </c>
      <c r="X5231" s="6"/>
      <c r="Y5231" s="6"/>
      <c r="Z5231" s="6"/>
      <c r="AA5231" s="6" t="s">
        <v>8847</v>
      </c>
      <c r="AB5231" s="8"/>
    </row>
    <row r="5232" spans="1:28" s="4" customFormat="1" ht="51.95" customHeight="1">
      <c r="A5232" s="5">
        <v>0</v>
      </c>
      <c r="B5232" s="6" t="s">
        <v>30784</v>
      </c>
      <c r="C5232" s="13">
        <v>1424</v>
      </c>
      <c r="D5232" s="8" t="s">
        <v>30785</v>
      </c>
      <c r="E5232" s="8" t="s">
        <v>30786</v>
      </c>
      <c r="F5232" s="8" t="s">
        <v>30787</v>
      </c>
      <c r="G5232" s="6" t="s">
        <v>89</v>
      </c>
      <c r="H5232" s="6" t="s">
        <v>53</v>
      </c>
      <c r="I5232" s="8" t="s">
        <v>90</v>
      </c>
      <c r="J5232" s="9">
        <v>1</v>
      </c>
      <c r="K5232" s="9">
        <v>314</v>
      </c>
      <c r="L5232" s="9">
        <v>2023</v>
      </c>
      <c r="M5232" s="8" t="s">
        <v>30788</v>
      </c>
      <c r="N5232" s="8" t="s">
        <v>79</v>
      </c>
      <c r="O5232" s="8" t="s">
        <v>570</v>
      </c>
      <c r="P5232" s="6" t="s">
        <v>167</v>
      </c>
      <c r="Q5232" s="8" t="s">
        <v>44</v>
      </c>
      <c r="R5232" s="10" t="s">
        <v>5343</v>
      </c>
      <c r="S5232" s="11" t="s">
        <v>30789</v>
      </c>
      <c r="T5232" s="6"/>
      <c r="U5232" s="24" t="str">
        <f>HYPERLINK("https://media.infra-m.ru/2006/2006051/cover/2006051.jpg", "Обложка")</f>
        <v>Обложка</v>
      </c>
      <c r="V5232" s="24" t="str">
        <f>HYPERLINK("https://znanium.ru/catalog/product/1162647", "Ознакомиться")</f>
        <v>Ознакомиться</v>
      </c>
      <c r="W5232" s="8" t="s">
        <v>637</v>
      </c>
      <c r="X5232" s="6"/>
      <c r="Y5232" s="6"/>
      <c r="Z5232" s="6"/>
      <c r="AA5232" s="6" t="s">
        <v>151</v>
      </c>
      <c r="AB5232" s="8"/>
    </row>
    <row r="5233" spans="1:28" s="4" customFormat="1" ht="51.95" customHeight="1">
      <c r="A5233" s="5">
        <v>0</v>
      </c>
      <c r="B5233" s="6" t="s">
        <v>30790</v>
      </c>
      <c r="C5233" s="13">
        <v>1140</v>
      </c>
      <c r="D5233" s="8" t="s">
        <v>30791</v>
      </c>
      <c r="E5233" s="8" t="s">
        <v>30792</v>
      </c>
      <c r="F5233" s="8" t="s">
        <v>30793</v>
      </c>
      <c r="G5233" s="6" t="s">
        <v>89</v>
      </c>
      <c r="H5233" s="6" t="s">
        <v>53</v>
      </c>
      <c r="I5233" s="8" t="s">
        <v>90</v>
      </c>
      <c r="J5233" s="9">
        <v>1</v>
      </c>
      <c r="K5233" s="9">
        <v>246</v>
      </c>
      <c r="L5233" s="9">
        <v>2023</v>
      </c>
      <c r="M5233" s="8" t="s">
        <v>30794</v>
      </c>
      <c r="N5233" s="8" t="s">
        <v>79</v>
      </c>
      <c r="O5233" s="8" t="s">
        <v>684</v>
      </c>
      <c r="P5233" s="6" t="s">
        <v>43</v>
      </c>
      <c r="Q5233" s="8" t="s">
        <v>44</v>
      </c>
      <c r="R5233" s="10" t="s">
        <v>14954</v>
      </c>
      <c r="S5233" s="11" t="s">
        <v>30795</v>
      </c>
      <c r="T5233" s="6"/>
      <c r="U5233" s="24" t="str">
        <f>HYPERLINK("https://media.infra-m.ru/2125/2125016/cover/2125016.jpg", "Обложка")</f>
        <v>Обложка</v>
      </c>
      <c r="V5233" s="24" t="str">
        <f>HYPERLINK("https://znanium.ru/catalog/product/2125016", "Ознакомиться")</f>
        <v>Ознакомиться</v>
      </c>
      <c r="W5233" s="8" t="s">
        <v>5345</v>
      </c>
      <c r="X5233" s="6"/>
      <c r="Y5233" s="6"/>
      <c r="Z5233" s="6"/>
      <c r="AA5233" s="6" t="s">
        <v>95</v>
      </c>
      <c r="AB5233" s="8"/>
    </row>
    <row r="5234" spans="1:28" s="4" customFormat="1" ht="51.95" customHeight="1">
      <c r="A5234" s="5">
        <v>0</v>
      </c>
      <c r="B5234" s="6" t="s">
        <v>30796</v>
      </c>
      <c r="C5234" s="13">
        <v>1154</v>
      </c>
      <c r="D5234" s="8" t="s">
        <v>30797</v>
      </c>
      <c r="E5234" s="8" t="s">
        <v>30786</v>
      </c>
      <c r="F5234" s="8" t="s">
        <v>30793</v>
      </c>
      <c r="G5234" s="6" t="s">
        <v>89</v>
      </c>
      <c r="H5234" s="6" t="s">
        <v>53</v>
      </c>
      <c r="I5234" s="8" t="s">
        <v>100</v>
      </c>
      <c r="J5234" s="9">
        <v>1</v>
      </c>
      <c r="K5234" s="9">
        <v>246</v>
      </c>
      <c r="L5234" s="9">
        <v>2024</v>
      </c>
      <c r="M5234" s="8" t="s">
        <v>30798</v>
      </c>
      <c r="N5234" s="8" t="s">
        <v>79</v>
      </c>
      <c r="O5234" s="8" t="s">
        <v>684</v>
      </c>
      <c r="P5234" s="6" t="s">
        <v>43</v>
      </c>
      <c r="Q5234" s="8" t="s">
        <v>102</v>
      </c>
      <c r="R5234" s="10" t="s">
        <v>30799</v>
      </c>
      <c r="S5234" s="11" t="s">
        <v>30800</v>
      </c>
      <c r="T5234" s="6"/>
      <c r="U5234" s="24" t="str">
        <f>HYPERLINK("https://media.infra-m.ru/2137/2137111/cover/2137111.jpg", "Обложка")</f>
        <v>Обложка</v>
      </c>
      <c r="V5234" s="24" t="str">
        <f>HYPERLINK("https://znanium.ru/catalog/product/1322318", "Ознакомиться")</f>
        <v>Ознакомиться</v>
      </c>
      <c r="W5234" s="8" t="s">
        <v>5345</v>
      </c>
      <c r="X5234" s="6"/>
      <c r="Y5234" s="6"/>
      <c r="Z5234" s="6" t="s">
        <v>104</v>
      </c>
      <c r="AA5234" s="6" t="s">
        <v>219</v>
      </c>
      <c r="AB5234" s="8"/>
    </row>
    <row r="5235" spans="1:28" s="4" customFormat="1" ht="51.95" customHeight="1">
      <c r="A5235" s="5">
        <v>0</v>
      </c>
      <c r="B5235" s="6" t="s">
        <v>30801</v>
      </c>
      <c r="C5235" s="7">
        <v>804.9</v>
      </c>
      <c r="D5235" s="8" t="s">
        <v>30802</v>
      </c>
      <c r="E5235" s="8" t="s">
        <v>30786</v>
      </c>
      <c r="F5235" s="8" t="s">
        <v>30793</v>
      </c>
      <c r="G5235" s="6" t="s">
        <v>52</v>
      </c>
      <c r="H5235" s="6" t="s">
        <v>53</v>
      </c>
      <c r="I5235" s="8" t="s">
        <v>90</v>
      </c>
      <c r="J5235" s="9">
        <v>1</v>
      </c>
      <c r="K5235" s="9">
        <v>222</v>
      </c>
      <c r="L5235" s="9">
        <v>2021</v>
      </c>
      <c r="M5235" s="8" t="s">
        <v>30803</v>
      </c>
      <c r="N5235" s="8" t="s">
        <v>79</v>
      </c>
      <c r="O5235" s="8" t="s">
        <v>684</v>
      </c>
      <c r="P5235" s="6" t="s">
        <v>43</v>
      </c>
      <c r="Q5235" s="8" t="s">
        <v>44</v>
      </c>
      <c r="R5235" s="10" t="s">
        <v>14954</v>
      </c>
      <c r="S5235" s="11" t="s">
        <v>30795</v>
      </c>
      <c r="T5235" s="6"/>
      <c r="U5235" s="24" t="str">
        <f>HYPERLINK("https://media.infra-m.ru/1154/1154314/cover/1154314.jpg", "Обложка")</f>
        <v>Обложка</v>
      </c>
      <c r="V5235" s="24" t="str">
        <f>HYPERLINK("https://znanium.ru/catalog/product/2125016", "Ознакомиться")</f>
        <v>Ознакомиться</v>
      </c>
      <c r="W5235" s="8" t="s">
        <v>5345</v>
      </c>
      <c r="X5235" s="6"/>
      <c r="Y5235" s="6"/>
      <c r="Z5235" s="6"/>
      <c r="AA5235" s="6" t="s">
        <v>442</v>
      </c>
      <c r="AB5235" s="8"/>
    </row>
    <row r="5236" spans="1:28" s="4" customFormat="1" ht="51.95" customHeight="1">
      <c r="A5236" s="5">
        <v>0</v>
      </c>
      <c r="B5236" s="6" t="s">
        <v>30804</v>
      </c>
      <c r="C5236" s="13">
        <v>1420</v>
      </c>
      <c r="D5236" s="8" t="s">
        <v>30805</v>
      </c>
      <c r="E5236" s="8" t="s">
        <v>30806</v>
      </c>
      <c r="F5236" s="8" t="s">
        <v>30390</v>
      </c>
      <c r="G5236" s="6" t="s">
        <v>89</v>
      </c>
      <c r="H5236" s="6" t="s">
        <v>53</v>
      </c>
      <c r="I5236" s="8" t="s">
        <v>100</v>
      </c>
      <c r="J5236" s="9">
        <v>1</v>
      </c>
      <c r="K5236" s="9">
        <v>373</v>
      </c>
      <c r="L5236" s="9">
        <v>2022</v>
      </c>
      <c r="M5236" s="8" t="s">
        <v>30807</v>
      </c>
      <c r="N5236" s="8" t="s">
        <v>79</v>
      </c>
      <c r="O5236" s="8" t="s">
        <v>396</v>
      </c>
      <c r="P5236" s="6" t="s">
        <v>43</v>
      </c>
      <c r="Q5236" s="8" t="s">
        <v>102</v>
      </c>
      <c r="R5236" s="10" t="s">
        <v>30808</v>
      </c>
      <c r="S5236" s="11" t="s">
        <v>30809</v>
      </c>
      <c r="T5236" s="6"/>
      <c r="U5236" s="24" t="str">
        <f>HYPERLINK("https://media.infra-m.ru/1860/1860079/cover/1860079.jpg", "Обложка")</f>
        <v>Обложка</v>
      </c>
      <c r="V5236" s="24" t="str">
        <f>HYPERLINK("https://znanium.ru/catalog/product/1860079", "Ознакомиться")</f>
        <v>Ознакомиться</v>
      </c>
      <c r="W5236" s="8" t="s">
        <v>1571</v>
      </c>
      <c r="X5236" s="6"/>
      <c r="Y5236" s="6"/>
      <c r="Z5236" s="6"/>
      <c r="AA5236" s="6" t="s">
        <v>793</v>
      </c>
      <c r="AB5236" s="8"/>
    </row>
    <row r="5237" spans="1:28" s="4" customFormat="1" ht="51.95" customHeight="1">
      <c r="A5237" s="5">
        <v>0</v>
      </c>
      <c r="B5237" s="6" t="s">
        <v>30810</v>
      </c>
      <c r="C5237" s="13">
        <v>1680</v>
      </c>
      <c r="D5237" s="8" t="s">
        <v>30811</v>
      </c>
      <c r="E5237" s="8" t="s">
        <v>30806</v>
      </c>
      <c r="F5237" s="8" t="s">
        <v>30390</v>
      </c>
      <c r="G5237" s="6" t="s">
        <v>89</v>
      </c>
      <c r="H5237" s="6" t="s">
        <v>53</v>
      </c>
      <c r="I5237" s="8" t="s">
        <v>90</v>
      </c>
      <c r="J5237" s="9">
        <v>1</v>
      </c>
      <c r="K5237" s="9">
        <v>373</v>
      </c>
      <c r="L5237" s="9">
        <v>2023</v>
      </c>
      <c r="M5237" s="8" t="s">
        <v>30812</v>
      </c>
      <c r="N5237" s="8" t="s">
        <v>79</v>
      </c>
      <c r="O5237" s="8" t="s">
        <v>396</v>
      </c>
      <c r="P5237" s="6" t="s">
        <v>43</v>
      </c>
      <c r="Q5237" s="8" t="s">
        <v>44</v>
      </c>
      <c r="R5237" s="10" t="s">
        <v>1569</v>
      </c>
      <c r="S5237" s="11" t="s">
        <v>30813</v>
      </c>
      <c r="T5237" s="6"/>
      <c r="U5237" s="24" t="str">
        <f>HYPERLINK("https://media.infra-m.ru/1910/1910861/cover/1910861.jpg", "Обложка")</f>
        <v>Обложка</v>
      </c>
      <c r="V5237" s="24" t="str">
        <f>HYPERLINK("https://znanium.ru/catalog/product/1910861", "Ознакомиться")</f>
        <v>Ознакомиться</v>
      </c>
      <c r="W5237" s="8" t="s">
        <v>1571</v>
      </c>
      <c r="X5237" s="6"/>
      <c r="Y5237" s="6"/>
      <c r="Z5237" s="6" t="s">
        <v>335</v>
      </c>
      <c r="AA5237" s="6" t="s">
        <v>793</v>
      </c>
      <c r="AB5237" s="8"/>
    </row>
    <row r="5238" spans="1:28" s="4" customFormat="1" ht="51.95" customHeight="1">
      <c r="A5238" s="5">
        <v>0</v>
      </c>
      <c r="B5238" s="6" t="s">
        <v>30814</v>
      </c>
      <c r="C5238" s="7">
        <v>990</v>
      </c>
      <c r="D5238" s="8" t="s">
        <v>30815</v>
      </c>
      <c r="E5238" s="8" t="s">
        <v>30816</v>
      </c>
      <c r="F5238" s="8" t="s">
        <v>25090</v>
      </c>
      <c r="G5238" s="6" t="s">
        <v>89</v>
      </c>
      <c r="H5238" s="6" t="s">
        <v>53</v>
      </c>
      <c r="I5238" s="8" t="s">
        <v>276</v>
      </c>
      <c r="J5238" s="9">
        <v>1</v>
      </c>
      <c r="K5238" s="9">
        <v>210</v>
      </c>
      <c r="L5238" s="9">
        <v>2024</v>
      </c>
      <c r="M5238" s="8" t="s">
        <v>30817</v>
      </c>
      <c r="N5238" s="8" t="s">
        <v>79</v>
      </c>
      <c r="O5238" s="8" t="s">
        <v>424</v>
      </c>
      <c r="P5238" s="6" t="s">
        <v>43</v>
      </c>
      <c r="Q5238" s="8" t="s">
        <v>279</v>
      </c>
      <c r="R5238" s="10" t="s">
        <v>975</v>
      </c>
      <c r="S5238" s="11" t="s">
        <v>30818</v>
      </c>
      <c r="T5238" s="6" t="s">
        <v>299</v>
      </c>
      <c r="U5238" s="24" t="str">
        <f>HYPERLINK("https://media.infra-m.ru/2149/2149628/cover/2149628.jpg", "Обложка")</f>
        <v>Обложка</v>
      </c>
      <c r="V5238" s="24" t="str">
        <f>HYPERLINK("https://znanium.ru/catalog/product/2149628", "Ознакомиться")</f>
        <v>Ознакомиться</v>
      </c>
      <c r="W5238" s="8" t="s">
        <v>462</v>
      </c>
      <c r="X5238" s="6"/>
      <c r="Y5238" s="6"/>
      <c r="Z5238" s="6"/>
      <c r="AA5238" s="6" t="s">
        <v>235</v>
      </c>
      <c r="AB5238" s="8"/>
    </row>
    <row r="5239" spans="1:28" s="4" customFormat="1" ht="42" customHeight="1">
      <c r="A5239" s="5">
        <v>0</v>
      </c>
      <c r="B5239" s="6" t="s">
        <v>30819</v>
      </c>
      <c r="C5239" s="13">
        <v>1640</v>
      </c>
      <c r="D5239" s="8" t="s">
        <v>30820</v>
      </c>
      <c r="E5239" s="8" t="s">
        <v>30821</v>
      </c>
      <c r="F5239" s="8" t="s">
        <v>30822</v>
      </c>
      <c r="G5239" s="6" t="s">
        <v>52</v>
      </c>
      <c r="H5239" s="6" t="s">
        <v>53</v>
      </c>
      <c r="I5239" s="8" t="s">
        <v>712</v>
      </c>
      <c r="J5239" s="9">
        <v>1</v>
      </c>
      <c r="K5239" s="9">
        <v>328</v>
      </c>
      <c r="L5239" s="9">
        <v>2025</v>
      </c>
      <c r="M5239" s="8" t="s">
        <v>30823</v>
      </c>
      <c r="N5239" s="8" t="s">
        <v>79</v>
      </c>
      <c r="O5239" s="8" t="s">
        <v>684</v>
      </c>
      <c r="P5239" s="6" t="s">
        <v>43</v>
      </c>
      <c r="Q5239" s="8" t="s">
        <v>44</v>
      </c>
      <c r="R5239" s="10" t="s">
        <v>30824</v>
      </c>
      <c r="S5239" s="11"/>
      <c r="T5239" s="6"/>
      <c r="U5239" s="24" t="str">
        <f>HYPERLINK("https://media.infra-m.ru/2136/2136162/cover/2136162.jpg", "Обложка")</f>
        <v>Обложка</v>
      </c>
      <c r="V5239" s="24" t="str">
        <f>HYPERLINK("https://znanium.ru/catalog/product/2136162", "Ознакомиться")</f>
        <v>Ознакомиться</v>
      </c>
      <c r="W5239" s="8" t="s">
        <v>716</v>
      </c>
      <c r="X5239" s="6" t="s">
        <v>548</v>
      </c>
      <c r="Y5239" s="6"/>
      <c r="Z5239" s="6"/>
      <c r="AA5239" s="6" t="s">
        <v>61</v>
      </c>
      <c r="AB5239" s="8"/>
    </row>
    <row r="5240" spans="1:28" s="4" customFormat="1" ht="51.95" customHeight="1">
      <c r="A5240" s="5">
        <v>0</v>
      </c>
      <c r="B5240" s="6" t="s">
        <v>30825</v>
      </c>
      <c r="C5240" s="13">
        <v>2130</v>
      </c>
      <c r="D5240" s="8" t="s">
        <v>30826</v>
      </c>
      <c r="E5240" s="8" t="s">
        <v>30827</v>
      </c>
      <c r="F5240" s="8" t="s">
        <v>30828</v>
      </c>
      <c r="G5240" s="6" t="s">
        <v>52</v>
      </c>
      <c r="H5240" s="6" t="s">
        <v>53</v>
      </c>
      <c r="I5240" s="8" t="s">
        <v>116</v>
      </c>
      <c r="J5240" s="9">
        <v>1</v>
      </c>
      <c r="K5240" s="9">
        <v>463</v>
      </c>
      <c r="L5240" s="9">
        <v>2024</v>
      </c>
      <c r="M5240" s="8" t="s">
        <v>30829</v>
      </c>
      <c r="N5240" s="8" t="s">
        <v>79</v>
      </c>
      <c r="O5240" s="8" t="s">
        <v>396</v>
      </c>
      <c r="P5240" s="6" t="s">
        <v>167</v>
      </c>
      <c r="Q5240" s="8" t="s">
        <v>44</v>
      </c>
      <c r="R5240" s="10" t="s">
        <v>30830</v>
      </c>
      <c r="S5240" s="11" t="s">
        <v>30831</v>
      </c>
      <c r="T5240" s="6"/>
      <c r="U5240" s="24" t="str">
        <f>HYPERLINK("https://media.infra-m.ru/2110/2110440/cover/2110440.jpg", "Обложка")</f>
        <v>Обложка</v>
      </c>
      <c r="V5240" s="24" t="str">
        <f>HYPERLINK("https://znanium.ru/catalog/product/2110440", "Ознакомиться")</f>
        <v>Ознакомиться</v>
      </c>
      <c r="W5240" s="8" t="s">
        <v>10326</v>
      </c>
      <c r="X5240" s="6"/>
      <c r="Y5240" s="6"/>
      <c r="Z5240" s="6"/>
      <c r="AA5240" s="6" t="s">
        <v>418</v>
      </c>
      <c r="AB5240" s="8"/>
    </row>
    <row r="5241" spans="1:28" s="4" customFormat="1" ht="51.95" customHeight="1">
      <c r="A5241" s="5">
        <v>0</v>
      </c>
      <c r="B5241" s="6" t="s">
        <v>30832</v>
      </c>
      <c r="C5241" s="13">
        <v>2150</v>
      </c>
      <c r="D5241" s="8" t="s">
        <v>30833</v>
      </c>
      <c r="E5241" s="8" t="s">
        <v>30834</v>
      </c>
      <c r="F5241" s="8" t="s">
        <v>30835</v>
      </c>
      <c r="G5241" s="6" t="s">
        <v>52</v>
      </c>
      <c r="H5241" s="6" t="s">
        <v>53</v>
      </c>
      <c r="I5241" s="8" t="s">
        <v>90</v>
      </c>
      <c r="J5241" s="9">
        <v>1</v>
      </c>
      <c r="K5241" s="9">
        <v>467</v>
      </c>
      <c r="L5241" s="9">
        <v>2023</v>
      </c>
      <c r="M5241" s="8" t="s">
        <v>30836</v>
      </c>
      <c r="N5241" s="8" t="s">
        <v>79</v>
      </c>
      <c r="O5241" s="8" t="s">
        <v>396</v>
      </c>
      <c r="P5241" s="6" t="s">
        <v>167</v>
      </c>
      <c r="Q5241" s="8" t="s">
        <v>58</v>
      </c>
      <c r="R5241" s="10" t="s">
        <v>5343</v>
      </c>
      <c r="S5241" s="11" t="s">
        <v>30837</v>
      </c>
      <c r="T5241" s="6"/>
      <c r="U5241" s="24" t="str">
        <f>HYPERLINK("https://media.infra-m.ru/2125/2125022/cover/2125022.jpg", "Обложка")</f>
        <v>Обложка</v>
      </c>
      <c r="V5241" s="24" t="str">
        <f>HYPERLINK("https://znanium.ru/catalog/product/2125022", "Ознакомиться")</f>
        <v>Ознакомиться</v>
      </c>
      <c r="W5241" s="8" t="s">
        <v>462</v>
      </c>
      <c r="X5241" s="6"/>
      <c r="Y5241" s="6"/>
      <c r="Z5241" s="6"/>
      <c r="AA5241" s="6" t="s">
        <v>196</v>
      </c>
      <c r="AB5241" s="8"/>
    </row>
    <row r="5242" spans="1:28" s="4" customFormat="1" ht="42" customHeight="1">
      <c r="A5242" s="5">
        <v>0</v>
      </c>
      <c r="B5242" s="6" t="s">
        <v>30838</v>
      </c>
      <c r="C5242" s="13">
        <v>1780</v>
      </c>
      <c r="D5242" s="8" t="s">
        <v>30839</v>
      </c>
      <c r="E5242" s="8" t="s">
        <v>30840</v>
      </c>
      <c r="F5242" s="8" t="s">
        <v>3614</v>
      </c>
      <c r="G5242" s="6" t="s">
        <v>89</v>
      </c>
      <c r="H5242" s="6" t="s">
        <v>53</v>
      </c>
      <c r="I5242" s="8" t="s">
        <v>100</v>
      </c>
      <c r="J5242" s="9">
        <v>1</v>
      </c>
      <c r="K5242" s="9">
        <v>342</v>
      </c>
      <c r="L5242" s="9">
        <v>2025</v>
      </c>
      <c r="M5242" s="8" t="s">
        <v>30841</v>
      </c>
      <c r="N5242" s="8" t="s">
        <v>41</v>
      </c>
      <c r="O5242" s="8" t="s">
        <v>1007</v>
      </c>
      <c r="P5242" s="6" t="s">
        <v>167</v>
      </c>
      <c r="Q5242" s="8" t="s">
        <v>102</v>
      </c>
      <c r="R5242" s="10" t="s">
        <v>3410</v>
      </c>
      <c r="S5242" s="11"/>
      <c r="T5242" s="6"/>
      <c r="U5242" s="24" t="str">
        <f>HYPERLINK("https://media.infra-m.ru/2187/2187010/cover/2187010.jpg", "Обложка")</f>
        <v>Обложка</v>
      </c>
      <c r="V5242" s="24" t="str">
        <f>HYPERLINK("https://znanium.ru/catalog/product/1870567", "Ознакомиться")</f>
        <v>Ознакомиться</v>
      </c>
      <c r="W5242" s="8" t="s">
        <v>1313</v>
      </c>
      <c r="X5242" s="6"/>
      <c r="Y5242" s="6"/>
      <c r="Z5242" s="6"/>
      <c r="AA5242" s="6" t="s">
        <v>133</v>
      </c>
      <c r="AB5242" s="8" t="s">
        <v>1733</v>
      </c>
    </row>
    <row r="5243" spans="1:28" s="4" customFormat="1" ht="51.95" customHeight="1">
      <c r="A5243" s="5">
        <v>0</v>
      </c>
      <c r="B5243" s="6" t="s">
        <v>30842</v>
      </c>
      <c r="C5243" s="13">
        <v>1174</v>
      </c>
      <c r="D5243" s="8" t="s">
        <v>30843</v>
      </c>
      <c r="E5243" s="8" t="s">
        <v>30844</v>
      </c>
      <c r="F5243" s="8" t="s">
        <v>30845</v>
      </c>
      <c r="G5243" s="6" t="s">
        <v>52</v>
      </c>
      <c r="H5243" s="6" t="s">
        <v>53</v>
      </c>
      <c r="I5243" s="8" t="s">
        <v>276</v>
      </c>
      <c r="J5243" s="9">
        <v>1</v>
      </c>
      <c r="K5243" s="9">
        <v>260</v>
      </c>
      <c r="L5243" s="9">
        <v>2023</v>
      </c>
      <c r="M5243" s="8" t="s">
        <v>30846</v>
      </c>
      <c r="N5243" s="8" t="s">
        <v>79</v>
      </c>
      <c r="O5243" s="8" t="s">
        <v>424</v>
      </c>
      <c r="P5243" s="6" t="s">
        <v>43</v>
      </c>
      <c r="Q5243" s="8" t="s">
        <v>279</v>
      </c>
      <c r="R5243" s="10" t="s">
        <v>975</v>
      </c>
      <c r="S5243" s="11" t="s">
        <v>976</v>
      </c>
      <c r="T5243" s="6"/>
      <c r="U5243" s="24" t="str">
        <f>HYPERLINK("https://media.infra-m.ru/2006/2006071/cover/2006071.jpg", "Обложка")</f>
        <v>Обложка</v>
      </c>
      <c r="V5243" s="24" t="str">
        <f>HYPERLINK("https://znanium.ru/catalog/product/989593", "Ознакомиться")</f>
        <v>Ознакомиться</v>
      </c>
      <c r="W5243" s="8" t="s">
        <v>450</v>
      </c>
      <c r="X5243" s="6"/>
      <c r="Y5243" s="6"/>
      <c r="Z5243" s="6"/>
      <c r="AA5243" s="6" t="s">
        <v>793</v>
      </c>
      <c r="AB5243" s="8"/>
    </row>
    <row r="5244" spans="1:28" s="4" customFormat="1" ht="51.95" customHeight="1">
      <c r="A5244" s="5">
        <v>0</v>
      </c>
      <c r="B5244" s="6" t="s">
        <v>30847</v>
      </c>
      <c r="C5244" s="13">
        <v>1980</v>
      </c>
      <c r="D5244" s="8" t="s">
        <v>30848</v>
      </c>
      <c r="E5244" s="8" t="s">
        <v>30849</v>
      </c>
      <c r="F5244" s="8" t="s">
        <v>30850</v>
      </c>
      <c r="G5244" s="6" t="s">
        <v>52</v>
      </c>
      <c r="H5244" s="6" t="s">
        <v>53</v>
      </c>
      <c r="I5244" s="8" t="s">
        <v>116</v>
      </c>
      <c r="J5244" s="9">
        <v>1</v>
      </c>
      <c r="K5244" s="9">
        <v>429</v>
      </c>
      <c r="L5244" s="9">
        <v>2024</v>
      </c>
      <c r="M5244" s="8" t="s">
        <v>30851</v>
      </c>
      <c r="N5244" s="8" t="s">
        <v>79</v>
      </c>
      <c r="O5244" s="8" t="s">
        <v>424</v>
      </c>
      <c r="P5244" s="6" t="s">
        <v>43</v>
      </c>
      <c r="Q5244" s="8" t="s">
        <v>44</v>
      </c>
      <c r="R5244" s="10" t="s">
        <v>4598</v>
      </c>
      <c r="S5244" s="11" t="s">
        <v>30852</v>
      </c>
      <c r="T5244" s="6"/>
      <c r="U5244" s="24" t="str">
        <f>HYPERLINK("https://media.infra-m.ru/2120/2120736/cover/2120736.jpg", "Обложка")</f>
        <v>Обложка</v>
      </c>
      <c r="V5244" s="24" t="str">
        <f>HYPERLINK("https://znanium.ru/catalog/product/2120736", "Ознакомиться")</f>
        <v>Ознакомиться</v>
      </c>
      <c r="W5244" s="8" t="s">
        <v>5825</v>
      </c>
      <c r="X5244" s="6"/>
      <c r="Y5244" s="6"/>
      <c r="Z5244" s="6"/>
      <c r="AA5244" s="6" t="s">
        <v>122</v>
      </c>
      <c r="AB5244" s="8"/>
    </row>
    <row r="5245" spans="1:28" s="4" customFormat="1" ht="51.95" customHeight="1">
      <c r="A5245" s="5">
        <v>0</v>
      </c>
      <c r="B5245" s="6" t="s">
        <v>30853</v>
      </c>
      <c r="C5245" s="13">
        <v>1844</v>
      </c>
      <c r="D5245" s="8" t="s">
        <v>30854</v>
      </c>
      <c r="E5245" s="8" t="s">
        <v>30855</v>
      </c>
      <c r="F5245" s="8" t="s">
        <v>30619</v>
      </c>
      <c r="G5245" s="6" t="s">
        <v>52</v>
      </c>
      <c r="H5245" s="6" t="s">
        <v>1738</v>
      </c>
      <c r="I5245" s="8" t="s">
        <v>9907</v>
      </c>
      <c r="J5245" s="9">
        <v>1</v>
      </c>
      <c r="K5245" s="9">
        <v>400</v>
      </c>
      <c r="L5245" s="9">
        <v>2024</v>
      </c>
      <c r="M5245" s="8" t="s">
        <v>30856</v>
      </c>
      <c r="N5245" s="8" t="s">
        <v>79</v>
      </c>
      <c r="O5245" s="8" t="s">
        <v>424</v>
      </c>
      <c r="P5245" s="6" t="s">
        <v>167</v>
      </c>
      <c r="Q5245" s="8" t="s">
        <v>44</v>
      </c>
      <c r="R5245" s="10" t="s">
        <v>9456</v>
      </c>
      <c r="S5245" s="11" t="s">
        <v>30621</v>
      </c>
      <c r="T5245" s="6"/>
      <c r="U5245" s="24" t="str">
        <f>HYPERLINK("https://media.infra-m.ru/2125/2125111/cover/2125111.jpg", "Обложка")</f>
        <v>Обложка</v>
      </c>
      <c r="V5245" s="24" t="str">
        <f>HYPERLINK("https://znanium.ru/catalog/product/1404952", "Ознакомиться")</f>
        <v>Ознакомиться</v>
      </c>
      <c r="W5245" s="8" t="s">
        <v>3974</v>
      </c>
      <c r="X5245" s="6"/>
      <c r="Y5245" s="6"/>
      <c r="Z5245" s="6"/>
      <c r="AA5245" s="6" t="s">
        <v>72</v>
      </c>
      <c r="AB5245" s="8"/>
    </row>
    <row r="5246" spans="1:28" s="4" customFormat="1" ht="51.95" customHeight="1">
      <c r="A5246" s="5">
        <v>0</v>
      </c>
      <c r="B5246" s="6" t="s">
        <v>30857</v>
      </c>
      <c r="C5246" s="13">
        <v>1974</v>
      </c>
      <c r="D5246" s="8" t="s">
        <v>30858</v>
      </c>
      <c r="E5246" s="8" t="s">
        <v>30855</v>
      </c>
      <c r="F5246" s="8" t="s">
        <v>30859</v>
      </c>
      <c r="G5246" s="6" t="s">
        <v>52</v>
      </c>
      <c r="H5246" s="6" t="s">
        <v>53</v>
      </c>
      <c r="I5246" s="8" t="s">
        <v>100</v>
      </c>
      <c r="J5246" s="9">
        <v>1</v>
      </c>
      <c r="K5246" s="9">
        <v>395</v>
      </c>
      <c r="L5246" s="9">
        <v>2025</v>
      </c>
      <c r="M5246" s="8" t="s">
        <v>30860</v>
      </c>
      <c r="N5246" s="8" t="s">
        <v>79</v>
      </c>
      <c r="O5246" s="8" t="s">
        <v>424</v>
      </c>
      <c r="P5246" s="6" t="s">
        <v>167</v>
      </c>
      <c r="Q5246" s="8" t="s">
        <v>102</v>
      </c>
      <c r="R5246" s="10" t="s">
        <v>8626</v>
      </c>
      <c r="S5246" s="11" t="s">
        <v>30861</v>
      </c>
      <c r="T5246" s="6"/>
      <c r="U5246" s="24" t="str">
        <f>HYPERLINK("https://media.infra-m.ru/2187/2187624/cover/2187624.jpg", "Обложка")</f>
        <v>Обложка</v>
      </c>
      <c r="V5246" s="24" t="str">
        <f>HYPERLINK("https://znanium.ru/catalog/product/1864130", "Ознакомиться")</f>
        <v>Ознакомиться</v>
      </c>
      <c r="W5246" s="8" t="s">
        <v>3974</v>
      </c>
      <c r="X5246" s="6"/>
      <c r="Y5246" s="6"/>
      <c r="Z5246" s="6" t="s">
        <v>104</v>
      </c>
      <c r="AA5246" s="6" t="s">
        <v>219</v>
      </c>
      <c r="AB5246" s="8"/>
    </row>
    <row r="5247" spans="1:28" s="4" customFormat="1" ht="42" customHeight="1">
      <c r="A5247" s="5">
        <v>0</v>
      </c>
      <c r="B5247" s="6" t="s">
        <v>30862</v>
      </c>
      <c r="C5247" s="13">
        <v>1604</v>
      </c>
      <c r="D5247" s="8" t="s">
        <v>30863</v>
      </c>
      <c r="E5247" s="8" t="s">
        <v>30864</v>
      </c>
      <c r="F5247" s="8" t="s">
        <v>14188</v>
      </c>
      <c r="G5247" s="6" t="s">
        <v>52</v>
      </c>
      <c r="H5247" s="6" t="s">
        <v>649</v>
      </c>
      <c r="I5247" s="8" t="s">
        <v>185</v>
      </c>
      <c r="J5247" s="9">
        <v>1</v>
      </c>
      <c r="K5247" s="9">
        <v>320</v>
      </c>
      <c r="L5247" s="9">
        <v>2025</v>
      </c>
      <c r="M5247" s="8" t="s">
        <v>30865</v>
      </c>
      <c r="N5247" s="8" t="s">
        <v>79</v>
      </c>
      <c r="O5247" s="8" t="s">
        <v>396</v>
      </c>
      <c r="P5247" s="6" t="s">
        <v>167</v>
      </c>
      <c r="Q5247" s="8" t="s">
        <v>102</v>
      </c>
      <c r="R5247" s="10" t="s">
        <v>30866</v>
      </c>
      <c r="S5247" s="11"/>
      <c r="T5247" s="6"/>
      <c r="U5247" s="24" t="str">
        <f>HYPERLINK("https://media.infra-m.ru/2186/2186878/cover/2186878.jpg", "Обложка")</f>
        <v>Обложка</v>
      </c>
      <c r="V5247" s="24" t="str">
        <f>HYPERLINK("https://znanium.ru/catalog/product/1003234", "Ознакомиться")</f>
        <v>Ознакомиться</v>
      </c>
      <c r="W5247" s="8" t="s">
        <v>450</v>
      </c>
      <c r="X5247" s="6"/>
      <c r="Y5247" s="6"/>
      <c r="Z5247" s="6"/>
      <c r="AA5247" s="6" t="s">
        <v>7927</v>
      </c>
      <c r="AB5247" s="8"/>
    </row>
    <row r="5248" spans="1:28" s="4" customFormat="1" ht="51.95" customHeight="1">
      <c r="A5248" s="5">
        <v>0</v>
      </c>
      <c r="B5248" s="6" t="s">
        <v>30867</v>
      </c>
      <c r="C5248" s="13">
        <v>1470</v>
      </c>
      <c r="D5248" s="8" t="s">
        <v>30868</v>
      </c>
      <c r="E5248" s="8" t="s">
        <v>30864</v>
      </c>
      <c r="F5248" s="8" t="s">
        <v>14188</v>
      </c>
      <c r="G5248" s="6" t="s">
        <v>89</v>
      </c>
      <c r="H5248" s="6" t="s">
        <v>649</v>
      </c>
      <c r="I5248" s="8" t="s">
        <v>116</v>
      </c>
      <c r="J5248" s="9">
        <v>1</v>
      </c>
      <c r="K5248" s="9">
        <v>320</v>
      </c>
      <c r="L5248" s="9">
        <v>2024</v>
      </c>
      <c r="M5248" s="8" t="s">
        <v>30869</v>
      </c>
      <c r="N5248" s="8" t="s">
        <v>79</v>
      </c>
      <c r="O5248" s="8" t="s">
        <v>396</v>
      </c>
      <c r="P5248" s="6" t="s">
        <v>167</v>
      </c>
      <c r="Q5248" s="8" t="s">
        <v>44</v>
      </c>
      <c r="R5248" s="10" t="s">
        <v>4857</v>
      </c>
      <c r="S5248" s="11" t="s">
        <v>30870</v>
      </c>
      <c r="T5248" s="6"/>
      <c r="U5248" s="24" t="str">
        <f>HYPERLINK("https://media.infra-m.ru/2095/2095595/cover/2095595.jpg", "Обложка")</f>
        <v>Обложка</v>
      </c>
      <c r="V5248" s="24" t="str">
        <f>HYPERLINK("https://znanium.ru/catalog/product/2095595", "Ознакомиться")</f>
        <v>Ознакомиться</v>
      </c>
      <c r="W5248" s="8" t="s">
        <v>450</v>
      </c>
      <c r="X5248" s="6"/>
      <c r="Y5248" s="6"/>
      <c r="Z5248" s="6" t="s">
        <v>335</v>
      </c>
      <c r="AA5248" s="6" t="s">
        <v>793</v>
      </c>
      <c r="AB5248" s="8"/>
    </row>
    <row r="5249" spans="1:28" s="4" customFormat="1" ht="51.95" customHeight="1">
      <c r="A5249" s="5">
        <v>0</v>
      </c>
      <c r="B5249" s="6" t="s">
        <v>30871</v>
      </c>
      <c r="C5249" s="13">
        <v>1390</v>
      </c>
      <c r="D5249" s="8" t="s">
        <v>30872</v>
      </c>
      <c r="E5249" s="8" t="s">
        <v>30873</v>
      </c>
      <c r="F5249" s="8" t="s">
        <v>12511</v>
      </c>
      <c r="G5249" s="6" t="s">
        <v>52</v>
      </c>
      <c r="H5249" s="6" t="s">
        <v>53</v>
      </c>
      <c r="I5249" s="8" t="s">
        <v>90</v>
      </c>
      <c r="J5249" s="9">
        <v>1</v>
      </c>
      <c r="K5249" s="9">
        <v>346</v>
      </c>
      <c r="L5249" s="9">
        <v>2022</v>
      </c>
      <c r="M5249" s="8" t="s">
        <v>30874</v>
      </c>
      <c r="N5249" s="8" t="s">
        <v>41</v>
      </c>
      <c r="O5249" s="8" t="s">
        <v>278</v>
      </c>
      <c r="P5249" s="6" t="s">
        <v>43</v>
      </c>
      <c r="Q5249" s="8" t="s">
        <v>44</v>
      </c>
      <c r="R5249" s="10" t="s">
        <v>17741</v>
      </c>
      <c r="S5249" s="11" t="s">
        <v>30875</v>
      </c>
      <c r="T5249" s="6"/>
      <c r="U5249" s="24" t="str">
        <f>HYPERLINK("https://media.infra-m.ru/1225/1225039/cover/1225039.jpg", "Обложка")</f>
        <v>Обложка</v>
      </c>
      <c r="V5249" s="24" t="str">
        <f>HYPERLINK("https://znanium.ru/catalog/product/1225039", "Ознакомиться")</f>
        <v>Ознакомиться</v>
      </c>
      <c r="W5249" s="8" t="s">
        <v>243</v>
      </c>
      <c r="X5249" s="6"/>
      <c r="Y5249" s="6"/>
      <c r="Z5249" s="6"/>
      <c r="AA5249" s="6" t="s">
        <v>235</v>
      </c>
      <c r="AB5249" s="8"/>
    </row>
    <row r="5250" spans="1:28" s="4" customFormat="1" ht="51.95" customHeight="1">
      <c r="A5250" s="5">
        <v>0</v>
      </c>
      <c r="B5250" s="6" t="s">
        <v>30876</v>
      </c>
      <c r="C5250" s="13">
        <v>1320</v>
      </c>
      <c r="D5250" s="8" t="s">
        <v>30877</v>
      </c>
      <c r="E5250" s="8" t="s">
        <v>30873</v>
      </c>
      <c r="F5250" s="8" t="s">
        <v>12511</v>
      </c>
      <c r="G5250" s="6" t="s">
        <v>52</v>
      </c>
      <c r="H5250" s="6" t="s">
        <v>53</v>
      </c>
      <c r="I5250" s="8" t="s">
        <v>100</v>
      </c>
      <c r="J5250" s="9">
        <v>1</v>
      </c>
      <c r="K5250" s="9">
        <v>346</v>
      </c>
      <c r="L5250" s="9">
        <v>2022</v>
      </c>
      <c r="M5250" s="8" t="s">
        <v>30878</v>
      </c>
      <c r="N5250" s="8" t="s">
        <v>41</v>
      </c>
      <c r="O5250" s="8" t="s">
        <v>278</v>
      </c>
      <c r="P5250" s="6" t="s">
        <v>43</v>
      </c>
      <c r="Q5250" s="8" t="s">
        <v>102</v>
      </c>
      <c r="R5250" s="10" t="s">
        <v>1801</v>
      </c>
      <c r="S5250" s="11" t="s">
        <v>30879</v>
      </c>
      <c r="T5250" s="6"/>
      <c r="U5250" s="24" t="str">
        <f>HYPERLINK("https://media.infra-m.ru/1850/1850731/cover/1850731.jpg", "Обложка")</f>
        <v>Обложка</v>
      </c>
      <c r="V5250" s="24" t="str">
        <f>HYPERLINK("https://znanium.ru/catalog/product/1850731", "Ознакомиться")</f>
        <v>Ознакомиться</v>
      </c>
      <c r="W5250" s="8" t="s">
        <v>243</v>
      </c>
      <c r="X5250" s="6"/>
      <c r="Y5250" s="6"/>
      <c r="Z5250" s="6" t="s">
        <v>104</v>
      </c>
      <c r="AA5250" s="6" t="s">
        <v>235</v>
      </c>
      <c r="AB5250" s="8"/>
    </row>
    <row r="5251" spans="1:28" s="4" customFormat="1" ht="51.95" customHeight="1">
      <c r="A5251" s="5">
        <v>0</v>
      </c>
      <c r="B5251" s="6" t="s">
        <v>30880</v>
      </c>
      <c r="C5251" s="13">
        <v>2504</v>
      </c>
      <c r="D5251" s="8" t="s">
        <v>30881</v>
      </c>
      <c r="E5251" s="8" t="s">
        <v>30882</v>
      </c>
      <c r="F5251" s="8" t="s">
        <v>30883</v>
      </c>
      <c r="G5251" s="6" t="s">
        <v>52</v>
      </c>
      <c r="H5251" s="6" t="s">
        <v>39</v>
      </c>
      <c r="I5251" s="8"/>
      <c r="J5251" s="9">
        <v>1</v>
      </c>
      <c r="K5251" s="9">
        <v>432</v>
      </c>
      <c r="L5251" s="9">
        <v>2025</v>
      </c>
      <c r="M5251" s="8" t="s">
        <v>30884</v>
      </c>
      <c r="N5251" s="8" t="s">
        <v>79</v>
      </c>
      <c r="O5251" s="8" t="s">
        <v>396</v>
      </c>
      <c r="P5251" s="6" t="s">
        <v>43</v>
      </c>
      <c r="Q5251" s="8" t="s">
        <v>102</v>
      </c>
      <c r="R5251" s="10" t="s">
        <v>14352</v>
      </c>
      <c r="S5251" s="11" t="s">
        <v>4480</v>
      </c>
      <c r="T5251" s="6"/>
      <c r="U5251" s="24" t="str">
        <f>HYPERLINK("https://media.infra-m.ru/2178/2178737/cover/2178737.jpg", "Обложка")</f>
        <v>Обложка</v>
      </c>
      <c r="V5251" s="12"/>
      <c r="W5251" s="8" t="s">
        <v>450</v>
      </c>
      <c r="X5251" s="6"/>
      <c r="Y5251" s="6"/>
      <c r="Z5251" s="6"/>
      <c r="AA5251" s="6" t="s">
        <v>654</v>
      </c>
      <c r="AB5251" s="8"/>
    </row>
    <row r="5252" spans="1:28" s="4" customFormat="1" ht="51.95" customHeight="1">
      <c r="A5252" s="5">
        <v>0</v>
      </c>
      <c r="B5252" s="6" t="s">
        <v>30885</v>
      </c>
      <c r="C5252" s="13">
        <v>1250</v>
      </c>
      <c r="D5252" s="8" t="s">
        <v>30886</v>
      </c>
      <c r="E5252" s="8" t="s">
        <v>30887</v>
      </c>
      <c r="F5252" s="8" t="s">
        <v>30888</v>
      </c>
      <c r="G5252" s="6" t="s">
        <v>89</v>
      </c>
      <c r="H5252" s="6" t="s">
        <v>39</v>
      </c>
      <c r="I5252" s="8" t="s">
        <v>116</v>
      </c>
      <c r="J5252" s="9">
        <v>1</v>
      </c>
      <c r="K5252" s="9">
        <v>263</v>
      </c>
      <c r="L5252" s="9">
        <v>2024</v>
      </c>
      <c r="M5252" s="8" t="s">
        <v>30889</v>
      </c>
      <c r="N5252" s="8" t="s">
        <v>79</v>
      </c>
      <c r="O5252" s="8" t="s">
        <v>396</v>
      </c>
      <c r="P5252" s="6" t="s">
        <v>43</v>
      </c>
      <c r="Q5252" s="8" t="s">
        <v>44</v>
      </c>
      <c r="R5252" s="10" t="s">
        <v>30890</v>
      </c>
      <c r="S5252" s="11" t="s">
        <v>30891</v>
      </c>
      <c r="T5252" s="6"/>
      <c r="U5252" s="24" t="str">
        <f>HYPERLINK("https://media.infra-m.ru/1915/1915327/cover/1915327.jpg", "Обложка")</f>
        <v>Обложка</v>
      </c>
      <c r="V5252" s="24" t="str">
        <f>HYPERLINK("https://znanium.ru/catalog/product/1915327", "Ознакомиться")</f>
        <v>Ознакомиться</v>
      </c>
      <c r="W5252" s="8"/>
      <c r="X5252" s="6"/>
      <c r="Y5252" s="6"/>
      <c r="Z5252" s="6"/>
      <c r="AA5252" s="6" t="s">
        <v>47</v>
      </c>
      <c r="AB5252" s="8"/>
    </row>
    <row r="5253" spans="1:28" s="4" customFormat="1" ht="51.95" customHeight="1">
      <c r="A5253" s="5">
        <v>0</v>
      </c>
      <c r="B5253" s="6" t="s">
        <v>30892</v>
      </c>
      <c r="C5253" s="13">
        <v>1434</v>
      </c>
      <c r="D5253" s="8" t="s">
        <v>30893</v>
      </c>
      <c r="E5253" s="8" t="s">
        <v>30894</v>
      </c>
      <c r="F5253" s="8" t="s">
        <v>30895</v>
      </c>
      <c r="G5253" s="6" t="s">
        <v>89</v>
      </c>
      <c r="H5253" s="6" t="s">
        <v>649</v>
      </c>
      <c r="I5253" s="8" t="s">
        <v>100</v>
      </c>
      <c r="J5253" s="9">
        <v>1</v>
      </c>
      <c r="K5253" s="9">
        <v>304</v>
      </c>
      <c r="L5253" s="9">
        <v>2024</v>
      </c>
      <c r="M5253" s="8" t="s">
        <v>30896</v>
      </c>
      <c r="N5253" s="8" t="s">
        <v>79</v>
      </c>
      <c r="O5253" s="8" t="s">
        <v>396</v>
      </c>
      <c r="P5253" s="6" t="s">
        <v>43</v>
      </c>
      <c r="Q5253" s="8" t="s">
        <v>102</v>
      </c>
      <c r="R5253" s="10" t="s">
        <v>30897</v>
      </c>
      <c r="S5253" s="11" t="s">
        <v>13340</v>
      </c>
      <c r="T5253" s="6"/>
      <c r="U5253" s="24" t="str">
        <f>HYPERLINK("https://media.infra-m.ru/2145/2145763/cover/2145763.jpg", "Обложка")</f>
        <v>Обложка</v>
      </c>
      <c r="V5253" s="24" t="str">
        <f>HYPERLINK("https://znanium.ru/catalog/product/2143487", "Ознакомиться")</f>
        <v>Ознакомиться</v>
      </c>
      <c r="W5253" s="8" t="s">
        <v>2321</v>
      </c>
      <c r="X5253" s="6"/>
      <c r="Y5253" s="6"/>
      <c r="Z5253" s="6" t="s">
        <v>104</v>
      </c>
      <c r="AA5253" s="6" t="s">
        <v>258</v>
      </c>
      <c r="AB5253" s="8"/>
    </row>
    <row r="5254" spans="1:28" s="4" customFormat="1" ht="51.95" customHeight="1">
      <c r="A5254" s="5">
        <v>0</v>
      </c>
      <c r="B5254" s="6" t="s">
        <v>30898</v>
      </c>
      <c r="C5254" s="13">
        <v>1764</v>
      </c>
      <c r="D5254" s="8" t="s">
        <v>30899</v>
      </c>
      <c r="E5254" s="8" t="s">
        <v>30900</v>
      </c>
      <c r="F5254" s="8" t="s">
        <v>30901</v>
      </c>
      <c r="G5254" s="6" t="s">
        <v>89</v>
      </c>
      <c r="H5254" s="6" t="s">
        <v>53</v>
      </c>
      <c r="I5254" s="8" t="s">
        <v>100</v>
      </c>
      <c r="J5254" s="9">
        <v>1</v>
      </c>
      <c r="K5254" s="9">
        <v>352</v>
      </c>
      <c r="L5254" s="9">
        <v>2025</v>
      </c>
      <c r="M5254" s="8" t="s">
        <v>30902</v>
      </c>
      <c r="N5254" s="8" t="s">
        <v>79</v>
      </c>
      <c r="O5254" s="8" t="s">
        <v>396</v>
      </c>
      <c r="P5254" s="6" t="s">
        <v>43</v>
      </c>
      <c r="Q5254" s="8" t="s">
        <v>102</v>
      </c>
      <c r="R5254" s="10" t="s">
        <v>30903</v>
      </c>
      <c r="S5254" s="11" t="s">
        <v>30904</v>
      </c>
      <c r="T5254" s="6"/>
      <c r="U5254" s="24" t="str">
        <f>HYPERLINK("https://media.infra-m.ru/2157/2157822/cover/2157822.jpg", "Обложка")</f>
        <v>Обложка</v>
      </c>
      <c r="V5254" s="24" t="str">
        <f>HYPERLINK("https://znanium.ru/catalog/product/1743578", "Ознакомиться")</f>
        <v>Ознакомиться</v>
      </c>
      <c r="W5254" s="8" t="s">
        <v>71</v>
      </c>
      <c r="X5254" s="6"/>
      <c r="Y5254" s="6"/>
      <c r="Z5254" s="6"/>
      <c r="AA5254" s="6" t="s">
        <v>326</v>
      </c>
      <c r="AB5254" s="8"/>
    </row>
    <row r="5255" spans="1:28" s="4" customFormat="1" ht="51.95" customHeight="1">
      <c r="A5255" s="5">
        <v>0</v>
      </c>
      <c r="B5255" s="6" t="s">
        <v>30905</v>
      </c>
      <c r="C5255" s="13">
        <v>1654</v>
      </c>
      <c r="D5255" s="8" t="s">
        <v>30906</v>
      </c>
      <c r="E5255" s="8" t="s">
        <v>30907</v>
      </c>
      <c r="F5255" s="8" t="s">
        <v>27288</v>
      </c>
      <c r="G5255" s="6" t="s">
        <v>89</v>
      </c>
      <c r="H5255" s="6" t="s">
        <v>39</v>
      </c>
      <c r="I5255" s="8" t="s">
        <v>185</v>
      </c>
      <c r="J5255" s="9">
        <v>1</v>
      </c>
      <c r="K5255" s="9">
        <v>352</v>
      </c>
      <c r="L5255" s="9">
        <v>2024</v>
      </c>
      <c r="M5255" s="8" t="s">
        <v>30908</v>
      </c>
      <c r="N5255" s="8" t="s">
        <v>79</v>
      </c>
      <c r="O5255" s="8" t="s">
        <v>396</v>
      </c>
      <c r="P5255" s="6" t="s">
        <v>43</v>
      </c>
      <c r="Q5255" s="8" t="s">
        <v>102</v>
      </c>
      <c r="R5255" s="10" t="s">
        <v>30909</v>
      </c>
      <c r="S5255" s="11" t="s">
        <v>30910</v>
      </c>
      <c r="T5255" s="6"/>
      <c r="U5255" s="24" t="str">
        <f>HYPERLINK("https://media.infra-m.ru/2140/2140829/cover/2140829.jpg", "Обложка")</f>
        <v>Обложка</v>
      </c>
      <c r="V5255" s="24" t="str">
        <f>HYPERLINK("https://znanium.ru/catalog/product/2131822", "Ознакомиться")</f>
        <v>Ознакомиться</v>
      </c>
      <c r="W5255" s="8" t="s">
        <v>71</v>
      </c>
      <c r="X5255" s="6"/>
      <c r="Y5255" s="6" t="s">
        <v>30</v>
      </c>
      <c r="Z5255" s="6"/>
      <c r="AA5255" s="6" t="s">
        <v>2644</v>
      </c>
      <c r="AB5255" s="8"/>
    </row>
    <row r="5256" spans="1:28" s="4" customFormat="1" ht="51.95" customHeight="1">
      <c r="A5256" s="5">
        <v>0</v>
      </c>
      <c r="B5256" s="6" t="s">
        <v>30911</v>
      </c>
      <c r="C5256" s="7">
        <v>914.9</v>
      </c>
      <c r="D5256" s="8" t="s">
        <v>30912</v>
      </c>
      <c r="E5256" s="8" t="s">
        <v>30913</v>
      </c>
      <c r="F5256" s="8" t="s">
        <v>1185</v>
      </c>
      <c r="G5256" s="6" t="s">
        <v>52</v>
      </c>
      <c r="H5256" s="6" t="s">
        <v>39</v>
      </c>
      <c r="I5256" s="8"/>
      <c r="J5256" s="9">
        <v>1</v>
      </c>
      <c r="K5256" s="9">
        <v>352</v>
      </c>
      <c r="L5256" s="9">
        <v>2017</v>
      </c>
      <c r="M5256" s="8" t="s">
        <v>30914</v>
      </c>
      <c r="N5256" s="8" t="s">
        <v>79</v>
      </c>
      <c r="O5256" s="8" t="s">
        <v>396</v>
      </c>
      <c r="P5256" s="6" t="s">
        <v>167</v>
      </c>
      <c r="Q5256" s="8" t="s">
        <v>102</v>
      </c>
      <c r="R5256" s="10" t="s">
        <v>30915</v>
      </c>
      <c r="S5256" s="11" t="s">
        <v>30916</v>
      </c>
      <c r="T5256" s="6"/>
      <c r="U5256" s="24" t="str">
        <f>HYPERLINK("https://media.infra-m.ru/0908/0908572/cover/908572.jpg", "Обложка")</f>
        <v>Обложка</v>
      </c>
      <c r="V5256" s="24" t="str">
        <f>HYPERLINK("https://znanium.ru/catalog/product/2022257", "Ознакомиться")</f>
        <v>Ознакомиться</v>
      </c>
      <c r="W5256" s="8" t="s">
        <v>71</v>
      </c>
      <c r="X5256" s="6"/>
      <c r="Y5256" s="6"/>
      <c r="Z5256" s="6"/>
      <c r="AA5256" s="6" t="s">
        <v>4952</v>
      </c>
      <c r="AB5256" s="8"/>
    </row>
    <row r="5257" spans="1:28" s="4" customFormat="1" ht="51.95" customHeight="1">
      <c r="A5257" s="5">
        <v>0</v>
      </c>
      <c r="B5257" s="6" t="s">
        <v>30917</v>
      </c>
      <c r="C5257" s="13">
        <v>1584</v>
      </c>
      <c r="D5257" s="8" t="s">
        <v>30918</v>
      </c>
      <c r="E5257" s="8" t="s">
        <v>30919</v>
      </c>
      <c r="F5257" s="8" t="s">
        <v>1185</v>
      </c>
      <c r="G5257" s="6" t="s">
        <v>89</v>
      </c>
      <c r="H5257" s="6" t="s">
        <v>53</v>
      </c>
      <c r="I5257" s="8" t="s">
        <v>100</v>
      </c>
      <c r="J5257" s="9">
        <v>1</v>
      </c>
      <c r="K5257" s="9">
        <v>336</v>
      </c>
      <c r="L5257" s="9">
        <v>2024</v>
      </c>
      <c r="M5257" s="8" t="s">
        <v>30920</v>
      </c>
      <c r="N5257" s="8" t="s">
        <v>79</v>
      </c>
      <c r="O5257" s="8" t="s">
        <v>396</v>
      </c>
      <c r="P5257" s="6" t="s">
        <v>167</v>
      </c>
      <c r="Q5257" s="8" t="s">
        <v>102</v>
      </c>
      <c r="R5257" s="10" t="s">
        <v>30915</v>
      </c>
      <c r="S5257" s="11" t="s">
        <v>30921</v>
      </c>
      <c r="T5257" s="6"/>
      <c r="U5257" s="24" t="str">
        <f>HYPERLINK("https://media.infra-m.ru/2138/2138202/cover/2138202.jpg", "Обложка")</f>
        <v>Обложка</v>
      </c>
      <c r="V5257" s="24" t="str">
        <f>HYPERLINK("https://znanium.ru/catalog/product/2022257", "Ознакомиться")</f>
        <v>Ознакомиться</v>
      </c>
      <c r="W5257" s="8" t="s">
        <v>71</v>
      </c>
      <c r="X5257" s="6"/>
      <c r="Y5257" s="6"/>
      <c r="Z5257" s="6"/>
      <c r="AA5257" s="6" t="s">
        <v>2423</v>
      </c>
      <c r="AB5257" s="8"/>
    </row>
    <row r="5258" spans="1:28" s="4" customFormat="1" ht="51.95" customHeight="1">
      <c r="A5258" s="5">
        <v>0</v>
      </c>
      <c r="B5258" s="6" t="s">
        <v>30922</v>
      </c>
      <c r="C5258" s="13">
        <v>1727</v>
      </c>
      <c r="D5258" s="8" t="s">
        <v>30923</v>
      </c>
      <c r="E5258" s="8" t="s">
        <v>30924</v>
      </c>
      <c r="F5258" s="8" t="s">
        <v>30925</v>
      </c>
      <c r="G5258" s="6" t="s">
        <v>89</v>
      </c>
      <c r="H5258" s="6" t="s">
        <v>53</v>
      </c>
      <c r="I5258" s="8" t="s">
        <v>90</v>
      </c>
      <c r="J5258" s="9">
        <v>1</v>
      </c>
      <c r="K5258" s="9">
        <v>289</v>
      </c>
      <c r="L5258" s="9">
        <v>2023</v>
      </c>
      <c r="M5258" s="8" t="s">
        <v>30926</v>
      </c>
      <c r="N5258" s="8" t="s">
        <v>997</v>
      </c>
      <c r="O5258" s="8" t="s">
        <v>998</v>
      </c>
      <c r="P5258" s="6" t="s">
        <v>43</v>
      </c>
      <c r="Q5258" s="8" t="s">
        <v>44</v>
      </c>
      <c r="R5258" s="10" t="s">
        <v>30927</v>
      </c>
      <c r="S5258" s="11" t="s">
        <v>30928</v>
      </c>
      <c r="T5258" s="6" t="s">
        <v>299</v>
      </c>
      <c r="U5258" s="24" t="str">
        <f>HYPERLINK("https://media.infra-m.ru/2045/2045898/cover/2045898.jpg", "Обложка")</f>
        <v>Обложка</v>
      </c>
      <c r="V5258" s="24" t="str">
        <f>HYPERLINK("https://znanium.ru/catalog/product/1588598", "Ознакомиться")</f>
        <v>Ознакомиться</v>
      </c>
      <c r="W5258" s="8" t="s">
        <v>46</v>
      </c>
      <c r="X5258" s="6"/>
      <c r="Y5258" s="6"/>
      <c r="Z5258" s="6"/>
      <c r="AA5258" s="6" t="s">
        <v>2086</v>
      </c>
      <c r="AB5258" s="8"/>
    </row>
    <row r="5259" spans="1:28" s="4" customFormat="1" ht="51.95" customHeight="1">
      <c r="A5259" s="5">
        <v>0</v>
      </c>
      <c r="B5259" s="6" t="s">
        <v>30929</v>
      </c>
      <c r="C5259" s="13">
        <v>1184.9000000000001</v>
      </c>
      <c r="D5259" s="8" t="s">
        <v>30930</v>
      </c>
      <c r="E5259" s="8" t="s">
        <v>30931</v>
      </c>
      <c r="F5259" s="8" t="s">
        <v>30925</v>
      </c>
      <c r="G5259" s="6" t="s">
        <v>52</v>
      </c>
      <c r="H5259" s="6" t="s">
        <v>53</v>
      </c>
      <c r="I5259" s="8" t="s">
        <v>90</v>
      </c>
      <c r="J5259" s="9">
        <v>1</v>
      </c>
      <c r="K5259" s="9">
        <v>257</v>
      </c>
      <c r="L5259" s="9">
        <v>2021</v>
      </c>
      <c r="M5259" s="8" t="s">
        <v>30932</v>
      </c>
      <c r="N5259" s="8" t="s">
        <v>997</v>
      </c>
      <c r="O5259" s="8" t="s">
        <v>998</v>
      </c>
      <c r="P5259" s="6" t="s">
        <v>43</v>
      </c>
      <c r="Q5259" s="8" t="s">
        <v>44</v>
      </c>
      <c r="R5259" s="10" t="s">
        <v>30927</v>
      </c>
      <c r="S5259" s="11" t="s">
        <v>30933</v>
      </c>
      <c r="T5259" s="6" t="s">
        <v>299</v>
      </c>
      <c r="U5259" s="24" t="str">
        <f>HYPERLINK("https://media.infra-m.ru/1635/1635343/cover/1635343.jpg", "Обложка")</f>
        <v>Обложка</v>
      </c>
      <c r="V5259" s="24" t="str">
        <f>HYPERLINK("https://znanium.ru/catalog/product/1588598", "Ознакомиться")</f>
        <v>Ознакомиться</v>
      </c>
      <c r="W5259" s="8" t="s">
        <v>46</v>
      </c>
      <c r="X5259" s="6"/>
      <c r="Y5259" s="6"/>
      <c r="Z5259" s="6"/>
      <c r="AA5259" s="6" t="s">
        <v>1259</v>
      </c>
      <c r="AB5259" s="8"/>
    </row>
    <row r="5260" spans="1:28" s="4" customFormat="1" ht="51.95" customHeight="1">
      <c r="A5260" s="5">
        <v>0</v>
      </c>
      <c r="B5260" s="6" t="s">
        <v>30934</v>
      </c>
      <c r="C5260" s="7">
        <v>654</v>
      </c>
      <c r="D5260" s="8" t="s">
        <v>30935</v>
      </c>
      <c r="E5260" s="8" t="s">
        <v>30936</v>
      </c>
      <c r="F5260" s="8" t="s">
        <v>30937</v>
      </c>
      <c r="G5260" s="6" t="s">
        <v>38</v>
      </c>
      <c r="H5260" s="6" t="s">
        <v>53</v>
      </c>
      <c r="I5260" s="8" t="s">
        <v>2356</v>
      </c>
      <c r="J5260" s="9">
        <v>1</v>
      </c>
      <c r="K5260" s="9">
        <v>134</v>
      </c>
      <c r="L5260" s="9">
        <v>2023</v>
      </c>
      <c r="M5260" s="8" t="s">
        <v>30938</v>
      </c>
      <c r="N5260" s="8" t="s">
        <v>413</v>
      </c>
      <c r="O5260" s="8" t="s">
        <v>414</v>
      </c>
      <c r="P5260" s="6" t="s">
        <v>43</v>
      </c>
      <c r="Q5260" s="8" t="s">
        <v>44</v>
      </c>
      <c r="R5260" s="10" t="s">
        <v>13474</v>
      </c>
      <c r="S5260" s="11" t="s">
        <v>30939</v>
      </c>
      <c r="T5260" s="6"/>
      <c r="U5260" s="24" t="str">
        <f>HYPERLINK("https://media.infra-m.ru/2111/2111389/cover/2111389.jpg", "Обложка")</f>
        <v>Обложка</v>
      </c>
      <c r="V5260" s="24" t="str">
        <f>HYPERLINK("https://znanium.ru/catalog/product/2111371", "Ознакомиться")</f>
        <v>Ознакомиться</v>
      </c>
      <c r="W5260" s="8"/>
      <c r="X5260" s="6"/>
      <c r="Y5260" s="6"/>
      <c r="Z5260" s="6"/>
      <c r="AA5260" s="6" t="s">
        <v>418</v>
      </c>
      <c r="AB5260" s="8"/>
    </row>
    <row r="5261" spans="1:28" s="4" customFormat="1" ht="51.95" customHeight="1">
      <c r="A5261" s="5">
        <v>0</v>
      </c>
      <c r="B5261" s="6" t="s">
        <v>30940</v>
      </c>
      <c r="C5261" s="7">
        <v>850</v>
      </c>
      <c r="D5261" s="8" t="s">
        <v>30941</v>
      </c>
      <c r="E5261" s="8" t="s">
        <v>30942</v>
      </c>
      <c r="F5261" s="8" t="s">
        <v>30943</v>
      </c>
      <c r="G5261" s="6" t="s">
        <v>38</v>
      </c>
      <c r="H5261" s="6" t="s">
        <v>53</v>
      </c>
      <c r="I5261" s="8" t="s">
        <v>116</v>
      </c>
      <c r="J5261" s="9">
        <v>1</v>
      </c>
      <c r="K5261" s="9">
        <v>185</v>
      </c>
      <c r="L5261" s="9">
        <v>2023</v>
      </c>
      <c r="M5261" s="8" t="s">
        <v>30944</v>
      </c>
      <c r="N5261" s="8" t="s">
        <v>413</v>
      </c>
      <c r="O5261" s="8" t="s">
        <v>414</v>
      </c>
      <c r="P5261" s="6" t="s">
        <v>43</v>
      </c>
      <c r="Q5261" s="8" t="s">
        <v>58</v>
      </c>
      <c r="R5261" s="10" t="s">
        <v>13474</v>
      </c>
      <c r="S5261" s="11" t="s">
        <v>30945</v>
      </c>
      <c r="T5261" s="6"/>
      <c r="U5261" s="24" t="str">
        <f>HYPERLINK("https://media.infra-m.ru/2053/2053224/cover/2053224.jpg", "Обложка")</f>
        <v>Обложка</v>
      </c>
      <c r="V5261" s="24" t="str">
        <f>HYPERLINK("https://znanium.ru/catalog/product/2053224", "Ознакомиться")</f>
        <v>Ознакомиться</v>
      </c>
      <c r="W5261" s="8" t="s">
        <v>913</v>
      </c>
      <c r="X5261" s="6"/>
      <c r="Y5261" s="6"/>
      <c r="Z5261" s="6"/>
      <c r="AA5261" s="6" t="s">
        <v>111</v>
      </c>
      <c r="AB5261" s="8"/>
    </row>
    <row r="5262" spans="1:28" s="4" customFormat="1" ht="51.95" customHeight="1">
      <c r="A5262" s="5">
        <v>0</v>
      </c>
      <c r="B5262" s="6" t="s">
        <v>30946</v>
      </c>
      <c r="C5262" s="13">
        <v>1254</v>
      </c>
      <c r="D5262" s="8" t="s">
        <v>30947</v>
      </c>
      <c r="E5262" s="8" t="s">
        <v>30948</v>
      </c>
      <c r="F5262" s="8" t="s">
        <v>601</v>
      </c>
      <c r="G5262" s="6" t="s">
        <v>52</v>
      </c>
      <c r="H5262" s="6" t="s">
        <v>39</v>
      </c>
      <c r="I5262" s="8" t="s">
        <v>185</v>
      </c>
      <c r="J5262" s="9">
        <v>1</v>
      </c>
      <c r="K5262" s="9">
        <v>272</v>
      </c>
      <c r="L5262" s="9">
        <v>2024</v>
      </c>
      <c r="M5262" s="8" t="s">
        <v>30949</v>
      </c>
      <c r="N5262" s="8" t="s">
        <v>79</v>
      </c>
      <c r="O5262" s="8" t="s">
        <v>148</v>
      </c>
      <c r="P5262" s="6" t="s">
        <v>43</v>
      </c>
      <c r="Q5262" s="8" t="s">
        <v>102</v>
      </c>
      <c r="R5262" s="10" t="s">
        <v>30950</v>
      </c>
      <c r="S5262" s="11" t="s">
        <v>30951</v>
      </c>
      <c r="T5262" s="6"/>
      <c r="U5262" s="24" t="str">
        <f>HYPERLINK("https://media.infra-m.ru/2066/2066472/cover/2066472.jpg", "Обложка")</f>
        <v>Обложка</v>
      </c>
      <c r="V5262" s="24" t="str">
        <f>HYPERLINK("https://znanium.ru/catalog/product/1834707", "Ознакомиться")</f>
        <v>Ознакомиться</v>
      </c>
      <c r="W5262" s="8" t="s">
        <v>605</v>
      </c>
      <c r="X5262" s="6"/>
      <c r="Y5262" s="6"/>
      <c r="Z5262" s="6"/>
      <c r="AA5262" s="6" t="s">
        <v>654</v>
      </c>
      <c r="AB5262" s="8"/>
    </row>
    <row r="5263" spans="1:28" s="4" customFormat="1" ht="51.95" customHeight="1">
      <c r="A5263" s="5">
        <v>0</v>
      </c>
      <c r="B5263" s="6" t="s">
        <v>30952</v>
      </c>
      <c r="C5263" s="13">
        <v>1180</v>
      </c>
      <c r="D5263" s="8" t="s">
        <v>30953</v>
      </c>
      <c r="E5263" s="8" t="s">
        <v>30954</v>
      </c>
      <c r="F5263" s="8" t="s">
        <v>30955</v>
      </c>
      <c r="G5263" s="6" t="s">
        <v>38</v>
      </c>
      <c r="H5263" s="6" t="s">
        <v>674</v>
      </c>
      <c r="I5263" s="8"/>
      <c r="J5263" s="9">
        <v>1</v>
      </c>
      <c r="K5263" s="9">
        <v>256</v>
      </c>
      <c r="L5263" s="9">
        <v>2024</v>
      </c>
      <c r="M5263" s="8" t="s">
        <v>30956</v>
      </c>
      <c r="N5263" s="8" t="s">
        <v>41</v>
      </c>
      <c r="O5263" s="8" t="s">
        <v>278</v>
      </c>
      <c r="P5263" s="6" t="s">
        <v>167</v>
      </c>
      <c r="Q5263" s="8" t="s">
        <v>44</v>
      </c>
      <c r="R5263" s="10" t="s">
        <v>2913</v>
      </c>
      <c r="S5263" s="11" t="s">
        <v>30957</v>
      </c>
      <c r="T5263" s="6"/>
      <c r="U5263" s="24" t="str">
        <f>HYPERLINK("https://media.infra-m.ru/2073/2073478/cover/2073478.jpg", "Обложка")</f>
        <v>Обложка</v>
      </c>
      <c r="V5263" s="24" t="str">
        <f>HYPERLINK("https://znanium.ru/catalog/product/2073478", "Ознакомиться")</f>
        <v>Ознакомиться</v>
      </c>
      <c r="W5263" s="8" t="s">
        <v>354</v>
      </c>
      <c r="X5263" s="6"/>
      <c r="Y5263" s="6"/>
      <c r="Z5263" s="6"/>
      <c r="AA5263" s="6" t="s">
        <v>418</v>
      </c>
      <c r="AB5263" s="8"/>
    </row>
    <row r="5264" spans="1:28" s="4" customFormat="1" ht="42" customHeight="1">
      <c r="A5264" s="5">
        <v>0</v>
      </c>
      <c r="B5264" s="6" t="s">
        <v>30958</v>
      </c>
      <c r="C5264" s="13">
        <v>1324</v>
      </c>
      <c r="D5264" s="8" t="s">
        <v>30959</v>
      </c>
      <c r="E5264" s="8" t="s">
        <v>30960</v>
      </c>
      <c r="F5264" s="8" t="s">
        <v>30961</v>
      </c>
      <c r="G5264" s="6" t="s">
        <v>52</v>
      </c>
      <c r="H5264" s="6" t="s">
        <v>53</v>
      </c>
      <c r="I5264" s="8" t="s">
        <v>90</v>
      </c>
      <c r="J5264" s="9">
        <v>1</v>
      </c>
      <c r="K5264" s="9">
        <v>287</v>
      </c>
      <c r="L5264" s="9">
        <v>2024</v>
      </c>
      <c r="M5264" s="8" t="s">
        <v>30962</v>
      </c>
      <c r="N5264" s="8" t="s">
        <v>41</v>
      </c>
      <c r="O5264" s="8" t="s">
        <v>278</v>
      </c>
      <c r="P5264" s="6" t="s">
        <v>43</v>
      </c>
      <c r="Q5264" s="8" t="s">
        <v>44</v>
      </c>
      <c r="R5264" s="10" t="s">
        <v>30963</v>
      </c>
      <c r="S5264" s="11"/>
      <c r="T5264" s="6"/>
      <c r="U5264" s="24" t="str">
        <f>HYPERLINK("https://media.infra-m.ru/2087/2087296/cover/2087296.jpg", "Обложка")</f>
        <v>Обложка</v>
      </c>
      <c r="V5264" s="24" t="str">
        <f>HYPERLINK("https://znanium.ru/catalog/product/1009620", "Ознакомиться")</f>
        <v>Ознакомиться</v>
      </c>
      <c r="W5264" s="8" t="s">
        <v>1571</v>
      </c>
      <c r="X5264" s="6"/>
      <c r="Y5264" s="6"/>
      <c r="Z5264" s="6"/>
      <c r="AA5264" s="6" t="s">
        <v>111</v>
      </c>
      <c r="AB5264" s="8"/>
    </row>
    <row r="5265" spans="1:28" s="4" customFormat="1" ht="51.95" customHeight="1">
      <c r="A5265" s="5">
        <v>0</v>
      </c>
      <c r="B5265" s="6" t="s">
        <v>30964</v>
      </c>
      <c r="C5265" s="13">
        <v>1180</v>
      </c>
      <c r="D5265" s="8" t="s">
        <v>30965</v>
      </c>
      <c r="E5265" s="8" t="s">
        <v>30966</v>
      </c>
      <c r="F5265" s="8" t="s">
        <v>30967</v>
      </c>
      <c r="G5265" s="6" t="s">
        <v>38</v>
      </c>
      <c r="H5265" s="6" t="s">
        <v>674</v>
      </c>
      <c r="I5265" s="8"/>
      <c r="J5265" s="9">
        <v>1</v>
      </c>
      <c r="K5265" s="9">
        <v>256</v>
      </c>
      <c r="L5265" s="9">
        <v>2024</v>
      </c>
      <c r="M5265" s="8" t="s">
        <v>30968</v>
      </c>
      <c r="N5265" s="8" t="s">
        <v>41</v>
      </c>
      <c r="O5265" s="8" t="s">
        <v>278</v>
      </c>
      <c r="P5265" s="6" t="s">
        <v>167</v>
      </c>
      <c r="Q5265" s="8" t="s">
        <v>44</v>
      </c>
      <c r="R5265" s="10" t="s">
        <v>30969</v>
      </c>
      <c r="S5265" s="11"/>
      <c r="T5265" s="6"/>
      <c r="U5265" s="24" t="str">
        <f>HYPERLINK("https://media.infra-m.ru/2084/2084243/cover/2084243.jpg", "Обложка")</f>
        <v>Обложка</v>
      </c>
      <c r="V5265" s="24" t="str">
        <f>HYPERLINK("https://znanium.ru/catalog/product/2084243", "Ознакомиться")</f>
        <v>Ознакомиться</v>
      </c>
      <c r="W5265" s="8" t="s">
        <v>354</v>
      </c>
      <c r="X5265" s="6"/>
      <c r="Y5265" s="6"/>
      <c r="Z5265" s="6"/>
      <c r="AA5265" s="6" t="s">
        <v>111</v>
      </c>
      <c r="AB5265" s="8"/>
    </row>
    <row r="5266" spans="1:28" s="4" customFormat="1" ht="42" customHeight="1">
      <c r="A5266" s="5">
        <v>0</v>
      </c>
      <c r="B5266" s="6" t="s">
        <v>30970</v>
      </c>
      <c r="C5266" s="13">
        <v>1034</v>
      </c>
      <c r="D5266" s="8" t="s">
        <v>30971</v>
      </c>
      <c r="E5266" s="8" t="s">
        <v>30972</v>
      </c>
      <c r="F5266" s="8" t="s">
        <v>30973</v>
      </c>
      <c r="G5266" s="6" t="s">
        <v>38</v>
      </c>
      <c r="H5266" s="6" t="s">
        <v>674</v>
      </c>
      <c r="I5266" s="8"/>
      <c r="J5266" s="9">
        <v>1</v>
      </c>
      <c r="K5266" s="9">
        <v>224</v>
      </c>
      <c r="L5266" s="9">
        <v>2024</v>
      </c>
      <c r="M5266" s="8" t="s">
        <v>30974</v>
      </c>
      <c r="N5266" s="8" t="s">
        <v>41</v>
      </c>
      <c r="O5266" s="8" t="s">
        <v>278</v>
      </c>
      <c r="P5266" s="6" t="s">
        <v>43</v>
      </c>
      <c r="Q5266" s="8" t="s">
        <v>44</v>
      </c>
      <c r="R5266" s="10" t="s">
        <v>2319</v>
      </c>
      <c r="S5266" s="11"/>
      <c r="T5266" s="6"/>
      <c r="U5266" s="24" t="str">
        <f>HYPERLINK("https://media.infra-m.ru/2120/2120768/cover/2120768.jpg", "Обложка")</f>
        <v>Обложка</v>
      </c>
      <c r="V5266" s="24" t="str">
        <f>HYPERLINK("https://znanium.ru/catalog/product/1045673", "Ознакомиться")</f>
        <v>Ознакомиться</v>
      </c>
      <c r="W5266" s="8"/>
      <c r="X5266" s="6"/>
      <c r="Y5266" s="6"/>
      <c r="Z5266" s="6"/>
      <c r="AA5266" s="6" t="s">
        <v>418</v>
      </c>
      <c r="AB5266" s="8"/>
    </row>
    <row r="5267" spans="1:28" s="4" customFormat="1" ht="51.95" customHeight="1">
      <c r="A5267" s="5">
        <v>0</v>
      </c>
      <c r="B5267" s="6" t="s">
        <v>30975</v>
      </c>
      <c r="C5267" s="13">
        <v>1164</v>
      </c>
      <c r="D5267" s="8" t="s">
        <v>30976</v>
      </c>
      <c r="E5267" s="8" t="s">
        <v>30977</v>
      </c>
      <c r="F5267" s="8" t="s">
        <v>30978</v>
      </c>
      <c r="G5267" s="6" t="s">
        <v>52</v>
      </c>
      <c r="H5267" s="6" t="s">
        <v>649</v>
      </c>
      <c r="I5267" s="8" t="s">
        <v>116</v>
      </c>
      <c r="J5267" s="9">
        <v>1</v>
      </c>
      <c r="K5267" s="9">
        <v>224</v>
      </c>
      <c r="L5267" s="9">
        <v>2025</v>
      </c>
      <c r="M5267" s="8" t="s">
        <v>30979</v>
      </c>
      <c r="N5267" s="8" t="s">
        <v>41</v>
      </c>
      <c r="O5267" s="8" t="s">
        <v>118</v>
      </c>
      <c r="P5267" s="6" t="s">
        <v>43</v>
      </c>
      <c r="Q5267" s="8" t="s">
        <v>44</v>
      </c>
      <c r="R5267" s="10" t="s">
        <v>30980</v>
      </c>
      <c r="S5267" s="11" t="s">
        <v>30981</v>
      </c>
      <c r="T5267" s="6"/>
      <c r="U5267" s="24" t="str">
        <f>HYPERLINK("https://media.infra-m.ru/2194/2194383/cover/2194383.jpg", "Обложка")</f>
        <v>Обложка</v>
      </c>
      <c r="V5267" s="12"/>
      <c r="W5267" s="8" t="s">
        <v>1198</v>
      </c>
      <c r="X5267" s="6"/>
      <c r="Y5267" s="6"/>
      <c r="Z5267" s="6"/>
      <c r="AA5267" s="6" t="s">
        <v>84</v>
      </c>
      <c r="AB5267" s="8"/>
    </row>
    <row r="5268" spans="1:28" s="4" customFormat="1" ht="51.95" customHeight="1">
      <c r="A5268" s="5">
        <v>0</v>
      </c>
      <c r="B5268" s="6" t="s">
        <v>30982</v>
      </c>
      <c r="C5268" s="13">
        <v>1074</v>
      </c>
      <c r="D5268" s="8" t="s">
        <v>30983</v>
      </c>
      <c r="E5268" s="8" t="s">
        <v>30984</v>
      </c>
      <c r="F5268" s="8" t="s">
        <v>30985</v>
      </c>
      <c r="G5268" s="6" t="s">
        <v>52</v>
      </c>
      <c r="H5268" s="6" t="s">
        <v>53</v>
      </c>
      <c r="I5268" s="8" t="s">
        <v>90</v>
      </c>
      <c r="J5268" s="9">
        <v>1</v>
      </c>
      <c r="K5268" s="9">
        <v>234</v>
      </c>
      <c r="L5268" s="9">
        <v>2024</v>
      </c>
      <c r="M5268" s="8" t="s">
        <v>30986</v>
      </c>
      <c r="N5268" s="8" t="s">
        <v>41</v>
      </c>
      <c r="O5268" s="8" t="s">
        <v>118</v>
      </c>
      <c r="P5268" s="6" t="s">
        <v>43</v>
      </c>
      <c r="Q5268" s="8" t="s">
        <v>44</v>
      </c>
      <c r="R5268" s="10" t="s">
        <v>2913</v>
      </c>
      <c r="S5268" s="11" t="s">
        <v>30987</v>
      </c>
      <c r="T5268" s="6"/>
      <c r="U5268" s="24" t="str">
        <f>HYPERLINK("https://media.infra-m.ru/2103/2103136/cover/2103136.jpg", "Обложка")</f>
        <v>Обложка</v>
      </c>
      <c r="V5268" s="24" t="str">
        <f>HYPERLINK("https://znanium.ru/catalog/product/1012451", "Ознакомиться")</f>
        <v>Ознакомиться</v>
      </c>
      <c r="W5268" s="8" t="s">
        <v>30988</v>
      </c>
      <c r="X5268" s="6"/>
      <c r="Y5268" s="6"/>
      <c r="Z5268" s="6"/>
      <c r="AA5268" s="6" t="s">
        <v>47</v>
      </c>
      <c r="AB5268" s="8"/>
    </row>
    <row r="5269" spans="1:28" s="4" customFormat="1" ht="51.95" customHeight="1">
      <c r="A5269" s="5">
        <v>0</v>
      </c>
      <c r="B5269" s="6" t="s">
        <v>30989</v>
      </c>
      <c r="C5269" s="7">
        <v>990</v>
      </c>
      <c r="D5269" s="8" t="s">
        <v>30990</v>
      </c>
      <c r="E5269" s="8" t="s">
        <v>30991</v>
      </c>
      <c r="F5269" s="8" t="s">
        <v>27533</v>
      </c>
      <c r="G5269" s="6" t="s">
        <v>89</v>
      </c>
      <c r="H5269" s="6" t="s">
        <v>53</v>
      </c>
      <c r="I5269" s="8" t="s">
        <v>212</v>
      </c>
      <c r="J5269" s="9">
        <v>1</v>
      </c>
      <c r="K5269" s="9">
        <v>214</v>
      </c>
      <c r="L5269" s="9">
        <v>2024</v>
      </c>
      <c r="M5269" s="8" t="s">
        <v>30992</v>
      </c>
      <c r="N5269" s="8" t="s">
        <v>41</v>
      </c>
      <c r="O5269" s="8" t="s">
        <v>1007</v>
      </c>
      <c r="P5269" s="6" t="s">
        <v>43</v>
      </c>
      <c r="Q5269" s="8" t="s">
        <v>214</v>
      </c>
      <c r="R5269" s="10" t="s">
        <v>6758</v>
      </c>
      <c r="S5269" s="11" t="s">
        <v>30993</v>
      </c>
      <c r="T5269" s="6"/>
      <c r="U5269" s="24" t="str">
        <f>HYPERLINK("https://media.infra-m.ru/2102/2102666/cover/2102666.jpg", "Обложка")</f>
        <v>Обложка</v>
      </c>
      <c r="V5269" s="24" t="str">
        <f>HYPERLINK("https://znanium.ru/catalog/product/2102666", "Ознакомиться")</f>
        <v>Ознакомиться</v>
      </c>
      <c r="W5269" s="8" t="s">
        <v>6489</v>
      </c>
      <c r="X5269" s="6"/>
      <c r="Y5269" s="6"/>
      <c r="Z5269" s="6"/>
      <c r="AA5269" s="6" t="s">
        <v>793</v>
      </c>
      <c r="AB5269" s="8"/>
    </row>
    <row r="5270" spans="1:28" s="4" customFormat="1" ht="51.95" customHeight="1">
      <c r="A5270" s="5">
        <v>0</v>
      </c>
      <c r="B5270" s="6" t="s">
        <v>30994</v>
      </c>
      <c r="C5270" s="7">
        <v>794.9</v>
      </c>
      <c r="D5270" s="8" t="s">
        <v>30995</v>
      </c>
      <c r="E5270" s="8" t="s">
        <v>30996</v>
      </c>
      <c r="F5270" s="8" t="s">
        <v>30997</v>
      </c>
      <c r="G5270" s="6" t="s">
        <v>52</v>
      </c>
      <c r="H5270" s="6" t="s">
        <v>53</v>
      </c>
      <c r="I5270" s="8" t="s">
        <v>100</v>
      </c>
      <c r="J5270" s="9">
        <v>1</v>
      </c>
      <c r="K5270" s="9">
        <v>176</v>
      </c>
      <c r="L5270" s="9">
        <v>2023</v>
      </c>
      <c r="M5270" s="8" t="s">
        <v>30998</v>
      </c>
      <c r="N5270" s="8" t="s">
        <v>41</v>
      </c>
      <c r="O5270" s="8" t="s">
        <v>278</v>
      </c>
      <c r="P5270" s="6" t="s">
        <v>43</v>
      </c>
      <c r="Q5270" s="8" t="s">
        <v>102</v>
      </c>
      <c r="R5270" s="10" t="s">
        <v>30999</v>
      </c>
      <c r="S5270" s="11" t="s">
        <v>31000</v>
      </c>
      <c r="T5270" s="6"/>
      <c r="U5270" s="24" t="str">
        <f>HYPERLINK("https://media.infra-m.ru/1896/1896431/cover/1896431.jpg", "Обложка")</f>
        <v>Обложка</v>
      </c>
      <c r="V5270" s="24" t="str">
        <f>HYPERLINK("https://znanium.ru/catalog/product/1871022", "Ознакомиться")</f>
        <v>Ознакомиться</v>
      </c>
      <c r="W5270" s="8" t="s">
        <v>1587</v>
      </c>
      <c r="X5270" s="6"/>
      <c r="Y5270" s="6"/>
      <c r="Z5270" s="6" t="s">
        <v>104</v>
      </c>
      <c r="AA5270" s="6" t="s">
        <v>1374</v>
      </c>
      <c r="AB5270" s="8"/>
    </row>
    <row r="5271" spans="1:28" s="4" customFormat="1" ht="51.95" customHeight="1">
      <c r="A5271" s="5">
        <v>0</v>
      </c>
      <c r="B5271" s="6" t="s">
        <v>31001</v>
      </c>
      <c r="C5271" s="13">
        <v>1084.9000000000001</v>
      </c>
      <c r="D5271" s="8" t="s">
        <v>31002</v>
      </c>
      <c r="E5271" s="8" t="s">
        <v>31003</v>
      </c>
      <c r="F5271" s="8" t="s">
        <v>31004</v>
      </c>
      <c r="G5271" s="6" t="s">
        <v>52</v>
      </c>
      <c r="H5271" s="6" t="s">
        <v>53</v>
      </c>
      <c r="I5271" s="8" t="s">
        <v>100</v>
      </c>
      <c r="J5271" s="9">
        <v>1</v>
      </c>
      <c r="K5271" s="9">
        <v>240</v>
      </c>
      <c r="L5271" s="9">
        <v>2023</v>
      </c>
      <c r="M5271" s="8" t="s">
        <v>31005</v>
      </c>
      <c r="N5271" s="8" t="s">
        <v>41</v>
      </c>
      <c r="O5271" s="8" t="s">
        <v>278</v>
      </c>
      <c r="P5271" s="6" t="s">
        <v>43</v>
      </c>
      <c r="Q5271" s="8" t="s">
        <v>102</v>
      </c>
      <c r="R5271" s="10" t="s">
        <v>31006</v>
      </c>
      <c r="S5271" s="11" t="s">
        <v>31007</v>
      </c>
      <c r="T5271" s="6"/>
      <c r="U5271" s="24" t="str">
        <f>HYPERLINK("https://media.infra-m.ru/2049/2049720/cover/2049720.jpg", "Обложка")</f>
        <v>Обложка</v>
      </c>
      <c r="V5271" s="24" t="str">
        <f>HYPERLINK("https://znanium.ru/catalog/product/1046389", "Ознакомиться")</f>
        <v>Ознакомиться</v>
      </c>
      <c r="W5271" s="8" t="s">
        <v>30988</v>
      </c>
      <c r="X5271" s="6"/>
      <c r="Y5271" s="6"/>
      <c r="Z5271" s="6" t="s">
        <v>104</v>
      </c>
      <c r="AA5271" s="6" t="s">
        <v>219</v>
      </c>
      <c r="AB5271" s="8"/>
    </row>
    <row r="5272" spans="1:28" s="4" customFormat="1" ht="51.95" customHeight="1">
      <c r="A5272" s="5">
        <v>0</v>
      </c>
      <c r="B5272" s="6" t="s">
        <v>31008</v>
      </c>
      <c r="C5272" s="13">
        <v>2064</v>
      </c>
      <c r="D5272" s="8" t="s">
        <v>31009</v>
      </c>
      <c r="E5272" s="8" t="s">
        <v>31010</v>
      </c>
      <c r="F5272" s="8" t="s">
        <v>31011</v>
      </c>
      <c r="G5272" s="6" t="s">
        <v>52</v>
      </c>
      <c r="H5272" s="6" t="s">
        <v>53</v>
      </c>
      <c r="I5272" s="8" t="s">
        <v>90</v>
      </c>
      <c r="J5272" s="9">
        <v>1</v>
      </c>
      <c r="K5272" s="9">
        <v>448</v>
      </c>
      <c r="L5272" s="9">
        <v>2024</v>
      </c>
      <c r="M5272" s="8" t="s">
        <v>31012</v>
      </c>
      <c r="N5272" s="8" t="s">
        <v>41</v>
      </c>
      <c r="O5272" s="8" t="s">
        <v>278</v>
      </c>
      <c r="P5272" s="6" t="s">
        <v>167</v>
      </c>
      <c r="Q5272" s="8" t="s">
        <v>44</v>
      </c>
      <c r="R5272" s="10" t="s">
        <v>31013</v>
      </c>
      <c r="S5272" s="11" t="s">
        <v>31014</v>
      </c>
      <c r="T5272" s="6"/>
      <c r="U5272" s="24" t="str">
        <f>HYPERLINK("https://media.infra-m.ru/1893/1893646/cover/1893646.jpg", "Обложка")</f>
        <v>Обложка</v>
      </c>
      <c r="V5272" s="24" t="str">
        <f>HYPERLINK("https://znanium.ru/catalog/product/1893646", "Ознакомиться")</f>
        <v>Ознакомиться</v>
      </c>
      <c r="W5272" s="8" t="s">
        <v>8428</v>
      </c>
      <c r="X5272" s="6"/>
      <c r="Y5272" s="6"/>
      <c r="Z5272" s="6"/>
      <c r="AA5272" s="6" t="s">
        <v>1461</v>
      </c>
      <c r="AB5272" s="8"/>
    </row>
    <row r="5273" spans="1:28" s="4" customFormat="1" ht="42" customHeight="1">
      <c r="A5273" s="5">
        <v>0</v>
      </c>
      <c r="B5273" s="6" t="s">
        <v>31015</v>
      </c>
      <c r="C5273" s="13">
        <v>1080</v>
      </c>
      <c r="D5273" s="8" t="s">
        <v>31016</v>
      </c>
      <c r="E5273" s="8" t="s">
        <v>31017</v>
      </c>
      <c r="F5273" s="8" t="s">
        <v>2324</v>
      </c>
      <c r="G5273" s="6" t="s">
        <v>52</v>
      </c>
      <c r="H5273" s="6" t="s">
        <v>53</v>
      </c>
      <c r="I5273" s="8" t="s">
        <v>116</v>
      </c>
      <c r="J5273" s="9">
        <v>1</v>
      </c>
      <c r="K5273" s="9">
        <v>216</v>
      </c>
      <c r="L5273" s="9">
        <v>2025</v>
      </c>
      <c r="M5273" s="8" t="s">
        <v>31018</v>
      </c>
      <c r="N5273" s="8" t="s">
        <v>41</v>
      </c>
      <c r="O5273" s="8" t="s">
        <v>278</v>
      </c>
      <c r="P5273" s="6" t="s">
        <v>43</v>
      </c>
      <c r="Q5273" s="8" t="s">
        <v>58</v>
      </c>
      <c r="R5273" s="10" t="s">
        <v>2913</v>
      </c>
      <c r="S5273" s="11"/>
      <c r="T5273" s="6"/>
      <c r="U5273" s="24" t="str">
        <f>HYPERLINK("https://media.infra-m.ru/1013/1013013/cover/1013013.jpg", "Обложка")</f>
        <v>Обложка</v>
      </c>
      <c r="V5273" s="24" t="str">
        <f>HYPERLINK("https://znanium.ru/catalog/product/1013013", "Ознакомиться")</f>
        <v>Ознакомиться</v>
      </c>
      <c r="W5273" s="8" t="s">
        <v>2321</v>
      </c>
      <c r="X5273" s="6" t="s">
        <v>548</v>
      </c>
      <c r="Y5273" s="6"/>
      <c r="Z5273" s="6"/>
      <c r="AA5273" s="6" t="s">
        <v>61</v>
      </c>
      <c r="AB5273" s="8"/>
    </row>
    <row r="5274" spans="1:28" s="4" customFormat="1" ht="51.95" customHeight="1">
      <c r="A5274" s="5">
        <v>0</v>
      </c>
      <c r="B5274" s="6" t="s">
        <v>31019</v>
      </c>
      <c r="C5274" s="13">
        <v>1794.9</v>
      </c>
      <c r="D5274" s="8" t="s">
        <v>31020</v>
      </c>
      <c r="E5274" s="8" t="s">
        <v>31003</v>
      </c>
      <c r="F5274" s="8" t="s">
        <v>31021</v>
      </c>
      <c r="G5274" s="6" t="s">
        <v>52</v>
      </c>
      <c r="H5274" s="6" t="s">
        <v>53</v>
      </c>
      <c r="I5274" s="8" t="s">
        <v>90</v>
      </c>
      <c r="J5274" s="9">
        <v>1</v>
      </c>
      <c r="K5274" s="9">
        <v>576</v>
      </c>
      <c r="L5274" s="9">
        <v>2022</v>
      </c>
      <c r="M5274" s="8" t="s">
        <v>31022</v>
      </c>
      <c r="N5274" s="8" t="s">
        <v>41</v>
      </c>
      <c r="O5274" s="8" t="s">
        <v>278</v>
      </c>
      <c r="P5274" s="6" t="s">
        <v>167</v>
      </c>
      <c r="Q5274" s="8" t="s">
        <v>44</v>
      </c>
      <c r="R5274" s="10" t="s">
        <v>31013</v>
      </c>
      <c r="S5274" s="11" t="s">
        <v>31023</v>
      </c>
      <c r="T5274" s="6"/>
      <c r="U5274" s="24" t="str">
        <f>HYPERLINK("https://media.infra-m.ru/1843/1843620/cover/1843620.jpg", "Обложка")</f>
        <v>Обложка</v>
      </c>
      <c r="V5274" s="24" t="str">
        <f>HYPERLINK("https://znanium.ru/catalog/product/984065", "Ознакомиться")</f>
        <v>Ознакомиться</v>
      </c>
      <c r="W5274" s="8" t="s">
        <v>31024</v>
      </c>
      <c r="X5274" s="6"/>
      <c r="Y5274" s="6"/>
      <c r="Z5274" s="6"/>
      <c r="AA5274" s="6" t="s">
        <v>122</v>
      </c>
      <c r="AB5274" s="8"/>
    </row>
    <row r="5275" spans="1:28" s="4" customFormat="1" ht="51.95" customHeight="1">
      <c r="A5275" s="5">
        <v>0</v>
      </c>
      <c r="B5275" s="6" t="s">
        <v>31025</v>
      </c>
      <c r="C5275" s="13">
        <v>2144</v>
      </c>
      <c r="D5275" s="8" t="s">
        <v>31026</v>
      </c>
      <c r="E5275" s="8" t="s">
        <v>31003</v>
      </c>
      <c r="F5275" s="8" t="s">
        <v>31027</v>
      </c>
      <c r="G5275" s="6" t="s">
        <v>52</v>
      </c>
      <c r="H5275" s="6" t="s">
        <v>53</v>
      </c>
      <c r="I5275" s="8" t="s">
        <v>100</v>
      </c>
      <c r="J5275" s="9">
        <v>1</v>
      </c>
      <c r="K5275" s="9">
        <v>576</v>
      </c>
      <c r="L5275" s="9">
        <v>2023</v>
      </c>
      <c r="M5275" s="8" t="s">
        <v>31028</v>
      </c>
      <c r="N5275" s="8" t="s">
        <v>41</v>
      </c>
      <c r="O5275" s="8" t="s">
        <v>278</v>
      </c>
      <c r="P5275" s="6" t="s">
        <v>167</v>
      </c>
      <c r="Q5275" s="8" t="s">
        <v>102</v>
      </c>
      <c r="R5275" s="10" t="s">
        <v>31029</v>
      </c>
      <c r="S5275" s="11" t="s">
        <v>31030</v>
      </c>
      <c r="T5275" s="6"/>
      <c r="U5275" s="24" t="str">
        <f>HYPERLINK("https://media.infra-m.ru/2021/2021444/cover/2021444.jpg", "Обложка")</f>
        <v>Обложка</v>
      </c>
      <c r="V5275" s="24" t="str">
        <f>HYPERLINK("https://znanium.ru/catalog/product/961708", "Ознакомиться")</f>
        <v>Ознакомиться</v>
      </c>
      <c r="W5275" s="8" t="s">
        <v>31024</v>
      </c>
      <c r="X5275" s="6"/>
      <c r="Y5275" s="6"/>
      <c r="Z5275" s="6" t="s">
        <v>104</v>
      </c>
      <c r="AA5275" s="6" t="s">
        <v>793</v>
      </c>
      <c r="AB5275" s="8"/>
    </row>
    <row r="5276" spans="1:28" s="4" customFormat="1" ht="42" customHeight="1">
      <c r="A5276" s="5">
        <v>0</v>
      </c>
      <c r="B5276" s="6" t="s">
        <v>31031</v>
      </c>
      <c r="C5276" s="13">
        <v>1084.9000000000001</v>
      </c>
      <c r="D5276" s="8" t="s">
        <v>31032</v>
      </c>
      <c r="E5276" s="8" t="s">
        <v>31003</v>
      </c>
      <c r="F5276" s="8" t="s">
        <v>31033</v>
      </c>
      <c r="G5276" s="6" t="s">
        <v>52</v>
      </c>
      <c r="H5276" s="6" t="s">
        <v>53</v>
      </c>
      <c r="I5276" s="8" t="s">
        <v>90</v>
      </c>
      <c r="J5276" s="9">
        <v>1</v>
      </c>
      <c r="K5276" s="9">
        <v>240</v>
      </c>
      <c r="L5276" s="9">
        <v>2023</v>
      </c>
      <c r="M5276" s="8" t="s">
        <v>31034</v>
      </c>
      <c r="N5276" s="8" t="s">
        <v>41</v>
      </c>
      <c r="O5276" s="8" t="s">
        <v>278</v>
      </c>
      <c r="P5276" s="6" t="s">
        <v>43</v>
      </c>
      <c r="Q5276" s="8" t="s">
        <v>44</v>
      </c>
      <c r="R5276" s="10" t="s">
        <v>2319</v>
      </c>
      <c r="S5276" s="11"/>
      <c r="T5276" s="6"/>
      <c r="U5276" s="24" t="str">
        <f>HYPERLINK("https://media.infra-m.ru/1981/1981613/cover/1981613.jpg", "Обложка")</f>
        <v>Обложка</v>
      </c>
      <c r="V5276" s="24" t="str">
        <f>HYPERLINK("https://znanium.ru/catalog/product/1013471", "Ознакомиться")</f>
        <v>Ознакомиться</v>
      </c>
      <c r="W5276" s="8" t="s">
        <v>30988</v>
      </c>
      <c r="X5276" s="6"/>
      <c r="Y5276" s="6"/>
      <c r="Z5276" s="6"/>
      <c r="AA5276" s="6" t="s">
        <v>111</v>
      </c>
      <c r="AB5276" s="8"/>
    </row>
    <row r="5277" spans="1:28" s="4" customFormat="1" ht="51.95" customHeight="1">
      <c r="A5277" s="5">
        <v>0</v>
      </c>
      <c r="B5277" s="6" t="s">
        <v>31035</v>
      </c>
      <c r="C5277" s="7">
        <v>590</v>
      </c>
      <c r="D5277" s="8" t="s">
        <v>31036</v>
      </c>
      <c r="E5277" s="8" t="s">
        <v>31037</v>
      </c>
      <c r="F5277" s="8" t="s">
        <v>31038</v>
      </c>
      <c r="G5277" s="6" t="s">
        <v>89</v>
      </c>
      <c r="H5277" s="6" t="s">
        <v>53</v>
      </c>
      <c r="I5277" s="8" t="s">
        <v>100</v>
      </c>
      <c r="J5277" s="9">
        <v>1</v>
      </c>
      <c r="K5277" s="9">
        <v>136</v>
      </c>
      <c r="L5277" s="9">
        <v>2022</v>
      </c>
      <c r="M5277" s="8" t="s">
        <v>31039</v>
      </c>
      <c r="N5277" s="8" t="s">
        <v>41</v>
      </c>
      <c r="O5277" s="8" t="s">
        <v>278</v>
      </c>
      <c r="P5277" s="6" t="s">
        <v>43</v>
      </c>
      <c r="Q5277" s="8" t="s">
        <v>102</v>
      </c>
      <c r="R5277" s="10" t="s">
        <v>30999</v>
      </c>
      <c r="S5277" s="11" t="s">
        <v>31040</v>
      </c>
      <c r="T5277" s="6"/>
      <c r="U5277" s="24" t="str">
        <f>HYPERLINK("https://media.infra-m.ru/1865/1865779/cover/1865779.jpg", "Обложка")</f>
        <v>Обложка</v>
      </c>
      <c r="V5277" s="24" t="str">
        <f>HYPERLINK("https://znanium.ru/catalog/product/1865779", "Ознакомиться")</f>
        <v>Ознакомиться</v>
      </c>
      <c r="W5277" s="8" t="s">
        <v>1635</v>
      </c>
      <c r="X5277" s="6"/>
      <c r="Y5277" s="6"/>
      <c r="Z5277" s="6" t="s">
        <v>104</v>
      </c>
      <c r="AA5277" s="6" t="s">
        <v>219</v>
      </c>
      <c r="AB5277" s="8"/>
    </row>
    <row r="5278" spans="1:28" s="4" customFormat="1" ht="51.95" customHeight="1">
      <c r="A5278" s="5">
        <v>0</v>
      </c>
      <c r="B5278" s="6" t="s">
        <v>31041</v>
      </c>
      <c r="C5278" s="7">
        <v>614.9</v>
      </c>
      <c r="D5278" s="8" t="s">
        <v>31042</v>
      </c>
      <c r="E5278" s="8" t="s">
        <v>31037</v>
      </c>
      <c r="F5278" s="8" t="s">
        <v>31043</v>
      </c>
      <c r="G5278" s="6" t="s">
        <v>38</v>
      </c>
      <c r="H5278" s="6" t="s">
        <v>53</v>
      </c>
      <c r="I5278" s="8" t="s">
        <v>90</v>
      </c>
      <c r="J5278" s="9">
        <v>1</v>
      </c>
      <c r="K5278" s="9">
        <v>136</v>
      </c>
      <c r="L5278" s="9">
        <v>2023</v>
      </c>
      <c r="M5278" s="8" t="s">
        <v>31044</v>
      </c>
      <c r="N5278" s="8" t="s">
        <v>41</v>
      </c>
      <c r="O5278" s="8" t="s">
        <v>278</v>
      </c>
      <c r="P5278" s="6" t="s">
        <v>43</v>
      </c>
      <c r="Q5278" s="8" t="s">
        <v>44</v>
      </c>
      <c r="R5278" s="10" t="s">
        <v>31045</v>
      </c>
      <c r="S5278" s="11" t="s">
        <v>31046</v>
      </c>
      <c r="T5278" s="6"/>
      <c r="U5278" s="24" t="str">
        <f>HYPERLINK("https://media.infra-m.ru/2045/2045802/cover/2045802.jpg", "Обложка")</f>
        <v>Обложка</v>
      </c>
      <c r="V5278" s="24" t="str">
        <f>HYPERLINK("https://znanium.ru/catalog/product/915096", "Ознакомиться")</f>
        <v>Ознакомиться</v>
      </c>
      <c r="W5278" s="8" t="s">
        <v>1635</v>
      </c>
      <c r="X5278" s="6"/>
      <c r="Y5278" s="6"/>
      <c r="Z5278" s="6"/>
      <c r="AA5278" s="6" t="s">
        <v>84</v>
      </c>
      <c r="AB5278" s="8"/>
    </row>
    <row r="5279" spans="1:28" s="4" customFormat="1" ht="51.95" customHeight="1">
      <c r="A5279" s="5">
        <v>0</v>
      </c>
      <c r="B5279" s="6" t="s">
        <v>31047</v>
      </c>
      <c r="C5279" s="13">
        <v>2094</v>
      </c>
      <c r="D5279" s="8" t="s">
        <v>31048</v>
      </c>
      <c r="E5279" s="8" t="s">
        <v>31010</v>
      </c>
      <c r="F5279" s="8" t="s">
        <v>31049</v>
      </c>
      <c r="G5279" s="6" t="s">
        <v>52</v>
      </c>
      <c r="H5279" s="6" t="s">
        <v>53</v>
      </c>
      <c r="I5279" s="8" t="s">
        <v>100</v>
      </c>
      <c r="J5279" s="9">
        <v>1</v>
      </c>
      <c r="K5279" s="9">
        <v>448</v>
      </c>
      <c r="L5279" s="9">
        <v>2024</v>
      </c>
      <c r="M5279" s="8" t="s">
        <v>31050</v>
      </c>
      <c r="N5279" s="8" t="s">
        <v>41</v>
      </c>
      <c r="O5279" s="8" t="s">
        <v>278</v>
      </c>
      <c r="P5279" s="6" t="s">
        <v>167</v>
      </c>
      <c r="Q5279" s="8" t="s">
        <v>102</v>
      </c>
      <c r="R5279" s="10" t="s">
        <v>31006</v>
      </c>
      <c r="S5279" s="11" t="s">
        <v>31051</v>
      </c>
      <c r="T5279" s="6"/>
      <c r="U5279" s="24" t="str">
        <f>HYPERLINK("https://media.infra-m.ru/2152/2152110/cover/2152110.jpg", "Обложка")</f>
        <v>Обложка</v>
      </c>
      <c r="V5279" s="24" t="str">
        <f>HYPERLINK("https://znanium.ru/catalog/product/1046426", "Ознакомиться")</f>
        <v>Ознакомиться</v>
      </c>
      <c r="W5279" s="8" t="s">
        <v>8428</v>
      </c>
      <c r="X5279" s="6"/>
      <c r="Y5279" s="6"/>
      <c r="Z5279" s="6" t="s">
        <v>104</v>
      </c>
      <c r="AA5279" s="6" t="s">
        <v>1259</v>
      </c>
      <c r="AB5279" s="8"/>
    </row>
    <row r="5280" spans="1:28" s="4" customFormat="1" ht="51.95" customHeight="1">
      <c r="A5280" s="5">
        <v>0</v>
      </c>
      <c r="B5280" s="6" t="s">
        <v>31052</v>
      </c>
      <c r="C5280" s="7">
        <v>470</v>
      </c>
      <c r="D5280" s="8" t="s">
        <v>31053</v>
      </c>
      <c r="E5280" s="8" t="s">
        <v>31054</v>
      </c>
      <c r="F5280" s="8" t="s">
        <v>30997</v>
      </c>
      <c r="G5280" s="6" t="s">
        <v>38</v>
      </c>
      <c r="H5280" s="6" t="s">
        <v>53</v>
      </c>
      <c r="I5280" s="8" t="s">
        <v>90</v>
      </c>
      <c r="J5280" s="9">
        <v>10</v>
      </c>
      <c r="K5280" s="9">
        <v>174</v>
      </c>
      <c r="L5280" s="9">
        <v>2017</v>
      </c>
      <c r="M5280" s="8" t="s">
        <v>31055</v>
      </c>
      <c r="N5280" s="8" t="s">
        <v>41</v>
      </c>
      <c r="O5280" s="8" t="s">
        <v>278</v>
      </c>
      <c r="P5280" s="6" t="s">
        <v>43</v>
      </c>
      <c r="Q5280" s="8" t="s">
        <v>44</v>
      </c>
      <c r="R5280" s="10" t="s">
        <v>31013</v>
      </c>
      <c r="S5280" s="11" t="s">
        <v>31056</v>
      </c>
      <c r="T5280" s="6"/>
      <c r="U5280" s="24" t="str">
        <f>HYPERLINK("https://media.infra-m.ru/0558/0558381/cover/558381.jpg", "Обложка")</f>
        <v>Обложка</v>
      </c>
      <c r="V5280" s="24" t="str">
        <f>HYPERLINK("https://znanium.ru/catalog/product/1840497", "Ознакомиться")</f>
        <v>Ознакомиться</v>
      </c>
      <c r="W5280" s="8" t="s">
        <v>1587</v>
      </c>
      <c r="X5280" s="6"/>
      <c r="Y5280" s="6"/>
      <c r="Z5280" s="6"/>
      <c r="AA5280" s="6" t="s">
        <v>72</v>
      </c>
      <c r="AB5280" s="8"/>
    </row>
    <row r="5281" spans="1:28" s="4" customFormat="1" ht="51.95" customHeight="1">
      <c r="A5281" s="5">
        <v>0</v>
      </c>
      <c r="B5281" s="6" t="s">
        <v>31057</v>
      </c>
      <c r="C5281" s="7">
        <v>910</v>
      </c>
      <c r="D5281" s="8" t="s">
        <v>31058</v>
      </c>
      <c r="E5281" s="8" t="s">
        <v>30996</v>
      </c>
      <c r="F5281" s="8" t="s">
        <v>30997</v>
      </c>
      <c r="G5281" s="6" t="s">
        <v>89</v>
      </c>
      <c r="H5281" s="6" t="s">
        <v>53</v>
      </c>
      <c r="I5281" s="8" t="s">
        <v>116</v>
      </c>
      <c r="J5281" s="9">
        <v>1</v>
      </c>
      <c r="K5281" s="9">
        <v>176</v>
      </c>
      <c r="L5281" s="9">
        <v>2025</v>
      </c>
      <c r="M5281" s="8" t="s">
        <v>31059</v>
      </c>
      <c r="N5281" s="8" t="s">
        <v>41</v>
      </c>
      <c r="O5281" s="8" t="s">
        <v>278</v>
      </c>
      <c r="P5281" s="6" t="s">
        <v>43</v>
      </c>
      <c r="Q5281" s="8" t="s">
        <v>44</v>
      </c>
      <c r="R5281" s="10" t="s">
        <v>31013</v>
      </c>
      <c r="S5281" s="11" t="s">
        <v>31060</v>
      </c>
      <c r="T5281" s="6"/>
      <c r="U5281" s="24" t="str">
        <f>HYPERLINK("https://media.infra-m.ru/2188/2188734/cover/2188734.jpg", "Обложка")</f>
        <v>Обложка</v>
      </c>
      <c r="V5281" s="24" t="str">
        <f>HYPERLINK("https://znanium.ru/catalog/product/1840497", "Ознакомиться")</f>
        <v>Ознакомиться</v>
      </c>
      <c r="W5281" s="8" t="s">
        <v>1587</v>
      </c>
      <c r="X5281" s="6"/>
      <c r="Y5281" s="6"/>
      <c r="Z5281" s="6"/>
      <c r="AA5281" s="6" t="s">
        <v>196</v>
      </c>
      <c r="AB5281" s="8"/>
    </row>
    <row r="5282" spans="1:28" s="4" customFormat="1" ht="51.95" customHeight="1">
      <c r="A5282" s="5">
        <v>0</v>
      </c>
      <c r="B5282" s="6" t="s">
        <v>31061</v>
      </c>
      <c r="C5282" s="13">
        <v>1214</v>
      </c>
      <c r="D5282" s="8" t="s">
        <v>31062</v>
      </c>
      <c r="E5282" s="8" t="s">
        <v>31063</v>
      </c>
      <c r="F5282" s="8" t="s">
        <v>31064</v>
      </c>
      <c r="G5282" s="6" t="s">
        <v>52</v>
      </c>
      <c r="H5282" s="6" t="s">
        <v>53</v>
      </c>
      <c r="I5282" s="8" t="s">
        <v>90</v>
      </c>
      <c r="J5282" s="9">
        <v>1</v>
      </c>
      <c r="K5282" s="9">
        <v>265</v>
      </c>
      <c r="L5282" s="9">
        <v>2024</v>
      </c>
      <c r="M5282" s="8" t="s">
        <v>31065</v>
      </c>
      <c r="N5282" s="8" t="s">
        <v>41</v>
      </c>
      <c r="O5282" s="8" t="s">
        <v>278</v>
      </c>
      <c r="P5282" s="6" t="s">
        <v>167</v>
      </c>
      <c r="Q5282" s="8" t="s">
        <v>44</v>
      </c>
      <c r="R5282" s="10" t="s">
        <v>2319</v>
      </c>
      <c r="S5282" s="11" t="s">
        <v>31066</v>
      </c>
      <c r="T5282" s="6"/>
      <c r="U5282" s="24" t="str">
        <f>HYPERLINK("https://media.infra-m.ru/2084/2084535/cover/2084535.jpg", "Обложка")</f>
        <v>Обложка</v>
      </c>
      <c r="V5282" s="24" t="str">
        <f>HYPERLINK("https://znanium.ru/catalog/product/1068801", "Ознакомиться")</f>
        <v>Ознакомиться</v>
      </c>
      <c r="W5282" s="8" t="s">
        <v>30988</v>
      </c>
      <c r="X5282" s="6"/>
      <c r="Y5282" s="6"/>
      <c r="Z5282" s="6"/>
      <c r="AA5282" s="6" t="s">
        <v>479</v>
      </c>
      <c r="AB5282" s="8"/>
    </row>
    <row r="5283" spans="1:28" s="4" customFormat="1" ht="51.95" customHeight="1">
      <c r="A5283" s="5">
        <v>0</v>
      </c>
      <c r="B5283" s="6" t="s">
        <v>31067</v>
      </c>
      <c r="C5283" s="13">
        <v>1324</v>
      </c>
      <c r="D5283" s="8" t="s">
        <v>31068</v>
      </c>
      <c r="E5283" s="8" t="s">
        <v>31063</v>
      </c>
      <c r="F5283" s="8" t="s">
        <v>31069</v>
      </c>
      <c r="G5283" s="6" t="s">
        <v>52</v>
      </c>
      <c r="H5283" s="6" t="s">
        <v>53</v>
      </c>
      <c r="I5283" s="8" t="s">
        <v>100</v>
      </c>
      <c r="J5283" s="9">
        <v>1</v>
      </c>
      <c r="K5283" s="9">
        <v>265</v>
      </c>
      <c r="L5283" s="9">
        <v>2025</v>
      </c>
      <c r="M5283" s="8" t="s">
        <v>31070</v>
      </c>
      <c r="N5283" s="8" t="s">
        <v>41</v>
      </c>
      <c r="O5283" s="8" t="s">
        <v>278</v>
      </c>
      <c r="P5283" s="6" t="s">
        <v>167</v>
      </c>
      <c r="Q5283" s="8" t="s">
        <v>102</v>
      </c>
      <c r="R5283" s="10" t="s">
        <v>31071</v>
      </c>
      <c r="S5283" s="11" t="s">
        <v>31051</v>
      </c>
      <c r="T5283" s="6"/>
      <c r="U5283" s="24" t="str">
        <f>HYPERLINK("https://media.infra-m.ru/2164/2164001/cover/2164001.jpg", "Обложка")</f>
        <v>Обложка</v>
      </c>
      <c r="V5283" s="24" t="str">
        <f>HYPERLINK("https://znanium.ru/catalog/product/1046411", "Ознакомиться")</f>
        <v>Ознакомиться</v>
      </c>
      <c r="W5283" s="8" t="s">
        <v>30988</v>
      </c>
      <c r="X5283" s="6"/>
      <c r="Y5283" s="6"/>
      <c r="Z5283" s="6" t="s">
        <v>104</v>
      </c>
      <c r="AA5283" s="6" t="s">
        <v>1259</v>
      </c>
      <c r="AB5283" s="8"/>
    </row>
    <row r="5284" spans="1:28" s="4" customFormat="1" ht="51.95" customHeight="1">
      <c r="A5284" s="5">
        <v>0</v>
      </c>
      <c r="B5284" s="6" t="s">
        <v>31072</v>
      </c>
      <c r="C5284" s="7">
        <v>513</v>
      </c>
      <c r="D5284" s="8" t="s">
        <v>31073</v>
      </c>
      <c r="E5284" s="8" t="s">
        <v>31074</v>
      </c>
      <c r="F5284" s="8" t="s">
        <v>31075</v>
      </c>
      <c r="G5284" s="6" t="s">
        <v>38</v>
      </c>
      <c r="H5284" s="6" t="s">
        <v>184</v>
      </c>
      <c r="I5284" s="8" t="s">
        <v>185</v>
      </c>
      <c r="J5284" s="9">
        <v>1</v>
      </c>
      <c r="K5284" s="9">
        <v>156</v>
      </c>
      <c r="L5284" s="9">
        <v>2025</v>
      </c>
      <c r="M5284" s="8" t="s">
        <v>31076</v>
      </c>
      <c r="N5284" s="8" t="s">
        <v>41</v>
      </c>
      <c r="O5284" s="8" t="s">
        <v>278</v>
      </c>
      <c r="P5284" s="6" t="s">
        <v>43</v>
      </c>
      <c r="Q5284" s="8" t="s">
        <v>102</v>
      </c>
      <c r="R5284" s="10" t="s">
        <v>31077</v>
      </c>
      <c r="S5284" s="11"/>
      <c r="T5284" s="6"/>
      <c r="U5284" s="24" t="str">
        <f>HYPERLINK("https://media.infra-m.ru/2183/2183396/cover/2183396.jpg", "Обложка")</f>
        <v>Обложка</v>
      </c>
      <c r="V5284" s="24" t="str">
        <f>HYPERLINK("https://znanium.ru/catalog/product/2183396", "Ознакомиться")</f>
        <v>Ознакомиться</v>
      </c>
      <c r="W5284" s="8" t="s">
        <v>354</v>
      </c>
      <c r="X5284" s="6"/>
      <c r="Y5284" s="6"/>
      <c r="Z5284" s="6"/>
      <c r="AA5284" s="6" t="s">
        <v>3065</v>
      </c>
      <c r="AB5284" s="8"/>
    </row>
    <row r="5285" spans="1:28" s="4" customFormat="1" ht="51.95" customHeight="1">
      <c r="A5285" s="5">
        <v>0</v>
      </c>
      <c r="B5285" s="6" t="s">
        <v>31078</v>
      </c>
      <c r="C5285" s="13">
        <v>1780</v>
      </c>
      <c r="D5285" s="8" t="s">
        <v>31079</v>
      </c>
      <c r="E5285" s="8" t="s">
        <v>31080</v>
      </c>
      <c r="F5285" s="8" t="s">
        <v>31081</v>
      </c>
      <c r="G5285" s="6" t="s">
        <v>89</v>
      </c>
      <c r="H5285" s="6" t="s">
        <v>53</v>
      </c>
      <c r="I5285" s="8" t="s">
        <v>90</v>
      </c>
      <c r="J5285" s="9">
        <v>1</v>
      </c>
      <c r="K5285" s="9">
        <v>394</v>
      </c>
      <c r="L5285" s="9">
        <v>2023</v>
      </c>
      <c r="M5285" s="8" t="s">
        <v>31082</v>
      </c>
      <c r="N5285" s="8" t="s">
        <v>41</v>
      </c>
      <c r="O5285" s="8" t="s">
        <v>278</v>
      </c>
      <c r="P5285" s="6" t="s">
        <v>43</v>
      </c>
      <c r="Q5285" s="8" t="s">
        <v>44</v>
      </c>
      <c r="R5285" s="10" t="s">
        <v>2319</v>
      </c>
      <c r="S5285" s="11" t="s">
        <v>31083</v>
      </c>
      <c r="T5285" s="6"/>
      <c r="U5285" s="24" t="str">
        <f>HYPERLINK("https://media.infra-m.ru/1855/1855799/cover/1855799.jpg", "Обложка")</f>
        <v>Обложка</v>
      </c>
      <c r="V5285" s="24" t="str">
        <f>HYPERLINK("https://znanium.ru/catalog/product/1855799", "Ознакомиться")</f>
        <v>Ознакомиться</v>
      </c>
      <c r="W5285" s="8" t="s">
        <v>30988</v>
      </c>
      <c r="X5285" s="6"/>
      <c r="Y5285" s="6"/>
      <c r="Z5285" s="6"/>
      <c r="AA5285" s="6" t="s">
        <v>418</v>
      </c>
      <c r="AB5285" s="8"/>
    </row>
    <row r="5286" spans="1:28" s="4" customFormat="1" ht="51.95" customHeight="1">
      <c r="A5286" s="5">
        <v>0</v>
      </c>
      <c r="B5286" s="6" t="s">
        <v>31084</v>
      </c>
      <c r="C5286" s="13">
        <v>2164</v>
      </c>
      <c r="D5286" s="8" t="s">
        <v>31085</v>
      </c>
      <c r="E5286" s="8" t="s">
        <v>31086</v>
      </c>
      <c r="F5286" s="8" t="s">
        <v>31087</v>
      </c>
      <c r="G5286" s="6" t="s">
        <v>52</v>
      </c>
      <c r="H5286" s="6" t="s">
        <v>1738</v>
      </c>
      <c r="I5286" s="8" t="s">
        <v>1739</v>
      </c>
      <c r="J5286" s="9">
        <v>1</v>
      </c>
      <c r="K5286" s="9">
        <v>416</v>
      </c>
      <c r="L5286" s="9">
        <v>2025</v>
      </c>
      <c r="M5286" s="8" t="s">
        <v>31088</v>
      </c>
      <c r="N5286" s="8" t="s">
        <v>41</v>
      </c>
      <c r="O5286" s="8" t="s">
        <v>278</v>
      </c>
      <c r="P5286" s="6" t="s">
        <v>43</v>
      </c>
      <c r="Q5286" s="8" t="s">
        <v>44</v>
      </c>
      <c r="R5286" s="10" t="s">
        <v>27407</v>
      </c>
      <c r="S5286" s="11" t="s">
        <v>31089</v>
      </c>
      <c r="T5286" s="6"/>
      <c r="U5286" s="24" t="str">
        <f>HYPERLINK("https://media.infra-m.ru/2201/2201254/cover/2201254.jpg", "Обложка")</f>
        <v>Обложка</v>
      </c>
      <c r="V5286" s="24" t="str">
        <f>HYPERLINK("https://znanium.ru/catalog/product/1832336", "Ознакомиться")</f>
        <v>Ознакомиться</v>
      </c>
      <c r="W5286" s="8" t="s">
        <v>3226</v>
      </c>
      <c r="X5286" s="6"/>
      <c r="Y5286" s="6"/>
      <c r="Z5286" s="6"/>
      <c r="AA5286" s="6" t="s">
        <v>1135</v>
      </c>
      <c r="AB5286" s="8"/>
    </row>
    <row r="5287" spans="1:28" s="4" customFormat="1" ht="51.95" customHeight="1">
      <c r="A5287" s="5">
        <v>0</v>
      </c>
      <c r="B5287" s="6" t="s">
        <v>31090</v>
      </c>
      <c r="C5287" s="7">
        <v>954</v>
      </c>
      <c r="D5287" s="8" t="s">
        <v>31091</v>
      </c>
      <c r="E5287" s="8" t="s">
        <v>31092</v>
      </c>
      <c r="F5287" s="8" t="s">
        <v>30978</v>
      </c>
      <c r="G5287" s="6" t="s">
        <v>52</v>
      </c>
      <c r="H5287" s="6" t="s">
        <v>649</v>
      </c>
      <c r="I5287" s="8" t="s">
        <v>116</v>
      </c>
      <c r="J5287" s="9">
        <v>1</v>
      </c>
      <c r="K5287" s="9">
        <v>208</v>
      </c>
      <c r="L5287" s="9">
        <v>2024</v>
      </c>
      <c r="M5287" s="8" t="s">
        <v>31093</v>
      </c>
      <c r="N5287" s="8" t="s">
        <v>41</v>
      </c>
      <c r="O5287" s="8" t="s">
        <v>278</v>
      </c>
      <c r="P5287" s="6" t="s">
        <v>43</v>
      </c>
      <c r="Q5287" s="8" t="s">
        <v>44</v>
      </c>
      <c r="R5287" s="10" t="s">
        <v>9511</v>
      </c>
      <c r="S5287" s="11" t="s">
        <v>31094</v>
      </c>
      <c r="T5287" s="6"/>
      <c r="U5287" s="24" t="str">
        <f>HYPERLINK("https://media.infra-m.ru/2079/2079168/cover/2079168.jpg", "Обложка")</f>
        <v>Обложка</v>
      </c>
      <c r="V5287" s="24" t="str">
        <f>HYPERLINK("https://znanium.ru/catalog/product/1002366", "Ознакомиться")</f>
        <v>Ознакомиться</v>
      </c>
      <c r="W5287" s="8" t="s">
        <v>1198</v>
      </c>
      <c r="X5287" s="6"/>
      <c r="Y5287" s="6"/>
      <c r="Z5287" s="6"/>
      <c r="AA5287" s="6" t="s">
        <v>72</v>
      </c>
      <c r="AB5287" s="8"/>
    </row>
    <row r="5288" spans="1:28" s="4" customFormat="1" ht="51.95" customHeight="1">
      <c r="A5288" s="5">
        <v>0</v>
      </c>
      <c r="B5288" s="6" t="s">
        <v>31095</v>
      </c>
      <c r="C5288" s="13">
        <v>1034.9000000000001</v>
      </c>
      <c r="D5288" s="8" t="s">
        <v>31096</v>
      </c>
      <c r="E5288" s="8" t="s">
        <v>31097</v>
      </c>
      <c r="F5288" s="8" t="s">
        <v>31098</v>
      </c>
      <c r="G5288" s="6" t="s">
        <v>52</v>
      </c>
      <c r="H5288" s="6" t="s">
        <v>53</v>
      </c>
      <c r="I5288" s="8" t="s">
        <v>90</v>
      </c>
      <c r="J5288" s="9">
        <v>1</v>
      </c>
      <c r="K5288" s="9">
        <v>304</v>
      </c>
      <c r="L5288" s="9">
        <v>2020</v>
      </c>
      <c r="M5288" s="8" t="s">
        <v>31099</v>
      </c>
      <c r="N5288" s="8" t="s">
        <v>41</v>
      </c>
      <c r="O5288" s="8" t="s">
        <v>278</v>
      </c>
      <c r="P5288" s="6" t="s">
        <v>43</v>
      </c>
      <c r="Q5288" s="8" t="s">
        <v>44</v>
      </c>
      <c r="R5288" s="10" t="s">
        <v>20447</v>
      </c>
      <c r="S5288" s="11" t="s">
        <v>20448</v>
      </c>
      <c r="T5288" s="6"/>
      <c r="U5288" s="24" t="str">
        <f>HYPERLINK("https://media.infra-m.ru/1046/1046393/cover/1046393.jpg", "Обложка")</f>
        <v>Обложка</v>
      </c>
      <c r="V5288" s="24" t="str">
        <f>HYPERLINK("https://znanium.ru/catalog/product/2126822", "Ознакомиться")</f>
        <v>Ознакомиться</v>
      </c>
      <c r="W5288" s="8" t="s">
        <v>1635</v>
      </c>
      <c r="X5288" s="6"/>
      <c r="Y5288" s="6"/>
      <c r="Z5288" s="6"/>
      <c r="AA5288" s="6" t="s">
        <v>84</v>
      </c>
      <c r="AB5288" s="8"/>
    </row>
    <row r="5289" spans="1:28" s="4" customFormat="1" ht="51.95" customHeight="1">
      <c r="A5289" s="5">
        <v>0</v>
      </c>
      <c r="B5289" s="6" t="s">
        <v>31100</v>
      </c>
      <c r="C5289" s="13">
        <v>1194.9000000000001</v>
      </c>
      <c r="D5289" s="8" t="s">
        <v>31101</v>
      </c>
      <c r="E5289" s="8" t="s">
        <v>31102</v>
      </c>
      <c r="F5289" s="8" t="s">
        <v>31103</v>
      </c>
      <c r="G5289" s="6" t="s">
        <v>52</v>
      </c>
      <c r="H5289" s="6" t="s">
        <v>53</v>
      </c>
      <c r="I5289" s="8" t="s">
        <v>90</v>
      </c>
      <c r="J5289" s="9">
        <v>1</v>
      </c>
      <c r="K5289" s="9">
        <v>265</v>
      </c>
      <c r="L5289" s="9">
        <v>2023</v>
      </c>
      <c r="M5289" s="8" t="s">
        <v>31104</v>
      </c>
      <c r="N5289" s="8" t="s">
        <v>41</v>
      </c>
      <c r="O5289" s="8" t="s">
        <v>278</v>
      </c>
      <c r="P5289" s="6" t="s">
        <v>43</v>
      </c>
      <c r="Q5289" s="8" t="s">
        <v>44</v>
      </c>
      <c r="R5289" s="10" t="s">
        <v>9511</v>
      </c>
      <c r="S5289" s="11" t="s">
        <v>31105</v>
      </c>
      <c r="T5289" s="6"/>
      <c r="U5289" s="24" t="str">
        <f>HYPERLINK("https://media.infra-m.ru/1906/1906714/cover/1906714.jpg", "Обложка")</f>
        <v>Обложка</v>
      </c>
      <c r="V5289" s="24" t="str">
        <f>HYPERLINK("https://znanium.ru/catalog/product/1846708", "Ознакомиться")</f>
        <v>Ознакомиться</v>
      </c>
      <c r="W5289" s="8" t="s">
        <v>12467</v>
      </c>
      <c r="X5289" s="6"/>
      <c r="Y5289" s="6"/>
      <c r="Z5289" s="6"/>
      <c r="AA5289" s="6" t="s">
        <v>84</v>
      </c>
      <c r="AB5289" s="8"/>
    </row>
    <row r="5290" spans="1:28" s="4" customFormat="1" ht="51.95" customHeight="1">
      <c r="A5290" s="5">
        <v>0</v>
      </c>
      <c r="B5290" s="6" t="s">
        <v>31106</v>
      </c>
      <c r="C5290" s="13">
        <v>1620</v>
      </c>
      <c r="D5290" s="8" t="s">
        <v>31107</v>
      </c>
      <c r="E5290" s="8" t="s">
        <v>31102</v>
      </c>
      <c r="F5290" s="8" t="s">
        <v>12782</v>
      </c>
      <c r="G5290" s="6" t="s">
        <v>89</v>
      </c>
      <c r="H5290" s="6" t="s">
        <v>53</v>
      </c>
      <c r="I5290" s="8" t="s">
        <v>100</v>
      </c>
      <c r="J5290" s="9">
        <v>1</v>
      </c>
      <c r="K5290" s="9">
        <v>265</v>
      </c>
      <c r="L5290" s="9">
        <v>2024</v>
      </c>
      <c r="M5290" s="8" t="s">
        <v>31108</v>
      </c>
      <c r="N5290" s="8" t="s">
        <v>41</v>
      </c>
      <c r="O5290" s="8" t="s">
        <v>278</v>
      </c>
      <c r="P5290" s="6" t="s">
        <v>43</v>
      </c>
      <c r="Q5290" s="8" t="s">
        <v>102</v>
      </c>
      <c r="R5290" s="10" t="s">
        <v>31071</v>
      </c>
      <c r="S5290" s="11" t="s">
        <v>31109</v>
      </c>
      <c r="T5290" s="6"/>
      <c r="U5290" s="24" t="str">
        <f>HYPERLINK("https://media.infra-m.ru/2139/2139038/cover/2139038.jpg", "Обложка")</f>
        <v>Обложка</v>
      </c>
      <c r="V5290" s="24" t="str">
        <f>HYPERLINK("https://znanium.ru/catalog/product/2139038", "Ознакомиться")</f>
        <v>Ознакомиться</v>
      </c>
      <c r="W5290" s="8" t="s">
        <v>12467</v>
      </c>
      <c r="X5290" s="6"/>
      <c r="Y5290" s="6"/>
      <c r="Z5290" s="6" t="s">
        <v>104</v>
      </c>
      <c r="AA5290" s="6" t="s">
        <v>258</v>
      </c>
      <c r="AB5290" s="8"/>
    </row>
    <row r="5291" spans="1:28" s="4" customFormat="1" ht="51.95" customHeight="1">
      <c r="A5291" s="5">
        <v>0</v>
      </c>
      <c r="B5291" s="6" t="s">
        <v>31110</v>
      </c>
      <c r="C5291" s="13">
        <v>2054</v>
      </c>
      <c r="D5291" s="8" t="s">
        <v>31111</v>
      </c>
      <c r="E5291" s="8" t="s">
        <v>31112</v>
      </c>
      <c r="F5291" s="8" t="s">
        <v>31113</v>
      </c>
      <c r="G5291" s="6" t="s">
        <v>52</v>
      </c>
      <c r="H5291" s="6" t="s">
        <v>39</v>
      </c>
      <c r="I5291" s="8"/>
      <c r="J5291" s="9">
        <v>1</v>
      </c>
      <c r="K5291" s="9">
        <v>448</v>
      </c>
      <c r="L5291" s="9">
        <v>2024</v>
      </c>
      <c r="M5291" s="8" t="s">
        <v>31114</v>
      </c>
      <c r="N5291" s="8" t="s">
        <v>79</v>
      </c>
      <c r="O5291" s="8" t="s">
        <v>570</v>
      </c>
      <c r="P5291" s="6" t="s">
        <v>167</v>
      </c>
      <c r="Q5291" s="8" t="s">
        <v>44</v>
      </c>
      <c r="R5291" s="10" t="s">
        <v>5296</v>
      </c>
      <c r="S5291" s="11" t="s">
        <v>31115</v>
      </c>
      <c r="T5291" s="6"/>
      <c r="U5291" s="24" t="str">
        <f>HYPERLINK("https://media.infra-m.ru/1850/1850376/cover/1850376.jpg", "Обложка")</f>
        <v>Обложка</v>
      </c>
      <c r="V5291" s="12"/>
      <c r="W5291" s="8" t="s">
        <v>450</v>
      </c>
      <c r="X5291" s="6"/>
      <c r="Y5291" s="6"/>
      <c r="Z5291" s="6"/>
      <c r="AA5291" s="6" t="s">
        <v>47</v>
      </c>
      <c r="AB5291" s="8"/>
    </row>
    <row r="5292" spans="1:28" s="4" customFormat="1" ht="51.95" customHeight="1">
      <c r="A5292" s="5">
        <v>0</v>
      </c>
      <c r="B5292" s="6" t="s">
        <v>31116</v>
      </c>
      <c r="C5292" s="13">
        <v>2190</v>
      </c>
      <c r="D5292" s="8" t="s">
        <v>31117</v>
      </c>
      <c r="E5292" s="8" t="s">
        <v>31118</v>
      </c>
      <c r="F5292" s="8" t="s">
        <v>31119</v>
      </c>
      <c r="G5292" s="6" t="s">
        <v>52</v>
      </c>
      <c r="H5292" s="6" t="s">
        <v>53</v>
      </c>
      <c r="I5292" s="8" t="s">
        <v>116</v>
      </c>
      <c r="J5292" s="9">
        <v>1</v>
      </c>
      <c r="K5292" s="9">
        <v>421</v>
      </c>
      <c r="L5292" s="9">
        <v>2025</v>
      </c>
      <c r="M5292" s="8" t="s">
        <v>31120</v>
      </c>
      <c r="N5292" s="8" t="s">
        <v>79</v>
      </c>
      <c r="O5292" s="8" t="s">
        <v>570</v>
      </c>
      <c r="P5292" s="6" t="s">
        <v>43</v>
      </c>
      <c r="Q5292" s="8" t="s">
        <v>44</v>
      </c>
      <c r="R5292" s="10" t="s">
        <v>31121</v>
      </c>
      <c r="S5292" s="11" t="s">
        <v>31122</v>
      </c>
      <c r="T5292" s="6"/>
      <c r="U5292" s="24" t="str">
        <f>HYPERLINK("https://media.infra-m.ru/2197/2197581/cover/2197581.jpg", "Обложка")</f>
        <v>Обложка</v>
      </c>
      <c r="V5292" s="24" t="str">
        <f>HYPERLINK("https://znanium.ru/catalog/product/1839670", "Ознакомиться")</f>
        <v>Ознакомиться</v>
      </c>
      <c r="W5292" s="8" t="s">
        <v>6450</v>
      </c>
      <c r="X5292" s="6"/>
      <c r="Y5292" s="6"/>
      <c r="Z5292" s="6"/>
      <c r="AA5292" s="6" t="s">
        <v>111</v>
      </c>
      <c r="AB5292" s="8"/>
    </row>
    <row r="5293" spans="1:28" s="4" customFormat="1" ht="51.95" customHeight="1">
      <c r="A5293" s="5">
        <v>0</v>
      </c>
      <c r="B5293" s="6" t="s">
        <v>31123</v>
      </c>
      <c r="C5293" s="13">
        <v>1234</v>
      </c>
      <c r="D5293" s="8" t="s">
        <v>31124</v>
      </c>
      <c r="E5293" s="8" t="s">
        <v>31125</v>
      </c>
      <c r="F5293" s="8" t="s">
        <v>31126</v>
      </c>
      <c r="G5293" s="6" t="s">
        <v>89</v>
      </c>
      <c r="H5293" s="6" t="s">
        <v>53</v>
      </c>
      <c r="I5293" s="8" t="s">
        <v>17575</v>
      </c>
      <c r="J5293" s="9">
        <v>1</v>
      </c>
      <c r="K5293" s="9">
        <v>247</v>
      </c>
      <c r="L5293" s="9">
        <v>2025</v>
      </c>
      <c r="M5293" s="8" t="s">
        <v>31127</v>
      </c>
      <c r="N5293" s="8" t="s">
        <v>413</v>
      </c>
      <c r="O5293" s="8" t="s">
        <v>414</v>
      </c>
      <c r="P5293" s="6" t="s">
        <v>43</v>
      </c>
      <c r="Q5293" s="8" t="s">
        <v>58</v>
      </c>
      <c r="R5293" s="10" t="s">
        <v>4641</v>
      </c>
      <c r="S5293" s="11" t="s">
        <v>31128</v>
      </c>
      <c r="T5293" s="6"/>
      <c r="U5293" s="24" t="str">
        <f>HYPERLINK("https://media.infra-m.ru/2180/2180883/cover/2180883.jpg", "Обложка")</f>
        <v>Обложка</v>
      </c>
      <c r="V5293" s="24" t="str">
        <f>HYPERLINK("https://znanium.ru/catalog/product/2118063", "Ознакомиться")</f>
        <v>Ознакомиться</v>
      </c>
      <c r="W5293" s="8" t="s">
        <v>716</v>
      </c>
      <c r="X5293" s="6"/>
      <c r="Y5293" s="6"/>
      <c r="Z5293" s="6"/>
      <c r="AA5293" s="6" t="s">
        <v>207</v>
      </c>
      <c r="AB5293" s="8"/>
    </row>
    <row r="5294" spans="1:28" s="4" customFormat="1" ht="42" customHeight="1">
      <c r="A5294" s="5">
        <v>0</v>
      </c>
      <c r="B5294" s="6" t="s">
        <v>31129</v>
      </c>
      <c r="C5294" s="13">
        <v>1100</v>
      </c>
      <c r="D5294" s="8" t="s">
        <v>31130</v>
      </c>
      <c r="E5294" s="8" t="s">
        <v>31131</v>
      </c>
      <c r="F5294" s="8" t="s">
        <v>3329</v>
      </c>
      <c r="G5294" s="6" t="s">
        <v>52</v>
      </c>
      <c r="H5294" s="6" t="s">
        <v>53</v>
      </c>
      <c r="I5294" s="8" t="s">
        <v>116</v>
      </c>
      <c r="J5294" s="9">
        <v>1</v>
      </c>
      <c r="K5294" s="9">
        <v>219</v>
      </c>
      <c r="L5294" s="9">
        <v>2024</v>
      </c>
      <c r="M5294" s="8" t="s">
        <v>31132</v>
      </c>
      <c r="N5294" s="8" t="s">
        <v>413</v>
      </c>
      <c r="O5294" s="8" t="s">
        <v>414</v>
      </c>
      <c r="P5294" s="6" t="s">
        <v>43</v>
      </c>
      <c r="Q5294" s="8" t="s">
        <v>44</v>
      </c>
      <c r="R5294" s="10" t="s">
        <v>31133</v>
      </c>
      <c r="S5294" s="11"/>
      <c r="T5294" s="6"/>
      <c r="U5294" s="24" t="str">
        <f>HYPERLINK("https://media.infra-m.ru/1859/1859895/cover/1859895.jpg", "Обложка")</f>
        <v>Обложка</v>
      </c>
      <c r="V5294" s="24" t="str">
        <f>HYPERLINK("https://znanium.ru/catalog/product/1859895", "Ознакомиться")</f>
        <v>Ознакомиться</v>
      </c>
      <c r="W5294" s="8" t="s">
        <v>3333</v>
      </c>
      <c r="X5294" s="6"/>
      <c r="Y5294" s="6"/>
      <c r="Z5294" s="6"/>
      <c r="AA5294" s="6" t="s">
        <v>133</v>
      </c>
      <c r="AB5294" s="8" t="s">
        <v>2963</v>
      </c>
    </row>
    <row r="5295" spans="1:28" s="4" customFormat="1" ht="51.95" customHeight="1">
      <c r="A5295" s="5">
        <v>0</v>
      </c>
      <c r="B5295" s="6" t="s">
        <v>31134</v>
      </c>
      <c r="C5295" s="7">
        <v>940</v>
      </c>
      <c r="D5295" s="8" t="s">
        <v>31135</v>
      </c>
      <c r="E5295" s="8" t="s">
        <v>31136</v>
      </c>
      <c r="F5295" s="8" t="s">
        <v>31137</v>
      </c>
      <c r="G5295" s="6" t="s">
        <v>38</v>
      </c>
      <c r="H5295" s="6" t="s">
        <v>53</v>
      </c>
      <c r="I5295" s="8" t="s">
        <v>116</v>
      </c>
      <c r="J5295" s="9">
        <v>1</v>
      </c>
      <c r="K5295" s="9">
        <v>182</v>
      </c>
      <c r="L5295" s="9">
        <v>2025</v>
      </c>
      <c r="M5295" s="8" t="s">
        <v>31138</v>
      </c>
      <c r="N5295" s="8" t="s">
        <v>413</v>
      </c>
      <c r="O5295" s="8" t="s">
        <v>414</v>
      </c>
      <c r="P5295" s="6" t="s">
        <v>167</v>
      </c>
      <c r="Q5295" s="8" t="s">
        <v>44</v>
      </c>
      <c r="R5295" s="10" t="s">
        <v>31139</v>
      </c>
      <c r="S5295" s="11" t="s">
        <v>31140</v>
      </c>
      <c r="T5295" s="6"/>
      <c r="U5295" s="24" t="str">
        <f>HYPERLINK("https://media.infra-m.ru/2186/2186874/cover/2186874.jpg", "Обложка")</f>
        <v>Обложка</v>
      </c>
      <c r="V5295" s="24" t="str">
        <f>HYPERLINK("https://znanium.ru/catalog/product/2186874", "Ознакомиться")</f>
        <v>Ознакомиться</v>
      </c>
      <c r="W5295" s="8" t="s">
        <v>6124</v>
      </c>
      <c r="X5295" s="6"/>
      <c r="Y5295" s="6"/>
      <c r="Z5295" s="6"/>
      <c r="AA5295" s="6" t="s">
        <v>2001</v>
      </c>
      <c r="AB5295" s="8"/>
    </row>
    <row r="5296" spans="1:28" s="4" customFormat="1" ht="51.95" customHeight="1">
      <c r="A5296" s="5">
        <v>0</v>
      </c>
      <c r="B5296" s="6" t="s">
        <v>31141</v>
      </c>
      <c r="C5296" s="13">
        <v>1364.9</v>
      </c>
      <c r="D5296" s="8" t="s">
        <v>31142</v>
      </c>
      <c r="E5296" s="8" t="s">
        <v>31143</v>
      </c>
      <c r="F5296" s="8" t="s">
        <v>31144</v>
      </c>
      <c r="G5296" s="6" t="s">
        <v>52</v>
      </c>
      <c r="H5296" s="6" t="s">
        <v>952</v>
      </c>
      <c r="I5296" s="8"/>
      <c r="J5296" s="9">
        <v>1</v>
      </c>
      <c r="K5296" s="9">
        <v>304</v>
      </c>
      <c r="L5296" s="9">
        <v>2023</v>
      </c>
      <c r="M5296" s="8" t="s">
        <v>31145</v>
      </c>
      <c r="N5296" s="8" t="s">
        <v>41</v>
      </c>
      <c r="O5296" s="8" t="s">
        <v>1007</v>
      </c>
      <c r="P5296" s="6" t="s">
        <v>43</v>
      </c>
      <c r="Q5296" s="8" t="s">
        <v>44</v>
      </c>
      <c r="R5296" s="10" t="s">
        <v>31146</v>
      </c>
      <c r="S5296" s="11"/>
      <c r="T5296" s="6"/>
      <c r="U5296" s="24" t="str">
        <f>HYPERLINK("https://media.infra-m.ru/1911/1911804/cover/1911804.jpg", "Обложка")</f>
        <v>Обложка</v>
      </c>
      <c r="V5296" s="24" t="str">
        <f>HYPERLINK("https://znanium.ru/catalog/product/1010025", "Ознакомиться")</f>
        <v>Ознакомиться</v>
      </c>
      <c r="W5296" s="8" t="s">
        <v>189</v>
      </c>
      <c r="X5296" s="6"/>
      <c r="Y5296" s="6"/>
      <c r="Z5296" s="6"/>
      <c r="AA5296" s="6" t="s">
        <v>111</v>
      </c>
      <c r="AB5296" s="8"/>
    </row>
    <row r="5297" spans="1:28" s="4" customFormat="1" ht="51.95" customHeight="1">
      <c r="A5297" s="5">
        <v>0</v>
      </c>
      <c r="B5297" s="6" t="s">
        <v>31147</v>
      </c>
      <c r="C5297" s="13">
        <v>1424</v>
      </c>
      <c r="D5297" s="8" t="s">
        <v>31148</v>
      </c>
      <c r="E5297" s="8" t="s">
        <v>31149</v>
      </c>
      <c r="F5297" s="8" t="s">
        <v>31150</v>
      </c>
      <c r="G5297" s="6" t="s">
        <v>89</v>
      </c>
      <c r="H5297" s="6" t="s">
        <v>53</v>
      </c>
      <c r="I5297" s="8" t="s">
        <v>276</v>
      </c>
      <c r="J5297" s="9">
        <v>1</v>
      </c>
      <c r="K5297" s="9">
        <v>309</v>
      </c>
      <c r="L5297" s="9">
        <v>2024</v>
      </c>
      <c r="M5297" s="8" t="s">
        <v>31151</v>
      </c>
      <c r="N5297" s="8" t="s">
        <v>41</v>
      </c>
      <c r="O5297" s="8" t="s">
        <v>278</v>
      </c>
      <c r="P5297" s="6" t="s">
        <v>167</v>
      </c>
      <c r="Q5297" s="8" t="s">
        <v>279</v>
      </c>
      <c r="R5297" s="10" t="s">
        <v>31152</v>
      </c>
      <c r="S5297" s="11" t="s">
        <v>31153</v>
      </c>
      <c r="T5297" s="6"/>
      <c r="U5297" s="24" t="str">
        <f>HYPERLINK("https://media.infra-m.ru/2082/2082882/cover/2082882.jpg", "Обложка")</f>
        <v>Обложка</v>
      </c>
      <c r="V5297" s="24" t="str">
        <f>HYPERLINK("https://znanium.ru/catalog/product/1056723", "Ознакомиться")</f>
        <v>Ознакомиться</v>
      </c>
      <c r="W5297" s="8" t="s">
        <v>189</v>
      </c>
      <c r="X5297" s="6"/>
      <c r="Y5297" s="6"/>
      <c r="Z5297" s="6"/>
      <c r="AA5297" s="6" t="s">
        <v>122</v>
      </c>
      <c r="AB5297" s="8"/>
    </row>
    <row r="5298" spans="1:28" s="4" customFormat="1" ht="51.95" customHeight="1">
      <c r="A5298" s="5">
        <v>0</v>
      </c>
      <c r="B5298" s="6" t="s">
        <v>31154</v>
      </c>
      <c r="C5298" s="13">
        <v>1870</v>
      </c>
      <c r="D5298" s="8" t="s">
        <v>31155</v>
      </c>
      <c r="E5298" s="8" t="s">
        <v>31156</v>
      </c>
      <c r="F5298" s="8" t="s">
        <v>31157</v>
      </c>
      <c r="G5298" s="6" t="s">
        <v>89</v>
      </c>
      <c r="H5298" s="6" t="s">
        <v>53</v>
      </c>
      <c r="I5298" s="8" t="s">
        <v>100</v>
      </c>
      <c r="J5298" s="9">
        <v>1</v>
      </c>
      <c r="K5298" s="9">
        <v>398</v>
      </c>
      <c r="L5298" s="9">
        <v>2024</v>
      </c>
      <c r="M5298" s="8" t="s">
        <v>31158</v>
      </c>
      <c r="N5298" s="8" t="s">
        <v>41</v>
      </c>
      <c r="O5298" s="8" t="s">
        <v>278</v>
      </c>
      <c r="P5298" s="6" t="s">
        <v>43</v>
      </c>
      <c r="Q5298" s="8" t="s">
        <v>102</v>
      </c>
      <c r="R5298" s="10" t="s">
        <v>31159</v>
      </c>
      <c r="S5298" s="11" t="s">
        <v>31160</v>
      </c>
      <c r="T5298" s="6"/>
      <c r="U5298" s="24" t="str">
        <f>HYPERLINK("https://media.infra-m.ru/2140/2140338/cover/2140338.jpg", "Обложка")</f>
        <v>Обложка</v>
      </c>
      <c r="V5298" s="24" t="str">
        <f>HYPERLINK("https://znanium.ru/catalog/product/2140338", "Ознакомиться")</f>
        <v>Ознакомиться</v>
      </c>
      <c r="W5298" s="8" t="s">
        <v>3226</v>
      </c>
      <c r="X5298" s="6"/>
      <c r="Y5298" s="6"/>
      <c r="Z5298" s="6"/>
      <c r="AA5298" s="6" t="s">
        <v>555</v>
      </c>
      <c r="AB5298" s="8"/>
    </row>
    <row r="5299" spans="1:28" s="4" customFormat="1" ht="51.95" customHeight="1">
      <c r="A5299" s="5">
        <v>0</v>
      </c>
      <c r="B5299" s="6" t="s">
        <v>31161</v>
      </c>
      <c r="C5299" s="13">
        <v>2910</v>
      </c>
      <c r="D5299" s="8" t="s">
        <v>31162</v>
      </c>
      <c r="E5299" s="8" t="s">
        <v>31163</v>
      </c>
      <c r="F5299" s="8" t="s">
        <v>31164</v>
      </c>
      <c r="G5299" s="6" t="s">
        <v>52</v>
      </c>
      <c r="H5299" s="6" t="s">
        <v>53</v>
      </c>
      <c r="I5299" s="8" t="s">
        <v>100</v>
      </c>
      <c r="J5299" s="9">
        <v>1</v>
      </c>
      <c r="K5299" s="9">
        <v>631</v>
      </c>
      <c r="L5299" s="9">
        <v>2024</v>
      </c>
      <c r="M5299" s="8" t="s">
        <v>31165</v>
      </c>
      <c r="N5299" s="8" t="s">
        <v>79</v>
      </c>
      <c r="O5299" s="8" t="s">
        <v>570</v>
      </c>
      <c r="P5299" s="6" t="s">
        <v>43</v>
      </c>
      <c r="Q5299" s="8" t="s">
        <v>102</v>
      </c>
      <c r="R5299" s="10" t="s">
        <v>31166</v>
      </c>
      <c r="S5299" s="11"/>
      <c r="T5299" s="6"/>
      <c r="U5299" s="24" t="str">
        <f>HYPERLINK("https://media.infra-m.ru/1818/1818715/cover/1818715.jpg", "Обложка")</f>
        <v>Обложка</v>
      </c>
      <c r="V5299" s="24" t="str">
        <f>HYPERLINK("https://znanium.ru/catalog/product/1818715", "Ознакомиться")</f>
        <v>Ознакомиться</v>
      </c>
      <c r="W5299" s="8" t="s">
        <v>637</v>
      </c>
      <c r="X5299" s="6" t="s">
        <v>772</v>
      </c>
      <c r="Y5299" s="6"/>
      <c r="Z5299" s="6"/>
      <c r="AA5299" s="6" t="s">
        <v>133</v>
      </c>
      <c r="AB5299" s="8" t="s">
        <v>1733</v>
      </c>
    </row>
    <row r="5300" spans="1:28" s="4" customFormat="1" ht="51.95" customHeight="1">
      <c r="A5300" s="5">
        <v>0</v>
      </c>
      <c r="B5300" s="6" t="s">
        <v>31167</v>
      </c>
      <c r="C5300" s="13">
        <v>2634</v>
      </c>
      <c r="D5300" s="8" t="s">
        <v>31168</v>
      </c>
      <c r="E5300" s="8" t="s">
        <v>31169</v>
      </c>
      <c r="F5300" s="8" t="s">
        <v>31170</v>
      </c>
      <c r="G5300" s="6" t="s">
        <v>52</v>
      </c>
      <c r="H5300" s="6" t="s">
        <v>53</v>
      </c>
      <c r="I5300" s="8" t="s">
        <v>90</v>
      </c>
      <c r="J5300" s="9">
        <v>1</v>
      </c>
      <c r="K5300" s="9">
        <v>506</v>
      </c>
      <c r="L5300" s="9">
        <v>2025</v>
      </c>
      <c r="M5300" s="8" t="s">
        <v>31171</v>
      </c>
      <c r="N5300" s="8" t="s">
        <v>79</v>
      </c>
      <c r="O5300" s="8" t="s">
        <v>570</v>
      </c>
      <c r="P5300" s="6" t="s">
        <v>167</v>
      </c>
      <c r="Q5300" s="8" t="s">
        <v>44</v>
      </c>
      <c r="R5300" s="10" t="s">
        <v>6448</v>
      </c>
      <c r="S5300" s="11" t="s">
        <v>31172</v>
      </c>
      <c r="T5300" s="6"/>
      <c r="U5300" s="24" t="str">
        <f>HYPERLINK("https://media.infra-m.ru/2194/2194354/cover/2194354.jpg", "Обложка")</f>
        <v>Обложка</v>
      </c>
      <c r="V5300" s="24" t="str">
        <f>HYPERLINK("https://znanium.ru/catalog/product/1816364", "Ознакомиться")</f>
        <v>Ознакомиться</v>
      </c>
      <c r="W5300" s="8" t="s">
        <v>1514</v>
      </c>
      <c r="X5300" s="6"/>
      <c r="Y5300" s="6"/>
      <c r="Z5300" s="6"/>
      <c r="AA5300" s="6" t="s">
        <v>479</v>
      </c>
      <c r="AB5300" s="8"/>
    </row>
    <row r="5301" spans="1:28" s="4" customFormat="1" ht="51.95" customHeight="1">
      <c r="A5301" s="5">
        <v>0</v>
      </c>
      <c r="B5301" s="6" t="s">
        <v>31173</v>
      </c>
      <c r="C5301" s="13">
        <v>2792</v>
      </c>
      <c r="D5301" s="8" t="s">
        <v>31174</v>
      </c>
      <c r="E5301" s="8" t="s">
        <v>31175</v>
      </c>
      <c r="F5301" s="8" t="s">
        <v>31176</v>
      </c>
      <c r="G5301" s="6" t="s">
        <v>52</v>
      </c>
      <c r="H5301" s="6" t="s">
        <v>53</v>
      </c>
      <c r="I5301" s="8" t="s">
        <v>100</v>
      </c>
      <c r="J5301" s="9">
        <v>1</v>
      </c>
      <c r="K5301" s="9">
        <v>425</v>
      </c>
      <c r="L5301" s="9">
        <v>2025</v>
      </c>
      <c r="M5301" s="8" t="s">
        <v>31177</v>
      </c>
      <c r="N5301" s="8" t="s">
        <v>79</v>
      </c>
      <c r="O5301" s="8" t="s">
        <v>570</v>
      </c>
      <c r="P5301" s="6" t="s">
        <v>167</v>
      </c>
      <c r="Q5301" s="8" t="s">
        <v>102</v>
      </c>
      <c r="R5301" s="10" t="s">
        <v>31178</v>
      </c>
      <c r="S5301" s="11" t="s">
        <v>31179</v>
      </c>
      <c r="T5301" s="6"/>
      <c r="U5301" s="24" t="str">
        <f>HYPERLINK("https://media.infra-m.ru/2186/2186904/cover/2186904.jpg", "Обложка")</f>
        <v>Обложка</v>
      </c>
      <c r="V5301" s="24" t="str">
        <f>HYPERLINK("https://znanium.ru/catalog/product/2186904", "Ознакомиться")</f>
        <v>Ознакомиться</v>
      </c>
      <c r="W5301" s="8" t="s">
        <v>637</v>
      </c>
      <c r="X5301" s="6"/>
      <c r="Y5301" s="6" t="s">
        <v>30</v>
      </c>
      <c r="Z5301" s="6" t="s">
        <v>104</v>
      </c>
      <c r="AA5301" s="6" t="s">
        <v>258</v>
      </c>
      <c r="AB5301" s="8" t="s">
        <v>2336</v>
      </c>
    </row>
    <row r="5302" spans="1:28" s="4" customFormat="1" ht="51.95" customHeight="1">
      <c r="A5302" s="5">
        <v>0</v>
      </c>
      <c r="B5302" s="6" t="s">
        <v>31180</v>
      </c>
      <c r="C5302" s="13">
        <v>2797</v>
      </c>
      <c r="D5302" s="8" t="s">
        <v>31181</v>
      </c>
      <c r="E5302" s="8" t="s">
        <v>31175</v>
      </c>
      <c r="F5302" s="8" t="s">
        <v>31176</v>
      </c>
      <c r="G5302" s="6" t="s">
        <v>89</v>
      </c>
      <c r="H5302" s="6" t="s">
        <v>53</v>
      </c>
      <c r="I5302" s="8" t="s">
        <v>90</v>
      </c>
      <c r="J5302" s="9">
        <v>1</v>
      </c>
      <c r="K5302" s="9">
        <v>425</v>
      </c>
      <c r="L5302" s="9">
        <v>2025</v>
      </c>
      <c r="M5302" s="8" t="s">
        <v>31182</v>
      </c>
      <c r="N5302" s="8" t="s">
        <v>79</v>
      </c>
      <c r="O5302" s="8" t="s">
        <v>570</v>
      </c>
      <c r="P5302" s="6" t="s">
        <v>167</v>
      </c>
      <c r="Q5302" s="8" t="s">
        <v>44</v>
      </c>
      <c r="R5302" s="10" t="s">
        <v>5343</v>
      </c>
      <c r="S5302" s="11" t="s">
        <v>31183</v>
      </c>
      <c r="T5302" s="6"/>
      <c r="U5302" s="24" t="str">
        <f>HYPERLINK("https://media.infra-m.ru/2192/2192241/cover/2192241.jpg", "Обложка")</f>
        <v>Обложка</v>
      </c>
      <c r="V5302" s="24" t="str">
        <f>HYPERLINK("https://znanium.ru/catalog/product/1941767", "Ознакомиться")</f>
        <v>Ознакомиться</v>
      </c>
      <c r="W5302" s="8" t="s">
        <v>637</v>
      </c>
      <c r="X5302" s="6"/>
      <c r="Y5302" s="6"/>
      <c r="Z5302" s="6"/>
      <c r="AA5302" s="6" t="s">
        <v>111</v>
      </c>
      <c r="AB5302" s="8"/>
    </row>
    <row r="5303" spans="1:28" s="4" customFormat="1" ht="42" customHeight="1">
      <c r="A5303" s="5">
        <v>0</v>
      </c>
      <c r="B5303" s="6" t="s">
        <v>31184</v>
      </c>
      <c r="C5303" s="7">
        <v>650</v>
      </c>
      <c r="D5303" s="8" t="s">
        <v>31185</v>
      </c>
      <c r="E5303" s="8" t="s">
        <v>31186</v>
      </c>
      <c r="F5303" s="8" t="s">
        <v>31187</v>
      </c>
      <c r="G5303" s="6" t="s">
        <v>38</v>
      </c>
      <c r="H5303" s="6" t="s">
        <v>53</v>
      </c>
      <c r="I5303" s="8" t="s">
        <v>127</v>
      </c>
      <c r="J5303" s="9">
        <v>1</v>
      </c>
      <c r="K5303" s="9">
        <v>124</v>
      </c>
      <c r="L5303" s="9">
        <v>2025</v>
      </c>
      <c r="M5303" s="8" t="s">
        <v>31188</v>
      </c>
      <c r="N5303" s="8" t="s">
        <v>41</v>
      </c>
      <c r="O5303" s="8" t="s">
        <v>129</v>
      </c>
      <c r="P5303" s="6" t="s">
        <v>43</v>
      </c>
      <c r="Q5303" s="8" t="s">
        <v>44</v>
      </c>
      <c r="R5303" s="10" t="s">
        <v>31189</v>
      </c>
      <c r="S5303" s="11"/>
      <c r="T5303" s="6"/>
      <c r="U5303" s="24" t="str">
        <f>HYPERLINK("https://media.infra-m.ru/2168/2168383/cover/2168383.jpg", "Обложка")</f>
        <v>Обложка</v>
      </c>
      <c r="V5303" s="24" t="str">
        <f>HYPERLINK("https://znanium.ru/catalog/product/2168383", "Ознакомиться")</f>
        <v>Ознакомиться</v>
      </c>
      <c r="W5303" s="8" t="s">
        <v>3605</v>
      </c>
      <c r="X5303" s="6"/>
      <c r="Y5303" s="6"/>
      <c r="Z5303" s="6"/>
      <c r="AA5303" s="6" t="s">
        <v>258</v>
      </c>
      <c r="AB5303" s="8"/>
    </row>
    <row r="5304" spans="1:28" s="4" customFormat="1" ht="51.95" customHeight="1">
      <c r="A5304" s="5">
        <v>0</v>
      </c>
      <c r="B5304" s="6" t="s">
        <v>31190</v>
      </c>
      <c r="C5304" s="13">
        <v>1920</v>
      </c>
      <c r="D5304" s="8" t="s">
        <v>31191</v>
      </c>
      <c r="E5304" s="8" t="s">
        <v>31192</v>
      </c>
      <c r="F5304" s="8" t="s">
        <v>8086</v>
      </c>
      <c r="G5304" s="6" t="s">
        <v>52</v>
      </c>
      <c r="H5304" s="6" t="s">
        <v>53</v>
      </c>
      <c r="I5304" s="8" t="s">
        <v>116</v>
      </c>
      <c r="J5304" s="9">
        <v>1</v>
      </c>
      <c r="K5304" s="9">
        <v>401</v>
      </c>
      <c r="L5304" s="9">
        <v>2024</v>
      </c>
      <c r="M5304" s="8" t="s">
        <v>31193</v>
      </c>
      <c r="N5304" s="8" t="s">
        <v>41</v>
      </c>
      <c r="O5304" s="8" t="s">
        <v>118</v>
      </c>
      <c r="P5304" s="6" t="s">
        <v>43</v>
      </c>
      <c r="Q5304" s="8" t="s">
        <v>58</v>
      </c>
      <c r="R5304" s="10" t="s">
        <v>31194</v>
      </c>
      <c r="S5304" s="11" t="s">
        <v>31195</v>
      </c>
      <c r="T5304" s="6"/>
      <c r="U5304" s="24" t="str">
        <f>HYPERLINK("https://media.infra-m.ru/2118/2118041/cover/2118041.jpg", "Обложка")</f>
        <v>Обложка</v>
      </c>
      <c r="V5304" s="24" t="str">
        <f>HYPERLINK("https://znanium.ru/catalog/product/2118041", "Ознакомиться")</f>
        <v>Ознакомиться</v>
      </c>
      <c r="W5304" s="8" t="s">
        <v>8090</v>
      </c>
      <c r="X5304" s="6"/>
      <c r="Y5304" s="6"/>
      <c r="Z5304" s="6"/>
      <c r="AA5304" s="6" t="s">
        <v>2086</v>
      </c>
      <c r="AB5304" s="8"/>
    </row>
    <row r="5305" spans="1:28" s="4" customFormat="1" ht="51.95" customHeight="1">
      <c r="A5305" s="5">
        <v>0</v>
      </c>
      <c r="B5305" s="6" t="s">
        <v>31196</v>
      </c>
      <c r="C5305" s="13">
        <v>1040</v>
      </c>
      <c r="D5305" s="8" t="s">
        <v>31197</v>
      </c>
      <c r="E5305" s="8" t="s">
        <v>31198</v>
      </c>
      <c r="F5305" s="8" t="s">
        <v>31199</v>
      </c>
      <c r="G5305" s="6" t="s">
        <v>89</v>
      </c>
      <c r="H5305" s="6" t="s">
        <v>53</v>
      </c>
      <c r="I5305" s="8" t="s">
        <v>90</v>
      </c>
      <c r="J5305" s="9">
        <v>1</v>
      </c>
      <c r="K5305" s="9">
        <v>226</v>
      </c>
      <c r="L5305" s="9">
        <v>2023</v>
      </c>
      <c r="M5305" s="8" t="s">
        <v>31200</v>
      </c>
      <c r="N5305" s="8" t="s">
        <v>41</v>
      </c>
      <c r="O5305" s="8" t="s">
        <v>118</v>
      </c>
      <c r="P5305" s="6" t="s">
        <v>43</v>
      </c>
      <c r="Q5305" s="8" t="s">
        <v>44</v>
      </c>
      <c r="R5305" s="10" t="s">
        <v>27407</v>
      </c>
      <c r="S5305" s="11" t="s">
        <v>31201</v>
      </c>
      <c r="T5305" s="6"/>
      <c r="U5305" s="24" t="str">
        <f>HYPERLINK("https://media.infra-m.ru/2126/2126475/cover/2126475.jpg", "Обложка")</f>
        <v>Обложка</v>
      </c>
      <c r="V5305" s="24" t="str">
        <f>HYPERLINK("https://znanium.ru/catalog/product/2126475", "Ознакомиться")</f>
        <v>Ознакомиться</v>
      </c>
      <c r="W5305" s="8" t="s">
        <v>31202</v>
      </c>
      <c r="X5305" s="6"/>
      <c r="Y5305" s="6"/>
      <c r="Z5305" s="6"/>
      <c r="AA5305" s="6" t="s">
        <v>793</v>
      </c>
      <c r="AB5305" s="8" t="s">
        <v>840</v>
      </c>
    </row>
    <row r="5306" spans="1:28" s="4" customFormat="1" ht="51.95" customHeight="1">
      <c r="A5306" s="5">
        <v>0</v>
      </c>
      <c r="B5306" s="6" t="s">
        <v>31203</v>
      </c>
      <c r="C5306" s="7">
        <v>540</v>
      </c>
      <c r="D5306" s="8" t="s">
        <v>31204</v>
      </c>
      <c r="E5306" s="8" t="s">
        <v>31205</v>
      </c>
      <c r="F5306" s="8" t="s">
        <v>31206</v>
      </c>
      <c r="G5306" s="6" t="s">
        <v>38</v>
      </c>
      <c r="H5306" s="6" t="s">
        <v>53</v>
      </c>
      <c r="I5306" s="8" t="s">
        <v>116</v>
      </c>
      <c r="J5306" s="9">
        <v>1</v>
      </c>
      <c r="K5306" s="9">
        <v>116</v>
      </c>
      <c r="L5306" s="9">
        <v>2024</v>
      </c>
      <c r="M5306" s="8" t="s">
        <v>31207</v>
      </c>
      <c r="N5306" s="8" t="s">
        <v>41</v>
      </c>
      <c r="O5306" s="8" t="s">
        <v>118</v>
      </c>
      <c r="P5306" s="6" t="s">
        <v>43</v>
      </c>
      <c r="Q5306" s="8" t="s">
        <v>58</v>
      </c>
      <c r="R5306" s="10" t="s">
        <v>31208</v>
      </c>
      <c r="S5306" s="11" t="s">
        <v>31209</v>
      </c>
      <c r="T5306" s="6"/>
      <c r="U5306" s="24" t="str">
        <f>HYPERLINK("https://media.infra-m.ru/2116/2116960/cover/2116960.jpg", "Обложка")</f>
        <v>Обложка</v>
      </c>
      <c r="V5306" s="24" t="str">
        <f>HYPERLINK("https://znanium.ru/catalog/product/2116960", "Ознакомиться")</f>
        <v>Ознакомиться</v>
      </c>
      <c r="W5306" s="8" t="s">
        <v>31210</v>
      </c>
      <c r="X5306" s="6"/>
      <c r="Y5306" s="6"/>
      <c r="Z5306" s="6"/>
      <c r="AA5306" s="6" t="s">
        <v>111</v>
      </c>
      <c r="AB5306" s="8"/>
    </row>
    <row r="5307" spans="1:28" s="4" customFormat="1" ht="51.95" customHeight="1">
      <c r="A5307" s="5">
        <v>0</v>
      </c>
      <c r="B5307" s="6" t="s">
        <v>31211</v>
      </c>
      <c r="C5307" s="13">
        <v>1174</v>
      </c>
      <c r="D5307" s="8" t="s">
        <v>31212</v>
      </c>
      <c r="E5307" s="8" t="s">
        <v>31213</v>
      </c>
      <c r="F5307" s="8" t="s">
        <v>31214</v>
      </c>
      <c r="G5307" s="6" t="s">
        <v>89</v>
      </c>
      <c r="H5307" s="6" t="s">
        <v>53</v>
      </c>
      <c r="I5307" s="8" t="s">
        <v>90</v>
      </c>
      <c r="J5307" s="9">
        <v>1</v>
      </c>
      <c r="K5307" s="9">
        <v>256</v>
      </c>
      <c r="L5307" s="9">
        <v>2024</v>
      </c>
      <c r="M5307" s="8" t="s">
        <v>31215</v>
      </c>
      <c r="N5307" s="8" t="s">
        <v>41</v>
      </c>
      <c r="O5307" s="8" t="s">
        <v>118</v>
      </c>
      <c r="P5307" s="6" t="s">
        <v>43</v>
      </c>
      <c r="Q5307" s="8" t="s">
        <v>44</v>
      </c>
      <c r="R5307" s="10" t="s">
        <v>27047</v>
      </c>
      <c r="S5307" s="11" t="s">
        <v>31216</v>
      </c>
      <c r="T5307" s="6"/>
      <c r="U5307" s="24" t="str">
        <f>HYPERLINK("https://media.infra-m.ru/2083/2083311/cover/2083311.jpg", "Обложка")</f>
        <v>Обложка</v>
      </c>
      <c r="V5307" s="24" t="str">
        <f>HYPERLINK("https://znanium.ru/catalog/product/2083311", "Ознакомиться")</f>
        <v>Ознакомиться</v>
      </c>
      <c r="W5307" s="8" t="s">
        <v>71</v>
      </c>
      <c r="X5307" s="6"/>
      <c r="Y5307" s="6"/>
      <c r="Z5307" s="6"/>
      <c r="AA5307" s="6" t="s">
        <v>122</v>
      </c>
      <c r="AB5307" s="8"/>
    </row>
    <row r="5308" spans="1:28" s="4" customFormat="1" ht="51.95" customHeight="1">
      <c r="A5308" s="5">
        <v>0</v>
      </c>
      <c r="B5308" s="6" t="s">
        <v>31217</v>
      </c>
      <c r="C5308" s="7">
        <v>990</v>
      </c>
      <c r="D5308" s="8" t="s">
        <v>31218</v>
      </c>
      <c r="E5308" s="8" t="s">
        <v>31219</v>
      </c>
      <c r="F5308" s="8" t="s">
        <v>31220</v>
      </c>
      <c r="G5308" s="6" t="s">
        <v>52</v>
      </c>
      <c r="H5308" s="6" t="s">
        <v>53</v>
      </c>
      <c r="I5308" s="8" t="s">
        <v>276</v>
      </c>
      <c r="J5308" s="9">
        <v>1</v>
      </c>
      <c r="K5308" s="9">
        <v>203</v>
      </c>
      <c r="L5308" s="9">
        <v>2023</v>
      </c>
      <c r="M5308" s="8" t="s">
        <v>31221</v>
      </c>
      <c r="N5308" s="8" t="s">
        <v>41</v>
      </c>
      <c r="O5308" s="8" t="s">
        <v>118</v>
      </c>
      <c r="P5308" s="6" t="s">
        <v>43</v>
      </c>
      <c r="Q5308" s="8" t="s">
        <v>279</v>
      </c>
      <c r="R5308" s="10" t="s">
        <v>31222</v>
      </c>
      <c r="S5308" s="11"/>
      <c r="T5308" s="6"/>
      <c r="U5308" s="24" t="str">
        <f>HYPERLINK("https://media.infra-m.ru/1861/1861078/cover/1861078.jpg", "Обложка")</f>
        <v>Обложка</v>
      </c>
      <c r="V5308" s="24" t="str">
        <f>HYPERLINK("https://znanium.ru/catalog/product/1861078", "Ознакомиться")</f>
        <v>Ознакомиться</v>
      </c>
      <c r="W5308" s="8" t="s">
        <v>913</v>
      </c>
      <c r="X5308" s="6"/>
      <c r="Y5308" s="6"/>
      <c r="Z5308" s="6"/>
      <c r="AA5308" s="6" t="s">
        <v>207</v>
      </c>
      <c r="AB5308" s="8"/>
    </row>
    <row r="5309" spans="1:28" s="4" customFormat="1" ht="51.95" customHeight="1">
      <c r="A5309" s="5">
        <v>0</v>
      </c>
      <c r="B5309" s="6" t="s">
        <v>31223</v>
      </c>
      <c r="C5309" s="13">
        <v>2074</v>
      </c>
      <c r="D5309" s="8" t="s">
        <v>31224</v>
      </c>
      <c r="E5309" s="8" t="s">
        <v>31225</v>
      </c>
      <c r="F5309" s="8" t="s">
        <v>20597</v>
      </c>
      <c r="G5309" s="6" t="s">
        <v>89</v>
      </c>
      <c r="H5309" s="6" t="s">
        <v>53</v>
      </c>
      <c r="I5309" s="8" t="s">
        <v>90</v>
      </c>
      <c r="J5309" s="9">
        <v>1</v>
      </c>
      <c r="K5309" s="9">
        <v>399</v>
      </c>
      <c r="L5309" s="9">
        <v>2025</v>
      </c>
      <c r="M5309" s="8" t="s">
        <v>31226</v>
      </c>
      <c r="N5309" s="8" t="s">
        <v>79</v>
      </c>
      <c r="O5309" s="8" t="s">
        <v>396</v>
      </c>
      <c r="P5309" s="6" t="s">
        <v>167</v>
      </c>
      <c r="Q5309" s="8" t="s">
        <v>44</v>
      </c>
      <c r="R5309" s="10" t="s">
        <v>20593</v>
      </c>
      <c r="S5309" s="11" t="s">
        <v>31227</v>
      </c>
      <c r="T5309" s="6"/>
      <c r="U5309" s="24" t="str">
        <f>HYPERLINK("https://media.infra-m.ru/2192/2192246/cover/2192246.jpg", "Обложка")</f>
        <v>Обложка</v>
      </c>
      <c r="V5309" s="24" t="str">
        <f>HYPERLINK("https://znanium.ru/catalog/product/2125018", "Ознакомиться")</f>
        <v>Ознакомиться</v>
      </c>
      <c r="W5309" s="8" t="s">
        <v>2938</v>
      </c>
      <c r="X5309" s="6"/>
      <c r="Y5309" s="6"/>
      <c r="Z5309" s="6"/>
      <c r="AA5309" s="6" t="s">
        <v>1259</v>
      </c>
      <c r="AB5309" s="8"/>
    </row>
    <row r="5310" spans="1:28" s="4" customFormat="1" ht="51.95" customHeight="1">
      <c r="A5310" s="5">
        <v>0</v>
      </c>
      <c r="B5310" s="6" t="s">
        <v>31228</v>
      </c>
      <c r="C5310" s="13">
        <v>1717</v>
      </c>
      <c r="D5310" s="8" t="s">
        <v>31229</v>
      </c>
      <c r="E5310" s="8" t="s">
        <v>31230</v>
      </c>
      <c r="F5310" s="8" t="s">
        <v>31231</v>
      </c>
      <c r="G5310" s="6" t="s">
        <v>89</v>
      </c>
      <c r="H5310" s="6" t="s">
        <v>39</v>
      </c>
      <c r="I5310" s="8" t="s">
        <v>116</v>
      </c>
      <c r="J5310" s="9">
        <v>1</v>
      </c>
      <c r="K5310" s="9">
        <v>264</v>
      </c>
      <c r="L5310" s="9">
        <v>2025</v>
      </c>
      <c r="M5310" s="8" t="s">
        <v>31232</v>
      </c>
      <c r="N5310" s="8" t="s">
        <v>41</v>
      </c>
      <c r="O5310" s="8" t="s">
        <v>118</v>
      </c>
      <c r="P5310" s="6" t="s">
        <v>43</v>
      </c>
      <c r="Q5310" s="8" t="s">
        <v>44</v>
      </c>
      <c r="R5310" s="10" t="s">
        <v>31233</v>
      </c>
      <c r="S5310" s="11" t="s">
        <v>31234</v>
      </c>
      <c r="T5310" s="6"/>
      <c r="U5310" s="24" t="str">
        <f>HYPERLINK("https://media.infra-m.ru/2188/2188718/cover/2188718.jpg", "Обложка")</f>
        <v>Обложка</v>
      </c>
      <c r="V5310" s="24" t="str">
        <f>HYPERLINK("https://znanium.ru/catalog/product/2050526", "Ознакомиться")</f>
        <v>Ознакомиться</v>
      </c>
      <c r="W5310" s="8" t="s">
        <v>21103</v>
      </c>
      <c r="X5310" s="6"/>
      <c r="Y5310" s="6"/>
      <c r="Z5310" s="6"/>
      <c r="AA5310" s="6" t="s">
        <v>326</v>
      </c>
      <c r="AB5310" s="8"/>
    </row>
    <row r="5311" spans="1:28" s="4" customFormat="1" ht="51.95" customHeight="1">
      <c r="A5311" s="5">
        <v>0</v>
      </c>
      <c r="B5311" s="6" t="s">
        <v>31235</v>
      </c>
      <c r="C5311" s="13">
        <v>1490</v>
      </c>
      <c r="D5311" s="8" t="s">
        <v>31236</v>
      </c>
      <c r="E5311" s="8" t="s">
        <v>31237</v>
      </c>
      <c r="F5311" s="8" t="s">
        <v>31238</v>
      </c>
      <c r="G5311" s="6" t="s">
        <v>89</v>
      </c>
      <c r="H5311" s="6" t="s">
        <v>53</v>
      </c>
      <c r="I5311" s="8" t="s">
        <v>212</v>
      </c>
      <c r="J5311" s="9">
        <v>1</v>
      </c>
      <c r="K5311" s="9">
        <v>317</v>
      </c>
      <c r="L5311" s="9">
        <v>2023</v>
      </c>
      <c r="M5311" s="8" t="s">
        <v>31239</v>
      </c>
      <c r="N5311" s="8" t="s">
        <v>79</v>
      </c>
      <c r="O5311" s="8" t="s">
        <v>174</v>
      </c>
      <c r="P5311" s="6" t="s">
        <v>43</v>
      </c>
      <c r="Q5311" s="8" t="s">
        <v>214</v>
      </c>
      <c r="R5311" s="10" t="s">
        <v>1134</v>
      </c>
      <c r="S5311" s="11" t="s">
        <v>11976</v>
      </c>
      <c r="T5311" s="6"/>
      <c r="U5311" s="24" t="str">
        <f>HYPERLINK("https://media.infra-m.ru/1938/1938023/cover/1938023.jpg", "Обложка")</f>
        <v>Обложка</v>
      </c>
      <c r="V5311" s="24" t="str">
        <f>HYPERLINK("https://znanium.ru/catalog/product/1938023", "Ознакомиться")</f>
        <v>Ознакомиться</v>
      </c>
      <c r="W5311" s="8" t="s">
        <v>5973</v>
      </c>
      <c r="X5311" s="6"/>
      <c r="Y5311" s="6"/>
      <c r="Z5311" s="6"/>
      <c r="AA5311" s="6" t="s">
        <v>813</v>
      </c>
      <c r="AB5311" s="8"/>
    </row>
    <row r="5312" spans="1:28" s="4" customFormat="1" ht="51.95" customHeight="1">
      <c r="A5312" s="5">
        <v>0</v>
      </c>
      <c r="B5312" s="6" t="s">
        <v>31240</v>
      </c>
      <c r="C5312" s="13">
        <v>1320</v>
      </c>
      <c r="D5312" s="8" t="s">
        <v>31241</v>
      </c>
      <c r="E5312" s="8" t="s">
        <v>31242</v>
      </c>
      <c r="F5312" s="8" t="s">
        <v>31238</v>
      </c>
      <c r="G5312" s="6" t="s">
        <v>89</v>
      </c>
      <c r="H5312" s="6" t="s">
        <v>53</v>
      </c>
      <c r="I5312" s="8" t="s">
        <v>212</v>
      </c>
      <c r="J5312" s="9">
        <v>1</v>
      </c>
      <c r="K5312" s="9">
        <v>312</v>
      </c>
      <c r="L5312" s="9">
        <v>2022</v>
      </c>
      <c r="M5312" s="8" t="s">
        <v>31243</v>
      </c>
      <c r="N5312" s="8" t="s">
        <v>79</v>
      </c>
      <c r="O5312" s="8" t="s">
        <v>174</v>
      </c>
      <c r="P5312" s="6" t="s">
        <v>43</v>
      </c>
      <c r="Q5312" s="8" t="s">
        <v>214</v>
      </c>
      <c r="R5312" s="10" t="s">
        <v>1134</v>
      </c>
      <c r="S5312" s="11" t="s">
        <v>11976</v>
      </c>
      <c r="T5312" s="6"/>
      <c r="U5312" s="24" t="str">
        <f>HYPERLINK("https://media.infra-m.ru/1863/1863411/cover/1863411.jpg", "Обложка")</f>
        <v>Обложка</v>
      </c>
      <c r="V5312" s="24" t="str">
        <f>HYPERLINK("https://znanium.ru/catalog/product/1938023", "Ознакомиться")</f>
        <v>Ознакомиться</v>
      </c>
      <c r="W5312" s="8" t="s">
        <v>5973</v>
      </c>
      <c r="X5312" s="6"/>
      <c r="Y5312" s="6"/>
      <c r="Z5312" s="6"/>
      <c r="AA5312" s="6" t="s">
        <v>151</v>
      </c>
      <c r="AB5312" s="8"/>
    </row>
    <row r="5313" spans="1:28" s="4" customFormat="1" ht="51.95" customHeight="1">
      <c r="A5313" s="5">
        <v>0</v>
      </c>
      <c r="B5313" s="6" t="s">
        <v>31244</v>
      </c>
      <c r="C5313" s="13">
        <v>1334</v>
      </c>
      <c r="D5313" s="8" t="s">
        <v>31245</v>
      </c>
      <c r="E5313" s="8" t="s">
        <v>31246</v>
      </c>
      <c r="F5313" s="8" t="s">
        <v>31247</v>
      </c>
      <c r="G5313" s="6" t="s">
        <v>38</v>
      </c>
      <c r="H5313" s="6" t="s">
        <v>53</v>
      </c>
      <c r="I5313" s="8" t="s">
        <v>90</v>
      </c>
      <c r="J5313" s="9">
        <v>1</v>
      </c>
      <c r="K5313" s="9">
        <v>256</v>
      </c>
      <c r="L5313" s="9">
        <v>2025</v>
      </c>
      <c r="M5313" s="8" t="s">
        <v>31248</v>
      </c>
      <c r="N5313" s="8" t="s">
        <v>413</v>
      </c>
      <c r="O5313" s="8" t="s">
        <v>2771</v>
      </c>
      <c r="P5313" s="6" t="s">
        <v>43</v>
      </c>
      <c r="Q5313" s="8" t="s">
        <v>44</v>
      </c>
      <c r="R5313" s="10" t="s">
        <v>9780</v>
      </c>
      <c r="S5313" s="11" t="s">
        <v>31249</v>
      </c>
      <c r="T5313" s="6"/>
      <c r="U5313" s="24" t="str">
        <f>HYPERLINK("https://media.infra-m.ru/2194/2194370/cover/2194370.jpg", "Обложка")</f>
        <v>Обложка</v>
      </c>
      <c r="V5313" s="24" t="str">
        <f>HYPERLINK("https://znanium.ru/catalog/product/1838262", "Ознакомиться")</f>
        <v>Ознакомиться</v>
      </c>
      <c r="W5313" s="8" t="s">
        <v>2343</v>
      </c>
      <c r="X5313" s="6"/>
      <c r="Y5313" s="6"/>
      <c r="Z5313" s="6"/>
      <c r="AA5313" s="6" t="s">
        <v>479</v>
      </c>
      <c r="AB5313" s="8"/>
    </row>
    <row r="5314" spans="1:28" s="4" customFormat="1" ht="51.95" customHeight="1">
      <c r="A5314" s="5">
        <v>0</v>
      </c>
      <c r="B5314" s="6" t="s">
        <v>31250</v>
      </c>
      <c r="C5314" s="13">
        <v>1700</v>
      </c>
      <c r="D5314" s="8" t="s">
        <v>31251</v>
      </c>
      <c r="E5314" s="8" t="s">
        <v>31252</v>
      </c>
      <c r="F5314" s="8" t="s">
        <v>31253</v>
      </c>
      <c r="G5314" s="6" t="s">
        <v>52</v>
      </c>
      <c r="H5314" s="6" t="s">
        <v>674</v>
      </c>
      <c r="I5314" s="8"/>
      <c r="J5314" s="9">
        <v>1</v>
      </c>
      <c r="K5314" s="9">
        <v>368</v>
      </c>
      <c r="L5314" s="9">
        <v>2024</v>
      </c>
      <c r="M5314" s="8" t="s">
        <v>31254</v>
      </c>
      <c r="N5314" s="8" t="s">
        <v>41</v>
      </c>
      <c r="O5314" s="8" t="s">
        <v>676</v>
      </c>
      <c r="P5314" s="6" t="s">
        <v>187</v>
      </c>
      <c r="Q5314" s="8" t="s">
        <v>58</v>
      </c>
      <c r="R5314" s="10" t="s">
        <v>31255</v>
      </c>
      <c r="S5314" s="11"/>
      <c r="T5314" s="6"/>
      <c r="U5314" s="24" t="str">
        <f>HYPERLINK("https://media.infra-m.ru/2117/2117069/cover/2117069.jpg", "Обложка")</f>
        <v>Обложка</v>
      </c>
      <c r="V5314" s="24" t="str">
        <f>HYPERLINK("https://znanium.ru/catalog/product/2117069", "Ознакомиться")</f>
        <v>Ознакомиться</v>
      </c>
      <c r="W5314" s="8" t="s">
        <v>808</v>
      </c>
      <c r="X5314" s="6"/>
      <c r="Y5314" s="6"/>
      <c r="Z5314" s="6"/>
      <c r="AA5314" s="6" t="s">
        <v>133</v>
      </c>
      <c r="AB5314" s="8"/>
    </row>
    <row r="5315" spans="1:28" s="4" customFormat="1" ht="51.95" customHeight="1">
      <c r="A5315" s="5">
        <v>0</v>
      </c>
      <c r="B5315" s="6" t="s">
        <v>31256</v>
      </c>
      <c r="C5315" s="7">
        <v>744.9</v>
      </c>
      <c r="D5315" s="8" t="s">
        <v>31257</v>
      </c>
      <c r="E5315" s="8" t="s">
        <v>31252</v>
      </c>
      <c r="F5315" s="8" t="s">
        <v>31258</v>
      </c>
      <c r="G5315" s="6" t="s">
        <v>52</v>
      </c>
      <c r="H5315" s="6" t="s">
        <v>184</v>
      </c>
      <c r="I5315" s="8" t="s">
        <v>90</v>
      </c>
      <c r="J5315" s="9">
        <v>1</v>
      </c>
      <c r="K5315" s="9">
        <v>254</v>
      </c>
      <c r="L5315" s="9">
        <v>2017</v>
      </c>
      <c r="M5315" s="8" t="s">
        <v>31259</v>
      </c>
      <c r="N5315" s="8" t="s">
        <v>41</v>
      </c>
      <c r="O5315" s="8" t="s">
        <v>676</v>
      </c>
      <c r="P5315" s="6" t="s">
        <v>43</v>
      </c>
      <c r="Q5315" s="8" t="s">
        <v>44</v>
      </c>
      <c r="R5315" s="10" t="s">
        <v>31260</v>
      </c>
      <c r="S5315" s="11"/>
      <c r="T5315" s="6"/>
      <c r="U5315" s="12"/>
      <c r="V5315" s="24" t="str">
        <f>HYPERLINK("https://znanium.ru/catalog/product/898583", "Ознакомиться")</f>
        <v>Ознакомиться</v>
      </c>
      <c r="W5315" s="8" t="s">
        <v>7077</v>
      </c>
      <c r="X5315" s="6"/>
      <c r="Y5315" s="6"/>
      <c r="Z5315" s="6"/>
      <c r="AA5315" s="6" t="s">
        <v>47</v>
      </c>
      <c r="AB5315" s="8"/>
    </row>
    <row r="5316" spans="1:28" s="4" customFormat="1" ht="51.95" customHeight="1">
      <c r="A5316" s="5">
        <v>0</v>
      </c>
      <c r="B5316" s="6" t="s">
        <v>31261</v>
      </c>
      <c r="C5316" s="7">
        <v>830</v>
      </c>
      <c r="D5316" s="8" t="s">
        <v>31262</v>
      </c>
      <c r="E5316" s="8" t="s">
        <v>31263</v>
      </c>
      <c r="F5316" s="8" t="s">
        <v>7074</v>
      </c>
      <c r="G5316" s="6" t="s">
        <v>52</v>
      </c>
      <c r="H5316" s="6" t="s">
        <v>184</v>
      </c>
      <c r="I5316" s="8" t="s">
        <v>90</v>
      </c>
      <c r="J5316" s="9">
        <v>1</v>
      </c>
      <c r="K5316" s="9">
        <v>251</v>
      </c>
      <c r="L5316" s="9">
        <v>2018</v>
      </c>
      <c r="M5316" s="8" t="s">
        <v>31264</v>
      </c>
      <c r="N5316" s="8" t="s">
        <v>41</v>
      </c>
      <c r="O5316" s="8" t="s">
        <v>676</v>
      </c>
      <c r="P5316" s="6" t="s">
        <v>43</v>
      </c>
      <c r="Q5316" s="8" t="s">
        <v>44</v>
      </c>
      <c r="R5316" s="10" t="s">
        <v>31260</v>
      </c>
      <c r="S5316" s="11"/>
      <c r="T5316" s="6"/>
      <c r="U5316" s="24" t="str">
        <f>HYPERLINK("https://media.infra-m.ru/0989/0989852/cover/989852.jpg", "Обложка")</f>
        <v>Обложка</v>
      </c>
      <c r="V5316" s="24" t="str">
        <f>HYPERLINK("https://znanium.ru/catalog/product/898583", "Ознакомиться")</f>
        <v>Ознакомиться</v>
      </c>
      <c r="W5316" s="8" t="s">
        <v>7077</v>
      </c>
      <c r="X5316" s="6"/>
      <c r="Y5316" s="6"/>
      <c r="Z5316" s="6"/>
      <c r="AA5316" s="6" t="s">
        <v>196</v>
      </c>
      <c r="AB5316" s="8"/>
    </row>
    <row r="5317" spans="1:28" s="4" customFormat="1" ht="51.95" customHeight="1">
      <c r="A5317" s="5">
        <v>0</v>
      </c>
      <c r="B5317" s="6" t="s">
        <v>31265</v>
      </c>
      <c r="C5317" s="13">
        <v>3304</v>
      </c>
      <c r="D5317" s="8" t="s">
        <v>31266</v>
      </c>
      <c r="E5317" s="8" t="s">
        <v>31267</v>
      </c>
      <c r="F5317" s="8" t="s">
        <v>31268</v>
      </c>
      <c r="G5317" s="6" t="s">
        <v>52</v>
      </c>
      <c r="H5317" s="6" t="s">
        <v>674</v>
      </c>
      <c r="I5317" s="8"/>
      <c r="J5317" s="9">
        <v>1</v>
      </c>
      <c r="K5317" s="9">
        <v>776</v>
      </c>
      <c r="L5317" s="9">
        <v>2025</v>
      </c>
      <c r="M5317" s="8" t="s">
        <v>31269</v>
      </c>
      <c r="N5317" s="8" t="s">
        <v>41</v>
      </c>
      <c r="O5317" s="8" t="s">
        <v>676</v>
      </c>
      <c r="P5317" s="6" t="s">
        <v>167</v>
      </c>
      <c r="Q5317" s="8" t="s">
        <v>44</v>
      </c>
      <c r="R5317" s="10" t="s">
        <v>31270</v>
      </c>
      <c r="S5317" s="11"/>
      <c r="T5317" s="6"/>
      <c r="U5317" s="24" t="str">
        <f>HYPERLINK("https://media.infra-m.ru/2178/2178275/cover/2178275.jpg", "Обложка")</f>
        <v>Обложка</v>
      </c>
      <c r="V5317" s="24" t="str">
        <f>HYPERLINK("https://znanium.ru/catalog/product/1908882", "Ознакомиться")</f>
        <v>Ознакомиться</v>
      </c>
      <c r="W5317" s="8" t="s">
        <v>347</v>
      </c>
      <c r="X5317" s="6"/>
      <c r="Y5317" s="6"/>
      <c r="Z5317" s="6"/>
      <c r="AA5317" s="6" t="s">
        <v>207</v>
      </c>
      <c r="AB5317" s="8"/>
    </row>
    <row r="5318" spans="1:28" s="4" customFormat="1" ht="51.95" customHeight="1">
      <c r="A5318" s="5">
        <v>0</v>
      </c>
      <c r="B5318" s="6" t="s">
        <v>31271</v>
      </c>
      <c r="C5318" s="13">
        <v>1344.9</v>
      </c>
      <c r="D5318" s="8" t="s">
        <v>31272</v>
      </c>
      <c r="E5318" s="8" t="s">
        <v>31273</v>
      </c>
      <c r="F5318" s="8" t="s">
        <v>31274</v>
      </c>
      <c r="G5318" s="6" t="s">
        <v>52</v>
      </c>
      <c r="H5318" s="6" t="s">
        <v>674</v>
      </c>
      <c r="I5318" s="8"/>
      <c r="J5318" s="9">
        <v>1</v>
      </c>
      <c r="K5318" s="9">
        <v>368</v>
      </c>
      <c r="L5318" s="9">
        <v>2020</v>
      </c>
      <c r="M5318" s="8" t="s">
        <v>31275</v>
      </c>
      <c r="N5318" s="8" t="s">
        <v>41</v>
      </c>
      <c r="O5318" s="8" t="s">
        <v>676</v>
      </c>
      <c r="P5318" s="6" t="s">
        <v>167</v>
      </c>
      <c r="Q5318" s="8" t="s">
        <v>44</v>
      </c>
      <c r="R5318" s="10" t="s">
        <v>2736</v>
      </c>
      <c r="S5318" s="11" t="s">
        <v>31276</v>
      </c>
      <c r="T5318" s="6"/>
      <c r="U5318" s="24" t="str">
        <f>HYPERLINK("https://media.infra-m.ru/1093/1093285/cover/1093285.jpg", "Обложка")</f>
        <v>Обложка</v>
      </c>
      <c r="V5318" s="24" t="str">
        <f>HYPERLINK("https://znanium.ru/catalog/product/2175120", "Ознакомиться")</f>
        <v>Ознакомиться</v>
      </c>
      <c r="W5318" s="8" t="s">
        <v>4830</v>
      </c>
      <c r="X5318" s="6"/>
      <c r="Y5318" s="6"/>
      <c r="Z5318" s="6"/>
      <c r="AA5318" s="6" t="s">
        <v>1374</v>
      </c>
      <c r="AB5318" s="8"/>
    </row>
    <row r="5319" spans="1:28" s="4" customFormat="1" ht="51.95" customHeight="1">
      <c r="A5319" s="5">
        <v>0</v>
      </c>
      <c r="B5319" s="6" t="s">
        <v>31277</v>
      </c>
      <c r="C5319" s="13">
        <v>1900</v>
      </c>
      <c r="D5319" s="8" t="s">
        <v>31278</v>
      </c>
      <c r="E5319" s="8" t="s">
        <v>31279</v>
      </c>
      <c r="F5319" s="8" t="s">
        <v>31274</v>
      </c>
      <c r="G5319" s="6" t="s">
        <v>89</v>
      </c>
      <c r="H5319" s="6" t="s">
        <v>674</v>
      </c>
      <c r="I5319" s="8"/>
      <c r="J5319" s="9">
        <v>1</v>
      </c>
      <c r="K5319" s="9">
        <v>376</v>
      </c>
      <c r="L5319" s="9">
        <v>2025</v>
      </c>
      <c r="M5319" s="8" t="s">
        <v>31280</v>
      </c>
      <c r="N5319" s="8" t="s">
        <v>41</v>
      </c>
      <c r="O5319" s="8" t="s">
        <v>676</v>
      </c>
      <c r="P5319" s="6" t="s">
        <v>167</v>
      </c>
      <c r="Q5319" s="8" t="s">
        <v>44</v>
      </c>
      <c r="R5319" s="10" t="s">
        <v>2736</v>
      </c>
      <c r="S5319" s="11" t="s">
        <v>31276</v>
      </c>
      <c r="T5319" s="6"/>
      <c r="U5319" s="24" t="str">
        <f>HYPERLINK("https://media.infra-m.ru/2175/2175120/cover/2175120.jpg", "Обложка")</f>
        <v>Обложка</v>
      </c>
      <c r="V5319" s="24" t="str">
        <f>HYPERLINK("https://znanium.ru/catalog/product/2175120", "Ознакомиться")</f>
        <v>Ознакомиться</v>
      </c>
      <c r="W5319" s="8" t="s">
        <v>4830</v>
      </c>
      <c r="X5319" s="6"/>
      <c r="Y5319" s="6"/>
      <c r="Z5319" s="6"/>
      <c r="AA5319" s="6" t="s">
        <v>2086</v>
      </c>
      <c r="AB5319" s="8"/>
    </row>
    <row r="5320" spans="1:28" s="4" customFormat="1" ht="51.95" customHeight="1">
      <c r="A5320" s="5">
        <v>0</v>
      </c>
      <c r="B5320" s="6" t="s">
        <v>31281</v>
      </c>
      <c r="C5320" s="7">
        <v>824.9</v>
      </c>
      <c r="D5320" s="8" t="s">
        <v>31282</v>
      </c>
      <c r="E5320" s="8" t="s">
        <v>31267</v>
      </c>
      <c r="F5320" s="8" t="s">
        <v>31283</v>
      </c>
      <c r="G5320" s="6" t="s">
        <v>4902</v>
      </c>
      <c r="H5320" s="6" t="s">
        <v>674</v>
      </c>
      <c r="I5320" s="8"/>
      <c r="J5320" s="9">
        <v>10</v>
      </c>
      <c r="K5320" s="9">
        <v>464</v>
      </c>
      <c r="L5320" s="9">
        <v>2015</v>
      </c>
      <c r="M5320" s="8" t="s">
        <v>31284</v>
      </c>
      <c r="N5320" s="8" t="s">
        <v>41</v>
      </c>
      <c r="O5320" s="8" t="s">
        <v>676</v>
      </c>
      <c r="P5320" s="6" t="s">
        <v>167</v>
      </c>
      <c r="Q5320" s="8" t="s">
        <v>44</v>
      </c>
      <c r="R5320" s="10" t="s">
        <v>2736</v>
      </c>
      <c r="S5320" s="11" t="s">
        <v>31285</v>
      </c>
      <c r="T5320" s="6"/>
      <c r="U5320" s="24" t="str">
        <f>HYPERLINK("https://media.infra-m.ru/0518/0518397/cover/518397.jpg", "Обложка")</f>
        <v>Обложка</v>
      </c>
      <c r="V5320" s="24" t="str">
        <f>HYPERLINK("https://znanium.ru/catalog/product/2175120", "Ознакомиться")</f>
        <v>Ознакомиться</v>
      </c>
      <c r="W5320" s="8" t="s">
        <v>4830</v>
      </c>
      <c r="X5320" s="6"/>
      <c r="Y5320" s="6"/>
      <c r="Z5320" s="6"/>
      <c r="AA5320" s="6" t="s">
        <v>72</v>
      </c>
      <c r="AB5320" s="8"/>
    </row>
    <row r="5321" spans="1:28" s="4" customFormat="1" ht="42" customHeight="1">
      <c r="A5321" s="5">
        <v>0</v>
      </c>
      <c r="B5321" s="6" t="s">
        <v>31286</v>
      </c>
      <c r="C5321" s="13">
        <v>1730</v>
      </c>
      <c r="D5321" s="8" t="s">
        <v>31287</v>
      </c>
      <c r="E5321" s="8" t="s">
        <v>31267</v>
      </c>
      <c r="F5321" s="8" t="s">
        <v>31288</v>
      </c>
      <c r="G5321" s="6" t="s">
        <v>89</v>
      </c>
      <c r="H5321" s="6" t="s">
        <v>53</v>
      </c>
      <c r="I5321" s="8" t="s">
        <v>100</v>
      </c>
      <c r="J5321" s="9">
        <v>1</v>
      </c>
      <c r="K5321" s="9">
        <v>331</v>
      </c>
      <c r="L5321" s="9">
        <v>2025</v>
      </c>
      <c r="M5321" s="8" t="s">
        <v>31289</v>
      </c>
      <c r="N5321" s="8" t="s">
        <v>41</v>
      </c>
      <c r="O5321" s="8" t="s">
        <v>676</v>
      </c>
      <c r="P5321" s="6" t="s">
        <v>167</v>
      </c>
      <c r="Q5321" s="8" t="s">
        <v>102</v>
      </c>
      <c r="R5321" s="10" t="s">
        <v>31290</v>
      </c>
      <c r="S5321" s="11"/>
      <c r="T5321" s="6"/>
      <c r="U5321" s="24" t="str">
        <f>HYPERLINK("https://media.infra-m.ru/2193/2193218/cover/2193218.jpg", "Обложка")</f>
        <v>Обложка</v>
      </c>
      <c r="V5321" s="24" t="str">
        <f>HYPERLINK("https://znanium.ru/catalog/product/2193218", "Ознакомиться")</f>
        <v>Ознакомиться</v>
      </c>
      <c r="W5321" s="8" t="s">
        <v>19553</v>
      </c>
      <c r="X5321" s="6"/>
      <c r="Y5321" s="6"/>
      <c r="Z5321" s="6"/>
      <c r="AA5321" s="6" t="s">
        <v>207</v>
      </c>
      <c r="AB5321" s="8" t="s">
        <v>11412</v>
      </c>
    </row>
    <row r="5322" spans="1:28" s="4" customFormat="1" ht="51.95" customHeight="1">
      <c r="A5322" s="5">
        <v>0</v>
      </c>
      <c r="B5322" s="6" t="s">
        <v>31291</v>
      </c>
      <c r="C5322" s="13">
        <v>1430</v>
      </c>
      <c r="D5322" s="8" t="s">
        <v>31292</v>
      </c>
      <c r="E5322" s="8" t="s">
        <v>31267</v>
      </c>
      <c r="F5322" s="8" t="s">
        <v>22314</v>
      </c>
      <c r="G5322" s="6" t="s">
        <v>89</v>
      </c>
      <c r="H5322" s="6" t="s">
        <v>53</v>
      </c>
      <c r="I5322" s="8" t="s">
        <v>100</v>
      </c>
      <c r="J5322" s="9">
        <v>1</v>
      </c>
      <c r="K5322" s="9">
        <v>316</v>
      </c>
      <c r="L5322" s="9">
        <v>2023</v>
      </c>
      <c r="M5322" s="8" t="s">
        <v>31293</v>
      </c>
      <c r="N5322" s="8" t="s">
        <v>41</v>
      </c>
      <c r="O5322" s="8" t="s">
        <v>676</v>
      </c>
      <c r="P5322" s="6" t="s">
        <v>43</v>
      </c>
      <c r="Q5322" s="8" t="s">
        <v>102</v>
      </c>
      <c r="R5322" s="10" t="s">
        <v>256</v>
      </c>
      <c r="S5322" s="11" t="s">
        <v>31294</v>
      </c>
      <c r="T5322" s="6"/>
      <c r="U5322" s="24" t="str">
        <f>HYPERLINK("https://media.infra-m.ru/1932/1932343/cover/1932343.jpg", "Обложка")</f>
        <v>Обложка</v>
      </c>
      <c r="V5322" s="24" t="str">
        <f>HYPERLINK("https://znanium.ru/catalog/product/1932343", "Ознакомиться")</f>
        <v>Ознакомиться</v>
      </c>
      <c r="W5322" s="8" t="s">
        <v>852</v>
      </c>
      <c r="X5322" s="6"/>
      <c r="Y5322" s="6"/>
      <c r="Z5322" s="6"/>
      <c r="AA5322" s="6" t="s">
        <v>793</v>
      </c>
      <c r="AB5322" s="8"/>
    </row>
    <row r="5323" spans="1:28" s="4" customFormat="1" ht="51.95" customHeight="1">
      <c r="A5323" s="5">
        <v>0</v>
      </c>
      <c r="B5323" s="6" t="s">
        <v>31295</v>
      </c>
      <c r="C5323" s="13">
        <v>1420</v>
      </c>
      <c r="D5323" s="8" t="s">
        <v>31296</v>
      </c>
      <c r="E5323" s="8" t="s">
        <v>31297</v>
      </c>
      <c r="F5323" s="8" t="s">
        <v>31298</v>
      </c>
      <c r="G5323" s="6" t="s">
        <v>89</v>
      </c>
      <c r="H5323" s="6" t="s">
        <v>53</v>
      </c>
      <c r="I5323" s="8" t="s">
        <v>5586</v>
      </c>
      <c r="J5323" s="9">
        <v>1</v>
      </c>
      <c r="K5323" s="9">
        <v>300</v>
      </c>
      <c r="L5323" s="9">
        <v>2024</v>
      </c>
      <c r="M5323" s="8" t="s">
        <v>31299</v>
      </c>
      <c r="N5323" s="8" t="s">
        <v>41</v>
      </c>
      <c r="O5323" s="8" t="s">
        <v>278</v>
      </c>
      <c r="P5323" s="6" t="s">
        <v>5588</v>
      </c>
      <c r="Q5323" s="8" t="s">
        <v>58</v>
      </c>
      <c r="R5323" s="10" t="s">
        <v>31300</v>
      </c>
      <c r="S5323" s="11"/>
      <c r="T5323" s="6"/>
      <c r="U5323" s="24" t="str">
        <f>HYPERLINK("https://media.infra-m.ru/2142/2142446/cover/2142446.jpg", "Обложка")</f>
        <v>Обложка</v>
      </c>
      <c r="V5323" s="24" t="str">
        <f>HYPERLINK("https://znanium.ru/catalog/product/2142446", "Ознакомиться")</f>
        <v>Ознакомиться</v>
      </c>
      <c r="W5323" s="8" t="s">
        <v>189</v>
      </c>
      <c r="X5323" s="6"/>
      <c r="Y5323" s="6"/>
      <c r="Z5323" s="6"/>
      <c r="AA5323" s="6" t="s">
        <v>258</v>
      </c>
      <c r="AB5323" s="8"/>
    </row>
    <row r="5324" spans="1:28" s="4" customFormat="1" ht="51.95" customHeight="1">
      <c r="A5324" s="5">
        <v>0</v>
      </c>
      <c r="B5324" s="6" t="s">
        <v>31301</v>
      </c>
      <c r="C5324" s="7">
        <v>590</v>
      </c>
      <c r="D5324" s="8" t="s">
        <v>31302</v>
      </c>
      <c r="E5324" s="8" t="s">
        <v>31303</v>
      </c>
      <c r="F5324" s="8" t="s">
        <v>31304</v>
      </c>
      <c r="G5324" s="6" t="s">
        <v>38</v>
      </c>
      <c r="H5324" s="6" t="s">
        <v>39</v>
      </c>
      <c r="I5324" s="8" t="s">
        <v>100</v>
      </c>
      <c r="J5324" s="9">
        <v>1</v>
      </c>
      <c r="K5324" s="9">
        <v>112</v>
      </c>
      <c r="L5324" s="9">
        <v>2025</v>
      </c>
      <c r="M5324" s="8" t="s">
        <v>31305</v>
      </c>
      <c r="N5324" s="8" t="s">
        <v>41</v>
      </c>
      <c r="O5324" s="8" t="s">
        <v>118</v>
      </c>
      <c r="P5324" s="6" t="s">
        <v>187</v>
      </c>
      <c r="Q5324" s="8" t="s">
        <v>102</v>
      </c>
      <c r="R5324" s="10" t="s">
        <v>2779</v>
      </c>
      <c r="S5324" s="11" t="s">
        <v>1802</v>
      </c>
      <c r="T5324" s="6"/>
      <c r="U5324" s="24" t="str">
        <f>HYPERLINK("https://media.infra-m.ru/2179/2179097/cover/2179097.jpg", "Обложка")</f>
        <v>Обложка</v>
      </c>
      <c r="V5324" s="24" t="str">
        <f>HYPERLINK("https://znanium.ru/catalog/product/2179097", "Ознакомиться")</f>
        <v>Ознакомиться</v>
      </c>
      <c r="W5324" s="8" t="s">
        <v>243</v>
      </c>
      <c r="X5324" s="6"/>
      <c r="Y5324" s="6"/>
      <c r="Z5324" s="6" t="s">
        <v>104</v>
      </c>
      <c r="AA5324" s="6" t="s">
        <v>151</v>
      </c>
      <c r="AB5324" s="8"/>
    </row>
    <row r="5325" spans="1:28" s="4" customFormat="1" ht="51.95" customHeight="1">
      <c r="A5325" s="5">
        <v>0</v>
      </c>
      <c r="B5325" s="6" t="s">
        <v>31306</v>
      </c>
      <c r="C5325" s="7">
        <v>520</v>
      </c>
      <c r="D5325" s="8" t="s">
        <v>31307</v>
      </c>
      <c r="E5325" s="8" t="s">
        <v>31303</v>
      </c>
      <c r="F5325" s="8" t="s">
        <v>31304</v>
      </c>
      <c r="G5325" s="6" t="s">
        <v>38</v>
      </c>
      <c r="H5325" s="6" t="s">
        <v>39</v>
      </c>
      <c r="I5325" s="8" t="s">
        <v>90</v>
      </c>
      <c r="J5325" s="9">
        <v>1</v>
      </c>
      <c r="K5325" s="9">
        <v>112</v>
      </c>
      <c r="L5325" s="9">
        <v>2023</v>
      </c>
      <c r="M5325" s="8" t="s">
        <v>31308</v>
      </c>
      <c r="N5325" s="8" t="s">
        <v>41</v>
      </c>
      <c r="O5325" s="8" t="s">
        <v>118</v>
      </c>
      <c r="P5325" s="6" t="s">
        <v>187</v>
      </c>
      <c r="Q5325" s="8" t="s">
        <v>44</v>
      </c>
      <c r="R5325" s="10" t="s">
        <v>1794</v>
      </c>
      <c r="S5325" s="11" t="s">
        <v>7553</v>
      </c>
      <c r="T5325" s="6"/>
      <c r="U5325" s="24" t="str">
        <f>HYPERLINK("https://media.infra-m.ru/2123/2123407/cover/2123407.jpg", "Обложка")</f>
        <v>Обложка</v>
      </c>
      <c r="V5325" s="24" t="str">
        <f>HYPERLINK("https://znanium.ru/catalog/product/2123407", "Ознакомиться")</f>
        <v>Ознакомиться</v>
      </c>
      <c r="W5325" s="8" t="s">
        <v>243</v>
      </c>
      <c r="X5325" s="6"/>
      <c r="Y5325" s="6"/>
      <c r="Z5325" s="6"/>
      <c r="AA5325" s="6" t="s">
        <v>442</v>
      </c>
      <c r="AB5325" s="8"/>
    </row>
    <row r="5326" spans="1:28" s="4" customFormat="1" ht="51.95" customHeight="1">
      <c r="A5326" s="5">
        <v>0</v>
      </c>
      <c r="B5326" s="6" t="s">
        <v>31309</v>
      </c>
      <c r="C5326" s="13">
        <v>1724.9</v>
      </c>
      <c r="D5326" s="8" t="s">
        <v>31310</v>
      </c>
      <c r="E5326" s="8" t="s">
        <v>31311</v>
      </c>
      <c r="F5326" s="8" t="s">
        <v>31312</v>
      </c>
      <c r="G5326" s="6" t="s">
        <v>52</v>
      </c>
      <c r="H5326" s="6" t="s">
        <v>39</v>
      </c>
      <c r="I5326" s="8" t="s">
        <v>90</v>
      </c>
      <c r="J5326" s="9">
        <v>1</v>
      </c>
      <c r="K5326" s="9">
        <v>384</v>
      </c>
      <c r="L5326" s="9">
        <v>2023</v>
      </c>
      <c r="M5326" s="8" t="s">
        <v>31313</v>
      </c>
      <c r="N5326" s="8" t="s">
        <v>41</v>
      </c>
      <c r="O5326" s="8" t="s">
        <v>278</v>
      </c>
      <c r="P5326" s="6" t="s">
        <v>43</v>
      </c>
      <c r="Q5326" s="8" t="s">
        <v>44</v>
      </c>
      <c r="R5326" s="10" t="s">
        <v>1794</v>
      </c>
      <c r="S5326" s="11" t="s">
        <v>31314</v>
      </c>
      <c r="T5326" s="6"/>
      <c r="U5326" s="24" t="str">
        <f>HYPERLINK("https://media.infra-m.ru/1981/1981693/cover/1981693.jpg", "Обложка")</f>
        <v>Обложка</v>
      </c>
      <c r="V5326" s="12"/>
      <c r="W5326" s="8" t="s">
        <v>2343</v>
      </c>
      <c r="X5326" s="6"/>
      <c r="Y5326" s="6"/>
      <c r="Z5326" s="6"/>
      <c r="AA5326" s="6" t="s">
        <v>47</v>
      </c>
      <c r="AB5326" s="8"/>
    </row>
    <row r="5327" spans="1:28" s="4" customFormat="1" ht="51.95" customHeight="1">
      <c r="A5327" s="5">
        <v>0</v>
      </c>
      <c r="B5327" s="6" t="s">
        <v>31315</v>
      </c>
      <c r="C5327" s="13">
        <v>1254</v>
      </c>
      <c r="D5327" s="8" t="s">
        <v>31316</v>
      </c>
      <c r="E5327" s="8" t="s">
        <v>31317</v>
      </c>
      <c r="F5327" s="8" t="s">
        <v>5068</v>
      </c>
      <c r="G5327" s="6" t="s">
        <v>89</v>
      </c>
      <c r="H5327" s="6" t="s">
        <v>53</v>
      </c>
      <c r="I5327" s="8" t="s">
        <v>100</v>
      </c>
      <c r="J5327" s="9">
        <v>1</v>
      </c>
      <c r="K5327" s="9">
        <v>241</v>
      </c>
      <c r="L5327" s="9">
        <v>2025</v>
      </c>
      <c r="M5327" s="8" t="s">
        <v>31318</v>
      </c>
      <c r="N5327" s="8" t="s">
        <v>41</v>
      </c>
      <c r="O5327" s="8" t="s">
        <v>278</v>
      </c>
      <c r="P5327" s="6" t="s">
        <v>43</v>
      </c>
      <c r="Q5327" s="8" t="s">
        <v>102</v>
      </c>
      <c r="R5327" s="10" t="s">
        <v>1741</v>
      </c>
      <c r="S5327" s="11" t="s">
        <v>31319</v>
      </c>
      <c r="T5327" s="6"/>
      <c r="U5327" s="24" t="str">
        <f>HYPERLINK("https://media.infra-m.ru/2198/2198345/cover/2198345.jpg", "Обложка")</f>
        <v>Обложка</v>
      </c>
      <c r="V5327" s="24" t="str">
        <f>HYPERLINK("https://znanium.ru/catalog/product/2107426", "Ознакомиться")</f>
        <v>Ознакомиться</v>
      </c>
      <c r="W5327" s="8" t="s">
        <v>5071</v>
      </c>
      <c r="X5327" s="6"/>
      <c r="Y5327" s="6"/>
      <c r="Z5327" s="6" t="s">
        <v>104</v>
      </c>
      <c r="AA5327" s="6" t="s">
        <v>219</v>
      </c>
      <c r="AB5327" s="8"/>
    </row>
    <row r="5328" spans="1:28" s="4" customFormat="1" ht="51.95" customHeight="1">
      <c r="A5328" s="5">
        <v>0</v>
      </c>
      <c r="B5328" s="6" t="s">
        <v>31320</v>
      </c>
      <c r="C5328" s="13">
        <v>1254</v>
      </c>
      <c r="D5328" s="8" t="s">
        <v>31321</v>
      </c>
      <c r="E5328" s="8" t="s">
        <v>31317</v>
      </c>
      <c r="F5328" s="8" t="s">
        <v>5068</v>
      </c>
      <c r="G5328" s="6" t="s">
        <v>89</v>
      </c>
      <c r="H5328" s="6" t="s">
        <v>53</v>
      </c>
      <c r="I5328" s="8" t="s">
        <v>90</v>
      </c>
      <c r="J5328" s="9">
        <v>1</v>
      </c>
      <c r="K5328" s="9">
        <v>241</v>
      </c>
      <c r="L5328" s="9">
        <v>2025</v>
      </c>
      <c r="M5328" s="8" t="s">
        <v>31322</v>
      </c>
      <c r="N5328" s="8" t="s">
        <v>41</v>
      </c>
      <c r="O5328" s="8" t="s">
        <v>278</v>
      </c>
      <c r="P5328" s="6" t="s">
        <v>43</v>
      </c>
      <c r="Q5328" s="8" t="s">
        <v>44</v>
      </c>
      <c r="R5328" s="10" t="s">
        <v>5063</v>
      </c>
      <c r="S5328" s="11" t="s">
        <v>6730</v>
      </c>
      <c r="T5328" s="6"/>
      <c r="U5328" s="24" t="str">
        <f>HYPERLINK("https://media.infra-m.ru/2199/2199664/cover/2199664.jpg", "Обложка")</f>
        <v>Обложка</v>
      </c>
      <c r="V5328" s="24" t="str">
        <f>HYPERLINK("https://znanium.ru/catalog/product/1241335", "Ознакомиться")</f>
        <v>Ознакомиться</v>
      </c>
      <c r="W5328" s="8" t="s">
        <v>5071</v>
      </c>
      <c r="X5328" s="6"/>
      <c r="Y5328" s="6"/>
      <c r="Z5328" s="6"/>
      <c r="AA5328" s="6" t="s">
        <v>442</v>
      </c>
      <c r="AB5328" s="8"/>
    </row>
    <row r="5329" spans="1:28" s="4" customFormat="1" ht="44.1" customHeight="1">
      <c r="A5329" s="5">
        <v>0</v>
      </c>
      <c r="B5329" s="6" t="s">
        <v>31323</v>
      </c>
      <c r="C5329" s="13">
        <v>1624</v>
      </c>
      <c r="D5329" s="8" t="s">
        <v>31324</v>
      </c>
      <c r="E5329" s="8" t="s">
        <v>31325</v>
      </c>
      <c r="F5329" s="8" t="s">
        <v>31326</v>
      </c>
      <c r="G5329" s="6" t="s">
        <v>38</v>
      </c>
      <c r="H5329" s="6" t="s">
        <v>438</v>
      </c>
      <c r="I5329" s="8"/>
      <c r="J5329" s="9">
        <v>1</v>
      </c>
      <c r="K5329" s="9">
        <v>352</v>
      </c>
      <c r="L5329" s="9">
        <v>2024</v>
      </c>
      <c r="M5329" s="8" t="s">
        <v>31327</v>
      </c>
      <c r="N5329" s="8" t="s">
        <v>41</v>
      </c>
      <c r="O5329" s="8" t="s">
        <v>278</v>
      </c>
      <c r="P5329" s="6" t="s">
        <v>43</v>
      </c>
      <c r="Q5329" s="8" t="s">
        <v>44</v>
      </c>
      <c r="R5329" s="10" t="s">
        <v>31328</v>
      </c>
      <c r="S5329" s="11"/>
      <c r="T5329" s="6"/>
      <c r="U5329" s="24" t="str">
        <f>HYPERLINK("https://media.infra-m.ru/2087/2087267/cover/2087267.jpg", "Обложка")</f>
        <v>Обложка</v>
      </c>
      <c r="V5329" s="24" t="str">
        <f>HYPERLINK("https://znanium.ru/catalog/product/2087267", "Ознакомиться")</f>
        <v>Ознакомиться</v>
      </c>
      <c r="W5329" s="8" t="s">
        <v>9720</v>
      </c>
      <c r="X5329" s="6"/>
      <c r="Y5329" s="6"/>
      <c r="Z5329" s="6"/>
      <c r="AA5329" s="6" t="s">
        <v>84</v>
      </c>
      <c r="AB5329" s="8"/>
    </row>
    <row r="5330" spans="1:28" s="4" customFormat="1" ht="51.95" customHeight="1">
      <c r="A5330" s="5">
        <v>0</v>
      </c>
      <c r="B5330" s="6" t="s">
        <v>31329</v>
      </c>
      <c r="C5330" s="7">
        <v>994</v>
      </c>
      <c r="D5330" s="8" t="s">
        <v>31330</v>
      </c>
      <c r="E5330" s="8" t="s">
        <v>31331</v>
      </c>
      <c r="F5330" s="8" t="s">
        <v>31332</v>
      </c>
      <c r="G5330" s="6" t="s">
        <v>89</v>
      </c>
      <c r="H5330" s="6" t="s">
        <v>53</v>
      </c>
      <c r="I5330" s="8" t="s">
        <v>276</v>
      </c>
      <c r="J5330" s="9">
        <v>1</v>
      </c>
      <c r="K5330" s="9">
        <v>192</v>
      </c>
      <c r="L5330" s="9">
        <v>2025</v>
      </c>
      <c r="M5330" s="8" t="s">
        <v>31333</v>
      </c>
      <c r="N5330" s="8" t="s">
        <v>997</v>
      </c>
      <c r="O5330" s="8" t="s">
        <v>998</v>
      </c>
      <c r="P5330" s="6" t="s">
        <v>43</v>
      </c>
      <c r="Q5330" s="8" t="s">
        <v>279</v>
      </c>
      <c r="R5330" s="10" t="s">
        <v>17606</v>
      </c>
      <c r="S5330" s="11" t="s">
        <v>14346</v>
      </c>
      <c r="T5330" s="6"/>
      <c r="U5330" s="24" t="str">
        <f>HYPERLINK("https://media.infra-m.ru/2198/2198343/cover/2198343.jpg", "Обложка")</f>
        <v>Обложка</v>
      </c>
      <c r="V5330" s="24" t="str">
        <f>HYPERLINK("https://znanium.ru/catalog/product/2079290", "Ознакомиться")</f>
        <v>Ознакомиться</v>
      </c>
      <c r="W5330" s="8" t="s">
        <v>2514</v>
      </c>
      <c r="X5330" s="6"/>
      <c r="Y5330" s="6"/>
      <c r="Z5330" s="6"/>
      <c r="AA5330" s="6" t="s">
        <v>418</v>
      </c>
      <c r="AB5330" s="8"/>
    </row>
    <row r="5331" spans="1:28" s="4" customFormat="1" ht="51.95" customHeight="1">
      <c r="A5331" s="5">
        <v>0</v>
      </c>
      <c r="B5331" s="6" t="s">
        <v>31334</v>
      </c>
      <c r="C5331" s="13">
        <v>1364.9</v>
      </c>
      <c r="D5331" s="8" t="s">
        <v>31335</v>
      </c>
      <c r="E5331" s="8" t="s">
        <v>31336</v>
      </c>
      <c r="F5331" s="8" t="s">
        <v>31337</v>
      </c>
      <c r="G5331" s="6" t="s">
        <v>52</v>
      </c>
      <c r="H5331" s="6" t="s">
        <v>39</v>
      </c>
      <c r="I5331" s="8" t="s">
        <v>116</v>
      </c>
      <c r="J5331" s="9">
        <v>1</v>
      </c>
      <c r="K5331" s="9">
        <v>303</v>
      </c>
      <c r="L5331" s="9">
        <v>2023</v>
      </c>
      <c r="M5331" s="8" t="s">
        <v>31338</v>
      </c>
      <c r="N5331" s="8" t="s">
        <v>79</v>
      </c>
      <c r="O5331" s="8" t="s">
        <v>570</v>
      </c>
      <c r="P5331" s="6" t="s">
        <v>167</v>
      </c>
      <c r="Q5331" s="8" t="s">
        <v>44</v>
      </c>
      <c r="R5331" s="10" t="s">
        <v>31339</v>
      </c>
      <c r="S5331" s="11" t="s">
        <v>31340</v>
      </c>
      <c r="T5331" s="6"/>
      <c r="U5331" s="24" t="str">
        <f>HYPERLINK("https://media.infra-m.ru/2006/2006061/cover/2006061.jpg", "Обложка")</f>
        <v>Обложка</v>
      </c>
      <c r="V5331" s="24" t="str">
        <f>HYPERLINK("https://znanium.ru/catalog/product/954430", "Ознакомиться")</f>
        <v>Ознакомиться</v>
      </c>
      <c r="W5331" s="8" t="s">
        <v>450</v>
      </c>
      <c r="X5331" s="6"/>
      <c r="Y5331" s="6"/>
      <c r="Z5331" s="6"/>
      <c r="AA5331" s="6" t="s">
        <v>258</v>
      </c>
      <c r="AB5331" s="8"/>
    </row>
    <row r="5332" spans="1:28" s="4" customFormat="1" ht="51.95" customHeight="1">
      <c r="A5332" s="5">
        <v>0</v>
      </c>
      <c r="B5332" s="6" t="s">
        <v>31341</v>
      </c>
      <c r="C5332" s="13">
        <v>1390</v>
      </c>
      <c r="D5332" s="8" t="s">
        <v>31342</v>
      </c>
      <c r="E5332" s="8" t="s">
        <v>31336</v>
      </c>
      <c r="F5332" s="8" t="s">
        <v>31337</v>
      </c>
      <c r="G5332" s="6" t="s">
        <v>89</v>
      </c>
      <c r="H5332" s="6" t="s">
        <v>39</v>
      </c>
      <c r="I5332" s="8" t="s">
        <v>100</v>
      </c>
      <c r="J5332" s="9">
        <v>1</v>
      </c>
      <c r="K5332" s="9">
        <v>303</v>
      </c>
      <c r="L5332" s="9">
        <v>2023</v>
      </c>
      <c r="M5332" s="8" t="s">
        <v>31343</v>
      </c>
      <c r="N5332" s="8" t="s">
        <v>79</v>
      </c>
      <c r="O5332" s="8" t="s">
        <v>570</v>
      </c>
      <c r="P5332" s="6" t="s">
        <v>167</v>
      </c>
      <c r="Q5332" s="8" t="s">
        <v>102</v>
      </c>
      <c r="R5332" s="10" t="s">
        <v>31344</v>
      </c>
      <c r="S5332" s="11" t="s">
        <v>31345</v>
      </c>
      <c r="T5332" s="6"/>
      <c r="U5332" s="24" t="str">
        <f>HYPERLINK("https://media.infra-m.ru/2013/2013715/cover/2013715.jpg", "Обложка")</f>
        <v>Обложка</v>
      </c>
      <c r="V5332" s="24" t="str">
        <f>HYPERLINK("https://znanium.ru/catalog/product/2013715", "Ознакомиться")</f>
        <v>Ознакомиться</v>
      </c>
      <c r="W5332" s="8" t="s">
        <v>450</v>
      </c>
      <c r="X5332" s="6"/>
      <c r="Y5332" s="6"/>
      <c r="Z5332" s="6" t="s">
        <v>104</v>
      </c>
      <c r="AA5332" s="6" t="s">
        <v>258</v>
      </c>
      <c r="AB5332" s="8"/>
    </row>
    <row r="5333" spans="1:28" s="4" customFormat="1" ht="51.95" customHeight="1">
      <c r="A5333" s="5">
        <v>0</v>
      </c>
      <c r="B5333" s="6" t="s">
        <v>31346</v>
      </c>
      <c r="C5333" s="13">
        <v>1299.9000000000001</v>
      </c>
      <c r="D5333" s="8" t="s">
        <v>31347</v>
      </c>
      <c r="E5333" s="8" t="s">
        <v>31348</v>
      </c>
      <c r="F5333" s="8" t="s">
        <v>31349</v>
      </c>
      <c r="G5333" s="6" t="s">
        <v>52</v>
      </c>
      <c r="H5333" s="6" t="s">
        <v>184</v>
      </c>
      <c r="I5333" s="8" t="s">
        <v>90</v>
      </c>
      <c r="J5333" s="9">
        <v>6</v>
      </c>
      <c r="K5333" s="9">
        <v>752</v>
      </c>
      <c r="L5333" s="9">
        <v>2017</v>
      </c>
      <c r="M5333" s="8" t="s">
        <v>31350</v>
      </c>
      <c r="N5333" s="8" t="s">
        <v>41</v>
      </c>
      <c r="O5333" s="8" t="s">
        <v>676</v>
      </c>
      <c r="P5333" s="6" t="s">
        <v>167</v>
      </c>
      <c r="Q5333" s="8" t="s">
        <v>44</v>
      </c>
      <c r="R5333" s="10" t="s">
        <v>13621</v>
      </c>
      <c r="S5333" s="11"/>
      <c r="T5333" s="6" t="s">
        <v>299</v>
      </c>
      <c r="U5333" s="24" t="str">
        <f>HYPERLINK("https://media.infra-m.ru/0612/0612279/cover/612279.jpg", "Обложка")</f>
        <v>Обложка</v>
      </c>
      <c r="V5333" s="24" t="str">
        <f>HYPERLINK("https://znanium.ru/catalog/product/1941768", "Ознакомиться")</f>
        <v>Ознакомиться</v>
      </c>
      <c r="W5333" s="8" t="s">
        <v>20435</v>
      </c>
      <c r="X5333" s="6"/>
      <c r="Y5333" s="6"/>
      <c r="Z5333" s="6"/>
      <c r="AA5333" s="6" t="s">
        <v>5878</v>
      </c>
      <c r="AB5333" s="8"/>
    </row>
    <row r="5334" spans="1:28" s="4" customFormat="1" ht="51.95" customHeight="1">
      <c r="A5334" s="5">
        <v>0</v>
      </c>
      <c r="B5334" s="6" t="s">
        <v>31351</v>
      </c>
      <c r="C5334" s="13">
        <v>2884.9</v>
      </c>
      <c r="D5334" s="8" t="s">
        <v>31352</v>
      </c>
      <c r="E5334" s="8" t="s">
        <v>31353</v>
      </c>
      <c r="F5334" s="8" t="s">
        <v>31354</v>
      </c>
      <c r="G5334" s="6" t="s">
        <v>52</v>
      </c>
      <c r="H5334" s="6" t="s">
        <v>184</v>
      </c>
      <c r="I5334" s="8" t="s">
        <v>7049</v>
      </c>
      <c r="J5334" s="9">
        <v>1</v>
      </c>
      <c r="K5334" s="9">
        <v>780</v>
      </c>
      <c r="L5334" s="9">
        <v>2023</v>
      </c>
      <c r="M5334" s="8" t="s">
        <v>31355</v>
      </c>
      <c r="N5334" s="8" t="s">
        <v>41</v>
      </c>
      <c r="O5334" s="8" t="s">
        <v>676</v>
      </c>
      <c r="P5334" s="6" t="s">
        <v>167</v>
      </c>
      <c r="Q5334" s="8" t="s">
        <v>58</v>
      </c>
      <c r="R5334" s="10" t="s">
        <v>13621</v>
      </c>
      <c r="S5334" s="11" t="s">
        <v>11360</v>
      </c>
      <c r="T5334" s="6"/>
      <c r="U5334" s="24" t="str">
        <f>HYPERLINK("https://media.infra-m.ru/1911/1911121/cover/1911121.jpg", "Обложка")</f>
        <v>Обложка</v>
      </c>
      <c r="V5334" s="24" t="str">
        <f>HYPERLINK("https://znanium.ru/catalog/product/1941768", "Ознакомиться")</f>
        <v>Ознакомиться</v>
      </c>
      <c r="W5334" s="8" t="s">
        <v>20435</v>
      </c>
      <c r="X5334" s="6"/>
      <c r="Y5334" s="6"/>
      <c r="Z5334" s="6"/>
      <c r="AA5334" s="6" t="s">
        <v>898</v>
      </c>
      <c r="AB5334" s="8"/>
    </row>
    <row r="5335" spans="1:28" s="4" customFormat="1" ht="51.95" customHeight="1">
      <c r="A5335" s="5">
        <v>0</v>
      </c>
      <c r="B5335" s="6" t="s">
        <v>31356</v>
      </c>
      <c r="C5335" s="13">
        <v>3500</v>
      </c>
      <c r="D5335" s="8" t="s">
        <v>31357</v>
      </c>
      <c r="E5335" s="8" t="s">
        <v>31358</v>
      </c>
      <c r="F5335" s="8" t="s">
        <v>31354</v>
      </c>
      <c r="G5335" s="6" t="s">
        <v>52</v>
      </c>
      <c r="H5335" s="6" t="s">
        <v>184</v>
      </c>
      <c r="I5335" s="8" t="s">
        <v>185</v>
      </c>
      <c r="J5335" s="9">
        <v>1</v>
      </c>
      <c r="K5335" s="9">
        <v>700</v>
      </c>
      <c r="L5335" s="9">
        <v>2025</v>
      </c>
      <c r="M5335" s="8" t="s">
        <v>31359</v>
      </c>
      <c r="N5335" s="8" t="s">
        <v>41</v>
      </c>
      <c r="O5335" s="8" t="s">
        <v>676</v>
      </c>
      <c r="P5335" s="6" t="s">
        <v>167</v>
      </c>
      <c r="Q5335" s="8" t="s">
        <v>102</v>
      </c>
      <c r="R5335" s="10" t="s">
        <v>256</v>
      </c>
      <c r="S5335" s="11" t="s">
        <v>11360</v>
      </c>
      <c r="T5335" s="6"/>
      <c r="U5335" s="24" t="str">
        <f>HYPERLINK("https://media.infra-m.ru/2172/2172166/cover/2172166.jpg", "Обложка")</f>
        <v>Обложка</v>
      </c>
      <c r="V5335" s="24" t="str">
        <f>HYPERLINK("https://znanium.ru/catalog/product/2172166", "Ознакомиться")</f>
        <v>Ознакомиться</v>
      </c>
      <c r="W5335" s="8" t="s">
        <v>20435</v>
      </c>
      <c r="X5335" s="6"/>
      <c r="Y5335" s="6"/>
      <c r="Z5335" s="6" t="s">
        <v>502</v>
      </c>
      <c r="AA5335" s="6" t="s">
        <v>207</v>
      </c>
      <c r="AB5335" s="8"/>
    </row>
    <row r="5336" spans="1:28" s="4" customFormat="1" ht="51.95" customHeight="1">
      <c r="A5336" s="5">
        <v>0</v>
      </c>
      <c r="B5336" s="6" t="s">
        <v>31360</v>
      </c>
      <c r="C5336" s="7">
        <v>734.9</v>
      </c>
      <c r="D5336" s="8" t="s">
        <v>31361</v>
      </c>
      <c r="E5336" s="8" t="s">
        <v>31362</v>
      </c>
      <c r="F5336" s="8" t="s">
        <v>31363</v>
      </c>
      <c r="G5336" s="6" t="s">
        <v>52</v>
      </c>
      <c r="H5336" s="6" t="s">
        <v>53</v>
      </c>
      <c r="I5336" s="8" t="s">
        <v>90</v>
      </c>
      <c r="J5336" s="9">
        <v>20</v>
      </c>
      <c r="K5336" s="9">
        <v>336</v>
      </c>
      <c r="L5336" s="9">
        <v>2016</v>
      </c>
      <c r="M5336" s="8" t="s">
        <v>31364</v>
      </c>
      <c r="N5336" s="8" t="s">
        <v>41</v>
      </c>
      <c r="O5336" s="8" t="s">
        <v>676</v>
      </c>
      <c r="P5336" s="6" t="s">
        <v>167</v>
      </c>
      <c r="Q5336" s="8" t="s">
        <v>44</v>
      </c>
      <c r="R5336" s="10" t="s">
        <v>9217</v>
      </c>
      <c r="S5336" s="11" t="s">
        <v>31365</v>
      </c>
      <c r="T5336" s="6"/>
      <c r="U5336" s="24" t="str">
        <f>HYPERLINK("https://media.infra-m.ru/0553/0553994/cover/553994.jpg", "Обложка")</f>
        <v>Обложка</v>
      </c>
      <c r="V5336" s="24" t="str">
        <f>HYPERLINK("https://znanium.ru/catalog/product/2166461", "Ознакомиться")</f>
        <v>Ознакомиться</v>
      </c>
      <c r="W5336" s="8" t="s">
        <v>792</v>
      </c>
      <c r="X5336" s="6"/>
      <c r="Y5336" s="6"/>
      <c r="Z5336" s="6"/>
      <c r="AA5336" s="6" t="s">
        <v>479</v>
      </c>
      <c r="AB5336" s="8"/>
    </row>
    <row r="5337" spans="1:28" s="4" customFormat="1" ht="51.95" customHeight="1">
      <c r="A5337" s="5">
        <v>0</v>
      </c>
      <c r="B5337" s="6" t="s">
        <v>31366</v>
      </c>
      <c r="C5337" s="13">
        <v>1770</v>
      </c>
      <c r="D5337" s="8" t="s">
        <v>31367</v>
      </c>
      <c r="E5337" s="8" t="s">
        <v>31368</v>
      </c>
      <c r="F5337" s="8" t="s">
        <v>31363</v>
      </c>
      <c r="G5337" s="6" t="s">
        <v>89</v>
      </c>
      <c r="H5337" s="6" t="s">
        <v>53</v>
      </c>
      <c r="I5337" s="8" t="s">
        <v>116</v>
      </c>
      <c r="J5337" s="9">
        <v>1</v>
      </c>
      <c r="K5337" s="9">
        <v>354</v>
      </c>
      <c r="L5337" s="9">
        <v>2025</v>
      </c>
      <c r="M5337" s="8" t="s">
        <v>31369</v>
      </c>
      <c r="N5337" s="8" t="s">
        <v>41</v>
      </c>
      <c r="O5337" s="8" t="s">
        <v>676</v>
      </c>
      <c r="P5337" s="6" t="s">
        <v>167</v>
      </c>
      <c r="Q5337" s="8" t="s">
        <v>44</v>
      </c>
      <c r="R5337" s="10" t="s">
        <v>9217</v>
      </c>
      <c r="S5337" s="11" t="s">
        <v>31370</v>
      </c>
      <c r="T5337" s="6" t="s">
        <v>299</v>
      </c>
      <c r="U5337" s="24" t="str">
        <f>HYPERLINK("https://media.infra-m.ru/2166/2166461/cover/2166461.jpg", "Обложка")</f>
        <v>Обложка</v>
      </c>
      <c r="V5337" s="24" t="str">
        <f>HYPERLINK("https://znanium.ru/catalog/product/2166461", "Ознакомиться")</f>
        <v>Ознакомиться</v>
      </c>
      <c r="W5337" s="8" t="s">
        <v>792</v>
      </c>
      <c r="X5337" s="6"/>
      <c r="Y5337" s="6"/>
      <c r="Z5337" s="6"/>
      <c r="AA5337" s="6" t="s">
        <v>874</v>
      </c>
      <c r="AB5337" s="8"/>
    </row>
    <row r="5338" spans="1:28" s="4" customFormat="1" ht="42" customHeight="1">
      <c r="A5338" s="5">
        <v>0</v>
      </c>
      <c r="B5338" s="6" t="s">
        <v>31371</v>
      </c>
      <c r="C5338" s="13">
        <v>2900</v>
      </c>
      <c r="D5338" s="8" t="s">
        <v>31372</v>
      </c>
      <c r="E5338" s="8" t="s">
        <v>31373</v>
      </c>
      <c r="F5338" s="8" t="s">
        <v>31374</v>
      </c>
      <c r="G5338" s="6" t="s">
        <v>52</v>
      </c>
      <c r="H5338" s="6" t="s">
        <v>53</v>
      </c>
      <c r="I5338" s="8" t="s">
        <v>116</v>
      </c>
      <c r="J5338" s="9">
        <v>1</v>
      </c>
      <c r="K5338" s="9">
        <v>557</v>
      </c>
      <c r="L5338" s="9">
        <v>2025</v>
      </c>
      <c r="M5338" s="8" t="s">
        <v>31375</v>
      </c>
      <c r="N5338" s="8" t="s">
        <v>41</v>
      </c>
      <c r="O5338" s="8" t="s">
        <v>676</v>
      </c>
      <c r="P5338" s="6" t="s">
        <v>167</v>
      </c>
      <c r="Q5338" s="8" t="s">
        <v>58</v>
      </c>
      <c r="R5338" s="10" t="s">
        <v>791</v>
      </c>
      <c r="S5338" s="11"/>
      <c r="T5338" s="6"/>
      <c r="U5338" s="24" t="str">
        <f>HYPERLINK("https://media.infra-m.ru/2198/2198921/cover/2198921.jpg", "Обложка")</f>
        <v>Обложка</v>
      </c>
      <c r="V5338" s="24" t="str">
        <f>HYPERLINK("https://znanium.ru/catalog/product/2198921", "Ознакомиться")</f>
        <v>Ознакомиться</v>
      </c>
      <c r="W5338" s="8" t="s">
        <v>792</v>
      </c>
      <c r="X5338" s="6"/>
      <c r="Y5338" s="6"/>
      <c r="Z5338" s="6"/>
      <c r="AA5338" s="6" t="s">
        <v>61</v>
      </c>
      <c r="AB5338" s="8"/>
    </row>
    <row r="5339" spans="1:28" s="4" customFormat="1" ht="51.95" customHeight="1">
      <c r="A5339" s="5">
        <v>0</v>
      </c>
      <c r="B5339" s="6" t="s">
        <v>31376</v>
      </c>
      <c r="C5339" s="13">
        <v>2050</v>
      </c>
      <c r="D5339" s="8" t="s">
        <v>31377</v>
      </c>
      <c r="E5339" s="8" t="s">
        <v>31378</v>
      </c>
      <c r="F5339" s="8" t="s">
        <v>31379</v>
      </c>
      <c r="G5339" s="6" t="s">
        <v>52</v>
      </c>
      <c r="H5339" s="6" t="s">
        <v>53</v>
      </c>
      <c r="I5339" s="8" t="s">
        <v>116</v>
      </c>
      <c r="J5339" s="9">
        <v>1</v>
      </c>
      <c r="K5339" s="9">
        <v>407</v>
      </c>
      <c r="L5339" s="9">
        <v>2025</v>
      </c>
      <c r="M5339" s="8" t="s">
        <v>31380</v>
      </c>
      <c r="N5339" s="8" t="s">
        <v>41</v>
      </c>
      <c r="O5339" s="8" t="s">
        <v>676</v>
      </c>
      <c r="P5339" s="6" t="s">
        <v>167</v>
      </c>
      <c r="Q5339" s="8" t="s">
        <v>44</v>
      </c>
      <c r="R5339" s="10" t="s">
        <v>791</v>
      </c>
      <c r="S5339" s="11" t="s">
        <v>31381</v>
      </c>
      <c r="T5339" s="6"/>
      <c r="U5339" s="24" t="str">
        <f>HYPERLINK("https://media.infra-m.ru/2175/2175119/cover/2175119.jpg", "Обложка")</f>
        <v>Обложка</v>
      </c>
      <c r="V5339" s="24" t="str">
        <f>HYPERLINK("https://znanium.ru/catalog/product/2175119", "Ознакомиться")</f>
        <v>Ознакомиться</v>
      </c>
      <c r="W5339" s="8" t="s">
        <v>792</v>
      </c>
      <c r="X5339" s="6"/>
      <c r="Y5339" s="6"/>
      <c r="Z5339" s="6"/>
      <c r="AA5339" s="6" t="s">
        <v>874</v>
      </c>
      <c r="AB5339" s="8"/>
    </row>
    <row r="5340" spans="1:28" s="4" customFormat="1" ht="51.95" customHeight="1">
      <c r="A5340" s="5">
        <v>0</v>
      </c>
      <c r="B5340" s="6" t="s">
        <v>31382</v>
      </c>
      <c r="C5340" s="13">
        <v>3020</v>
      </c>
      <c r="D5340" s="8" t="s">
        <v>31383</v>
      </c>
      <c r="E5340" s="8" t="s">
        <v>31384</v>
      </c>
      <c r="F5340" s="8" t="s">
        <v>31385</v>
      </c>
      <c r="G5340" s="6" t="s">
        <v>89</v>
      </c>
      <c r="H5340" s="6" t="s">
        <v>53</v>
      </c>
      <c r="I5340" s="8" t="s">
        <v>116</v>
      </c>
      <c r="J5340" s="9">
        <v>1</v>
      </c>
      <c r="K5340" s="9">
        <v>642</v>
      </c>
      <c r="L5340" s="9">
        <v>2024</v>
      </c>
      <c r="M5340" s="8" t="s">
        <v>31386</v>
      </c>
      <c r="N5340" s="8" t="s">
        <v>41</v>
      </c>
      <c r="O5340" s="8" t="s">
        <v>676</v>
      </c>
      <c r="P5340" s="6" t="s">
        <v>167</v>
      </c>
      <c r="Q5340" s="8" t="s">
        <v>58</v>
      </c>
      <c r="R5340" s="10" t="s">
        <v>677</v>
      </c>
      <c r="S5340" s="11"/>
      <c r="T5340" s="6" t="s">
        <v>299</v>
      </c>
      <c r="U5340" s="24" t="str">
        <f>HYPERLINK("https://media.infra-m.ru/2092/2092336/cover/2092336.jpg", "Обложка")</f>
        <v>Обложка</v>
      </c>
      <c r="V5340" s="24" t="str">
        <f>HYPERLINK("https://znanium.ru/catalog/product/2092336", "Ознакомиться")</f>
        <v>Ознакомиться</v>
      </c>
      <c r="W5340" s="8"/>
      <c r="X5340" s="6" t="s">
        <v>3761</v>
      </c>
      <c r="Y5340" s="6"/>
      <c r="Z5340" s="6"/>
      <c r="AA5340" s="6" t="s">
        <v>133</v>
      </c>
      <c r="AB5340" s="8"/>
    </row>
    <row r="5341" spans="1:28" s="4" customFormat="1" ht="51.95" customHeight="1">
      <c r="A5341" s="5">
        <v>0</v>
      </c>
      <c r="B5341" s="6" t="s">
        <v>31387</v>
      </c>
      <c r="C5341" s="13">
        <v>2670</v>
      </c>
      <c r="D5341" s="8" t="s">
        <v>31388</v>
      </c>
      <c r="E5341" s="8" t="s">
        <v>31389</v>
      </c>
      <c r="F5341" s="8" t="s">
        <v>31390</v>
      </c>
      <c r="G5341" s="6" t="s">
        <v>52</v>
      </c>
      <c r="H5341" s="6" t="s">
        <v>53</v>
      </c>
      <c r="I5341" s="8" t="s">
        <v>116</v>
      </c>
      <c r="J5341" s="9">
        <v>1</v>
      </c>
      <c r="K5341" s="9">
        <v>532</v>
      </c>
      <c r="L5341" s="9">
        <v>2025</v>
      </c>
      <c r="M5341" s="8" t="s">
        <v>31391</v>
      </c>
      <c r="N5341" s="8" t="s">
        <v>41</v>
      </c>
      <c r="O5341" s="8" t="s">
        <v>676</v>
      </c>
      <c r="P5341" s="6" t="s">
        <v>167</v>
      </c>
      <c r="Q5341" s="8" t="s">
        <v>44</v>
      </c>
      <c r="R5341" s="10" t="s">
        <v>791</v>
      </c>
      <c r="S5341" s="11" t="s">
        <v>31392</v>
      </c>
      <c r="T5341" s="6"/>
      <c r="U5341" s="24" t="str">
        <f>HYPERLINK("https://media.infra-m.ru/2186/2186988/cover/2186988.jpg", "Обложка")</f>
        <v>Обложка</v>
      </c>
      <c r="V5341" s="24" t="str">
        <f>HYPERLINK("https://znanium.ru/catalog/product/2166766", "Ознакомиться")</f>
        <v>Ознакомиться</v>
      </c>
      <c r="W5341" s="8" t="s">
        <v>22544</v>
      </c>
      <c r="X5341" s="6"/>
      <c r="Y5341" s="6"/>
      <c r="Z5341" s="6"/>
      <c r="AA5341" s="6" t="s">
        <v>235</v>
      </c>
      <c r="AB5341" s="8" t="s">
        <v>2963</v>
      </c>
    </row>
    <row r="5342" spans="1:28" s="4" customFormat="1" ht="51.95" customHeight="1">
      <c r="A5342" s="5">
        <v>0</v>
      </c>
      <c r="B5342" s="6" t="s">
        <v>31393</v>
      </c>
      <c r="C5342" s="13">
        <v>2664</v>
      </c>
      <c r="D5342" s="8" t="s">
        <v>31394</v>
      </c>
      <c r="E5342" s="8" t="s">
        <v>31389</v>
      </c>
      <c r="F5342" s="8" t="s">
        <v>31390</v>
      </c>
      <c r="G5342" s="6" t="s">
        <v>89</v>
      </c>
      <c r="H5342" s="6" t="s">
        <v>53</v>
      </c>
      <c r="I5342" s="8" t="s">
        <v>100</v>
      </c>
      <c r="J5342" s="9">
        <v>1</v>
      </c>
      <c r="K5342" s="9">
        <v>532</v>
      </c>
      <c r="L5342" s="9">
        <v>2025</v>
      </c>
      <c r="M5342" s="8" t="s">
        <v>31395</v>
      </c>
      <c r="N5342" s="8" t="s">
        <v>41</v>
      </c>
      <c r="O5342" s="8" t="s">
        <v>676</v>
      </c>
      <c r="P5342" s="6" t="s">
        <v>167</v>
      </c>
      <c r="Q5342" s="8" t="s">
        <v>102</v>
      </c>
      <c r="R5342" s="10" t="s">
        <v>256</v>
      </c>
      <c r="S5342" s="11" t="s">
        <v>31396</v>
      </c>
      <c r="T5342" s="6"/>
      <c r="U5342" s="24" t="str">
        <f>HYPERLINK("https://media.infra-m.ru/2145/2145076/cover/2145076.jpg", "Обложка")</f>
        <v>Обложка</v>
      </c>
      <c r="V5342" s="24" t="str">
        <f>HYPERLINK("https://znanium.ru/catalog/product/1932344", "Ознакомиться")</f>
        <v>Ознакомиться</v>
      </c>
      <c r="W5342" s="8" t="s">
        <v>22544</v>
      </c>
      <c r="X5342" s="6"/>
      <c r="Y5342" s="6"/>
      <c r="Z5342" s="6" t="s">
        <v>104</v>
      </c>
      <c r="AA5342" s="6" t="s">
        <v>235</v>
      </c>
      <c r="AB5342" s="8"/>
    </row>
    <row r="5343" spans="1:28" s="4" customFormat="1" ht="51.95" customHeight="1">
      <c r="A5343" s="5">
        <v>0</v>
      </c>
      <c r="B5343" s="6" t="s">
        <v>31397</v>
      </c>
      <c r="C5343" s="13">
        <v>2620</v>
      </c>
      <c r="D5343" s="8" t="s">
        <v>31398</v>
      </c>
      <c r="E5343" s="8" t="s">
        <v>31399</v>
      </c>
      <c r="F5343" s="8" t="s">
        <v>31400</v>
      </c>
      <c r="G5343" s="6" t="s">
        <v>52</v>
      </c>
      <c r="H5343" s="6" t="s">
        <v>53</v>
      </c>
      <c r="I5343" s="8" t="s">
        <v>100</v>
      </c>
      <c r="J5343" s="9">
        <v>1</v>
      </c>
      <c r="K5343" s="9">
        <v>583</v>
      </c>
      <c r="L5343" s="9">
        <v>2023</v>
      </c>
      <c r="M5343" s="8" t="s">
        <v>31401</v>
      </c>
      <c r="N5343" s="8" t="s">
        <v>41</v>
      </c>
      <c r="O5343" s="8" t="s">
        <v>676</v>
      </c>
      <c r="P5343" s="6" t="s">
        <v>167</v>
      </c>
      <c r="Q5343" s="8" t="s">
        <v>102</v>
      </c>
      <c r="R5343" s="10" t="s">
        <v>256</v>
      </c>
      <c r="S5343" s="11" t="s">
        <v>31396</v>
      </c>
      <c r="T5343" s="6"/>
      <c r="U5343" s="24" t="str">
        <f>HYPERLINK("https://media.infra-m.ru/2008/2008689/cover/2008689.jpg", "Обложка")</f>
        <v>Обложка</v>
      </c>
      <c r="V5343" s="24" t="str">
        <f>HYPERLINK("https://znanium.ru/catalog/product/2008689", "Ознакомиться")</f>
        <v>Ознакомиться</v>
      </c>
      <c r="W5343" s="8" t="s">
        <v>2321</v>
      </c>
      <c r="X5343" s="6"/>
      <c r="Y5343" s="6"/>
      <c r="Z5343" s="6" t="s">
        <v>104</v>
      </c>
      <c r="AA5343" s="6" t="s">
        <v>207</v>
      </c>
      <c r="AB5343" s="8" t="s">
        <v>2963</v>
      </c>
    </row>
    <row r="5344" spans="1:28" s="4" customFormat="1" ht="51.95" customHeight="1">
      <c r="A5344" s="5">
        <v>0</v>
      </c>
      <c r="B5344" s="6" t="s">
        <v>31402</v>
      </c>
      <c r="C5344" s="13">
        <v>2920</v>
      </c>
      <c r="D5344" s="8" t="s">
        <v>31403</v>
      </c>
      <c r="E5344" s="8" t="s">
        <v>31399</v>
      </c>
      <c r="F5344" s="8" t="s">
        <v>31400</v>
      </c>
      <c r="G5344" s="6" t="s">
        <v>52</v>
      </c>
      <c r="H5344" s="6" t="s">
        <v>53</v>
      </c>
      <c r="I5344" s="8" t="s">
        <v>116</v>
      </c>
      <c r="J5344" s="9">
        <v>1</v>
      </c>
      <c r="K5344" s="9">
        <v>583</v>
      </c>
      <c r="L5344" s="9">
        <v>2025</v>
      </c>
      <c r="M5344" s="8" t="s">
        <v>31404</v>
      </c>
      <c r="N5344" s="8" t="s">
        <v>41</v>
      </c>
      <c r="O5344" s="8" t="s">
        <v>676</v>
      </c>
      <c r="P5344" s="6" t="s">
        <v>167</v>
      </c>
      <c r="Q5344" s="8" t="s">
        <v>44</v>
      </c>
      <c r="R5344" s="10" t="s">
        <v>777</v>
      </c>
      <c r="S5344" s="11" t="s">
        <v>31392</v>
      </c>
      <c r="T5344" s="6"/>
      <c r="U5344" s="24" t="str">
        <f>HYPERLINK("https://media.infra-m.ru/2185/2185422/cover/2185422.jpg", "Обложка")</f>
        <v>Обложка</v>
      </c>
      <c r="V5344" s="24" t="str">
        <f>HYPERLINK("https://znanium.ru/catalog/product/2185422", "Ознакомиться")</f>
        <v>Ознакомиться</v>
      </c>
      <c r="W5344" s="8" t="s">
        <v>2321</v>
      </c>
      <c r="X5344" s="6"/>
      <c r="Y5344" s="6"/>
      <c r="Z5344" s="6"/>
      <c r="AA5344" s="6" t="s">
        <v>207</v>
      </c>
      <c r="AB5344" s="8"/>
    </row>
    <row r="5345" spans="1:28" s="4" customFormat="1" ht="51.95" customHeight="1">
      <c r="A5345" s="5">
        <v>0</v>
      </c>
      <c r="B5345" s="6" t="s">
        <v>31405</v>
      </c>
      <c r="C5345" s="13">
        <v>3390</v>
      </c>
      <c r="D5345" s="8" t="s">
        <v>31406</v>
      </c>
      <c r="E5345" s="8" t="s">
        <v>31407</v>
      </c>
      <c r="F5345" s="8" t="s">
        <v>31408</v>
      </c>
      <c r="G5345" s="6" t="s">
        <v>52</v>
      </c>
      <c r="H5345" s="6" t="s">
        <v>53</v>
      </c>
      <c r="I5345" s="8" t="s">
        <v>116</v>
      </c>
      <c r="J5345" s="9">
        <v>1</v>
      </c>
      <c r="K5345" s="9">
        <v>721</v>
      </c>
      <c r="L5345" s="9">
        <v>2025</v>
      </c>
      <c r="M5345" s="8" t="s">
        <v>31409</v>
      </c>
      <c r="N5345" s="8" t="s">
        <v>41</v>
      </c>
      <c r="O5345" s="8" t="s">
        <v>676</v>
      </c>
      <c r="P5345" s="6" t="s">
        <v>167</v>
      </c>
      <c r="Q5345" s="8" t="s">
        <v>58</v>
      </c>
      <c r="R5345" s="10" t="s">
        <v>677</v>
      </c>
      <c r="S5345" s="11"/>
      <c r="T5345" s="6"/>
      <c r="U5345" s="24" t="str">
        <f>HYPERLINK("https://media.infra-m.ru/2185/2185079/cover/2185079.jpg", "Обложка")</f>
        <v>Обложка</v>
      </c>
      <c r="V5345" s="24" t="str">
        <f>HYPERLINK("https://znanium.ru/catalog/product/2185079", "Ознакомиться")</f>
        <v>Ознакомиться</v>
      </c>
      <c r="W5345" s="8" t="s">
        <v>1064</v>
      </c>
      <c r="X5345" s="6"/>
      <c r="Y5345" s="6"/>
      <c r="Z5345" s="6"/>
      <c r="AA5345" s="6" t="s">
        <v>61</v>
      </c>
      <c r="AB5345" s="8" t="s">
        <v>2456</v>
      </c>
    </row>
    <row r="5346" spans="1:28" s="4" customFormat="1" ht="51.95" customHeight="1">
      <c r="A5346" s="5">
        <v>0</v>
      </c>
      <c r="B5346" s="6" t="s">
        <v>31410</v>
      </c>
      <c r="C5346" s="7">
        <v>614.9</v>
      </c>
      <c r="D5346" s="8" t="s">
        <v>31411</v>
      </c>
      <c r="E5346" s="8" t="s">
        <v>31412</v>
      </c>
      <c r="F5346" s="8" t="s">
        <v>31413</v>
      </c>
      <c r="G5346" s="6" t="s">
        <v>38</v>
      </c>
      <c r="H5346" s="6" t="s">
        <v>53</v>
      </c>
      <c r="I5346" s="8" t="s">
        <v>90</v>
      </c>
      <c r="J5346" s="9">
        <v>1</v>
      </c>
      <c r="K5346" s="9">
        <v>162</v>
      </c>
      <c r="L5346" s="9">
        <v>2022</v>
      </c>
      <c r="M5346" s="8" t="s">
        <v>31414</v>
      </c>
      <c r="N5346" s="8" t="s">
        <v>41</v>
      </c>
      <c r="O5346" s="8" t="s">
        <v>676</v>
      </c>
      <c r="P5346" s="6" t="s">
        <v>43</v>
      </c>
      <c r="Q5346" s="8" t="s">
        <v>44</v>
      </c>
      <c r="R5346" s="10" t="s">
        <v>13621</v>
      </c>
      <c r="S5346" s="11" t="s">
        <v>8817</v>
      </c>
      <c r="T5346" s="6"/>
      <c r="U5346" s="24" t="str">
        <f>HYPERLINK("https://media.infra-m.ru/1862/1862614/cover/1862614.jpg", "Обложка")</f>
        <v>Обложка</v>
      </c>
      <c r="V5346" s="24" t="str">
        <f>HYPERLINK("https://znanium.ru/catalog/product/2159124", "Ознакомиться")</f>
        <v>Ознакомиться</v>
      </c>
      <c r="W5346" s="8" t="s">
        <v>6076</v>
      </c>
      <c r="X5346" s="6"/>
      <c r="Y5346" s="6"/>
      <c r="Z5346" s="6"/>
      <c r="AA5346" s="6" t="s">
        <v>151</v>
      </c>
      <c r="AB5346" s="8"/>
    </row>
    <row r="5347" spans="1:28" s="4" customFormat="1" ht="51.95" customHeight="1">
      <c r="A5347" s="5">
        <v>0</v>
      </c>
      <c r="B5347" s="6" t="s">
        <v>31415</v>
      </c>
      <c r="C5347" s="7">
        <v>830</v>
      </c>
      <c r="D5347" s="8" t="s">
        <v>31416</v>
      </c>
      <c r="E5347" s="8" t="s">
        <v>31417</v>
      </c>
      <c r="F5347" s="8" t="s">
        <v>31413</v>
      </c>
      <c r="G5347" s="6" t="s">
        <v>89</v>
      </c>
      <c r="H5347" s="6" t="s">
        <v>53</v>
      </c>
      <c r="I5347" s="8" t="s">
        <v>116</v>
      </c>
      <c r="J5347" s="9">
        <v>1</v>
      </c>
      <c r="K5347" s="9">
        <v>165</v>
      </c>
      <c r="L5347" s="9">
        <v>2025</v>
      </c>
      <c r="M5347" s="8" t="s">
        <v>31418</v>
      </c>
      <c r="N5347" s="8" t="s">
        <v>41</v>
      </c>
      <c r="O5347" s="8" t="s">
        <v>676</v>
      </c>
      <c r="P5347" s="6" t="s">
        <v>43</v>
      </c>
      <c r="Q5347" s="8" t="s">
        <v>44</v>
      </c>
      <c r="R5347" s="10" t="s">
        <v>13621</v>
      </c>
      <c r="S5347" s="11" t="s">
        <v>31419</v>
      </c>
      <c r="T5347" s="6"/>
      <c r="U5347" s="24" t="str">
        <f>HYPERLINK("https://media.infra-m.ru/2159/2159124/cover/2159124.jpg", "Обложка")</f>
        <v>Обложка</v>
      </c>
      <c r="V5347" s="24" t="str">
        <f>HYPERLINK("https://znanium.ru/catalog/product/2159124", "Ознакомиться")</f>
        <v>Ознакомиться</v>
      </c>
      <c r="W5347" s="8" t="s">
        <v>6076</v>
      </c>
      <c r="X5347" s="6"/>
      <c r="Y5347" s="6"/>
      <c r="Z5347" s="6"/>
      <c r="AA5347" s="6" t="s">
        <v>813</v>
      </c>
      <c r="AB5347" s="8"/>
    </row>
    <row r="5348" spans="1:28" s="4" customFormat="1" ht="42" customHeight="1">
      <c r="A5348" s="5">
        <v>0</v>
      </c>
      <c r="B5348" s="6" t="s">
        <v>31420</v>
      </c>
      <c r="C5348" s="7">
        <v>894.9</v>
      </c>
      <c r="D5348" s="8" t="s">
        <v>31421</v>
      </c>
      <c r="E5348" s="8" t="s">
        <v>31422</v>
      </c>
      <c r="F5348" s="8" t="s">
        <v>31423</v>
      </c>
      <c r="G5348" s="6" t="s">
        <v>52</v>
      </c>
      <c r="H5348" s="6" t="s">
        <v>184</v>
      </c>
      <c r="I5348" s="8" t="s">
        <v>90</v>
      </c>
      <c r="J5348" s="9">
        <v>1</v>
      </c>
      <c r="K5348" s="9">
        <v>280</v>
      </c>
      <c r="L5348" s="9">
        <v>2018</v>
      </c>
      <c r="M5348" s="8" t="s">
        <v>31424</v>
      </c>
      <c r="N5348" s="8" t="s">
        <v>41</v>
      </c>
      <c r="O5348" s="8" t="s">
        <v>676</v>
      </c>
      <c r="P5348" s="6" t="s">
        <v>43</v>
      </c>
      <c r="Q5348" s="8" t="s">
        <v>44</v>
      </c>
      <c r="R5348" s="10" t="s">
        <v>770</v>
      </c>
      <c r="S5348" s="11"/>
      <c r="T5348" s="6"/>
      <c r="U5348" s="24" t="str">
        <f>HYPERLINK("https://media.infra-m.ru/0938/0938042/cover/938042.jpg", "Обложка")</f>
        <v>Обложка</v>
      </c>
      <c r="V5348" s="24" t="str">
        <f>HYPERLINK("https://znanium.ru/catalog/product/938042", "Ознакомиться")</f>
        <v>Ознакомиться</v>
      </c>
      <c r="W5348" s="8"/>
      <c r="X5348" s="6"/>
      <c r="Y5348" s="6"/>
      <c r="Z5348" s="6"/>
      <c r="AA5348" s="6" t="s">
        <v>418</v>
      </c>
      <c r="AB5348" s="8"/>
    </row>
    <row r="5349" spans="1:28" s="4" customFormat="1" ht="51.95" customHeight="1">
      <c r="A5349" s="5">
        <v>0</v>
      </c>
      <c r="B5349" s="6" t="s">
        <v>31425</v>
      </c>
      <c r="C5349" s="13">
        <v>1950</v>
      </c>
      <c r="D5349" s="8" t="s">
        <v>31426</v>
      </c>
      <c r="E5349" s="8" t="s">
        <v>31427</v>
      </c>
      <c r="F5349" s="8" t="s">
        <v>31428</v>
      </c>
      <c r="G5349" s="6" t="s">
        <v>89</v>
      </c>
      <c r="H5349" s="6" t="s">
        <v>674</v>
      </c>
      <c r="I5349" s="8"/>
      <c r="J5349" s="9">
        <v>1</v>
      </c>
      <c r="K5349" s="9">
        <v>432</v>
      </c>
      <c r="L5349" s="9">
        <v>2023</v>
      </c>
      <c r="M5349" s="8" t="s">
        <v>31429</v>
      </c>
      <c r="N5349" s="8" t="s">
        <v>41</v>
      </c>
      <c r="O5349" s="8" t="s">
        <v>676</v>
      </c>
      <c r="P5349" s="6" t="s">
        <v>167</v>
      </c>
      <c r="Q5349" s="8" t="s">
        <v>44</v>
      </c>
      <c r="R5349" s="10" t="s">
        <v>806</v>
      </c>
      <c r="S5349" s="11" t="s">
        <v>31430</v>
      </c>
      <c r="T5349" s="6"/>
      <c r="U5349" s="24" t="str">
        <f>HYPERLINK("https://media.infra-m.ru/1910/1910763/cover/1910763.jpg", "Обложка")</f>
        <v>Обложка</v>
      </c>
      <c r="V5349" s="24" t="str">
        <f>HYPERLINK("https://znanium.ru/catalog/product/2106677", "Ознакомиться")</f>
        <v>Ознакомиться</v>
      </c>
      <c r="W5349" s="8" t="s">
        <v>7139</v>
      </c>
      <c r="X5349" s="6"/>
      <c r="Y5349" s="6"/>
      <c r="Z5349" s="6"/>
      <c r="AA5349" s="6" t="s">
        <v>31431</v>
      </c>
      <c r="AB5349" s="8"/>
    </row>
    <row r="5350" spans="1:28" s="4" customFormat="1" ht="51.95" customHeight="1">
      <c r="A5350" s="5">
        <v>0</v>
      </c>
      <c r="B5350" s="6" t="s">
        <v>31432</v>
      </c>
      <c r="C5350" s="13">
        <v>2174</v>
      </c>
      <c r="D5350" s="8" t="s">
        <v>31433</v>
      </c>
      <c r="E5350" s="8" t="s">
        <v>31434</v>
      </c>
      <c r="F5350" s="8" t="s">
        <v>31428</v>
      </c>
      <c r="G5350" s="6" t="s">
        <v>89</v>
      </c>
      <c r="H5350" s="6" t="s">
        <v>674</v>
      </c>
      <c r="I5350" s="8"/>
      <c r="J5350" s="9">
        <v>1</v>
      </c>
      <c r="K5350" s="9">
        <v>464</v>
      </c>
      <c r="L5350" s="9">
        <v>2024</v>
      </c>
      <c r="M5350" s="8" t="s">
        <v>31435</v>
      </c>
      <c r="N5350" s="8" t="s">
        <v>41</v>
      </c>
      <c r="O5350" s="8" t="s">
        <v>676</v>
      </c>
      <c r="P5350" s="6" t="s">
        <v>167</v>
      </c>
      <c r="Q5350" s="8" t="s">
        <v>44</v>
      </c>
      <c r="R5350" s="10" t="s">
        <v>806</v>
      </c>
      <c r="S5350" s="11" t="s">
        <v>31430</v>
      </c>
      <c r="T5350" s="6"/>
      <c r="U5350" s="24" t="str">
        <f>HYPERLINK("https://media.infra-m.ru/2122/2122507/cover/2122507.jpg", "Обложка")</f>
        <v>Обложка</v>
      </c>
      <c r="V5350" s="24" t="str">
        <f>HYPERLINK("https://znanium.ru/catalog/product/2106677", "Ознакомиться")</f>
        <v>Ознакомиться</v>
      </c>
      <c r="W5350" s="8" t="s">
        <v>7139</v>
      </c>
      <c r="X5350" s="6"/>
      <c r="Y5350" s="6"/>
      <c r="Z5350" s="6"/>
      <c r="AA5350" s="6" t="s">
        <v>31436</v>
      </c>
      <c r="AB5350" s="8"/>
    </row>
    <row r="5351" spans="1:28" s="4" customFormat="1" ht="51.95" customHeight="1">
      <c r="A5351" s="5">
        <v>0</v>
      </c>
      <c r="B5351" s="6" t="s">
        <v>31437</v>
      </c>
      <c r="C5351" s="7">
        <v>894.9</v>
      </c>
      <c r="D5351" s="8" t="s">
        <v>31438</v>
      </c>
      <c r="E5351" s="8" t="s">
        <v>31439</v>
      </c>
      <c r="F5351" s="8" t="s">
        <v>31440</v>
      </c>
      <c r="G5351" s="6" t="s">
        <v>52</v>
      </c>
      <c r="H5351" s="6" t="s">
        <v>674</v>
      </c>
      <c r="I5351" s="8"/>
      <c r="J5351" s="9">
        <v>1</v>
      </c>
      <c r="K5351" s="9">
        <v>448</v>
      </c>
      <c r="L5351" s="9">
        <v>2016</v>
      </c>
      <c r="M5351" s="8" t="s">
        <v>31441</v>
      </c>
      <c r="N5351" s="8" t="s">
        <v>41</v>
      </c>
      <c r="O5351" s="8" t="s">
        <v>676</v>
      </c>
      <c r="P5351" s="6" t="s">
        <v>167</v>
      </c>
      <c r="Q5351" s="8" t="s">
        <v>44</v>
      </c>
      <c r="R5351" s="10" t="s">
        <v>806</v>
      </c>
      <c r="S5351" s="11" t="s">
        <v>31430</v>
      </c>
      <c r="T5351" s="6"/>
      <c r="U5351" s="12"/>
      <c r="V5351" s="24" t="str">
        <f>HYPERLINK("https://znanium.ru/catalog/product/2106677", "Ознакомиться")</f>
        <v>Ознакомиться</v>
      </c>
      <c r="W5351" s="8" t="s">
        <v>7139</v>
      </c>
      <c r="X5351" s="6"/>
      <c r="Y5351" s="6"/>
      <c r="Z5351" s="6"/>
      <c r="AA5351" s="6" t="s">
        <v>27291</v>
      </c>
      <c r="AB5351" s="8"/>
    </row>
    <row r="5352" spans="1:28" s="4" customFormat="1" ht="51.95" customHeight="1">
      <c r="A5352" s="5">
        <v>0</v>
      </c>
      <c r="B5352" s="6" t="s">
        <v>31442</v>
      </c>
      <c r="C5352" s="13">
        <v>2490</v>
      </c>
      <c r="D5352" s="8" t="s">
        <v>31443</v>
      </c>
      <c r="E5352" s="8" t="s">
        <v>31444</v>
      </c>
      <c r="F5352" s="8" t="s">
        <v>22275</v>
      </c>
      <c r="G5352" s="6" t="s">
        <v>52</v>
      </c>
      <c r="H5352" s="6" t="s">
        <v>53</v>
      </c>
      <c r="I5352" s="8" t="s">
        <v>116</v>
      </c>
      <c r="J5352" s="9">
        <v>1</v>
      </c>
      <c r="K5352" s="9">
        <v>667</v>
      </c>
      <c r="L5352" s="9">
        <v>2025</v>
      </c>
      <c r="M5352" s="8" t="s">
        <v>31445</v>
      </c>
      <c r="N5352" s="8" t="s">
        <v>41</v>
      </c>
      <c r="O5352" s="8" t="s">
        <v>676</v>
      </c>
      <c r="P5352" s="6" t="s">
        <v>43</v>
      </c>
      <c r="Q5352" s="8" t="s">
        <v>44</v>
      </c>
      <c r="R5352" s="10" t="s">
        <v>770</v>
      </c>
      <c r="S5352" s="11" t="s">
        <v>31446</v>
      </c>
      <c r="T5352" s="6"/>
      <c r="U5352" s="24" t="str">
        <f>HYPERLINK("https://media.infra-m.ru/2147/2147032/cover/2147032.jpg", "Обложка")</f>
        <v>Обложка</v>
      </c>
      <c r="V5352" s="24" t="str">
        <f>HYPERLINK("https://znanium.ru/catalog/product/2147032", "Ознакомиться")</f>
        <v>Ознакомиться</v>
      </c>
      <c r="W5352" s="8" t="s">
        <v>354</v>
      </c>
      <c r="X5352" s="6"/>
      <c r="Y5352" s="6"/>
      <c r="Z5352" s="6"/>
      <c r="AA5352" s="6" t="s">
        <v>1259</v>
      </c>
      <c r="AB5352" s="8"/>
    </row>
    <row r="5353" spans="1:28" s="4" customFormat="1" ht="51.95" customHeight="1">
      <c r="A5353" s="5">
        <v>0</v>
      </c>
      <c r="B5353" s="6" t="s">
        <v>31447</v>
      </c>
      <c r="C5353" s="7">
        <v>894.9</v>
      </c>
      <c r="D5353" s="8" t="s">
        <v>31448</v>
      </c>
      <c r="E5353" s="8" t="s">
        <v>31449</v>
      </c>
      <c r="F5353" s="8" t="s">
        <v>31450</v>
      </c>
      <c r="G5353" s="6" t="s">
        <v>4902</v>
      </c>
      <c r="H5353" s="6" t="s">
        <v>39</v>
      </c>
      <c r="I5353" s="8"/>
      <c r="J5353" s="9">
        <v>1</v>
      </c>
      <c r="K5353" s="9">
        <v>496</v>
      </c>
      <c r="L5353" s="9">
        <v>2016</v>
      </c>
      <c r="M5353" s="8" t="s">
        <v>31451</v>
      </c>
      <c r="N5353" s="8" t="s">
        <v>41</v>
      </c>
      <c r="O5353" s="8" t="s">
        <v>676</v>
      </c>
      <c r="P5353" s="6" t="s">
        <v>43</v>
      </c>
      <c r="Q5353" s="8" t="s">
        <v>44</v>
      </c>
      <c r="R5353" s="10" t="s">
        <v>770</v>
      </c>
      <c r="S5353" s="11" t="s">
        <v>31452</v>
      </c>
      <c r="T5353" s="6"/>
      <c r="U5353" s="24" t="str">
        <f>HYPERLINK("https://media.infra-m.ru/0520/0520340/cover/520340.jpg", "Обложка")</f>
        <v>Обложка</v>
      </c>
      <c r="V5353" s="24" t="str">
        <f>HYPERLINK("https://znanium.ru/catalog/product/2147032", "Ознакомиться")</f>
        <v>Ознакомиться</v>
      </c>
      <c r="W5353" s="8" t="s">
        <v>354</v>
      </c>
      <c r="X5353" s="6"/>
      <c r="Y5353" s="6"/>
      <c r="Z5353" s="6"/>
      <c r="AA5353" s="6" t="s">
        <v>84</v>
      </c>
      <c r="AB5353" s="8"/>
    </row>
    <row r="5354" spans="1:28" s="4" customFormat="1" ht="51.95" customHeight="1">
      <c r="A5354" s="5">
        <v>0</v>
      </c>
      <c r="B5354" s="6" t="s">
        <v>31453</v>
      </c>
      <c r="C5354" s="13">
        <v>1894</v>
      </c>
      <c r="D5354" s="8" t="s">
        <v>31454</v>
      </c>
      <c r="E5354" s="8" t="s">
        <v>31422</v>
      </c>
      <c r="F5354" s="8" t="s">
        <v>31455</v>
      </c>
      <c r="G5354" s="6" t="s">
        <v>89</v>
      </c>
      <c r="H5354" s="6" t="s">
        <v>53</v>
      </c>
      <c r="I5354" s="8" t="s">
        <v>100</v>
      </c>
      <c r="J5354" s="9">
        <v>1</v>
      </c>
      <c r="K5354" s="9">
        <v>380</v>
      </c>
      <c r="L5354" s="9">
        <v>2024</v>
      </c>
      <c r="M5354" s="8" t="s">
        <v>31456</v>
      </c>
      <c r="N5354" s="8" t="s">
        <v>41</v>
      </c>
      <c r="O5354" s="8" t="s">
        <v>676</v>
      </c>
      <c r="P5354" s="6" t="s">
        <v>167</v>
      </c>
      <c r="Q5354" s="8" t="s">
        <v>102</v>
      </c>
      <c r="R5354" s="10" t="s">
        <v>31457</v>
      </c>
      <c r="S5354" s="11" t="s">
        <v>31458</v>
      </c>
      <c r="T5354" s="6"/>
      <c r="U5354" s="24" t="str">
        <f>HYPERLINK("https://media.infra-m.ru/2187/2187011/cover/2187011.jpg", "Обложка")</f>
        <v>Обложка</v>
      </c>
      <c r="V5354" s="24" t="str">
        <f>HYPERLINK("https://znanium.ru/catalog/product/2083090", "Ознакомиться")</f>
        <v>Ознакомиться</v>
      </c>
      <c r="W5354" s="8" t="s">
        <v>31459</v>
      </c>
      <c r="X5354" s="6"/>
      <c r="Y5354" s="6"/>
      <c r="Z5354" s="6" t="s">
        <v>502</v>
      </c>
      <c r="AA5354" s="6" t="s">
        <v>235</v>
      </c>
      <c r="AB5354" s="8"/>
    </row>
    <row r="5355" spans="1:28" s="4" customFormat="1" ht="51.95" customHeight="1">
      <c r="A5355" s="5">
        <v>0</v>
      </c>
      <c r="B5355" s="6" t="s">
        <v>31460</v>
      </c>
      <c r="C5355" s="13">
        <v>1894</v>
      </c>
      <c r="D5355" s="8" t="s">
        <v>31461</v>
      </c>
      <c r="E5355" s="8" t="s">
        <v>31422</v>
      </c>
      <c r="F5355" s="8" t="s">
        <v>31455</v>
      </c>
      <c r="G5355" s="6" t="s">
        <v>89</v>
      </c>
      <c r="H5355" s="6" t="s">
        <v>53</v>
      </c>
      <c r="I5355" s="8" t="s">
        <v>116</v>
      </c>
      <c r="J5355" s="9">
        <v>1</v>
      </c>
      <c r="K5355" s="9">
        <v>380</v>
      </c>
      <c r="L5355" s="9">
        <v>2025</v>
      </c>
      <c r="M5355" s="8" t="s">
        <v>31462</v>
      </c>
      <c r="N5355" s="8" t="s">
        <v>41</v>
      </c>
      <c r="O5355" s="8" t="s">
        <v>676</v>
      </c>
      <c r="P5355" s="6" t="s">
        <v>167</v>
      </c>
      <c r="Q5355" s="8" t="s">
        <v>58</v>
      </c>
      <c r="R5355" s="10" t="s">
        <v>677</v>
      </c>
      <c r="S5355" s="11" t="s">
        <v>5942</v>
      </c>
      <c r="T5355" s="6"/>
      <c r="U5355" s="24" t="str">
        <f>HYPERLINK("https://media.infra-m.ru/2185/2185836/cover/2185836.jpg", "Обложка")</f>
        <v>Обложка</v>
      </c>
      <c r="V5355" s="24" t="str">
        <f>HYPERLINK("https://znanium.ru/catalog/product/2178372", "Ознакомиться")</f>
        <v>Ознакомиться</v>
      </c>
      <c r="W5355" s="8" t="s">
        <v>31459</v>
      </c>
      <c r="X5355" s="6"/>
      <c r="Y5355" s="6"/>
      <c r="Z5355" s="6"/>
      <c r="AA5355" s="6" t="s">
        <v>258</v>
      </c>
      <c r="AB5355" s="8" t="s">
        <v>1863</v>
      </c>
    </row>
    <row r="5356" spans="1:28" s="4" customFormat="1" ht="51.95" customHeight="1">
      <c r="A5356" s="5">
        <v>0</v>
      </c>
      <c r="B5356" s="6" t="s">
        <v>31463</v>
      </c>
      <c r="C5356" s="13">
        <v>1550</v>
      </c>
      <c r="D5356" s="8" t="s">
        <v>31464</v>
      </c>
      <c r="E5356" s="8" t="s">
        <v>31422</v>
      </c>
      <c r="F5356" s="8" t="s">
        <v>31465</v>
      </c>
      <c r="G5356" s="6" t="s">
        <v>89</v>
      </c>
      <c r="H5356" s="6" t="s">
        <v>674</v>
      </c>
      <c r="I5356" s="8"/>
      <c r="J5356" s="9">
        <v>1</v>
      </c>
      <c r="K5356" s="9">
        <v>336</v>
      </c>
      <c r="L5356" s="9">
        <v>2024</v>
      </c>
      <c r="M5356" s="8" t="s">
        <v>31466</v>
      </c>
      <c r="N5356" s="8" t="s">
        <v>41</v>
      </c>
      <c r="O5356" s="8" t="s">
        <v>676</v>
      </c>
      <c r="P5356" s="6" t="s">
        <v>167</v>
      </c>
      <c r="Q5356" s="8" t="s">
        <v>1674</v>
      </c>
      <c r="R5356" s="10" t="s">
        <v>31467</v>
      </c>
      <c r="S5356" s="11"/>
      <c r="T5356" s="6"/>
      <c r="U5356" s="24" t="str">
        <f>HYPERLINK("https://media.infra-m.ru/2131/2131433/cover/2131433.jpg", "Обложка")</f>
        <v>Обложка</v>
      </c>
      <c r="V5356" s="24" t="str">
        <f>HYPERLINK("https://znanium.ru/catalog/product/1038303", "Ознакомиться")</f>
        <v>Ознакомиться</v>
      </c>
      <c r="W5356" s="8" t="s">
        <v>792</v>
      </c>
      <c r="X5356" s="6"/>
      <c r="Y5356" s="6"/>
      <c r="Z5356" s="6"/>
      <c r="AA5356" s="6" t="s">
        <v>442</v>
      </c>
      <c r="AB5356" s="8"/>
    </row>
    <row r="5357" spans="1:28" s="4" customFormat="1" ht="51.95" customHeight="1">
      <c r="A5357" s="5">
        <v>0</v>
      </c>
      <c r="B5357" s="6" t="s">
        <v>31468</v>
      </c>
      <c r="C5357" s="7">
        <v>890</v>
      </c>
      <c r="D5357" s="8" t="s">
        <v>31469</v>
      </c>
      <c r="E5357" s="8" t="s">
        <v>31470</v>
      </c>
      <c r="F5357" s="8" t="s">
        <v>31471</v>
      </c>
      <c r="G5357" s="6" t="s">
        <v>89</v>
      </c>
      <c r="H5357" s="6" t="s">
        <v>53</v>
      </c>
      <c r="I5357" s="8" t="s">
        <v>276</v>
      </c>
      <c r="J5357" s="9">
        <v>1</v>
      </c>
      <c r="K5357" s="9">
        <v>188</v>
      </c>
      <c r="L5357" s="9">
        <v>2024</v>
      </c>
      <c r="M5357" s="8" t="s">
        <v>31472</v>
      </c>
      <c r="N5357" s="8" t="s">
        <v>41</v>
      </c>
      <c r="O5357" s="8" t="s">
        <v>676</v>
      </c>
      <c r="P5357" s="6" t="s">
        <v>43</v>
      </c>
      <c r="Q5357" s="8" t="s">
        <v>279</v>
      </c>
      <c r="R5357" s="10" t="s">
        <v>2736</v>
      </c>
      <c r="S5357" s="11"/>
      <c r="T5357" s="6"/>
      <c r="U5357" s="24" t="str">
        <f>HYPERLINK("https://media.infra-m.ru/2140/2140771/cover/2140771.jpg", "Обложка")</f>
        <v>Обложка</v>
      </c>
      <c r="V5357" s="24" t="str">
        <f>HYPERLINK("https://znanium.ru/catalog/product/2140771", "Ознакомиться")</f>
        <v>Ознакомиться</v>
      </c>
      <c r="W5357" s="8" t="s">
        <v>23919</v>
      </c>
      <c r="X5357" s="6"/>
      <c r="Y5357" s="6"/>
      <c r="Z5357" s="6"/>
      <c r="AA5357" s="6" t="s">
        <v>1374</v>
      </c>
      <c r="AB5357" s="8"/>
    </row>
    <row r="5358" spans="1:28" s="4" customFormat="1" ht="51.95" customHeight="1">
      <c r="A5358" s="5">
        <v>0</v>
      </c>
      <c r="B5358" s="6" t="s">
        <v>31473</v>
      </c>
      <c r="C5358" s="7">
        <v>320</v>
      </c>
      <c r="D5358" s="8" t="s">
        <v>31474</v>
      </c>
      <c r="E5358" s="8" t="s">
        <v>31475</v>
      </c>
      <c r="F5358" s="8" t="s">
        <v>31471</v>
      </c>
      <c r="G5358" s="6" t="s">
        <v>38</v>
      </c>
      <c r="H5358" s="6" t="s">
        <v>53</v>
      </c>
      <c r="I5358" s="8" t="s">
        <v>276</v>
      </c>
      <c r="J5358" s="9">
        <v>1</v>
      </c>
      <c r="K5358" s="9">
        <v>115</v>
      </c>
      <c r="L5358" s="9">
        <v>2018</v>
      </c>
      <c r="M5358" s="8" t="s">
        <v>31476</v>
      </c>
      <c r="N5358" s="8" t="s">
        <v>41</v>
      </c>
      <c r="O5358" s="8" t="s">
        <v>676</v>
      </c>
      <c r="P5358" s="6" t="s">
        <v>43</v>
      </c>
      <c r="Q5358" s="8" t="s">
        <v>279</v>
      </c>
      <c r="R5358" s="10" t="s">
        <v>2736</v>
      </c>
      <c r="S5358" s="11" t="s">
        <v>12152</v>
      </c>
      <c r="T5358" s="6"/>
      <c r="U5358" s="24" t="str">
        <f>HYPERLINK("https://media.infra-m.ru/0951/0951294/cover/951294.jpg", "Обложка")</f>
        <v>Обложка</v>
      </c>
      <c r="V5358" s="24" t="str">
        <f>HYPERLINK("https://znanium.ru/catalog/product/2140771", "Ознакомиться")</f>
        <v>Ознакомиться</v>
      </c>
      <c r="W5358" s="8" t="s">
        <v>23919</v>
      </c>
      <c r="X5358" s="6"/>
      <c r="Y5358" s="6"/>
      <c r="Z5358" s="6"/>
      <c r="AA5358" s="6" t="s">
        <v>442</v>
      </c>
      <c r="AB5358" s="8"/>
    </row>
    <row r="5359" spans="1:28" s="4" customFormat="1" ht="51.95" customHeight="1">
      <c r="A5359" s="5">
        <v>0</v>
      </c>
      <c r="B5359" s="6" t="s">
        <v>31477</v>
      </c>
      <c r="C5359" s="7">
        <v>844</v>
      </c>
      <c r="D5359" s="8" t="s">
        <v>31478</v>
      </c>
      <c r="E5359" s="8" t="s">
        <v>31479</v>
      </c>
      <c r="F5359" s="8" t="s">
        <v>6694</v>
      </c>
      <c r="G5359" s="6" t="s">
        <v>52</v>
      </c>
      <c r="H5359" s="6" t="s">
        <v>53</v>
      </c>
      <c r="I5359" s="8" t="s">
        <v>212</v>
      </c>
      <c r="J5359" s="9">
        <v>1</v>
      </c>
      <c r="K5359" s="9">
        <v>169</v>
      </c>
      <c r="L5359" s="9">
        <v>2025</v>
      </c>
      <c r="M5359" s="8" t="s">
        <v>31480</v>
      </c>
      <c r="N5359" s="8" t="s">
        <v>41</v>
      </c>
      <c r="O5359" s="8" t="s">
        <v>676</v>
      </c>
      <c r="P5359" s="6" t="s">
        <v>43</v>
      </c>
      <c r="Q5359" s="8" t="s">
        <v>214</v>
      </c>
      <c r="R5359" s="10" t="s">
        <v>31481</v>
      </c>
      <c r="S5359" s="11" t="s">
        <v>31482</v>
      </c>
      <c r="T5359" s="6"/>
      <c r="U5359" s="24" t="str">
        <f>HYPERLINK("https://media.infra-m.ru/2184/2184440/cover/2184440.jpg", "Обложка")</f>
        <v>Обложка</v>
      </c>
      <c r="V5359" s="24" t="str">
        <f>HYPERLINK("https://znanium.ru/catalog/product/1242222", "Ознакомиться")</f>
        <v>Ознакомиться</v>
      </c>
      <c r="W5359" s="8" t="s">
        <v>71</v>
      </c>
      <c r="X5359" s="6"/>
      <c r="Y5359" s="6"/>
      <c r="Z5359" s="6"/>
      <c r="AA5359" s="6" t="s">
        <v>235</v>
      </c>
      <c r="AB5359" s="8"/>
    </row>
    <row r="5360" spans="1:28" s="4" customFormat="1" ht="51.95" customHeight="1">
      <c r="A5360" s="5">
        <v>0</v>
      </c>
      <c r="B5360" s="6" t="s">
        <v>31483</v>
      </c>
      <c r="C5360" s="13">
        <v>1444</v>
      </c>
      <c r="D5360" s="8" t="s">
        <v>31484</v>
      </c>
      <c r="E5360" s="8" t="s">
        <v>31485</v>
      </c>
      <c r="F5360" s="8" t="s">
        <v>31486</v>
      </c>
      <c r="G5360" s="6" t="s">
        <v>52</v>
      </c>
      <c r="H5360" s="6" t="s">
        <v>674</v>
      </c>
      <c r="I5360" s="8"/>
      <c r="J5360" s="9">
        <v>1</v>
      </c>
      <c r="K5360" s="9">
        <v>288</v>
      </c>
      <c r="L5360" s="9">
        <v>2022</v>
      </c>
      <c r="M5360" s="8" t="s">
        <v>31487</v>
      </c>
      <c r="N5360" s="8" t="s">
        <v>41</v>
      </c>
      <c r="O5360" s="8" t="s">
        <v>676</v>
      </c>
      <c r="P5360" s="6" t="s">
        <v>167</v>
      </c>
      <c r="Q5360" s="8" t="s">
        <v>279</v>
      </c>
      <c r="R5360" s="10" t="s">
        <v>806</v>
      </c>
      <c r="S5360" s="11"/>
      <c r="T5360" s="6"/>
      <c r="U5360" s="24" t="str">
        <f>HYPERLINK("https://media.infra-m.ru/2006/2006057/cover/2006057.jpg", "Обложка")</f>
        <v>Обложка</v>
      </c>
      <c r="V5360" s="24" t="str">
        <f>HYPERLINK("https://znanium.ru/catalog/product/1045807", "Ознакомиться")</f>
        <v>Ознакомиться</v>
      </c>
      <c r="W5360" s="8" t="s">
        <v>5468</v>
      </c>
      <c r="X5360" s="6"/>
      <c r="Y5360" s="6"/>
      <c r="Z5360" s="6"/>
      <c r="AA5360" s="6" t="s">
        <v>442</v>
      </c>
      <c r="AB5360" s="8"/>
    </row>
    <row r="5361" spans="1:28" s="4" customFormat="1" ht="42" customHeight="1">
      <c r="A5361" s="5">
        <v>0</v>
      </c>
      <c r="B5361" s="6" t="s">
        <v>31488</v>
      </c>
      <c r="C5361" s="13">
        <v>1830</v>
      </c>
      <c r="D5361" s="8" t="s">
        <v>31489</v>
      </c>
      <c r="E5361" s="8" t="s">
        <v>31490</v>
      </c>
      <c r="F5361" s="8" t="s">
        <v>31491</v>
      </c>
      <c r="G5361" s="6" t="s">
        <v>52</v>
      </c>
      <c r="H5361" s="6" t="s">
        <v>674</v>
      </c>
      <c r="I5361" s="8" t="s">
        <v>100</v>
      </c>
      <c r="J5361" s="9">
        <v>1</v>
      </c>
      <c r="K5361" s="9">
        <v>352</v>
      </c>
      <c r="L5361" s="9">
        <v>2025</v>
      </c>
      <c r="M5361" s="8" t="s">
        <v>31492</v>
      </c>
      <c r="N5361" s="8" t="s">
        <v>41</v>
      </c>
      <c r="O5361" s="8" t="s">
        <v>676</v>
      </c>
      <c r="P5361" s="6" t="s">
        <v>187</v>
      </c>
      <c r="Q5361" s="8" t="s">
        <v>102</v>
      </c>
      <c r="R5361" s="10" t="s">
        <v>256</v>
      </c>
      <c r="S5361" s="11"/>
      <c r="T5361" s="6"/>
      <c r="U5361" s="24" t="str">
        <f>HYPERLINK("https://media.infra-m.ru/1920/1920368/cover/1920368.jpg", "Обложка")</f>
        <v>Обложка</v>
      </c>
      <c r="V5361" s="12"/>
      <c r="W5361" s="8" t="s">
        <v>792</v>
      </c>
      <c r="X5361" s="6" t="s">
        <v>60</v>
      </c>
      <c r="Y5361" s="6"/>
      <c r="Z5361" s="6" t="s">
        <v>104</v>
      </c>
      <c r="AA5361" s="6" t="s">
        <v>61</v>
      </c>
      <c r="AB5361" s="8"/>
    </row>
    <row r="5362" spans="1:28" s="4" customFormat="1" ht="42" customHeight="1">
      <c r="A5362" s="5">
        <v>0</v>
      </c>
      <c r="B5362" s="6" t="s">
        <v>31493</v>
      </c>
      <c r="C5362" s="13">
        <v>1764</v>
      </c>
      <c r="D5362" s="8" t="s">
        <v>31494</v>
      </c>
      <c r="E5362" s="8" t="s">
        <v>31490</v>
      </c>
      <c r="F5362" s="8" t="s">
        <v>31495</v>
      </c>
      <c r="G5362" s="6" t="s">
        <v>89</v>
      </c>
      <c r="H5362" s="6" t="s">
        <v>674</v>
      </c>
      <c r="I5362" s="8"/>
      <c r="J5362" s="9">
        <v>1</v>
      </c>
      <c r="K5362" s="9">
        <v>352</v>
      </c>
      <c r="L5362" s="9">
        <v>2025</v>
      </c>
      <c r="M5362" s="8" t="s">
        <v>31496</v>
      </c>
      <c r="N5362" s="8" t="s">
        <v>41</v>
      </c>
      <c r="O5362" s="8" t="s">
        <v>676</v>
      </c>
      <c r="P5362" s="6" t="s">
        <v>187</v>
      </c>
      <c r="Q5362" s="8" t="s">
        <v>44</v>
      </c>
      <c r="R5362" s="10" t="s">
        <v>799</v>
      </c>
      <c r="S5362" s="11"/>
      <c r="T5362" s="6"/>
      <c r="U5362" s="24" t="str">
        <f>HYPERLINK("https://media.infra-m.ru/2179/2179202/cover/2179202.jpg", "Обложка")</f>
        <v>Обложка</v>
      </c>
      <c r="V5362" s="24" t="str">
        <f>HYPERLINK("https://znanium.ru/catalog/product/1905975", "Ознакомиться")</f>
        <v>Ознакомиться</v>
      </c>
      <c r="W5362" s="8" t="s">
        <v>792</v>
      </c>
      <c r="X5362" s="6"/>
      <c r="Y5362" s="6"/>
      <c r="Z5362" s="6"/>
      <c r="AA5362" s="6" t="s">
        <v>793</v>
      </c>
      <c r="AB5362" s="8"/>
    </row>
    <row r="5363" spans="1:28" s="4" customFormat="1" ht="51.95" customHeight="1">
      <c r="A5363" s="5">
        <v>0</v>
      </c>
      <c r="B5363" s="6" t="s">
        <v>31497</v>
      </c>
      <c r="C5363" s="13">
        <v>2990</v>
      </c>
      <c r="D5363" s="8" t="s">
        <v>31498</v>
      </c>
      <c r="E5363" s="8" t="s">
        <v>31499</v>
      </c>
      <c r="F5363" s="8" t="s">
        <v>31500</v>
      </c>
      <c r="G5363" s="6" t="s">
        <v>52</v>
      </c>
      <c r="H5363" s="6" t="s">
        <v>674</v>
      </c>
      <c r="I5363" s="8"/>
      <c r="J5363" s="9">
        <v>1</v>
      </c>
      <c r="K5363" s="9">
        <v>1008</v>
      </c>
      <c r="L5363" s="9">
        <v>2022</v>
      </c>
      <c r="M5363" s="8" t="s">
        <v>31501</v>
      </c>
      <c r="N5363" s="8" t="s">
        <v>41</v>
      </c>
      <c r="O5363" s="8" t="s">
        <v>676</v>
      </c>
      <c r="P5363" s="6" t="s">
        <v>167</v>
      </c>
      <c r="Q5363" s="8" t="s">
        <v>44</v>
      </c>
      <c r="R5363" s="10" t="s">
        <v>770</v>
      </c>
      <c r="S5363" s="11" t="s">
        <v>31502</v>
      </c>
      <c r="T5363" s="6"/>
      <c r="U5363" s="24" t="str">
        <f>HYPERLINK("https://media.infra-m.ru/1862/1862396/cover/1862396.jpg", "Обложка")</f>
        <v>Обложка</v>
      </c>
      <c r="V5363" s="24" t="str">
        <f>HYPERLINK("https://znanium.ru/catalog/product/2117066", "Ознакомиться")</f>
        <v>Ознакомиться</v>
      </c>
      <c r="W5363" s="8" t="s">
        <v>792</v>
      </c>
      <c r="X5363" s="6"/>
      <c r="Y5363" s="6"/>
      <c r="Z5363" s="6"/>
      <c r="AA5363" s="6" t="s">
        <v>2423</v>
      </c>
      <c r="AB5363" s="8"/>
    </row>
    <row r="5364" spans="1:28" s="4" customFormat="1" ht="51.95" customHeight="1">
      <c r="A5364" s="5">
        <v>0</v>
      </c>
      <c r="B5364" s="6" t="s">
        <v>31503</v>
      </c>
      <c r="C5364" s="13">
        <v>3050</v>
      </c>
      <c r="D5364" s="8" t="s">
        <v>31504</v>
      </c>
      <c r="E5364" s="8" t="s">
        <v>31505</v>
      </c>
      <c r="F5364" s="8" t="s">
        <v>31500</v>
      </c>
      <c r="G5364" s="6" t="s">
        <v>52</v>
      </c>
      <c r="H5364" s="6" t="s">
        <v>674</v>
      </c>
      <c r="I5364" s="8"/>
      <c r="J5364" s="9">
        <v>1</v>
      </c>
      <c r="K5364" s="9">
        <v>1072</v>
      </c>
      <c r="L5364" s="9">
        <v>2024</v>
      </c>
      <c r="M5364" s="8" t="s">
        <v>31506</v>
      </c>
      <c r="N5364" s="8" t="s">
        <v>41</v>
      </c>
      <c r="O5364" s="8" t="s">
        <v>676</v>
      </c>
      <c r="P5364" s="6" t="s">
        <v>167</v>
      </c>
      <c r="Q5364" s="8" t="s">
        <v>44</v>
      </c>
      <c r="R5364" s="10" t="s">
        <v>770</v>
      </c>
      <c r="S5364" s="11" t="s">
        <v>31502</v>
      </c>
      <c r="T5364" s="6"/>
      <c r="U5364" s="24" t="str">
        <f>HYPERLINK("https://media.infra-m.ru/2117/2117066/cover/2117066.jpg", "Обложка")</f>
        <v>Обложка</v>
      </c>
      <c r="V5364" s="24" t="str">
        <f>HYPERLINK("https://znanium.ru/catalog/product/2117066", "Ознакомиться")</f>
        <v>Ознакомиться</v>
      </c>
      <c r="W5364" s="8" t="s">
        <v>792</v>
      </c>
      <c r="X5364" s="6"/>
      <c r="Y5364" s="6"/>
      <c r="Z5364" s="6"/>
      <c r="AA5364" s="6" t="s">
        <v>7125</v>
      </c>
      <c r="AB5364" s="8"/>
    </row>
    <row r="5365" spans="1:28" s="4" customFormat="1" ht="42" customHeight="1">
      <c r="A5365" s="5">
        <v>0</v>
      </c>
      <c r="B5365" s="6" t="s">
        <v>31507</v>
      </c>
      <c r="C5365" s="13">
        <v>3294</v>
      </c>
      <c r="D5365" s="8" t="s">
        <v>31508</v>
      </c>
      <c r="E5365" s="8" t="s">
        <v>31509</v>
      </c>
      <c r="F5365" s="8" t="s">
        <v>25090</v>
      </c>
      <c r="G5365" s="6" t="s">
        <v>52</v>
      </c>
      <c r="H5365" s="6" t="s">
        <v>674</v>
      </c>
      <c r="I5365" s="8"/>
      <c r="J5365" s="9">
        <v>1</v>
      </c>
      <c r="K5365" s="9">
        <v>936</v>
      </c>
      <c r="L5365" s="9">
        <v>2025</v>
      </c>
      <c r="M5365" s="8" t="s">
        <v>31510</v>
      </c>
      <c r="N5365" s="8" t="s">
        <v>41</v>
      </c>
      <c r="O5365" s="8" t="s">
        <v>676</v>
      </c>
      <c r="P5365" s="6" t="s">
        <v>167</v>
      </c>
      <c r="Q5365" s="8" t="s">
        <v>44</v>
      </c>
      <c r="R5365" s="10" t="s">
        <v>799</v>
      </c>
      <c r="S5365" s="11"/>
      <c r="T5365" s="6"/>
      <c r="U5365" s="24" t="str">
        <f>HYPERLINK("https://media.infra-m.ru/2192/2192380/cover/2192380.jpg", "Обложка")</f>
        <v>Обложка</v>
      </c>
      <c r="V5365" s="24" t="str">
        <f>HYPERLINK("https://znanium.ru/catalog/product/2178011", "Ознакомиться")</f>
        <v>Ознакомиться</v>
      </c>
      <c r="W5365" s="8" t="s">
        <v>31511</v>
      </c>
      <c r="X5365" s="6"/>
      <c r="Y5365" s="6"/>
      <c r="Z5365" s="6"/>
      <c r="AA5365" s="6" t="s">
        <v>1382</v>
      </c>
      <c r="AB5365" s="8"/>
    </row>
    <row r="5366" spans="1:28" s="4" customFormat="1" ht="42" customHeight="1">
      <c r="A5366" s="5">
        <v>0</v>
      </c>
      <c r="B5366" s="6" t="s">
        <v>31512</v>
      </c>
      <c r="C5366" s="13">
        <v>1204</v>
      </c>
      <c r="D5366" s="8" t="s">
        <v>31513</v>
      </c>
      <c r="E5366" s="8" t="s">
        <v>31514</v>
      </c>
      <c r="F5366" s="8" t="s">
        <v>31515</v>
      </c>
      <c r="G5366" s="6" t="s">
        <v>89</v>
      </c>
      <c r="H5366" s="6" t="s">
        <v>53</v>
      </c>
      <c r="I5366" s="8" t="s">
        <v>116</v>
      </c>
      <c r="J5366" s="9">
        <v>1</v>
      </c>
      <c r="K5366" s="9">
        <v>241</v>
      </c>
      <c r="L5366" s="9">
        <v>2025</v>
      </c>
      <c r="M5366" s="8" t="s">
        <v>31516</v>
      </c>
      <c r="N5366" s="8" t="s">
        <v>41</v>
      </c>
      <c r="O5366" s="8" t="s">
        <v>676</v>
      </c>
      <c r="P5366" s="6" t="s">
        <v>43</v>
      </c>
      <c r="Q5366" s="8" t="s">
        <v>44</v>
      </c>
      <c r="R5366" s="10" t="s">
        <v>791</v>
      </c>
      <c r="S5366" s="11"/>
      <c r="T5366" s="6"/>
      <c r="U5366" s="24" t="str">
        <f>HYPERLINK("https://media.infra-m.ru/2179/2179171/cover/2179171.jpg", "Обложка")</f>
        <v>Обложка</v>
      </c>
      <c r="V5366" s="24" t="str">
        <f>HYPERLINK("https://znanium.ru/catalog/product/2132158", "Ознакомиться")</f>
        <v>Ознакомиться</v>
      </c>
      <c r="W5366" s="8"/>
      <c r="X5366" s="6"/>
      <c r="Y5366" s="6"/>
      <c r="Z5366" s="6"/>
      <c r="AA5366" s="6" t="s">
        <v>207</v>
      </c>
      <c r="AB5366" s="8"/>
    </row>
    <row r="5367" spans="1:28" s="4" customFormat="1" ht="51.95" customHeight="1">
      <c r="A5367" s="5">
        <v>0</v>
      </c>
      <c r="B5367" s="6" t="s">
        <v>31517</v>
      </c>
      <c r="C5367" s="13">
        <v>3100</v>
      </c>
      <c r="D5367" s="8" t="s">
        <v>31518</v>
      </c>
      <c r="E5367" s="8" t="s">
        <v>31519</v>
      </c>
      <c r="F5367" s="8" t="s">
        <v>31520</v>
      </c>
      <c r="G5367" s="6" t="s">
        <v>52</v>
      </c>
      <c r="H5367" s="6" t="s">
        <v>674</v>
      </c>
      <c r="I5367" s="8"/>
      <c r="J5367" s="9">
        <v>1</v>
      </c>
      <c r="K5367" s="9">
        <v>888</v>
      </c>
      <c r="L5367" s="9">
        <v>2024</v>
      </c>
      <c r="M5367" s="8" t="s">
        <v>31521</v>
      </c>
      <c r="N5367" s="8" t="s">
        <v>41</v>
      </c>
      <c r="O5367" s="8" t="s">
        <v>676</v>
      </c>
      <c r="P5367" s="6" t="s">
        <v>167</v>
      </c>
      <c r="Q5367" s="8" t="s">
        <v>58</v>
      </c>
      <c r="R5367" s="10" t="s">
        <v>31522</v>
      </c>
      <c r="S5367" s="11"/>
      <c r="T5367" s="6"/>
      <c r="U5367" s="24" t="str">
        <f>HYPERLINK("https://media.infra-m.ru/2122/2122506/cover/2122506.jpg", "Обложка")</f>
        <v>Обложка</v>
      </c>
      <c r="V5367" s="24" t="str">
        <f>HYPERLINK("https://znanium.ru/catalog/product/2122506", "Ознакомиться")</f>
        <v>Ознакомиться</v>
      </c>
      <c r="W5367" s="8" t="s">
        <v>808</v>
      </c>
      <c r="X5367" s="6"/>
      <c r="Y5367" s="6"/>
      <c r="Z5367" s="6"/>
      <c r="AA5367" s="6" t="s">
        <v>235</v>
      </c>
      <c r="AB5367" s="8"/>
    </row>
    <row r="5368" spans="1:28" s="4" customFormat="1" ht="51.95" customHeight="1">
      <c r="A5368" s="5">
        <v>0</v>
      </c>
      <c r="B5368" s="6" t="s">
        <v>31523</v>
      </c>
      <c r="C5368" s="13">
        <v>1949.9</v>
      </c>
      <c r="D5368" s="8" t="s">
        <v>31524</v>
      </c>
      <c r="E5368" s="8" t="s">
        <v>31525</v>
      </c>
      <c r="F5368" s="8" t="s">
        <v>31526</v>
      </c>
      <c r="G5368" s="6" t="s">
        <v>89</v>
      </c>
      <c r="H5368" s="6" t="s">
        <v>674</v>
      </c>
      <c r="I5368" s="8"/>
      <c r="J5368" s="9">
        <v>1</v>
      </c>
      <c r="K5368" s="9">
        <v>752</v>
      </c>
      <c r="L5368" s="9">
        <v>2019</v>
      </c>
      <c r="M5368" s="8" t="s">
        <v>31527</v>
      </c>
      <c r="N5368" s="8" t="s">
        <v>41</v>
      </c>
      <c r="O5368" s="8" t="s">
        <v>676</v>
      </c>
      <c r="P5368" s="6" t="s">
        <v>167</v>
      </c>
      <c r="Q5368" s="8" t="s">
        <v>44</v>
      </c>
      <c r="R5368" s="10" t="s">
        <v>806</v>
      </c>
      <c r="S5368" s="11" t="s">
        <v>31528</v>
      </c>
      <c r="T5368" s="6"/>
      <c r="U5368" s="24" t="str">
        <f>HYPERLINK("https://media.infra-m.ru/1022/1022469/cover/1022469.jpg", "Обложка")</f>
        <v>Обложка</v>
      </c>
      <c r="V5368" s="24" t="str">
        <f>HYPERLINK("https://znanium.ru/catalog/product/2166289", "Ознакомиться")</f>
        <v>Ознакомиться</v>
      </c>
      <c r="W5368" s="8" t="s">
        <v>20624</v>
      </c>
      <c r="X5368" s="6"/>
      <c r="Y5368" s="6"/>
      <c r="Z5368" s="6"/>
      <c r="AA5368" s="6" t="s">
        <v>31529</v>
      </c>
      <c r="AB5368" s="8"/>
    </row>
    <row r="5369" spans="1:28" s="4" customFormat="1" ht="51.95" customHeight="1">
      <c r="A5369" s="5">
        <v>0</v>
      </c>
      <c r="B5369" s="6" t="s">
        <v>31530</v>
      </c>
      <c r="C5369" s="13">
        <v>2994</v>
      </c>
      <c r="D5369" s="8" t="s">
        <v>31531</v>
      </c>
      <c r="E5369" s="8" t="s">
        <v>31532</v>
      </c>
      <c r="F5369" s="8" t="s">
        <v>31526</v>
      </c>
      <c r="G5369" s="6" t="s">
        <v>52</v>
      </c>
      <c r="H5369" s="6" t="s">
        <v>674</v>
      </c>
      <c r="I5369" s="8"/>
      <c r="J5369" s="9">
        <v>1</v>
      </c>
      <c r="K5369" s="9">
        <v>784</v>
      </c>
      <c r="L5369" s="9">
        <v>2025</v>
      </c>
      <c r="M5369" s="8" t="s">
        <v>31533</v>
      </c>
      <c r="N5369" s="8" t="s">
        <v>41</v>
      </c>
      <c r="O5369" s="8" t="s">
        <v>676</v>
      </c>
      <c r="P5369" s="6" t="s">
        <v>167</v>
      </c>
      <c r="Q5369" s="8" t="s">
        <v>44</v>
      </c>
      <c r="R5369" s="10" t="s">
        <v>806</v>
      </c>
      <c r="S5369" s="11" t="s">
        <v>31528</v>
      </c>
      <c r="T5369" s="6"/>
      <c r="U5369" s="24" t="str">
        <f>HYPERLINK("https://media.infra-m.ru/2187/2187439/cover/2187439.jpg", "Обложка")</f>
        <v>Обложка</v>
      </c>
      <c r="V5369" s="24" t="str">
        <f>HYPERLINK("https://znanium.ru/catalog/product/2166289", "Ознакомиться")</f>
        <v>Ознакомиться</v>
      </c>
      <c r="W5369" s="8" t="s">
        <v>20624</v>
      </c>
      <c r="X5369" s="6"/>
      <c r="Y5369" s="6"/>
      <c r="Z5369" s="6"/>
      <c r="AA5369" s="6" t="s">
        <v>5843</v>
      </c>
      <c r="AB5369" s="8"/>
    </row>
    <row r="5370" spans="1:28" s="4" customFormat="1" ht="51.95" customHeight="1">
      <c r="A5370" s="5">
        <v>0</v>
      </c>
      <c r="B5370" s="6" t="s">
        <v>31534</v>
      </c>
      <c r="C5370" s="13">
        <v>2092</v>
      </c>
      <c r="D5370" s="8" t="s">
        <v>31535</v>
      </c>
      <c r="E5370" s="8" t="s">
        <v>31536</v>
      </c>
      <c r="F5370" s="8" t="s">
        <v>31537</v>
      </c>
      <c r="G5370" s="6" t="s">
        <v>89</v>
      </c>
      <c r="H5370" s="6" t="s">
        <v>53</v>
      </c>
      <c r="I5370" s="8" t="s">
        <v>18541</v>
      </c>
      <c r="J5370" s="9">
        <v>1</v>
      </c>
      <c r="K5370" s="9">
        <v>358</v>
      </c>
      <c r="L5370" s="9">
        <v>2025</v>
      </c>
      <c r="M5370" s="8" t="s">
        <v>31538</v>
      </c>
      <c r="N5370" s="8" t="s">
        <v>41</v>
      </c>
      <c r="O5370" s="8" t="s">
        <v>118</v>
      </c>
      <c r="P5370" s="6" t="s">
        <v>43</v>
      </c>
      <c r="Q5370" s="8" t="s">
        <v>44</v>
      </c>
      <c r="R5370" s="10" t="s">
        <v>31539</v>
      </c>
      <c r="S5370" s="11"/>
      <c r="T5370" s="6" t="s">
        <v>299</v>
      </c>
      <c r="U5370" s="24" t="str">
        <f>HYPERLINK("https://media.infra-m.ru/2188/2188272/cover/2188272.jpg", "Обложка")</f>
        <v>Обложка</v>
      </c>
      <c r="V5370" s="24" t="str">
        <f>HYPERLINK("https://znanium.ru/catalog/product/2188272", "Ознакомиться")</f>
        <v>Ознакомиться</v>
      </c>
      <c r="W5370" s="8"/>
      <c r="X5370" s="6"/>
      <c r="Y5370" s="6"/>
      <c r="Z5370" s="6"/>
      <c r="AA5370" s="6" t="s">
        <v>494</v>
      </c>
      <c r="AB5370" s="8"/>
    </row>
    <row r="5371" spans="1:28" s="4" customFormat="1" ht="51.95" customHeight="1">
      <c r="A5371" s="5">
        <v>0</v>
      </c>
      <c r="B5371" s="6" t="s">
        <v>31540</v>
      </c>
      <c r="C5371" s="13">
        <v>1030</v>
      </c>
      <c r="D5371" s="8" t="s">
        <v>31541</v>
      </c>
      <c r="E5371" s="8" t="s">
        <v>31542</v>
      </c>
      <c r="F5371" s="8" t="s">
        <v>31543</v>
      </c>
      <c r="G5371" s="6" t="s">
        <v>89</v>
      </c>
      <c r="H5371" s="6" t="s">
        <v>53</v>
      </c>
      <c r="I5371" s="8" t="s">
        <v>116</v>
      </c>
      <c r="J5371" s="9">
        <v>1</v>
      </c>
      <c r="K5371" s="9">
        <v>206</v>
      </c>
      <c r="L5371" s="9">
        <v>2025</v>
      </c>
      <c r="M5371" s="8" t="s">
        <v>31544</v>
      </c>
      <c r="N5371" s="8" t="s">
        <v>41</v>
      </c>
      <c r="O5371" s="8" t="s">
        <v>118</v>
      </c>
      <c r="P5371" s="6" t="s">
        <v>43</v>
      </c>
      <c r="Q5371" s="8" t="s">
        <v>44</v>
      </c>
      <c r="R5371" s="10" t="s">
        <v>31545</v>
      </c>
      <c r="S5371" s="11" t="s">
        <v>31546</v>
      </c>
      <c r="T5371" s="6" t="s">
        <v>299</v>
      </c>
      <c r="U5371" s="24" t="str">
        <f>HYPERLINK("https://media.infra-m.ru/2187/2187631/cover/2187631.jpg", "Обложка")</f>
        <v>Обложка</v>
      </c>
      <c r="V5371" s="24" t="str">
        <f>HYPERLINK("https://znanium.ru/catalog/product/2187631", "Ознакомиться")</f>
        <v>Ознакомиться</v>
      </c>
      <c r="W5371" s="8" t="s">
        <v>354</v>
      </c>
      <c r="X5371" s="6"/>
      <c r="Y5371" s="6"/>
      <c r="Z5371" s="6"/>
      <c r="AA5371" s="6" t="s">
        <v>219</v>
      </c>
      <c r="AB5371" s="8"/>
    </row>
    <row r="5372" spans="1:28" s="4" customFormat="1" ht="42" customHeight="1">
      <c r="A5372" s="5">
        <v>0</v>
      </c>
      <c r="B5372" s="6" t="s">
        <v>31547</v>
      </c>
      <c r="C5372" s="7">
        <v>794.9</v>
      </c>
      <c r="D5372" s="8" t="s">
        <v>31548</v>
      </c>
      <c r="E5372" s="8" t="s">
        <v>31549</v>
      </c>
      <c r="F5372" s="8" t="s">
        <v>31550</v>
      </c>
      <c r="G5372" s="6" t="s">
        <v>38</v>
      </c>
      <c r="H5372" s="6" t="s">
        <v>53</v>
      </c>
      <c r="I5372" s="8" t="s">
        <v>2511</v>
      </c>
      <c r="J5372" s="9">
        <v>1</v>
      </c>
      <c r="K5372" s="9">
        <v>234</v>
      </c>
      <c r="L5372" s="9">
        <v>2019</v>
      </c>
      <c r="M5372" s="8" t="s">
        <v>31551</v>
      </c>
      <c r="N5372" s="8" t="s">
        <v>41</v>
      </c>
      <c r="O5372" s="8" t="s">
        <v>118</v>
      </c>
      <c r="P5372" s="6" t="s">
        <v>1046</v>
      </c>
      <c r="Q5372" s="8" t="s">
        <v>279</v>
      </c>
      <c r="R5372" s="10" t="s">
        <v>21109</v>
      </c>
      <c r="S5372" s="11"/>
      <c r="T5372" s="6" t="s">
        <v>299</v>
      </c>
      <c r="U5372" s="24" t="str">
        <f>HYPERLINK("https://media.infra-m.ru/1013/1013440/cover/1013440.jpg", "Обложка")</f>
        <v>Обложка</v>
      </c>
      <c r="V5372" s="24" t="str">
        <f>HYPERLINK("https://znanium.ru/catalog/product/1013440", "Ознакомиться")</f>
        <v>Ознакомиться</v>
      </c>
      <c r="W5372" s="8" t="s">
        <v>31552</v>
      </c>
      <c r="X5372" s="6"/>
      <c r="Y5372" s="6"/>
      <c r="Z5372" s="6"/>
      <c r="AA5372" s="6" t="s">
        <v>479</v>
      </c>
      <c r="AB5372" s="8"/>
    </row>
    <row r="5373" spans="1:28" s="4" customFormat="1" ht="44.1" customHeight="1">
      <c r="A5373" s="5">
        <v>0</v>
      </c>
      <c r="B5373" s="6" t="s">
        <v>31553</v>
      </c>
      <c r="C5373" s="7">
        <v>920</v>
      </c>
      <c r="D5373" s="8" t="s">
        <v>31554</v>
      </c>
      <c r="E5373" s="8" t="s">
        <v>31555</v>
      </c>
      <c r="F5373" s="8" t="s">
        <v>31556</v>
      </c>
      <c r="G5373" s="6" t="s">
        <v>89</v>
      </c>
      <c r="H5373" s="6" t="s">
        <v>53</v>
      </c>
      <c r="I5373" s="8" t="s">
        <v>276</v>
      </c>
      <c r="J5373" s="9">
        <v>1</v>
      </c>
      <c r="K5373" s="9">
        <v>200</v>
      </c>
      <c r="L5373" s="9">
        <v>2023</v>
      </c>
      <c r="M5373" s="8" t="s">
        <v>31557</v>
      </c>
      <c r="N5373" s="8" t="s">
        <v>41</v>
      </c>
      <c r="O5373" s="8" t="s">
        <v>118</v>
      </c>
      <c r="P5373" s="6" t="s">
        <v>43</v>
      </c>
      <c r="Q5373" s="8" t="s">
        <v>279</v>
      </c>
      <c r="R5373" s="10" t="s">
        <v>31558</v>
      </c>
      <c r="S5373" s="11"/>
      <c r="T5373" s="6"/>
      <c r="U5373" s="24" t="str">
        <f>HYPERLINK("https://media.infra-m.ru/2126/2126639/cover/2126639.jpg", "Обложка")</f>
        <v>Обложка</v>
      </c>
      <c r="V5373" s="24" t="str">
        <f>HYPERLINK("https://znanium.ru/catalog/product/2126639", "Ознакомиться")</f>
        <v>Ознакомиться</v>
      </c>
      <c r="W5373" s="8" t="s">
        <v>1345</v>
      </c>
      <c r="X5373" s="6"/>
      <c r="Y5373" s="6"/>
      <c r="Z5373" s="6"/>
      <c r="AA5373" s="6" t="s">
        <v>1259</v>
      </c>
      <c r="AB5373" s="8"/>
    </row>
    <row r="5374" spans="1:28" s="4" customFormat="1" ht="51.95" customHeight="1">
      <c r="A5374" s="5">
        <v>0</v>
      </c>
      <c r="B5374" s="6" t="s">
        <v>31559</v>
      </c>
      <c r="C5374" s="13">
        <v>1414</v>
      </c>
      <c r="D5374" s="8" t="s">
        <v>31560</v>
      </c>
      <c r="E5374" s="8" t="s">
        <v>31561</v>
      </c>
      <c r="F5374" s="8" t="s">
        <v>31562</v>
      </c>
      <c r="G5374" s="6" t="s">
        <v>52</v>
      </c>
      <c r="H5374" s="6" t="s">
        <v>39</v>
      </c>
      <c r="I5374" s="8" t="s">
        <v>116</v>
      </c>
      <c r="J5374" s="9">
        <v>1</v>
      </c>
      <c r="K5374" s="9">
        <v>272</v>
      </c>
      <c r="L5374" s="9">
        <v>2025</v>
      </c>
      <c r="M5374" s="8" t="s">
        <v>31563</v>
      </c>
      <c r="N5374" s="8" t="s">
        <v>79</v>
      </c>
      <c r="O5374" s="8" t="s">
        <v>396</v>
      </c>
      <c r="P5374" s="6" t="s">
        <v>43</v>
      </c>
      <c r="Q5374" s="8" t="s">
        <v>44</v>
      </c>
      <c r="R5374" s="10" t="s">
        <v>507</v>
      </c>
      <c r="S5374" s="11" t="s">
        <v>31564</v>
      </c>
      <c r="T5374" s="6"/>
      <c r="U5374" s="24" t="str">
        <f>HYPERLINK("https://media.infra-m.ru/2192/2192217/cover/2192217.jpg", "Обложка")</f>
        <v>Обложка</v>
      </c>
      <c r="V5374" s="12"/>
      <c r="W5374" s="8" t="s">
        <v>487</v>
      </c>
      <c r="X5374" s="6"/>
      <c r="Y5374" s="6"/>
      <c r="Z5374" s="6"/>
      <c r="AA5374" s="6" t="s">
        <v>122</v>
      </c>
      <c r="AB5374" s="8"/>
    </row>
    <row r="5375" spans="1:28" s="4" customFormat="1" ht="42" customHeight="1">
      <c r="A5375" s="5">
        <v>0</v>
      </c>
      <c r="B5375" s="6" t="s">
        <v>31565</v>
      </c>
      <c r="C5375" s="13">
        <v>1664</v>
      </c>
      <c r="D5375" s="8" t="s">
        <v>31566</v>
      </c>
      <c r="E5375" s="8" t="s">
        <v>31567</v>
      </c>
      <c r="F5375" s="8" t="s">
        <v>31568</v>
      </c>
      <c r="G5375" s="6" t="s">
        <v>89</v>
      </c>
      <c r="H5375" s="6" t="s">
        <v>952</v>
      </c>
      <c r="I5375" s="8" t="s">
        <v>1171</v>
      </c>
      <c r="J5375" s="9">
        <v>1</v>
      </c>
      <c r="K5375" s="9">
        <v>368</v>
      </c>
      <c r="L5375" s="9">
        <v>2023</v>
      </c>
      <c r="M5375" s="8" t="s">
        <v>31569</v>
      </c>
      <c r="N5375" s="8" t="s">
        <v>41</v>
      </c>
      <c r="O5375" s="8" t="s">
        <v>1007</v>
      </c>
      <c r="P5375" s="6" t="s">
        <v>43</v>
      </c>
      <c r="Q5375" s="8" t="s">
        <v>44</v>
      </c>
      <c r="R5375" s="10" t="s">
        <v>31570</v>
      </c>
      <c r="S5375" s="11"/>
      <c r="T5375" s="6"/>
      <c r="U5375" s="24" t="str">
        <f>HYPERLINK("https://media.infra-m.ru/2001/2001693/cover/2001693.jpg", "Обложка")</f>
        <v>Обложка</v>
      </c>
      <c r="V5375" s="24" t="str">
        <f>HYPERLINK("https://znanium.ru/catalog/product/1037695", "Ознакомиться")</f>
        <v>Ознакомиться</v>
      </c>
      <c r="W5375" s="8" t="s">
        <v>3282</v>
      </c>
      <c r="X5375" s="6"/>
      <c r="Y5375" s="6"/>
      <c r="Z5375" s="6"/>
      <c r="AA5375" s="6" t="s">
        <v>418</v>
      </c>
      <c r="AB5375" s="8"/>
    </row>
    <row r="5376" spans="1:28" s="4" customFormat="1" ht="51.95" customHeight="1">
      <c r="A5376" s="5">
        <v>0</v>
      </c>
      <c r="B5376" s="6" t="s">
        <v>31571</v>
      </c>
      <c r="C5376" s="13">
        <v>1820</v>
      </c>
      <c r="D5376" s="8" t="s">
        <v>31572</v>
      </c>
      <c r="E5376" s="8" t="s">
        <v>31573</v>
      </c>
      <c r="F5376" s="8" t="s">
        <v>31574</v>
      </c>
      <c r="G5376" s="6" t="s">
        <v>89</v>
      </c>
      <c r="H5376" s="6" t="s">
        <v>53</v>
      </c>
      <c r="I5376" s="8" t="s">
        <v>90</v>
      </c>
      <c r="J5376" s="9">
        <v>1</v>
      </c>
      <c r="K5376" s="9">
        <v>394</v>
      </c>
      <c r="L5376" s="9">
        <v>2023</v>
      </c>
      <c r="M5376" s="8" t="s">
        <v>31575</v>
      </c>
      <c r="N5376" s="8" t="s">
        <v>41</v>
      </c>
      <c r="O5376" s="8" t="s">
        <v>1007</v>
      </c>
      <c r="P5376" s="6" t="s">
        <v>167</v>
      </c>
      <c r="Q5376" s="8" t="s">
        <v>44</v>
      </c>
      <c r="R5376" s="10" t="s">
        <v>157</v>
      </c>
      <c r="S5376" s="11" t="s">
        <v>31576</v>
      </c>
      <c r="T5376" s="6"/>
      <c r="U5376" s="24" t="str">
        <f>HYPERLINK("https://media.infra-m.ru/2126/2126635/cover/2126635.jpg", "Обложка")</f>
        <v>Обложка</v>
      </c>
      <c r="V5376" s="24" t="str">
        <f>HYPERLINK("https://znanium.ru/catalog/product/2126635", "Ознакомиться")</f>
        <v>Ознакомиться</v>
      </c>
      <c r="W5376" s="8" t="s">
        <v>1345</v>
      </c>
      <c r="X5376" s="6"/>
      <c r="Y5376" s="6"/>
      <c r="Z5376" s="6"/>
      <c r="AA5376" s="6" t="s">
        <v>654</v>
      </c>
      <c r="AB5376" s="8"/>
    </row>
    <row r="5377" spans="1:28" s="4" customFormat="1" ht="51.95" customHeight="1">
      <c r="A5377" s="5">
        <v>0</v>
      </c>
      <c r="B5377" s="6" t="s">
        <v>31577</v>
      </c>
      <c r="C5377" s="13">
        <v>1490</v>
      </c>
      <c r="D5377" s="8" t="s">
        <v>31578</v>
      </c>
      <c r="E5377" s="8" t="s">
        <v>31579</v>
      </c>
      <c r="F5377" s="8" t="s">
        <v>31580</v>
      </c>
      <c r="G5377" s="6" t="s">
        <v>89</v>
      </c>
      <c r="H5377" s="6" t="s">
        <v>53</v>
      </c>
      <c r="I5377" s="8" t="s">
        <v>276</v>
      </c>
      <c r="J5377" s="9">
        <v>1</v>
      </c>
      <c r="K5377" s="9">
        <v>331</v>
      </c>
      <c r="L5377" s="9">
        <v>2022</v>
      </c>
      <c r="M5377" s="8" t="s">
        <v>31581</v>
      </c>
      <c r="N5377" s="8" t="s">
        <v>41</v>
      </c>
      <c r="O5377" s="8" t="s">
        <v>676</v>
      </c>
      <c r="P5377" s="6" t="s">
        <v>43</v>
      </c>
      <c r="Q5377" s="8" t="s">
        <v>279</v>
      </c>
      <c r="R5377" s="10" t="s">
        <v>1356</v>
      </c>
      <c r="S5377" s="11" t="s">
        <v>31582</v>
      </c>
      <c r="T5377" s="6"/>
      <c r="U5377" s="24" t="str">
        <f>HYPERLINK("https://media.infra-m.ru/1862/1862859/cover/1862859.jpg", "Обложка")</f>
        <v>Обложка</v>
      </c>
      <c r="V5377" s="24" t="str">
        <f>HYPERLINK("https://znanium.ru/catalog/product/1865107", "Ознакомиться")</f>
        <v>Ознакомиться</v>
      </c>
      <c r="W5377" s="8" t="s">
        <v>8860</v>
      </c>
      <c r="X5377" s="6"/>
      <c r="Y5377" s="6"/>
      <c r="Z5377" s="6"/>
      <c r="AA5377" s="6" t="s">
        <v>258</v>
      </c>
      <c r="AB5377" s="8"/>
    </row>
    <row r="5378" spans="1:28" s="4" customFormat="1" ht="51.95" customHeight="1">
      <c r="A5378" s="5">
        <v>0</v>
      </c>
      <c r="B5378" s="6" t="s">
        <v>31583</v>
      </c>
      <c r="C5378" s="13">
        <v>1520</v>
      </c>
      <c r="D5378" s="8" t="s">
        <v>31584</v>
      </c>
      <c r="E5378" s="8" t="s">
        <v>31585</v>
      </c>
      <c r="F5378" s="8" t="s">
        <v>31580</v>
      </c>
      <c r="G5378" s="6" t="s">
        <v>52</v>
      </c>
      <c r="H5378" s="6" t="s">
        <v>53</v>
      </c>
      <c r="I5378" s="8" t="s">
        <v>116</v>
      </c>
      <c r="J5378" s="9">
        <v>1</v>
      </c>
      <c r="K5378" s="9">
        <v>291</v>
      </c>
      <c r="L5378" s="9">
        <v>2025</v>
      </c>
      <c r="M5378" s="8" t="s">
        <v>31586</v>
      </c>
      <c r="N5378" s="8" t="s">
        <v>41</v>
      </c>
      <c r="O5378" s="8" t="s">
        <v>1007</v>
      </c>
      <c r="P5378" s="6" t="s">
        <v>43</v>
      </c>
      <c r="Q5378" s="8" t="s">
        <v>279</v>
      </c>
      <c r="R5378" s="10" t="s">
        <v>1356</v>
      </c>
      <c r="S5378" s="11" t="s">
        <v>31582</v>
      </c>
      <c r="T5378" s="6"/>
      <c r="U5378" s="24" t="str">
        <f>HYPERLINK("https://media.infra-m.ru/1865/1865107/cover/1865107.jpg", "Обложка")</f>
        <v>Обложка</v>
      </c>
      <c r="V5378" s="24" t="str">
        <f>HYPERLINK("https://znanium.ru/catalog/product/1865107", "Ознакомиться")</f>
        <v>Ознакомиться</v>
      </c>
      <c r="W5378" s="8" t="s">
        <v>8860</v>
      </c>
      <c r="X5378" s="6" t="s">
        <v>389</v>
      </c>
      <c r="Y5378" s="6"/>
      <c r="Z5378" s="6"/>
      <c r="AA5378" s="6" t="s">
        <v>549</v>
      </c>
      <c r="AB5378" s="8"/>
    </row>
    <row r="5379" spans="1:28" s="4" customFormat="1" ht="51.95" customHeight="1">
      <c r="A5379" s="5">
        <v>0</v>
      </c>
      <c r="B5379" s="6" t="s">
        <v>31587</v>
      </c>
      <c r="C5379" s="13">
        <v>1614</v>
      </c>
      <c r="D5379" s="8" t="s">
        <v>31588</v>
      </c>
      <c r="E5379" s="8" t="s">
        <v>31589</v>
      </c>
      <c r="F5379" s="8" t="s">
        <v>31590</v>
      </c>
      <c r="G5379" s="6" t="s">
        <v>52</v>
      </c>
      <c r="H5379" s="6" t="s">
        <v>1738</v>
      </c>
      <c r="I5379" s="8" t="s">
        <v>1171</v>
      </c>
      <c r="J5379" s="9">
        <v>1</v>
      </c>
      <c r="K5379" s="9">
        <v>352</v>
      </c>
      <c r="L5379" s="9">
        <v>2024</v>
      </c>
      <c r="M5379" s="8" t="s">
        <v>31591</v>
      </c>
      <c r="N5379" s="8" t="s">
        <v>41</v>
      </c>
      <c r="O5379" s="8" t="s">
        <v>118</v>
      </c>
      <c r="P5379" s="6" t="s">
        <v>167</v>
      </c>
      <c r="Q5379" s="8" t="s">
        <v>44</v>
      </c>
      <c r="R5379" s="10" t="s">
        <v>31592</v>
      </c>
      <c r="S5379" s="11" t="s">
        <v>31593</v>
      </c>
      <c r="T5379" s="6"/>
      <c r="U5379" s="24" t="str">
        <f>HYPERLINK("https://media.infra-m.ru/2086/2086857/cover/2086857.jpg", "Обложка")</f>
        <v>Обложка</v>
      </c>
      <c r="V5379" s="24" t="str">
        <f>HYPERLINK("https://znanium.ru/catalog/product/1846717", "Ознакомиться")</f>
        <v>Ознакомиться</v>
      </c>
      <c r="W5379" s="8" t="s">
        <v>4830</v>
      </c>
      <c r="X5379" s="6"/>
      <c r="Y5379" s="6"/>
      <c r="Z5379" s="6"/>
      <c r="AA5379" s="6" t="s">
        <v>84</v>
      </c>
      <c r="AB5379" s="8"/>
    </row>
    <row r="5380" spans="1:28" s="4" customFormat="1" ht="51.95" customHeight="1">
      <c r="A5380" s="5">
        <v>0</v>
      </c>
      <c r="B5380" s="6" t="s">
        <v>31594</v>
      </c>
      <c r="C5380" s="13">
        <v>1060</v>
      </c>
      <c r="D5380" s="8" t="s">
        <v>31595</v>
      </c>
      <c r="E5380" s="8" t="s">
        <v>31596</v>
      </c>
      <c r="F5380" s="8" t="s">
        <v>4232</v>
      </c>
      <c r="G5380" s="6" t="s">
        <v>89</v>
      </c>
      <c r="H5380" s="6" t="s">
        <v>53</v>
      </c>
      <c r="I5380" s="8" t="s">
        <v>100</v>
      </c>
      <c r="J5380" s="9">
        <v>1</v>
      </c>
      <c r="K5380" s="9">
        <v>234</v>
      </c>
      <c r="L5380" s="9">
        <v>2023</v>
      </c>
      <c r="M5380" s="8" t="s">
        <v>31597</v>
      </c>
      <c r="N5380" s="8" t="s">
        <v>79</v>
      </c>
      <c r="O5380" s="8" t="s">
        <v>80</v>
      </c>
      <c r="P5380" s="6" t="s">
        <v>43</v>
      </c>
      <c r="Q5380" s="8" t="s">
        <v>102</v>
      </c>
      <c r="R5380" s="10" t="s">
        <v>31598</v>
      </c>
      <c r="S5380" s="11" t="s">
        <v>31599</v>
      </c>
      <c r="T5380" s="6"/>
      <c r="U5380" s="24" t="str">
        <f>HYPERLINK("https://media.infra-m.ru/2012/2012571/cover/2012571.jpg", "Обложка")</f>
        <v>Обложка</v>
      </c>
      <c r="V5380" s="24" t="str">
        <f>HYPERLINK("https://znanium.ru/catalog/product/2012571", "Ознакомиться")</f>
        <v>Ознакомиться</v>
      </c>
      <c r="W5380" s="8"/>
      <c r="X5380" s="6"/>
      <c r="Y5380" s="6"/>
      <c r="Z5380" s="6" t="s">
        <v>104</v>
      </c>
      <c r="AA5380" s="6" t="s">
        <v>219</v>
      </c>
      <c r="AB5380" s="8"/>
    </row>
    <row r="5381" spans="1:28" s="4" customFormat="1" ht="51.95" customHeight="1">
      <c r="A5381" s="5">
        <v>0</v>
      </c>
      <c r="B5381" s="6" t="s">
        <v>31600</v>
      </c>
      <c r="C5381" s="13">
        <v>1080</v>
      </c>
      <c r="D5381" s="8" t="s">
        <v>31601</v>
      </c>
      <c r="E5381" s="8" t="s">
        <v>31596</v>
      </c>
      <c r="F5381" s="8" t="s">
        <v>4232</v>
      </c>
      <c r="G5381" s="6" t="s">
        <v>89</v>
      </c>
      <c r="H5381" s="6" t="s">
        <v>53</v>
      </c>
      <c r="I5381" s="8" t="s">
        <v>90</v>
      </c>
      <c r="J5381" s="9">
        <v>1</v>
      </c>
      <c r="K5381" s="9">
        <v>234</v>
      </c>
      <c r="L5381" s="9">
        <v>2023</v>
      </c>
      <c r="M5381" s="8" t="s">
        <v>31602</v>
      </c>
      <c r="N5381" s="8" t="s">
        <v>79</v>
      </c>
      <c r="O5381" s="8" t="s">
        <v>80</v>
      </c>
      <c r="P5381" s="6" t="s">
        <v>43</v>
      </c>
      <c r="Q5381" s="8" t="s">
        <v>44</v>
      </c>
      <c r="R5381" s="10" t="s">
        <v>31603</v>
      </c>
      <c r="S5381" s="11" t="s">
        <v>31604</v>
      </c>
      <c r="T5381" s="6"/>
      <c r="U5381" s="24" t="str">
        <f>HYPERLINK("https://media.infra-m.ru/1930/1930715/cover/1930715.jpg", "Обложка")</f>
        <v>Обложка</v>
      </c>
      <c r="V5381" s="24" t="str">
        <f>HYPERLINK("https://znanium.ru/catalog/product/1930715", "Ознакомиться")</f>
        <v>Ознакомиться</v>
      </c>
      <c r="W5381" s="8"/>
      <c r="X5381" s="6"/>
      <c r="Y5381" s="6"/>
      <c r="Z5381" s="6"/>
      <c r="AA5381" s="6" t="s">
        <v>793</v>
      </c>
      <c r="AB5381" s="8"/>
    </row>
    <row r="5382" spans="1:28" s="4" customFormat="1" ht="51.95" customHeight="1">
      <c r="A5382" s="5">
        <v>0</v>
      </c>
      <c r="B5382" s="6" t="s">
        <v>31605</v>
      </c>
      <c r="C5382" s="7">
        <v>934</v>
      </c>
      <c r="D5382" s="8" t="s">
        <v>31606</v>
      </c>
      <c r="E5382" s="8" t="s">
        <v>31607</v>
      </c>
      <c r="F5382" s="8" t="s">
        <v>31608</v>
      </c>
      <c r="G5382" s="6" t="s">
        <v>89</v>
      </c>
      <c r="H5382" s="6" t="s">
        <v>53</v>
      </c>
      <c r="I5382" s="8" t="s">
        <v>1223</v>
      </c>
      <c r="J5382" s="9">
        <v>1</v>
      </c>
      <c r="K5382" s="9">
        <v>186</v>
      </c>
      <c r="L5382" s="9">
        <v>2024</v>
      </c>
      <c r="M5382" s="8" t="s">
        <v>31609</v>
      </c>
      <c r="N5382" s="8" t="s">
        <v>41</v>
      </c>
      <c r="O5382" s="8" t="s">
        <v>118</v>
      </c>
      <c r="P5382" s="6" t="s">
        <v>43</v>
      </c>
      <c r="Q5382" s="8" t="s">
        <v>44</v>
      </c>
      <c r="R5382" s="10" t="s">
        <v>157</v>
      </c>
      <c r="S5382" s="11" t="s">
        <v>31610</v>
      </c>
      <c r="T5382" s="6"/>
      <c r="U5382" s="24" t="str">
        <f>HYPERLINK("https://media.infra-m.ru/2157/2157045/cover/2157045.jpg", "Обложка")</f>
        <v>Обложка</v>
      </c>
      <c r="V5382" s="24" t="str">
        <f>HYPERLINK("https://znanium.ru/catalog/product/1206073", "Ознакомиться")</f>
        <v>Ознакомиться</v>
      </c>
      <c r="W5382" s="8" t="s">
        <v>83</v>
      </c>
      <c r="X5382" s="6"/>
      <c r="Y5382" s="6"/>
      <c r="Z5382" s="6"/>
      <c r="AA5382" s="6" t="s">
        <v>793</v>
      </c>
      <c r="AB5382" s="8"/>
    </row>
    <row r="5383" spans="1:28" s="4" customFormat="1" ht="51.95" customHeight="1">
      <c r="A5383" s="5">
        <v>0</v>
      </c>
      <c r="B5383" s="6" t="s">
        <v>31611</v>
      </c>
      <c r="C5383" s="7">
        <v>850</v>
      </c>
      <c r="D5383" s="8" t="s">
        <v>31612</v>
      </c>
      <c r="E5383" s="8" t="s">
        <v>31613</v>
      </c>
      <c r="F5383" s="8" t="s">
        <v>31614</v>
      </c>
      <c r="G5383" s="6" t="s">
        <v>89</v>
      </c>
      <c r="H5383" s="6" t="s">
        <v>77</v>
      </c>
      <c r="I5383" s="8" t="s">
        <v>116</v>
      </c>
      <c r="J5383" s="9">
        <v>1</v>
      </c>
      <c r="K5383" s="9">
        <v>184</v>
      </c>
      <c r="L5383" s="9">
        <v>2024</v>
      </c>
      <c r="M5383" s="8" t="s">
        <v>31615</v>
      </c>
      <c r="N5383" s="8" t="s">
        <v>41</v>
      </c>
      <c r="O5383" s="8" t="s">
        <v>1007</v>
      </c>
      <c r="P5383" s="6" t="s">
        <v>167</v>
      </c>
      <c r="Q5383" s="8" t="s">
        <v>44</v>
      </c>
      <c r="R5383" s="10" t="s">
        <v>12253</v>
      </c>
      <c r="S5383" s="11" t="s">
        <v>406</v>
      </c>
      <c r="T5383" s="6"/>
      <c r="U5383" s="24" t="str">
        <f>HYPERLINK("https://media.infra-m.ru/2109/2109028/cover/2109028.jpg", "Обложка")</f>
        <v>Обложка</v>
      </c>
      <c r="V5383" s="24" t="str">
        <f>HYPERLINK("https://znanium.ru/catalog/product/2109028", "Ознакомиться")</f>
        <v>Ознакомиться</v>
      </c>
      <c r="W5383" s="8" t="s">
        <v>83</v>
      </c>
      <c r="X5383" s="6"/>
      <c r="Y5383" s="6"/>
      <c r="Z5383" s="6"/>
      <c r="AA5383" s="6" t="s">
        <v>418</v>
      </c>
      <c r="AB5383" s="8"/>
    </row>
    <row r="5384" spans="1:28" s="4" customFormat="1" ht="51.95" customHeight="1">
      <c r="A5384" s="5">
        <v>0</v>
      </c>
      <c r="B5384" s="6" t="s">
        <v>31616</v>
      </c>
      <c r="C5384" s="13">
        <v>2010</v>
      </c>
      <c r="D5384" s="8" t="s">
        <v>31617</v>
      </c>
      <c r="E5384" s="8" t="s">
        <v>31618</v>
      </c>
      <c r="F5384" s="8" t="s">
        <v>31619</v>
      </c>
      <c r="G5384" s="6" t="s">
        <v>52</v>
      </c>
      <c r="H5384" s="6" t="s">
        <v>53</v>
      </c>
      <c r="I5384" s="8" t="s">
        <v>116</v>
      </c>
      <c r="J5384" s="9">
        <v>1</v>
      </c>
      <c r="K5384" s="9">
        <v>402</v>
      </c>
      <c r="L5384" s="9">
        <v>2025</v>
      </c>
      <c r="M5384" s="8" t="s">
        <v>31620</v>
      </c>
      <c r="N5384" s="8" t="s">
        <v>41</v>
      </c>
      <c r="O5384" s="8" t="s">
        <v>118</v>
      </c>
      <c r="P5384" s="6" t="s">
        <v>167</v>
      </c>
      <c r="Q5384" s="8" t="s">
        <v>44</v>
      </c>
      <c r="R5384" s="10" t="s">
        <v>13886</v>
      </c>
      <c r="S5384" s="11" t="s">
        <v>31621</v>
      </c>
      <c r="T5384" s="6"/>
      <c r="U5384" s="24" t="str">
        <f>HYPERLINK("https://media.infra-m.ru/2186/2186415/cover/2186415.jpg", "Обложка")</f>
        <v>Обложка</v>
      </c>
      <c r="V5384" s="24" t="str">
        <f>HYPERLINK("https://znanium.ru/catalog/product/2186415", "Ознакомиться")</f>
        <v>Ознакомиться</v>
      </c>
      <c r="W5384" s="8" t="s">
        <v>347</v>
      </c>
      <c r="X5384" s="6"/>
      <c r="Y5384" s="6"/>
      <c r="Z5384" s="6"/>
      <c r="AA5384" s="6" t="s">
        <v>207</v>
      </c>
      <c r="AB5384" s="8"/>
    </row>
    <row r="5385" spans="1:28" s="4" customFormat="1" ht="51.95" customHeight="1">
      <c r="A5385" s="5">
        <v>0</v>
      </c>
      <c r="B5385" s="6" t="s">
        <v>31622</v>
      </c>
      <c r="C5385" s="13">
        <v>2150</v>
      </c>
      <c r="D5385" s="8" t="s">
        <v>31623</v>
      </c>
      <c r="E5385" s="8" t="s">
        <v>31624</v>
      </c>
      <c r="F5385" s="8" t="s">
        <v>31625</v>
      </c>
      <c r="G5385" s="6" t="s">
        <v>52</v>
      </c>
      <c r="H5385" s="6" t="s">
        <v>53</v>
      </c>
      <c r="I5385" s="8" t="s">
        <v>116</v>
      </c>
      <c r="J5385" s="9">
        <v>1</v>
      </c>
      <c r="K5385" s="9">
        <v>430</v>
      </c>
      <c r="L5385" s="9">
        <v>2025</v>
      </c>
      <c r="M5385" s="8" t="s">
        <v>31626</v>
      </c>
      <c r="N5385" s="8" t="s">
        <v>41</v>
      </c>
      <c r="O5385" s="8" t="s">
        <v>118</v>
      </c>
      <c r="P5385" s="6" t="s">
        <v>167</v>
      </c>
      <c r="Q5385" s="8" t="s">
        <v>44</v>
      </c>
      <c r="R5385" s="10" t="s">
        <v>31627</v>
      </c>
      <c r="S5385" s="11" t="s">
        <v>23610</v>
      </c>
      <c r="T5385" s="6"/>
      <c r="U5385" s="24" t="str">
        <f>HYPERLINK("https://media.infra-m.ru/2175/2175269/cover/2175269.jpg", "Обложка")</f>
        <v>Обложка</v>
      </c>
      <c r="V5385" s="24" t="str">
        <f>HYPERLINK("https://znanium.ru/catalog/product/2175269", "Ознакомиться")</f>
        <v>Ознакомиться</v>
      </c>
      <c r="W5385" s="8" t="s">
        <v>347</v>
      </c>
      <c r="X5385" s="6"/>
      <c r="Y5385" s="6"/>
      <c r="Z5385" s="6"/>
      <c r="AA5385" s="6" t="s">
        <v>654</v>
      </c>
      <c r="AB5385" s="8"/>
    </row>
    <row r="5386" spans="1:28" s="4" customFormat="1" ht="51.95" customHeight="1">
      <c r="A5386" s="5">
        <v>0</v>
      </c>
      <c r="B5386" s="6" t="s">
        <v>31628</v>
      </c>
      <c r="C5386" s="13">
        <v>2060</v>
      </c>
      <c r="D5386" s="8" t="s">
        <v>31629</v>
      </c>
      <c r="E5386" s="8" t="s">
        <v>31630</v>
      </c>
      <c r="F5386" s="8" t="s">
        <v>13384</v>
      </c>
      <c r="G5386" s="6" t="s">
        <v>52</v>
      </c>
      <c r="H5386" s="6" t="s">
        <v>53</v>
      </c>
      <c r="I5386" s="8" t="s">
        <v>116</v>
      </c>
      <c r="J5386" s="9">
        <v>1</v>
      </c>
      <c r="K5386" s="9">
        <v>409</v>
      </c>
      <c r="L5386" s="9">
        <v>2025</v>
      </c>
      <c r="M5386" s="8" t="s">
        <v>31631</v>
      </c>
      <c r="N5386" s="8" t="s">
        <v>41</v>
      </c>
      <c r="O5386" s="8" t="s">
        <v>118</v>
      </c>
      <c r="P5386" s="6" t="s">
        <v>167</v>
      </c>
      <c r="Q5386" s="8" t="s">
        <v>58</v>
      </c>
      <c r="R5386" s="10" t="s">
        <v>31632</v>
      </c>
      <c r="S5386" s="11"/>
      <c r="T5386" s="6"/>
      <c r="U5386" s="24" t="str">
        <f>HYPERLINK("https://media.infra-m.ru/2080/2080065/cover/2080065.jpg", "Обложка")</f>
        <v>Обложка</v>
      </c>
      <c r="V5386" s="24" t="str">
        <f>HYPERLINK("https://znanium.ru/catalog/product/2080065", "Ознакомиться")</f>
        <v>Ознакомиться</v>
      </c>
      <c r="W5386" s="8" t="s">
        <v>13388</v>
      </c>
      <c r="X5386" s="6" t="s">
        <v>1049</v>
      </c>
      <c r="Y5386" s="6"/>
      <c r="Z5386" s="6"/>
      <c r="AA5386" s="6" t="s">
        <v>61</v>
      </c>
      <c r="AB5386" s="8"/>
    </row>
    <row r="5387" spans="1:28" s="4" customFormat="1" ht="51.95" customHeight="1">
      <c r="A5387" s="5">
        <v>0</v>
      </c>
      <c r="B5387" s="6" t="s">
        <v>31633</v>
      </c>
      <c r="C5387" s="13">
        <v>1594</v>
      </c>
      <c r="D5387" s="8" t="s">
        <v>31634</v>
      </c>
      <c r="E5387" s="8" t="s">
        <v>31635</v>
      </c>
      <c r="F5387" s="8" t="s">
        <v>31636</v>
      </c>
      <c r="G5387" s="6" t="s">
        <v>52</v>
      </c>
      <c r="H5387" s="6" t="s">
        <v>53</v>
      </c>
      <c r="I5387" s="8" t="s">
        <v>90</v>
      </c>
      <c r="J5387" s="9">
        <v>1</v>
      </c>
      <c r="K5387" s="9">
        <v>319</v>
      </c>
      <c r="L5387" s="9">
        <v>2025</v>
      </c>
      <c r="M5387" s="8" t="s">
        <v>31637</v>
      </c>
      <c r="N5387" s="8" t="s">
        <v>41</v>
      </c>
      <c r="O5387" s="8" t="s">
        <v>118</v>
      </c>
      <c r="P5387" s="6" t="s">
        <v>43</v>
      </c>
      <c r="Q5387" s="8" t="s">
        <v>44</v>
      </c>
      <c r="R5387" s="10" t="s">
        <v>157</v>
      </c>
      <c r="S5387" s="11" t="s">
        <v>31638</v>
      </c>
      <c r="T5387" s="6"/>
      <c r="U5387" s="24" t="str">
        <f>HYPERLINK("https://media.infra-m.ru/2172/2172237/cover/2172237.jpg", "Обложка")</f>
        <v>Обложка</v>
      </c>
      <c r="V5387" s="24" t="str">
        <f>HYPERLINK("https://znanium.ru/catalog/product/1930714", "Ознакомиться")</f>
        <v>Ознакомиться</v>
      </c>
      <c r="W5387" s="8" t="s">
        <v>1345</v>
      </c>
      <c r="X5387" s="6"/>
      <c r="Y5387" s="6"/>
      <c r="Z5387" s="6"/>
      <c r="AA5387" s="6" t="s">
        <v>663</v>
      </c>
      <c r="AB5387" s="8"/>
    </row>
    <row r="5388" spans="1:28" s="4" customFormat="1" ht="51.95" customHeight="1">
      <c r="A5388" s="5">
        <v>0</v>
      </c>
      <c r="B5388" s="6" t="s">
        <v>31639</v>
      </c>
      <c r="C5388" s="13">
        <v>1040</v>
      </c>
      <c r="D5388" s="8" t="s">
        <v>31640</v>
      </c>
      <c r="E5388" s="8" t="s">
        <v>31641</v>
      </c>
      <c r="F5388" s="8" t="s">
        <v>31642</v>
      </c>
      <c r="G5388" s="6" t="s">
        <v>89</v>
      </c>
      <c r="H5388" s="6" t="s">
        <v>53</v>
      </c>
      <c r="I5388" s="8" t="s">
        <v>4855</v>
      </c>
      <c r="J5388" s="9">
        <v>1</v>
      </c>
      <c r="K5388" s="9">
        <v>230</v>
      </c>
      <c r="L5388" s="9">
        <v>2023</v>
      </c>
      <c r="M5388" s="8" t="s">
        <v>31643</v>
      </c>
      <c r="N5388" s="8" t="s">
        <v>41</v>
      </c>
      <c r="O5388" s="8" t="s">
        <v>118</v>
      </c>
      <c r="P5388" s="6" t="s">
        <v>43</v>
      </c>
      <c r="Q5388" s="8" t="s">
        <v>44</v>
      </c>
      <c r="R5388" s="10" t="s">
        <v>31644</v>
      </c>
      <c r="S5388" s="11" t="s">
        <v>31645</v>
      </c>
      <c r="T5388" s="6"/>
      <c r="U5388" s="24" t="str">
        <f>HYPERLINK("https://media.infra-m.ru/1930/1930689/cover/1930689.jpg", "Обложка")</f>
        <v>Обложка</v>
      </c>
      <c r="V5388" s="12"/>
      <c r="W5388" s="8" t="s">
        <v>784</v>
      </c>
      <c r="X5388" s="6"/>
      <c r="Y5388" s="6"/>
      <c r="Z5388" s="6"/>
      <c r="AA5388" s="6" t="s">
        <v>151</v>
      </c>
      <c r="AB5388" s="8"/>
    </row>
    <row r="5389" spans="1:28" s="4" customFormat="1" ht="51.95" customHeight="1">
      <c r="A5389" s="5">
        <v>0</v>
      </c>
      <c r="B5389" s="6" t="s">
        <v>31646</v>
      </c>
      <c r="C5389" s="7">
        <v>884.9</v>
      </c>
      <c r="D5389" s="8" t="s">
        <v>31647</v>
      </c>
      <c r="E5389" s="8" t="s">
        <v>31648</v>
      </c>
      <c r="F5389" s="8" t="s">
        <v>31649</v>
      </c>
      <c r="G5389" s="6" t="s">
        <v>52</v>
      </c>
      <c r="H5389" s="6" t="s">
        <v>53</v>
      </c>
      <c r="I5389" s="8" t="s">
        <v>90</v>
      </c>
      <c r="J5389" s="9">
        <v>1</v>
      </c>
      <c r="K5389" s="9">
        <v>197</v>
      </c>
      <c r="L5389" s="9">
        <v>2023</v>
      </c>
      <c r="M5389" s="8" t="s">
        <v>31650</v>
      </c>
      <c r="N5389" s="8" t="s">
        <v>41</v>
      </c>
      <c r="O5389" s="8" t="s">
        <v>118</v>
      </c>
      <c r="P5389" s="6" t="s">
        <v>43</v>
      </c>
      <c r="Q5389" s="8" t="s">
        <v>44</v>
      </c>
      <c r="R5389" s="10" t="s">
        <v>1577</v>
      </c>
      <c r="S5389" s="11" t="s">
        <v>31651</v>
      </c>
      <c r="T5389" s="6"/>
      <c r="U5389" s="24" t="str">
        <f>HYPERLINK("https://media.infra-m.ru/1981/1981629/cover/1981629.jpg", "Обложка")</f>
        <v>Обложка</v>
      </c>
      <c r="V5389" s="24" t="str">
        <f>HYPERLINK("https://znanium.ru/catalog/product/1222435", "Ознакомиться")</f>
        <v>Ознакомиться</v>
      </c>
      <c r="W5389" s="8" t="s">
        <v>31652</v>
      </c>
      <c r="X5389" s="6"/>
      <c r="Y5389" s="6"/>
      <c r="Z5389" s="6"/>
      <c r="AA5389" s="6" t="s">
        <v>84</v>
      </c>
      <c r="AB5389" s="8"/>
    </row>
    <row r="5390" spans="1:28" s="4" customFormat="1" ht="51.95" customHeight="1">
      <c r="A5390" s="5">
        <v>0</v>
      </c>
      <c r="B5390" s="6" t="s">
        <v>31653</v>
      </c>
      <c r="C5390" s="13">
        <v>1020</v>
      </c>
      <c r="D5390" s="8" t="s">
        <v>31654</v>
      </c>
      <c r="E5390" s="8" t="s">
        <v>31655</v>
      </c>
      <c r="F5390" s="8" t="s">
        <v>31656</v>
      </c>
      <c r="G5390" s="6" t="s">
        <v>38</v>
      </c>
      <c r="H5390" s="6" t="s">
        <v>53</v>
      </c>
      <c r="I5390" s="8" t="s">
        <v>116</v>
      </c>
      <c r="J5390" s="9">
        <v>1</v>
      </c>
      <c r="K5390" s="9">
        <v>210</v>
      </c>
      <c r="L5390" s="9">
        <v>2024</v>
      </c>
      <c r="M5390" s="8" t="s">
        <v>31657</v>
      </c>
      <c r="N5390" s="8" t="s">
        <v>41</v>
      </c>
      <c r="O5390" s="8" t="s">
        <v>118</v>
      </c>
      <c r="P5390" s="6" t="s">
        <v>43</v>
      </c>
      <c r="Q5390" s="8" t="s">
        <v>44</v>
      </c>
      <c r="R5390" s="10" t="s">
        <v>1319</v>
      </c>
      <c r="S5390" s="11" t="s">
        <v>31658</v>
      </c>
      <c r="T5390" s="6"/>
      <c r="U5390" s="24" t="str">
        <f>HYPERLINK("https://media.infra-m.ru/2078/2078393/cover/2078393.jpg", "Обложка")</f>
        <v>Обложка</v>
      </c>
      <c r="V5390" s="24" t="str">
        <f>HYPERLINK("https://znanium.ru/catalog/product/2160985", "Ознакомиться")</f>
        <v>Ознакомиться</v>
      </c>
      <c r="W5390" s="8" t="s">
        <v>2080</v>
      </c>
      <c r="X5390" s="6"/>
      <c r="Y5390" s="6"/>
      <c r="Z5390" s="6"/>
      <c r="AA5390" s="6" t="s">
        <v>707</v>
      </c>
      <c r="AB5390" s="8"/>
    </row>
    <row r="5391" spans="1:28" s="4" customFormat="1" ht="51.95" customHeight="1">
      <c r="A5391" s="5">
        <v>0</v>
      </c>
      <c r="B5391" s="6" t="s">
        <v>31659</v>
      </c>
      <c r="C5391" s="7">
        <v>590</v>
      </c>
      <c r="D5391" s="8" t="s">
        <v>31660</v>
      </c>
      <c r="E5391" s="8" t="s">
        <v>31661</v>
      </c>
      <c r="F5391" s="8" t="s">
        <v>31656</v>
      </c>
      <c r="G5391" s="6" t="s">
        <v>38</v>
      </c>
      <c r="H5391" s="6" t="s">
        <v>53</v>
      </c>
      <c r="I5391" s="8" t="s">
        <v>90</v>
      </c>
      <c r="J5391" s="9">
        <v>1</v>
      </c>
      <c r="K5391" s="9">
        <v>210</v>
      </c>
      <c r="L5391" s="9">
        <v>2018</v>
      </c>
      <c r="M5391" s="8" t="s">
        <v>31662</v>
      </c>
      <c r="N5391" s="8" t="s">
        <v>41</v>
      </c>
      <c r="O5391" s="8" t="s">
        <v>118</v>
      </c>
      <c r="P5391" s="6" t="s">
        <v>43</v>
      </c>
      <c r="Q5391" s="8" t="s">
        <v>44</v>
      </c>
      <c r="R5391" s="10" t="s">
        <v>1319</v>
      </c>
      <c r="S5391" s="11" t="s">
        <v>31658</v>
      </c>
      <c r="T5391" s="6"/>
      <c r="U5391" s="24" t="str">
        <f>HYPERLINK("https://media.infra-m.ru/0930/0930918/cover/930918.jpg", "Обложка")</f>
        <v>Обложка</v>
      </c>
      <c r="V5391" s="24" t="str">
        <f>HYPERLINK("https://znanium.ru/catalog/product/2160985", "Ознакомиться")</f>
        <v>Ознакомиться</v>
      </c>
      <c r="W5391" s="8" t="s">
        <v>2080</v>
      </c>
      <c r="X5391" s="6"/>
      <c r="Y5391" s="6"/>
      <c r="Z5391" s="6"/>
      <c r="AA5391" s="6" t="s">
        <v>326</v>
      </c>
      <c r="AB5391" s="8"/>
    </row>
    <row r="5392" spans="1:28" s="4" customFormat="1" ht="42" customHeight="1">
      <c r="A5392" s="5">
        <v>0</v>
      </c>
      <c r="B5392" s="6" t="s">
        <v>31663</v>
      </c>
      <c r="C5392" s="13">
        <v>1040</v>
      </c>
      <c r="D5392" s="8" t="s">
        <v>31664</v>
      </c>
      <c r="E5392" s="8" t="s">
        <v>31665</v>
      </c>
      <c r="F5392" s="8" t="s">
        <v>31666</v>
      </c>
      <c r="G5392" s="6" t="s">
        <v>52</v>
      </c>
      <c r="H5392" s="6" t="s">
        <v>53</v>
      </c>
      <c r="I5392" s="8" t="s">
        <v>116</v>
      </c>
      <c r="J5392" s="9">
        <v>1</v>
      </c>
      <c r="K5392" s="9">
        <v>193</v>
      </c>
      <c r="L5392" s="9">
        <v>2025</v>
      </c>
      <c r="M5392" s="8" t="s">
        <v>31667</v>
      </c>
      <c r="N5392" s="8" t="s">
        <v>41</v>
      </c>
      <c r="O5392" s="8" t="s">
        <v>118</v>
      </c>
      <c r="P5392" s="6" t="s">
        <v>43</v>
      </c>
      <c r="Q5392" s="8" t="s">
        <v>44</v>
      </c>
      <c r="R5392" s="10" t="s">
        <v>1319</v>
      </c>
      <c r="S5392" s="11"/>
      <c r="T5392" s="6"/>
      <c r="U5392" s="24" t="str">
        <f>HYPERLINK("https://media.infra-m.ru/2160/2160985/cover/2160985.jpg", "Обложка")</f>
        <v>Обложка</v>
      </c>
      <c r="V5392" s="24" t="str">
        <f>HYPERLINK("https://znanium.ru/catalog/product/2160985", "Ознакомиться")</f>
        <v>Ознакомиться</v>
      </c>
      <c r="W5392" s="8" t="s">
        <v>2080</v>
      </c>
      <c r="X5392" s="6" t="s">
        <v>548</v>
      </c>
      <c r="Y5392" s="6"/>
      <c r="Z5392" s="6"/>
      <c r="AA5392" s="6" t="s">
        <v>15475</v>
      </c>
      <c r="AB5392" s="8"/>
    </row>
    <row r="5393" spans="1:28" s="4" customFormat="1" ht="51.95" customHeight="1">
      <c r="A5393" s="5">
        <v>0</v>
      </c>
      <c r="B5393" s="6" t="s">
        <v>31668</v>
      </c>
      <c r="C5393" s="13">
        <v>1394</v>
      </c>
      <c r="D5393" s="8" t="s">
        <v>31669</v>
      </c>
      <c r="E5393" s="8" t="s">
        <v>31670</v>
      </c>
      <c r="F5393" s="8" t="s">
        <v>31671</v>
      </c>
      <c r="G5393" s="6" t="s">
        <v>38</v>
      </c>
      <c r="H5393" s="6" t="s">
        <v>53</v>
      </c>
      <c r="I5393" s="8" t="s">
        <v>90</v>
      </c>
      <c r="J5393" s="9">
        <v>1</v>
      </c>
      <c r="K5393" s="9">
        <v>304</v>
      </c>
      <c r="L5393" s="9">
        <v>2024</v>
      </c>
      <c r="M5393" s="8" t="s">
        <v>31672</v>
      </c>
      <c r="N5393" s="8" t="s">
        <v>41</v>
      </c>
      <c r="O5393" s="8" t="s">
        <v>118</v>
      </c>
      <c r="P5393" s="6" t="s">
        <v>43</v>
      </c>
      <c r="Q5393" s="8" t="s">
        <v>44</v>
      </c>
      <c r="R5393" s="10" t="s">
        <v>7874</v>
      </c>
      <c r="S5393" s="11" t="s">
        <v>31673</v>
      </c>
      <c r="T5393" s="6"/>
      <c r="U5393" s="24" t="str">
        <f>HYPERLINK("https://media.infra-m.ru/2126/2126327/cover/2126327.jpg", "Обложка")</f>
        <v>Обложка</v>
      </c>
      <c r="V5393" s="24" t="str">
        <f>HYPERLINK("https://znanium.ru/catalog/product/2126327", "Ознакомиться")</f>
        <v>Ознакомиться</v>
      </c>
      <c r="W5393" s="8" t="s">
        <v>399</v>
      </c>
      <c r="X5393" s="6"/>
      <c r="Y5393" s="6"/>
      <c r="Z5393" s="6"/>
      <c r="AA5393" s="6" t="s">
        <v>494</v>
      </c>
      <c r="AB5393" s="8"/>
    </row>
    <row r="5394" spans="1:28" s="4" customFormat="1" ht="51.95" customHeight="1">
      <c r="A5394" s="5">
        <v>0</v>
      </c>
      <c r="B5394" s="6" t="s">
        <v>31674</v>
      </c>
      <c r="C5394" s="13">
        <v>1100</v>
      </c>
      <c r="D5394" s="8" t="s">
        <v>31675</v>
      </c>
      <c r="E5394" s="8" t="s">
        <v>31676</v>
      </c>
      <c r="F5394" s="8" t="s">
        <v>31677</v>
      </c>
      <c r="G5394" s="6" t="s">
        <v>52</v>
      </c>
      <c r="H5394" s="6" t="s">
        <v>53</v>
      </c>
      <c r="I5394" s="8" t="s">
        <v>90</v>
      </c>
      <c r="J5394" s="9">
        <v>1</v>
      </c>
      <c r="K5394" s="9">
        <v>379</v>
      </c>
      <c r="L5394" s="9">
        <v>2018</v>
      </c>
      <c r="M5394" s="8" t="s">
        <v>31678</v>
      </c>
      <c r="N5394" s="8" t="s">
        <v>41</v>
      </c>
      <c r="O5394" s="8" t="s">
        <v>118</v>
      </c>
      <c r="P5394" s="6" t="s">
        <v>167</v>
      </c>
      <c r="Q5394" s="8" t="s">
        <v>44</v>
      </c>
      <c r="R5394" s="10" t="s">
        <v>7881</v>
      </c>
      <c r="S5394" s="11" t="s">
        <v>31679</v>
      </c>
      <c r="T5394" s="6"/>
      <c r="U5394" s="24" t="str">
        <f>HYPERLINK("https://media.infra-m.ru/0937/0937628/cover/937628.jpg", "Обложка")</f>
        <v>Обложка</v>
      </c>
      <c r="V5394" s="24" t="str">
        <f>HYPERLINK("https://znanium.ru/catalog/product/2157178", "Ознакомиться")</f>
        <v>Ознакомиться</v>
      </c>
      <c r="W5394" s="8" t="s">
        <v>2080</v>
      </c>
      <c r="X5394" s="6"/>
      <c r="Y5394" s="6"/>
      <c r="Z5394" s="6"/>
      <c r="AA5394" s="6" t="s">
        <v>1365</v>
      </c>
      <c r="AB5394" s="8"/>
    </row>
    <row r="5395" spans="1:28" s="4" customFormat="1" ht="51.95" customHeight="1">
      <c r="A5395" s="5">
        <v>0</v>
      </c>
      <c r="B5395" s="6" t="s">
        <v>31680</v>
      </c>
      <c r="C5395" s="13">
        <v>2240</v>
      </c>
      <c r="D5395" s="8" t="s">
        <v>31681</v>
      </c>
      <c r="E5395" s="8" t="s">
        <v>31682</v>
      </c>
      <c r="F5395" s="8" t="s">
        <v>31683</v>
      </c>
      <c r="G5395" s="6" t="s">
        <v>52</v>
      </c>
      <c r="H5395" s="6" t="s">
        <v>53</v>
      </c>
      <c r="I5395" s="8" t="s">
        <v>165</v>
      </c>
      <c r="J5395" s="9">
        <v>1</v>
      </c>
      <c r="K5395" s="9">
        <v>446</v>
      </c>
      <c r="L5395" s="9">
        <v>2024</v>
      </c>
      <c r="M5395" s="8" t="s">
        <v>31684</v>
      </c>
      <c r="N5395" s="8" t="s">
        <v>41</v>
      </c>
      <c r="O5395" s="8" t="s">
        <v>118</v>
      </c>
      <c r="P5395" s="6" t="s">
        <v>167</v>
      </c>
      <c r="Q5395" s="8" t="s">
        <v>58</v>
      </c>
      <c r="R5395" s="10" t="s">
        <v>31685</v>
      </c>
      <c r="S5395" s="11"/>
      <c r="T5395" s="6"/>
      <c r="U5395" s="24" t="str">
        <f>HYPERLINK("https://media.infra-m.ru/2129/2129221/cover/2129221.jpg", "Обложка")</f>
        <v>Обложка</v>
      </c>
      <c r="V5395" s="24" t="str">
        <f>HYPERLINK("https://znanium.ru/catalog/product/2129221", "Ознакомиться")</f>
        <v>Ознакомиться</v>
      </c>
      <c r="W5395" s="8" t="s">
        <v>83</v>
      </c>
      <c r="X5395" s="6" t="s">
        <v>132</v>
      </c>
      <c r="Y5395" s="6"/>
      <c r="Z5395" s="6"/>
      <c r="AA5395" s="6" t="s">
        <v>133</v>
      </c>
      <c r="AB5395" s="8" t="s">
        <v>2232</v>
      </c>
    </row>
    <row r="5396" spans="1:28" s="4" customFormat="1" ht="51.95" customHeight="1">
      <c r="A5396" s="5">
        <v>0</v>
      </c>
      <c r="B5396" s="6" t="s">
        <v>31686</v>
      </c>
      <c r="C5396" s="13">
        <v>1784</v>
      </c>
      <c r="D5396" s="8" t="s">
        <v>31687</v>
      </c>
      <c r="E5396" s="8" t="s">
        <v>31688</v>
      </c>
      <c r="F5396" s="8" t="s">
        <v>31677</v>
      </c>
      <c r="G5396" s="6" t="s">
        <v>89</v>
      </c>
      <c r="H5396" s="6" t="s">
        <v>53</v>
      </c>
      <c r="I5396" s="8" t="s">
        <v>90</v>
      </c>
      <c r="J5396" s="9">
        <v>1</v>
      </c>
      <c r="K5396" s="9">
        <v>379</v>
      </c>
      <c r="L5396" s="9">
        <v>2024</v>
      </c>
      <c r="M5396" s="8" t="s">
        <v>31689</v>
      </c>
      <c r="N5396" s="8" t="s">
        <v>41</v>
      </c>
      <c r="O5396" s="8" t="s">
        <v>118</v>
      </c>
      <c r="P5396" s="6" t="s">
        <v>167</v>
      </c>
      <c r="Q5396" s="8" t="s">
        <v>44</v>
      </c>
      <c r="R5396" s="10" t="s">
        <v>7881</v>
      </c>
      <c r="S5396" s="11" t="s">
        <v>31679</v>
      </c>
      <c r="T5396" s="6"/>
      <c r="U5396" s="24" t="str">
        <f>HYPERLINK("https://media.infra-m.ru/2143/2143105/cover/2143105.jpg", "Обложка")</f>
        <v>Обложка</v>
      </c>
      <c r="V5396" s="24" t="str">
        <f>HYPERLINK("https://znanium.ru/catalog/product/2157178", "Ознакомиться")</f>
        <v>Ознакомиться</v>
      </c>
      <c r="W5396" s="8" t="s">
        <v>2080</v>
      </c>
      <c r="X5396" s="6"/>
      <c r="Y5396" s="6"/>
      <c r="Z5396" s="6"/>
      <c r="AA5396" s="6" t="s">
        <v>6283</v>
      </c>
      <c r="AB5396" s="8"/>
    </row>
    <row r="5397" spans="1:28" s="4" customFormat="1" ht="42" customHeight="1">
      <c r="A5397" s="5">
        <v>0</v>
      </c>
      <c r="B5397" s="6" t="s">
        <v>31690</v>
      </c>
      <c r="C5397" s="13">
        <v>1860</v>
      </c>
      <c r="D5397" s="8" t="s">
        <v>31691</v>
      </c>
      <c r="E5397" s="8" t="s">
        <v>31692</v>
      </c>
      <c r="F5397" s="8" t="s">
        <v>31693</v>
      </c>
      <c r="G5397" s="6" t="s">
        <v>52</v>
      </c>
      <c r="H5397" s="6" t="s">
        <v>53</v>
      </c>
      <c r="I5397" s="8" t="s">
        <v>116</v>
      </c>
      <c r="J5397" s="9">
        <v>1</v>
      </c>
      <c r="K5397" s="9">
        <v>371</v>
      </c>
      <c r="L5397" s="9">
        <v>2025</v>
      </c>
      <c r="M5397" s="8" t="s">
        <v>31694</v>
      </c>
      <c r="N5397" s="8" t="s">
        <v>41</v>
      </c>
      <c r="O5397" s="8" t="s">
        <v>118</v>
      </c>
      <c r="P5397" s="6" t="s">
        <v>167</v>
      </c>
      <c r="Q5397" s="8" t="s">
        <v>44</v>
      </c>
      <c r="R5397" s="10" t="s">
        <v>7881</v>
      </c>
      <c r="S5397" s="11"/>
      <c r="T5397" s="6"/>
      <c r="U5397" s="24" t="str">
        <f>HYPERLINK("https://media.infra-m.ru/2157/2157178/cover/2157178.jpg", "Обложка")</f>
        <v>Обложка</v>
      </c>
      <c r="V5397" s="24" t="str">
        <f>HYPERLINK("https://znanium.ru/catalog/product/2157178", "Ознакомиться")</f>
        <v>Ознакомиться</v>
      </c>
      <c r="W5397" s="8" t="s">
        <v>2080</v>
      </c>
      <c r="X5397" s="6" t="s">
        <v>132</v>
      </c>
      <c r="Y5397" s="6"/>
      <c r="Z5397" s="6"/>
      <c r="AA5397" s="6" t="s">
        <v>3736</v>
      </c>
      <c r="AB5397" s="8"/>
    </row>
    <row r="5398" spans="1:28" s="4" customFormat="1" ht="51.95" customHeight="1">
      <c r="A5398" s="5">
        <v>0</v>
      </c>
      <c r="B5398" s="6" t="s">
        <v>31695</v>
      </c>
      <c r="C5398" s="13">
        <v>1300</v>
      </c>
      <c r="D5398" s="8" t="s">
        <v>31696</v>
      </c>
      <c r="E5398" s="8" t="s">
        <v>31682</v>
      </c>
      <c r="F5398" s="8" t="s">
        <v>31697</v>
      </c>
      <c r="G5398" s="6" t="s">
        <v>52</v>
      </c>
      <c r="H5398" s="6" t="s">
        <v>53</v>
      </c>
      <c r="I5398" s="8" t="s">
        <v>116</v>
      </c>
      <c r="J5398" s="9">
        <v>1</v>
      </c>
      <c r="K5398" s="9">
        <v>259</v>
      </c>
      <c r="L5398" s="9">
        <v>2025</v>
      </c>
      <c r="M5398" s="8" t="s">
        <v>31698</v>
      </c>
      <c r="N5398" s="8" t="s">
        <v>41</v>
      </c>
      <c r="O5398" s="8" t="s">
        <v>118</v>
      </c>
      <c r="P5398" s="6" t="s">
        <v>43</v>
      </c>
      <c r="Q5398" s="8" t="s">
        <v>44</v>
      </c>
      <c r="R5398" s="10" t="s">
        <v>31699</v>
      </c>
      <c r="S5398" s="11"/>
      <c r="T5398" s="6"/>
      <c r="U5398" s="24" t="str">
        <f>HYPERLINK("https://media.infra-m.ru/1859/1859856/cover/1859856.jpg", "Обложка")</f>
        <v>Обложка</v>
      </c>
      <c r="V5398" s="24" t="str">
        <f>HYPERLINK("https://znanium.ru/catalog/product/1859856", "Ознакомиться")</f>
        <v>Ознакомиться</v>
      </c>
      <c r="W5398" s="8" t="s">
        <v>27772</v>
      </c>
      <c r="X5398" s="6" t="s">
        <v>389</v>
      </c>
      <c r="Y5398" s="6"/>
      <c r="Z5398" s="6"/>
      <c r="AA5398" s="6" t="s">
        <v>61</v>
      </c>
      <c r="AB5398" s="8"/>
    </row>
    <row r="5399" spans="1:28" s="4" customFormat="1" ht="51.95" customHeight="1">
      <c r="A5399" s="5">
        <v>0</v>
      </c>
      <c r="B5399" s="6" t="s">
        <v>31700</v>
      </c>
      <c r="C5399" s="7">
        <v>754.9</v>
      </c>
      <c r="D5399" s="8" t="s">
        <v>31701</v>
      </c>
      <c r="E5399" s="8" t="s">
        <v>31702</v>
      </c>
      <c r="F5399" s="8" t="s">
        <v>10429</v>
      </c>
      <c r="G5399" s="6" t="s">
        <v>52</v>
      </c>
      <c r="H5399" s="6" t="s">
        <v>53</v>
      </c>
      <c r="I5399" s="8" t="s">
        <v>90</v>
      </c>
      <c r="J5399" s="9">
        <v>1</v>
      </c>
      <c r="K5399" s="9">
        <v>223</v>
      </c>
      <c r="L5399" s="9">
        <v>2020</v>
      </c>
      <c r="M5399" s="8" t="s">
        <v>31703</v>
      </c>
      <c r="N5399" s="8" t="s">
        <v>41</v>
      </c>
      <c r="O5399" s="8" t="s">
        <v>1007</v>
      </c>
      <c r="P5399" s="6" t="s">
        <v>167</v>
      </c>
      <c r="Q5399" s="8" t="s">
        <v>44</v>
      </c>
      <c r="R5399" s="10" t="s">
        <v>31704</v>
      </c>
      <c r="S5399" s="11" t="s">
        <v>31705</v>
      </c>
      <c r="T5399" s="6"/>
      <c r="U5399" s="24" t="str">
        <f>HYPERLINK("https://media.infra-m.ru/1046/1046237/cover/1046237.jpg", "Обложка")</f>
        <v>Обложка</v>
      </c>
      <c r="V5399" s="24" t="str">
        <f>HYPERLINK("https://znanium.ru/catalog/product/915925", "Ознакомиться")</f>
        <v>Ознакомиться</v>
      </c>
      <c r="W5399" s="8"/>
      <c r="X5399" s="6"/>
      <c r="Y5399" s="6"/>
      <c r="Z5399" s="6"/>
      <c r="AA5399" s="6" t="s">
        <v>418</v>
      </c>
      <c r="AB5399" s="8"/>
    </row>
    <row r="5400" spans="1:28" s="4" customFormat="1" ht="51.95" customHeight="1">
      <c r="A5400" s="5">
        <v>0</v>
      </c>
      <c r="B5400" s="6" t="s">
        <v>31706</v>
      </c>
      <c r="C5400" s="13">
        <v>1004.9</v>
      </c>
      <c r="D5400" s="8" t="s">
        <v>31707</v>
      </c>
      <c r="E5400" s="8" t="s">
        <v>31708</v>
      </c>
      <c r="F5400" s="8" t="s">
        <v>10429</v>
      </c>
      <c r="G5400" s="6" t="s">
        <v>52</v>
      </c>
      <c r="H5400" s="6" t="s">
        <v>53</v>
      </c>
      <c r="I5400" s="8" t="s">
        <v>90</v>
      </c>
      <c r="J5400" s="9">
        <v>1</v>
      </c>
      <c r="K5400" s="9">
        <v>223</v>
      </c>
      <c r="L5400" s="9">
        <v>2023</v>
      </c>
      <c r="M5400" s="8" t="s">
        <v>31703</v>
      </c>
      <c r="N5400" s="8" t="s">
        <v>41</v>
      </c>
      <c r="O5400" s="8" t="s">
        <v>1007</v>
      </c>
      <c r="P5400" s="6" t="s">
        <v>167</v>
      </c>
      <c r="Q5400" s="8" t="s">
        <v>44</v>
      </c>
      <c r="R5400" s="10" t="s">
        <v>31704</v>
      </c>
      <c r="S5400" s="11" t="s">
        <v>31705</v>
      </c>
      <c r="T5400" s="6"/>
      <c r="U5400" s="24" t="str">
        <f>HYPERLINK("https://media.infra-m.ru/1910/1910650/cover/1910650.jpg", "Обложка")</f>
        <v>Обложка</v>
      </c>
      <c r="V5400" s="24" t="str">
        <f>HYPERLINK("https://znanium.ru/catalog/product/915925", "Ознакомиться")</f>
        <v>Ознакомиться</v>
      </c>
      <c r="W5400" s="8"/>
      <c r="X5400" s="6"/>
      <c r="Y5400" s="6"/>
      <c r="Z5400" s="6"/>
      <c r="AA5400" s="6" t="s">
        <v>813</v>
      </c>
      <c r="AB5400" s="8"/>
    </row>
    <row r="5401" spans="1:28" s="4" customFormat="1" ht="51.95" customHeight="1">
      <c r="A5401" s="5">
        <v>0</v>
      </c>
      <c r="B5401" s="6" t="s">
        <v>31709</v>
      </c>
      <c r="C5401" s="7">
        <v>860</v>
      </c>
      <c r="D5401" s="8" t="s">
        <v>31710</v>
      </c>
      <c r="E5401" s="8" t="s">
        <v>31711</v>
      </c>
      <c r="F5401" s="8" t="s">
        <v>31712</v>
      </c>
      <c r="G5401" s="6" t="s">
        <v>89</v>
      </c>
      <c r="H5401" s="6" t="s">
        <v>53</v>
      </c>
      <c r="I5401" s="8" t="s">
        <v>4855</v>
      </c>
      <c r="J5401" s="9">
        <v>1</v>
      </c>
      <c r="K5401" s="9">
        <v>166</v>
      </c>
      <c r="L5401" s="9">
        <v>2023</v>
      </c>
      <c r="M5401" s="8" t="s">
        <v>31713</v>
      </c>
      <c r="N5401" s="8" t="s">
        <v>41</v>
      </c>
      <c r="O5401" s="8" t="s">
        <v>118</v>
      </c>
      <c r="P5401" s="6" t="s">
        <v>43</v>
      </c>
      <c r="Q5401" s="8" t="s">
        <v>44</v>
      </c>
      <c r="R5401" s="10" t="s">
        <v>20743</v>
      </c>
      <c r="S5401" s="11" t="s">
        <v>31714</v>
      </c>
      <c r="T5401" s="6"/>
      <c r="U5401" s="24" t="str">
        <f>HYPERLINK("https://media.infra-m.ru/1939/1939951/cover/1939951.jpg", "Обложка")</f>
        <v>Обложка</v>
      </c>
      <c r="V5401" s="12"/>
      <c r="W5401" s="8"/>
      <c r="X5401" s="6"/>
      <c r="Y5401" s="6"/>
      <c r="Z5401" s="6"/>
      <c r="AA5401" s="6" t="s">
        <v>207</v>
      </c>
      <c r="AB5401" s="8"/>
    </row>
    <row r="5402" spans="1:28" s="4" customFormat="1" ht="51.95" customHeight="1">
      <c r="A5402" s="5">
        <v>0</v>
      </c>
      <c r="B5402" s="6" t="s">
        <v>31715</v>
      </c>
      <c r="C5402" s="13">
        <v>1584</v>
      </c>
      <c r="D5402" s="8" t="s">
        <v>31716</v>
      </c>
      <c r="E5402" s="8" t="s">
        <v>31717</v>
      </c>
      <c r="F5402" s="8" t="s">
        <v>31718</v>
      </c>
      <c r="G5402" s="6" t="s">
        <v>52</v>
      </c>
      <c r="H5402" s="6" t="s">
        <v>53</v>
      </c>
      <c r="I5402" s="8" t="s">
        <v>90</v>
      </c>
      <c r="J5402" s="9">
        <v>1</v>
      </c>
      <c r="K5402" s="9">
        <v>336</v>
      </c>
      <c r="L5402" s="9">
        <v>2024</v>
      </c>
      <c r="M5402" s="8" t="s">
        <v>31719</v>
      </c>
      <c r="N5402" s="8" t="s">
        <v>41</v>
      </c>
      <c r="O5402" s="8" t="s">
        <v>118</v>
      </c>
      <c r="P5402" s="6" t="s">
        <v>43</v>
      </c>
      <c r="Q5402" s="8" t="s">
        <v>44</v>
      </c>
      <c r="R5402" s="10" t="s">
        <v>15750</v>
      </c>
      <c r="S5402" s="11" t="s">
        <v>11226</v>
      </c>
      <c r="T5402" s="6"/>
      <c r="U5402" s="24" t="str">
        <f>HYPERLINK("https://media.infra-m.ru/2126/2126325/cover/2126325.jpg", "Обложка")</f>
        <v>Обложка</v>
      </c>
      <c r="V5402" s="24" t="str">
        <f>HYPERLINK("https://znanium.ru/catalog/product/2126325", "Ознакомиться")</f>
        <v>Ознакомиться</v>
      </c>
      <c r="W5402" s="8" t="s">
        <v>12308</v>
      </c>
      <c r="X5402" s="6"/>
      <c r="Y5402" s="6"/>
      <c r="Z5402" s="6"/>
      <c r="AA5402" s="6" t="s">
        <v>2217</v>
      </c>
      <c r="AB5402" s="8"/>
    </row>
    <row r="5403" spans="1:28" s="4" customFormat="1" ht="51.95" customHeight="1">
      <c r="A5403" s="5">
        <v>0</v>
      </c>
      <c r="B5403" s="6" t="s">
        <v>31720</v>
      </c>
      <c r="C5403" s="13">
        <v>1484</v>
      </c>
      <c r="D5403" s="8" t="s">
        <v>31721</v>
      </c>
      <c r="E5403" s="8" t="s">
        <v>31722</v>
      </c>
      <c r="F5403" s="8" t="s">
        <v>31723</v>
      </c>
      <c r="G5403" s="6" t="s">
        <v>52</v>
      </c>
      <c r="H5403" s="6" t="s">
        <v>53</v>
      </c>
      <c r="I5403" s="8" t="s">
        <v>116</v>
      </c>
      <c r="J5403" s="9">
        <v>1</v>
      </c>
      <c r="K5403" s="9">
        <v>296</v>
      </c>
      <c r="L5403" s="9">
        <v>2025</v>
      </c>
      <c r="M5403" s="8" t="s">
        <v>31724</v>
      </c>
      <c r="N5403" s="8" t="s">
        <v>41</v>
      </c>
      <c r="O5403" s="8" t="s">
        <v>118</v>
      </c>
      <c r="P5403" s="6" t="s">
        <v>167</v>
      </c>
      <c r="Q5403" s="8" t="s">
        <v>279</v>
      </c>
      <c r="R5403" s="10" t="s">
        <v>31725</v>
      </c>
      <c r="S5403" s="11"/>
      <c r="T5403" s="6"/>
      <c r="U5403" s="24" t="str">
        <f>HYPERLINK("https://media.infra-m.ru/2191/2191630/cover/2191630.jpg", "Обложка")</f>
        <v>Обложка</v>
      </c>
      <c r="V5403" s="24" t="str">
        <f>HYPERLINK("https://znanium.ru/catalog/product/2131442", "Ознакомиться")</f>
        <v>Ознакомиться</v>
      </c>
      <c r="W5403" s="8" t="s">
        <v>947</v>
      </c>
      <c r="X5403" s="6"/>
      <c r="Y5403" s="6"/>
      <c r="Z5403" s="6"/>
      <c r="AA5403" s="6" t="s">
        <v>813</v>
      </c>
      <c r="AB5403" s="8" t="s">
        <v>840</v>
      </c>
    </row>
    <row r="5404" spans="1:28" s="4" customFormat="1" ht="51.95" customHeight="1">
      <c r="A5404" s="5">
        <v>0</v>
      </c>
      <c r="B5404" s="6" t="s">
        <v>31726</v>
      </c>
      <c r="C5404" s="7">
        <v>924.9</v>
      </c>
      <c r="D5404" s="8" t="s">
        <v>31727</v>
      </c>
      <c r="E5404" s="8" t="s">
        <v>31728</v>
      </c>
      <c r="F5404" s="8" t="s">
        <v>20662</v>
      </c>
      <c r="G5404" s="6" t="s">
        <v>89</v>
      </c>
      <c r="H5404" s="6" t="s">
        <v>53</v>
      </c>
      <c r="I5404" s="8" t="s">
        <v>276</v>
      </c>
      <c r="J5404" s="9">
        <v>1</v>
      </c>
      <c r="K5404" s="9">
        <v>206</v>
      </c>
      <c r="L5404" s="9">
        <v>2023</v>
      </c>
      <c r="M5404" s="8" t="s">
        <v>31729</v>
      </c>
      <c r="N5404" s="8" t="s">
        <v>41</v>
      </c>
      <c r="O5404" s="8" t="s">
        <v>118</v>
      </c>
      <c r="P5404" s="6" t="s">
        <v>167</v>
      </c>
      <c r="Q5404" s="8" t="s">
        <v>279</v>
      </c>
      <c r="R5404" s="10" t="s">
        <v>31725</v>
      </c>
      <c r="S5404" s="11"/>
      <c r="T5404" s="6"/>
      <c r="U5404" s="24" t="str">
        <f>HYPERLINK("https://media.infra-m.ru/1971/1971823/cover/1971823.jpg", "Обложка")</f>
        <v>Обложка</v>
      </c>
      <c r="V5404" s="24" t="str">
        <f>HYPERLINK("https://znanium.ru/catalog/product/2131442", "Ознакомиться")</f>
        <v>Ознакомиться</v>
      </c>
      <c r="W5404" s="8" t="s">
        <v>947</v>
      </c>
      <c r="X5404" s="6"/>
      <c r="Y5404" s="6"/>
      <c r="Z5404" s="6"/>
      <c r="AA5404" s="6" t="s">
        <v>258</v>
      </c>
      <c r="AB5404" s="8" t="s">
        <v>840</v>
      </c>
    </row>
    <row r="5405" spans="1:28" s="4" customFormat="1" ht="42" customHeight="1">
      <c r="A5405" s="5">
        <v>0</v>
      </c>
      <c r="B5405" s="6" t="s">
        <v>31730</v>
      </c>
      <c r="C5405" s="13">
        <v>1590</v>
      </c>
      <c r="D5405" s="8" t="s">
        <v>31731</v>
      </c>
      <c r="E5405" s="8" t="s">
        <v>31732</v>
      </c>
      <c r="F5405" s="8" t="s">
        <v>31733</v>
      </c>
      <c r="G5405" s="6" t="s">
        <v>52</v>
      </c>
      <c r="H5405" s="6" t="s">
        <v>53</v>
      </c>
      <c r="I5405" s="8" t="s">
        <v>116</v>
      </c>
      <c r="J5405" s="9">
        <v>1</v>
      </c>
      <c r="K5405" s="9">
        <v>331</v>
      </c>
      <c r="L5405" s="9">
        <v>2024</v>
      </c>
      <c r="M5405" s="8" t="s">
        <v>31734</v>
      </c>
      <c r="N5405" s="8" t="s">
        <v>41</v>
      </c>
      <c r="O5405" s="8" t="s">
        <v>118</v>
      </c>
      <c r="P5405" s="6" t="s">
        <v>167</v>
      </c>
      <c r="Q5405" s="8" t="s">
        <v>44</v>
      </c>
      <c r="R5405" s="10" t="s">
        <v>31735</v>
      </c>
      <c r="S5405" s="11"/>
      <c r="T5405" s="6"/>
      <c r="U5405" s="24" t="str">
        <f>HYPERLINK("https://media.infra-m.ru/1862/1862682/cover/1862682.jpg", "Обложка")</f>
        <v>Обложка</v>
      </c>
      <c r="V5405" s="24" t="str">
        <f>HYPERLINK("https://znanium.ru/catalog/product/1862682", "Ознакомиться")</f>
        <v>Ознакомиться</v>
      </c>
      <c r="W5405" s="8" t="s">
        <v>947</v>
      </c>
      <c r="X5405" s="6"/>
      <c r="Y5405" s="6"/>
      <c r="Z5405" s="6"/>
      <c r="AA5405" s="6" t="s">
        <v>235</v>
      </c>
      <c r="AB5405" s="8"/>
    </row>
    <row r="5406" spans="1:28" s="4" customFormat="1" ht="51.95" customHeight="1">
      <c r="A5406" s="5">
        <v>0</v>
      </c>
      <c r="B5406" s="6" t="s">
        <v>31736</v>
      </c>
      <c r="C5406" s="13">
        <v>1660</v>
      </c>
      <c r="D5406" s="8" t="s">
        <v>31737</v>
      </c>
      <c r="E5406" s="8" t="s">
        <v>31738</v>
      </c>
      <c r="F5406" s="8" t="s">
        <v>31739</v>
      </c>
      <c r="G5406" s="6" t="s">
        <v>89</v>
      </c>
      <c r="H5406" s="6" t="s">
        <v>952</v>
      </c>
      <c r="I5406" s="8" t="s">
        <v>2699</v>
      </c>
      <c r="J5406" s="9">
        <v>1</v>
      </c>
      <c r="K5406" s="9">
        <v>368</v>
      </c>
      <c r="L5406" s="9">
        <v>2023</v>
      </c>
      <c r="M5406" s="8" t="s">
        <v>31740</v>
      </c>
      <c r="N5406" s="8" t="s">
        <v>41</v>
      </c>
      <c r="O5406" s="8" t="s">
        <v>118</v>
      </c>
      <c r="P5406" s="6" t="s">
        <v>43</v>
      </c>
      <c r="Q5406" s="8" t="s">
        <v>279</v>
      </c>
      <c r="R5406" s="10" t="s">
        <v>27047</v>
      </c>
      <c r="S5406" s="11"/>
      <c r="T5406" s="6"/>
      <c r="U5406" s="24" t="str">
        <f>HYPERLINK("https://media.infra-m.ru/2039/2039130/cover/2039130.jpg", "Обложка")</f>
        <v>Обложка</v>
      </c>
      <c r="V5406" s="24" t="str">
        <f>HYPERLINK("https://znanium.ru/catalog/product/1852251", "Ознакомиться")</f>
        <v>Ознакомиться</v>
      </c>
      <c r="W5406" s="8"/>
      <c r="X5406" s="6"/>
      <c r="Y5406" s="6"/>
      <c r="Z5406" s="6"/>
      <c r="AA5406" s="6" t="s">
        <v>84</v>
      </c>
      <c r="AB5406" s="8"/>
    </row>
    <row r="5407" spans="1:28" s="4" customFormat="1" ht="51.95" customHeight="1">
      <c r="A5407" s="5">
        <v>0</v>
      </c>
      <c r="B5407" s="6" t="s">
        <v>31741</v>
      </c>
      <c r="C5407" s="7">
        <v>954</v>
      </c>
      <c r="D5407" s="8" t="s">
        <v>31742</v>
      </c>
      <c r="E5407" s="8" t="s">
        <v>31743</v>
      </c>
      <c r="F5407" s="8" t="s">
        <v>31744</v>
      </c>
      <c r="G5407" s="6" t="s">
        <v>52</v>
      </c>
      <c r="H5407" s="6" t="s">
        <v>53</v>
      </c>
      <c r="I5407" s="8" t="s">
        <v>90</v>
      </c>
      <c r="J5407" s="9">
        <v>1</v>
      </c>
      <c r="K5407" s="9">
        <v>208</v>
      </c>
      <c r="L5407" s="9">
        <v>2024</v>
      </c>
      <c r="M5407" s="8" t="s">
        <v>31745</v>
      </c>
      <c r="N5407" s="8" t="s">
        <v>41</v>
      </c>
      <c r="O5407" s="8" t="s">
        <v>118</v>
      </c>
      <c r="P5407" s="6" t="s">
        <v>167</v>
      </c>
      <c r="Q5407" s="8" t="s">
        <v>44</v>
      </c>
      <c r="R5407" s="10" t="s">
        <v>31746</v>
      </c>
      <c r="S5407" s="11" t="s">
        <v>31747</v>
      </c>
      <c r="T5407" s="6" t="s">
        <v>299</v>
      </c>
      <c r="U5407" s="24" t="str">
        <f>HYPERLINK("https://media.infra-m.ru/1841/1841439/cover/1841439.jpg", "Обложка")</f>
        <v>Обложка</v>
      </c>
      <c r="V5407" s="24" t="str">
        <f>HYPERLINK("https://znanium.ru/catalog/product/939204", "Ознакомиться")</f>
        <v>Ознакомиться</v>
      </c>
      <c r="W5407" s="8" t="s">
        <v>189</v>
      </c>
      <c r="X5407" s="6"/>
      <c r="Y5407" s="6"/>
      <c r="Z5407" s="6"/>
      <c r="AA5407" s="6" t="s">
        <v>72</v>
      </c>
      <c r="AB5407" s="8"/>
    </row>
    <row r="5408" spans="1:28" s="4" customFormat="1" ht="51.95" customHeight="1">
      <c r="A5408" s="5">
        <v>0</v>
      </c>
      <c r="B5408" s="6" t="s">
        <v>31748</v>
      </c>
      <c r="C5408" s="7">
        <v>824</v>
      </c>
      <c r="D5408" s="8" t="s">
        <v>31749</v>
      </c>
      <c r="E5408" s="8" t="s">
        <v>31750</v>
      </c>
      <c r="F5408" s="8" t="s">
        <v>31751</v>
      </c>
      <c r="G5408" s="6" t="s">
        <v>38</v>
      </c>
      <c r="H5408" s="6" t="s">
        <v>184</v>
      </c>
      <c r="I5408" s="8" t="s">
        <v>276</v>
      </c>
      <c r="J5408" s="9">
        <v>1</v>
      </c>
      <c r="K5408" s="9">
        <v>164</v>
      </c>
      <c r="L5408" s="9">
        <v>2022</v>
      </c>
      <c r="M5408" s="8" t="s">
        <v>31752</v>
      </c>
      <c r="N5408" s="8" t="s">
        <v>41</v>
      </c>
      <c r="O5408" s="8" t="s">
        <v>118</v>
      </c>
      <c r="P5408" s="6" t="s">
        <v>43</v>
      </c>
      <c r="Q5408" s="8" t="s">
        <v>279</v>
      </c>
      <c r="R5408" s="10" t="s">
        <v>31753</v>
      </c>
      <c r="S5408" s="11" t="s">
        <v>31754</v>
      </c>
      <c r="T5408" s="6"/>
      <c r="U5408" s="24" t="str">
        <f>HYPERLINK("https://media.infra-m.ru/1255/1255784/cover/1255784.jpg", "Обложка")</f>
        <v>Обложка</v>
      </c>
      <c r="V5408" s="24" t="str">
        <f>HYPERLINK("https://znanium.ru/catalog/product/1255784", "Ознакомиться")</f>
        <v>Ознакомиться</v>
      </c>
      <c r="W5408" s="8" t="s">
        <v>1076</v>
      </c>
      <c r="X5408" s="6"/>
      <c r="Y5408" s="6"/>
      <c r="Z5408" s="6"/>
      <c r="AA5408" s="6" t="s">
        <v>418</v>
      </c>
      <c r="AB5408" s="8"/>
    </row>
    <row r="5409" spans="1:28" s="4" customFormat="1" ht="51.95" customHeight="1">
      <c r="A5409" s="5">
        <v>0</v>
      </c>
      <c r="B5409" s="6" t="s">
        <v>31755</v>
      </c>
      <c r="C5409" s="13">
        <v>1144</v>
      </c>
      <c r="D5409" s="8" t="s">
        <v>31756</v>
      </c>
      <c r="E5409" s="8" t="s">
        <v>31757</v>
      </c>
      <c r="F5409" s="8" t="s">
        <v>31758</v>
      </c>
      <c r="G5409" s="6" t="s">
        <v>89</v>
      </c>
      <c r="H5409" s="6" t="s">
        <v>53</v>
      </c>
      <c r="I5409" s="8" t="s">
        <v>90</v>
      </c>
      <c r="J5409" s="9">
        <v>1</v>
      </c>
      <c r="K5409" s="9">
        <v>248</v>
      </c>
      <c r="L5409" s="9">
        <v>2024</v>
      </c>
      <c r="M5409" s="8" t="s">
        <v>31759</v>
      </c>
      <c r="N5409" s="8" t="s">
        <v>79</v>
      </c>
      <c r="O5409" s="8" t="s">
        <v>80</v>
      </c>
      <c r="P5409" s="6" t="s">
        <v>43</v>
      </c>
      <c r="Q5409" s="8" t="s">
        <v>44</v>
      </c>
      <c r="R5409" s="10" t="s">
        <v>31760</v>
      </c>
      <c r="S5409" s="11" t="s">
        <v>31761</v>
      </c>
      <c r="T5409" s="6"/>
      <c r="U5409" s="24" t="str">
        <f>HYPERLINK("https://media.infra-m.ru/2087/2087268/cover/2087268.jpg", "Обложка")</f>
        <v>Обложка</v>
      </c>
      <c r="V5409" s="24" t="str">
        <f>HYPERLINK("https://znanium.ru/catalog/product/2087268", "Ознакомиться")</f>
        <v>Ознакомиться</v>
      </c>
      <c r="W5409" s="8" t="s">
        <v>243</v>
      </c>
      <c r="X5409" s="6"/>
      <c r="Y5409" s="6"/>
      <c r="Z5409" s="6"/>
      <c r="AA5409" s="6" t="s">
        <v>418</v>
      </c>
      <c r="AB5409" s="8"/>
    </row>
    <row r="5410" spans="1:28" s="4" customFormat="1" ht="51.95" customHeight="1">
      <c r="A5410" s="5">
        <v>0</v>
      </c>
      <c r="B5410" s="6" t="s">
        <v>31762</v>
      </c>
      <c r="C5410" s="13">
        <v>1124</v>
      </c>
      <c r="D5410" s="8" t="s">
        <v>31763</v>
      </c>
      <c r="E5410" s="8" t="s">
        <v>31757</v>
      </c>
      <c r="F5410" s="8" t="s">
        <v>31758</v>
      </c>
      <c r="G5410" s="6" t="s">
        <v>52</v>
      </c>
      <c r="H5410" s="6" t="s">
        <v>53</v>
      </c>
      <c r="I5410" s="8" t="s">
        <v>100</v>
      </c>
      <c r="J5410" s="9">
        <v>1</v>
      </c>
      <c r="K5410" s="9">
        <v>248</v>
      </c>
      <c r="L5410" s="9">
        <v>2023</v>
      </c>
      <c r="M5410" s="8" t="s">
        <v>31764</v>
      </c>
      <c r="N5410" s="8" t="s">
        <v>79</v>
      </c>
      <c r="O5410" s="8" t="s">
        <v>80</v>
      </c>
      <c r="P5410" s="6" t="s">
        <v>43</v>
      </c>
      <c r="Q5410" s="8" t="s">
        <v>102</v>
      </c>
      <c r="R5410" s="10" t="s">
        <v>31765</v>
      </c>
      <c r="S5410" s="11" t="s">
        <v>2596</v>
      </c>
      <c r="T5410" s="6"/>
      <c r="U5410" s="24" t="str">
        <f>HYPERLINK("https://media.infra-m.ru/2045/2045993/cover/2045993.jpg", "Обложка")</f>
        <v>Обложка</v>
      </c>
      <c r="V5410" s="24" t="str">
        <f>HYPERLINK("https://znanium.ru/catalog/product/1189952", "Ознакомиться")</f>
        <v>Ознакомиться</v>
      </c>
      <c r="W5410" s="8" t="s">
        <v>243</v>
      </c>
      <c r="X5410" s="6"/>
      <c r="Y5410" s="6"/>
      <c r="Z5410" s="6" t="s">
        <v>104</v>
      </c>
      <c r="AA5410" s="6" t="s">
        <v>793</v>
      </c>
      <c r="AB5410" s="8"/>
    </row>
    <row r="5411" spans="1:28" s="4" customFormat="1" ht="51.95" customHeight="1">
      <c r="A5411" s="5">
        <v>0</v>
      </c>
      <c r="B5411" s="6" t="s">
        <v>31766</v>
      </c>
      <c r="C5411" s="13">
        <v>1744</v>
      </c>
      <c r="D5411" s="8" t="s">
        <v>31767</v>
      </c>
      <c r="E5411" s="8" t="s">
        <v>31768</v>
      </c>
      <c r="F5411" s="8" t="s">
        <v>31769</v>
      </c>
      <c r="G5411" s="6" t="s">
        <v>89</v>
      </c>
      <c r="H5411" s="6" t="s">
        <v>53</v>
      </c>
      <c r="I5411" s="8" t="s">
        <v>90</v>
      </c>
      <c r="J5411" s="9">
        <v>1</v>
      </c>
      <c r="K5411" s="9">
        <v>336</v>
      </c>
      <c r="L5411" s="9">
        <v>2025</v>
      </c>
      <c r="M5411" s="8" t="s">
        <v>31770</v>
      </c>
      <c r="N5411" s="8" t="s">
        <v>41</v>
      </c>
      <c r="O5411" s="8" t="s">
        <v>118</v>
      </c>
      <c r="P5411" s="6" t="s">
        <v>167</v>
      </c>
      <c r="Q5411" s="8" t="s">
        <v>44</v>
      </c>
      <c r="R5411" s="10" t="s">
        <v>25627</v>
      </c>
      <c r="S5411" s="11" t="s">
        <v>31771</v>
      </c>
      <c r="T5411" s="6" t="s">
        <v>299</v>
      </c>
      <c r="U5411" s="24" t="str">
        <f>HYPERLINK("https://media.infra-m.ru/2196/2196947/cover/2196947.jpg", "Обложка")</f>
        <v>Обложка</v>
      </c>
      <c r="V5411" s="24" t="str">
        <f>HYPERLINK("https://znanium.ru/catalog/product/1939097", "Ознакомиться")</f>
        <v>Ознакомиться</v>
      </c>
      <c r="W5411" s="8" t="s">
        <v>1587</v>
      </c>
      <c r="X5411" s="6"/>
      <c r="Y5411" s="6"/>
      <c r="Z5411" s="6"/>
      <c r="AA5411" s="6" t="s">
        <v>644</v>
      </c>
      <c r="AB5411" s="8"/>
    </row>
    <row r="5412" spans="1:28" s="4" customFormat="1" ht="51.95" customHeight="1">
      <c r="A5412" s="5">
        <v>0</v>
      </c>
      <c r="B5412" s="6" t="s">
        <v>31772</v>
      </c>
      <c r="C5412" s="7">
        <v>910</v>
      </c>
      <c r="D5412" s="8" t="s">
        <v>31773</v>
      </c>
      <c r="E5412" s="8" t="s">
        <v>31774</v>
      </c>
      <c r="F5412" s="8" t="s">
        <v>8567</v>
      </c>
      <c r="G5412" s="6" t="s">
        <v>89</v>
      </c>
      <c r="H5412" s="6" t="s">
        <v>649</v>
      </c>
      <c r="I5412" s="8" t="s">
        <v>100</v>
      </c>
      <c r="J5412" s="9">
        <v>1</v>
      </c>
      <c r="K5412" s="9">
        <v>240</v>
      </c>
      <c r="L5412" s="9">
        <v>2022</v>
      </c>
      <c r="M5412" s="8" t="s">
        <v>31775</v>
      </c>
      <c r="N5412" s="8" t="s">
        <v>41</v>
      </c>
      <c r="O5412" s="8" t="s">
        <v>118</v>
      </c>
      <c r="P5412" s="6" t="s">
        <v>167</v>
      </c>
      <c r="Q5412" s="8" t="s">
        <v>102</v>
      </c>
      <c r="R5412" s="10" t="s">
        <v>8434</v>
      </c>
      <c r="S5412" s="11" t="s">
        <v>5979</v>
      </c>
      <c r="T5412" s="6"/>
      <c r="U5412" s="24" t="str">
        <f>HYPERLINK("https://media.infra-m.ru/1850/1850732/cover/1850732.jpg", "Обложка")</f>
        <v>Обложка</v>
      </c>
      <c r="V5412" s="24" t="str">
        <f>HYPERLINK("https://znanium.ru/catalog/product/1850732", "Ознакомиться")</f>
        <v>Ознакомиться</v>
      </c>
      <c r="W5412" s="8" t="s">
        <v>189</v>
      </c>
      <c r="X5412" s="6"/>
      <c r="Y5412" s="6"/>
      <c r="Z5412" s="6" t="s">
        <v>104</v>
      </c>
      <c r="AA5412" s="6" t="s">
        <v>793</v>
      </c>
      <c r="AB5412" s="8"/>
    </row>
    <row r="5413" spans="1:28" s="4" customFormat="1" ht="51.95" customHeight="1">
      <c r="A5413" s="5">
        <v>0</v>
      </c>
      <c r="B5413" s="6" t="s">
        <v>31776</v>
      </c>
      <c r="C5413" s="7">
        <v>934.9</v>
      </c>
      <c r="D5413" s="8" t="s">
        <v>31777</v>
      </c>
      <c r="E5413" s="8" t="s">
        <v>31778</v>
      </c>
      <c r="F5413" s="8" t="s">
        <v>31779</v>
      </c>
      <c r="G5413" s="6" t="s">
        <v>52</v>
      </c>
      <c r="H5413" s="6" t="s">
        <v>77</v>
      </c>
      <c r="I5413" s="8"/>
      <c r="J5413" s="9">
        <v>1</v>
      </c>
      <c r="K5413" s="9">
        <v>208</v>
      </c>
      <c r="L5413" s="9">
        <v>2023</v>
      </c>
      <c r="M5413" s="8" t="s">
        <v>31780</v>
      </c>
      <c r="N5413" s="8" t="s">
        <v>41</v>
      </c>
      <c r="O5413" s="8" t="s">
        <v>118</v>
      </c>
      <c r="P5413" s="6" t="s">
        <v>43</v>
      </c>
      <c r="Q5413" s="8" t="s">
        <v>44</v>
      </c>
      <c r="R5413" s="10" t="s">
        <v>31781</v>
      </c>
      <c r="S5413" s="11"/>
      <c r="T5413" s="6"/>
      <c r="U5413" s="24" t="str">
        <f>HYPERLINK("https://media.infra-m.ru/1913/1913223/cover/1913223.jpg", "Обложка")</f>
        <v>Обложка</v>
      </c>
      <c r="V5413" s="24" t="str">
        <f>HYPERLINK("https://znanium.ru/catalog/product/1913223", "Ознакомиться")</f>
        <v>Ознакомиться</v>
      </c>
      <c r="W5413" s="8"/>
      <c r="X5413" s="6"/>
      <c r="Y5413" s="6"/>
      <c r="Z5413" s="6"/>
      <c r="AA5413" s="6" t="s">
        <v>122</v>
      </c>
      <c r="AB5413" s="8"/>
    </row>
    <row r="5414" spans="1:28" s="4" customFormat="1" ht="51.95" customHeight="1">
      <c r="A5414" s="5">
        <v>0</v>
      </c>
      <c r="B5414" s="6" t="s">
        <v>31782</v>
      </c>
      <c r="C5414" s="7">
        <v>710</v>
      </c>
      <c r="D5414" s="8" t="s">
        <v>31783</v>
      </c>
      <c r="E5414" s="8" t="s">
        <v>31778</v>
      </c>
      <c r="F5414" s="8" t="s">
        <v>31784</v>
      </c>
      <c r="G5414" s="6" t="s">
        <v>52</v>
      </c>
      <c r="H5414" s="6" t="s">
        <v>77</v>
      </c>
      <c r="I5414" s="8" t="s">
        <v>100</v>
      </c>
      <c r="J5414" s="9">
        <v>1</v>
      </c>
      <c r="K5414" s="9">
        <v>208</v>
      </c>
      <c r="L5414" s="9">
        <v>2020</v>
      </c>
      <c r="M5414" s="8" t="s">
        <v>31785</v>
      </c>
      <c r="N5414" s="8" t="s">
        <v>41</v>
      </c>
      <c r="O5414" s="8" t="s">
        <v>118</v>
      </c>
      <c r="P5414" s="6" t="s">
        <v>43</v>
      </c>
      <c r="Q5414" s="8" t="s">
        <v>102</v>
      </c>
      <c r="R5414" s="10" t="s">
        <v>31786</v>
      </c>
      <c r="S5414" s="11" t="s">
        <v>16067</v>
      </c>
      <c r="T5414" s="6"/>
      <c r="U5414" s="24" t="str">
        <f>HYPERLINK("https://media.infra-m.ru/1043/1043108/cover/1043108.jpg", "Обложка")</f>
        <v>Обложка</v>
      </c>
      <c r="V5414" s="24" t="str">
        <f>HYPERLINK("https://znanium.ru/catalog/product/1043108", "Ознакомиться")</f>
        <v>Ознакомиться</v>
      </c>
      <c r="W5414" s="8"/>
      <c r="X5414" s="6"/>
      <c r="Y5414" s="6"/>
      <c r="Z5414" s="6" t="s">
        <v>104</v>
      </c>
      <c r="AA5414" s="6" t="s">
        <v>793</v>
      </c>
      <c r="AB5414" s="8"/>
    </row>
    <row r="5415" spans="1:28" s="4" customFormat="1" ht="51.95" customHeight="1">
      <c r="A5415" s="5">
        <v>0</v>
      </c>
      <c r="B5415" s="6" t="s">
        <v>31787</v>
      </c>
      <c r="C5415" s="13">
        <v>1394</v>
      </c>
      <c r="D5415" s="8" t="s">
        <v>31788</v>
      </c>
      <c r="E5415" s="8" t="s">
        <v>31789</v>
      </c>
      <c r="F5415" s="8" t="s">
        <v>31790</v>
      </c>
      <c r="G5415" s="6" t="s">
        <v>38</v>
      </c>
      <c r="H5415" s="6" t="s">
        <v>39</v>
      </c>
      <c r="I5415" s="8" t="s">
        <v>90</v>
      </c>
      <c r="J5415" s="9">
        <v>1</v>
      </c>
      <c r="K5415" s="9">
        <v>304</v>
      </c>
      <c r="L5415" s="9">
        <v>2024</v>
      </c>
      <c r="M5415" s="8" t="s">
        <v>31791</v>
      </c>
      <c r="N5415" s="8" t="s">
        <v>41</v>
      </c>
      <c r="O5415" s="8" t="s">
        <v>118</v>
      </c>
      <c r="P5415" s="6" t="s">
        <v>43</v>
      </c>
      <c r="Q5415" s="8" t="s">
        <v>44</v>
      </c>
      <c r="R5415" s="10" t="s">
        <v>31792</v>
      </c>
      <c r="S5415" s="11" t="s">
        <v>31793</v>
      </c>
      <c r="T5415" s="6"/>
      <c r="U5415" s="24" t="str">
        <f>HYPERLINK("https://media.infra-m.ru/2120/2120764/cover/2120764.jpg", "Обложка")</f>
        <v>Обложка</v>
      </c>
      <c r="V5415" s="24" t="str">
        <f>HYPERLINK("https://znanium.ru/catalog/product/1095829", "Ознакомиться")</f>
        <v>Ознакомиться</v>
      </c>
      <c r="W5415" s="8" t="s">
        <v>159</v>
      </c>
      <c r="X5415" s="6"/>
      <c r="Y5415" s="6"/>
      <c r="Z5415" s="6"/>
      <c r="AA5415" s="6" t="s">
        <v>84</v>
      </c>
      <c r="AB5415" s="8"/>
    </row>
    <row r="5416" spans="1:28" s="4" customFormat="1" ht="51.95" customHeight="1">
      <c r="A5416" s="5">
        <v>0</v>
      </c>
      <c r="B5416" s="6" t="s">
        <v>31794</v>
      </c>
      <c r="C5416" s="7">
        <v>804</v>
      </c>
      <c r="D5416" s="8" t="s">
        <v>31795</v>
      </c>
      <c r="E5416" s="8" t="s">
        <v>31796</v>
      </c>
      <c r="F5416" s="8" t="s">
        <v>31797</v>
      </c>
      <c r="G5416" s="6" t="s">
        <v>38</v>
      </c>
      <c r="H5416" s="6" t="s">
        <v>39</v>
      </c>
      <c r="I5416" s="8" t="s">
        <v>223</v>
      </c>
      <c r="J5416" s="9">
        <v>1</v>
      </c>
      <c r="K5416" s="9">
        <v>176</v>
      </c>
      <c r="L5416" s="9">
        <v>2024</v>
      </c>
      <c r="M5416" s="8" t="s">
        <v>31798</v>
      </c>
      <c r="N5416" s="8" t="s">
        <v>41</v>
      </c>
      <c r="O5416" s="8" t="s">
        <v>118</v>
      </c>
      <c r="P5416" s="6" t="s">
        <v>43</v>
      </c>
      <c r="Q5416" s="8" t="s">
        <v>102</v>
      </c>
      <c r="R5416" s="10" t="s">
        <v>31799</v>
      </c>
      <c r="S5416" s="11" t="s">
        <v>31793</v>
      </c>
      <c r="T5416" s="6"/>
      <c r="U5416" s="24" t="str">
        <f>HYPERLINK("https://media.infra-m.ru/2103/2103138/cover/2103138.jpg", "Обложка")</f>
        <v>Обложка</v>
      </c>
      <c r="V5416" s="24" t="str">
        <f>HYPERLINK("https://znanium.ru/catalog/product/1012453", "Ознакомиться")</f>
        <v>Ознакомиться</v>
      </c>
      <c r="W5416" s="8" t="s">
        <v>159</v>
      </c>
      <c r="X5416" s="6"/>
      <c r="Y5416" s="6"/>
      <c r="Z5416" s="6"/>
      <c r="AA5416" s="6" t="s">
        <v>47</v>
      </c>
      <c r="AB5416" s="8"/>
    </row>
    <row r="5417" spans="1:28" s="4" customFormat="1" ht="51.95" customHeight="1">
      <c r="A5417" s="5">
        <v>0</v>
      </c>
      <c r="B5417" s="6" t="s">
        <v>31800</v>
      </c>
      <c r="C5417" s="13">
        <v>1104</v>
      </c>
      <c r="D5417" s="8" t="s">
        <v>31801</v>
      </c>
      <c r="E5417" s="8" t="s">
        <v>31802</v>
      </c>
      <c r="F5417" s="8" t="s">
        <v>31797</v>
      </c>
      <c r="G5417" s="6" t="s">
        <v>38</v>
      </c>
      <c r="H5417" s="6" t="s">
        <v>39</v>
      </c>
      <c r="I5417" s="8" t="s">
        <v>116</v>
      </c>
      <c r="J5417" s="9">
        <v>1</v>
      </c>
      <c r="K5417" s="9">
        <v>240</v>
      </c>
      <c r="L5417" s="9">
        <v>2024</v>
      </c>
      <c r="M5417" s="8" t="s">
        <v>31803</v>
      </c>
      <c r="N5417" s="8" t="s">
        <v>41</v>
      </c>
      <c r="O5417" s="8" t="s">
        <v>118</v>
      </c>
      <c r="P5417" s="6" t="s">
        <v>43</v>
      </c>
      <c r="Q5417" s="8" t="s">
        <v>44</v>
      </c>
      <c r="R5417" s="10" t="s">
        <v>1727</v>
      </c>
      <c r="S5417" s="11" t="s">
        <v>31804</v>
      </c>
      <c r="T5417" s="6"/>
      <c r="U5417" s="24" t="str">
        <f>HYPERLINK("https://media.infra-m.ru/2044/2044324/cover/2044324.jpg", "Обложка")</f>
        <v>Обложка</v>
      </c>
      <c r="V5417" s="12"/>
      <c r="W5417" s="8" t="s">
        <v>159</v>
      </c>
      <c r="X5417" s="6"/>
      <c r="Y5417" s="6"/>
      <c r="Z5417" s="6"/>
      <c r="AA5417" s="6" t="s">
        <v>84</v>
      </c>
      <c r="AB5417" s="8"/>
    </row>
    <row r="5418" spans="1:28" s="4" customFormat="1" ht="51.95" customHeight="1">
      <c r="A5418" s="5">
        <v>0</v>
      </c>
      <c r="B5418" s="6" t="s">
        <v>31805</v>
      </c>
      <c r="C5418" s="7">
        <v>794.9</v>
      </c>
      <c r="D5418" s="8" t="s">
        <v>31806</v>
      </c>
      <c r="E5418" s="8" t="s">
        <v>31807</v>
      </c>
      <c r="F5418" s="8" t="s">
        <v>31808</v>
      </c>
      <c r="G5418" s="6" t="s">
        <v>38</v>
      </c>
      <c r="H5418" s="6" t="s">
        <v>39</v>
      </c>
      <c r="I5418" s="8" t="s">
        <v>31809</v>
      </c>
      <c r="J5418" s="9">
        <v>1</v>
      </c>
      <c r="K5418" s="9">
        <v>176</v>
      </c>
      <c r="L5418" s="9">
        <v>2023</v>
      </c>
      <c r="M5418" s="8" t="s">
        <v>31810</v>
      </c>
      <c r="N5418" s="8" t="s">
        <v>41</v>
      </c>
      <c r="O5418" s="8" t="s">
        <v>118</v>
      </c>
      <c r="P5418" s="6" t="s">
        <v>43</v>
      </c>
      <c r="Q5418" s="8" t="s">
        <v>102</v>
      </c>
      <c r="R5418" s="10" t="s">
        <v>31811</v>
      </c>
      <c r="S5418" s="11" t="s">
        <v>31793</v>
      </c>
      <c r="T5418" s="6"/>
      <c r="U5418" s="24" t="str">
        <f>HYPERLINK("https://media.infra-m.ru/1981/1981705/cover/1981705.jpg", "Обложка")</f>
        <v>Обложка</v>
      </c>
      <c r="V5418" s="24" t="str">
        <f>HYPERLINK("https://znanium.ru/catalog/product/1012430", "Ознакомиться")</f>
        <v>Ознакомиться</v>
      </c>
      <c r="W5418" s="8" t="s">
        <v>159</v>
      </c>
      <c r="X5418" s="6"/>
      <c r="Y5418" s="6"/>
      <c r="Z5418" s="6"/>
      <c r="AA5418" s="6" t="s">
        <v>47</v>
      </c>
      <c r="AB5418" s="8"/>
    </row>
    <row r="5419" spans="1:28" s="4" customFormat="1" ht="51.95" customHeight="1">
      <c r="A5419" s="5">
        <v>0</v>
      </c>
      <c r="B5419" s="6" t="s">
        <v>31812</v>
      </c>
      <c r="C5419" s="13">
        <v>1154</v>
      </c>
      <c r="D5419" s="8" t="s">
        <v>31813</v>
      </c>
      <c r="E5419" s="8" t="s">
        <v>31814</v>
      </c>
      <c r="F5419" s="8" t="s">
        <v>31815</v>
      </c>
      <c r="G5419" s="6" t="s">
        <v>89</v>
      </c>
      <c r="H5419" s="6" t="s">
        <v>53</v>
      </c>
      <c r="I5419" s="8" t="s">
        <v>90</v>
      </c>
      <c r="J5419" s="9">
        <v>1</v>
      </c>
      <c r="K5419" s="9">
        <v>231</v>
      </c>
      <c r="L5419" s="9">
        <v>2025</v>
      </c>
      <c r="M5419" s="8" t="s">
        <v>31816</v>
      </c>
      <c r="N5419" s="8" t="s">
        <v>41</v>
      </c>
      <c r="O5419" s="8" t="s">
        <v>118</v>
      </c>
      <c r="P5419" s="6" t="s">
        <v>167</v>
      </c>
      <c r="Q5419" s="8" t="s">
        <v>44</v>
      </c>
      <c r="R5419" s="10" t="s">
        <v>31817</v>
      </c>
      <c r="S5419" s="11" t="s">
        <v>31818</v>
      </c>
      <c r="T5419" s="6"/>
      <c r="U5419" s="24" t="str">
        <f>HYPERLINK("https://media.infra-m.ru/2186/2186908/cover/2186908.jpg", "Обложка")</f>
        <v>Обложка</v>
      </c>
      <c r="V5419" s="24" t="str">
        <f>HYPERLINK("https://znanium.ru/catalog/product/1851438", "Ознакомиться")</f>
        <v>Ознакомиться</v>
      </c>
      <c r="W5419" s="8" t="s">
        <v>4161</v>
      </c>
      <c r="X5419" s="6"/>
      <c r="Y5419" s="6"/>
      <c r="Z5419" s="6"/>
      <c r="AA5419" s="6" t="s">
        <v>2001</v>
      </c>
      <c r="AB5419" s="8"/>
    </row>
    <row r="5420" spans="1:28" s="4" customFormat="1" ht="51.95" customHeight="1">
      <c r="A5420" s="5">
        <v>0</v>
      </c>
      <c r="B5420" s="6" t="s">
        <v>31819</v>
      </c>
      <c r="C5420" s="13">
        <v>1154</v>
      </c>
      <c r="D5420" s="8" t="s">
        <v>31820</v>
      </c>
      <c r="E5420" s="8" t="s">
        <v>31814</v>
      </c>
      <c r="F5420" s="8" t="s">
        <v>31815</v>
      </c>
      <c r="G5420" s="6" t="s">
        <v>89</v>
      </c>
      <c r="H5420" s="6" t="s">
        <v>53</v>
      </c>
      <c r="I5420" s="8" t="s">
        <v>100</v>
      </c>
      <c r="J5420" s="9">
        <v>1</v>
      </c>
      <c r="K5420" s="9">
        <v>231</v>
      </c>
      <c r="L5420" s="9">
        <v>2025</v>
      </c>
      <c r="M5420" s="8" t="s">
        <v>31821</v>
      </c>
      <c r="N5420" s="8" t="s">
        <v>41</v>
      </c>
      <c r="O5420" s="8" t="s">
        <v>118</v>
      </c>
      <c r="P5420" s="6" t="s">
        <v>167</v>
      </c>
      <c r="Q5420" s="8" t="s">
        <v>102</v>
      </c>
      <c r="R5420" s="10" t="s">
        <v>31822</v>
      </c>
      <c r="S5420" s="11" t="s">
        <v>31823</v>
      </c>
      <c r="T5420" s="6"/>
      <c r="U5420" s="24" t="str">
        <f>HYPERLINK("https://media.infra-m.ru/2186/2186863/cover/2186863.jpg", "Обложка")</f>
        <v>Обложка</v>
      </c>
      <c r="V5420" s="24" t="str">
        <f>HYPERLINK("https://znanium.ru/catalog/product/2110477", "Ознакомиться")</f>
        <v>Ознакомиться</v>
      </c>
      <c r="W5420" s="8" t="s">
        <v>4161</v>
      </c>
      <c r="X5420" s="6"/>
      <c r="Y5420" s="6"/>
      <c r="Z5420" s="6" t="s">
        <v>104</v>
      </c>
      <c r="AA5420" s="6" t="s">
        <v>874</v>
      </c>
      <c r="AB5420" s="8"/>
    </row>
    <row r="5421" spans="1:28" s="4" customFormat="1" ht="51.95" customHeight="1">
      <c r="A5421" s="5">
        <v>0</v>
      </c>
      <c r="B5421" s="6" t="s">
        <v>31824</v>
      </c>
      <c r="C5421" s="13">
        <v>1040</v>
      </c>
      <c r="D5421" s="8" t="s">
        <v>31825</v>
      </c>
      <c r="E5421" s="8" t="s">
        <v>31826</v>
      </c>
      <c r="F5421" s="8" t="s">
        <v>31827</v>
      </c>
      <c r="G5421" s="6" t="s">
        <v>89</v>
      </c>
      <c r="H5421" s="6" t="s">
        <v>53</v>
      </c>
      <c r="I5421" s="8" t="s">
        <v>90</v>
      </c>
      <c r="J5421" s="9">
        <v>1</v>
      </c>
      <c r="K5421" s="9">
        <v>224</v>
      </c>
      <c r="L5421" s="9">
        <v>2024</v>
      </c>
      <c r="M5421" s="8" t="s">
        <v>31828</v>
      </c>
      <c r="N5421" s="8" t="s">
        <v>41</v>
      </c>
      <c r="O5421" s="8" t="s">
        <v>118</v>
      </c>
      <c r="P5421" s="6" t="s">
        <v>167</v>
      </c>
      <c r="Q5421" s="8" t="s">
        <v>44</v>
      </c>
      <c r="R5421" s="10" t="s">
        <v>1319</v>
      </c>
      <c r="S5421" s="11" t="s">
        <v>31829</v>
      </c>
      <c r="T5421" s="6"/>
      <c r="U5421" s="24" t="str">
        <f>HYPERLINK("https://media.infra-m.ru/2127/2127015/cover/2127015.jpg", "Обложка")</f>
        <v>Обложка</v>
      </c>
      <c r="V5421" s="24" t="str">
        <f>HYPERLINK("https://znanium.ru/catalog/product/2127015", "Ознакомиться")</f>
        <v>Ознакомиться</v>
      </c>
      <c r="W5421" s="8" t="s">
        <v>1345</v>
      </c>
      <c r="X5421" s="6"/>
      <c r="Y5421" s="6"/>
      <c r="Z5421" s="6"/>
      <c r="AA5421" s="6" t="s">
        <v>377</v>
      </c>
      <c r="AB5421" s="8"/>
    </row>
    <row r="5422" spans="1:28" s="4" customFormat="1" ht="42" customHeight="1">
      <c r="A5422" s="5">
        <v>0</v>
      </c>
      <c r="B5422" s="6" t="s">
        <v>31830</v>
      </c>
      <c r="C5422" s="13">
        <v>1084</v>
      </c>
      <c r="D5422" s="8" t="s">
        <v>31831</v>
      </c>
      <c r="E5422" s="8" t="s">
        <v>31832</v>
      </c>
      <c r="F5422" s="8" t="s">
        <v>31833</v>
      </c>
      <c r="G5422" s="6" t="s">
        <v>52</v>
      </c>
      <c r="H5422" s="6" t="s">
        <v>66</v>
      </c>
      <c r="I5422" s="8" t="s">
        <v>116</v>
      </c>
      <c r="J5422" s="9">
        <v>1</v>
      </c>
      <c r="K5422" s="9">
        <v>208</v>
      </c>
      <c r="L5422" s="9">
        <v>2025</v>
      </c>
      <c r="M5422" s="8" t="s">
        <v>31834</v>
      </c>
      <c r="N5422" s="8" t="s">
        <v>41</v>
      </c>
      <c r="O5422" s="8" t="s">
        <v>118</v>
      </c>
      <c r="P5422" s="6" t="s">
        <v>43</v>
      </c>
      <c r="Q5422" s="8" t="s">
        <v>44</v>
      </c>
      <c r="R5422" s="10" t="s">
        <v>1319</v>
      </c>
      <c r="S5422" s="11"/>
      <c r="T5422" s="6"/>
      <c r="U5422" s="24" t="str">
        <f>HYPERLINK("https://media.infra-m.ru/2197/2197595/cover/2197595.jpg", "Обложка")</f>
        <v>Обложка</v>
      </c>
      <c r="V5422" s="24" t="str">
        <f>HYPERLINK("https://znanium.ru/catalog/product/2063449", "Ознакомиться")</f>
        <v>Ознакомиться</v>
      </c>
      <c r="W5422" s="8" t="s">
        <v>11097</v>
      </c>
      <c r="X5422" s="6"/>
      <c r="Y5422" s="6"/>
      <c r="Z5422" s="6"/>
      <c r="AA5422" s="6" t="s">
        <v>622</v>
      </c>
      <c r="AB5422" s="8"/>
    </row>
    <row r="5423" spans="1:28" s="4" customFormat="1" ht="51.95" customHeight="1">
      <c r="A5423" s="5">
        <v>0</v>
      </c>
      <c r="B5423" s="6" t="s">
        <v>31835</v>
      </c>
      <c r="C5423" s="13">
        <v>1540</v>
      </c>
      <c r="D5423" s="8" t="s">
        <v>31836</v>
      </c>
      <c r="E5423" s="8" t="s">
        <v>31826</v>
      </c>
      <c r="F5423" s="8" t="s">
        <v>31837</v>
      </c>
      <c r="G5423" s="6" t="s">
        <v>89</v>
      </c>
      <c r="H5423" s="6" t="s">
        <v>53</v>
      </c>
      <c r="I5423" s="8" t="s">
        <v>116</v>
      </c>
      <c r="J5423" s="9">
        <v>1</v>
      </c>
      <c r="K5423" s="9">
        <v>334</v>
      </c>
      <c r="L5423" s="9">
        <v>2024</v>
      </c>
      <c r="M5423" s="8" t="s">
        <v>31838</v>
      </c>
      <c r="N5423" s="8" t="s">
        <v>41</v>
      </c>
      <c r="O5423" s="8" t="s">
        <v>118</v>
      </c>
      <c r="P5423" s="6" t="s">
        <v>43</v>
      </c>
      <c r="Q5423" s="8" t="s">
        <v>44</v>
      </c>
      <c r="R5423" s="10" t="s">
        <v>1371</v>
      </c>
      <c r="S5423" s="11" t="s">
        <v>31839</v>
      </c>
      <c r="T5423" s="6"/>
      <c r="U5423" s="24" t="str">
        <f>HYPERLINK("https://media.infra-m.ru/2087/2087316/cover/2087316.jpg", "Обложка")</f>
        <v>Обложка</v>
      </c>
      <c r="V5423" s="24" t="str">
        <f>HYPERLINK("https://znanium.ru/catalog/product/2087316", "Ознакомиться")</f>
        <v>Ознакомиться</v>
      </c>
      <c r="W5423" s="8" t="s">
        <v>4433</v>
      </c>
      <c r="X5423" s="6"/>
      <c r="Y5423" s="6"/>
      <c r="Z5423" s="6"/>
      <c r="AA5423" s="6" t="s">
        <v>494</v>
      </c>
      <c r="AB5423" s="8"/>
    </row>
    <row r="5424" spans="1:28" s="4" customFormat="1" ht="51.95" customHeight="1">
      <c r="A5424" s="5">
        <v>0</v>
      </c>
      <c r="B5424" s="6" t="s">
        <v>31840</v>
      </c>
      <c r="C5424" s="7">
        <v>634.9</v>
      </c>
      <c r="D5424" s="8" t="s">
        <v>31841</v>
      </c>
      <c r="E5424" s="8" t="s">
        <v>31832</v>
      </c>
      <c r="F5424" s="8" t="s">
        <v>31842</v>
      </c>
      <c r="G5424" s="6" t="s">
        <v>89</v>
      </c>
      <c r="H5424" s="6" t="s">
        <v>66</v>
      </c>
      <c r="I5424" s="8" t="s">
        <v>116</v>
      </c>
      <c r="J5424" s="9">
        <v>1</v>
      </c>
      <c r="K5424" s="9">
        <v>176</v>
      </c>
      <c r="L5424" s="9">
        <v>2021</v>
      </c>
      <c r="M5424" s="8" t="s">
        <v>31843</v>
      </c>
      <c r="N5424" s="8" t="s">
        <v>41</v>
      </c>
      <c r="O5424" s="8" t="s">
        <v>118</v>
      </c>
      <c r="P5424" s="6" t="s">
        <v>43</v>
      </c>
      <c r="Q5424" s="8" t="s">
        <v>44</v>
      </c>
      <c r="R5424" s="10" t="s">
        <v>31844</v>
      </c>
      <c r="S5424" s="11" t="s">
        <v>31845</v>
      </c>
      <c r="T5424" s="6"/>
      <c r="U5424" s="24" t="str">
        <f>HYPERLINK("https://media.infra-m.ru/1138/1138842/cover/1138842.jpg", "Обложка")</f>
        <v>Обложка</v>
      </c>
      <c r="V5424" s="24" t="str">
        <f>HYPERLINK("https://znanium.ru/catalog/product/1052442", "Ознакомиться")</f>
        <v>Ознакомиться</v>
      </c>
      <c r="W5424" s="8" t="s">
        <v>334</v>
      </c>
      <c r="X5424" s="6"/>
      <c r="Y5424" s="6"/>
      <c r="Z5424" s="6"/>
      <c r="AA5424" s="6" t="s">
        <v>122</v>
      </c>
      <c r="AB5424" s="8"/>
    </row>
    <row r="5425" spans="1:28" s="4" customFormat="1" ht="51.95" customHeight="1">
      <c r="A5425" s="5">
        <v>0</v>
      </c>
      <c r="B5425" s="6" t="s">
        <v>31846</v>
      </c>
      <c r="C5425" s="7">
        <v>733.4</v>
      </c>
      <c r="D5425" s="8" t="s">
        <v>31847</v>
      </c>
      <c r="E5425" s="8" t="s">
        <v>31832</v>
      </c>
      <c r="F5425" s="8" t="s">
        <v>31842</v>
      </c>
      <c r="G5425" s="6" t="s">
        <v>89</v>
      </c>
      <c r="H5425" s="6" t="s">
        <v>53</v>
      </c>
      <c r="I5425" s="8" t="s">
        <v>100</v>
      </c>
      <c r="J5425" s="9">
        <v>1</v>
      </c>
      <c r="K5425" s="9">
        <v>176</v>
      </c>
      <c r="L5425" s="9">
        <v>2022</v>
      </c>
      <c r="M5425" s="8" t="s">
        <v>31848</v>
      </c>
      <c r="N5425" s="8" t="s">
        <v>41</v>
      </c>
      <c r="O5425" s="8" t="s">
        <v>118</v>
      </c>
      <c r="P5425" s="6" t="s">
        <v>43</v>
      </c>
      <c r="Q5425" s="8" t="s">
        <v>102</v>
      </c>
      <c r="R5425" s="10" t="s">
        <v>31849</v>
      </c>
      <c r="S5425" s="11" t="s">
        <v>31850</v>
      </c>
      <c r="T5425" s="6"/>
      <c r="U5425" s="24" t="str">
        <f>HYPERLINK("https://media.infra-m.ru/1853/1853773/cover/1853773.jpg", "Обложка")</f>
        <v>Обложка</v>
      </c>
      <c r="V5425" s="24" t="str">
        <f>HYPERLINK("https://znanium.ru/catalog/product/1853773", "Ознакомиться")</f>
        <v>Ознакомиться</v>
      </c>
      <c r="W5425" s="8" t="s">
        <v>334</v>
      </c>
      <c r="X5425" s="6"/>
      <c r="Y5425" s="6"/>
      <c r="Z5425" s="6" t="s">
        <v>104</v>
      </c>
      <c r="AA5425" s="6" t="s">
        <v>793</v>
      </c>
      <c r="AB5425" s="8"/>
    </row>
    <row r="5426" spans="1:28" s="4" customFormat="1" ht="51.95" customHeight="1">
      <c r="A5426" s="5">
        <v>0</v>
      </c>
      <c r="B5426" s="6" t="s">
        <v>31851</v>
      </c>
      <c r="C5426" s="13">
        <v>1124</v>
      </c>
      <c r="D5426" s="8" t="s">
        <v>31852</v>
      </c>
      <c r="E5426" s="8" t="s">
        <v>31853</v>
      </c>
      <c r="F5426" s="8" t="s">
        <v>31854</v>
      </c>
      <c r="G5426" s="6" t="s">
        <v>89</v>
      </c>
      <c r="H5426" s="6" t="s">
        <v>39</v>
      </c>
      <c r="I5426" s="8" t="s">
        <v>100</v>
      </c>
      <c r="J5426" s="9">
        <v>1</v>
      </c>
      <c r="K5426" s="9">
        <v>217</v>
      </c>
      <c r="L5426" s="9">
        <v>2025</v>
      </c>
      <c r="M5426" s="8" t="s">
        <v>31855</v>
      </c>
      <c r="N5426" s="8" t="s">
        <v>41</v>
      </c>
      <c r="O5426" s="8" t="s">
        <v>118</v>
      </c>
      <c r="P5426" s="6" t="s">
        <v>43</v>
      </c>
      <c r="Q5426" s="8" t="s">
        <v>102</v>
      </c>
      <c r="R5426" s="10" t="s">
        <v>31856</v>
      </c>
      <c r="S5426" s="11" t="s">
        <v>3081</v>
      </c>
      <c r="T5426" s="6"/>
      <c r="U5426" s="24" t="str">
        <f>HYPERLINK("https://media.infra-m.ru/2196/2196857/cover/2196857.jpg", "Обложка")</f>
        <v>Обложка</v>
      </c>
      <c r="V5426" s="24" t="str">
        <f>HYPERLINK("https://znanium.ru/catalog/product/2015303", "Ознакомиться")</f>
        <v>Ознакомиться</v>
      </c>
      <c r="W5426" s="8" t="s">
        <v>83</v>
      </c>
      <c r="X5426" s="6"/>
      <c r="Y5426" s="6"/>
      <c r="Z5426" s="6"/>
      <c r="AA5426" s="6" t="s">
        <v>5763</v>
      </c>
      <c r="AB5426" s="8"/>
    </row>
    <row r="5427" spans="1:28" s="4" customFormat="1" ht="51.95" customHeight="1">
      <c r="A5427" s="5">
        <v>0</v>
      </c>
      <c r="B5427" s="6" t="s">
        <v>31857</v>
      </c>
      <c r="C5427" s="13">
        <v>1090</v>
      </c>
      <c r="D5427" s="8" t="s">
        <v>31858</v>
      </c>
      <c r="E5427" s="8" t="s">
        <v>31859</v>
      </c>
      <c r="F5427" s="8" t="s">
        <v>9730</v>
      </c>
      <c r="G5427" s="6" t="s">
        <v>89</v>
      </c>
      <c r="H5427" s="6" t="s">
        <v>53</v>
      </c>
      <c r="I5427" s="8" t="s">
        <v>276</v>
      </c>
      <c r="J5427" s="9">
        <v>1</v>
      </c>
      <c r="K5427" s="9">
        <v>232</v>
      </c>
      <c r="L5427" s="9">
        <v>2024</v>
      </c>
      <c r="M5427" s="8" t="s">
        <v>31860</v>
      </c>
      <c r="N5427" s="8" t="s">
        <v>41</v>
      </c>
      <c r="O5427" s="8" t="s">
        <v>118</v>
      </c>
      <c r="P5427" s="6" t="s">
        <v>167</v>
      </c>
      <c r="Q5427" s="8" t="s">
        <v>279</v>
      </c>
      <c r="R5427" s="10" t="s">
        <v>31861</v>
      </c>
      <c r="S5427" s="11" t="s">
        <v>31862</v>
      </c>
      <c r="T5427" s="6"/>
      <c r="U5427" s="24" t="str">
        <f>HYPERLINK("https://media.infra-m.ru/2142/2142534/cover/2142534.jpg", "Обложка")</f>
        <v>Обложка</v>
      </c>
      <c r="V5427" s="24" t="str">
        <f>HYPERLINK("https://znanium.ru/catalog/product/2142534", "Ознакомиться")</f>
        <v>Ознакомиться</v>
      </c>
      <c r="W5427" s="8" t="s">
        <v>8621</v>
      </c>
      <c r="X5427" s="6"/>
      <c r="Y5427" s="6"/>
      <c r="Z5427" s="6"/>
      <c r="AA5427" s="6" t="s">
        <v>151</v>
      </c>
      <c r="AB5427" s="8"/>
    </row>
    <row r="5428" spans="1:28" s="4" customFormat="1" ht="51.95" customHeight="1">
      <c r="A5428" s="5">
        <v>0</v>
      </c>
      <c r="B5428" s="6" t="s">
        <v>31863</v>
      </c>
      <c r="C5428" s="13">
        <v>1500</v>
      </c>
      <c r="D5428" s="8" t="s">
        <v>31864</v>
      </c>
      <c r="E5428" s="8" t="s">
        <v>31865</v>
      </c>
      <c r="F5428" s="8" t="s">
        <v>31866</v>
      </c>
      <c r="G5428" s="6" t="s">
        <v>89</v>
      </c>
      <c r="H5428" s="6" t="s">
        <v>53</v>
      </c>
      <c r="I5428" s="8" t="s">
        <v>116</v>
      </c>
      <c r="J5428" s="9">
        <v>1</v>
      </c>
      <c r="K5428" s="9">
        <v>300</v>
      </c>
      <c r="L5428" s="9">
        <v>2025</v>
      </c>
      <c r="M5428" s="8" t="s">
        <v>31867</v>
      </c>
      <c r="N5428" s="8" t="s">
        <v>41</v>
      </c>
      <c r="O5428" s="8" t="s">
        <v>118</v>
      </c>
      <c r="P5428" s="6" t="s">
        <v>167</v>
      </c>
      <c r="Q5428" s="8" t="s">
        <v>44</v>
      </c>
      <c r="R5428" s="10" t="s">
        <v>7868</v>
      </c>
      <c r="S5428" s="11" t="s">
        <v>31868</v>
      </c>
      <c r="T5428" s="6"/>
      <c r="U5428" s="24" t="str">
        <f>HYPERLINK("https://media.infra-m.ru/2178/2178526/cover/2178526.jpg", "Обложка")</f>
        <v>Обложка</v>
      </c>
      <c r="V5428" s="24" t="str">
        <f>HYPERLINK("https://znanium.ru/catalog/product/2178526", "Ознакомиться")</f>
        <v>Ознакомиться</v>
      </c>
      <c r="W5428" s="8"/>
      <c r="X5428" s="6"/>
      <c r="Y5428" s="6"/>
      <c r="Z5428" s="6"/>
      <c r="AA5428" s="6" t="s">
        <v>813</v>
      </c>
      <c r="AB5428" s="8"/>
    </row>
    <row r="5429" spans="1:28" s="4" customFormat="1" ht="51.95" customHeight="1">
      <c r="A5429" s="5">
        <v>0</v>
      </c>
      <c r="B5429" s="6" t="s">
        <v>31869</v>
      </c>
      <c r="C5429" s="13">
        <v>1354.9</v>
      </c>
      <c r="D5429" s="8" t="s">
        <v>31870</v>
      </c>
      <c r="E5429" s="8" t="s">
        <v>31871</v>
      </c>
      <c r="F5429" s="8" t="s">
        <v>31872</v>
      </c>
      <c r="G5429" s="6" t="s">
        <v>52</v>
      </c>
      <c r="H5429" s="6" t="s">
        <v>53</v>
      </c>
      <c r="I5429" s="8" t="s">
        <v>90</v>
      </c>
      <c r="J5429" s="9">
        <v>1</v>
      </c>
      <c r="K5429" s="9">
        <v>300</v>
      </c>
      <c r="L5429" s="9">
        <v>2023</v>
      </c>
      <c r="M5429" s="8" t="s">
        <v>31873</v>
      </c>
      <c r="N5429" s="8" t="s">
        <v>41</v>
      </c>
      <c r="O5429" s="8" t="s">
        <v>118</v>
      </c>
      <c r="P5429" s="6" t="s">
        <v>167</v>
      </c>
      <c r="Q5429" s="8" t="s">
        <v>44</v>
      </c>
      <c r="R5429" s="10" t="s">
        <v>7868</v>
      </c>
      <c r="S5429" s="11" t="s">
        <v>31874</v>
      </c>
      <c r="T5429" s="6"/>
      <c r="U5429" s="24" t="str">
        <f>HYPERLINK("https://media.infra-m.ru/1910/1910656/cover/1910656.jpg", "Обложка")</f>
        <v>Обложка</v>
      </c>
      <c r="V5429" s="24" t="str">
        <f>HYPERLINK("https://znanium.ru/catalog/product/2178526", "Ознакомиться")</f>
        <v>Ознакомиться</v>
      </c>
      <c r="W5429" s="8"/>
      <c r="X5429" s="6"/>
      <c r="Y5429" s="6"/>
      <c r="Z5429" s="6"/>
      <c r="AA5429" s="6" t="s">
        <v>122</v>
      </c>
      <c r="AB5429" s="8"/>
    </row>
    <row r="5430" spans="1:28" s="4" customFormat="1" ht="51.95" customHeight="1">
      <c r="A5430" s="5">
        <v>0</v>
      </c>
      <c r="B5430" s="6" t="s">
        <v>31875</v>
      </c>
      <c r="C5430" s="13">
        <v>1010</v>
      </c>
      <c r="D5430" s="8" t="s">
        <v>31876</v>
      </c>
      <c r="E5430" s="8" t="s">
        <v>31877</v>
      </c>
      <c r="F5430" s="8" t="s">
        <v>31878</v>
      </c>
      <c r="G5430" s="6" t="s">
        <v>89</v>
      </c>
      <c r="H5430" s="6" t="s">
        <v>53</v>
      </c>
      <c r="I5430" s="8" t="s">
        <v>276</v>
      </c>
      <c r="J5430" s="9">
        <v>1</v>
      </c>
      <c r="K5430" s="9">
        <v>215</v>
      </c>
      <c r="L5430" s="9">
        <v>2022</v>
      </c>
      <c r="M5430" s="8" t="s">
        <v>31879</v>
      </c>
      <c r="N5430" s="8" t="s">
        <v>41</v>
      </c>
      <c r="O5430" s="8" t="s">
        <v>118</v>
      </c>
      <c r="P5430" s="6" t="s">
        <v>167</v>
      </c>
      <c r="Q5430" s="8" t="s">
        <v>279</v>
      </c>
      <c r="R5430" s="10" t="s">
        <v>31880</v>
      </c>
      <c r="S5430" s="11" t="s">
        <v>31881</v>
      </c>
      <c r="T5430" s="6"/>
      <c r="U5430" s="24" t="str">
        <f>HYPERLINK("https://media.infra-m.ru/1852/1852179/cover/1852179.jpg", "Обложка")</f>
        <v>Обложка</v>
      </c>
      <c r="V5430" s="24" t="str">
        <f>HYPERLINK("https://znanium.ru/catalog/product/1852179", "Ознакомиться")</f>
        <v>Ознакомиться</v>
      </c>
      <c r="W5430" s="8" t="s">
        <v>947</v>
      </c>
      <c r="X5430" s="6"/>
      <c r="Y5430" s="6"/>
      <c r="Z5430" s="6"/>
      <c r="AA5430" s="6" t="s">
        <v>793</v>
      </c>
      <c r="AB5430" s="8"/>
    </row>
    <row r="5431" spans="1:28" s="4" customFormat="1" ht="51.95" customHeight="1">
      <c r="A5431" s="5">
        <v>0</v>
      </c>
      <c r="B5431" s="6" t="s">
        <v>31882</v>
      </c>
      <c r="C5431" s="7">
        <v>994.9</v>
      </c>
      <c r="D5431" s="8" t="s">
        <v>31883</v>
      </c>
      <c r="E5431" s="8" t="s">
        <v>31884</v>
      </c>
      <c r="F5431" s="8" t="s">
        <v>31885</v>
      </c>
      <c r="G5431" s="6" t="s">
        <v>89</v>
      </c>
      <c r="H5431" s="6" t="s">
        <v>53</v>
      </c>
      <c r="I5431" s="8" t="s">
        <v>1223</v>
      </c>
      <c r="J5431" s="9">
        <v>1</v>
      </c>
      <c r="K5431" s="9">
        <v>211</v>
      </c>
      <c r="L5431" s="9">
        <v>2023</v>
      </c>
      <c r="M5431" s="8" t="s">
        <v>31886</v>
      </c>
      <c r="N5431" s="8" t="s">
        <v>79</v>
      </c>
      <c r="O5431" s="8" t="s">
        <v>80</v>
      </c>
      <c r="P5431" s="6" t="s">
        <v>43</v>
      </c>
      <c r="Q5431" s="8" t="s">
        <v>44</v>
      </c>
      <c r="R5431" s="10" t="s">
        <v>31887</v>
      </c>
      <c r="S5431" s="11" t="s">
        <v>31888</v>
      </c>
      <c r="T5431" s="6"/>
      <c r="U5431" s="24" t="str">
        <f>HYPERLINK("https://media.infra-m.ru/1897/1897680/cover/1897680.jpg", "Обложка")</f>
        <v>Обложка</v>
      </c>
      <c r="V5431" s="24" t="str">
        <f>HYPERLINK("https://znanium.ru/catalog/product/1771045", "Ознакомиться")</f>
        <v>Ознакомиться</v>
      </c>
      <c r="W5431" s="8" t="s">
        <v>83</v>
      </c>
      <c r="X5431" s="6"/>
      <c r="Y5431" s="6"/>
      <c r="Z5431" s="6"/>
      <c r="AA5431" s="6" t="s">
        <v>258</v>
      </c>
      <c r="AB5431" s="8"/>
    </row>
    <row r="5432" spans="1:28" s="4" customFormat="1" ht="51.95" customHeight="1">
      <c r="A5432" s="5">
        <v>0</v>
      </c>
      <c r="B5432" s="6" t="s">
        <v>31889</v>
      </c>
      <c r="C5432" s="13">
        <v>1174</v>
      </c>
      <c r="D5432" s="8" t="s">
        <v>31890</v>
      </c>
      <c r="E5432" s="8" t="s">
        <v>31891</v>
      </c>
      <c r="F5432" s="8" t="s">
        <v>16343</v>
      </c>
      <c r="G5432" s="6" t="s">
        <v>52</v>
      </c>
      <c r="H5432" s="6" t="s">
        <v>649</v>
      </c>
      <c r="I5432" s="8" t="s">
        <v>116</v>
      </c>
      <c r="J5432" s="9">
        <v>1</v>
      </c>
      <c r="K5432" s="9">
        <v>256</v>
      </c>
      <c r="L5432" s="9">
        <v>2024</v>
      </c>
      <c r="M5432" s="8" t="s">
        <v>31892</v>
      </c>
      <c r="N5432" s="8" t="s">
        <v>41</v>
      </c>
      <c r="O5432" s="8" t="s">
        <v>118</v>
      </c>
      <c r="P5432" s="6" t="s">
        <v>43</v>
      </c>
      <c r="Q5432" s="8" t="s">
        <v>44</v>
      </c>
      <c r="R5432" s="10" t="s">
        <v>31893</v>
      </c>
      <c r="S5432" s="11" t="s">
        <v>5728</v>
      </c>
      <c r="T5432" s="6"/>
      <c r="U5432" s="24" t="str">
        <f>HYPERLINK("https://media.infra-m.ru/2082/2082880/cover/2082880.jpg", "Обложка")</f>
        <v>Обложка</v>
      </c>
      <c r="V5432" s="24" t="str">
        <f>HYPERLINK("https://znanium.ru/catalog/product/1217284", "Ознакомиться")</f>
        <v>Ознакомиться</v>
      </c>
      <c r="W5432" s="8" t="s">
        <v>5635</v>
      </c>
      <c r="X5432" s="6"/>
      <c r="Y5432" s="6"/>
      <c r="Z5432" s="6"/>
      <c r="AA5432" s="6" t="s">
        <v>122</v>
      </c>
      <c r="AB5432" s="8"/>
    </row>
    <row r="5433" spans="1:28" s="4" customFormat="1" ht="51.95" customHeight="1">
      <c r="A5433" s="5">
        <v>0</v>
      </c>
      <c r="B5433" s="6" t="s">
        <v>31894</v>
      </c>
      <c r="C5433" s="7">
        <v>884</v>
      </c>
      <c r="D5433" s="8" t="s">
        <v>31895</v>
      </c>
      <c r="E5433" s="8" t="s">
        <v>31896</v>
      </c>
      <c r="F5433" s="8" t="s">
        <v>31897</v>
      </c>
      <c r="G5433" s="6" t="s">
        <v>52</v>
      </c>
      <c r="H5433" s="6" t="s">
        <v>649</v>
      </c>
      <c r="I5433" s="8" t="s">
        <v>116</v>
      </c>
      <c r="J5433" s="9">
        <v>1</v>
      </c>
      <c r="K5433" s="9">
        <v>176</v>
      </c>
      <c r="L5433" s="9">
        <v>2025</v>
      </c>
      <c r="M5433" s="8" t="s">
        <v>31898</v>
      </c>
      <c r="N5433" s="8" t="s">
        <v>41</v>
      </c>
      <c r="O5433" s="8" t="s">
        <v>1007</v>
      </c>
      <c r="P5433" s="6" t="s">
        <v>43</v>
      </c>
      <c r="Q5433" s="8" t="s">
        <v>44</v>
      </c>
      <c r="R5433" s="10" t="s">
        <v>1008</v>
      </c>
      <c r="S5433" s="11" t="s">
        <v>18146</v>
      </c>
      <c r="T5433" s="6"/>
      <c r="U5433" s="24" t="str">
        <f>HYPERLINK("https://media.infra-m.ru/2188/2188339/cover/2188339.jpg", "Обложка")</f>
        <v>Обложка</v>
      </c>
      <c r="V5433" s="24" t="str">
        <f>HYPERLINK("https://znanium.ru/catalog/product/920529", "Ознакомиться")</f>
        <v>Ознакомиться</v>
      </c>
      <c r="W5433" s="8" t="s">
        <v>31899</v>
      </c>
      <c r="X5433" s="6"/>
      <c r="Y5433" s="6"/>
      <c r="Z5433" s="6"/>
      <c r="AA5433" s="6" t="s">
        <v>122</v>
      </c>
      <c r="AB5433" s="8"/>
    </row>
    <row r="5434" spans="1:28" s="4" customFormat="1" ht="51.95" customHeight="1">
      <c r="A5434" s="5">
        <v>0</v>
      </c>
      <c r="B5434" s="6" t="s">
        <v>31900</v>
      </c>
      <c r="C5434" s="13">
        <v>1284</v>
      </c>
      <c r="D5434" s="8" t="s">
        <v>31901</v>
      </c>
      <c r="E5434" s="8" t="s">
        <v>31902</v>
      </c>
      <c r="F5434" s="8" t="s">
        <v>31903</v>
      </c>
      <c r="G5434" s="6" t="s">
        <v>52</v>
      </c>
      <c r="H5434" s="6" t="s">
        <v>53</v>
      </c>
      <c r="I5434" s="8" t="s">
        <v>90</v>
      </c>
      <c r="J5434" s="9">
        <v>1</v>
      </c>
      <c r="K5434" s="9">
        <v>256</v>
      </c>
      <c r="L5434" s="9">
        <v>2025</v>
      </c>
      <c r="M5434" s="8" t="s">
        <v>31904</v>
      </c>
      <c r="N5434" s="8" t="s">
        <v>41</v>
      </c>
      <c r="O5434" s="8" t="s">
        <v>118</v>
      </c>
      <c r="P5434" s="6" t="s">
        <v>43</v>
      </c>
      <c r="Q5434" s="8" t="s">
        <v>44</v>
      </c>
      <c r="R5434" s="10" t="s">
        <v>31905</v>
      </c>
      <c r="S5434" s="11" t="s">
        <v>27749</v>
      </c>
      <c r="T5434" s="6"/>
      <c r="U5434" s="24" t="str">
        <f>HYPERLINK("https://media.infra-m.ru/2192/2192163/cover/2192163.jpg", "Обложка")</f>
        <v>Обложка</v>
      </c>
      <c r="V5434" s="24" t="str">
        <f>HYPERLINK("https://znanium.ru/catalog/product/1843604", "Ознакомиться")</f>
        <v>Ознакомиться</v>
      </c>
      <c r="W5434" s="8" t="s">
        <v>189</v>
      </c>
      <c r="X5434" s="6"/>
      <c r="Y5434" s="6"/>
      <c r="Z5434" s="6"/>
      <c r="AA5434" s="6" t="s">
        <v>122</v>
      </c>
      <c r="AB5434" s="8"/>
    </row>
    <row r="5435" spans="1:28" s="4" customFormat="1" ht="51.95" customHeight="1">
      <c r="A5435" s="5">
        <v>0</v>
      </c>
      <c r="B5435" s="6" t="s">
        <v>31906</v>
      </c>
      <c r="C5435" s="7">
        <v>784.9</v>
      </c>
      <c r="D5435" s="8" t="s">
        <v>31907</v>
      </c>
      <c r="E5435" s="8" t="s">
        <v>31908</v>
      </c>
      <c r="F5435" s="8" t="s">
        <v>31909</v>
      </c>
      <c r="G5435" s="6" t="s">
        <v>52</v>
      </c>
      <c r="H5435" s="6" t="s">
        <v>53</v>
      </c>
      <c r="I5435" s="8" t="s">
        <v>90</v>
      </c>
      <c r="J5435" s="9">
        <v>1</v>
      </c>
      <c r="K5435" s="9">
        <v>174</v>
      </c>
      <c r="L5435" s="9">
        <v>2023</v>
      </c>
      <c r="M5435" s="8" t="s">
        <v>31910</v>
      </c>
      <c r="N5435" s="8" t="s">
        <v>41</v>
      </c>
      <c r="O5435" s="8" t="s">
        <v>118</v>
      </c>
      <c r="P5435" s="6" t="s">
        <v>43</v>
      </c>
      <c r="Q5435" s="8" t="s">
        <v>44</v>
      </c>
      <c r="R5435" s="10" t="s">
        <v>7881</v>
      </c>
      <c r="S5435" s="11" t="s">
        <v>31911</v>
      </c>
      <c r="T5435" s="6" t="s">
        <v>299</v>
      </c>
      <c r="U5435" s="24" t="str">
        <f>HYPERLINK("https://media.infra-m.ru/1903/1903900/cover/1903900.jpg", "Обложка")</f>
        <v>Обложка</v>
      </c>
      <c r="V5435" s="24" t="str">
        <f>HYPERLINK("https://znanium.ru/catalog/product/1361641", "Ознакомиться")</f>
        <v>Ознакомиться</v>
      </c>
      <c r="W5435" s="8" t="s">
        <v>4109</v>
      </c>
      <c r="X5435" s="6"/>
      <c r="Y5435" s="6"/>
      <c r="Z5435" s="6"/>
      <c r="AA5435" s="6" t="s">
        <v>111</v>
      </c>
      <c r="AB5435" s="8"/>
    </row>
    <row r="5436" spans="1:28" s="4" customFormat="1" ht="51.95" customHeight="1">
      <c r="A5436" s="5">
        <v>0</v>
      </c>
      <c r="B5436" s="6" t="s">
        <v>31912</v>
      </c>
      <c r="C5436" s="7">
        <v>904.9</v>
      </c>
      <c r="D5436" s="8" t="s">
        <v>31913</v>
      </c>
      <c r="E5436" s="8" t="s">
        <v>31914</v>
      </c>
      <c r="F5436" s="8" t="s">
        <v>12292</v>
      </c>
      <c r="G5436" s="6" t="s">
        <v>89</v>
      </c>
      <c r="H5436" s="6" t="s">
        <v>53</v>
      </c>
      <c r="I5436" s="8" t="s">
        <v>90</v>
      </c>
      <c r="J5436" s="9">
        <v>1</v>
      </c>
      <c r="K5436" s="9">
        <v>238</v>
      </c>
      <c r="L5436" s="9">
        <v>2022</v>
      </c>
      <c r="M5436" s="8" t="s">
        <v>31915</v>
      </c>
      <c r="N5436" s="8" t="s">
        <v>41</v>
      </c>
      <c r="O5436" s="8" t="s">
        <v>278</v>
      </c>
      <c r="P5436" s="6" t="s">
        <v>167</v>
      </c>
      <c r="Q5436" s="8" t="s">
        <v>44</v>
      </c>
      <c r="R5436" s="10" t="s">
        <v>21943</v>
      </c>
      <c r="S5436" s="11" t="s">
        <v>31916</v>
      </c>
      <c r="T5436" s="6" t="s">
        <v>299</v>
      </c>
      <c r="U5436" s="24" t="str">
        <f>HYPERLINK("https://media.infra-m.ru/1856/1856249/cover/1856249.jpg", "Обложка")</f>
        <v>Обложка</v>
      </c>
      <c r="V5436" s="24" t="str">
        <f>HYPERLINK("https://znanium.ru/catalog/product/1073056", "Ознакомиться")</f>
        <v>Ознакомиться</v>
      </c>
      <c r="W5436" s="8" t="s">
        <v>12269</v>
      </c>
      <c r="X5436" s="6"/>
      <c r="Y5436" s="6"/>
      <c r="Z5436" s="6"/>
      <c r="AA5436" s="6" t="s">
        <v>111</v>
      </c>
      <c r="AB5436" s="8"/>
    </row>
    <row r="5437" spans="1:28" s="4" customFormat="1" ht="51.95" customHeight="1">
      <c r="A5437" s="5">
        <v>0</v>
      </c>
      <c r="B5437" s="6" t="s">
        <v>31917</v>
      </c>
      <c r="C5437" s="7">
        <v>814</v>
      </c>
      <c r="D5437" s="8" t="s">
        <v>31918</v>
      </c>
      <c r="E5437" s="8" t="s">
        <v>31914</v>
      </c>
      <c r="F5437" s="8" t="s">
        <v>31919</v>
      </c>
      <c r="G5437" s="6" t="s">
        <v>38</v>
      </c>
      <c r="H5437" s="6" t="s">
        <v>39</v>
      </c>
      <c r="I5437" s="8"/>
      <c r="J5437" s="9">
        <v>1</v>
      </c>
      <c r="K5437" s="9">
        <v>176</v>
      </c>
      <c r="L5437" s="9">
        <v>2024</v>
      </c>
      <c r="M5437" s="8" t="s">
        <v>31920</v>
      </c>
      <c r="N5437" s="8" t="s">
        <v>41</v>
      </c>
      <c r="O5437" s="8" t="s">
        <v>278</v>
      </c>
      <c r="P5437" s="6" t="s">
        <v>43</v>
      </c>
      <c r="Q5437" s="8" t="s">
        <v>44</v>
      </c>
      <c r="R5437" s="10" t="s">
        <v>157</v>
      </c>
      <c r="S5437" s="11" t="s">
        <v>6083</v>
      </c>
      <c r="T5437" s="6"/>
      <c r="U5437" s="24" t="str">
        <f>HYPERLINK("https://media.infra-m.ru/2061/2061194/cover/2061194.jpg", "Обложка")</f>
        <v>Обложка</v>
      </c>
      <c r="V5437" s="12"/>
      <c r="W5437" s="8" t="s">
        <v>189</v>
      </c>
      <c r="X5437" s="6"/>
      <c r="Y5437" s="6"/>
      <c r="Z5437" s="6"/>
      <c r="AA5437" s="6" t="s">
        <v>622</v>
      </c>
      <c r="AB5437" s="8"/>
    </row>
    <row r="5438" spans="1:28" s="4" customFormat="1" ht="51.95" customHeight="1">
      <c r="A5438" s="5">
        <v>0</v>
      </c>
      <c r="B5438" s="6" t="s">
        <v>31921</v>
      </c>
      <c r="C5438" s="13">
        <v>1630</v>
      </c>
      <c r="D5438" s="8" t="s">
        <v>31922</v>
      </c>
      <c r="E5438" s="8" t="s">
        <v>31923</v>
      </c>
      <c r="F5438" s="8" t="s">
        <v>13384</v>
      </c>
      <c r="G5438" s="6" t="s">
        <v>89</v>
      </c>
      <c r="H5438" s="6" t="s">
        <v>53</v>
      </c>
      <c r="I5438" s="8" t="s">
        <v>90</v>
      </c>
      <c r="J5438" s="9">
        <v>1</v>
      </c>
      <c r="K5438" s="9">
        <v>428</v>
      </c>
      <c r="L5438" s="9">
        <v>2021</v>
      </c>
      <c r="M5438" s="8" t="s">
        <v>31924</v>
      </c>
      <c r="N5438" s="8" t="s">
        <v>41</v>
      </c>
      <c r="O5438" s="8" t="s">
        <v>118</v>
      </c>
      <c r="P5438" s="6" t="s">
        <v>167</v>
      </c>
      <c r="Q5438" s="8" t="s">
        <v>58</v>
      </c>
      <c r="R5438" s="10" t="s">
        <v>2461</v>
      </c>
      <c r="S5438" s="11" t="s">
        <v>13394</v>
      </c>
      <c r="T5438" s="6"/>
      <c r="U5438" s="24" t="str">
        <f>HYPERLINK("https://media.infra-m.ru/1839/1839591/cover/1839591.jpg", "Обложка")</f>
        <v>Обложка</v>
      </c>
      <c r="V5438" s="24" t="str">
        <f>HYPERLINK("https://znanium.ru/catalog/product/1524028", "Ознакомиться")</f>
        <v>Ознакомиться</v>
      </c>
      <c r="W5438" s="8" t="s">
        <v>13388</v>
      </c>
      <c r="X5438" s="6"/>
      <c r="Y5438" s="6"/>
      <c r="Z5438" s="6"/>
      <c r="AA5438" s="6" t="s">
        <v>219</v>
      </c>
      <c r="AB5438" s="8"/>
    </row>
    <row r="5439" spans="1:28" s="4" customFormat="1" ht="51.95" customHeight="1">
      <c r="A5439" s="5">
        <v>0</v>
      </c>
      <c r="B5439" s="6" t="s">
        <v>31925</v>
      </c>
      <c r="C5439" s="13">
        <v>1494</v>
      </c>
      <c r="D5439" s="8" t="s">
        <v>31926</v>
      </c>
      <c r="E5439" s="8" t="s">
        <v>31927</v>
      </c>
      <c r="F5439" s="8" t="s">
        <v>31928</v>
      </c>
      <c r="G5439" s="6" t="s">
        <v>52</v>
      </c>
      <c r="H5439" s="6" t="s">
        <v>66</v>
      </c>
      <c r="I5439" s="8" t="s">
        <v>30188</v>
      </c>
      <c r="J5439" s="9">
        <v>1</v>
      </c>
      <c r="K5439" s="9">
        <v>287</v>
      </c>
      <c r="L5439" s="9">
        <v>2025</v>
      </c>
      <c r="M5439" s="8" t="s">
        <v>31929</v>
      </c>
      <c r="N5439" s="8" t="s">
        <v>41</v>
      </c>
      <c r="O5439" s="8" t="s">
        <v>118</v>
      </c>
      <c r="P5439" s="6" t="s">
        <v>43</v>
      </c>
      <c r="Q5439" s="8" t="s">
        <v>44</v>
      </c>
      <c r="R5439" s="10" t="s">
        <v>31930</v>
      </c>
      <c r="S5439" s="11" t="s">
        <v>31931</v>
      </c>
      <c r="T5439" s="6"/>
      <c r="U5439" s="24" t="str">
        <f>HYPERLINK("https://media.infra-m.ru/2197/2197614/cover/2197614.jpg", "Обложка")</f>
        <v>Обложка</v>
      </c>
      <c r="V5439" s="24" t="str">
        <f>HYPERLINK("https://znanium.ru/catalog/product/1816976", "Ознакомиться")</f>
        <v>Ознакомиться</v>
      </c>
      <c r="W5439" s="8" t="s">
        <v>744</v>
      </c>
      <c r="X5439" s="6"/>
      <c r="Y5439" s="6"/>
      <c r="Z5439" s="6"/>
      <c r="AA5439" s="6" t="s">
        <v>2217</v>
      </c>
      <c r="AB5439" s="8"/>
    </row>
    <row r="5440" spans="1:28" s="4" customFormat="1" ht="42" customHeight="1">
      <c r="A5440" s="5">
        <v>0</v>
      </c>
      <c r="B5440" s="6" t="s">
        <v>31932</v>
      </c>
      <c r="C5440" s="13">
        <v>1684</v>
      </c>
      <c r="D5440" s="8" t="s">
        <v>31933</v>
      </c>
      <c r="E5440" s="8" t="s">
        <v>31934</v>
      </c>
      <c r="F5440" s="8" t="s">
        <v>31935</v>
      </c>
      <c r="G5440" s="6" t="s">
        <v>52</v>
      </c>
      <c r="H5440" s="6" t="s">
        <v>53</v>
      </c>
      <c r="I5440" s="8" t="s">
        <v>276</v>
      </c>
      <c r="J5440" s="9">
        <v>1</v>
      </c>
      <c r="K5440" s="9">
        <v>336</v>
      </c>
      <c r="L5440" s="9">
        <v>2025</v>
      </c>
      <c r="M5440" s="8" t="s">
        <v>31936</v>
      </c>
      <c r="N5440" s="8" t="s">
        <v>41</v>
      </c>
      <c r="O5440" s="8" t="s">
        <v>118</v>
      </c>
      <c r="P5440" s="6" t="s">
        <v>167</v>
      </c>
      <c r="Q5440" s="8" t="s">
        <v>279</v>
      </c>
      <c r="R5440" s="10" t="s">
        <v>7881</v>
      </c>
      <c r="S5440" s="11"/>
      <c r="T5440" s="6"/>
      <c r="U5440" s="24" t="str">
        <f>HYPERLINK("https://media.infra-m.ru/2172/2172245/cover/2172245.jpg", "Обложка")</f>
        <v>Обложка</v>
      </c>
      <c r="V5440" s="24" t="str">
        <f>HYPERLINK("https://znanium.ru/catalog/product/1844310", "Ознакомиться")</f>
        <v>Ознакомиться</v>
      </c>
      <c r="W5440" s="8" t="s">
        <v>2216</v>
      </c>
      <c r="X5440" s="6"/>
      <c r="Y5440" s="6"/>
      <c r="Z5440" s="6"/>
      <c r="AA5440" s="6" t="s">
        <v>47</v>
      </c>
      <c r="AB5440" s="8"/>
    </row>
    <row r="5441" spans="1:28" s="4" customFormat="1" ht="51.95" customHeight="1">
      <c r="A5441" s="5">
        <v>0</v>
      </c>
      <c r="B5441" s="6" t="s">
        <v>31937</v>
      </c>
      <c r="C5441" s="13">
        <v>1904</v>
      </c>
      <c r="D5441" s="8" t="s">
        <v>31938</v>
      </c>
      <c r="E5441" s="8" t="s">
        <v>31939</v>
      </c>
      <c r="F5441" s="8" t="s">
        <v>31940</v>
      </c>
      <c r="G5441" s="6" t="s">
        <v>52</v>
      </c>
      <c r="H5441" s="6" t="s">
        <v>53</v>
      </c>
      <c r="I5441" s="8" t="s">
        <v>90</v>
      </c>
      <c r="J5441" s="9">
        <v>1</v>
      </c>
      <c r="K5441" s="9">
        <v>478</v>
      </c>
      <c r="L5441" s="9">
        <v>2024</v>
      </c>
      <c r="M5441" s="8" t="s">
        <v>31941</v>
      </c>
      <c r="N5441" s="8" t="s">
        <v>41</v>
      </c>
      <c r="O5441" s="8" t="s">
        <v>118</v>
      </c>
      <c r="P5441" s="6" t="s">
        <v>167</v>
      </c>
      <c r="Q5441" s="8" t="s">
        <v>44</v>
      </c>
      <c r="R5441" s="10" t="s">
        <v>7881</v>
      </c>
      <c r="S5441" s="11" t="s">
        <v>31942</v>
      </c>
      <c r="T5441" s="6"/>
      <c r="U5441" s="24" t="str">
        <f>HYPERLINK("https://media.infra-m.ru/2091/2091933/cover/2091933.jpg", "Обложка")</f>
        <v>Обложка</v>
      </c>
      <c r="V5441" s="24" t="str">
        <f>HYPERLINK("https://znanium.ru/catalog/product/2091933", "Ознакомиться")</f>
        <v>Ознакомиться</v>
      </c>
      <c r="W5441" s="8" t="s">
        <v>6124</v>
      </c>
      <c r="X5441" s="6"/>
      <c r="Y5441" s="6"/>
      <c r="Z5441" s="6"/>
      <c r="AA5441" s="6" t="s">
        <v>47</v>
      </c>
      <c r="AB5441" s="8"/>
    </row>
    <row r="5442" spans="1:28" s="4" customFormat="1" ht="21.95" customHeight="1">
      <c r="A5442" s="5">
        <v>0</v>
      </c>
      <c r="B5442" s="6" t="s">
        <v>31943</v>
      </c>
      <c r="C5442" s="7">
        <v>284.89999999999998</v>
      </c>
      <c r="D5442" s="8" t="s">
        <v>31944</v>
      </c>
      <c r="E5442" s="8" t="s">
        <v>31945</v>
      </c>
      <c r="F5442" s="8" t="s">
        <v>22045</v>
      </c>
      <c r="G5442" s="6" t="s">
        <v>38</v>
      </c>
      <c r="H5442" s="6" t="s">
        <v>39</v>
      </c>
      <c r="I5442" s="8" t="s">
        <v>90</v>
      </c>
      <c r="J5442" s="9">
        <v>1</v>
      </c>
      <c r="K5442" s="9">
        <v>104</v>
      </c>
      <c r="L5442" s="9">
        <v>2017</v>
      </c>
      <c r="M5442" s="8" t="s">
        <v>31946</v>
      </c>
      <c r="N5442" s="8" t="s">
        <v>79</v>
      </c>
      <c r="O5442" s="8" t="s">
        <v>570</v>
      </c>
      <c r="P5442" s="6" t="s">
        <v>43</v>
      </c>
      <c r="Q5442" s="8" t="s">
        <v>44</v>
      </c>
      <c r="R5442" s="10" t="s">
        <v>14672</v>
      </c>
      <c r="S5442" s="11"/>
      <c r="T5442" s="6"/>
      <c r="U5442" s="12"/>
      <c r="V5442" s="24" t="str">
        <f>HYPERLINK("https://znanium.ru/catalog/product/2123406", "Ознакомиться")</f>
        <v>Ознакомиться</v>
      </c>
      <c r="W5442" s="8" t="s">
        <v>450</v>
      </c>
      <c r="X5442" s="6"/>
      <c r="Y5442" s="6"/>
      <c r="Z5442" s="6"/>
      <c r="AA5442" s="6" t="s">
        <v>494</v>
      </c>
      <c r="AB5442" s="8"/>
    </row>
    <row r="5443" spans="1:28" s="4" customFormat="1" ht="51.95" customHeight="1">
      <c r="A5443" s="5">
        <v>0</v>
      </c>
      <c r="B5443" s="6" t="s">
        <v>31947</v>
      </c>
      <c r="C5443" s="7">
        <v>614</v>
      </c>
      <c r="D5443" s="8" t="s">
        <v>31948</v>
      </c>
      <c r="E5443" s="8" t="s">
        <v>31949</v>
      </c>
      <c r="F5443" s="8" t="s">
        <v>17051</v>
      </c>
      <c r="G5443" s="6" t="s">
        <v>38</v>
      </c>
      <c r="H5443" s="6" t="s">
        <v>39</v>
      </c>
      <c r="I5443" s="8"/>
      <c r="J5443" s="9">
        <v>1</v>
      </c>
      <c r="K5443" s="9">
        <v>107</v>
      </c>
      <c r="L5443" s="9">
        <v>2025</v>
      </c>
      <c r="M5443" s="8" t="s">
        <v>31950</v>
      </c>
      <c r="N5443" s="8" t="s">
        <v>413</v>
      </c>
      <c r="O5443" s="8" t="s">
        <v>414</v>
      </c>
      <c r="P5443" s="6" t="s">
        <v>43</v>
      </c>
      <c r="Q5443" s="8" t="s">
        <v>44</v>
      </c>
      <c r="R5443" s="10" t="s">
        <v>14672</v>
      </c>
      <c r="S5443" s="11" t="s">
        <v>17053</v>
      </c>
      <c r="T5443" s="6"/>
      <c r="U5443" s="24" t="str">
        <f>HYPERLINK("https://media.infra-m.ru/2192/2192253/cover/2192253.jpg", "Обложка")</f>
        <v>Обложка</v>
      </c>
      <c r="V5443" s="24" t="str">
        <f>HYPERLINK("https://znanium.ru/catalog/product/2123406", "Ознакомиться")</f>
        <v>Ознакомиться</v>
      </c>
      <c r="W5443" s="8" t="s">
        <v>450</v>
      </c>
      <c r="X5443" s="6"/>
      <c r="Y5443" s="6"/>
      <c r="Z5443" s="6"/>
      <c r="AA5443" s="6" t="s">
        <v>707</v>
      </c>
      <c r="AB5443" s="8"/>
    </row>
    <row r="5444" spans="1:28" s="4" customFormat="1" ht="51.95" customHeight="1">
      <c r="A5444" s="5">
        <v>0</v>
      </c>
      <c r="B5444" s="6" t="s">
        <v>31951</v>
      </c>
      <c r="C5444" s="13">
        <v>2084</v>
      </c>
      <c r="D5444" s="8" t="s">
        <v>31952</v>
      </c>
      <c r="E5444" s="8" t="s">
        <v>31953</v>
      </c>
      <c r="F5444" s="8" t="s">
        <v>13951</v>
      </c>
      <c r="G5444" s="6" t="s">
        <v>52</v>
      </c>
      <c r="H5444" s="6" t="s">
        <v>39</v>
      </c>
      <c r="I5444" s="8" t="s">
        <v>90</v>
      </c>
      <c r="J5444" s="9">
        <v>1</v>
      </c>
      <c r="K5444" s="9">
        <v>416</v>
      </c>
      <c r="L5444" s="9">
        <v>2025</v>
      </c>
      <c r="M5444" s="8" t="s">
        <v>31954</v>
      </c>
      <c r="N5444" s="8" t="s">
        <v>41</v>
      </c>
      <c r="O5444" s="8" t="s">
        <v>278</v>
      </c>
      <c r="P5444" s="6" t="s">
        <v>43</v>
      </c>
      <c r="Q5444" s="8" t="s">
        <v>44</v>
      </c>
      <c r="R5444" s="10" t="s">
        <v>31955</v>
      </c>
      <c r="S5444" s="11" t="s">
        <v>31956</v>
      </c>
      <c r="T5444" s="6"/>
      <c r="U5444" s="24" t="str">
        <f>HYPERLINK("https://media.infra-m.ru/2173/2173978/cover/2173978.jpg", "Обложка")</f>
        <v>Обложка</v>
      </c>
      <c r="V5444" s="24" t="str">
        <f>HYPERLINK("https://znanium.ru/catalog/product/1082301", "Ознакомиться")</f>
        <v>Ознакомиться</v>
      </c>
      <c r="W5444" s="8" t="s">
        <v>189</v>
      </c>
      <c r="X5444" s="6"/>
      <c r="Y5444" s="6"/>
      <c r="Z5444" s="6"/>
      <c r="AA5444" s="6" t="s">
        <v>47</v>
      </c>
      <c r="AB5444" s="8"/>
    </row>
    <row r="5445" spans="1:28" s="4" customFormat="1" ht="51.95" customHeight="1">
      <c r="A5445" s="5">
        <v>0</v>
      </c>
      <c r="B5445" s="6" t="s">
        <v>31957</v>
      </c>
      <c r="C5445" s="13">
        <v>1430</v>
      </c>
      <c r="D5445" s="8" t="s">
        <v>31958</v>
      </c>
      <c r="E5445" s="8" t="s">
        <v>31959</v>
      </c>
      <c r="F5445" s="8" t="s">
        <v>12511</v>
      </c>
      <c r="G5445" s="6" t="s">
        <v>52</v>
      </c>
      <c r="H5445" s="6" t="s">
        <v>53</v>
      </c>
      <c r="I5445" s="8" t="s">
        <v>100</v>
      </c>
      <c r="J5445" s="9">
        <v>1</v>
      </c>
      <c r="K5445" s="9">
        <v>386</v>
      </c>
      <c r="L5445" s="9">
        <v>2021</v>
      </c>
      <c r="M5445" s="8" t="s">
        <v>31960</v>
      </c>
      <c r="N5445" s="8" t="s">
        <v>41</v>
      </c>
      <c r="O5445" s="8" t="s">
        <v>278</v>
      </c>
      <c r="P5445" s="6" t="s">
        <v>43</v>
      </c>
      <c r="Q5445" s="8" t="s">
        <v>102</v>
      </c>
      <c r="R5445" s="10" t="s">
        <v>1801</v>
      </c>
      <c r="S5445" s="11" t="s">
        <v>31961</v>
      </c>
      <c r="T5445" s="6"/>
      <c r="U5445" s="24" t="str">
        <f>HYPERLINK("https://media.infra-m.ru/1480/1480100/cover/1480100.jpg", "Обложка")</f>
        <v>Обложка</v>
      </c>
      <c r="V5445" s="24" t="str">
        <f>HYPERLINK("https://znanium.ru/catalog/product/1480100", "Ознакомиться")</f>
        <v>Ознакомиться</v>
      </c>
      <c r="W5445" s="8" t="s">
        <v>243</v>
      </c>
      <c r="X5445" s="6"/>
      <c r="Y5445" s="6"/>
      <c r="Z5445" s="6" t="s">
        <v>104</v>
      </c>
      <c r="AA5445" s="6" t="s">
        <v>219</v>
      </c>
      <c r="AB5445" s="8"/>
    </row>
    <row r="5446" spans="1:28" s="4" customFormat="1" ht="51.95" customHeight="1">
      <c r="A5446" s="5">
        <v>0</v>
      </c>
      <c r="B5446" s="6" t="s">
        <v>31962</v>
      </c>
      <c r="C5446" s="13">
        <v>1734.9</v>
      </c>
      <c r="D5446" s="8" t="s">
        <v>31963</v>
      </c>
      <c r="E5446" s="8" t="s">
        <v>31959</v>
      </c>
      <c r="F5446" s="8" t="s">
        <v>12511</v>
      </c>
      <c r="G5446" s="6" t="s">
        <v>89</v>
      </c>
      <c r="H5446" s="6" t="s">
        <v>53</v>
      </c>
      <c r="I5446" s="8" t="s">
        <v>90</v>
      </c>
      <c r="J5446" s="9">
        <v>1</v>
      </c>
      <c r="K5446" s="9">
        <v>386</v>
      </c>
      <c r="L5446" s="9">
        <v>2023</v>
      </c>
      <c r="M5446" s="8" t="s">
        <v>31964</v>
      </c>
      <c r="N5446" s="8" t="s">
        <v>41</v>
      </c>
      <c r="O5446" s="8" t="s">
        <v>278</v>
      </c>
      <c r="P5446" s="6" t="s">
        <v>43</v>
      </c>
      <c r="Q5446" s="8" t="s">
        <v>44</v>
      </c>
      <c r="R5446" s="10" t="s">
        <v>17741</v>
      </c>
      <c r="S5446" s="11" t="s">
        <v>31965</v>
      </c>
      <c r="T5446" s="6"/>
      <c r="U5446" s="24" t="str">
        <f>HYPERLINK("https://media.infra-m.ru/2045/2045985/cover/2045985.jpg", "Обложка")</f>
        <v>Обложка</v>
      </c>
      <c r="V5446" s="24" t="str">
        <f>HYPERLINK("https://znanium.ru/catalog/product/2045985", "Ознакомиться")</f>
        <v>Ознакомиться</v>
      </c>
      <c r="W5446" s="8" t="s">
        <v>243</v>
      </c>
      <c r="X5446" s="6"/>
      <c r="Y5446" s="6"/>
      <c r="Z5446" s="6"/>
      <c r="AA5446" s="6" t="s">
        <v>219</v>
      </c>
      <c r="AB5446" s="8"/>
    </row>
    <row r="5447" spans="1:28" s="4" customFormat="1" ht="51.95" customHeight="1">
      <c r="A5447" s="5">
        <v>0</v>
      </c>
      <c r="B5447" s="6" t="s">
        <v>31966</v>
      </c>
      <c r="C5447" s="7">
        <v>904</v>
      </c>
      <c r="D5447" s="8" t="s">
        <v>31967</v>
      </c>
      <c r="E5447" s="8" t="s">
        <v>31968</v>
      </c>
      <c r="F5447" s="8" t="s">
        <v>31969</v>
      </c>
      <c r="G5447" s="6" t="s">
        <v>52</v>
      </c>
      <c r="H5447" s="6" t="s">
        <v>53</v>
      </c>
      <c r="I5447" s="8" t="s">
        <v>276</v>
      </c>
      <c r="J5447" s="9">
        <v>1</v>
      </c>
      <c r="K5447" s="9">
        <v>180</v>
      </c>
      <c r="L5447" s="9">
        <v>2025</v>
      </c>
      <c r="M5447" s="8" t="s">
        <v>31970</v>
      </c>
      <c r="N5447" s="8" t="s">
        <v>41</v>
      </c>
      <c r="O5447" s="8" t="s">
        <v>118</v>
      </c>
      <c r="P5447" s="6" t="s">
        <v>167</v>
      </c>
      <c r="Q5447" s="8" t="s">
        <v>44</v>
      </c>
      <c r="R5447" s="10" t="s">
        <v>31971</v>
      </c>
      <c r="S5447" s="11"/>
      <c r="T5447" s="6"/>
      <c r="U5447" s="24" t="str">
        <f>HYPERLINK("https://media.infra-m.ru/2173/2173979/cover/2173979.jpg", "Обложка")</f>
        <v>Обложка</v>
      </c>
      <c r="V5447" s="24" t="str">
        <f>HYPERLINK("https://znanium.ru/catalog/product/1247716", "Ознакомиться")</f>
        <v>Ознакомиться</v>
      </c>
      <c r="W5447" s="8" t="s">
        <v>1076</v>
      </c>
      <c r="X5447" s="6"/>
      <c r="Y5447" s="6"/>
      <c r="Z5447" s="6"/>
      <c r="AA5447" s="6" t="s">
        <v>47</v>
      </c>
      <c r="AB5447" s="8"/>
    </row>
    <row r="5448" spans="1:28" s="4" customFormat="1" ht="51.95" customHeight="1">
      <c r="A5448" s="5">
        <v>0</v>
      </c>
      <c r="B5448" s="6" t="s">
        <v>31972</v>
      </c>
      <c r="C5448" s="13">
        <v>1720</v>
      </c>
      <c r="D5448" s="8" t="s">
        <v>31973</v>
      </c>
      <c r="E5448" s="8" t="s">
        <v>31974</v>
      </c>
      <c r="F5448" s="8" t="s">
        <v>20638</v>
      </c>
      <c r="G5448" s="6" t="s">
        <v>89</v>
      </c>
      <c r="H5448" s="6" t="s">
        <v>53</v>
      </c>
      <c r="I5448" s="8" t="s">
        <v>116</v>
      </c>
      <c r="J5448" s="9">
        <v>1</v>
      </c>
      <c r="K5448" s="9">
        <v>365</v>
      </c>
      <c r="L5448" s="9">
        <v>2024</v>
      </c>
      <c r="M5448" s="8" t="s">
        <v>31975</v>
      </c>
      <c r="N5448" s="8" t="s">
        <v>41</v>
      </c>
      <c r="O5448" s="8" t="s">
        <v>118</v>
      </c>
      <c r="P5448" s="6" t="s">
        <v>43</v>
      </c>
      <c r="Q5448" s="8" t="s">
        <v>44</v>
      </c>
      <c r="R5448" s="10" t="s">
        <v>31976</v>
      </c>
      <c r="S5448" s="11" t="s">
        <v>31977</v>
      </c>
      <c r="T5448" s="6"/>
      <c r="U5448" s="24" t="str">
        <f>HYPERLINK("https://media.infra-m.ru/2136/2136702/cover/2136702.jpg", "Обложка")</f>
        <v>Обложка</v>
      </c>
      <c r="V5448" s="24" t="str">
        <f>HYPERLINK("https://znanium.ru/catalog/product/2136702", "Ознакомиться")</f>
        <v>Ознакомиться</v>
      </c>
      <c r="W5448" s="8" t="s">
        <v>1345</v>
      </c>
      <c r="X5448" s="6"/>
      <c r="Y5448" s="6"/>
      <c r="Z5448" s="6"/>
      <c r="AA5448" s="6" t="s">
        <v>9571</v>
      </c>
      <c r="AB5448" s="8"/>
    </row>
    <row r="5449" spans="1:28" s="4" customFormat="1" ht="51.95" customHeight="1">
      <c r="A5449" s="5">
        <v>0</v>
      </c>
      <c r="B5449" s="6" t="s">
        <v>31978</v>
      </c>
      <c r="C5449" s="13">
        <v>2300</v>
      </c>
      <c r="D5449" s="8" t="s">
        <v>31979</v>
      </c>
      <c r="E5449" s="8" t="s">
        <v>31980</v>
      </c>
      <c r="F5449" s="8" t="s">
        <v>31981</v>
      </c>
      <c r="G5449" s="6" t="s">
        <v>52</v>
      </c>
      <c r="H5449" s="6" t="s">
        <v>53</v>
      </c>
      <c r="I5449" s="8" t="s">
        <v>90</v>
      </c>
      <c r="J5449" s="9">
        <v>1</v>
      </c>
      <c r="K5449" s="9">
        <v>513</v>
      </c>
      <c r="L5449" s="9">
        <v>2023</v>
      </c>
      <c r="M5449" s="8" t="s">
        <v>31982</v>
      </c>
      <c r="N5449" s="8" t="s">
        <v>41</v>
      </c>
      <c r="O5449" s="8" t="s">
        <v>118</v>
      </c>
      <c r="P5449" s="6" t="s">
        <v>167</v>
      </c>
      <c r="Q5449" s="8" t="s">
        <v>44</v>
      </c>
      <c r="R5449" s="10" t="s">
        <v>10144</v>
      </c>
      <c r="S5449" s="11" t="s">
        <v>31983</v>
      </c>
      <c r="T5449" s="6"/>
      <c r="U5449" s="24" t="str">
        <f>HYPERLINK("https://media.infra-m.ru/2126/2126946/cover/2126946.jpg", "Обложка")</f>
        <v>Обложка</v>
      </c>
      <c r="V5449" s="24" t="str">
        <f>HYPERLINK("https://znanium.ru/catalog/product/2126946", "Ознакомиться")</f>
        <v>Ознакомиться</v>
      </c>
      <c r="W5449" s="8" t="s">
        <v>1826</v>
      </c>
      <c r="X5449" s="6"/>
      <c r="Y5449" s="6"/>
      <c r="Z5449" s="6"/>
      <c r="AA5449" s="6" t="s">
        <v>1374</v>
      </c>
      <c r="AB5449" s="8"/>
    </row>
    <row r="5450" spans="1:28" s="4" customFormat="1" ht="51.95" customHeight="1">
      <c r="A5450" s="5">
        <v>0</v>
      </c>
      <c r="B5450" s="6" t="s">
        <v>31984</v>
      </c>
      <c r="C5450" s="13">
        <v>2990</v>
      </c>
      <c r="D5450" s="8" t="s">
        <v>31985</v>
      </c>
      <c r="E5450" s="8" t="s">
        <v>31986</v>
      </c>
      <c r="F5450" s="8" t="s">
        <v>31987</v>
      </c>
      <c r="G5450" s="6" t="s">
        <v>52</v>
      </c>
      <c r="H5450" s="6" t="s">
        <v>53</v>
      </c>
      <c r="I5450" s="8" t="s">
        <v>116</v>
      </c>
      <c r="J5450" s="9">
        <v>1</v>
      </c>
      <c r="K5450" s="9">
        <v>695</v>
      </c>
      <c r="L5450" s="9">
        <v>2024</v>
      </c>
      <c r="M5450" s="8" t="s">
        <v>31988</v>
      </c>
      <c r="N5450" s="8" t="s">
        <v>41</v>
      </c>
      <c r="O5450" s="8" t="s">
        <v>118</v>
      </c>
      <c r="P5450" s="6" t="s">
        <v>167</v>
      </c>
      <c r="Q5450" s="8" t="s">
        <v>44</v>
      </c>
      <c r="R5450" s="10" t="s">
        <v>31989</v>
      </c>
      <c r="S5450" s="11" t="s">
        <v>31990</v>
      </c>
      <c r="T5450" s="6"/>
      <c r="U5450" s="24" t="str">
        <f>HYPERLINK("https://media.infra-m.ru/2136/2136701/cover/2136701.jpg", "Обложка")</f>
        <v>Обложка</v>
      </c>
      <c r="V5450" s="24" t="str">
        <f>HYPERLINK("https://znanium.ru/catalog/product/2136701", "Ознакомиться")</f>
        <v>Ознакомиться</v>
      </c>
      <c r="W5450" s="8" t="s">
        <v>1345</v>
      </c>
      <c r="X5450" s="6"/>
      <c r="Y5450" s="6"/>
      <c r="Z5450" s="6"/>
      <c r="AA5450" s="6" t="s">
        <v>10988</v>
      </c>
      <c r="AB5450" s="8"/>
    </row>
    <row r="5451" spans="1:28" s="4" customFormat="1" ht="51.95" customHeight="1">
      <c r="A5451" s="5">
        <v>0</v>
      </c>
      <c r="B5451" s="6" t="s">
        <v>31991</v>
      </c>
      <c r="C5451" s="13">
        <v>1350</v>
      </c>
      <c r="D5451" s="8" t="s">
        <v>31992</v>
      </c>
      <c r="E5451" s="8" t="s">
        <v>31993</v>
      </c>
      <c r="F5451" s="8" t="s">
        <v>31994</v>
      </c>
      <c r="G5451" s="6" t="s">
        <v>89</v>
      </c>
      <c r="H5451" s="6" t="s">
        <v>53</v>
      </c>
      <c r="I5451" s="8" t="s">
        <v>276</v>
      </c>
      <c r="J5451" s="9">
        <v>1</v>
      </c>
      <c r="K5451" s="9">
        <v>301</v>
      </c>
      <c r="L5451" s="9">
        <v>2024</v>
      </c>
      <c r="M5451" s="8" t="s">
        <v>31995</v>
      </c>
      <c r="N5451" s="8" t="s">
        <v>41</v>
      </c>
      <c r="O5451" s="8" t="s">
        <v>118</v>
      </c>
      <c r="P5451" s="6" t="s">
        <v>43</v>
      </c>
      <c r="Q5451" s="8" t="s">
        <v>279</v>
      </c>
      <c r="R5451" s="10" t="s">
        <v>31996</v>
      </c>
      <c r="S5451" s="11" t="s">
        <v>31997</v>
      </c>
      <c r="T5451" s="6"/>
      <c r="U5451" s="24" t="str">
        <f>HYPERLINK("https://media.infra-m.ru/2054/2054180/cover/2054180.jpg", "Обложка")</f>
        <v>Обложка</v>
      </c>
      <c r="V5451" s="24" t="str">
        <f>HYPERLINK("https://znanium.ru/catalog/product/2054180", "Ознакомиться")</f>
        <v>Ознакомиться</v>
      </c>
      <c r="W5451" s="8" t="s">
        <v>1345</v>
      </c>
      <c r="X5451" s="6"/>
      <c r="Y5451" s="6"/>
      <c r="Z5451" s="6"/>
      <c r="AA5451" s="6" t="s">
        <v>3065</v>
      </c>
      <c r="AB5451" s="8"/>
    </row>
    <row r="5452" spans="1:28" s="4" customFormat="1" ht="51.95" customHeight="1">
      <c r="A5452" s="5">
        <v>0</v>
      </c>
      <c r="B5452" s="6" t="s">
        <v>31998</v>
      </c>
      <c r="C5452" s="7">
        <v>830</v>
      </c>
      <c r="D5452" s="8" t="s">
        <v>31999</v>
      </c>
      <c r="E5452" s="8" t="s">
        <v>32000</v>
      </c>
      <c r="F5452" s="8" t="s">
        <v>32001</v>
      </c>
      <c r="G5452" s="6" t="s">
        <v>38</v>
      </c>
      <c r="H5452" s="6" t="s">
        <v>53</v>
      </c>
      <c r="I5452" s="8" t="s">
        <v>116</v>
      </c>
      <c r="J5452" s="9">
        <v>1</v>
      </c>
      <c r="K5452" s="9">
        <v>160</v>
      </c>
      <c r="L5452" s="9">
        <v>2025</v>
      </c>
      <c r="M5452" s="8" t="s">
        <v>32002</v>
      </c>
      <c r="N5452" s="8" t="s">
        <v>41</v>
      </c>
      <c r="O5452" s="8" t="s">
        <v>118</v>
      </c>
      <c r="P5452" s="6" t="s">
        <v>167</v>
      </c>
      <c r="Q5452" s="8" t="s">
        <v>44</v>
      </c>
      <c r="R5452" s="10" t="s">
        <v>29939</v>
      </c>
      <c r="S5452" s="11" t="s">
        <v>32003</v>
      </c>
      <c r="T5452" s="6"/>
      <c r="U5452" s="24" t="str">
        <f>HYPERLINK("https://media.infra-m.ru/2187/2187021/cover/2187021.jpg", "Обложка")</f>
        <v>Обложка</v>
      </c>
      <c r="V5452" s="24" t="str">
        <f>HYPERLINK("https://znanium.ru/catalog/product/2187021", "Ознакомиться")</f>
        <v>Ознакомиться</v>
      </c>
      <c r="W5452" s="8" t="s">
        <v>5142</v>
      </c>
      <c r="X5452" s="6"/>
      <c r="Y5452" s="6"/>
      <c r="Z5452" s="6"/>
      <c r="AA5452" s="6" t="s">
        <v>418</v>
      </c>
      <c r="AB5452" s="8"/>
    </row>
    <row r="5453" spans="1:28" s="4" customFormat="1" ht="42" customHeight="1">
      <c r="A5453" s="5">
        <v>0</v>
      </c>
      <c r="B5453" s="6" t="s">
        <v>32004</v>
      </c>
      <c r="C5453" s="7">
        <v>700</v>
      </c>
      <c r="D5453" s="8" t="s">
        <v>32005</v>
      </c>
      <c r="E5453" s="8" t="s">
        <v>32006</v>
      </c>
      <c r="F5453" s="8" t="s">
        <v>32007</v>
      </c>
      <c r="G5453" s="6" t="s">
        <v>38</v>
      </c>
      <c r="H5453" s="6" t="s">
        <v>184</v>
      </c>
      <c r="I5453" s="8" t="s">
        <v>90</v>
      </c>
      <c r="J5453" s="9">
        <v>1</v>
      </c>
      <c r="K5453" s="9">
        <v>154</v>
      </c>
      <c r="L5453" s="9">
        <v>2020</v>
      </c>
      <c r="M5453" s="8" t="s">
        <v>32008</v>
      </c>
      <c r="N5453" s="8" t="s">
        <v>41</v>
      </c>
      <c r="O5453" s="8" t="s">
        <v>118</v>
      </c>
      <c r="P5453" s="6" t="s">
        <v>43</v>
      </c>
      <c r="Q5453" s="8" t="s">
        <v>44</v>
      </c>
      <c r="R5453" s="10" t="s">
        <v>32009</v>
      </c>
      <c r="S5453" s="11"/>
      <c r="T5453" s="6"/>
      <c r="U5453" s="24" t="str">
        <f>HYPERLINK("https://media.infra-m.ru/1946/1946508/cover/1946508.jpg", "Обложка")</f>
        <v>Обложка</v>
      </c>
      <c r="V5453" s="24" t="str">
        <f>HYPERLINK("https://znanium.ru/catalog/product/1048452", "Ознакомиться")</f>
        <v>Ознакомиться</v>
      </c>
      <c r="W5453" s="8" t="s">
        <v>32010</v>
      </c>
      <c r="X5453" s="6"/>
      <c r="Y5453" s="6"/>
      <c r="Z5453" s="6"/>
      <c r="AA5453" s="6" t="s">
        <v>418</v>
      </c>
      <c r="AB5453" s="8"/>
    </row>
    <row r="5454" spans="1:28" s="4" customFormat="1" ht="51.95" customHeight="1">
      <c r="A5454" s="5">
        <v>0</v>
      </c>
      <c r="B5454" s="6" t="s">
        <v>32011</v>
      </c>
      <c r="C5454" s="13">
        <v>1154</v>
      </c>
      <c r="D5454" s="8" t="s">
        <v>32012</v>
      </c>
      <c r="E5454" s="8" t="s">
        <v>32013</v>
      </c>
      <c r="F5454" s="8" t="s">
        <v>32014</v>
      </c>
      <c r="G5454" s="6" t="s">
        <v>52</v>
      </c>
      <c r="H5454" s="6" t="s">
        <v>184</v>
      </c>
      <c r="I5454" s="8" t="s">
        <v>90</v>
      </c>
      <c r="J5454" s="9">
        <v>1</v>
      </c>
      <c r="K5454" s="9">
        <v>255</v>
      </c>
      <c r="L5454" s="9">
        <v>2023</v>
      </c>
      <c r="M5454" s="8" t="s">
        <v>32015</v>
      </c>
      <c r="N5454" s="8" t="s">
        <v>41</v>
      </c>
      <c r="O5454" s="8" t="s">
        <v>118</v>
      </c>
      <c r="P5454" s="6" t="s">
        <v>43</v>
      </c>
      <c r="Q5454" s="8" t="s">
        <v>44</v>
      </c>
      <c r="R5454" s="10" t="s">
        <v>32016</v>
      </c>
      <c r="S5454" s="11"/>
      <c r="T5454" s="6"/>
      <c r="U5454" s="24" t="str">
        <f>HYPERLINK("https://media.infra-m.ru/1843/1843613/cover/1843613.jpg", "Обложка")</f>
        <v>Обложка</v>
      </c>
      <c r="V5454" s="24" t="str">
        <f>HYPERLINK("https://znanium.ru/catalog/product/1080284", "Ознакомиться")</f>
        <v>Ознакомиться</v>
      </c>
      <c r="W5454" s="8"/>
      <c r="X5454" s="6"/>
      <c r="Y5454" s="6"/>
      <c r="Z5454" s="6"/>
      <c r="AA5454" s="6" t="s">
        <v>122</v>
      </c>
      <c r="AB5454" s="8"/>
    </row>
    <row r="5455" spans="1:28" s="4" customFormat="1" ht="51.95" customHeight="1">
      <c r="A5455" s="5">
        <v>0</v>
      </c>
      <c r="B5455" s="6" t="s">
        <v>32017</v>
      </c>
      <c r="C5455" s="13">
        <v>1504</v>
      </c>
      <c r="D5455" s="8" t="s">
        <v>32018</v>
      </c>
      <c r="E5455" s="8" t="s">
        <v>32019</v>
      </c>
      <c r="F5455" s="8" t="s">
        <v>32020</v>
      </c>
      <c r="G5455" s="6" t="s">
        <v>52</v>
      </c>
      <c r="H5455" s="6" t="s">
        <v>184</v>
      </c>
      <c r="I5455" s="8" t="s">
        <v>116</v>
      </c>
      <c r="J5455" s="9">
        <v>1</v>
      </c>
      <c r="K5455" s="9">
        <v>328</v>
      </c>
      <c r="L5455" s="9">
        <v>2023</v>
      </c>
      <c r="M5455" s="8" t="s">
        <v>32021</v>
      </c>
      <c r="N5455" s="8" t="s">
        <v>41</v>
      </c>
      <c r="O5455" s="8" t="s">
        <v>118</v>
      </c>
      <c r="P5455" s="6" t="s">
        <v>43</v>
      </c>
      <c r="Q5455" s="8" t="s">
        <v>44</v>
      </c>
      <c r="R5455" s="10" t="s">
        <v>32022</v>
      </c>
      <c r="S5455" s="11" t="s">
        <v>32023</v>
      </c>
      <c r="T5455" s="6"/>
      <c r="U5455" s="24" t="str">
        <f>HYPERLINK("https://media.infra-m.ru/1911/1911802/cover/1911802.jpg", "Обложка")</f>
        <v>Обложка</v>
      </c>
      <c r="V5455" s="24" t="str">
        <f>HYPERLINK("https://znanium.ru/catalog/product/937985", "Ознакомиться")</f>
        <v>Ознакомиться</v>
      </c>
      <c r="W5455" s="8" t="s">
        <v>1826</v>
      </c>
      <c r="X5455" s="6"/>
      <c r="Y5455" s="6"/>
      <c r="Z5455" s="6"/>
      <c r="AA5455" s="6" t="s">
        <v>160</v>
      </c>
      <c r="AB5455" s="8"/>
    </row>
    <row r="5456" spans="1:28" s="4" customFormat="1" ht="51.95" customHeight="1">
      <c r="A5456" s="5">
        <v>0</v>
      </c>
      <c r="B5456" s="6" t="s">
        <v>32024</v>
      </c>
      <c r="C5456" s="7">
        <v>854.9</v>
      </c>
      <c r="D5456" s="8" t="s">
        <v>32025</v>
      </c>
      <c r="E5456" s="8" t="s">
        <v>32026</v>
      </c>
      <c r="F5456" s="8" t="s">
        <v>18020</v>
      </c>
      <c r="G5456" s="6" t="s">
        <v>89</v>
      </c>
      <c r="H5456" s="6" t="s">
        <v>53</v>
      </c>
      <c r="I5456" s="8" t="s">
        <v>276</v>
      </c>
      <c r="J5456" s="9">
        <v>1</v>
      </c>
      <c r="K5456" s="9">
        <v>191</v>
      </c>
      <c r="L5456" s="9">
        <v>2023</v>
      </c>
      <c r="M5456" s="8" t="s">
        <v>32027</v>
      </c>
      <c r="N5456" s="8" t="s">
        <v>41</v>
      </c>
      <c r="O5456" s="8" t="s">
        <v>118</v>
      </c>
      <c r="P5456" s="6" t="s">
        <v>43</v>
      </c>
      <c r="Q5456" s="8" t="s">
        <v>279</v>
      </c>
      <c r="R5456" s="10" t="s">
        <v>32016</v>
      </c>
      <c r="S5456" s="11" t="s">
        <v>32028</v>
      </c>
      <c r="T5456" s="6"/>
      <c r="U5456" s="24" t="str">
        <f>HYPERLINK("https://media.infra-m.ru/1971/1971829/cover/1971829.jpg", "Обложка")</f>
        <v>Обложка</v>
      </c>
      <c r="V5456" s="24" t="str">
        <f>HYPERLINK("https://znanium.ru/catalog/product/1815602", "Ознакомиться")</f>
        <v>Ознакомиться</v>
      </c>
      <c r="W5456" s="8" t="s">
        <v>1563</v>
      </c>
      <c r="X5456" s="6"/>
      <c r="Y5456" s="6"/>
      <c r="Z5456" s="6"/>
      <c r="AA5456" s="6" t="s">
        <v>3065</v>
      </c>
      <c r="AB5456" s="8"/>
    </row>
    <row r="5457" spans="1:28" s="4" customFormat="1" ht="51.95" customHeight="1">
      <c r="A5457" s="5">
        <v>0</v>
      </c>
      <c r="B5457" s="6" t="s">
        <v>32029</v>
      </c>
      <c r="C5457" s="13">
        <v>2850</v>
      </c>
      <c r="D5457" s="8" t="s">
        <v>32030</v>
      </c>
      <c r="E5457" s="8" t="s">
        <v>32031</v>
      </c>
      <c r="F5457" s="8" t="s">
        <v>32032</v>
      </c>
      <c r="G5457" s="6" t="s">
        <v>52</v>
      </c>
      <c r="H5457" s="6" t="s">
        <v>66</v>
      </c>
      <c r="I5457" s="8" t="s">
        <v>116</v>
      </c>
      <c r="J5457" s="9">
        <v>1</v>
      </c>
      <c r="K5457" s="9">
        <v>570</v>
      </c>
      <c r="L5457" s="9">
        <v>2025</v>
      </c>
      <c r="M5457" s="8" t="s">
        <v>32033</v>
      </c>
      <c r="N5457" s="8" t="s">
        <v>41</v>
      </c>
      <c r="O5457" s="8" t="s">
        <v>118</v>
      </c>
      <c r="P5457" s="6" t="s">
        <v>167</v>
      </c>
      <c r="Q5457" s="8" t="s">
        <v>44</v>
      </c>
      <c r="R5457" s="10" t="s">
        <v>32034</v>
      </c>
      <c r="S5457" s="11" t="s">
        <v>32035</v>
      </c>
      <c r="T5457" s="6"/>
      <c r="U5457" s="24" t="str">
        <f>HYPERLINK("https://media.infra-m.ru/2188/2188220/cover/2188220.jpg", "Обложка")</f>
        <v>Обложка</v>
      </c>
      <c r="V5457" s="24" t="str">
        <f>HYPERLINK("https://znanium.ru/catalog/product/1939110", "Ознакомиться")</f>
        <v>Ознакомиться</v>
      </c>
      <c r="W5457" s="8" t="s">
        <v>918</v>
      </c>
      <c r="X5457" s="6"/>
      <c r="Y5457" s="6"/>
      <c r="Z5457" s="6"/>
      <c r="AA5457" s="6" t="s">
        <v>2217</v>
      </c>
      <c r="AB5457" s="8"/>
    </row>
    <row r="5458" spans="1:28" s="4" customFormat="1" ht="51.95" customHeight="1">
      <c r="A5458" s="5">
        <v>0</v>
      </c>
      <c r="B5458" s="6" t="s">
        <v>32036</v>
      </c>
      <c r="C5458" s="13">
        <v>1844</v>
      </c>
      <c r="D5458" s="8" t="s">
        <v>32037</v>
      </c>
      <c r="E5458" s="8" t="s">
        <v>32038</v>
      </c>
      <c r="F5458" s="8" t="s">
        <v>18020</v>
      </c>
      <c r="G5458" s="6" t="s">
        <v>52</v>
      </c>
      <c r="H5458" s="6" t="s">
        <v>66</v>
      </c>
      <c r="I5458" s="8" t="s">
        <v>116</v>
      </c>
      <c r="J5458" s="9">
        <v>1</v>
      </c>
      <c r="K5458" s="9">
        <v>400</v>
      </c>
      <c r="L5458" s="9">
        <v>2024</v>
      </c>
      <c r="M5458" s="8" t="s">
        <v>32039</v>
      </c>
      <c r="N5458" s="8" t="s">
        <v>41</v>
      </c>
      <c r="O5458" s="8" t="s">
        <v>118</v>
      </c>
      <c r="P5458" s="6" t="s">
        <v>167</v>
      </c>
      <c r="Q5458" s="8" t="s">
        <v>44</v>
      </c>
      <c r="R5458" s="10" t="s">
        <v>25000</v>
      </c>
      <c r="S5458" s="11" t="s">
        <v>32040</v>
      </c>
      <c r="T5458" s="6"/>
      <c r="U5458" s="24" t="str">
        <f>HYPERLINK("https://media.infra-m.ru/2054/2054175/cover/2054175.jpg", "Обложка")</f>
        <v>Обложка</v>
      </c>
      <c r="V5458" s="24" t="str">
        <f>HYPERLINK("https://znanium.ru/catalog/product/989389", "Ознакомиться")</f>
        <v>Ознакомиться</v>
      </c>
      <c r="W5458" s="8" t="s">
        <v>1563</v>
      </c>
      <c r="X5458" s="6"/>
      <c r="Y5458" s="6"/>
      <c r="Z5458" s="6"/>
      <c r="AA5458" s="6" t="s">
        <v>4504</v>
      </c>
      <c r="AB5458" s="8"/>
    </row>
    <row r="5459" spans="1:28" s="4" customFormat="1" ht="51.95" customHeight="1">
      <c r="A5459" s="5">
        <v>0</v>
      </c>
      <c r="B5459" s="6" t="s">
        <v>32041</v>
      </c>
      <c r="C5459" s="13">
        <v>1684</v>
      </c>
      <c r="D5459" s="8" t="s">
        <v>32042</v>
      </c>
      <c r="E5459" s="8" t="s">
        <v>32031</v>
      </c>
      <c r="F5459" s="8" t="s">
        <v>32043</v>
      </c>
      <c r="G5459" s="6" t="s">
        <v>89</v>
      </c>
      <c r="H5459" s="6" t="s">
        <v>649</v>
      </c>
      <c r="I5459" s="8" t="s">
        <v>100</v>
      </c>
      <c r="J5459" s="9">
        <v>1</v>
      </c>
      <c r="K5459" s="9">
        <v>336</v>
      </c>
      <c r="L5459" s="9">
        <v>2024</v>
      </c>
      <c r="M5459" s="8" t="s">
        <v>32044</v>
      </c>
      <c r="N5459" s="8" t="s">
        <v>41</v>
      </c>
      <c r="O5459" s="8" t="s">
        <v>118</v>
      </c>
      <c r="P5459" s="6" t="s">
        <v>167</v>
      </c>
      <c r="Q5459" s="8" t="s">
        <v>102</v>
      </c>
      <c r="R5459" s="10" t="s">
        <v>32045</v>
      </c>
      <c r="S5459" s="11" t="s">
        <v>1466</v>
      </c>
      <c r="T5459" s="6"/>
      <c r="U5459" s="24" t="str">
        <f>HYPERLINK("https://media.infra-m.ru/2180/2180758/cover/2180758.jpg", "Обложка")</f>
        <v>Обложка</v>
      </c>
      <c r="V5459" s="24" t="str">
        <f>HYPERLINK("https://znanium.ru/catalog/product/2160249", "Ознакомиться")</f>
        <v>Ознакомиться</v>
      </c>
      <c r="W5459" s="8" t="s">
        <v>5635</v>
      </c>
      <c r="X5459" s="6"/>
      <c r="Y5459" s="6" t="s">
        <v>30</v>
      </c>
      <c r="Z5459" s="6"/>
      <c r="AA5459" s="6" t="s">
        <v>555</v>
      </c>
      <c r="AB5459" s="8"/>
    </row>
    <row r="5460" spans="1:28" s="4" customFormat="1" ht="51.95" customHeight="1">
      <c r="A5460" s="5">
        <v>0</v>
      </c>
      <c r="B5460" s="6" t="s">
        <v>32046</v>
      </c>
      <c r="C5460" s="13">
        <v>1680</v>
      </c>
      <c r="D5460" s="8" t="s">
        <v>32047</v>
      </c>
      <c r="E5460" s="8" t="s">
        <v>32038</v>
      </c>
      <c r="F5460" s="8" t="s">
        <v>32048</v>
      </c>
      <c r="G5460" s="6" t="s">
        <v>52</v>
      </c>
      <c r="H5460" s="6" t="s">
        <v>53</v>
      </c>
      <c r="I5460" s="8" t="s">
        <v>100</v>
      </c>
      <c r="J5460" s="9">
        <v>1</v>
      </c>
      <c r="K5460" s="9">
        <v>315</v>
      </c>
      <c r="L5460" s="9">
        <v>2025</v>
      </c>
      <c r="M5460" s="8" t="s">
        <v>32049</v>
      </c>
      <c r="N5460" s="8" t="s">
        <v>41</v>
      </c>
      <c r="O5460" s="8" t="s">
        <v>118</v>
      </c>
      <c r="P5460" s="6" t="s">
        <v>167</v>
      </c>
      <c r="Q5460" s="8" t="s">
        <v>102</v>
      </c>
      <c r="R5460" s="10" t="s">
        <v>32045</v>
      </c>
      <c r="S5460" s="11"/>
      <c r="T5460" s="6"/>
      <c r="U5460" s="24" t="str">
        <f>HYPERLINK("https://media.infra-m.ru/2160/2160249/cover/2160249.jpg", "Обложка")</f>
        <v>Обложка</v>
      </c>
      <c r="V5460" s="24" t="str">
        <f>HYPERLINK("https://znanium.ru/catalog/product/2160249", "Ознакомиться")</f>
        <v>Ознакомиться</v>
      </c>
      <c r="W5460" s="8" t="s">
        <v>5635</v>
      </c>
      <c r="X5460" s="6" t="s">
        <v>2790</v>
      </c>
      <c r="Y5460" s="6" t="s">
        <v>30</v>
      </c>
      <c r="Z5460" s="6"/>
      <c r="AA5460" s="6" t="s">
        <v>105</v>
      </c>
      <c r="AB5460" s="8"/>
    </row>
    <row r="5461" spans="1:28" s="4" customFormat="1" ht="51.95" customHeight="1">
      <c r="A5461" s="5">
        <v>0</v>
      </c>
      <c r="B5461" s="6" t="s">
        <v>32050</v>
      </c>
      <c r="C5461" s="13">
        <v>1234</v>
      </c>
      <c r="D5461" s="8" t="s">
        <v>32051</v>
      </c>
      <c r="E5461" s="8" t="s">
        <v>32031</v>
      </c>
      <c r="F5461" s="8" t="s">
        <v>32052</v>
      </c>
      <c r="G5461" s="6" t="s">
        <v>52</v>
      </c>
      <c r="H5461" s="6" t="s">
        <v>53</v>
      </c>
      <c r="I5461" s="8" t="s">
        <v>90</v>
      </c>
      <c r="J5461" s="9">
        <v>1</v>
      </c>
      <c r="K5461" s="9">
        <v>238</v>
      </c>
      <c r="L5461" s="9">
        <v>2025</v>
      </c>
      <c r="M5461" s="8" t="s">
        <v>32053</v>
      </c>
      <c r="N5461" s="8" t="s">
        <v>41</v>
      </c>
      <c r="O5461" s="8" t="s">
        <v>118</v>
      </c>
      <c r="P5461" s="6" t="s">
        <v>43</v>
      </c>
      <c r="Q5461" s="8" t="s">
        <v>44</v>
      </c>
      <c r="R5461" s="10" t="s">
        <v>32054</v>
      </c>
      <c r="S5461" s="11" t="s">
        <v>32055</v>
      </c>
      <c r="T5461" s="6"/>
      <c r="U5461" s="24" t="str">
        <f>HYPERLINK("https://media.infra-m.ru/2195/2195380/cover/2195380.jpg", "Обложка")</f>
        <v>Обложка</v>
      </c>
      <c r="V5461" s="24" t="str">
        <f>HYPERLINK("https://znanium.ru/catalog/product/1948215", "Ознакомиться")</f>
        <v>Ознакомиться</v>
      </c>
      <c r="W5461" s="8" t="s">
        <v>1345</v>
      </c>
      <c r="X5461" s="6"/>
      <c r="Y5461" s="6"/>
      <c r="Z5461" s="6"/>
      <c r="AA5461" s="6" t="s">
        <v>47</v>
      </c>
      <c r="AB5461" s="8"/>
    </row>
    <row r="5462" spans="1:28" s="4" customFormat="1" ht="51.95" customHeight="1">
      <c r="A5462" s="5">
        <v>0</v>
      </c>
      <c r="B5462" s="6" t="s">
        <v>32056</v>
      </c>
      <c r="C5462" s="13">
        <v>1234</v>
      </c>
      <c r="D5462" s="8" t="s">
        <v>32057</v>
      </c>
      <c r="E5462" s="8" t="s">
        <v>32031</v>
      </c>
      <c r="F5462" s="8" t="s">
        <v>32058</v>
      </c>
      <c r="G5462" s="6" t="s">
        <v>52</v>
      </c>
      <c r="H5462" s="6" t="s">
        <v>53</v>
      </c>
      <c r="I5462" s="8" t="s">
        <v>90</v>
      </c>
      <c r="J5462" s="9">
        <v>1</v>
      </c>
      <c r="K5462" s="9">
        <v>237</v>
      </c>
      <c r="L5462" s="9">
        <v>2025</v>
      </c>
      <c r="M5462" s="8" t="s">
        <v>32059</v>
      </c>
      <c r="N5462" s="8" t="s">
        <v>41</v>
      </c>
      <c r="O5462" s="8" t="s">
        <v>118</v>
      </c>
      <c r="P5462" s="6" t="s">
        <v>43</v>
      </c>
      <c r="Q5462" s="8" t="s">
        <v>44</v>
      </c>
      <c r="R5462" s="10" t="s">
        <v>32060</v>
      </c>
      <c r="S5462" s="11" t="s">
        <v>32061</v>
      </c>
      <c r="T5462" s="6"/>
      <c r="U5462" s="24" t="str">
        <f>HYPERLINK("https://media.infra-m.ru/2170/2170234/cover/2170234.jpg", "Обложка")</f>
        <v>Обложка</v>
      </c>
      <c r="V5462" s="24" t="str">
        <f>HYPERLINK("https://znanium.ru/catalog/product/1215349", "Ознакомиться")</f>
        <v>Ознакомиться</v>
      </c>
      <c r="W5462" s="8" t="s">
        <v>16537</v>
      </c>
      <c r="X5462" s="6"/>
      <c r="Y5462" s="6"/>
      <c r="Z5462" s="6"/>
      <c r="AA5462" s="6" t="s">
        <v>122</v>
      </c>
      <c r="AB5462" s="8"/>
    </row>
    <row r="5463" spans="1:28" s="4" customFormat="1" ht="51.95" customHeight="1">
      <c r="A5463" s="5">
        <v>0</v>
      </c>
      <c r="B5463" s="6" t="s">
        <v>32062</v>
      </c>
      <c r="C5463" s="13">
        <v>1454</v>
      </c>
      <c r="D5463" s="8" t="s">
        <v>32063</v>
      </c>
      <c r="E5463" s="8" t="s">
        <v>32064</v>
      </c>
      <c r="F5463" s="8" t="s">
        <v>32065</v>
      </c>
      <c r="G5463" s="6" t="s">
        <v>89</v>
      </c>
      <c r="H5463" s="6" t="s">
        <v>53</v>
      </c>
      <c r="I5463" s="8" t="s">
        <v>560</v>
      </c>
      <c r="J5463" s="9">
        <v>1</v>
      </c>
      <c r="K5463" s="9">
        <v>279</v>
      </c>
      <c r="L5463" s="9">
        <v>2025</v>
      </c>
      <c r="M5463" s="8" t="s">
        <v>32066</v>
      </c>
      <c r="N5463" s="8" t="s">
        <v>41</v>
      </c>
      <c r="O5463" s="8" t="s">
        <v>129</v>
      </c>
      <c r="P5463" s="6" t="s">
        <v>43</v>
      </c>
      <c r="Q5463" s="8" t="s">
        <v>58</v>
      </c>
      <c r="R5463" s="10" t="s">
        <v>32067</v>
      </c>
      <c r="S5463" s="11" t="s">
        <v>32068</v>
      </c>
      <c r="T5463" s="6"/>
      <c r="U5463" s="24" t="str">
        <f>HYPERLINK("https://media.infra-m.ru/2197/2197605/cover/2197605.jpg", "Обложка")</f>
        <v>Обложка</v>
      </c>
      <c r="V5463" s="24" t="str">
        <f>HYPERLINK("https://znanium.ru/catalog/product/2197286", "Ознакомиться")</f>
        <v>Ознакомиться</v>
      </c>
      <c r="W5463" s="8" t="s">
        <v>564</v>
      </c>
      <c r="X5463" s="6"/>
      <c r="Y5463" s="6"/>
      <c r="Z5463" s="6"/>
      <c r="AA5463" s="6" t="s">
        <v>258</v>
      </c>
      <c r="AB5463" s="8"/>
    </row>
    <row r="5464" spans="1:28" s="4" customFormat="1" ht="51.95" customHeight="1">
      <c r="A5464" s="5">
        <v>0</v>
      </c>
      <c r="B5464" s="6" t="s">
        <v>32069</v>
      </c>
      <c r="C5464" s="7">
        <v>520</v>
      </c>
      <c r="D5464" s="8" t="s">
        <v>32070</v>
      </c>
      <c r="E5464" s="8" t="s">
        <v>32071</v>
      </c>
      <c r="F5464" s="8" t="s">
        <v>29835</v>
      </c>
      <c r="G5464" s="6" t="s">
        <v>38</v>
      </c>
      <c r="H5464" s="6" t="s">
        <v>53</v>
      </c>
      <c r="I5464" s="8" t="s">
        <v>1054</v>
      </c>
      <c r="J5464" s="9">
        <v>1</v>
      </c>
      <c r="K5464" s="9">
        <v>104</v>
      </c>
      <c r="L5464" s="9">
        <v>2020</v>
      </c>
      <c r="M5464" s="8" t="s">
        <v>32072</v>
      </c>
      <c r="N5464" s="8" t="s">
        <v>41</v>
      </c>
      <c r="O5464" s="8" t="s">
        <v>118</v>
      </c>
      <c r="P5464" s="6" t="s">
        <v>43</v>
      </c>
      <c r="Q5464" s="8" t="s">
        <v>279</v>
      </c>
      <c r="R5464" s="10" t="s">
        <v>32073</v>
      </c>
      <c r="S5464" s="11" t="s">
        <v>32074</v>
      </c>
      <c r="T5464" s="6"/>
      <c r="U5464" s="24" t="str">
        <f>HYPERLINK("https://media.infra-m.ru/0997/0997026/cover/997026.jpg", "Обложка")</f>
        <v>Обложка</v>
      </c>
      <c r="V5464" s="24" t="str">
        <f>HYPERLINK("https://znanium.ru/catalog/product/997026", "Ознакомиться")</f>
        <v>Ознакомиться</v>
      </c>
      <c r="W5464" s="8" t="s">
        <v>83</v>
      </c>
      <c r="X5464" s="6"/>
      <c r="Y5464" s="6"/>
      <c r="Z5464" s="6"/>
      <c r="AA5464" s="6" t="s">
        <v>151</v>
      </c>
      <c r="AB5464" s="8" t="s">
        <v>1383</v>
      </c>
    </row>
    <row r="5465" spans="1:28" s="4" customFormat="1" ht="51.95" customHeight="1">
      <c r="A5465" s="5">
        <v>0</v>
      </c>
      <c r="B5465" s="6" t="s">
        <v>32075</v>
      </c>
      <c r="C5465" s="13">
        <v>1834</v>
      </c>
      <c r="D5465" s="8" t="s">
        <v>32076</v>
      </c>
      <c r="E5465" s="8" t="s">
        <v>32077</v>
      </c>
      <c r="F5465" s="8" t="s">
        <v>32078</v>
      </c>
      <c r="G5465" s="6" t="s">
        <v>52</v>
      </c>
      <c r="H5465" s="6" t="s">
        <v>53</v>
      </c>
      <c r="I5465" s="8" t="s">
        <v>90</v>
      </c>
      <c r="J5465" s="9">
        <v>1</v>
      </c>
      <c r="K5465" s="9">
        <v>352</v>
      </c>
      <c r="L5465" s="9">
        <v>2025</v>
      </c>
      <c r="M5465" s="8" t="s">
        <v>32079</v>
      </c>
      <c r="N5465" s="8" t="s">
        <v>41</v>
      </c>
      <c r="O5465" s="8" t="s">
        <v>1007</v>
      </c>
      <c r="P5465" s="6" t="s">
        <v>167</v>
      </c>
      <c r="Q5465" s="8" t="s">
        <v>44</v>
      </c>
      <c r="R5465" s="10" t="s">
        <v>2713</v>
      </c>
      <c r="S5465" s="11" t="s">
        <v>32080</v>
      </c>
      <c r="T5465" s="6"/>
      <c r="U5465" s="24" t="str">
        <f>HYPERLINK("https://media.infra-m.ru/2192/2192245/cover/2192245.jpg", "Обложка")</f>
        <v>Обложка</v>
      </c>
      <c r="V5465" s="24" t="str">
        <f>HYPERLINK("https://znanium.ru/catalog/product/920550", "Ознакомиться")</f>
        <v>Ознакомиться</v>
      </c>
      <c r="W5465" s="8" t="s">
        <v>32081</v>
      </c>
      <c r="X5465" s="6"/>
      <c r="Y5465" s="6"/>
      <c r="Z5465" s="6"/>
      <c r="AA5465" s="6" t="s">
        <v>47</v>
      </c>
      <c r="AB5465" s="8"/>
    </row>
    <row r="5466" spans="1:28" s="4" customFormat="1" ht="42" customHeight="1">
      <c r="A5466" s="5">
        <v>0</v>
      </c>
      <c r="B5466" s="6" t="s">
        <v>32082</v>
      </c>
      <c r="C5466" s="13">
        <v>1504</v>
      </c>
      <c r="D5466" s="8" t="s">
        <v>32083</v>
      </c>
      <c r="E5466" s="8" t="s">
        <v>32084</v>
      </c>
      <c r="F5466" s="8" t="s">
        <v>32085</v>
      </c>
      <c r="G5466" s="6" t="s">
        <v>89</v>
      </c>
      <c r="H5466" s="6" t="s">
        <v>77</v>
      </c>
      <c r="I5466" s="8"/>
      <c r="J5466" s="9">
        <v>1</v>
      </c>
      <c r="K5466" s="9">
        <v>300</v>
      </c>
      <c r="L5466" s="9">
        <v>2024</v>
      </c>
      <c r="M5466" s="8" t="s">
        <v>32086</v>
      </c>
      <c r="N5466" s="8" t="s">
        <v>41</v>
      </c>
      <c r="O5466" s="8" t="s">
        <v>118</v>
      </c>
      <c r="P5466" s="6" t="s">
        <v>167</v>
      </c>
      <c r="Q5466" s="8" t="s">
        <v>44</v>
      </c>
      <c r="R5466" s="10" t="s">
        <v>1319</v>
      </c>
      <c r="S5466" s="11"/>
      <c r="T5466" s="6"/>
      <c r="U5466" s="24" t="str">
        <f>HYPERLINK("https://media.infra-m.ru/2158/2158078/cover/2158078.jpg", "Обложка")</f>
        <v>Обложка</v>
      </c>
      <c r="V5466" s="24" t="str">
        <f>HYPERLINK("https://znanium.ru/catalog/product/2002632", "Ознакомиться")</f>
        <v>Ознакомиться</v>
      </c>
      <c r="W5466" s="8" t="s">
        <v>14156</v>
      </c>
      <c r="X5466" s="6"/>
      <c r="Y5466" s="6"/>
      <c r="Z5466" s="6"/>
      <c r="AA5466" s="6" t="s">
        <v>442</v>
      </c>
      <c r="AB5466" s="8"/>
    </row>
    <row r="5467" spans="1:28" s="4" customFormat="1" ht="51.95" customHeight="1">
      <c r="A5467" s="5">
        <v>0</v>
      </c>
      <c r="B5467" s="6" t="s">
        <v>32087</v>
      </c>
      <c r="C5467" s="13">
        <v>1550</v>
      </c>
      <c r="D5467" s="8" t="s">
        <v>32088</v>
      </c>
      <c r="E5467" s="8" t="s">
        <v>32089</v>
      </c>
      <c r="F5467" s="8" t="s">
        <v>32090</v>
      </c>
      <c r="G5467" s="6" t="s">
        <v>89</v>
      </c>
      <c r="H5467" s="6" t="s">
        <v>53</v>
      </c>
      <c r="I5467" s="8" t="s">
        <v>90</v>
      </c>
      <c r="J5467" s="9">
        <v>1</v>
      </c>
      <c r="K5467" s="9">
        <v>345</v>
      </c>
      <c r="L5467" s="9">
        <v>2023</v>
      </c>
      <c r="M5467" s="8" t="s">
        <v>32091</v>
      </c>
      <c r="N5467" s="8" t="s">
        <v>79</v>
      </c>
      <c r="O5467" s="8" t="s">
        <v>80</v>
      </c>
      <c r="P5467" s="6" t="s">
        <v>43</v>
      </c>
      <c r="Q5467" s="8" t="s">
        <v>44</v>
      </c>
      <c r="R5467" s="10" t="s">
        <v>32092</v>
      </c>
      <c r="S5467" s="11" t="s">
        <v>32093</v>
      </c>
      <c r="T5467" s="6"/>
      <c r="U5467" s="24" t="str">
        <f>HYPERLINK("https://media.infra-m.ru/1960/1960945/cover/1960945.jpg", "Обложка")</f>
        <v>Обложка</v>
      </c>
      <c r="V5467" s="24" t="str">
        <f>HYPERLINK("https://znanium.ru/catalog/product/1960945", "Ознакомиться")</f>
        <v>Ознакомиться</v>
      </c>
      <c r="W5467" s="8" t="s">
        <v>243</v>
      </c>
      <c r="X5467" s="6"/>
      <c r="Y5467" s="6"/>
      <c r="Z5467" s="6"/>
      <c r="AA5467" s="6" t="s">
        <v>258</v>
      </c>
      <c r="AB5467" s="8"/>
    </row>
    <row r="5468" spans="1:28" s="4" customFormat="1" ht="51.95" customHeight="1">
      <c r="A5468" s="5">
        <v>0</v>
      </c>
      <c r="B5468" s="6" t="s">
        <v>32094</v>
      </c>
      <c r="C5468" s="13">
        <v>1554</v>
      </c>
      <c r="D5468" s="8" t="s">
        <v>32095</v>
      </c>
      <c r="E5468" s="8" t="s">
        <v>32089</v>
      </c>
      <c r="F5468" s="8" t="s">
        <v>32090</v>
      </c>
      <c r="G5468" s="6" t="s">
        <v>89</v>
      </c>
      <c r="H5468" s="6" t="s">
        <v>53</v>
      </c>
      <c r="I5468" s="8" t="s">
        <v>100</v>
      </c>
      <c r="J5468" s="9">
        <v>1</v>
      </c>
      <c r="K5468" s="9">
        <v>345</v>
      </c>
      <c r="L5468" s="9">
        <v>2023</v>
      </c>
      <c r="M5468" s="8" t="s">
        <v>32096</v>
      </c>
      <c r="N5468" s="8" t="s">
        <v>79</v>
      </c>
      <c r="O5468" s="8" t="s">
        <v>80</v>
      </c>
      <c r="P5468" s="6" t="s">
        <v>43</v>
      </c>
      <c r="Q5468" s="8" t="s">
        <v>102</v>
      </c>
      <c r="R5468" s="10" t="s">
        <v>32097</v>
      </c>
      <c r="S5468" s="11" t="s">
        <v>2596</v>
      </c>
      <c r="T5468" s="6"/>
      <c r="U5468" s="24" t="str">
        <f>HYPERLINK("https://media.infra-m.ru/1989/1989254/cover/1989254.jpg", "Обложка")</f>
        <v>Обложка</v>
      </c>
      <c r="V5468" s="24" t="str">
        <f>HYPERLINK("https://znanium.ru/catalog/product/1189953", "Ознакомиться")</f>
        <v>Ознакомиться</v>
      </c>
      <c r="W5468" s="8" t="s">
        <v>243</v>
      </c>
      <c r="X5468" s="6"/>
      <c r="Y5468" s="6"/>
      <c r="Z5468" s="6" t="s">
        <v>104</v>
      </c>
      <c r="AA5468" s="6" t="s">
        <v>793</v>
      </c>
      <c r="AB5468" s="8"/>
    </row>
    <row r="5469" spans="1:28" s="4" customFormat="1" ht="51.95" customHeight="1">
      <c r="A5469" s="5">
        <v>0</v>
      </c>
      <c r="B5469" s="6" t="s">
        <v>32098</v>
      </c>
      <c r="C5469" s="13">
        <v>1040</v>
      </c>
      <c r="D5469" s="8" t="s">
        <v>32099</v>
      </c>
      <c r="E5469" s="8" t="s">
        <v>32100</v>
      </c>
      <c r="F5469" s="8" t="s">
        <v>23620</v>
      </c>
      <c r="G5469" s="6" t="s">
        <v>89</v>
      </c>
      <c r="H5469" s="6" t="s">
        <v>53</v>
      </c>
      <c r="I5469" s="8" t="s">
        <v>116</v>
      </c>
      <c r="J5469" s="9">
        <v>1</v>
      </c>
      <c r="K5469" s="9">
        <v>224</v>
      </c>
      <c r="L5469" s="9">
        <v>2024</v>
      </c>
      <c r="M5469" s="8" t="s">
        <v>32101</v>
      </c>
      <c r="N5469" s="8" t="s">
        <v>41</v>
      </c>
      <c r="O5469" s="8" t="s">
        <v>118</v>
      </c>
      <c r="P5469" s="6" t="s">
        <v>43</v>
      </c>
      <c r="Q5469" s="8" t="s">
        <v>44</v>
      </c>
      <c r="R5469" s="10" t="s">
        <v>1251</v>
      </c>
      <c r="S5469" s="11" t="s">
        <v>120</v>
      </c>
      <c r="T5469" s="6" t="s">
        <v>299</v>
      </c>
      <c r="U5469" s="24" t="str">
        <f>HYPERLINK("https://media.infra-m.ru/2084/2084497/cover/2084497.jpg", "Обложка")</f>
        <v>Обложка</v>
      </c>
      <c r="V5469" s="24" t="str">
        <f>HYPERLINK("https://znanium.ru/catalog/product/2084497", "Ознакомиться")</f>
        <v>Ознакомиться</v>
      </c>
      <c r="W5469" s="8" t="s">
        <v>2122</v>
      </c>
      <c r="X5469" s="6"/>
      <c r="Y5469" s="6"/>
      <c r="Z5469" s="6"/>
      <c r="AA5469" s="6" t="s">
        <v>418</v>
      </c>
      <c r="AB5469" s="8"/>
    </row>
    <row r="5470" spans="1:28" s="4" customFormat="1" ht="51.95" customHeight="1">
      <c r="A5470" s="5">
        <v>0</v>
      </c>
      <c r="B5470" s="6" t="s">
        <v>32102</v>
      </c>
      <c r="C5470" s="13">
        <v>1400</v>
      </c>
      <c r="D5470" s="8" t="s">
        <v>32103</v>
      </c>
      <c r="E5470" s="8" t="s">
        <v>32104</v>
      </c>
      <c r="F5470" s="8" t="s">
        <v>32105</v>
      </c>
      <c r="G5470" s="6" t="s">
        <v>89</v>
      </c>
      <c r="H5470" s="6" t="s">
        <v>53</v>
      </c>
      <c r="I5470" s="8" t="s">
        <v>116</v>
      </c>
      <c r="J5470" s="9">
        <v>1</v>
      </c>
      <c r="K5470" s="9">
        <v>273</v>
      </c>
      <c r="L5470" s="9">
        <v>2025</v>
      </c>
      <c r="M5470" s="8" t="s">
        <v>32106</v>
      </c>
      <c r="N5470" s="8" t="s">
        <v>41</v>
      </c>
      <c r="O5470" s="8" t="s">
        <v>118</v>
      </c>
      <c r="P5470" s="6" t="s">
        <v>43</v>
      </c>
      <c r="Q5470" s="8" t="s">
        <v>58</v>
      </c>
      <c r="R5470" s="10" t="s">
        <v>1319</v>
      </c>
      <c r="S5470" s="11" t="s">
        <v>120</v>
      </c>
      <c r="T5470" s="6"/>
      <c r="U5470" s="24" t="str">
        <f>HYPERLINK("https://media.infra-m.ru/2168/2168859/cover/2168859.jpg", "Обложка")</f>
        <v>Обложка</v>
      </c>
      <c r="V5470" s="24" t="str">
        <f>HYPERLINK("https://znanium.ru/catalog/product/2168859", "Ознакомиться")</f>
        <v>Ознакомиться</v>
      </c>
      <c r="W5470" s="8" t="s">
        <v>14016</v>
      </c>
      <c r="X5470" s="6"/>
      <c r="Y5470" s="6"/>
      <c r="Z5470" s="6"/>
      <c r="AA5470" s="6" t="s">
        <v>418</v>
      </c>
      <c r="AB5470" s="8"/>
    </row>
    <row r="5471" spans="1:28" s="4" customFormat="1" ht="51.95" customHeight="1">
      <c r="A5471" s="5">
        <v>0</v>
      </c>
      <c r="B5471" s="6" t="s">
        <v>32107</v>
      </c>
      <c r="C5471" s="13">
        <v>1874</v>
      </c>
      <c r="D5471" s="8" t="s">
        <v>32108</v>
      </c>
      <c r="E5471" s="8" t="s">
        <v>32109</v>
      </c>
      <c r="F5471" s="8" t="s">
        <v>344</v>
      </c>
      <c r="G5471" s="6" t="s">
        <v>89</v>
      </c>
      <c r="H5471" s="6" t="s">
        <v>53</v>
      </c>
      <c r="I5471" s="8" t="s">
        <v>116</v>
      </c>
      <c r="J5471" s="9">
        <v>1</v>
      </c>
      <c r="K5471" s="9">
        <v>361</v>
      </c>
      <c r="L5471" s="9">
        <v>2024</v>
      </c>
      <c r="M5471" s="8" t="s">
        <v>32110</v>
      </c>
      <c r="N5471" s="8" t="s">
        <v>41</v>
      </c>
      <c r="O5471" s="8" t="s">
        <v>118</v>
      </c>
      <c r="P5471" s="6" t="s">
        <v>167</v>
      </c>
      <c r="Q5471" s="8" t="s">
        <v>58</v>
      </c>
      <c r="R5471" s="10" t="s">
        <v>32111</v>
      </c>
      <c r="S5471" s="11" t="s">
        <v>4538</v>
      </c>
      <c r="T5471" s="6"/>
      <c r="U5471" s="24" t="str">
        <f>HYPERLINK("https://media.infra-m.ru/2200/2200830/cover/2200830.jpg", "Обложка")</f>
        <v>Обложка</v>
      </c>
      <c r="V5471" s="24" t="str">
        <f>HYPERLINK("https://znanium.ru/catalog/product/2091376", "Ознакомиться")</f>
        <v>Ознакомиться</v>
      </c>
      <c r="W5471" s="8" t="s">
        <v>347</v>
      </c>
      <c r="X5471" s="6"/>
      <c r="Y5471" s="6"/>
      <c r="Z5471" s="6"/>
      <c r="AA5471" s="6" t="s">
        <v>235</v>
      </c>
      <c r="AB5471" s="8"/>
    </row>
    <row r="5472" spans="1:28" s="4" customFormat="1" ht="51.95" customHeight="1">
      <c r="A5472" s="5">
        <v>0</v>
      </c>
      <c r="B5472" s="6" t="s">
        <v>32112</v>
      </c>
      <c r="C5472" s="13">
        <v>1610</v>
      </c>
      <c r="D5472" s="8" t="s">
        <v>32113</v>
      </c>
      <c r="E5472" s="8" t="s">
        <v>32109</v>
      </c>
      <c r="F5472" s="8" t="s">
        <v>32114</v>
      </c>
      <c r="G5472" s="6" t="s">
        <v>89</v>
      </c>
      <c r="H5472" s="6" t="s">
        <v>53</v>
      </c>
      <c r="I5472" s="8" t="s">
        <v>116</v>
      </c>
      <c r="J5472" s="9">
        <v>1</v>
      </c>
      <c r="K5472" s="9">
        <v>349</v>
      </c>
      <c r="L5472" s="9">
        <v>2024</v>
      </c>
      <c r="M5472" s="8" t="s">
        <v>32115</v>
      </c>
      <c r="N5472" s="8" t="s">
        <v>41</v>
      </c>
      <c r="O5472" s="8" t="s">
        <v>118</v>
      </c>
      <c r="P5472" s="6" t="s">
        <v>167</v>
      </c>
      <c r="Q5472" s="8" t="s">
        <v>44</v>
      </c>
      <c r="R5472" s="10" t="s">
        <v>4266</v>
      </c>
      <c r="S5472" s="11" t="s">
        <v>32116</v>
      </c>
      <c r="T5472" s="6"/>
      <c r="U5472" s="24" t="str">
        <f>HYPERLINK("https://media.infra-m.ru/2081/2081756/cover/2081756.jpg", "Обложка")</f>
        <v>Обложка</v>
      </c>
      <c r="V5472" s="24" t="str">
        <f>HYPERLINK("https://znanium.ru/catalog/product/2081756", "Ознакомиться")</f>
        <v>Ознакомиться</v>
      </c>
      <c r="W5472" s="8" t="s">
        <v>32117</v>
      </c>
      <c r="X5472" s="6"/>
      <c r="Y5472" s="6"/>
      <c r="Z5472" s="6"/>
      <c r="AA5472" s="6" t="s">
        <v>151</v>
      </c>
      <c r="AB5472" s="8"/>
    </row>
    <row r="5473" spans="1:28" s="4" customFormat="1" ht="51.95" customHeight="1">
      <c r="A5473" s="5">
        <v>0</v>
      </c>
      <c r="B5473" s="6" t="s">
        <v>32118</v>
      </c>
      <c r="C5473" s="7">
        <v>924</v>
      </c>
      <c r="D5473" s="8" t="s">
        <v>32119</v>
      </c>
      <c r="E5473" s="8" t="s">
        <v>32109</v>
      </c>
      <c r="F5473" s="8" t="s">
        <v>32120</v>
      </c>
      <c r="G5473" s="6" t="s">
        <v>38</v>
      </c>
      <c r="H5473" s="6" t="s">
        <v>39</v>
      </c>
      <c r="I5473" s="8" t="s">
        <v>185</v>
      </c>
      <c r="J5473" s="9">
        <v>1</v>
      </c>
      <c r="K5473" s="9">
        <v>184</v>
      </c>
      <c r="L5473" s="9">
        <v>2025</v>
      </c>
      <c r="M5473" s="8" t="s">
        <v>32121</v>
      </c>
      <c r="N5473" s="8" t="s">
        <v>41</v>
      </c>
      <c r="O5473" s="8" t="s">
        <v>118</v>
      </c>
      <c r="P5473" s="6" t="s">
        <v>43</v>
      </c>
      <c r="Q5473" s="8" t="s">
        <v>102</v>
      </c>
      <c r="R5473" s="10" t="s">
        <v>32122</v>
      </c>
      <c r="S5473" s="11" t="s">
        <v>6083</v>
      </c>
      <c r="T5473" s="6"/>
      <c r="U5473" s="24" t="str">
        <f>HYPERLINK("https://media.infra-m.ru/2188/2188712/cover/2188712.jpg", "Обложка")</f>
        <v>Обложка</v>
      </c>
      <c r="V5473" s="24" t="str">
        <f>HYPERLINK("https://znanium.ru/catalog/product/2188712", "Ознакомиться")</f>
        <v>Ознакомиться</v>
      </c>
      <c r="W5473" s="8" t="s">
        <v>621</v>
      </c>
      <c r="X5473" s="6"/>
      <c r="Y5473" s="6"/>
      <c r="Z5473" s="6"/>
      <c r="AA5473" s="6" t="s">
        <v>622</v>
      </c>
      <c r="AB5473" s="8"/>
    </row>
    <row r="5474" spans="1:28" s="4" customFormat="1" ht="51.95" customHeight="1">
      <c r="A5474" s="5">
        <v>0</v>
      </c>
      <c r="B5474" s="6" t="s">
        <v>32123</v>
      </c>
      <c r="C5474" s="13">
        <v>1184</v>
      </c>
      <c r="D5474" s="8" t="s">
        <v>32124</v>
      </c>
      <c r="E5474" s="8" t="s">
        <v>32109</v>
      </c>
      <c r="F5474" s="8" t="s">
        <v>32125</v>
      </c>
      <c r="G5474" s="6" t="s">
        <v>52</v>
      </c>
      <c r="H5474" s="6" t="s">
        <v>649</v>
      </c>
      <c r="I5474" s="8" t="s">
        <v>116</v>
      </c>
      <c r="J5474" s="9">
        <v>1</v>
      </c>
      <c r="K5474" s="9">
        <v>256</v>
      </c>
      <c r="L5474" s="9">
        <v>2024</v>
      </c>
      <c r="M5474" s="8" t="s">
        <v>32126</v>
      </c>
      <c r="N5474" s="8" t="s">
        <v>41</v>
      </c>
      <c r="O5474" s="8" t="s">
        <v>118</v>
      </c>
      <c r="P5474" s="6" t="s">
        <v>167</v>
      </c>
      <c r="Q5474" s="8" t="s">
        <v>44</v>
      </c>
      <c r="R5474" s="10" t="s">
        <v>32127</v>
      </c>
      <c r="S5474" s="11" t="s">
        <v>32128</v>
      </c>
      <c r="T5474" s="6"/>
      <c r="U5474" s="24" t="str">
        <f>HYPERLINK("https://media.infra-m.ru/2056/2056619/cover/2056619.jpg", "Обложка")</f>
        <v>Обложка</v>
      </c>
      <c r="V5474" s="24" t="str">
        <f>HYPERLINK("https://znanium.ru/catalog/product/1860010", "Ознакомиться")</f>
        <v>Ознакомиться</v>
      </c>
      <c r="W5474" s="8" t="s">
        <v>1345</v>
      </c>
      <c r="X5474" s="6"/>
      <c r="Y5474" s="6"/>
      <c r="Z5474" s="6"/>
      <c r="AA5474" s="6" t="s">
        <v>1135</v>
      </c>
      <c r="AB5474" s="8"/>
    </row>
    <row r="5475" spans="1:28" s="4" customFormat="1" ht="51.95" customHeight="1">
      <c r="A5475" s="5">
        <v>0</v>
      </c>
      <c r="B5475" s="6" t="s">
        <v>32129</v>
      </c>
      <c r="C5475" s="7">
        <v>844.9</v>
      </c>
      <c r="D5475" s="8" t="s">
        <v>32130</v>
      </c>
      <c r="E5475" s="8" t="s">
        <v>32131</v>
      </c>
      <c r="F5475" s="8" t="s">
        <v>32132</v>
      </c>
      <c r="G5475" s="6" t="s">
        <v>38</v>
      </c>
      <c r="H5475" s="6" t="s">
        <v>53</v>
      </c>
      <c r="I5475" s="8" t="s">
        <v>90</v>
      </c>
      <c r="J5475" s="9">
        <v>1</v>
      </c>
      <c r="K5475" s="9">
        <v>188</v>
      </c>
      <c r="L5475" s="9">
        <v>2023</v>
      </c>
      <c r="M5475" s="8" t="s">
        <v>32133</v>
      </c>
      <c r="N5475" s="8" t="s">
        <v>41</v>
      </c>
      <c r="O5475" s="8" t="s">
        <v>118</v>
      </c>
      <c r="P5475" s="6" t="s">
        <v>167</v>
      </c>
      <c r="Q5475" s="8" t="s">
        <v>44</v>
      </c>
      <c r="R5475" s="10" t="s">
        <v>5343</v>
      </c>
      <c r="S5475" s="11" t="s">
        <v>32134</v>
      </c>
      <c r="T5475" s="6"/>
      <c r="U5475" s="24" t="str">
        <f>HYPERLINK("https://media.infra-m.ru/1912/1912999/cover/1912999.jpg", "Обложка")</f>
        <v>Обложка</v>
      </c>
      <c r="V5475" s="24" t="str">
        <f>HYPERLINK("https://znanium.ru/catalog/product/938004", "Ознакомиться")</f>
        <v>Ознакомиться</v>
      </c>
      <c r="W5475" s="8" t="s">
        <v>637</v>
      </c>
      <c r="X5475" s="6"/>
      <c r="Y5475" s="6"/>
      <c r="Z5475" s="6"/>
      <c r="AA5475" s="6" t="s">
        <v>111</v>
      </c>
      <c r="AB5475" s="8"/>
    </row>
    <row r="5476" spans="1:28" s="4" customFormat="1" ht="51.95" customHeight="1">
      <c r="A5476" s="5">
        <v>0</v>
      </c>
      <c r="B5476" s="6" t="s">
        <v>32135</v>
      </c>
      <c r="C5476" s="13">
        <v>1154.9000000000001</v>
      </c>
      <c r="D5476" s="8" t="s">
        <v>32136</v>
      </c>
      <c r="E5476" s="8" t="s">
        <v>32137</v>
      </c>
      <c r="F5476" s="8" t="s">
        <v>32138</v>
      </c>
      <c r="G5476" s="6" t="s">
        <v>52</v>
      </c>
      <c r="H5476" s="6" t="s">
        <v>438</v>
      </c>
      <c r="I5476" s="8"/>
      <c r="J5476" s="9">
        <v>1</v>
      </c>
      <c r="K5476" s="9">
        <v>304</v>
      </c>
      <c r="L5476" s="9">
        <v>2022</v>
      </c>
      <c r="M5476" s="8" t="s">
        <v>32139</v>
      </c>
      <c r="N5476" s="8" t="s">
        <v>41</v>
      </c>
      <c r="O5476" s="8" t="s">
        <v>118</v>
      </c>
      <c r="P5476" s="6" t="s">
        <v>43</v>
      </c>
      <c r="Q5476" s="8" t="s">
        <v>44</v>
      </c>
      <c r="R5476" s="10" t="s">
        <v>32140</v>
      </c>
      <c r="S5476" s="11" t="s">
        <v>5220</v>
      </c>
      <c r="T5476" s="6"/>
      <c r="U5476" s="24" t="str">
        <f>HYPERLINK("https://media.infra-m.ru/1843/1843617/cover/1843617.jpg", "Обложка")</f>
        <v>Обложка</v>
      </c>
      <c r="V5476" s="24" t="str">
        <f>HYPERLINK("https://znanium.ru/catalog/product/1027417", "Ознакомиться")</f>
        <v>Ознакомиться</v>
      </c>
      <c r="W5476" s="8" t="s">
        <v>913</v>
      </c>
      <c r="X5476" s="6"/>
      <c r="Y5476" s="6"/>
      <c r="Z5476" s="6"/>
      <c r="AA5476" s="6" t="s">
        <v>122</v>
      </c>
      <c r="AB5476" s="8"/>
    </row>
    <row r="5477" spans="1:28" s="4" customFormat="1" ht="51.95" customHeight="1">
      <c r="A5477" s="5">
        <v>0</v>
      </c>
      <c r="B5477" s="6" t="s">
        <v>32141</v>
      </c>
      <c r="C5477" s="13">
        <v>1414</v>
      </c>
      <c r="D5477" s="8" t="s">
        <v>32142</v>
      </c>
      <c r="E5477" s="8" t="s">
        <v>32143</v>
      </c>
      <c r="F5477" s="8" t="s">
        <v>32144</v>
      </c>
      <c r="G5477" s="6" t="s">
        <v>52</v>
      </c>
      <c r="H5477" s="6" t="s">
        <v>53</v>
      </c>
      <c r="I5477" s="8" t="s">
        <v>90</v>
      </c>
      <c r="J5477" s="9">
        <v>1</v>
      </c>
      <c r="K5477" s="9">
        <v>272</v>
      </c>
      <c r="L5477" s="9">
        <v>2025</v>
      </c>
      <c r="M5477" s="8" t="s">
        <v>32145</v>
      </c>
      <c r="N5477" s="8" t="s">
        <v>41</v>
      </c>
      <c r="O5477" s="8" t="s">
        <v>118</v>
      </c>
      <c r="P5477" s="6" t="s">
        <v>43</v>
      </c>
      <c r="Q5477" s="8" t="s">
        <v>44</v>
      </c>
      <c r="R5477" s="10" t="s">
        <v>1958</v>
      </c>
      <c r="S5477" s="11" t="s">
        <v>32146</v>
      </c>
      <c r="T5477" s="6"/>
      <c r="U5477" s="24" t="str">
        <f>HYPERLINK("https://media.infra-m.ru/2195/2195961/cover/2195961.jpg", "Обложка")</f>
        <v>Обложка</v>
      </c>
      <c r="V5477" s="24" t="str">
        <f>HYPERLINK("https://znanium.ru/catalog/product/1085289", "Ознакомиться")</f>
        <v>Ознакомиться</v>
      </c>
      <c r="W5477" s="8" t="s">
        <v>487</v>
      </c>
      <c r="X5477" s="6"/>
      <c r="Y5477" s="6"/>
      <c r="Z5477" s="6"/>
      <c r="AA5477" s="6" t="s">
        <v>418</v>
      </c>
      <c r="AB5477" s="8"/>
    </row>
    <row r="5478" spans="1:28" s="4" customFormat="1" ht="42" customHeight="1">
      <c r="A5478" s="5">
        <v>0</v>
      </c>
      <c r="B5478" s="6" t="s">
        <v>32147</v>
      </c>
      <c r="C5478" s="13">
        <v>1890</v>
      </c>
      <c r="D5478" s="8" t="s">
        <v>32148</v>
      </c>
      <c r="E5478" s="8" t="s">
        <v>32149</v>
      </c>
      <c r="F5478" s="8" t="s">
        <v>32150</v>
      </c>
      <c r="G5478" s="6" t="s">
        <v>52</v>
      </c>
      <c r="H5478" s="6" t="s">
        <v>53</v>
      </c>
      <c r="I5478" s="8" t="s">
        <v>116</v>
      </c>
      <c r="J5478" s="9">
        <v>1</v>
      </c>
      <c r="K5478" s="9">
        <v>366</v>
      </c>
      <c r="L5478" s="9">
        <v>2024</v>
      </c>
      <c r="M5478" s="8" t="s">
        <v>32151</v>
      </c>
      <c r="N5478" s="8" t="s">
        <v>41</v>
      </c>
      <c r="O5478" s="8" t="s">
        <v>1007</v>
      </c>
      <c r="P5478" s="6" t="s">
        <v>167</v>
      </c>
      <c r="Q5478" s="8" t="s">
        <v>58</v>
      </c>
      <c r="R5478" s="10" t="s">
        <v>13011</v>
      </c>
      <c r="S5478" s="11"/>
      <c r="T5478" s="6"/>
      <c r="U5478" s="24" t="str">
        <f>HYPERLINK("https://media.infra-m.ru/2063/2063438/cover/2063438.jpg", "Обложка")</f>
        <v>Обложка</v>
      </c>
      <c r="V5478" s="24" t="str">
        <f>HYPERLINK("https://znanium.ru/catalog/product/2063438", "Ознакомиться")</f>
        <v>Ознакомиться</v>
      </c>
      <c r="W5478" s="8" t="s">
        <v>18147</v>
      </c>
      <c r="X5478" s="6" t="s">
        <v>785</v>
      </c>
      <c r="Y5478" s="6"/>
      <c r="Z5478" s="6"/>
      <c r="AA5478" s="6" t="s">
        <v>133</v>
      </c>
      <c r="AB5478" s="8"/>
    </row>
    <row r="5479" spans="1:28" s="4" customFormat="1" ht="51.95" customHeight="1">
      <c r="A5479" s="5">
        <v>0</v>
      </c>
      <c r="B5479" s="6" t="s">
        <v>32152</v>
      </c>
      <c r="C5479" s="7">
        <v>694.9</v>
      </c>
      <c r="D5479" s="8" t="s">
        <v>32153</v>
      </c>
      <c r="E5479" s="8" t="s">
        <v>32154</v>
      </c>
      <c r="F5479" s="8" t="s">
        <v>32155</v>
      </c>
      <c r="G5479" s="6" t="s">
        <v>52</v>
      </c>
      <c r="H5479" s="6" t="s">
        <v>952</v>
      </c>
      <c r="I5479" s="8"/>
      <c r="J5479" s="9">
        <v>1</v>
      </c>
      <c r="K5479" s="9">
        <v>238</v>
      </c>
      <c r="L5479" s="9">
        <v>2017</v>
      </c>
      <c r="M5479" s="8" t="s">
        <v>32156</v>
      </c>
      <c r="N5479" s="8" t="s">
        <v>41</v>
      </c>
      <c r="O5479" s="8" t="s">
        <v>118</v>
      </c>
      <c r="P5479" s="6" t="s">
        <v>43</v>
      </c>
      <c r="Q5479" s="8" t="s">
        <v>44</v>
      </c>
      <c r="R5479" s="10" t="s">
        <v>32157</v>
      </c>
      <c r="S5479" s="11"/>
      <c r="T5479" s="6"/>
      <c r="U5479" s="24" t="str">
        <f>HYPERLINK("https://media.infra-m.ru/0882/0882670/cover/882670.jpg", "Обложка")</f>
        <v>Обложка</v>
      </c>
      <c r="V5479" s="24" t="str">
        <f>HYPERLINK("https://znanium.ru/catalog/product/502885", "Ознакомиться")</f>
        <v>Ознакомиться</v>
      </c>
      <c r="W5479" s="8" t="s">
        <v>189</v>
      </c>
      <c r="X5479" s="6"/>
      <c r="Y5479" s="6"/>
      <c r="Z5479" s="6"/>
      <c r="AA5479" s="6" t="s">
        <v>622</v>
      </c>
      <c r="AB5479" s="8"/>
    </row>
    <row r="5480" spans="1:28" s="4" customFormat="1" ht="51.95" customHeight="1">
      <c r="A5480" s="5">
        <v>0</v>
      </c>
      <c r="B5480" s="6" t="s">
        <v>32158</v>
      </c>
      <c r="C5480" s="7">
        <v>884</v>
      </c>
      <c r="D5480" s="8" t="s">
        <v>32159</v>
      </c>
      <c r="E5480" s="8" t="s">
        <v>32160</v>
      </c>
      <c r="F5480" s="8" t="s">
        <v>32161</v>
      </c>
      <c r="G5480" s="6" t="s">
        <v>38</v>
      </c>
      <c r="H5480" s="6" t="s">
        <v>952</v>
      </c>
      <c r="I5480" s="8"/>
      <c r="J5480" s="9">
        <v>1</v>
      </c>
      <c r="K5480" s="9">
        <v>192</v>
      </c>
      <c r="L5480" s="9">
        <v>2024</v>
      </c>
      <c r="M5480" s="8" t="s">
        <v>32162</v>
      </c>
      <c r="N5480" s="8" t="s">
        <v>41</v>
      </c>
      <c r="O5480" s="8" t="s">
        <v>118</v>
      </c>
      <c r="P5480" s="6" t="s">
        <v>43</v>
      </c>
      <c r="Q5480" s="8" t="s">
        <v>44</v>
      </c>
      <c r="R5480" s="10" t="s">
        <v>32163</v>
      </c>
      <c r="S5480" s="11"/>
      <c r="T5480" s="6"/>
      <c r="U5480" s="24" t="str">
        <f>HYPERLINK("https://media.infra-m.ru/2102/2102170/cover/2102170.jpg", "Обложка")</f>
        <v>Обложка</v>
      </c>
      <c r="V5480" s="24" t="str">
        <f>HYPERLINK("https://znanium.ru/catalog/product/1067532", "Ознакомиться")</f>
        <v>Ознакомиться</v>
      </c>
      <c r="W5480" s="8" t="s">
        <v>1076</v>
      </c>
      <c r="X5480" s="6"/>
      <c r="Y5480" s="6"/>
      <c r="Z5480" s="6"/>
      <c r="AA5480" s="6" t="s">
        <v>47</v>
      </c>
      <c r="AB5480" s="8"/>
    </row>
    <row r="5481" spans="1:28" s="4" customFormat="1" ht="51.95" customHeight="1">
      <c r="A5481" s="5">
        <v>0</v>
      </c>
      <c r="B5481" s="6" t="s">
        <v>32164</v>
      </c>
      <c r="C5481" s="7">
        <v>764</v>
      </c>
      <c r="D5481" s="8" t="s">
        <v>32165</v>
      </c>
      <c r="E5481" s="8" t="s">
        <v>32166</v>
      </c>
      <c r="F5481" s="8" t="s">
        <v>32167</v>
      </c>
      <c r="G5481" s="6" t="s">
        <v>89</v>
      </c>
      <c r="H5481" s="6" t="s">
        <v>53</v>
      </c>
      <c r="I5481" s="8" t="s">
        <v>90</v>
      </c>
      <c r="J5481" s="9">
        <v>1</v>
      </c>
      <c r="K5481" s="9">
        <v>153</v>
      </c>
      <c r="L5481" s="9">
        <v>2025</v>
      </c>
      <c r="M5481" s="8" t="s">
        <v>32168</v>
      </c>
      <c r="N5481" s="8" t="s">
        <v>41</v>
      </c>
      <c r="O5481" s="8" t="s">
        <v>118</v>
      </c>
      <c r="P5481" s="6" t="s">
        <v>167</v>
      </c>
      <c r="Q5481" s="8" t="s">
        <v>44</v>
      </c>
      <c r="R5481" s="10" t="s">
        <v>7881</v>
      </c>
      <c r="S5481" s="11" t="s">
        <v>32169</v>
      </c>
      <c r="T5481" s="6"/>
      <c r="U5481" s="24" t="str">
        <f>HYPERLINK("https://media.infra-m.ru/2184/2184563/cover/2184563.jpg", "Обложка")</f>
        <v>Обложка</v>
      </c>
      <c r="V5481" s="24" t="str">
        <f>HYPERLINK("https://znanium.ru/catalog/product/1897324", "Ознакомиться")</f>
        <v>Ознакомиться</v>
      </c>
      <c r="W5481" s="8"/>
      <c r="X5481" s="6"/>
      <c r="Y5481" s="6"/>
      <c r="Z5481" s="6"/>
      <c r="AA5481" s="6" t="s">
        <v>111</v>
      </c>
      <c r="AB5481" s="8"/>
    </row>
    <row r="5482" spans="1:28" s="4" customFormat="1" ht="51.95" customHeight="1">
      <c r="A5482" s="5">
        <v>0</v>
      </c>
      <c r="B5482" s="6" t="s">
        <v>32170</v>
      </c>
      <c r="C5482" s="7">
        <v>890</v>
      </c>
      <c r="D5482" s="8" t="s">
        <v>32171</v>
      </c>
      <c r="E5482" s="8" t="s">
        <v>32172</v>
      </c>
      <c r="F5482" s="8" t="s">
        <v>32173</v>
      </c>
      <c r="G5482" s="6" t="s">
        <v>89</v>
      </c>
      <c r="H5482" s="6" t="s">
        <v>77</v>
      </c>
      <c r="I5482" s="8"/>
      <c r="J5482" s="9">
        <v>1</v>
      </c>
      <c r="K5482" s="9">
        <v>168</v>
      </c>
      <c r="L5482" s="9">
        <v>2024</v>
      </c>
      <c r="M5482" s="8" t="s">
        <v>32174</v>
      </c>
      <c r="N5482" s="8" t="s">
        <v>41</v>
      </c>
      <c r="O5482" s="8" t="s">
        <v>118</v>
      </c>
      <c r="P5482" s="6" t="s">
        <v>43</v>
      </c>
      <c r="Q5482" s="8" t="s">
        <v>44</v>
      </c>
      <c r="R5482" s="10" t="s">
        <v>31704</v>
      </c>
      <c r="S5482" s="11" t="s">
        <v>32175</v>
      </c>
      <c r="T5482" s="6"/>
      <c r="U5482" s="24" t="str">
        <f>HYPERLINK("https://media.infra-m.ru/2157/2157463/cover/2157463.jpg", "Обложка")</f>
        <v>Обложка</v>
      </c>
      <c r="V5482" s="24" t="str">
        <f>HYPERLINK("https://znanium.ru/catalog/product/2157463", "Ознакомиться")</f>
        <v>Ознакомиться</v>
      </c>
      <c r="W5482" s="8" t="s">
        <v>83</v>
      </c>
      <c r="X5482" s="6"/>
      <c r="Y5482" s="6"/>
      <c r="Z5482" s="6"/>
      <c r="AA5482" s="6" t="s">
        <v>622</v>
      </c>
      <c r="AB5482" s="8"/>
    </row>
    <row r="5483" spans="1:28" s="4" customFormat="1" ht="51.95" customHeight="1">
      <c r="A5483" s="5">
        <v>0</v>
      </c>
      <c r="B5483" s="6" t="s">
        <v>32176</v>
      </c>
      <c r="C5483" s="13">
        <v>1360</v>
      </c>
      <c r="D5483" s="8" t="s">
        <v>32177</v>
      </c>
      <c r="E5483" s="8" t="s">
        <v>32178</v>
      </c>
      <c r="F5483" s="8" t="s">
        <v>32179</v>
      </c>
      <c r="G5483" s="6" t="s">
        <v>52</v>
      </c>
      <c r="H5483" s="6" t="s">
        <v>53</v>
      </c>
      <c r="I5483" s="8" t="s">
        <v>116</v>
      </c>
      <c r="J5483" s="9">
        <v>1</v>
      </c>
      <c r="K5483" s="9">
        <v>270</v>
      </c>
      <c r="L5483" s="9">
        <v>2025</v>
      </c>
      <c r="M5483" s="8" t="s">
        <v>32180</v>
      </c>
      <c r="N5483" s="8" t="s">
        <v>41</v>
      </c>
      <c r="O5483" s="8" t="s">
        <v>118</v>
      </c>
      <c r="P5483" s="6" t="s">
        <v>167</v>
      </c>
      <c r="Q5483" s="8" t="s">
        <v>58</v>
      </c>
      <c r="R5483" s="10" t="s">
        <v>32181</v>
      </c>
      <c r="S5483" s="11"/>
      <c r="T5483" s="6"/>
      <c r="U5483" s="24" t="str">
        <f>HYPERLINK("https://media.infra-m.ru/1995/1995393/cover/1995393.jpg", "Обложка")</f>
        <v>Обложка</v>
      </c>
      <c r="V5483" s="24" t="str">
        <f>HYPERLINK("https://znanium.ru/catalog/product/1995393", "Ознакомиться")</f>
        <v>Ознакомиться</v>
      </c>
      <c r="W5483" s="8" t="s">
        <v>354</v>
      </c>
      <c r="X5483" s="6" t="s">
        <v>389</v>
      </c>
      <c r="Y5483" s="6"/>
      <c r="Z5483" s="6"/>
      <c r="AA5483" s="6" t="s">
        <v>61</v>
      </c>
      <c r="AB5483" s="8"/>
    </row>
    <row r="5484" spans="1:28" s="4" customFormat="1" ht="42" customHeight="1">
      <c r="A5484" s="5">
        <v>0</v>
      </c>
      <c r="B5484" s="6" t="s">
        <v>32182</v>
      </c>
      <c r="C5484" s="13">
        <v>2294.9</v>
      </c>
      <c r="D5484" s="8" t="s">
        <v>32183</v>
      </c>
      <c r="E5484" s="8" t="s">
        <v>32184</v>
      </c>
      <c r="F5484" s="8" t="s">
        <v>32185</v>
      </c>
      <c r="G5484" s="6" t="s">
        <v>52</v>
      </c>
      <c r="H5484" s="6" t="s">
        <v>66</v>
      </c>
      <c r="I5484" s="8"/>
      <c r="J5484" s="9">
        <v>1</v>
      </c>
      <c r="K5484" s="9">
        <v>571</v>
      </c>
      <c r="L5484" s="9">
        <v>2022</v>
      </c>
      <c r="M5484" s="8" t="s">
        <v>32186</v>
      </c>
      <c r="N5484" s="8" t="s">
        <v>41</v>
      </c>
      <c r="O5484" s="8" t="s">
        <v>278</v>
      </c>
      <c r="P5484" s="6" t="s">
        <v>167</v>
      </c>
      <c r="Q5484" s="8" t="s">
        <v>44</v>
      </c>
      <c r="R5484" s="10" t="s">
        <v>3378</v>
      </c>
      <c r="S5484" s="11"/>
      <c r="T5484" s="6"/>
      <c r="U5484" s="24" t="str">
        <f>HYPERLINK("https://media.infra-m.ru/1237/1237098/cover/1237098.jpg", "Обложка")</f>
        <v>Обложка</v>
      </c>
      <c r="V5484" s="12"/>
      <c r="W5484" s="8" t="s">
        <v>71</v>
      </c>
      <c r="X5484" s="6"/>
      <c r="Y5484" s="6"/>
      <c r="Z5484" s="6"/>
      <c r="AA5484" s="6" t="s">
        <v>1442</v>
      </c>
      <c r="AB5484" s="8"/>
    </row>
    <row r="5485" spans="1:28" s="4" customFormat="1" ht="51.95" customHeight="1">
      <c r="A5485" s="5">
        <v>0</v>
      </c>
      <c r="B5485" s="6" t="s">
        <v>32187</v>
      </c>
      <c r="C5485" s="7">
        <v>614.9</v>
      </c>
      <c r="D5485" s="8" t="s">
        <v>32188</v>
      </c>
      <c r="E5485" s="8" t="s">
        <v>32189</v>
      </c>
      <c r="F5485" s="8" t="s">
        <v>19523</v>
      </c>
      <c r="G5485" s="6" t="s">
        <v>38</v>
      </c>
      <c r="H5485" s="6" t="s">
        <v>53</v>
      </c>
      <c r="I5485" s="8" t="s">
        <v>90</v>
      </c>
      <c r="J5485" s="9">
        <v>1</v>
      </c>
      <c r="K5485" s="9">
        <v>136</v>
      </c>
      <c r="L5485" s="9">
        <v>2023</v>
      </c>
      <c r="M5485" s="8" t="s">
        <v>32190</v>
      </c>
      <c r="N5485" s="8" t="s">
        <v>79</v>
      </c>
      <c r="O5485" s="8" t="s">
        <v>396</v>
      </c>
      <c r="P5485" s="6" t="s">
        <v>43</v>
      </c>
      <c r="Q5485" s="8" t="s">
        <v>44</v>
      </c>
      <c r="R5485" s="10" t="s">
        <v>24709</v>
      </c>
      <c r="S5485" s="11" t="s">
        <v>32191</v>
      </c>
      <c r="T5485" s="6"/>
      <c r="U5485" s="24" t="str">
        <f>HYPERLINK("https://media.infra-m.ru/1981/1981676/cover/1981676.jpg", "Обложка")</f>
        <v>Обложка</v>
      </c>
      <c r="V5485" s="24" t="str">
        <f>HYPERLINK("https://znanium.ru/catalog/product/1981676", "Ознакомиться")</f>
        <v>Ознакомиться</v>
      </c>
      <c r="W5485" s="8" t="s">
        <v>19527</v>
      </c>
      <c r="X5485" s="6"/>
      <c r="Y5485" s="6"/>
      <c r="Z5485" s="6"/>
      <c r="AA5485" s="6" t="s">
        <v>84</v>
      </c>
      <c r="AB5485" s="8"/>
    </row>
    <row r="5486" spans="1:28" s="4" customFormat="1" ht="51.95" customHeight="1">
      <c r="A5486" s="5">
        <v>0</v>
      </c>
      <c r="B5486" s="6" t="s">
        <v>32192</v>
      </c>
      <c r="C5486" s="13">
        <v>1044.9000000000001</v>
      </c>
      <c r="D5486" s="8" t="s">
        <v>32193</v>
      </c>
      <c r="E5486" s="8" t="s">
        <v>32194</v>
      </c>
      <c r="F5486" s="8" t="s">
        <v>15742</v>
      </c>
      <c r="G5486" s="6" t="s">
        <v>52</v>
      </c>
      <c r="H5486" s="6" t="s">
        <v>53</v>
      </c>
      <c r="I5486" s="8" t="s">
        <v>276</v>
      </c>
      <c r="J5486" s="9">
        <v>1</v>
      </c>
      <c r="K5486" s="9">
        <v>232</v>
      </c>
      <c r="L5486" s="9">
        <v>2023</v>
      </c>
      <c r="M5486" s="8" t="s">
        <v>32195</v>
      </c>
      <c r="N5486" s="8" t="s">
        <v>41</v>
      </c>
      <c r="O5486" s="8" t="s">
        <v>118</v>
      </c>
      <c r="P5486" s="6" t="s">
        <v>167</v>
      </c>
      <c r="Q5486" s="8" t="s">
        <v>279</v>
      </c>
      <c r="R5486" s="10" t="s">
        <v>1107</v>
      </c>
      <c r="S5486" s="11" t="s">
        <v>32196</v>
      </c>
      <c r="T5486" s="6"/>
      <c r="U5486" s="24" t="str">
        <f>HYPERLINK("https://media.infra-m.ru/2021/2021456/cover/2021456.jpg", "Обложка")</f>
        <v>Обложка</v>
      </c>
      <c r="V5486" s="24" t="str">
        <f>HYPERLINK("https://znanium.ru/catalog/product/1002556", "Ознакомиться")</f>
        <v>Ознакомиться</v>
      </c>
      <c r="W5486" s="8" t="s">
        <v>5142</v>
      </c>
      <c r="X5486" s="6"/>
      <c r="Y5486" s="6"/>
      <c r="Z5486" s="6"/>
      <c r="AA5486" s="6" t="s">
        <v>793</v>
      </c>
      <c r="AB5486" s="8"/>
    </row>
    <row r="5487" spans="1:28" s="4" customFormat="1" ht="51.95" customHeight="1">
      <c r="A5487" s="5">
        <v>0</v>
      </c>
      <c r="B5487" s="6" t="s">
        <v>32197</v>
      </c>
      <c r="C5487" s="13">
        <v>1874.9</v>
      </c>
      <c r="D5487" s="8" t="s">
        <v>32198</v>
      </c>
      <c r="E5487" s="8" t="s">
        <v>32199</v>
      </c>
      <c r="F5487" s="8" t="s">
        <v>32200</v>
      </c>
      <c r="G5487" s="6" t="s">
        <v>52</v>
      </c>
      <c r="H5487" s="6" t="s">
        <v>53</v>
      </c>
      <c r="I5487" s="8" t="s">
        <v>90</v>
      </c>
      <c r="J5487" s="9">
        <v>1</v>
      </c>
      <c r="K5487" s="9">
        <v>416</v>
      </c>
      <c r="L5487" s="9">
        <v>2023</v>
      </c>
      <c r="M5487" s="8" t="s">
        <v>32201</v>
      </c>
      <c r="N5487" s="8" t="s">
        <v>41</v>
      </c>
      <c r="O5487" s="8" t="s">
        <v>118</v>
      </c>
      <c r="P5487" s="6" t="s">
        <v>167</v>
      </c>
      <c r="Q5487" s="8" t="s">
        <v>44</v>
      </c>
      <c r="R5487" s="10" t="s">
        <v>15777</v>
      </c>
      <c r="S5487" s="11"/>
      <c r="T5487" s="6"/>
      <c r="U5487" s="24" t="str">
        <f>HYPERLINK("https://media.infra-m.ru/1938/1938862/cover/1938862.jpg", "Обложка")</f>
        <v>Обложка</v>
      </c>
      <c r="V5487" s="24" t="str">
        <f>HYPERLINK("https://znanium.ru/catalog/product/1002358", "Ознакомиться")</f>
        <v>Ознакомиться</v>
      </c>
      <c r="W5487" s="8" t="s">
        <v>2915</v>
      </c>
      <c r="X5487" s="6"/>
      <c r="Y5487" s="6"/>
      <c r="Z5487" s="6"/>
      <c r="AA5487" s="6" t="s">
        <v>47</v>
      </c>
      <c r="AB5487" s="8"/>
    </row>
    <row r="5488" spans="1:28" s="4" customFormat="1" ht="51.95" customHeight="1">
      <c r="A5488" s="5">
        <v>0</v>
      </c>
      <c r="B5488" s="6" t="s">
        <v>32202</v>
      </c>
      <c r="C5488" s="13">
        <v>1190</v>
      </c>
      <c r="D5488" s="8" t="s">
        <v>32203</v>
      </c>
      <c r="E5488" s="8" t="s">
        <v>32204</v>
      </c>
      <c r="F5488" s="8" t="s">
        <v>32205</v>
      </c>
      <c r="G5488" s="6" t="s">
        <v>89</v>
      </c>
      <c r="H5488" s="6" t="s">
        <v>53</v>
      </c>
      <c r="I5488" s="8" t="s">
        <v>116</v>
      </c>
      <c r="J5488" s="9">
        <v>1</v>
      </c>
      <c r="K5488" s="9">
        <v>216</v>
      </c>
      <c r="L5488" s="9">
        <v>2025</v>
      </c>
      <c r="M5488" s="8" t="s">
        <v>32206</v>
      </c>
      <c r="N5488" s="8" t="s">
        <v>41</v>
      </c>
      <c r="O5488" s="8" t="s">
        <v>118</v>
      </c>
      <c r="P5488" s="6" t="s">
        <v>167</v>
      </c>
      <c r="Q5488" s="8" t="s">
        <v>44</v>
      </c>
      <c r="R5488" s="10" t="s">
        <v>32207</v>
      </c>
      <c r="S5488" s="11" t="s">
        <v>32208</v>
      </c>
      <c r="T5488" s="6"/>
      <c r="U5488" s="24" t="str">
        <f>HYPERLINK("https://media.infra-m.ru/2108/2108576/cover/2108576.jpg", "Обложка")</f>
        <v>Обложка</v>
      </c>
      <c r="V5488" s="24" t="str">
        <f>HYPERLINK("https://znanium.ru/catalog/product/2108576", "Ознакомиться")</f>
        <v>Ознакомиться</v>
      </c>
      <c r="W5488" s="8" t="s">
        <v>744</v>
      </c>
      <c r="X5488" s="6" t="s">
        <v>60</v>
      </c>
      <c r="Y5488" s="6"/>
      <c r="Z5488" s="6"/>
      <c r="AA5488" s="6" t="s">
        <v>818</v>
      </c>
      <c r="AB5488" s="8"/>
    </row>
    <row r="5489" spans="1:28" s="4" customFormat="1" ht="51.95" customHeight="1">
      <c r="A5489" s="5">
        <v>0</v>
      </c>
      <c r="B5489" s="6" t="s">
        <v>32209</v>
      </c>
      <c r="C5489" s="7">
        <v>990</v>
      </c>
      <c r="D5489" s="8" t="s">
        <v>32210</v>
      </c>
      <c r="E5489" s="8" t="s">
        <v>32211</v>
      </c>
      <c r="F5489" s="8" t="s">
        <v>32212</v>
      </c>
      <c r="G5489" s="6" t="s">
        <v>89</v>
      </c>
      <c r="H5489" s="6" t="s">
        <v>53</v>
      </c>
      <c r="I5489" s="8" t="s">
        <v>90</v>
      </c>
      <c r="J5489" s="9">
        <v>1</v>
      </c>
      <c r="K5489" s="9">
        <v>208</v>
      </c>
      <c r="L5489" s="9">
        <v>2023</v>
      </c>
      <c r="M5489" s="8" t="s">
        <v>32213</v>
      </c>
      <c r="N5489" s="8" t="s">
        <v>41</v>
      </c>
      <c r="O5489" s="8" t="s">
        <v>118</v>
      </c>
      <c r="P5489" s="6" t="s">
        <v>167</v>
      </c>
      <c r="Q5489" s="8" t="s">
        <v>44</v>
      </c>
      <c r="R5489" s="10" t="s">
        <v>32207</v>
      </c>
      <c r="S5489" s="11" t="s">
        <v>32208</v>
      </c>
      <c r="T5489" s="6" t="s">
        <v>299</v>
      </c>
      <c r="U5489" s="24" t="str">
        <f>HYPERLINK("https://media.infra-m.ru/2057/2057644/cover/2057644.jpg", "Обложка")</f>
        <v>Обложка</v>
      </c>
      <c r="V5489" s="24" t="str">
        <f>HYPERLINK("https://znanium.ru/catalog/product/2108576", "Ознакомиться")</f>
        <v>Ознакомиться</v>
      </c>
      <c r="W5489" s="8" t="s">
        <v>744</v>
      </c>
      <c r="X5489" s="6"/>
      <c r="Y5489" s="6"/>
      <c r="Z5489" s="6"/>
      <c r="AA5489" s="6" t="s">
        <v>407</v>
      </c>
      <c r="AB5489" s="8"/>
    </row>
    <row r="5490" spans="1:28" s="4" customFormat="1" ht="51.95" customHeight="1">
      <c r="A5490" s="5">
        <v>0</v>
      </c>
      <c r="B5490" s="6" t="s">
        <v>32214</v>
      </c>
      <c r="C5490" s="7">
        <v>994</v>
      </c>
      <c r="D5490" s="8" t="s">
        <v>32215</v>
      </c>
      <c r="E5490" s="8" t="s">
        <v>32216</v>
      </c>
      <c r="F5490" s="8" t="s">
        <v>32217</v>
      </c>
      <c r="G5490" s="6" t="s">
        <v>52</v>
      </c>
      <c r="H5490" s="6" t="s">
        <v>184</v>
      </c>
      <c r="I5490" s="8" t="s">
        <v>90</v>
      </c>
      <c r="J5490" s="9">
        <v>1</v>
      </c>
      <c r="K5490" s="9">
        <v>218</v>
      </c>
      <c r="L5490" s="9">
        <v>2024</v>
      </c>
      <c r="M5490" s="8" t="s">
        <v>32218</v>
      </c>
      <c r="N5490" s="8" t="s">
        <v>41</v>
      </c>
      <c r="O5490" s="8" t="s">
        <v>118</v>
      </c>
      <c r="P5490" s="6" t="s">
        <v>43</v>
      </c>
      <c r="Q5490" s="8" t="s">
        <v>44</v>
      </c>
      <c r="R5490" s="10" t="s">
        <v>32219</v>
      </c>
      <c r="S5490" s="11" t="s">
        <v>32220</v>
      </c>
      <c r="T5490" s="6"/>
      <c r="U5490" s="24" t="str">
        <f>HYPERLINK("https://media.infra-m.ru/1981/1981604/cover/1981604.jpg", "Обложка")</f>
        <v>Обложка</v>
      </c>
      <c r="V5490" s="24" t="str">
        <f>HYPERLINK("https://znanium.ru/catalog/product/1014756", "Ознакомиться")</f>
        <v>Ознакомиться</v>
      </c>
      <c r="W5490" s="8" t="s">
        <v>29152</v>
      </c>
      <c r="X5490" s="6"/>
      <c r="Y5490" s="6"/>
      <c r="Z5490" s="6"/>
      <c r="AA5490" s="6" t="s">
        <v>111</v>
      </c>
      <c r="AB5490" s="8"/>
    </row>
    <row r="5491" spans="1:28" s="4" customFormat="1" ht="51.95" customHeight="1">
      <c r="A5491" s="5">
        <v>0</v>
      </c>
      <c r="B5491" s="6" t="s">
        <v>32221</v>
      </c>
      <c r="C5491" s="13">
        <v>1610</v>
      </c>
      <c r="D5491" s="8" t="s">
        <v>32222</v>
      </c>
      <c r="E5491" s="8" t="s">
        <v>32223</v>
      </c>
      <c r="F5491" s="8" t="s">
        <v>27729</v>
      </c>
      <c r="G5491" s="6" t="s">
        <v>52</v>
      </c>
      <c r="H5491" s="6" t="s">
        <v>53</v>
      </c>
      <c r="I5491" s="8" t="s">
        <v>116</v>
      </c>
      <c r="J5491" s="9">
        <v>1</v>
      </c>
      <c r="K5491" s="9">
        <v>336</v>
      </c>
      <c r="L5491" s="9">
        <v>2024</v>
      </c>
      <c r="M5491" s="8" t="s">
        <v>32224</v>
      </c>
      <c r="N5491" s="8" t="s">
        <v>41</v>
      </c>
      <c r="O5491" s="8" t="s">
        <v>118</v>
      </c>
      <c r="P5491" s="6" t="s">
        <v>167</v>
      </c>
      <c r="Q5491" s="8" t="s">
        <v>58</v>
      </c>
      <c r="R5491" s="10" t="s">
        <v>32225</v>
      </c>
      <c r="S5491" s="11" t="s">
        <v>32226</v>
      </c>
      <c r="T5491" s="6"/>
      <c r="U5491" s="24" t="str">
        <f>HYPERLINK("https://media.infra-m.ru/2074/2074255/cover/2074255.jpg", "Обложка")</f>
        <v>Обложка</v>
      </c>
      <c r="V5491" s="24" t="str">
        <f>HYPERLINK("https://znanium.ru/catalog/product/2074255", "Ознакомиться")</f>
        <v>Ознакомиться</v>
      </c>
      <c r="W5491" s="8" t="s">
        <v>15752</v>
      </c>
      <c r="X5491" s="6"/>
      <c r="Y5491" s="6"/>
      <c r="Z5491" s="6"/>
      <c r="AA5491" s="6" t="s">
        <v>133</v>
      </c>
      <c r="AB5491" s="8"/>
    </row>
    <row r="5492" spans="1:28" s="4" customFormat="1" ht="51.95" customHeight="1">
      <c r="A5492" s="5">
        <v>0</v>
      </c>
      <c r="B5492" s="6" t="s">
        <v>32227</v>
      </c>
      <c r="C5492" s="7">
        <v>844.9</v>
      </c>
      <c r="D5492" s="8" t="s">
        <v>32228</v>
      </c>
      <c r="E5492" s="8" t="s">
        <v>32229</v>
      </c>
      <c r="F5492" s="8" t="s">
        <v>32230</v>
      </c>
      <c r="G5492" s="6" t="s">
        <v>38</v>
      </c>
      <c r="H5492" s="6" t="s">
        <v>53</v>
      </c>
      <c r="I5492" s="8" t="s">
        <v>276</v>
      </c>
      <c r="J5492" s="9">
        <v>1</v>
      </c>
      <c r="K5492" s="9">
        <v>188</v>
      </c>
      <c r="L5492" s="9">
        <v>2024</v>
      </c>
      <c r="M5492" s="8" t="s">
        <v>32231</v>
      </c>
      <c r="N5492" s="8" t="s">
        <v>41</v>
      </c>
      <c r="O5492" s="8" t="s">
        <v>118</v>
      </c>
      <c r="P5492" s="6" t="s">
        <v>43</v>
      </c>
      <c r="Q5492" s="8" t="s">
        <v>279</v>
      </c>
      <c r="R5492" s="10" t="s">
        <v>14487</v>
      </c>
      <c r="S5492" s="11" t="s">
        <v>32232</v>
      </c>
      <c r="T5492" s="6"/>
      <c r="U5492" s="24" t="str">
        <f>HYPERLINK("https://media.infra-m.ru/2044/2044318/cover/2044318.jpg", "Обложка")</f>
        <v>Обложка</v>
      </c>
      <c r="V5492" s="24" t="str">
        <f>HYPERLINK("https://znanium.ru/catalog/product/2044318", "Ознакомиться")</f>
        <v>Ознакомиться</v>
      </c>
      <c r="W5492" s="8" t="s">
        <v>347</v>
      </c>
      <c r="X5492" s="6"/>
      <c r="Y5492" s="6"/>
      <c r="Z5492" s="6"/>
      <c r="AA5492" s="6" t="s">
        <v>47</v>
      </c>
      <c r="AB5492" s="8"/>
    </row>
    <row r="5493" spans="1:28" s="4" customFormat="1" ht="51.95" customHeight="1">
      <c r="A5493" s="5">
        <v>0</v>
      </c>
      <c r="B5493" s="6" t="s">
        <v>32233</v>
      </c>
      <c r="C5493" s="13">
        <v>1774</v>
      </c>
      <c r="D5493" s="8" t="s">
        <v>32234</v>
      </c>
      <c r="E5493" s="8" t="s">
        <v>32235</v>
      </c>
      <c r="F5493" s="8" t="s">
        <v>32236</v>
      </c>
      <c r="G5493" s="6" t="s">
        <v>52</v>
      </c>
      <c r="H5493" s="6" t="s">
        <v>649</v>
      </c>
      <c r="I5493" s="8" t="s">
        <v>116</v>
      </c>
      <c r="J5493" s="9">
        <v>1</v>
      </c>
      <c r="K5493" s="9">
        <v>384</v>
      </c>
      <c r="L5493" s="9">
        <v>2023</v>
      </c>
      <c r="M5493" s="8" t="s">
        <v>32237</v>
      </c>
      <c r="N5493" s="8" t="s">
        <v>41</v>
      </c>
      <c r="O5493" s="8" t="s">
        <v>118</v>
      </c>
      <c r="P5493" s="6" t="s">
        <v>167</v>
      </c>
      <c r="Q5493" s="8" t="s">
        <v>279</v>
      </c>
      <c r="R5493" s="10" t="s">
        <v>2098</v>
      </c>
      <c r="S5493" s="11" t="s">
        <v>32238</v>
      </c>
      <c r="T5493" s="6"/>
      <c r="U5493" s="24" t="str">
        <f>HYPERLINK("https://media.infra-m.ru/1913/1913020/cover/1913020.jpg", "Обложка")</f>
        <v>Обложка</v>
      </c>
      <c r="V5493" s="24" t="str">
        <f>HYPERLINK("https://znanium.ru/catalog/product/986901", "Ознакомиться")</f>
        <v>Ознакомиться</v>
      </c>
      <c r="W5493" s="8" t="s">
        <v>5635</v>
      </c>
      <c r="X5493" s="6"/>
      <c r="Y5493" s="6"/>
      <c r="Z5493" s="6"/>
      <c r="AA5493" s="6" t="s">
        <v>111</v>
      </c>
      <c r="AB5493" s="8"/>
    </row>
    <row r="5494" spans="1:28" s="4" customFormat="1" ht="51.95" customHeight="1">
      <c r="A5494" s="5">
        <v>0</v>
      </c>
      <c r="B5494" s="6" t="s">
        <v>32239</v>
      </c>
      <c r="C5494" s="7">
        <v>864.9</v>
      </c>
      <c r="D5494" s="8" t="s">
        <v>32240</v>
      </c>
      <c r="E5494" s="8" t="s">
        <v>32241</v>
      </c>
      <c r="F5494" s="8" t="s">
        <v>32242</v>
      </c>
      <c r="G5494" s="6" t="s">
        <v>52</v>
      </c>
      <c r="H5494" s="6" t="s">
        <v>53</v>
      </c>
      <c r="I5494" s="8" t="s">
        <v>90</v>
      </c>
      <c r="J5494" s="9">
        <v>1</v>
      </c>
      <c r="K5494" s="9">
        <v>255</v>
      </c>
      <c r="L5494" s="9">
        <v>2020</v>
      </c>
      <c r="M5494" s="8" t="s">
        <v>32243</v>
      </c>
      <c r="N5494" s="8" t="s">
        <v>41</v>
      </c>
      <c r="O5494" s="8" t="s">
        <v>1007</v>
      </c>
      <c r="P5494" s="6" t="s">
        <v>43</v>
      </c>
      <c r="Q5494" s="8" t="s">
        <v>44</v>
      </c>
      <c r="R5494" s="10" t="s">
        <v>32244</v>
      </c>
      <c r="S5494" s="11" t="s">
        <v>3474</v>
      </c>
      <c r="T5494" s="6"/>
      <c r="U5494" s="24" t="str">
        <f>HYPERLINK("https://media.infra-m.ru/1045/1045817/cover/1045817.jpg", "Обложка")</f>
        <v>Обложка</v>
      </c>
      <c r="V5494" s="24" t="str">
        <f>HYPERLINK("https://znanium.ru/catalog/product/922719", "Ознакомиться")</f>
        <v>Ознакомиться</v>
      </c>
      <c r="W5494" s="8" t="s">
        <v>5635</v>
      </c>
      <c r="X5494" s="6"/>
      <c r="Y5494" s="6"/>
      <c r="Z5494" s="6"/>
      <c r="AA5494" s="6" t="s">
        <v>442</v>
      </c>
      <c r="AB5494" s="8" t="s">
        <v>271</v>
      </c>
    </row>
    <row r="5495" spans="1:28" s="4" customFormat="1" ht="51.95" customHeight="1">
      <c r="A5495" s="5">
        <v>0</v>
      </c>
      <c r="B5495" s="6" t="s">
        <v>32245</v>
      </c>
      <c r="C5495" s="13">
        <v>1244</v>
      </c>
      <c r="D5495" s="8" t="s">
        <v>32246</v>
      </c>
      <c r="E5495" s="8" t="s">
        <v>32247</v>
      </c>
      <c r="F5495" s="8" t="s">
        <v>32248</v>
      </c>
      <c r="G5495" s="6" t="s">
        <v>52</v>
      </c>
      <c r="H5495" s="6" t="s">
        <v>53</v>
      </c>
      <c r="I5495" s="8" t="s">
        <v>100</v>
      </c>
      <c r="J5495" s="9">
        <v>1</v>
      </c>
      <c r="K5495" s="9">
        <v>248</v>
      </c>
      <c r="L5495" s="9">
        <v>2025</v>
      </c>
      <c r="M5495" s="8" t="s">
        <v>32249</v>
      </c>
      <c r="N5495" s="8" t="s">
        <v>79</v>
      </c>
      <c r="O5495" s="8" t="s">
        <v>424</v>
      </c>
      <c r="P5495" s="6" t="s">
        <v>43</v>
      </c>
      <c r="Q5495" s="8" t="s">
        <v>102</v>
      </c>
      <c r="R5495" s="10" t="s">
        <v>32250</v>
      </c>
      <c r="S5495" s="11" t="s">
        <v>32251</v>
      </c>
      <c r="T5495" s="6"/>
      <c r="U5495" s="24" t="str">
        <f>HYPERLINK("https://media.infra-m.ru/2163/2163284/cover/2163284.jpg", "Обложка")</f>
        <v>Обложка</v>
      </c>
      <c r="V5495" s="24" t="str">
        <f>HYPERLINK("https://znanium.ru/catalog/product/2162577", "Ознакомиться")</f>
        <v>Ознакомиться</v>
      </c>
      <c r="W5495" s="8" t="s">
        <v>2080</v>
      </c>
      <c r="X5495" s="6"/>
      <c r="Y5495" s="6"/>
      <c r="Z5495" s="6" t="s">
        <v>104</v>
      </c>
      <c r="AA5495" s="6" t="s">
        <v>1374</v>
      </c>
      <c r="AB5495" s="8"/>
    </row>
    <row r="5496" spans="1:28" s="4" customFormat="1" ht="51.95" customHeight="1">
      <c r="A5496" s="5">
        <v>0</v>
      </c>
      <c r="B5496" s="6" t="s">
        <v>32252</v>
      </c>
      <c r="C5496" s="7">
        <v>780</v>
      </c>
      <c r="D5496" s="8" t="s">
        <v>32253</v>
      </c>
      <c r="E5496" s="8" t="s">
        <v>32247</v>
      </c>
      <c r="F5496" s="8" t="s">
        <v>32248</v>
      </c>
      <c r="G5496" s="6" t="s">
        <v>89</v>
      </c>
      <c r="H5496" s="6" t="s">
        <v>53</v>
      </c>
      <c r="I5496" s="8" t="s">
        <v>116</v>
      </c>
      <c r="J5496" s="9">
        <v>1</v>
      </c>
      <c r="K5496" s="9">
        <v>156</v>
      </c>
      <c r="L5496" s="9">
        <v>2025</v>
      </c>
      <c r="M5496" s="8" t="s">
        <v>32254</v>
      </c>
      <c r="N5496" s="8" t="s">
        <v>79</v>
      </c>
      <c r="O5496" s="8" t="s">
        <v>424</v>
      </c>
      <c r="P5496" s="6" t="s">
        <v>43</v>
      </c>
      <c r="Q5496" s="8" t="s">
        <v>44</v>
      </c>
      <c r="R5496" s="10" t="s">
        <v>4598</v>
      </c>
      <c r="S5496" s="11" t="s">
        <v>32255</v>
      </c>
      <c r="T5496" s="6" t="s">
        <v>299</v>
      </c>
      <c r="U5496" s="24" t="str">
        <f>HYPERLINK("https://media.infra-m.ru/2182/2182614/cover/2182614.jpg", "Обложка")</f>
        <v>Обложка</v>
      </c>
      <c r="V5496" s="24" t="str">
        <f>HYPERLINK("https://znanium.ru/catalog/product/2182614", "Ознакомиться")</f>
        <v>Ознакомиться</v>
      </c>
      <c r="W5496" s="8" t="s">
        <v>2080</v>
      </c>
      <c r="X5496" s="6"/>
      <c r="Y5496" s="6"/>
      <c r="Z5496" s="6"/>
      <c r="AA5496" s="6" t="s">
        <v>479</v>
      </c>
      <c r="AB5496" s="8"/>
    </row>
    <row r="5497" spans="1:28" s="4" customFormat="1" ht="51.95" customHeight="1">
      <c r="A5497" s="5">
        <v>0</v>
      </c>
      <c r="B5497" s="6" t="s">
        <v>32256</v>
      </c>
      <c r="C5497" s="13">
        <v>1914</v>
      </c>
      <c r="D5497" s="8" t="s">
        <v>32257</v>
      </c>
      <c r="E5497" s="8" t="s">
        <v>32258</v>
      </c>
      <c r="F5497" s="8" t="s">
        <v>32259</v>
      </c>
      <c r="G5497" s="6" t="s">
        <v>52</v>
      </c>
      <c r="H5497" s="6" t="s">
        <v>649</v>
      </c>
      <c r="I5497" s="8" t="s">
        <v>116</v>
      </c>
      <c r="J5497" s="9">
        <v>1</v>
      </c>
      <c r="K5497" s="9">
        <v>368</v>
      </c>
      <c r="L5497" s="9">
        <v>2025</v>
      </c>
      <c r="M5497" s="8" t="s">
        <v>32260</v>
      </c>
      <c r="N5497" s="8" t="s">
        <v>41</v>
      </c>
      <c r="O5497" s="8" t="s">
        <v>278</v>
      </c>
      <c r="P5497" s="6" t="s">
        <v>167</v>
      </c>
      <c r="Q5497" s="8" t="s">
        <v>44</v>
      </c>
      <c r="R5497" s="10" t="s">
        <v>8490</v>
      </c>
      <c r="S5497" s="11" t="s">
        <v>32261</v>
      </c>
      <c r="T5497" s="6"/>
      <c r="U5497" s="24" t="str">
        <f>HYPERLINK("https://media.infra-m.ru/2196/2196970/cover/2196970.jpg", "Обложка")</f>
        <v>Обложка</v>
      </c>
      <c r="V5497" s="24" t="str">
        <f>HYPERLINK("https://znanium.ru/catalog/product/1044006", "Ознакомиться")</f>
        <v>Ознакомиться</v>
      </c>
      <c r="W5497" s="8" t="s">
        <v>189</v>
      </c>
      <c r="X5497" s="6"/>
      <c r="Y5497" s="6"/>
      <c r="Z5497" s="6"/>
      <c r="AA5497" s="6" t="s">
        <v>47</v>
      </c>
      <c r="AB5497" s="8"/>
    </row>
    <row r="5498" spans="1:28" s="4" customFormat="1" ht="51.95" customHeight="1">
      <c r="A5498" s="5">
        <v>0</v>
      </c>
      <c r="B5498" s="6" t="s">
        <v>32262</v>
      </c>
      <c r="C5498" s="13">
        <v>1314</v>
      </c>
      <c r="D5498" s="8" t="s">
        <v>32263</v>
      </c>
      <c r="E5498" s="8" t="s">
        <v>32264</v>
      </c>
      <c r="F5498" s="8" t="s">
        <v>32265</v>
      </c>
      <c r="G5498" s="6" t="s">
        <v>52</v>
      </c>
      <c r="H5498" s="6" t="s">
        <v>66</v>
      </c>
      <c r="I5498" s="8" t="s">
        <v>116</v>
      </c>
      <c r="J5498" s="9">
        <v>1</v>
      </c>
      <c r="K5498" s="9">
        <v>284</v>
      </c>
      <c r="L5498" s="9">
        <v>2024</v>
      </c>
      <c r="M5498" s="8" t="s">
        <v>32266</v>
      </c>
      <c r="N5498" s="8" t="s">
        <v>41</v>
      </c>
      <c r="O5498" s="8" t="s">
        <v>118</v>
      </c>
      <c r="P5498" s="6" t="s">
        <v>167</v>
      </c>
      <c r="Q5498" s="8" t="s">
        <v>44</v>
      </c>
      <c r="R5498" s="10" t="s">
        <v>32267</v>
      </c>
      <c r="S5498" s="11" t="s">
        <v>32035</v>
      </c>
      <c r="T5498" s="6"/>
      <c r="U5498" s="24" t="str">
        <f>HYPERLINK("https://media.infra-m.ru/2058/2058780/cover/2058780.jpg", "Обложка")</f>
        <v>Обложка</v>
      </c>
      <c r="V5498" s="24" t="str">
        <f>HYPERLINK("https://znanium.ru/catalog/product/1836627", "Ознакомиться")</f>
        <v>Ознакомиться</v>
      </c>
      <c r="W5498" s="8" t="s">
        <v>1345</v>
      </c>
      <c r="X5498" s="6"/>
      <c r="Y5498" s="6"/>
      <c r="Z5498" s="6"/>
      <c r="AA5498" s="6" t="s">
        <v>2217</v>
      </c>
      <c r="AB5498" s="8"/>
    </row>
    <row r="5499" spans="1:28" s="4" customFormat="1" ht="51.95" customHeight="1">
      <c r="A5499" s="5">
        <v>0</v>
      </c>
      <c r="B5499" s="6" t="s">
        <v>32268</v>
      </c>
      <c r="C5499" s="7">
        <v>990</v>
      </c>
      <c r="D5499" s="8" t="s">
        <v>32269</v>
      </c>
      <c r="E5499" s="8" t="s">
        <v>32270</v>
      </c>
      <c r="F5499" s="8" t="s">
        <v>32271</v>
      </c>
      <c r="G5499" s="6" t="s">
        <v>52</v>
      </c>
      <c r="H5499" s="6" t="s">
        <v>77</v>
      </c>
      <c r="I5499" s="8" t="s">
        <v>32272</v>
      </c>
      <c r="J5499" s="9">
        <v>1</v>
      </c>
      <c r="K5499" s="9">
        <v>236</v>
      </c>
      <c r="L5499" s="9">
        <v>2022</v>
      </c>
      <c r="M5499" s="8" t="s">
        <v>32273</v>
      </c>
      <c r="N5499" s="8" t="s">
        <v>41</v>
      </c>
      <c r="O5499" s="8" t="s">
        <v>118</v>
      </c>
      <c r="P5499" s="6" t="s">
        <v>167</v>
      </c>
      <c r="Q5499" s="8" t="s">
        <v>44</v>
      </c>
      <c r="R5499" s="10" t="s">
        <v>13559</v>
      </c>
      <c r="S5499" s="11" t="s">
        <v>32274</v>
      </c>
      <c r="T5499" s="6"/>
      <c r="U5499" s="24" t="str">
        <f>HYPERLINK("https://media.infra-m.ru/1864/1864973/cover/1864973.jpg", "Обложка")</f>
        <v>Обложка</v>
      </c>
      <c r="V5499" s="24" t="str">
        <f>HYPERLINK("https://znanium.ru/catalog/product/1876530", "Ознакомиться")</f>
        <v>Ознакомиться</v>
      </c>
      <c r="W5499" s="8" t="s">
        <v>83</v>
      </c>
      <c r="X5499" s="6"/>
      <c r="Y5499" s="6"/>
      <c r="Z5499" s="6"/>
      <c r="AA5499" s="6" t="s">
        <v>418</v>
      </c>
      <c r="AB5499" s="8"/>
    </row>
    <row r="5500" spans="1:28" s="4" customFormat="1" ht="51.95" customHeight="1">
      <c r="A5500" s="5">
        <v>0</v>
      </c>
      <c r="B5500" s="6" t="s">
        <v>32275</v>
      </c>
      <c r="C5500" s="13">
        <v>1344</v>
      </c>
      <c r="D5500" s="8" t="s">
        <v>32276</v>
      </c>
      <c r="E5500" s="8" t="s">
        <v>32277</v>
      </c>
      <c r="F5500" s="8" t="s">
        <v>32271</v>
      </c>
      <c r="G5500" s="6" t="s">
        <v>52</v>
      </c>
      <c r="H5500" s="6" t="s">
        <v>53</v>
      </c>
      <c r="I5500" s="8" t="s">
        <v>90</v>
      </c>
      <c r="J5500" s="9">
        <v>1</v>
      </c>
      <c r="K5500" s="9">
        <v>258</v>
      </c>
      <c r="L5500" s="9">
        <v>2025</v>
      </c>
      <c r="M5500" s="8" t="s">
        <v>32278</v>
      </c>
      <c r="N5500" s="8" t="s">
        <v>41</v>
      </c>
      <c r="O5500" s="8" t="s">
        <v>1007</v>
      </c>
      <c r="P5500" s="6" t="s">
        <v>167</v>
      </c>
      <c r="Q5500" s="8" t="s">
        <v>44</v>
      </c>
      <c r="R5500" s="10" t="s">
        <v>13559</v>
      </c>
      <c r="S5500" s="11" t="s">
        <v>32279</v>
      </c>
      <c r="T5500" s="6"/>
      <c r="U5500" s="24" t="str">
        <f>HYPERLINK("https://media.infra-m.ru/2196/2196909/cover/2196909.jpg", "Обложка")</f>
        <v>Обложка</v>
      </c>
      <c r="V5500" s="24" t="str">
        <f>HYPERLINK("https://znanium.ru/catalog/product/1876530", "Ознакомиться")</f>
        <v>Ознакомиться</v>
      </c>
      <c r="W5500" s="8" t="s">
        <v>83</v>
      </c>
      <c r="X5500" s="6"/>
      <c r="Y5500" s="6"/>
      <c r="Z5500" s="6"/>
      <c r="AA5500" s="6" t="s">
        <v>813</v>
      </c>
      <c r="AB5500" s="8"/>
    </row>
    <row r="5501" spans="1:28" s="4" customFormat="1" ht="42" customHeight="1">
      <c r="A5501" s="5">
        <v>0</v>
      </c>
      <c r="B5501" s="6" t="s">
        <v>32280</v>
      </c>
      <c r="C5501" s="13">
        <v>1250</v>
      </c>
      <c r="D5501" s="8" t="s">
        <v>32281</v>
      </c>
      <c r="E5501" s="8" t="s">
        <v>32282</v>
      </c>
      <c r="F5501" s="8" t="s">
        <v>32283</v>
      </c>
      <c r="G5501" s="6" t="s">
        <v>89</v>
      </c>
      <c r="H5501" s="6" t="s">
        <v>184</v>
      </c>
      <c r="I5501" s="8" t="s">
        <v>116</v>
      </c>
      <c r="J5501" s="9">
        <v>1</v>
      </c>
      <c r="K5501" s="9">
        <v>266</v>
      </c>
      <c r="L5501" s="9">
        <v>2024</v>
      </c>
      <c r="M5501" s="8" t="s">
        <v>32284</v>
      </c>
      <c r="N5501" s="8" t="s">
        <v>41</v>
      </c>
      <c r="O5501" s="8" t="s">
        <v>118</v>
      </c>
      <c r="P5501" s="6" t="s">
        <v>43</v>
      </c>
      <c r="Q5501" s="8" t="s">
        <v>58</v>
      </c>
      <c r="R5501" s="10" t="s">
        <v>1958</v>
      </c>
      <c r="S5501" s="11"/>
      <c r="T5501" s="6"/>
      <c r="U5501" s="24" t="str">
        <f>HYPERLINK("https://media.infra-m.ru/2128/2128122/cover/2128122.jpg", "Обложка")</f>
        <v>Обложка</v>
      </c>
      <c r="V5501" s="24" t="str">
        <f>HYPERLINK("https://znanium.ru/catalog/product/2128122", "Ознакомиться")</f>
        <v>Ознакомиться</v>
      </c>
      <c r="W5501" s="8" t="s">
        <v>2672</v>
      </c>
      <c r="X5501" s="6"/>
      <c r="Y5501" s="6"/>
      <c r="Z5501" s="6"/>
      <c r="AA5501" s="6" t="s">
        <v>151</v>
      </c>
      <c r="AB5501" s="8"/>
    </row>
    <row r="5502" spans="1:28" s="4" customFormat="1" ht="51.95" customHeight="1">
      <c r="A5502" s="5">
        <v>0</v>
      </c>
      <c r="B5502" s="6" t="s">
        <v>32285</v>
      </c>
      <c r="C5502" s="13">
        <v>1254</v>
      </c>
      <c r="D5502" s="8" t="s">
        <v>32286</v>
      </c>
      <c r="E5502" s="8" t="s">
        <v>32287</v>
      </c>
      <c r="F5502" s="8" t="s">
        <v>32288</v>
      </c>
      <c r="G5502" s="6" t="s">
        <v>52</v>
      </c>
      <c r="H5502" s="6" t="s">
        <v>53</v>
      </c>
      <c r="I5502" s="8" t="s">
        <v>90</v>
      </c>
      <c r="J5502" s="9">
        <v>1</v>
      </c>
      <c r="K5502" s="9">
        <v>272</v>
      </c>
      <c r="L5502" s="9">
        <v>2024</v>
      </c>
      <c r="M5502" s="8" t="s">
        <v>32289</v>
      </c>
      <c r="N5502" s="8" t="s">
        <v>41</v>
      </c>
      <c r="O5502" s="8" t="s">
        <v>118</v>
      </c>
      <c r="P5502" s="6" t="s">
        <v>43</v>
      </c>
      <c r="Q5502" s="8" t="s">
        <v>44</v>
      </c>
      <c r="R5502" s="10" t="s">
        <v>27047</v>
      </c>
      <c r="S5502" s="11" t="s">
        <v>32290</v>
      </c>
      <c r="T5502" s="6"/>
      <c r="U5502" s="24" t="str">
        <f>HYPERLINK("https://media.infra-m.ru/2120/2120776/cover/2120776.jpg", "Обложка")</f>
        <v>Обложка</v>
      </c>
      <c r="V5502" s="24" t="str">
        <f>HYPERLINK("https://znanium.ru/catalog/product/1945406", "Ознакомиться")</f>
        <v>Ознакомиться</v>
      </c>
      <c r="W5502" s="8" t="s">
        <v>637</v>
      </c>
      <c r="X5502" s="6"/>
      <c r="Y5502" s="6"/>
      <c r="Z5502" s="6"/>
      <c r="AA5502" s="6" t="s">
        <v>418</v>
      </c>
      <c r="AB5502" s="8"/>
    </row>
    <row r="5503" spans="1:28" s="4" customFormat="1" ht="51.95" customHeight="1">
      <c r="A5503" s="5">
        <v>0</v>
      </c>
      <c r="B5503" s="6" t="s">
        <v>32291</v>
      </c>
      <c r="C5503" s="7">
        <v>980</v>
      </c>
      <c r="D5503" s="8" t="s">
        <v>32292</v>
      </c>
      <c r="E5503" s="8" t="s">
        <v>32287</v>
      </c>
      <c r="F5503" s="8" t="s">
        <v>32293</v>
      </c>
      <c r="G5503" s="6" t="s">
        <v>89</v>
      </c>
      <c r="H5503" s="6" t="s">
        <v>53</v>
      </c>
      <c r="I5503" s="8" t="s">
        <v>6796</v>
      </c>
      <c r="J5503" s="9">
        <v>1</v>
      </c>
      <c r="K5503" s="9">
        <v>210</v>
      </c>
      <c r="L5503" s="9">
        <v>2024</v>
      </c>
      <c r="M5503" s="8" t="s">
        <v>32294</v>
      </c>
      <c r="N5503" s="8" t="s">
        <v>41</v>
      </c>
      <c r="O5503" s="8" t="s">
        <v>118</v>
      </c>
      <c r="P5503" s="6" t="s">
        <v>43</v>
      </c>
      <c r="Q5503" s="8" t="s">
        <v>279</v>
      </c>
      <c r="R5503" s="10" t="s">
        <v>32295</v>
      </c>
      <c r="S5503" s="11" t="s">
        <v>32296</v>
      </c>
      <c r="T5503" s="6"/>
      <c r="U5503" s="24" t="str">
        <f>HYPERLINK("https://media.infra-m.ru/2142/2142536/cover/2142536.jpg", "Обложка")</f>
        <v>Обложка</v>
      </c>
      <c r="V5503" s="12"/>
      <c r="W5503" s="8" t="s">
        <v>784</v>
      </c>
      <c r="X5503" s="6"/>
      <c r="Y5503" s="6"/>
      <c r="Z5503" s="6"/>
      <c r="AA5503" s="6" t="s">
        <v>151</v>
      </c>
      <c r="AB5503" s="8"/>
    </row>
    <row r="5504" spans="1:28" s="4" customFormat="1" ht="51.95" customHeight="1">
      <c r="A5504" s="5">
        <v>0</v>
      </c>
      <c r="B5504" s="6" t="s">
        <v>32297</v>
      </c>
      <c r="C5504" s="13">
        <v>2380</v>
      </c>
      <c r="D5504" s="8" t="s">
        <v>32298</v>
      </c>
      <c r="E5504" s="8" t="s">
        <v>32299</v>
      </c>
      <c r="F5504" s="8" t="s">
        <v>32300</v>
      </c>
      <c r="G5504" s="6" t="s">
        <v>52</v>
      </c>
      <c r="H5504" s="6" t="s">
        <v>77</v>
      </c>
      <c r="I5504" s="8"/>
      <c r="J5504" s="9">
        <v>1</v>
      </c>
      <c r="K5504" s="9">
        <v>476</v>
      </c>
      <c r="L5504" s="9">
        <v>2025</v>
      </c>
      <c r="M5504" s="8" t="s">
        <v>32301</v>
      </c>
      <c r="N5504" s="8" t="s">
        <v>997</v>
      </c>
      <c r="O5504" s="8" t="s">
        <v>998</v>
      </c>
      <c r="P5504" s="6" t="s">
        <v>7733</v>
      </c>
      <c r="Q5504" s="8" t="s">
        <v>44</v>
      </c>
      <c r="R5504" s="10" t="s">
        <v>32302</v>
      </c>
      <c r="S5504" s="11" t="s">
        <v>32303</v>
      </c>
      <c r="T5504" s="6"/>
      <c r="U5504" s="24" t="str">
        <f>HYPERLINK("https://media.infra-m.ru/2143/2143250/cover/2143250.jpg", "Обложка")</f>
        <v>Обложка</v>
      </c>
      <c r="V5504" s="24" t="str">
        <f>HYPERLINK("https://znanium.ru/catalog/product/2143250", "Ознакомиться")</f>
        <v>Ознакомиться</v>
      </c>
      <c r="W5504" s="8" t="s">
        <v>2514</v>
      </c>
      <c r="X5504" s="6"/>
      <c r="Y5504" s="6"/>
      <c r="Z5504" s="6"/>
      <c r="AA5504" s="6" t="s">
        <v>84</v>
      </c>
      <c r="AB5504" s="8"/>
    </row>
    <row r="5505" spans="1:28" s="4" customFormat="1" ht="51.95" customHeight="1">
      <c r="A5505" s="5">
        <v>0</v>
      </c>
      <c r="B5505" s="6" t="s">
        <v>32304</v>
      </c>
      <c r="C5505" s="13">
        <v>1314.9</v>
      </c>
      <c r="D5505" s="8" t="s">
        <v>32305</v>
      </c>
      <c r="E5505" s="8" t="s">
        <v>32306</v>
      </c>
      <c r="F5505" s="8" t="s">
        <v>2296</v>
      </c>
      <c r="G5505" s="6" t="s">
        <v>52</v>
      </c>
      <c r="H5505" s="6" t="s">
        <v>53</v>
      </c>
      <c r="I5505" s="8" t="s">
        <v>4134</v>
      </c>
      <c r="J5505" s="9">
        <v>1</v>
      </c>
      <c r="K5505" s="9">
        <v>345</v>
      </c>
      <c r="L5505" s="9">
        <v>2022</v>
      </c>
      <c r="M5505" s="8" t="s">
        <v>32307</v>
      </c>
      <c r="N5505" s="8" t="s">
        <v>41</v>
      </c>
      <c r="O5505" s="8" t="s">
        <v>118</v>
      </c>
      <c r="P5505" s="6" t="s">
        <v>167</v>
      </c>
      <c r="Q5505" s="8" t="s">
        <v>44</v>
      </c>
      <c r="R5505" s="10" t="s">
        <v>15777</v>
      </c>
      <c r="S5505" s="11"/>
      <c r="T5505" s="6"/>
      <c r="U5505" s="24" t="str">
        <f>HYPERLINK("https://media.infra-m.ru/1852/1852612/cover/1852612.jpg", "Обложка")</f>
        <v>Обложка</v>
      </c>
      <c r="V5505" s="24" t="str">
        <f>HYPERLINK("https://znanium.ru/catalog/product/2085057", "Ознакомиться")</f>
        <v>Ознакомиться</v>
      </c>
      <c r="W5505" s="8" t="s">
        <v>2080</v>
      </c>
      <c r="X5505" s="6"/>
      <c r="Y5505" s="6"/>
      <c r="Z5505" s="6"/>
      <c r="AA5505" s="6" t="s">
        <v>377</v>
      </c>
      <c r="AB5505" s="8"/>
    </row>
    <row r="5506" spans="1:28" s="4" customFormat="1" ht="51.95" customHeight="1">
      <c r="A5506" s="5">
        <v>0</v>
      </c>
      <c r="B5506" s="6" t="s">
        <v>32308</v>
      </c>
      <c r="C5506" s="13">
        <v>1750</v>
      </c>
      <c r="D5506" s="8" t="s">
        <v>32309</v>
      </c>
      <c r="E5506" s="8" t="s">
        <v>32310</v>
      </c>
      <c r="F5506" s="8" t="s">
        <v>32311</v>
      </c>
      <c r="G5506" s="6" t="s">
        <v>52</v>
      </c>
      <c r="H5506" s="6" t="s">
        <v>53</v>
      </c>
      <c r="I5506" s="8" t="s">
        <v>4134</v>
      </c>
      <c r="J5506" s="9">
        <v>1</v>
      </c>
      <c r="K5506" s="9">
        <v>372</v>
      </c>
      <c r="L5506" s="9">
        <v>2024</v>
      </c>
      <c r="M5506" s="8" t="s">
        <v>32312</v>
      </c>
      <c r="N5506" s="8" t="s">
        <v>41</v>
      </c>
      <c r="O5506" s="8" t="s">
        <v>118</v>
      </c>
      <c r="P5506" s="6" t="s">
        <v>167</v>
      </c>
      <c r="Q5506" s="8" t="s">
        <v>58</v>
      </c>
      <c r="R5506" s="10" t="s">
        <v>15777</v>
      </c>
      <c r="S5506" s="11"/>
      <c r="T5506" s="6"/>
      <c r="U5506" s="24" t="str">
        <f>HYPERLINK("https://media.infra-m.ru/2085/2085057/cover/2085057.jpg", "Обложка")</f>
        <v>Обложка</v>
      </c>
      <c r="V5506" s="24" t="str">
        <f>HYPERLINK("https://znanium.ru/catalog/product/2085057", "Ознакомиться")</f>
        <v>Ознакомиться</v>
      </c>
      <c r="W5506" s="8" t="s">
        <v>4815</v>
      </c>
      <c r="X5506" s="6" t="s">
        <v>3761</v>
      </c>
      <c r="Y5506" s="6"/>
      <c r="Z5506" s="6"/>
      <c r="AA5506" s="6" t="s">
        <v>3787</v>
      </c>
      <c r="AB5506" s="8"/>
    </row>
    <row r="5507" spans="1:28" s="4" customFormat="1" ht="51.95" customHeight="1">
      <c r="A5507" s="5">
        <v>0</v>
      </c>
      <c r="B5507" s="6" t="s">
        <v>32313</v>
      </c>
      <c r="C5507" s="13">
        <v>1914</v>
      </c>
      <c r="D5507" s="8" t="s">
        <v>32314</v>
      </c>
      <c r="E5507" s="8" t="s">
        <v>32315</v>
      </c>
      <c r="F5507" s="8" t="s">
        <v>20616</v>
      </c>
      <c r="G5507" s="6" t="s">
        <v>52</v>
      </c>
      <c r="H5507" s="6" t="s">
        <v>53</v>
      </c>
      <c r="I5507" s="8" t="s">
        <v>90</v>
      </c>
      <c r="J5507" s="9">
        <v>1</v>
      </c>
      <c r="K5507" s="9">
        <v>368</v>
      </c>
      <c r="L5507" s="9">
        <v>2025</v>
      </c>
      <c r="M5507" s="8" t="s">
        <v>32316</v>
      </c>
      <c r="N5507" s="8" t="s">
        <v>79</v>
      </c>
      <c r="O5507" s="8" t="s">
        <v>570</v>
      </c>
      <c r="P5507" s="6" t="s">
        <v>43</v>
      </c>
      <c r="Q5507" s="8" t="s">
        <v>44</v>
      </c>
      <c r="R5507" s="10" t="s">
        <v>32317</v>
      </c>
      <c r="S5507" s="11" t="s">
        <v>32318</v>
      </c>
      <c r="T5507" s="6" t="s">
        <v>299</v>
      </c>
      <c r="U5507" s="24" t="str">
        <f>HYPERLINK("https://media.infra-m.ru/2189/2189034/cover/2189034.jpg", "Обложка")</f>
        <v>Обложка</v>
      </c>
      <c r="V5507" s="24" t="str">
        <f>HYPERLINK("https://znanium.ru/catalog/product/1062405", "Ознакомиться")</f>
        <v>Ознакомиться</v>
      </c>
      <c r="W5507" s="8" t="s">
        <v>8022</v>
      </c>
      <c r="X5507" s="6"/>
      <c r="Y5507" s="6"/>
      <c r="Z5507" s="6"/>
      <c r="AA5507" s="6" t="s">
        <v>418</v>
      </c>
      <c r="AB5507" s="8"/>
    </row>
    <row r="5508" spans="1:28" s="4" customFormat="1" ht="51.95" customHeight="1">
      <c r="A5508" s="5">
        <v>0</v>
      </c>
      <c r="B5508" s="6" t="s">
        <v>32319</v>
      </c>
      <c r="C5508" s="13">
        <v>1914</v>
      </c>
      <c r="D5508" s="8" t="s">
        <v>32320</v>
      </c>
      <c r="E5508" s="8" t="s">
        <v>32321</v>
      </c>
      <c r="F5508" s="8" t="s">
        <v>32322</v>
      </c>
      <c r="G5508" s="6" t="s">
        <v>89</v>
      </c>
      <c r="H5508" s="6" t="s">
        <v>53</v>
      </c>
      <c r="I5508" s="8" t="s">
        <v>90</v>
      </c>
      <c r="J5508" s="9">
        <v>1</v>
      </c>
      <c r="K5508" s="9">
        <v>384</v>
      </c>
      <c r="L5508" s="9">
        <v>2025</v>
      </c>
      <c r="M5508" s="8" t="s">
        <v>32323</v>
      </c>
      <c r="N5508" s="8" t="s">
        <v>79</v>
      </c>
      <c r="O5508" s="8" t="s">
        <v>570</v>
      </c>
      <c r="P5508" s="6" t="s">
        <v>43</v>
      </c>
      <c r="Q5508" s="8" t="s">
        <v>44</v>
      </c>
      <c r="R5508" s="10" t="s">
        <v>32324</v>
      </c>
      <c r="S5508" s="11" t="s">
        <v>32325</v>
      </c>
      <c r="T5508" s="6" t="s">
        <v>299</v>
      </c>
      <c r="U5508" s="24" t="str">
        <f>HYPERLINK("https://media.infra-m.ru/2180/2180895/cover/2180895.jpg", "Обложка")</f>
        <v>Обложка</v>
      </c>
      <c r="V5508" s="24" t="str">
        <f>HYPERLINK("https://znanium.ru/catalog/product/2124809", "Ознакомиться")</f>
        <v>Ознакомиться</v>
      </c>
      <c r="W5508" s="8" t="s">
        <v>8022</v>
      </c>
      <c r="X5508" s="6"/>
      <c r="Y5508" s="6"/>
      <c r="Z5508" s="6"/>
      <c r="AA5508" s="6" t="s">
        <v>111</v>
      </c>
      <c r="AB5508" s="8"/>
    </row>
    <row r="5509" spans="1:28" s="4" customFormat="1" ht="51.95" customHeight="1">
      <c r="A5509" s="5">
        <v>0</v>
      </c>
      <c r="B5509" s="6" t="s">
        <v>32326</v>
      </c>
      <c r="C5509" s="13">
        <v>1240</v>
      </c>
      <c r="D5509" s="8" t="s">
        <v>32327</v>
      </c>
      <c r="E5509" s="8" t="s">
        <v>32328</v>
      </c>
      <c r="F5509" s="8" t="s">
        <v>20616</v>
      </c>
      <c r="G5509" s="6" t="s">
        <v>89</v>
      </c>
      <c r="H5509" s="6" t="s">
        <v>53</v>
      </c>
      <c r="I5509" s="8" t="s">
        <v>116</v>
      </c>
      <c r="J5509" s="9">
        <v>1</v>
      </c>
      <c r="K5509" s="9">
        <v>248</v>
      </c>
      <c r="L5509" s="9">
        <v>2025</v>
      </c>
      <c r="M5509" s="8" t="s">
        <v>32329</v>
      </c>
      <c r="N5509" s="8" t="s">
        <v>79</v>
      </c>
      <c r="O5509" s="8" t="s">
        <v>570</v>
      </c>
      <c r="P5509" s="6" t="s">
        <v>43</v>
      </c>
      <c r="Q5509" s="8" t="s">
        <v>58</v>
      </c>
      <c r="R5509" s="10" t="s">
        <v>32330</v>
      </c>
      <c r="S5509" s="11" t="s">
        <v>32318</v>
      </c>
      <c r="T5509" s="6" t="s">
        <v>299</v>
      </c>
      <c r="U5509" s="24" t="str">
        <f>HYPERLINK("https://media.infra-m.ru/2157/2157813/cover/2157813.jpg", "Обложка")</f>
        <v>Обложка</v>
      </c>
      <c r="V5509" s="24" t="str">
        <f>HYPERLINK("https://znanium.ru/catalog/product/2157813", "Ознакомиться")</f>
        <v>Ознакомиться</v>
      </c>
      <c r="W5509" s="8" t="s">
        <v>8022</v>
      </c>
      <c r="X5509" s="6"/>
      <c r="Y5509" s="6"/>
      <c r="Z5509" s="6"/>
      <c r="AA5509" s="6" t="s">
        <v>442</v>
      </c>
      <c r="AB5509" s="8"/>
    </row>
    <row r="5510" spans="1:28" s="4" customFormat="1" ht="51.95" customHeight="1">
      <c r="A5510" s="5">
        <v>0</v>
      </c>
      <c r="B5510" s="6" t="s">
        <v>32331</v>
      </c>
      <c r="C5510" s="7">
        <v>974.9</v>
      </c>
      <c r="D5510" s="8" t="s">
        <v>32332</v>
      </c>
      <c r="E5510" s="8" t="s">
        <v>32333</v>
      </c>
      <c r="F5510" s="8" t="s">
        <v>15953</v>
      </c>
      <c r="G5510" s="6" t="s">
        <v>38</v>
      </c>
      <c r="H5510" s="6" t="s">
        <v>39</v>
      </c>
      <c r="I5510" s="8" t="s">
        <v>90</v>
      </c>
      <c r="J5510" s="9">
        <v>1</v>
      </c>
      <c r="K5510" s="9">
        <v>256</v>
      </c>
      <c r="L5510" s="9">
        <v>2022</v>
      </c>
      <c r="M5510" s="8" t="s">
        <v>32334</v>
      </c>
      <c r="N5510" s="8" t="s">
        <v>41</v>
      </c>
      <c r="O5510" s="8" t="s">
        <v>118</v>
      </c>
      <c r="P5510" s="6" t="s">
        <v>43</v>
      </c>
      <c r="Q5510" s="8" t="s">
        <v>44</v>
      </c>
      <c r="R5510" s="10" t="s">
        <v>25149</v>
      </c>
      <c r="S5510" s="11" t="s">
        <v>32335</v>
      </c>
      <c r="T5510" s="6"/>
      <c r="U5510" s="24" t="str">
        <f>HYPERLINK("https://media.infra-m.ru/1850/1850720/cover/1850720.jpg", "Обложка")</f>
        <v>Обложка</v>
      </c>
      <c r="V5510" s="24" t="str">
        <f>HYPERLINK("https://znanium.ru/catalog/product/2173382", "Ознакомиться")</f>
        <v>Ознакомиться</v>
      </c>
      <c r="W5510" s="8" t="s">
        <v>10544</v>
      </c>
      <c r="X5510" s="6"/>
      <c r="Y5510" s="6"/>
      <c r="Z5510" s="6"/>
      <c r="AA5510" s="6" t="s">
        <v>47</v>
      </c>
      <c r="AB5510" s="8"/>
    </row>
    <row r="5511" spans="1:28" s="4" customFormat="1" ht="51.95" customHeight="1">
      <c r="A5511" s="5">
        <v>0</v>
      </c>
      <c r="B5511" s="6" t="s">
        <v>32336</v>
      </c>
      <c r="C5511" s="13">
        <v>1274</v>
      </c>
      <c r="D5511" s="8" t="s">
        <v>32337</v>
      </c>
      <c r="E5511" s="8" t="s">
        <v>32333</v>
      </c>
      <c r="F5511" s="8" t="s">
        <v>15953</v>
      </c>
      <c r="G5511" s="6" t="s">
        <v>89</v>
      </c>
      <c r="H5511" s="6" t="s">
        <v>39</v>
      </c>
      <c r="I5511" s="8" t="s">
        <v>100</v>
      </c>
      <c r="J5511" s="9">
        <v>1</v>
      </c>
      <c r="K5511" s="9">
        <v>256</v>
      </c>
      <c r="L5511" s="9">
        <v>2024</v>
      </c>
      <c r="M5511" s="8" t="s">
        <v>32338</v>
      </c>
      <c r="N5511" s="8" t="s">
        <v>41</v>
      </c>
      <c r="O5511" s="8" t="s">
        <v>118</v>
      </c>
      <c r="P5511" s="6" t="s">
        <v>43</v>
      </c>
      <c r="Q5511" s="8" t="s">
        <v>102</v>
      </c>
      <c r="R5511" s="10" t="s">
        <v>32339</v>
      </c>
      <c r="S5511" s="11" t="s">
        <v>32340</v>
      </c>
      <c r="T5511" s="6"/>
      <c r="U5511" s="24" t="str">
        <f>HYPERLINK("https://media.infra-m.ru/2118/2118076/cover/2118076.jpg", "Обложка")</f>
        <v>Обложка</v>
      </c>
      <c r="V5511" s="24" t="str">
        <f>HYPERLINK("https://znanium.ru/catalog/product/2008794", "Ознакомиться")</f>
        <v>Ознакомиться</v>
      </c>
      <c r="W5511" s="8" t="s">
        <v>10544</v>
      </c>
      <c r="X5511" s="6"/>
      <c r="Y5511" s="6"/>
      <c r="Z5511" s="6" t="s">
        <v>104</v>
      </c>
      <c r="AA5511" s="6" t="s">
        <v>258</v>
      </c>
      <c r="AB5511" s="8"/>
    </row>
    <row r="5512" spans="1:28" s="4" customFormat="1" ht="51.95" customHeight="1">
      <c r="A5512" s="5">
        <v>0</v>
      </c>
      <c r="B5512" s="6" t="s">
        <v>32341</v>
      </c>
      <c r="C5512" s="7">
        <v>670</v>
      </c>
      <c r="D5512" s="8" t="s">
        <v>32342</v>
      </c>
      <c r="E5512" s="8" t="s">
        <v>32343</v>
      </c>
      <c r="F5512" s="8" t="s">
        <v>32344</v>
      </c>
      <c r="G5512" s="6" t="s">
        <v>52</v>
      </c>
      <c r="H5512" s="6" t="s">
        <v>53</v>
      </c>
      <c r="I5512" s="8" t="s">
        <v>1325</v>
      </c>
      <c r="J5512" s="9">
        <v>1</v>
      </c>
      <c r="K5512" s="9">
        <v>127</v>
      </c>
      <c r="L5512" s="9">
        <v>2023</v>
      </c>
      <c r="M5512" s="8" t="s">
        <v>32345</v>
      </c>
      <c r="N5512" s="8" t="s">
        <v>79</v>
      </c>
      <c r="O5512" s="8" t="s">
        <v>570</v>
      </c>
      <c r="P5512" s="6" t="s">
        <v>43</v>
      </c>
      <c r="Q5512" s="8" t="s">
        <v>58</v>
      </c>
      <c r="R5512" s="10" t="s">
        <v>5423</v>
      </c>
      <c r="S5512" s="11" t="s">
        <v>32346</v>
      </c>
      <c r="T5512" s="6"/>
      <c r="U5512" s="24" t="str">
        <f>HYPERLINK("https://media.infra-m.ru/2032/2032567/cover/2032567.jpg", "Обложка")</f>
        <v>Обложка</v>
      </c>
      <c r="V5512" s="24" t="str">
        <f>HYPERLINK("https://znanium.ru/catalog/product/2032567", "Ознакомиться")</f>
        <v>Ознакомиться</v>
      </c>
      <c r="W5512" s="8" t="s">
        <v>1329</v>
      </c>
      <c r="X5512" s="6"/>
      <c r="Y5512" s="6"/>
      <c r="Z5512" s="6"/>
      <c r="AA5512" s="6" t="s">
        <v>207</v>
      </c>
      <c r="AB5512" s="8"/>
    </row>
    <row r="5513" spans="1:28" s="4" customFormat="1" ht="51.95" customHeight="1">
      <c r="A5513" s="5">
        <v>0</v>
      </c>
      <c r="B5513" s="6" t="s">
        <v>32347</v>
      </c>
      <c r="C5513" s="13">
        <v>1764</v>
      </c>
      <c r="D5513" s="8" t="s">
        <v>32348</v>
      </c>
      <c r="E5513" s="8" t="s">
        <v>32349</v>
      </c>
      <c r="F5513" s="8" t="s">
        <v>32350</v>
      </c>
      <c r="G5513" s="6" t="s">
        <v>89</v>
      </c>
      <c r="H5513" s="6" t="s">
        <v>649</v>
      </c>
      <c r="I5513" s="8" t="s">
        <v>185</v>
      </c>
      <c r="J5513" s="9">
        <v>1</v>
      </c>
      <c r="K5513" s="9">
        <v>352</v>
      </c>
      <c r="L5513" s="9">
        <v>2025</v>
      </c>
      <c r="M5513" s="8" t="s">
        <v>32351</v>
      </c>
      <c r="N5513" s="8" t="s">
        <v>41</v>
      </c>
      <c r="O5513" s="8" t="s">
        <v>118</v>
      </c>
      <c r="P5513" s="6" t="s">
        <v>167</v>
      </c>
      <c r="Q5513" s="8" t="s">
        <v>102</v>
      </c>
      <c r="R5513" s="10" t="s">
        <v>1349</v>
      </c>
      <c r="S5513" s="11" t="s">
        <v>32352</v>
      </c>
      <c r="T5513" s="6"/>
      <c r="U5513" s="24" t="str">
        <f>HYPERLINK("https://media.infra-m.ru/2170/2170087/cover/2170087.jpg", "Обложка")</f>
        <v>Обложка</v>
      </c>
      <c r="V5513" s="24" t="str">
        <f>HYPERLINK("https://znanium.ru/catalog/product/2012580", "Ознакомиться")</f>
        <v>Ознакомиться</v>
      </c>
      <c r="W5513" s="8" t="s">
        <v>12172</v>
      </c>
      <c r="X5513" s="6"/>
      <c r="Y5513" s="6"/>
      <c r="Z5513" s="6"/>
      <c r="AA5513" s="6" t="s">
        <v>3065</v>
      </c>
      <c r="AB5513" s="8"/>
    </row>
    <row r="5514" spans="1:28" s="4" customFormat="1" ht="51.95" customHeight="1">
      <c r="A5514" s="5">
        <v>0</v>
      </c>
      <c r="B5514" s="6" t="s">
        <v>32353</v>
      </c>
      <c r="C5514" s="13">
        <v>1200</v>
      </c>
      <c r="D5514" s="8" t="s">
        <v>32354</v>
      </c>
      <c r="E5514" s="8" t="s">
        <v>32355</v>
      </c>
      <c r="F5514" s="8" t="s">
        <v>32356</v>
      </c>
      <c r="G5514" s="6" t="s">
        <v>52</v>
      </c>
      <c r="H5514" s="6" t="s">
        <v>53</v>
      </c>
      <c r="I5514" s="8" t="s">
        <v>276</v>
      </c>
      <c r="J5514" s="9">
        <v>1</v>
      </c>
      <c r="K5514" s="9">
        <v>248</v>
      </c>
      <c r="L5514" s="9">
        <v>2023</v>
      </c>
      <c r="M5514" s="8" t="s">
        <v>32357</v>
      </c>
      <c r="N5514" s="8" t="s">
        <v>41</v>
      </c>
      <c r="O5514" s="8" t="s">
        <v>1007</v>
      </c>
      <c r="P5514" s="6" t="s">
        <v>43</v>
      </c>
      <c r="Q5514" s="8" t="s">
        <v>279</v>
      </c>
      <c r="R5514" s="10" t="s">
        <v>10192</v>
      </c>
      <c r="S5514" s="11"/>
      <c r="T5514" s="6"/>
      <c r="U5514" s="24" t="str">
        <f>HYPERLINK("https://media.infra-m.ru/0993/0993280/cover/993280.jpg", "Обложка")</f>
        <v>Обложка</v>
      </c>
      <c r="V5514" s="24" t="str">
        <f>HYPERLINK("https://znanium.ru/catalog/product/993280", "Ознакомиться")</f>
        <v>Ознакомиться</v>
      </c>
      <c r="W5514" s="8" t="s">
        <v>11271</v>
      </c>
      <c r="X5514" s="6"/>
      <c r="Y5514" s="6"/>
      <c r="Z5514" s="6"/>
      <c r="AA5514" s="6" t="s">
        <v>813</v>
      </c>
      <c r="AB5514" s="8"/>
    </row>
    <row r="5515" spans="1:28" s="4" customFormat="1" ht="51.95" customHeight="1">
      <c r="A5515" s="5">
        <v>0</v>
      </c>
      <c r="B5515" s="6" t="s">
        <v>32358</v>
      </c>
      <c r="C5515" s="7">
        <v>994</v>
      </c>
      <c r="D5515" s="8" t="s">
        <v>32359</v>
      </c>
      <c r="E5515" s="8" t="s">
        <v>32360</v>
      </c>
      <c r="F5515" s="8" t="s">
        <v>32361</v>
      </c>
      <c r="G5515" s="6" t="s">
        <v>89</v>
      </c>
      <c r="H5515" s="6" t="s">
        <v>649</v>
      </c>
      <c r="I5515" s="8" t="s">
        <v>4589</v>
      </c>
      <c r="J5515" s="9">
        <v>1</v>
      </c>
      <c r="K5515" s="9">
        <v>208</v>
      </c>
      <c r="L5515" s="9">
        <v>2023</v>
      </c>
      <c r="M5515" s="8" t="s">
        <v>32362</v>
      </c>
      <c r="N5515" s="8" t="s">
        <v>41</v>
      </c>
      <c r="O5515" s="8" t="s">
        <v>1007</v>
      </c>
      <c r="P5515" s="6" t="s">
        <v>167</v>
      </c>
      <c r="Q5515" s="8" t="s">
        <v>279</v>
      </c>
      <c r="R5515" s="10" t="s">
        <v>21109</v>
      </c>
      <c r="S5515" s="11" t="s">
        <v>32363</v>
      </c>
      <c r="T5515" s="6"/>
      <c r="U5515" s="24" t="str">
        <f>HYPERLINK("https://media.infra-m.ru/2115/2115293/cover/2115293.jpg", "Обложка")</f>
        <v>Обложка</v>
      </c>
      <c r="V5515" s="24" t="str">
        <f>HYPERLINK("https://znanium.ru/catalog/product/1922313", "Ознакомиться")</f>
        <v>Ознакомиться</v>
      </c>
      <c r="W5515" s="8" t="s">
        <v>5635</v>
      </c>
      <c r="X5515" s="6"/>
      <c r="Y5515" s="6"/>
      <c r="Z5515" s="6"/>
      <c r="AA5515" s="6" t="s">
        <v>418</v>
      </c>
      <c r="AB5515" s="8"/>
    </row>
    <row r="5516" spans="1:28" s="4" customFormat="1" ht="44.1" customHeight="1">
      <c r="A5516" s="5">
        <v>0</v>
      </c>
      <c r="B5516" s="6" t="s">
        <v>32364</v>
      </c>
      <c r="C5516" s="13">
        <v>1084</v>
      </c>
      <c r="D5516" s="8" t="s">
        <v>32365</v>
      </c>
      <c r="E5516" s="8" t="s">
        <v>32360</v>
      </c>
      <c r="F5516" s="8" t="s">
        <v>32366</v>
      </c>
      <c r="G5516" s="6" t="s">
        <v>52</v>
      </c>
      <c r="H5516" s="6" t="s">
        <v>53</v>
      </c>
      <c r="I5516" s="8" t="s">
        <v>276</v>
      </c>
      <c r="J5516" s="9">
        <v>1</v>
      </c>
      <c r="K5516" s="9">
        <v>216</v>
      </c>
      <c r="L5516" s="9">
        <v>2025</v>
      </c>
      <c r="M5516" s="8" t="s">
        <v>32367</v>
      </c>
      <c r="N5516" s="8" t="s">
        <v>41</v>
      </c>
      <c r="O5516" s="8" t="s">
        <v>1007</v>
      </c>
      <c r="P5516" s="6" t="s">
        <v>43</v>
      </c>
      <c r="Q5516" s="8" t="s">
        <v>279</v>
      </c>
      <c r="R5516" s="10" t="s">
        <v>32368</v>
      </c>
      <c r="S5516" s="11"/>
      <c r="T5516" s="6" t="s">
        <v>299</v>
      </c>
      <c r="U5516" s="24" t="str">
        <f>HYPERLINK("https://media.infra-m.ru/2161/2161682/cover/2161682.jpg", "Обложка")</f>
        <v>Обложка</v>
      </c>
      <c r="V5516" s="24" t="str">
        <f>HYPERLINK("https://znanium.ru/catalog/product/1002359", "Ознакомиться")</f>
        <v>Ознакомиться</v>
      </c>
      <c r="W5516" s="8" t="s">
        <v>189</v>
      </c>
      <c r="X5516" s="6"/>
      <c r="Y5516" s="6"/>
      <c r="Z5516" s="6"/>
      <c r="AA5516" s="6" t="s">
        <v>111</v>
      </c>
      <c r="AB5516" s="8"/>
    </row>
    <row r="5517" spans="1:28" s="4" customFormat="1" ht="42" customHeight="1">
      <c r="A5517" s="5">
        <v>0</v>
      </c>
      <c r="B5517" s="6" t="s">
        <v>32369</v>
      </c>
      <c r="C5517" s="7">
        <v>600</v>
      </c>
      <c r="D5517" s="8" t="s">
        <v>32370</v>
      </c>
      <c r="E5517" s="8" t="s">
        <v>32360</v>
      </c>
      <c r="F5517" s="8" t="s">
        <v>32283</v>
      </c>
      <c r="G5517" s="6" t="s">
        <v>38</v>
      </c>
      <c r="H5517" s="6" t="s">
        <v>184</v>
      </c>
      <c r="I5517" s="8" t="s">
        <v>276</v>
      </c>
      <c r="J5517" s="9">
        <v>1</v>
      </c>
      <c r="K5517" s="9">
        <v>121</v>
      </c>
      <c r="L5517" s="9">
        <v>2023</v>
      </c>
      <c r="M5517" s="8" t="s">
        <v>32371</v>
      </c>
      <c r="N5517" s="8" t="s">
        <v>41</v>
      </c>
      <c r="O5517" s="8" t="s">
        <v>118</v>
      </c>
      <c r="P5517" s="6" t="s">
        <v>43</v>
      </c>
      <c r="Q5517" s="8" t="s">
        <v>279</v>
      </c>
      <c r="R5517" s="10" t="s">
        <v>2098</v>
      </c>
      <c r="S5517" s="11"/>
      <c r="T5517" s="6"/>
      <c r="U5517" s="24" t="str">
        <f>HYPERLINK("https://media.infra-m.ru/1931/1931476/cover/1931476.jpg", "Обложка")</f>
        <v>Обложка</v>
      </c>
      <c r="V5517" s="24" t="str">
        <f>HYPERLINK("https://znanium.ru/catalog/product/1931476", "Ознакомиться")</f>
        <v>Ознакомиться</v>
      </c>
      <c r="W5517" s="8" t="s">
        <v>2672</v>
      </c>
      <c r="X5517" s="6"/>
      <c r="Y5517" s="6"/>
      <c r="Z5517" s="6"/>
      <c r="AA5517" s="6" t="s">
        <v>418</v>
      </c>
      <c r="AB5517" s="8"/>
    </row>
    <row r="5518" spans="1:28" s="4" customFormat="1" ht="51.95" customHeight="1">
      <c r="A5518" s="5">
        <v>0</v>
      </c>
      <c r="B5518" s="6" t="s">
        <v>32372</v>
      </c>
      <c r="C5518" s="7">
        <v>880</v>
      </c>
      <c r="D5518" s="8" t="s">
        <v>32373</v>
      </c>
      <c r="E5518" s="8" t="s">
        <v>32360</v>
      </c>
      <c r="F5518" s="8" t="s">
        <v>32374</v>
      </c>
      <c r="G5518" s="6" t="s">
        <v>89</v>
      </c>
      <c r="H5518" s="6" t="s">
        <v>53</v>
      </c>
      <c r="I5518" s="8" t="s">
        <v>276</v>
      </c>
      <c r="J5518" s="9">
        <v>1</v>
      </c>
      <c r="K5518" s="9">
        <v>190</v>
      </c>
      <c r="L5518" s="9">
        <v>2024</v>
      </c>
      <c r="M5518" s="8" t="s">
        <v>32375</v>
      </c>
      <c r="N5518" s="8" t="s">
        <v>41</v>
      </c>
      <c r="O5518" s="8" t="s">
        <v>1007</v>
      </c>
      <c r="P5518" s="6" t="s">
        <v>43</v>
      </c>
      <c r="Q5518" s="8" t="s">
        <v>279</v>
      </c>
      <c r="R5518" s="10" t="s">
        <v>1251</v>
      </c>
      <c r="S5518" s="11" t="s">
        <v>32376</v>
      </c>
      <c r="T5518" s="6" t="s">
        <v>299</v>
      </c>
      <c r="U5518" s="24" t="str">
        <f>HYPERLINK("https://media.infra-m.ru/2111/2111406/cover/2111406.jpg", "Обложка")</f>
        <v>Обложка</v>
      </c>
      <c r="V5518" s="24" t="str">
        <f>HYPERLINK("https://znanium.ru/catalog/product/2111406", "Ознакомиться")</f>
        <v>Ознакомиться</v>
      </c>
      <c r="W5518" s="8" t="s">
        <v>20164</v>
      </c>
      <c r="X5518" s="6"/>
      <c r="Y5518" s="6"/>
      <c r="Z5518" s="6"/>
      <c r="AA5518" s="6" t="s">
        <v>442</v>
      </c>
      <c r="AB5518" s="8"/>
    </row>
    <row r="5519" spans="1:28" s="4" customFormat="1" ht="51.95" customHeight="1">
      <c r="A5519" s="5">
        <v>0</v>
      </c>
      <c r="B5519" s="6" t="s">
        <v>32377</v>
      </c>
      <c r="C5519" s="13">
        <v>1614</v>
      </c>
      <c r="D5519" s="8" t="s">
        <v>32378</v>
      </c>
      <c r="E5519" s="8" t="s">
        <v>32379</v>
      </c>
      <c r="F5519" s="8" t="s">
        <v>18359</v>
      </c>
      <c r="G5519" s="6" t="s">
        <v>52</v>
      </c>
      <c r="H5519" s="6" t="s">
        <v>66</v>
      </c>
      <c r="I5519" s="8" t="s">
        <v>116</v>
      </c>
      <c r="J5519" s="9">
        <v>1</v>
      </c>
      <c r="K5519" s="9">
        <v>344</v>
      </c>
      <c r="L5519" s="9">
        <v>2024</v>
      </c>
      <c r="M5519" s="8" t="s">
        <v>32380</v>
      </c>
      <c r="N5519" s="8" t="s">
        <v>41</v>
      </c>
      <c r="O5519" s="8" t="s">
        <v>118</v>
      </c>
      <c r="P5519" s="6" t="s">
        <v>167</v>
      </c>
      <c r="Q5519" s="8" t="s">
        <v>44</v>
      </c>
      <c r="R5519" s="10" t="s">
        <v>7881</v>
      </c>
      <c r="S5519" s="11" t="s">
        <v>17868</v>
      </c>
      <c r="T5519" s="6"/>
      <c r="U5519" s="24" t="str">
        <f>HYPERLINK("https://media.infra-m.ru/2143/2143593/cover/2143593.jpg", "Обложка")</f>
        <v>Обложка</v>
      </c>
      <c r="V5519" s="24" t="str">
        <f>HYPERLINK("https://znanium.ru/catalog/product/1228805", "Ознакомиться")</f>
        <v>Ознакомиться</v>
      </c>
      <c r="W5519" s="8" t="s">
        <v>1514</v>
      </c>
      <c r="X5519" s="6"/>
      <c r="Y5519" s="6"/>
      <c r="Z5519" s="6"/>
      <c r="AA5519" s="6" t="s">
        <v>32381</v>
      </c>
      <c r="AB5519" s="8"/>
    </row>
    <row r="5520" spans="1:28" s="4" customFormat="1" ht="51.95" customHeight="1">
      <c r="A5520" s="5">
        <v>0</v>
      </c>
      <c r="B5520" s="6" t="s">
        <v>32382</v>
      </c>
      <c r="C5520" s="13">
        <v>1630</v>
      </c>
      <c r="D5520" s="8" t="s">
        <v>32383</v>
      </c>
      <c r="E5520" s="8" t="s">
        <v>32384</v>
      </c>
      <c r="F5520" s="8" t="s">
        <v>32385</v>
      </c>
      <c r="G5520" s="6" t="s">
        <v>89</v>
      </c>
      <c r="H5520" s="6" t="s">
        <v>184</v>
      </c>
      <c r="I5520" s="8" t="s">
        <v>116</v>
      </c>
      <c r="J5520" s="9">
        <v>1</v>
      </c>
      <c r="K5520" s="9">
        <v>362</v>
      </c>
      <c r="L5520" s="9">
        <v>2023</v>
      </c>
      <c r="M5520" s="8" t="s">
        <v>32386</v>
      </c>
      <c r="N5520" s="8" t="s">
        <v>41</v>
      </c>
      <c r="O5520" s="8" t="s">
        <v>118</v>
      </c>
      <c r="P5520" s="6" t="s">
        <v>167</v>
      </c>
      <c r="Q5520" s="8" t="s">
        <v>58</v>
      </c>
      <c r="R5520" s="10" t="s">
        <v>32387</v>
      </c>
      <c r="S5520" s="11" t="s">
        <v>32388</v>
      </c>
      <c r="T5520" s="6"/>
      <c r="U5520" s="24" t="str">
        <f>HYPERLINK("https://media.infra-m.ru/2018/2018249/cover/2018249.jpg", "Обложка")</f>
        <v>Обложка</v>
      </c>
      <c r="V5520" s="24" t="str">
        <f>HYPERLINK("https://znanium.ru/catalog/product/2018249", "Ознакомиться")</f>
        <v>Ознакомиться</v>
      </c>
      <c r="W5520" s="8" t="s">
        <v>1345</v>
      </c>
      <c r="X5520" s="6"/>
      <c r="Y5520" s="6"/>
      <c r="Z5520" s="6"/>
      <c r="AA5520" s="6" t="s">
        <v>2217</v>
      </c>
      <c r="AB5520" s="8"/>
    </row>
    <row r="5521" spans="1:28" s="4" customFormat="1" ht="51.95" customHeight="1">
      <c r="A5521" s="5">
        <v>0</v>
      </c>
      <c r="B5521" s="6" t="s">
        <v>32389</v>
      </c>
      <c r="C5521" s="7">
        <v>824</v>
      </c>
      <c r="D5521" s="8" t="s">
        <v>32390</v>
      </c>
      <c r="E5521" s="8" t="s">
        <v>32391</v>
      </c>
      <c r="F5521" s="8" t="s">
        <v>32392</v>
      </c>
      <c r="G5521" s="6" t="s">
        <v>38</v>
      </c>
      <c r="H5521" s="6" t="s">
        <v>39</v>
      </c>
      <c r="I5521" s="8" t="s">
        <v>100</v>
      </c>
      <c r="J5521" s="9">
        <v>1</v>
      </c>
      <c r="K5521" s="9">
        <v>176</v>
      </c>
      <c r="L5521" s="9">
        <v>2024</v>
      </c>
      <c r="M5521" s="8" t="s">
        <v>32393</v>
      </c>
      <c r="N5521" s="8" t="s">
        <v>41</v>
      </c>
      <c r="O5521" s="8" t="s">
        <v>118</v>
      </c>
      <c r="P5521" s="6" t="s">
        <v>43</v>
      </c>
      <c r="Q5521" s="8" t="s">
        <v>102</v>
      </c>
      <c r="R5521" s="10" t="s">
        <v>32394</v>
      </c>
      <c r="S5521" s="11" t="s">
        <v>3081</v>
      </c>
      <c r="T5521" s="6"/>
      <c r="U5521" s="24" t="str">
        <f>HYPERLINK("https://media.infra-m.ru/2139/2139114/cover/2139114.jpg", "Обложка")</f>
        <v>Обложка</v>
      </c>
      <c r="V5521" s="24" t="str">
        <f>HYPERLINK("https://znanium.ru/catalog/product/1836614", "Ознакомиться")</f>
        <v>Ознакомиться</v>
      </c>
      <c r="W5521" s="8"/>
      <c r="X5521" s="6"/>
      <c r="Y5521" s="6"/>
      <c r="Z5521" s="6"/>
      <c r="AA5521" s="6" t="s">
        <v>663</v>
      </c>
      <c r="AB5521" s="8"/>
    </row>
    <row r="5522" spans="1:28" s="4" customFormat="1" ht="51.95" customHeight="1">
      <c r="A5522" s="5">
        <v>0</v>
      </c>
      <c r="B5522" s="6" t="s">
        <v>32395</v>
      </c>
      <c r="C5522" s="13">
        <v>1324</v>
      </c>
      <c r="D5522" s="8" t="s">
        <v>32396</v>
      </c>
      <c r="E5522" s="8" t="s">
        <v>32397</v>
      </c>
      <c r="F5522" s="8" t="s">
        <v>2375</v>
      </c>
      <c r="G5522" s="6" t="s">
        <v>52</v>
      </c>
      <c r="H5522" s="6" t="s">
        <v>53</v>
      </c>
      <c r="I5522" s="8" t="s">
        <v>90</v>
      </c>
      <c r="J5522" s="9">
        <v>1</v>
      </c>
      <c r="K5522" s="9">
        <v>288</v>
      </c>
      <c r="L5522" s="9">
        <v>2024</v>
      </c>
      <c r="M5522" s="8" t="s">
        <v>32398</v>
      </c>
      <c r="N5522" s="8" t="s">
        <v>41</v>
      </c>
      <c r="O5522" s="8" t="s">
        <v>118</v>
      </c>
      <c r="P5522" s="6" t="s">
        <v>43</v>
      </c>
      <c r="Q5522" s="8" t="s">
        <v>44</v>
      </c>
      <c r="R5522" s="10" t="s">
        <v>32399</v>
      </c>
      <c r="S5522" s="11" t="s">
        <v>32400</v>
      </c>
      <c r="T5522" s="6"/>
      <c r="U5522" s="24" t="str">
        <f>HYPERLINK("https://media.infra-m.ru/2073/2073411/cover/2073411.jpg", "Обложка")</f>
        <v>Обложка</v>
      </c>
      <c r="V5522" s="24" t="str">
        <f>HYPERLINK("https://znanium.ru/catalog/product/2073411", "Ознакомиться")</f>
        <v>Ознакомиться</v>
      </c>
      <c r="W5522" s="8" t="s">
        <v>189</v>
      </c>
      <c r="X5522" s="6"/>
      <c r="Y5522" s="6"/>
      <c r="Z5522" s="6"/>
      <c r="AA5522" s="6" t="s">
        <v>72</v>
      </c>
      <c r="AB5522" s="8"/>
    </row>
    <row r="5523" spans="1:28" s="4" customFormat="1" ht="51.95" customHeight="1">
      <c r="A5523" s="5">
        <v>0</v>
      </c>
      <c r="B5523" s="6" t="s">
        <v>32401</v>
      </c>
      <c r="C5523" s="13">
        <v>1354</v>
      </c>
      <c r="D5523" s="8" t="s">
        <v>32402</v>
      </c>
      <c r="E5523" s="8" t="s">
        <v>32403</v>
      </c>
      <c r="F5523" s="8" t="s">
        <v>12793</v>
      </c>
      <c r="G5523" s="6" t="s">
        <v>89</v>
      </c>
      <c r="H5523" s="6" t="s">
        <v>53</v>
      </c>
      <c r="I5523" s="8" t="s">
        <v>90</v>
      </c>
      <c r="J5523" s="9">
        <v>1</v>
      </c>
      <c r="K5523" s="9">
        <v>261</v>
      </c>
      <c r="L5523" s="9">
        <v>2025</v>
      </c>
      <c r="M5523" s="8" t="s">
        <v>32404</v>
      </c>
      <c r="N5523" s="8" t="s">
        <v>41</v>
      </c>
      <c r="O5523" s="8" t="s">
        <v>278</v>
      </c>
      <c r="P5523" s="6" t="s">
        <v>167</v>
      </c>
      <c r="Q5523" s="8" t="s">
        <v>44</v>
      </c>
      <c r="R5523" s="10" t="s">
        <v>1278</v>
      </c>
      <c r="S5523" s="11" t="s">
        <v>32405</v>
      </c>
      <c r="T5523" s="6" t="s">
        <v>299</v>
      </c>
      <c r="U5523" s="24" t="str">
        <f>HYPERLINK("https://media.infra-m.ru/2192/2192244/cover/2192244.jpg", "Обложка")</f>
        <v>Обложка</v>
      </c>
      <c r="V5523" s="24" t="str">
        <f>HYPERLINK("https://znanium.ru/catalog/product/1930671", "Ознакомиться")</f>
        <v>Ознакомиться</v>
      </c>
      <c r="W5523" s="8" t="s">
        <v>189</v>
      </c>
      <c r="X5523" s="6"/>
      <c r="Y5523" s="6"/>
      <c r="Z5523" s="6"/>
      <c r="AA5523" s="6" t="s">
        <v>377</v>
      </c>
      <c r="AB5523" s="8"/>
    </row>
    <row r="5524" spans="1:28" s="4" customFormat="1" ht="51.95" customHeight="1">
      <c r="A5524" s="5">
        <v>0</v>
      </c>
      <c r="B5524" s="6" t="s">
        <v>32406</v>
      </c>
      <c r="C5524" s="7">
        <v>444.9</v>
      </c>
      <c r="D5524" s="8" t="s">
        <v>32407</v>
      </c>
      <c r="E5524" s="8" t="s">
        <v>32408</v>
      </c>
      <c r="F5524" s="8" t="s">
        <v>32409</v>
      </c>
      <c r="G5524" s="6" t="s">
        <v>52</v>
      </c>
      <c r="H5524" s="6" t="s">
        <v>77</v>
      </c>
      <c r="I5524" s="8" t="s">
        <v>7953</v>
      </c>
      <c r="J5524" s="9">
        <v>1</v>
      </c>
      <c r="K5524" s="9">
        <v>144</v>
      </c>
      <c r="L5524" s="9">
        <v>2017</v>
      </c>
      <c r="M5524" s="8" t="s">
        <v>32410</v>
      </c>
      <c r="N5524" s="8" t="s">
        <v>41</v>
      </c>
      <c r="O5524" s="8" t="s">
        <v>1007</v>
      </c>
      <c r="P5524" s="6" t="s">
        <v>1046</v>
      </c>
      <c r="Q5524" s="8" t="s">
        <v>44</v>
      </c>
      <c r="R5524" s="10" t="s">
        <v>32411</v>
      </c>
      <c r="S5524" s="11"/>
      <c r="T5524" s="6"/>
      <c r="U5524" s="24" t="str">
        <f>HYPERLINK("https://media.infra-m.ru/0558/0558386/cover/558386.jpg", "Обложка")</f>
        <v>Обложка</v>
      </c>
      <c r="V5524" s="24" t="str">
        <f>HYPERLINK("https://znanium.ru/catalog/product/1841421", "Ознакомиться")</f>
        <v>Ознакомиться</v>
      </c>
      <c r="W5524" s="8" t="s">
        <v>83</v>
      </c>
      <c r="X5524" s="6"/>
      <c r="Y5524" s="6"/>
      <c r="Z5524" s="6"/>
      <c r="AA5524" s="6" t="s">
        <v>622</v>
      </c>
      <c r="AB5524" s="8"/>
    </row>
    <row r="5525" spans="1:28" s="4" customFormat="1" ht="51.95" customHeight="1">
      <c r="A5525" s="5">
        <v>0</v>
      </c>
      <c r="B5525" s="6" t="s">
        <v>32412</v>
      </c>
      <c r="C5525" s="13">
        <v>1010</v>
      </c>
      <c r="D5525" s="8" t="s">
        <v>32413</v>
      </c>
      <c r="E5525" s="8" t="s">
        <v>32414</v>
      </c>
      <c r="F5525" s="8" t="s">
        <v>32415</v>
      </c>
      <c r="G5525" s="6" t="s">
        <v>89</v>
      </c>
      <c r="H5525" s="6" t="s">
        <v>53</v>
      </c>
      <c r="I5525" s="8" t="s">
        <v>1054</v>
      </c>
      <c r="J5525" s="9">
        <v>1</v>
      </c>
      <c r="K5525" s="9">
        <v>225</v>
      </c>
      <c r="L5525" s="9">
        <v>2023</v>
      </c>
      <c r="M5525" s="8" t="s">
        <v>32416</v>
      </c>
      <c r="N5525" s="8" t="s">
        <v>41</v>
      </c>
      <c r="O5525" s="8" t="s">
        <v>1007</v>
      </c>
      <c r="P5525" s="6" t="s">
        <v>167</v>
      </c>
      <c r="Q5525" s="8" t="s">
        <v>279</v>
      </c>
      <c r="R5525" s="10" t="s">
        <v>1291</v>
      </c>
      <c r="S5525" s="11" t="s">
        <v>32417</v>
      </c>
      <c r="T5525" s="6"/>
      <c r="U5525" s="24" t="str">
        <f>HYPERLINK("https://media.infra-m.ru/1960/1960112/cover/1960112.jpg", "Обложка")</f>
        <v>Обложка</v>
      </c>
      <c r="V5525" s="24" t="str">
        <f>HYPERLINK("https://znanium.ru/catalog/product/1960112", "Ознакомиться")</f>
        <v>Ознакомиться</v>
      </c>
      <c r="W5525" s="8" t="s">
        <v>83</v>
      </c>
      <c r="X5525" s="6"/>
      <c r="Y5525" s="6"/>
      <c r="Z5525" s="6"/>
      <c r="AA5525" s="6" t="s">
        <v>235</v>
      </c>
      <c r="AB5525" s="8"/>
    </row>
    <row r="5526" spans="1:28" s="4" customFormat="1" ht="51.95" customHeight="1">
      <c r="A5526" s="5">
        <v>0</v>
      </c>
      <c r="B5526" s="6" t="s">
        <v>32418</v>
      </c>
      <c r="C5526" s="13">
        <v>1550</v>
      </c>
      <c r="D5526" s="8" t="s">
        <v>32419</v>
      </c>
      <c r="E5526" s="8" t="s">
        <v>32420</v>
      </c>
      <c r="F5526" s="8" t="s">
        <v>29282</v>
      </c>
      <c r="G5526" s="6" t="s">
        <v>89</v>
      </c>
      <c r="H5526" s="6" t="s">
        <v>53</v>
      </c>
      <c r="I5526" s="8" t="s">
        <v>116</v>
      </c>
      <c r="J5526" s="9">
        <v>1</v>
      </c>
      <c r="K5526" s="9">
        <v>330</v>
      </c>
      <c r="L5526" s="9">
        <v>2024</v>
      </c>
      <c r="M5526" s="8" t="s">
        <v>32421</v>
      </c>
      <c r="N5526" s="8" t="s">
        <v>41</v>
      </c>
      <c r="O5526" s="8" t="s">
        <v>118</v>
      </c>
      <c r="P5526" s="6" t="s">
        <v>167</v>
      </c>
      <c r="Q5526" s="8" t="s">
        <v>44</v>
      </c>
      <c r="R5526" s="10" t="s">
        <v>32422</v>
      </c>
      <c r="S5526" s="11" t="s">
        <v>32423</v>
      </c>
      <c r="T5526" s="6" t="s">
        <v>299</v>
      </c>
      <c r="U5526" s="24" t="str">
        <f>HYPERLINK("https://media.infra-m.ru/2059/2059559/cover/2059559.jpg", "Обложка")</f>
        <v>Обложка</v>
      </c>
      <c r="V5526" s="24" t="str">
        <f>HYPERLINK("https://znanium.ru/catalog/product/2059559", "Ознакомиться")</f>
        <v>Ознакомиться</v>
      </c>
      <c r="W5526" s="8" t="s">
        <v>27772</v>
      </c>
      <c r="X5526" s="6"/>
      <c r="Y5526" s="6"/>
      <c r="Z5526" s="6"/>
      <c r="AA5526" s="6" t="s">
        <v>442</v>
      </c>
      <c r="AB5526" s="8"/>
    </row>
    <row r="5527" spans="1:28" s="4" customFormat="1" ht="51.95" customHeight="1">
      <c r="A5527" s="5">
        <v>0</v>
      </c>
      <c r="B5527" s="6" t="s">
        <v>32424</v>
      </c>
      <c r="C5527" s="13">
        <v>1320</v>
      </c>
      <c r="D5527" s="8" t="s">
        <v>32425</v>
      </c>
      <c r="E5527" s="8" t="s">
        <v>32426</v>
      </c>
      <c r="F5527" s="8" t="s">
        <v>3401</v>
      </c>
      <c r="G5527" s="6" t="s">
        <v>52</v>
      </c>
      <c r="H5527" s="6" t="s">
        <v>53</v>
      </c>
      <c r="I5527" s="8" t="s">
        <v>116</v>
      </c>
      <c r="J5527" s="9">
        <v>1</v>
      </c>
      <c r="K5527" s="9">
        <v>263</v>
      </c>
      <c r="L5527" s="9">
        <v>2025</v>
      </c>
      <c r="M5527" s="8" t="s">
        <v>32427</v>
      </c>
      <c r="N5527" s="8" t="s">
        <v>41</v>
      </c>
      <c r="O5527" s="8" t="s">
        <v>1007</v>
      </c>
      <c r="P5527" s="6" t="s">
        <v>43</v>
      </c>
      <c r="Q5527" s="8" t="s">
        <v>58</v>
      </c>
      <c r="R5527" s="10" t="s">
        <v>1265</v>
      </c>
      <c r="S5527" s="11" t="s">
        <v>32428</v>
      </c>
      <c r="T5527" s="6"/>
      <c r="U5527" s="24" t="str">
        <f>HYPERLINK("https://media.infra-m.ru/2052/2052407/cover/2052407.jpg", "Обложка")</f>
        <v>Обложка</v>
      </c>
      <c r="V5527" s="24" t="str">
        <f>HYPERLINK("https://znanium.ru/catalog/product/2052407", "Ознакомиться")</f>
        <v>Ознакомиться</v>
      </c>
      <c r="W5527" s="8" t="s">
        <v>2559</v>
      </c>
      <c r="X5527" s="6" t="s">
        <v>548</v>
      </c>
      <c r="Y5527" s="6"/>
      <c r="Z5527" s="6"/>
      <c r="AA5527" s="6" t="s">
        <v>61</v>
      </c>
      <c r="AB5527" s="8"/>
    </row>
    <row r="5528" spans="1:28" s="4" customFormat="1" ht="42" customHeight="1">
      <c r="A5528" s="5">
        <v>0</v>
      </c>
      <c r="B5528" s="6" t="s">
        <v>32429</v>
      </c>
      <c r="C5528" s="7">
        <v>790</v>
      </c>
      <c r="D5528" s="8" t="s">
        <v>32430</v>
      </c>
      <c r="E5528" s="8" t="s">
        <v>32431</v>
      </c>
      <c r="F5528" s="8" t="s">
        <v>32432</v>
      </c>
      <c r="G5528" s="6" t="s">
        <v>89</v>
      </c>
      <c r="H5528" s="6" t="s">
        <v>77</v>
      </c>
      <c r="I5528" s="8"/>
      <c r="J5528" s="9">
        <v>1</v>
      </c>
      <c r="K5528" s="9">
        <v>154</v>
      </c>
      <c r="L5528" s="9">
        <v>2024</v>
      </c>
      <c r="M5528" s="8" t="s">
        <v>32433</v>
      </c>
      <c r="N5528" s="8" t="s">
        <v>41</v>
      </c>
      <c r="O5528" s="8" t="s">
        <v>1007</v>
      </c>
      <c r="P5528" s="6" t="s">
        <v>167</v>
      </c>
      <c r="Q5528" s="8" t="s">
        <v>1047</v>
      </c>
      <c r="R5528" s="10" t="s">
        <v>157</v>
      </c>
      <c r="S5528" s="11"/>
      <c r="T5528" s="6"/>
      <c r="U5528" s="24" t="str">
        <f>HYPERLINK("https://media.infra-m.ru/2121/2121224/cover/2121224.jpg", "Обложка")</f>
        <v>Обложка</v>
      </c>
      <c r="V5528" s="24" t="str">
        <f>HYPERLINK("https://znanium.ru/catalog/product/2121224", "Ознакомиться")</f>
        <v>Ознакомиться</v>
      </c>
      <c r="W5528" s="8" t="s">
        <v>83</v>
      </c>
      <c r="X5528" s="6"/>
      <c r="Y5528" s="6"/>
      <c r="Z5528" s="6"/>
      <c r="AA5528" s="6" t="s">
        <v>442</v>
      </c>
      <c r="AB5528" s="8"/>
    </row>
    <row r="5529" spans="1:28" s="4" customFormat="1" ht="51.95" customHeight="1">
      <c r="A5529" s="5">
        <v>0</v>
      </c>
      <c r="B5529" s="6" t="s">
        <v>32434</v>
      </c>
      <c r="C5529" s="13">
        <v>1034</v>
      </c>
      <c r="D5529" s="8" t="s">
        <v>32435</v>
      </c>
      <c r="E5529" s="8" t="s">
        <v>32436</v>
      </c>
      <c r="F5529" s="8" t="s">
        <v>32437</v>
      </c>
      <c r="G5529" s="6" t="s">
        <v>52</v>
      </c>
      <c r="H5529" s="6" t="s">
        <v>53</v>
      </c>
      <c r="I5529" s="8" t="s">
        <v>90</v>
      </c>
      <c r="J5529" s="9">
        <v>1</v>
      </c>
      <c r="K5529" s="9">
        <v>207</v>
      </c>
      <c r="L5529" s="9">
        <v>2025</v>
      </c>
      <c r="M5529" s="8" t="s">
        <v>32438</v>
      </c>
      <c r="N5529" s="8" t="s">
        <v>41</v>
      </c>
      <c r="O5529" s="8" t="s">
        <v>1007</v>
      </c>
      <c r="P5529" s="6" t="s">
        <v>167</v>
      </c>
      <c r="Q5529" s="8" t="s">
        <v>44</v>
      </c>
      <c r="R5529" s="10" t="s">
        <v>2713</v>
      </c>
      <c r="S5529" s="11" t="s">
        <v>32439</v>
      </c>
      <c r="T5529" s="6"/>
      <c r="U5529" s="24" t="str">
        <f>HYPERLINK("https://media.infra-m.ru/2187/2187771/cover/2187771.jpg", "Обложка")</f>
        <v>Обложка</v>
      </c>
      <c r="V5529" s="24" t="str">
        <f>HYPERLINK("https://znanium.ru/catalog/product/1084310", "Ознакомиться")</f>
        <v>Ознакомиться</v>
      </c>
      <c r="W5529" s="8" t="s">
        <v>637</v>
      </c>
      <c r="X5529" s="6"/>
      <c r="Y5529" s="6"/>
      <c r="Z5529" s="6"/>
      <c r="AA5529" s="6" t="s">
        <v>47</v>
      </c>
      <c r="AB5529" s="8"/>
    </row>
    <row r="5530" spans="1:28" s="4" customFormat="1" ht="51.95" customHeight="1">
      <c r="A5530" s="5">
        <v>0</v>
      </c>
      <c r="B5530" s="6" t="s">
        <v>32440</v>
      </c>
      <c r="C5530" s="7">
        <v>594</v>
      </c>
      <c r="D5530" s="8" t="s">
        <v>32441</v>
      </c>
      <c r="E5530" s="8" t="s">
        <v>32442</v>
      </c>
      <c r="F5530" s="8" t="s">
        <v>32443</v>
      </c>
      <c r="G5530" s="6" t="s">
        <v>38</v>
      </c>
      <c r="H5530" s="6" t="s">
        <v>952</v>
      </c>
      <c r="I5530" s="8"/>
      <c r="J5530" s="9">
        <v>1</v>
      </c>
      <c r="K5530" s="9">
        <v>128</v>
      </c>
      <c r="L5530" s="9">
        <v>2024</v>
      </c>
      <c r="M5530" s="8" t="s">
        <v>32444</v>
      </c>
      <c r="N5530" s="8" t="s">
        <v>41</v>
      </c>
      <c r="O5530" s="8" t="s">
        <v>278</v>
      </c>
      <c r="P5530" s="6" t="s">
        <v>43</v>
      </c>
      <c r="Q5530" s="8" t="s">
        <v>44</v>
      </c>
      <c r="R5530" s="10" t="s">
        <v>32445</v>
      </c>
      <c r="S5530" s="11"/>
      <c r="T5530" s="6"/>
      <c r="U5530" s="24" t="str">
        <f>HYPERLINK("https://media.infra-m.ru/2103/2103698/cover/2103698.jpg", "Обложка")</f>
        <v>Обложка</v>
      </c>
      <c r="V5530" s="24" t="str">
        <f>HYPERLINK("https://znanium.ru/catalog/product/1067407", "Ознакомиться")</f>
        <v>Ознакомиться</v>
      </c>
      <c r="W5530" s="8" t="s">
        <v>2995</v>
      </c>
      <c r="X5530" s="6"/>
      <c r="Y5530" s="6"/>
      <c r="Z5530" s="6"/>
      <c r="AA5530" s="6" t="s">
        <v>622</v>
      </c>
      <c r="AB5530" s="8"/>
    </row>
    <row r="5531" spans="1:28" s="4" customFormat="1" ht="51.95" customHeight="1">
      <c r="A5531" s="5">
        <v>0</v>
      </c>
      <c r="B5531" s="6" t="s">
        <v>32446</v>
      </c>
      <c r="C5531" s="13">
        <v>1390</v>
      </c>
      <c r="D5531" s="8" t="s">
        <v>32447</v>
      </c>
      <c r="E5531" s="8" t="s">
        <v>32448</v>
      </c>
      <c r="F5531" s="8" t="s">
        <v>32449</v>
      </c>
      <c r="G5531" s="6" t="s">
        <v>89</v>
      </c>
      <c r="H5531" s="6" t="s">
        <v>53</v>
      </c>
      <c r="I5531" s="8" t="s">
        <v>276</v>
      </c>
      <c r="J5531" s="9">
        <v>1</v>
      </c>
      <c r="K5531" s="9">
        <v>303</v>
      </c>
      <c r="L5531" s="9">
        <v>2024</v>
      </c>
      <c r="M5531" s="8" t="s">
        <v>32450</v>
      </c>
      <c r="N5531" s="8" t="s">
        <v>41</v>
      </c>
      <c r="O5531" s="8" t="s">
        <v>1007</v>
      </c>
      <c r="P5531" s="6" t="s">
        <v>43</v>
      </c>
      <c r="Q5531" s="8" t="s">
        <v>279</v>
      </c>
      <c r="R5531" s="10" t="s">
        <v>1380</v>
      </c>
      <c r="S5531" s="11" t="s">
        <v>3811</v>
      </c>
      <c r="T5531" s="6"/>
      <c r="U5531" s="24" t="str">
        <f>HYPERLINK("https://media.infra-m.ru/2104/2104843/cover/2104843.jpg", "Обложка")</f>
        <v>Обложка</v>
      </c>
      <c r="V5531" s="24" t="str">
        <f>HYPERLINK("https://znanium.ru/catalog/product/2104843", "Ознакомиться")</f>
        <v>Ознакомиться</v>
      </c>
      <c r="W5531" s="8" t="s">
        <v>189</v>
      </c>
      <c r="X5531" s="6"/>
      <c r="Y5531" s="6"/>
      <c r="Z5531" s="6"/>
      <c r="AA5531" s="6" t="s">
        <v>622</v>
      </c>
      <c r="AB5531" s="8"/>
    </row>
    <row r="5532" spans="1:28" s="4" customFormat="1" ht="51.95" customHeight="1">
      <c r="A5532" s="5">
        <v>0</v>
      </c>
      <c r="B5532" s="6" t="s">
        <v>32451</v>
      </c>
      <c r="C5532" s="7">
        <v>990</v>
      </c>
      <c r="D5532" s="8" t="s">
        <v>32452</v>
      </c>
      <c r="E5532" s="8" t="s">
        <v>32453</v>
      </c>
      <c r="F5532" s="8" t="s">
        <v>32454</v>
      </c>
      <c r="G5532" s="6" t="s">
        <v>89</v>
      </c>
      <c r="H5532" s="6" t="s">
        <v>53</v>
      </c>
      <c r="I5532" s="8" t="s">
        <v>165</v>
      </c>
      <c r="J5532" s="9">
        <v>1</v>
      </c>
      <c r="K5532" s="9">
        <v>183</v>
      </c>
      <c r="L5532" s="9">
        <v>2025</v>
      </c>
      <c r="M5532" s="8" t="s">
        <v>32455</v>
      </c>
      <c r="N5532" s="8" t="s">
        <v>41</v>
      </c>
      <c r="O5532" s="8" t="s">
        <v>1007</v>
      </c>
      <c r="P5532" s="6" t="s">
        <v>167</v>
      </c>
      <c r="Q5532" s="8" t="s">
        <v>58</v>
      </c>
      <c r="R5532" s="10" t="s">
        <v>168</v>
      </c>
      <c r="S5532" s="11"/>
      <c r="T5532" s="6"/>
      <c r="U5532" s="24" t="str">
        <f>HYPERLINK("https://media.infra-m.ru/2178/2178996/cover/2178996.jpg", "Обложка")</f>
        <v>Обложка</v>
      </c>
      <c r="V5532" s="24" t="str">
        <f>HYPERLINK("https://znanium.ru/catalog/product/2178996", "Ознакомиться")</f>
        <v>Ознакомиться</v>
      </c>
      <c r="W5532" s="8" t="s">
        <v>83</v>
      </c>
      <c r="X5532" s="6"/>
      <c r="Y5532" s="6"/>
      <c r="Z5532" s="6"/>
      <c r="AA5532" s="6" t="s">
        <v>61</v>
      </c>
      <c r="AB5532" s="8"/>
    </row>
    <row r="5533" spans="1:28" s="4" customFormat="1" ht="42" customHeight="1">
      <c r="A5533" s="5">
        <v>0</v>
      </c>
      <c r="B5533" s="6" t="s">
        <v>32456</v>
      </c>
      <c r="C5533" s="7">
        <v>504.9</v>
      </c>
      <c r="D5533" s="8" t="s">
        <v>32457</v>
      </c>
      <c r="E5533" s="8" t="s">
        <v>32458</v>
      </c>
      <c r="F5533" s="8" t="s">
        <v>32459</v>
      </c>
      <c r="G5533" s="6" t="s">
        <v>38</v>
      </c>
      <c r="H5533" s="6" t="s">
        <v>952</v>
      </c>
      <c r="I5533" s="8"/>
      <c r="J5533" s="9">
        <v>1</v>
      </c>
      <c r="K5533" s="9">
        <v>112</v>
      </c>
      <c r="L5533" s="9">
        <v>2023</v>
      </c>
      <c r="M5533" s="8" t="s">
        <v>32460</v>
      </c>
      <c r="N5533" s="8" t="s">
        <v>41</v>
      </c>
      <c r="O5533" s="8" t="s">
        <v>1007</v>
      </c>
      <c r="P5533" s="6" t="s">
        <v>187</v>
      </c>
      <c r="Q5533" s="8" t="s">
        <v>44</v>
      </c>
      <c r="R5533" s="10" t="s">
        <v>3657</v>
      </c>
      <c r="S5533" s="11"/>
      <c r="T5533" s="6"/>
      <c r="U5533" s="24" t="str">
        <f>HYPERLINK("https://media.infra-m.ru/1981/1981626/cover/1981626.jpg", "Обложка")</f>
        <v>Обложка</v>
      </c>
      <c r="V5533" s="24" t="str">
        <f>HYPERLINK("https://znanium.ru/catalog/product/960064", "Ознакомиться")</f>
        <v>Ознакомиться</v>
      </c>
      <c r="W5533" s="8" t="s">
        <v>3426</v>
      </c>
      <c r="X5533" s="6"/>
      <c r="Y5533" s="6"/>
      <c r="Z5533" s="6"/>
      <c r="AA5533" s="6" t="s">
        <v>84</v>
      </c>
      <c r="AB5533" s="8"/>
    </row>
    <row r="5534" spans="1:28" s="4" customFormat="1" ht="44.1" customHeight="1">
      <c r="A5534" s="5">
        <v>0</v>
      </c>
      <c r="B5534" s="6" t="s">
        <v>32461</v>
      </c>
      <c r="C5534" s="13">
        <v>2550</v>
      </c>
      <c r="D5534" s="8" t="s">
        <v>32462</v>
      </c>
      <c r="E5534" s="8" t="s">
        <v>32463</v>
      </c>
      <c r="F5534" s="8" t="s">
        <v>32464</v>
      </c>
      <c r="G5534" s="6" t="s">
        <v>52</v>
      </c>
      <c r="H5534" s="6" t="s">
        <v>53</v>
      </c>
      <c r="I5534" s="8" t="s">
        <v>116</v>
      </c>
      <c r="J5534" s="9">
        <v>1</v>
      </c>
      <c r="K5534" s="9">
        <v>553</v>
      </c>
      <c r="L5534" s="9">
        <v>2024</v>
      </c>
      <c r="M5534" s="8" t="s">
        <v>32465</v>
      </c>
      <c r="N5534" s="8" t="s">
        <v>41</v>
      </c>
      <c r="O5534" s="8" t="s">
        <v>1007</v>
      </c>
      <c r="P5534" s="6" t="s">
        <v>167</v>
      </c>
      <c r="Q5534" s="8" t="s">
        <v>44</v>
      </c>
      <c r="R5534" s="10" t="s">
        <v>7868</v>
      </c>
      <c r="S5534" s="11"/>
      <c r="T5534" s="6"/>
      <c r="U5534" s="24" t="str">
        <f>HYPERLINK("https://media.infra-m.ru/2084/2084331/cover/2084331.jpg", "Обложка")</f>
        <v>Обложка</v>
      </c>
      <c r="V5534" s="24" t="str">
        <f>HYPERLINK("https://znanium.ru/catalog/product/2084331", "Ознакомиться")</f>
        <v>Ознакомиться</v>
      </c>
      <c r="W5534" s="8" t="s">
        <v>3475</v>
      </c>
      <c r="X5534" s="6"/>
      <c r="Y5534" s="6"/>
      <c r="Z5534" s="6"/>
      <c r="AA5534" s="6" t="s">
        <v>151</v>
      </c>
      <c r="AB5534" s="8"/>
    </row>
    <row r="5535" spans="1:28" s="4" customFormat="1" ht="51.95" customHeight="1">
      <c r="A5535" s="5">
        <v>0</v>
      </c>
      <c r="B5535" s="6" t="s">
        <v>32466</v>
      </c>
      <c r="C5535" s="13">
        <v>1084.9000000000001</v>
      </c>
      <c r="D5535" s="8" t="s">
        <v>32467</v>
      </c>
      <c r="E5535" s="8" t="s">
        <v>32463</v>
      </c>
      <c r="F5535" s="8" t="s">
        <v>32468</v>
      </c>
      <c r="G5535" s="6" t="s">
        <v>52</v>
      </c>
      <c r="H5535" s="6" t="s">
        <v>53</v>
      </c>
      <c r="I5535" s="8" t="s">
        <v>90</v>
      </c>
      <c r="J5535" s="9">
        <v>1</v>
      </c>
      <c r="K5535" s="9">
        <v>240</v>
      </c>
      <c r="L5535" s="9">
        <v>2023</v>
      </c>
      <c r="M5535" s="8" t="s">
        <v>32469</v>
      </c>
      <c r="N5535" s="8" t="s">
        <v>41</v>
      </c>
      <c r="O5535" s="8" t="s">
        <v>1007</v>
      </c>
      <c r="P5535" s="6" t="s">
        <v>43</v>
      </c>
      <c r="Q5535" s="8" t="s">
        <v>44</v>
      </c>
      <c r="R5535" s="10" t="s">
        <v>1278</v>
      </c>
      <c r="S5535" s="11" t="s">
        <v>32470</v>
      </c>
      <c r="T5535" s="6"/>
      <c r="U5535" s="24" t="str">
        <f>HYPERLINK("https://media.infra-m.ru/1981/1981614/cover/1981614.jpg", "Обложка")</f>
        <v>Обложка</v>
      </c>
      <c r="V5535" s="24" t="str">
        <f>HYPERLINK("https://znanium.ru/catalog/product/1981614", "Ознакомиться")</f>
        <v>Ознакомиться</v>
      </c>
      <c r="W5535" s="8" t="s">
        <v>1313</v>
      </c>
      <c r="X5535" s="6"/>
      <c r="Y5535" s="6"/>
      <c r="Z5535" s="6"/>
      <c r="AA5535" s="6" t="s">
        <v>111</v>
      </c>
      <c r="AB5535" s="8"/>
    </row>
    <row r="5536" spans="1:28" s="4" customFormat="1" ht="42" customHeight="1">
      <c r="A5536" s="5">
        <v>0</v>
      </c>
      <c r="B5536" s="6" t="s">
        <v>32471</v>
      </c>
      <c r="C5536" s="13">
        <v>1260</v>
      </c>
      <c r="D5536" s="8" t="s">
        <v>32472</v>
      </c>
      <c r="E5536" s="8" t="s">
        <v>32463</v>
      </c>
      <c r="F5536" s="8" t="s">
        <v>2453</v>
      </c>
      <c r="G5536" s="6" t="s">
        <v>52</v>
      </c>
      <c r="H5536" s="6" t="s">
        <v>53</v>
      </c>
      <c r="I5536" s="8" t="s">
        <v>116</v>
      </c>
      <c r="J5536" s="9">
        <v>1</v>
      </c>
      <c r="K5536" s="9">
        <v>267</v>
      </c>
      <c r="L5536" s="9">
        <v>2024</v>
      </c>
      <c r="M5536" s="8" t="s">
        <v>32473</v>
      </c>
      <c r="N5536" s="8" t="s">
        <v>41</v>
      </c>
      <c r="O5536" s="8" t="s">
        <v>1007</v>
      </c>
      <c r="P5536" s="6" t="s">
        <v>43</v>
      </c>
      <c r="Q5536" s="8" t="s">
        <v>44</v>
      </c>
      <c r="R5536" s="10" t="s">
        <v>3616</v>
      </c>
      <c r="S5536" s="11"/>
      <c r="T5536" s="6"/>
      <c r="U5536" s="24" t="str">
        <f>HYPERLINK("https://media.infra-m.ru/1938/1938075/cover/1938075.jpg", "Обложка")</f>
        <v>Обложка</v>
      </c>
      <c r="V5536" s="24" t="str">
        <f>HYPERLINK("https://znanium.ru/catalog/product/1938075", "Ознакомиться")</f>
        <v>Ознакомиться</v>
      </c>
      <c r="W5536" s="8" t="s">
        <v>1233</v>
      </c>
      <c r="X5536" s="6"/>
      <c r="Y5536" s="6"/>
      <c r="Z5536" s="6"/>
      <c r="AA5536" s="6" t="s">
        <v>133</v>
      </c>
      <c r="AB5536" s="8"/>
    </row>
    <row r="5537" spans="1:28" s="4" customFormat="1" ht="51.95" customHeight="1">
      <c r="A5537" s="5">
        <v>0</v>
      </c>
      <c r="B5537" s="6" t="s">
        <v>32474</v>
      </c>
      <c r="C5537" s="13">
        <v>1260</v>
      </c>
      <c r="D5537" s="8" t="s">
        <v>32475</v>
      </c>
      <c r="E5537" s="8" t="s">
        <v>32476</v>
      </c>
      <c r="F5537" s="8" t="s">
        <v>10206</v>
      </c>
      <c r="G5537" s="6" t="s">
        <v>52</v>
      </c>
      <c r="H5537" s="6" t="s">
        <v>53</v>
      </c>
      <c r="I5537" s="8" t="s">
        <v>116</v>
      </c>
      <c r="J5537" s="9">
        <v>1</v>
      </c>
      <c r="K5537" s="9">
        <v>267</v>
      </c>
      <c r="L5537" s="9">
        <v>2024</v>
      </c>
      <c r="M5537" s="8" t="s">
        <v>32477</v>
      </c>
      <c r="N5537" s="8" t="s">
        <v>41</v>
      </c>
      <c r="O5537" s="8" t="s">
        <v>1007</v>
      </c>
      <c r="P5537" s="6" t="s">
        <v>43</v>
      </c>
      <c r="Q5537" s="8" t="s">
        <v>58</v>
      </c>
      <c r="R5537" s="10" t="s">
        <v>32478</v>
      </c>
      <c r="S5537" s="11"/>
      <c r="T5537" s="6"/>
      <c r="U5537" s="24" t="str">
        <f>HYPERLINK("https://media.infra-m.ru/1817/1817926/cover/1817926.jpg", "Обложка")</f>
        <v>Обложка</v>
      </c>
      <c r="V5537" s="24" t="str">
        <f>HYPERLINK("https://znanium.ru/catalog/product/1817926", "Ознакомиться")</f>
        <v>Ознакомиться</v>
      </c>
      <c r="W5537" s="8" t="s">
        <v>2915</v>
      </c>
      <c r="X5537" s="6"/>
      <c r="Y5537" s="6"/>
      <c r="Z5537" s="6"/>
      <c r="AA5537" s="6" t="s">
        <v>105</v>
      </c>
      <c r="AB5537" s="8"/>
    </row>
    <row r="5538" spans="1:28" s="4" customFormat="1" ht="51.95" customHeight="1">
      <c r="A5538" s="5">
        <v>0</v>
      </c>
      <c r="B5538" s="6" t="s">
        <v>32479</v>
      </c>
      <c r="C5538" s="7">
        <v>590</v>
      </c>
      <c r="D5538" s="8" t="s">
        <v>32480</v>
      </c>
      <c r="E5538" s="8" t="s">
        <v>32481</v>
      </c>
      <c r="F5538" s="8" t="s">
        <v>9730</v>
      </c>
      <c r="G5538" s="6" t="s">
        <v>52</v>
      </c>
      <c r="H5538" s="6" t="s">
        <v>53</v>
      </c>
      <c r="I5538" s="8" t="s">
        <v>276</v>
      </c>
      <c r="J5538" s="9">
        <v>1</v>
      </c>
      <c r="K5538" s="9">
        <v>201</v>
      </c>
      <c r="L5538" s="9">
        <v>2017</v>
      </c>
      <c r="M5538" s="8" t="s">
        <v>32482</v>
      </c>
      <c r="N5538" s="8" t="s">
        <v>41</v>
      </c>
      <c r="O5538" s="8" t="s">
        <v>118</v>
      </c>
      <c r="P5538" s="6" t="s">
        <v>43</v>
      </c>
      <c r="Q5538" s="8" t="s">
        <v>279</v>
      </c>
      <c r="R5538" s="10" t="s">
        <v>32483</v>
      </c>
      <c r="S5538" s="11" t="s">
        <v>32484</v>
      </c>
      <c r="T5538" s="6"/>
      <c r="U5538" s="24" t="str">
        <f>HYPERLINK("https://media.infra-m.ru/0701/0701952/cover/701952.jpg", "Обложка")</f>
        <v>Обложка</v>
      </c>
      <c r="V5538" s="24" t="str">
        <f>HYPERLINK("https://znanium.ru/catalog/product/1906719", "Ознакомиться")</f>
        <v>Ознакомиться</v>
      </c>
      <c r="W5538" s="8" t="s">
        <v>8621</v>
      </c>
      <c r="X5538" s="6"/>
      <c r="Y5538" s="6"/>
      <c r="Z5538" s="6"/>
      <c r="AA5538" s="6" t="s">
        <v>160</v>
      </c>
      <c r="AB5538" s="8"/>
    </row>
    <row r="5539" spans="1:28" s="4" customFormat="1" ht="51.95" customHeight="1">
      <c r="A5539" s="5">
        <v>0</v>
      </c>
      <c r="B5539" s="6" t="s">
        <v>32485</v>
      </c>
      <c r="C5539" s="13">
        <v>1000</v>
      </c>
      <c r="D5539" s="8" t="s">
        <v>32486</v>
      </c>
      <c r="E5539" s="8" t="s">
        <v>32487</v>
      </c>
      <c r="F5539" s="8" t="s">
        <v>32488</v>
      </c>
      <c r="G5539" s="6" t="s">
        <v>89</v>
      </c>
      <c r="H5539" s="6" t="s">
        <v>53</v>
      </c>
      <c r="I5539" s="8" t="s">
        <v>116</v>
      </c>
      <c r="J5539" s="9">
        <v>1</v>
      </c>
      <c r="K5539" s="9">
        <v>215</v>
      </c>
      <c r="L5539" s="9">
        <v>2024</v>
      </c>
      <c r="M5539" s="8" t="s">
        <v>32489</v>
      </c>
      <c r="N5539" s="8" t="s">
        <v>41</v>
      </c>
      <c r="O5539" s="8" t="s">
        <v>118</v>
      </c>
      <c r="P5539" s="6" t="s">
        <v>43</v>
      </c>
      <c r="Q5539" s="8" t="s">
        <v>44</v>
      </c>
      <c r="R5539" s="10" t="s">
        <v>32490</v>
      </c>
      <c r="S5539" s="11" t="s">
        <v>120</v>
      </c>
      <c r="T5539" s="6"/>
      <c r="U5539" s="24" t="str">
        <f>HYPERLINK("https://media.infra-m.ru/1914/1914141/cover/1914141.jpg", "Обложка")</f>
        <v>Обложка</v>
      </c>
      <c r="V5539" s="24" t="str">
        <f>HYPERLINK("https://znanium.ru/catalog/product/1914141", "Ознакомиться")</f>
        <v>Ознакомиться</v>
      </c>
      <c r="W5539" s="8" t="s">
        <v>1544</v>
      </c>
      <c r="X5539" s="6"/>
      <c r="Y5539" s="6"/>
      <c r="Z5539" s="6"/>
      <c r="AA5539" s="6" t="s">
        <v>122</v>
      </c>
      <c r="AB5539" s="8"/>
    </row>
    <row r="5540" spans="1:28" s="4" customFormat="1" ht="51.95" customHeight="1">
      <c r="A5540" s="5">
        <v>0</v>
      </c>
      <c r="B5540" s="6" t="s">
        <v>32491</v>
      </c>
      <c r="C5540" s="13">
        <v>1194</v>
      </c>
      <c r="D5540" s="8" t="s">
        <v>32492</v>
      </c>
      <c r="E5540" s="8" t="s">
        <v>32493</v>
      </c>
      <c r="F5540" s="8" t="s">
        <v>9730</v>
      </c>
      <c r="G5540" s="6" t="s">
        <v>89</v>
      </c>
      <c r="H5540" s="6" t="s">
        <v>53</v>
      </c>
      <c r="I5540" s="8" t="s">
        <v>276</v>
      </c>
      <c r="J5540" s="9">
        <v>1</v>
      </c>
      <c r="K5540" s="9">
        <v>230</v>
      </c>
      <c r="L5540" s="9">
        <v>2025</v>
      </c>
      <c r="M5540" s="8" t="s">
        <v>32494</v>
      </c>
      <c r="N5540" s="8" t="s">
        <v>41</v>
      </c>
      <c r="O5540" s="8" t="s">
        <v>118</v>
      </c>
      <c r="P5540" s="6" t="s">
        <v>43</v>
      </c>
      <c r="Q5540" s="8" t="s">
        <v>279</v>
      </c>
      <c r="R5540" s="10" t="s">
        <v>32483</v>
      </c>
      <c r="S5540" s="11" t="s">
        <v>32484</v>
      </c>
      <c r="T5540" s="6"/>
      <c r="U5540" s="24" t="str">
        <f>HYPERLINK("https://media.infra-m.ru/2196/2196898/cover/2196898.jpg", "Обложка")</f>
        <v>Обложка</v>
      </c>
      <c r="V5540" s="24" t="str">
        <f>HYPERLINK("https://znanium.ru/catalog/product/1906719", "Ознакомиться")</f>
        <v>Ознакомиться</v>
      </c>
      <c r="W5540" s="8" t="s">
        <v>8621</v>
      </c>
      <c r="X5540" s="6"/>
      <c r="Y5540" s="6"/>
      <c r="Z5540" s="6"/>
      <c r="AA5540" s="6" t="s">
        <v>1365</v>
      </c>
      <c r="AB5540" s="8"/>
    </row>
    <row r="5541" spans="1:28" s="4" customFormat="1" ht="51.95" customHeight="1">
      <c r="A5541" s="5">
        <v>0</v>
      </c>
      <c r="B5541" s="6" t="s">
        <v>32495</v>
      </c>
      <c r="C5541" s="7">
        <v>824</v>
      </c>
      <c r="D5541" s="8" t="s">
        <v>32496</v>
      </c>
      <c r="E5541" s="8" t="s">
        <v>32497</v>
      </c>
      <c r="F5541" s="8" t="s">
        <v>12030</v>
      </c>
      <c r="G5541" s="6" t="s">
        <v>38</v>
      </c>
      <c r="H5541" s="6" t="s">
        <v>53</v>
      </c>
      <c r="I5541" s="8" t="s">
        <v>90</v>
      </c>
      <c r="J5541" s="9">
        <v>1</v>
      </c>
      <c r="K5541" s="9">
        <v>158</v>
      </c>
      <c r="L5541" s="9">
        <v>2025</v>
      </c>
      <c r="M5541" s="8" t="s">
        <v>32498</v>
      </c>
      <c r="N5541" s="8" t="s">
        <v>41</v>
      </c>
      <c r="O5541" s="8" t="s">
        <v>1007</v>
      </c>
      <c r="P5541" s="6" t="s">
        <v>167</v>
      </c>
      <c r="Q5541" s="8" t="s">
        <v>44</v>
      </c>
      <c r="R5541" s="10" t="s">
        <v>32499</v>
      </c>
      <c r="S5541" s="11" t="s">
        <v>32500</v>
      </c>
      <c r="T5541" s="6"/>
      <c r="U5541" s="24" t="str">
        <f>HYPERLINK("https://media.infra-m.ru/2194/2194374/cover/2194374.jpg", "Обложка")</f>
        <v>Обложка</v>
      </c>
      <c r="V5541" s="24" t="str">
        <f>HYPERLINK("https://znanium.ru/catalog/product/1081384", "Ознакомиться")</f>
        <v>Ознакомиться</v>
      </c>
      <c r="W5541" s="8" t="s">
        <v>4228</v>
      </c>
      <c r="X5541" s="6"/>
      <c r="Y5541" s="6"/>
      <c r="Z5541" s="6"/>
      <c r="AA5541" s="6" t="s">
        <v>494</v>
      </c>
      <c r="AB5541" s="8"/>
    </row>
    <row r="5542" spans="1:28" s="4" customFormat="1" ht="51.95" customHeight="1">
      <c r="A5542" s="5">
        <v>0</v>
      </c>
      <c r="B5542" s="6" t="s">
        <v>32501</v>
      </c>
      <c r="C5542" s="13">
        <v>1180</v>
      </c>
      <c r="D5542" s="8" t="s">
        <v>32502</v>
      </c>
      <c r="E5542" s="8" t="s">
        <v>32503</v>
      </c>
      <c r="F5542" s="8" t="s">
        <v>32504</v>
      </c>
      <c r="G5542" s="6" t="s">
        <v>89</v>
      </c>
      <c r="H5542" s="6" t="s">
        <v>184</v>
      </c>
      <c r="I5542" s="8" t="s">
        <v>185</v>
      </c>
      <c r="J5542" s="9">
        <v>1</v>
      </c>
      <c r="K5542" s="9">
        <v>262</v>
      </c>
      <c r="L5542" s="9">
        <v>2023</v>
      </c>
      <c r="M5542" s="8" t="s">
        <v>32505</v>
      </c>
      <c r="N5542" s="8" t="s">
        <v>79</v>
      </c>
      <c r="O5542" s="8" t="s">
        <v>80</v>
      </c>
      <c r="P5542" s="6" t="s">
        <v>43</v>
      </c>
      <c r="Q5542" s="8" t="s">
        <v>44</v>
      </c>
      <c r="R5542" s="10" t="s">
        <v>32506</v>
      </c>
      <c r="S5542" s="11"/>
      <c r="T5542" s="6"/>
      <c r="U5542" s="24" t="str">
        <f>HYPERLINK("https://media.infra-m.ru/1965/1965768/cover/1965768.jpg", "Обложка")</f>
        <v>Обложка</v>
      </c>
      <c r="V5542" s="24" t="str">
        <f>HYPERLINK("https://znanium.ru/catalog/product/1874633", "Ознакомиться")</f>
        <v>Ознакомиться</v>
      </c>
      <c r="W5542" s="8" t="s">
        <v>399</v>
      </c>
      <c r="X5542" s="6"/>
      <c r="Y5542" s="6"/>
      <c r="Z5542" s="6"/>
      <c r="AA5542" s="6" t="s">
        <v>258</v>
      </c>
      <c r="AB5542" s="8"/>
    </row>
    <row r="5543" spans="1:28" s="4" customFormat="1" ht="51.95" customHeight="1">
      <c r="A5543" s="5">
        <v>0</v>
      </c>
      <c r="B5543" s="6" t="s">
        <v>32507</v>
      </c>
      <c r="C5543" s="13">
        <v>1100</v>
      </c>
      <c r="D5543" s="8" t="s">
        <v>32508</v>
      </c>
      <c r="E5543" s="8" t="s">
        <v>32509</v>
      </c>
      <c r="F5543" s="8" t="s">
        <v>32510</v>
      </c>
      <c r="G5543" s="6" t="s">
        <v>89</v>
      </c>
      <c r="H5543" s="6" t="s">
        <v>438</v>
      </c>
      <c r="I5543" s="8" t="s">
        <v>90</v>
      </c>
      <c r="J5543" s="9">
        <v>1</v>
      </c>
      <c r="K5543" s="9">
        <v>240</v>
      </c>
      <c r="L5543" s="9">
        <v>2023</v>
      </c>
      <c r="M5543" s="8" t="s">
        <v>32511</v>
      </c>
      <c r="N5543" s="8" t="s">
        <v>413</v>
      </c>
      <c r="O5543" s="8" t="s">
        <v>1141</v>
      </c>
      <c r="P5543" s="6" t="s">
        <v>167</v>
      </c>
      <c r="Q5543" s="8" t="s">
        <v>44</v>
      </c>
      <c r="R5543" s="10" t="s">
        <v>32512</v>
      </c>
      <c r="S5543" s="11"/>
      <c r="T5543" s="6"/>
      <c r="U5543" s="24" t="str">
        <f>HYPERLINK("https://media.infra-m.ru/2126/2126799/cover/2126799.jpg", "Обложка")</f>
        <v>Обложка</v>
      </c>
      <c r="V5543" s="24" t="str">
        <f>HYPERLINK("https://znanium.ru/catalog/product/2126799", "Ознакомиться")</f>
        <v>Ознакомиться</v>
      </c>
      <c r="W5543" s="8" t="s">
        <v>2216</v>
      </c>
      <c r="X5543" s="6"/>
      <c r="Y5543" s="6"/>
      <c r="Z5543" s="6"/>
      <c r="AA5543" s="6" t="s">
        <v>442</v>
      </c>
      <c r="AB5543" s="8"/>
    </row>
    <row r="5544" spans="1:28" s="4" customFormat="1" ht="51.95" customHeight="1">
      <c r="A5544" s="5">
        <v>0</v>
      </c>
      <c r="B5544" s="6" t="s">
        <v>32513</v>
      </c>
      <c r="C5544" s="7">
        <v>824</v>
      </c>
      <c r="D5544" s="8" t="s">
        <v>32514</v>
      </c>
      <c r="E5544" s="8" t="s">
        <v>32515</v>
      </c>
      <c r="F5544" s="8" t="s">
        <v>32516</v>
      </c>
      <c r="G5544" s="6" t="s">
        <v>52</v>
      </c>
      <c r="H5544" s="6" t="s">
        <v>53</v>
      </c>
      <c r="I5544" s="8" t="s">
        <v>21694</v>
      </c>
      <c r="J5544" s="9">
        <v>1</v>
      </c>
      <c r="K5544" s="9">
        <v>159</v>
      </c>
      <c r="L5544" s="9">
        <v>2025</v>
      </c>
      <c r="M5544" s="8" t="s">
        <v>32517</v>
      </c>
      <c r="N5544" s="8" t="s">
        <v>413</v>
      </c>
      <c r="O5544" s="8" t="s">
        <v>414</v>
      </c>
      <c r="P5544" s="6" t="s">
        <v>43</v>
      </c>
      <c r="Q5544" s="8" t="s">
        <v>44</v>
      </c>
      <c r="R5544" s="10" t="s">
        <v>32518</v>
      </c>
      <c r="S5544" s="11" t="s">
        <v>32519</v>
      </c>
      <c r="T5544" s="6"/>
      <c r="U5544" s="24" t="str">
        <f>HYPERLINK("https://media.infra-m.ru/2197/2197805/cover/2197805.jpg", "Обложка")</f>
        <v>Обложка</v>
      </c>
      <c r="V5544" s="24" t="str">
        <f>HYPERLINK("https://znanium.ru/catalog/product/2128025", "Ознакомиться")</f>
        <v>Ознакомиться</v>
      </c>
      <c r="W5544" s="8" t="s">
        <v>716</v>
      </c>
      <c r="X5544" s="6"/>
      <c r="Y5544" s="6"/>
      <c r="Z5544" s="6"/>
      <c r="AA5544" s="6" t="s">
        <v>207</v>
      </c>
      <c r="AB5544" s="8"/>
    </row>
    <row r="5545" spans="1:28" s="4" customFormat="1" ht="51.95" customHeight="1">
      <c r="A5545" s="5">
        <v>0</v>
      </c>
      <c r="B5545" s="6" t="s">
        <v>32520</v>
      </c>
      <c r="C5545" s="7">
        <v>920</v>
      </c>
      <c r="D5545" s="8" t="s">
        <v>32521</v>
      </c>
      <c r="E5545" s="8" t="s">
        <v>32522</v>
      </c>
      <c r="F5545" s="8" t="s">
        <v>5835</v>
      </c>
      <c r="G5545" s="6" t="s">
        <v>89</v>
      </c>
      <c r="H5545" s="6" t="s">
        <v>53</v>
      </c>
      <c r="I5545" s="8" t="s">
        <v>116</v>
      </c>
      <c r="J5545" s="9">
        <v>1</v>
      </c>
      <c r="K5545" s="9">
        <v>192</v>
      </c>
      <c r="L5545" s="9">
        <v>2024</v>
      </c>
      <c r="M5545" s="8" t="s">
        <v>32523</v>
      </c>
      <c r="N5545" s="8" t="s">
        <v>41</v>
      </c>
      <c r="O5545" s="8" t="s">
        <v>118</v>
      </c>
      <c r="P5545" s="6" t="s">
        <v>43</v>
      </c>
      <c r="Q5545" s="8" t="s">
        <v>44</v>
      </c>
      <c r="R5545" s="10" t="s">
        <v>1900</v>
      </c>
      <c r="S5545" s="11" t="s">
        <v>32524</v>
      </c>
      <c r="T5545" s="6"/>
      <c r="U5545" s="24" t="str">
        <f>HYPERLINK("https://media.infra-m.ru/2134/2134344/cover/2134344.jpg", "Обложка")</f>
        <v>Обложка</v>
      </c>
      <c r="V5545" s="24" t="str">
        <f>HYPERLINK("https://znanium.ru/catalog/product/2134344", "Ознакомиться")</f>
        <v>Ознакомиться</v>
      </c>
      <c r="W5545" s="8" t="s">
        <v>2059</v>
      </c>
      <c r="X5545" s="6"/>
      <c r="Y5545" s="6"/>
      <c r="Z5545" s="6"/>
      <c r="AA5545" s="6" t="s">
        <v>72</v>
      </c>
      <c r="AB5545" s="8"/>
    </row>
    <row r="5546" spans="1:28" s="4" customFormat="1" ht="51.95" customHeight="1">
      <c r="A5546" s="5">
        <v>0</v>
      </c>
      <c r="B5546" s="6" t="s">
        <v>32525</v>
      </c>
      <c r="C5546" s="7">
        <v>960</v>
      </c>
      <c r="D5546" s="8" t="s">
        <v>32526</v>
      </c>
      <c r="E5546" s="8" t="s">
        <v>32527</v>
      </c>
      <c r="F5546" s="8" t="s">
        <v>32528</v>
      </c>
      <c r="G5546" s="6" t="s">
        <v>89</v>
      </c>
      <c r="H5546" s="6" t="s">
        <v>53</v>
      </c>
      <c r="I5546" s="8" t="s">
        <v>100</v>
      </c>
      <c r="J5546" s="9">
        <v>1</v>
      </c>
      <c r="K5546" s="9">
        <v>202</v>
      </c>
      <c r="L5546" s="9">
        <v>2024</v>
      </c>
      <c r="M5546" s="8" t="s">
        <v>32529</v>
      </c>
      <c r="N5546" s="8" t="s">
        <v>997</v>
      </c>
      <c r="O5546" s="8" t="s">
        <v>998</v>
      </c>
      <c r="P5546" s="6" t="s">
        <v>175</v>
      </c>
      <c r="Q5546" s="8" t="s">
        <v>102</v>
      </c>
      <c r="R5546" s="10" t="s">
        <v>32530</v>
      </c>
      <c r="S5546" s="11" t="s">
        <v>32531</v>
      </c>
      <c r="T5546" s="6"/>
      <c r="U5546" s="24" t="str">
        <f>HYPERLINK("https://media.infra-m.ru/2102/2102670/cover/2102670.jpg", "Обложка")</f>
        <v>Обложка</v>
      </c>
      <c r="V5546" s="24" t="str">
        <f>HYPERLINK("https://znanium.ru/catalog/product/2102670", "Ознакомиться")</f>
        <v>Ознакомиться</v>
      </c>
      <c r="W5546" s="8" t="s">
        <v>94</v>
      </c>
      <c r="X5546" s="6"/>
      <c r="Y5546" s="6"/>
      <c r="Z5546" s="6" t="s">
        <v>104</v>
      </c>
      <c r="AA5546" s="6" t="s">
        <v>793</v>
      </c>
      <c r="AB5546" s="8"/>
    </row>
    <row r="5547" spans="1:28" s="4" customFormat="1" ht="44.1" customHeight="1">
      <c r="A5547" s="5">
        <v>0</v>
      </c>
      <c r="B5547" s="6" t="s">
        <v>32532</v>
      </c>
      <c r="C5547" s="7">
        <v>910</v>
      </c>
      <c r="D5547" s="8" t="s">
        <v>32533</v>
      </c>
      <c r="E5547" s="8" t="s">
        <v>32527</v>
      </c>
      <c r="F5547" s="8" t="s">
        <v>32528</v>
      </c>
      <c r="G5547" s="6" t="s">
        <v>89</v>
      </c>
      <c r="H5547" s="6" t="s">
        <v>53</v>
      </c>
      <c r="I5547" s="8" t="s">
        <v>4767</v>
      </c>
      <c r="J5547" s="9">
        <v>1</v>
      </c>
      <c r="K5547" s="9">
        <v>202</v>
      </c>
      <c r="L5547" s="9">
        <v>2023</v>
      </c>
      <c r="M5547" s="8" t="s">
        <v>32534</v>
      </c>
      <c r="N5547" s="8" t="s">
        <v>997</v>
      </c>
      <c r="O5547" s="8" t="s">
        <v>998</v>
      </c>
      <c r="P5547" s="6" t="s">
        <v>175</v>
      </c>
      <c r="Q5547" s="8" t="s">
        <v>44</v>
      </c>
      <c r="R5547" s="10" t="s">
        <v>32535</v>
      </c>
      <c r="S5547" s="11"/>
      <c r="T5547" s="6"/>
      <c r="U5547" s="24" t="str">
        <f>HYPERLINK("https://media.infra-m.ru/1920/1920314/cover/1920314.jpg", "Обложка")</f>
        <v>Обложка</v>
      </c>
      <c r="V5547" s="24" t="str">
        <f>HYPERLINK("https://znanium.ru/catalog/product/1920314", "Ознакомиться")</f>
        <v>Ознакомиться</v>
      </c>
      <c r="W5547" s="8" t="s">
        <v>94</v>
      </c>
      <c r="X5547" s="6"/>
      <c r="Y5547" s="6"/>
      <c r="Z5547" s="6"/>
      <c r="AA5547" s="6" t="s">
        <v>258</v>
      </c>
      <c r="AB5547" s="8"/>
    </row>
    <row r="5548" spans="1:28" s="4" customFormat="1" ht="42" customHeight="1">
      <c r="A5548" s="5">
        <v>0</v>
      </c>
      <c r="B5548" s="6" t="s">
        <v>32536</v>
      </c>
      <c r="C5548" s="13">
        <v>2134</v>
      </c>
      <c r="D5548" s="8" t="s">
        <v>32537</v>
      </c>
      <c r="E5548" s="8" t="s">
        <v>32538</v>
      </c>
      <c r="F5548" s="8" t="s">
        <v>32539</v>
      </c>
      <c r="G5548" s="6" t="s">
        <v>52</v>
      </c>
      <c r="H5548" s="6" t="s">
        <v>66</v>
      </c>
      <c r="I5548" s="8" t="s">
        <v>100</v>
      </c>
      <c r="J5548" s="9">
        <v>1</v>
      </c>
      <c r="K5548" s="9">
        <v>464</v>
      </c>
      <c r="L5548" s="9">
        <v>2024</v>
      </c>
      <c r="M5548" s="8" t="s">
        <v>32540</v>
      </c>
      <c r="N5548" s="8" t="s">
        <v>56</v>
      </c>
      <c r="O5548" s="8" t="s">
        <v>57</v>
      </c>
      <c r="P5548" s="6" t="s">
        <v>43</v>
      </c>
      <c r="Q5548" s="8" t="s">
        <v>102</v>
      </c>
      <c r="R5548" s="10" t="s">
        <v>32541</v>
      </c>
      <c r="S5548" s="11"/>
      <c r="T5548" s="6"/>
      <c r="U5548" s="24" t="str">
        <f>HYPERLINK("https://media.infra-m.ru/2112/2112879/cover/2112879.jpg", "Обложка")</f>
        <v>Обложка</v>
      </c>
      <c r="V5548" s="24" t="str">
        <f>HYPERLINK("https://znanium.ru/catalog/product/1230037", "Ознакомиться")</f>
        <v>Ознакомиться</v>
      </c>
      <c r="W5548" s="8" t="s">
        <v>71</v>
      </c>
      <c r="X5548" s="6"/>
      <c r="Y5548" s="6"/>
      <c r="Z5548" s="6"/>
      <c r="AA5548" s="6" t="s">
        <v>122</v>
      </c>
      <c r="AB5548" s="8"/>
    </row>
    <row r="5549" spans="1:28" s="4" customFormat="1" ht="42" customHeight="1">
      <c r="A5549" s="5">
        <v>0</v>
      </c>
      <c r="B5549" s="6" t="s">
        <v>32542</v>
      </c>
      <c r="C5549" s="7">
        <v>420</v>
      </c>
      <c r="D5549" s="8" t="s">
        <v>32543</v>
      </c>
      <c r="E5549" s="8" t="s">
        <v>32544</v>
      </c>
      <c r="F5549" s="8" t="s">
        <v>6633</v>
      </c>
      <c r="G5549" s="6" t="s">
        <v>89</v>
      </c>
      <c r="H5549" s="6" t="s">
        <v>53</v>
      </c>
      <c r="I5549" s="8" t="s">
        <v>6634</v>
      </c>
      <c r="J5549" s="9">
        <v>1</v>
      </c>
      <c r="K5549" s="9">
        <v>246</v>
      </c>
      <c r="L5549" s="9">
        <v>2025</v>
      </c>
      <c r="M5549" s="8" t="s">
        <v>32545</v>
      </c>
      <c r="N5549" s="8" t="s">
        <v>41</v>
      </c>
      <c r="O5549" s="8" t="s">
        <v>129</v>
      </c>
      <c r="P5549" s="6" t="s">
        <v>6636</v>
      </c>
      <c r="Q5549" s="8" t="s">
        <v>58</v>
      </c>
      <c r="R5549" s="10" t="s">
        <v>6637</v>
      </c>
      <c r="S5549" s="11"/>
      <c r="T5549" s="6"/>
      <c r="U5549" s="24" t="str">
        <f>HYPERLINK("https://media.infra-m.ru/2177/2177809/cover/2177809.jpg", "Обложка")</f>
        <v>Обложка</v>
      </c>
      <c r="V5549" s="24" t="str">
        <f>HYPERLINK("https://znanium.ru/catalog/product/2177809", "Ознакомиться")</f>
        <v>Ознакомиться</v>
      </c>
      <c r="W5549" s="8"/>
      <c r="X5549" s="6"/>
      <c r="Y5549" s="6"/>
      <c r="Z5549" s="6"/>
      <c r="AA5549" s="6" t="s">
        <v>105</v>
      </c>
      <c r="AB5549" s="8"/>
    </row>
    <row r="5550" spans="1:28" s="4" customFormat="1" ht="42" customHeight="1">
      <c r="A5550" s="5">
        <v>0</v>
      </c>
      <c r="B5550" s="6" t="s">
        <v>32546</v>
      </c>
      <c r="C5550" s="7">
        <v>410</v>
      </c>
      <c r="D5550" s="8" t="s">
        <v>32547</v>
      </c>
      <c r="E5550" s="8" t="s">
        <v>32548</v>
      </c>
      <c r="F5550" s="8" t="s">
        <v>6633</v>
      </c>
      <c r="G5550" s="6" t="s">
        <v>89</v>
      </c>
      <c r="H5550" s="6" t="s">
        <v>53</v>
      </c>
      <c r="I5550" s="8" t="s">
        <v>6634</v>
      </c>
      <c r="J5550" s="9">
        <v>1</v>
      </c>
      <c r="K5550" s="9">
        <v>246</v>
      </c>
      <c r="L5550" s="9">
        <v>2024</v>
      </c>
      <c r="M5550" s="8" t="s">
        <v>32549</v>
      </c>
      <c r="N5550" s="8" t="s">
        <v>41</v>
      </c>
      <c r="O5550" s="8" t="s">
        <v>129</v>
      </c>
      <c r="P5550" s="6" t="s">
        <v>6636</v>
      </c>
      <c r="Q5550" s="8" t="s">
        <v>58</v>
      </c>
      <c r="R5550" s="10" t="s">
        <v>6637</v>
      </c>
      <c r="S5550" s="11"/>
      <c r="T5550" s="6"/>
      <c r="U5550" s="24" t="str">
        <f>HYPERLINK("https://media.infra-m.ru/2130/2130735/cover/2130735.jpg", "Обложка")</f>
        <v>Обложка</v>
      </c>
      <c r="V5550" s="24" t="str">
        <f>HYPERLINK("https://znanium.ru/catalog/product/2177809", "Ознакомиться")</f>
        <v>Ознакомиться</v>
      </c>
      <c r="W5550" s="8"/>
      <c r="X5550" s="6"/>
      <c r="Y5550" s="6"/>
      <c r="Z5550" s="6"/>
      <c r="AA5550" s="6" t="s">
        <v>207</v>
      </c>
      <c r="AB5550" s="8"/>
    </row>
    <row r="5551" spans="1:28" s="4" customFormat="1" ht="42" customHeight="1">
      <c r="A5551" s="5">
        <v>0</v>
      </c>
      <c r="B5551" s="6" t="s">
        <v>32550</v>
      </c>
      <c r="C5551" s="7">
        <v>470</v>
      </c>
      <c r="D5551" s="8" t="s">
        <v>32551</v>
      </c>
      <c r="E5551" s="8" t="s">
        <v>32552</v>
      </c>
      <c r="F5551" s="8" t="s">
        <v>6633</v>
      </c>
      <c r="G5551" s="6" t="s">
        <v>89</v>
      </c>
      <c r="H5551" s="6" t="s">
        <v>53</v>
      </c>
      <c r="I5551" s="8" t="s">
        <v>6634</v>
      </c>
      <c r="J5551" s="9">
        <v>1</v>
      </c>
      <c r="K5551" s="9">
        <v>183</v>
      </c>
      <c r="L5551" s="9">
        <v>2025</v>
      </c>
      <c r="M5551" s="8" t="s">
        <v>32553</v>
      </c>
      <c r="N5551" s="8" t="s">
        <v>41</v>
      </c>
      <c r="O5551" s="8" t="s">
        <v>129</v>
      </c>
      <c r="P5551" s="6" t="s">
        <v>6636</v>
      </c>
      <c r="Q5551" s="8" t="s">
        <v>58</v>
      </c>
      <c r="R5551" s="10" t="s">
        <v>6637</v>
      </c>
      <c r="S5551" s="11"/>
      <c r="T5551" s="6"/>
      <c r="U5551" s="24" t="str">
        <f>HYPERLINK("https://media.infra-m.ru/2160/2160669/cover/2160669.jpg", "Обложка")</f>
        <v>Обложка</v>
      </c>
      <c r="V5551" s="24" t="str">
        <f>HYPERLINK("https://znanium.ru/catalog/product/2160669", "Ознакомиться")</f>
        <v>Ознакомиться</v>
      </c>
      <c r="W5551" s="8"/>
      <c r="X5551" s="6" t="s">
        <v>1476</v>
      </c>
      <c r="Y5551" s="6"/>
      <c r="Z5551" s="6"/>
      <c r="AA5551" s="6" t="s">
        <v>549</v>
      </c>
      <c r="AB5551" s="8"/>
    </row>
    <row r="5552" spans="1:28" s="4" customFormat="1" ht="42" customHeight="1">
      <c r="A5552" s="5">
        <v>0</v>
      </c>
      <c r="B5552" s="6" t="s">
        <v>32554</v>
      </c>
      <c r="C5552" s="7">
        <v>354</v>
      </c>
      <c r="D5552" s="8" t="s">
        <v>32555</v>
      </c>
      <c r="E5552" s="8" t="s">
        <v>32556</v>
      </c>
      <c r="F5552" s="8" t="s">
        <v>6633</v>
      </c>
      <c r="G5552" s="6" t="s">
        <v>89</v>
      </c>
      <c r="H5552" s="6" t="s">
        <v>53</v>
      </c>
      <c r="I5552" s="8" t="s">
        <v>6634</v>
      </c>
      <c r="J5552" s="9">
        <v>1</v>
      </c>
      <c r="K5552" s="9">
        <v>182</v>
      </c>
      <c r="L5552" s="9">
        <v>2023</v>
      </c>
      <c r="M5552" s="8" t="s">
        <v>32557</v>
      </c>
      <c r="N5552" s="8" t="s">
        <v>41</v>
      </c>
      <c r="O5552" s="8" t="s">
        <v>129</v>
      </c>
      <c r="P5552" s="6" t="s">
        <v>6636</v>
      </c>
      <c r="Q5552" s="8" t="s">
        <v>58</v>
      </c>
      <c r="R5552" s="10" t="s">
        <v>6637</v>
      </c>
      <c r="S5552" s="11"/>
      <c r="T5552" s="6"/>
      <c r="U5552" s="24" t="str">
        <f>HYPERLINK("https://media.infra-m.ru/2139/2139433/cover/2139433.jpg", "Обложка")</f>
        <v>Обложка</v>
      </c>
      <c r="V5552" s="24" t="str">
        <f>HYPERLINK("https://znanium.ru/catalog/product/2160669", "Ознакомиться")</f>
        <v>Ознакомиться</v>
      </c>
      <c r="W5552" s="8"/>
      <c r="X5552" s="6"/>
      <c r="Y5552" s="6"/>
      <c r="Z5552" s="6"/>
      <c r="AA5552" s="6" t="s">
        <v>207</v>
      </c>
      <c r="AB5552" s="8"/>
    </row>
    <row r="5553" spans="1:28" s="4" customFormat="1" ht="44.1" customHeight="1">
      <c r="A5553" s="5">
        <v>0</v>
      </c>
      <c r="B5553" s="6" t="s">
        <v>32558</v>
      </c>
      <c r="C5553" s="7">
        <v>910</v>
      </c>
      <c r="D5553" s="8" t="s">
        <v>32559</v>
      </c>
      <c r="E5553" s="8" t="s">
        <v>32560</v>
      </c>
      <c r="F5553" s="8" t="s">
        <v>32561</v>
      </c>
      <c r="G5553" s="6" t="s">
        <v>52</v>
      </c>
      <c r="H5553" s="6" t="s">
        <v>53</v>
      </c>
      <c r="I5553" s="8" t="s">
        <v>116</v>
      </c>
      <c r="J5553" s="9">
        <v>1</v>
      </c>
      <c r="K5553" s="9">
        <v>182</v>
      </c>
      <c r="L5553" s="9">
        <v>2024</v>
      </c>
      <c r="M5553" s="8" t="s">
        <v>32562</v>
      </c>
      <c r="N5553" s="8" t="s">
        <v>79</v>
      </c>
      <c r="O5553" s="8" t="s">
        <v>396</v>
      </c>
      <c r="P5553" s="6" t="s">
        <v>43</v>
      </c>
      <c r="Q5553" s="8" t="s">
        <v>44</v>
      </c>
      <c r="R5553" s="10" t="s">
        <v>32563</v>
      </c>
      <c r="S5553" s="11"/>
      <c r="T5553" s="6"/>
      <c r="U5553" s="24" t="str">
        <f>HYPERLINK("https://media.infra-m.ru/1911/1911604/cover/1911604.jpg", "Обложка")</f>
        <v>Обложка</v>
      </c>
      <c r="V5553" s="24" t="str">
        <f>HYPERLINK("https://znanium.ru/catalog/product/1911604", "Ознакомиться")</f>
        <v>Ознакомиться</v>
      </c>
      <c r="W5553" s="8" t="s">
        <v>9885</v>
      </c>
      <c r="X5553" s="6"/>
      <c r="Y5553" s="6"/>
      <c r="Z5553" s="6"/>
      <c r="AA5553" s="6" t="s">
        <v>133</v>
      </c>
      <c r="AB5553" s="8"/>
    </row>
    <row r="5554" spans="1:28" s="4" customFormat="1" ht="51.95" customHeight="1">
      <c r="A5554" s="5">
        <v>0</v>
      </c>
      <c r="B5554" s="6" t="s">
        <v>32564</v>
      </c>
      <c r="C5554" s="13">
        <v>1584.9</v>
      </c>
      <c r="D5554" s="8" t="s">
        <v>32565</v>
      </c>
      <c r="E5554" s="8" t="s">
        <v>32566</v>
      </c>
      <c r="F5554" s="8" t="s">
        <v>32567</v>
      </c>
      <c r="G5554" s="6" t="s">
        <v>89</v>
      </c>
      <c r="H5554" s="6" t="s">
        <v>53</v>
      </c>
      <c r="I5554" s="8" t="s">
        <v>6796</v>
      </c>
      <c r="J5554" s="9">
        <v>1</v>
      </c>
      <c r="K5554" s="9">
        <v>352</v>
      </c>
      <c r="L5554" s="9">
        <v>2023</v>
      </c>
      <c r="M5554" s="8" t="s">
        <v>32568</v>
      </c>
      <c r="N5554" s="8" t="s">
        <v>79</v>
      </c>
      <c r="O5554" s="8" t="s">
        <v>537</v>
      </c>
      <c r="P5554" s="6" t="s">
        <v>43</v>
      </c>
      <c r="Q5554" s="8" t="s">
        <v>279</v>
      </c>
      <c r="R5554" s="10" t="s">
        <v>32569</v>
      </c>
      <c r="S5554" s="11" t="s">
        <v>32570</v>
      </c>
      <c r="T5554" s="6"/>
      <c r="U5554" s="24" t="str">
        <f>HYPERLINK("https://media.infra-m.ru/2006/2006826/cover/2006826.jpg", "Обложка")</f>
        <v>Обложка</v>
      </c>
      <c r="V5554" s="12"/>
      <c r="W5554" s="8" t="s">
        <v>784</v>
      </c>
      <c r="X5554" s="6"/>
      <c r="Y5554" s="6"/>
      <c r="Z5554" s="6"/>
      <c r="AA5554" s="6" t="s">
        <v>442</v>
      </c>
      <c r="AB5554" s="8"/>
    </row>
    <row r="5555" spans="1:28" s="4" customFormat="1" ht="51.95" customHeight="1">
      <c r="A5555" s="5">
        <v>0</v>
      </c>
      <c r="B5555" s="6" t="s">
        <v>32571</v>
      </c>
      <c r="C5555" s="13">
        <v>2554</v>
      </c>
      <c r="D5555" s="8" t="s">
        <v>32572</v>
      </c>
      <c r="E5555" s="8" t="s">
        <v>32573</v>
      </c>
      <c r="F5555" s="8" t="s">
        <v>32574</v>
      </c>
      <c r="G5555" s="6" t="s">
        <v>89</v>
      </c>
      <c r="H5555" s="6" t="s">
        <v>53</v>
      </c>
      <c r="I5555" s="8" t="s">
        <v>1868</v>
      </c>
      <c r="J5555" s="9">
        <v>1</v>
      </c>
      <c r="K5555" s="9">
        <v>492</v>
      </c>
      <c r="L5555" s="9">
        <v>2025</v>
      </c>
      <c r="M5555" s="8" t="s">
        <v>32575</v>
      </c>
      <c r="N5555" s="8" t="s">
        <v>79</v>
      </c>
      <c r="O5555" s="8" t="s">
        <v>537</v>
      </c>
      <c r="P5555" s="6" t="s">
        <v>167</v>
      </c>
      <c r="Q5555" s="8" t="s">
        <v>214</v>
      </c>
      <c r="R5555" s="10" t="s">
        <v>1870</v>
      </c>
      <c r="S5555" s="11" t="s">
        <v>24508</v>
      </c>
      <c r="T5555" s="6"/>
      <c r="U5555" s="24" t="str">
        <f>HYPERLINK("https://media.infra-m.ru/2165/2165057/cover/2165057.jpg", "Обложка")</f>
        <v>Обложка</v>
      </c>
      <c r="V5555" s="12"/>
      <c r="W5555" s="8" t="s">
        <v>784</v>
      </c>
      <c r="X5555" s="6"/>
      <c r="Y5555" s="6"/>
      <c r="Z5555" s="6"/>
      <c r="AA5555" s="6" t="s">
        <v>442</v>
      </c>
      <c r="AB5555" s="8"/>
    </row>
    <row r="5556" spans="1:28" s="4" customFormat="1" ht="51.95" customHeight="1">
      <c r="A5556" s="5">
        <v>0</v>
      </c>
      <c r="B5556" s="6" t="s">
        <v>32576</v>
      </c>
      <c r="C5556" s="13">
        <v>1004</v>
      </c>
      <c r="D5556" s="8" t="s">
        <v>32577</v>
      </c>
      <c r="E5556" s="8" t="s">
        <v>32578</v>
      </c>
      <c r="F5556" s="8" t="s">
        <v>32579</v>
      </c>
      <c r="G5556" s="6" t="s">
        <v>38</v>
      </c>
      <c r="H5556" s="6" t="s">
        <v>649</v>
      </c>
      <c r="I5556" s="8" t="s">
        <v>185</v>
      </c>
      <c r="J5556" s="9">
        <v>1</v>
      </c>
      <c r="K5556" s="9">
        <v>192</v>
      </c>
      <c r="L5556" s="9">
        <v>2025</v>
      </c>
      <c r="M5556" s="8" t="s">
        <v>32580</v>
      </c>
      <c r="N5556" s="8" t="s">
        <v>79</v>
      </c>
      <c r="O5556" s="8" t="s">
        <v>570</v>
      </c>
      <c r="P5556" s="6" t="s">
        <v>43</v>
      </c>
      <c r="Q5556" s="8" t="s">
        <v>102</v>
      </c>
      <c r="R5556" s="10" t="s">
        <v>6520</v>
      </c>
      <c r="S5556" s="11" t="s">
        <v>32581</v>
      </c>
      <c r="T5556" s="6"/>
      <c r="U5556" s="24" t="str">
        <f>HYPERLINK("https://media.infra-m.ru/2178/2178341/cover/2178341.jpg", "Обложка")</f>
        <v>Обложка</v>
      </c>
      <c r="V5556" s="24" t="str">
        <f>HYPERLINK("https://znanium.ru/catalog/product/2178193", "Ознакомиться")</f>
        <v>Ознакомиться</v>
      </c>
      <c r="W5556" s="8" t="s">
        <v>662</v>
      </c>
      <c r="X5556" s="6"/>
      <c r="Y5556" s="6"/>
      <c r="Z5556" s="6"/>
      <c r="AA5556" s="6" t="s">
        <v>72</v>
      </c>
      <c r="AB5556" s="8"/>
    </row>
    <row r="5557" spans="1:28" s="4" customFormat="1" ht="51.95" customHeight="1">
      <c r="A5557" s="5">
        <v>0</v>
      </c>
      <c r="B5557" s="6" t="s">
        <v>32582</v>
      </c>
      <c r="C5557" s="13">
        <v>3232</v>
      </c>
      <c r="D5557" s="8" t="s">
        <v>32583</v>
      </c>
      <c r="E5557" s="8" t="s">
        <v>32584</v>
      </c>
      <c r="F5557" s="8" t="s">
        <v>32585</v>
      </c>
      <c r="G5557" s="6" t="s">
        <v>52</v>
      </c>
      <c r="H5557" s="6" t="s">
        <v>649</v>
      </c>
      <c r="I5557" s="8" t="s">
        <v>100</v>
      </c>
      <c r="J5557" s="9">
        <v>1</v>
      </c>
      <c r="K5557" s="9">
        <v>496</v>
      </c>
      <c r="L5557" s="9">
        <v>2025</v>
      </c>
      <c r="M5557" s="8" t="s">
        <v>32586</v>
      </c>
      <c r="N5557" s="8" t="s">
        <v>79</v>
      </c>
      <c r="O5557" s="8" t="s">
        <v>570</v>
      </c>
      <c r="P5557" s="6" t="s">
        <v>43</v>
      </c>
      <c r="Q5557" s="8" t="s">
        <v>102</v>
      </c>
      <c r="R5557" s="10" t="s">
        <v>32587</v>
      </c>
      <c r="S5557" s="11" t="s">
        <v>3081</v>
      </c>
      <c r="T5557" s="6"/>
      <c r="U5557" s="24" t="str">
        <f>HYPERLINK("https://media.infra-m.ru/2184/2184044/cover/2184044.jpg", "Обложка")</f>
        <v>Обложка</v>
      </c>
      <c r="V5557" s="24" t="str">
        <f>HYPERLINK("https://znanium.ru/catalog/product/2184044", "Ознакомиться")</f>
        <v>Ознакомиться</v>
      </c>
      <c r="W5557" s="8" t="s">
        <v>662</v>
      </c>
      <c r="X5557" s="6"/>
      <c r="Y5557" s="6"/>
      <c r="Z5557" s="6"/>
      <c r="AA5557" s="6" t="s">
        <v>555</v>
      </c>
      <c r="AB5557" s="8"/>
    </row>
    <row r="5558" spans="1:28" s="4" customFormat="1" ht="51.95" customHeight="1">
      <c r="A5558" s="5">
        <v>0</v>
      </c>
      <c r="B5558" s="6" t="s">
        <v>32588</v>
      </c>
      <c r="C5558" s="13">
        <v>1942</v>
      </c>
      <c r="D5558" s="8" t="s">
        <v>32589</v>
      </c>
      <c r="E5558" s="8" t="s">
        <v>32590</v>
      </c>
      <c r="F5558" s="8" t="s">
        <v>32591</v>
      </c>
      <c r="G5558" s="6" t="s">
        <v>89</v>
      </c>
      <c r="H5558" s="6" t="s">
        <v>53</v>
      </c>
      <c r="I5558" s="8"/>
      <c r="J5558" s="9">
        <v>1</v>
      </c>
      <c r="K5558" s="9">
        <v>286</v>
      </c>
      <c r="L5558" s="9">
        <v>2025</v>
      </c>
      <c r="M5558" s="8" t="s">
        <v>32592</v>
      </c>
      <c r="N5558" s="8" t="s">
        <v>79</v>
      </c>
      <c r="O5558" s="8" t="s">
        <v>570</v>
      </c>
      <c r="P5558" s="6" t="s">
        <v>43</v>
      </c>
      <c r="Q5558" s="8" t="s">
        <v>102</v>
      </c>
      <c r="R5558" s="10" t="s">
        <v>32593</v>
      </c>
      <c r="S5558" s="11" t="s">
        <v>3081</v>
      </c>
      <c r="T5558" s="6"/>
      <c r="U5558" s="24" t="str">
        <f>HYPERLINK("https://media.infra-m.ru/2184/2184931/cover/2184931.jpg", "Обложка")</f>
        <v>Обложка</v>
      </c>
      <c r="V5558" s="24" t="str">
        <f>HYPERLINK("https://znanium.ru/catalog/product/2184931", "Ознакомиться")</f>
        <v>Ознакомиться</v>
      </c>
      <c r="W5558" s="8" t="s">
        <v>28100</v>
      </c>
      <c r="X5558" s="6"/>
      <c r="Y5558" s="6"/>
      <c r="Z5558" s="6"/>
      <c r="AA5558" s="6" t="s">
        <v>3065</v>
      </c>
      <c r="AB5558" s="8"/>
    </row>
    <row r="5559" spans="1:28" s="4" customFormat="1" ht="42" customHeight="1">
      <c r="A5559" s="5">
        <v>0</v>
      </c>
      <c r="B5559" s="6" t="s">
        <v>32594</v>
      </c>
      <c r="C5559" s="13">
        <v>1584</v>
      </c>
      <c r="D5559" s="8" t="s">
        <v>32595</v>
      </c>
      <c r="E5559" s="8" t="s">
        <v>32596</v>
      </c>
      <c r="F5559" s="8" t="s">
        <v>32597</v>
      </c>
      <c r="G5559" s="6" t="s">
        <v>89</v>
      </c>
      <c r="H5559" s="6" t="s">
        <v>53</v>
      </c>
      <c r="I5559" s="8" t="s">
        <v>560</v>
      </c>
      <c r="J5559" s="9">
        <v>1</v>
      </c>
      <c r="K5559" s="9">
        <v>335</v>
      </c>
      <c r="L5559" s="9">
        <v>2024</v>
      </c>
      <c r="M5559" s="8" t="s">
        <v>32598</v>
      </c>
      <c r="N5559" s="8" t="s">
        <v>41</v>
      </c>
      <c r="O5559" s="8" t="s">
        <v>129</v>
      </c>
      <c r="P5559" s="6" t="s">
        <v>167</v>
      </c>
      <c r="Q5559" s="8" t="s">
        <v>58</v>
      </c>
      <c r="R5559" s="10" t="s">
        <v>4788</v>
      </c>
      <c r="S5559" s="11"/>
      <c r="T5559" s="6"/>
      <c r="U5559" s="24" t="str">
        <f>HYPERLINK("https://media.infra-m.ru/2134/2134105/cover/2134105.jpg", "Обложка")</f>
        <v>Обложка</v>
      </c>
      <c r="V5559" s="24" t="str">
        <f>HYPERLINK("https://znanium.ru/catalog/product/1902894", "Ознакомиться")</f>
        <v>Ознакомиться</v>
      </c>
      <c r="W5559" s="8" t="s">
        <v>564</v>
      </c>
      <c r="X5559" s="6"/>
      <c r="Y5559" s="6"/>
      <c r="Z5559" s="6"/>
      <c r="AA5559" s="6" t="s">
        <v>207</v>
      </c>
      <c r="AB5559" s="8"/>
    </row>
    <row r="5560" spans="1:28" s="4" customFormat="1" ht="42" customHeight="1">
      <c r="A5560" s="5">
        <v>0</v>
      </c>
      <c r="B5560" s="6" t="s">
        <v>32599</v>
      </c>
      <c r="C5560" s="13">
        <v>1450</v>
      </c>
      <c r="D5560" s="8" t="s">
        <v>32600</v>
      </c>
      <c r="E5560" s="8" t="s">
        <v>32601</v>
      </c>
      <c r="F5560" s="8" t="s">
        <v>32597</v>
      </c>
      <c r="G5560" s="6" t="s">
        <v>89</v>
      </c>
      <c r="H5560" s="6" t="s">
        <v>53</v>
      </c>
      <c r="I5560" s="8" t="s">
        <v>560</v>
      </c>
      <c r="J5560" s="9">
        <v>1</v>
      </c>
      <c r="K5560" s="9">
        <v>312</v>
      </c>
      <c r="L5560" s="9">
        <v>2023</v>
      </c>
      <c r="M5560" s="8" t="s">
        <v>32602</v>
      </c>
      <c r="N5560" s="8" t="s">
        <v>41</v>
      </c>
      <c r="O5560" s="8" t="s">
        <v>129</v>
      </c>
      <c r="P5560" s="6" t="s">
        <v>167</v>
      </c>
      <c r="Q5560" s="8" t="s">
        <v>58</v>
      </c>
      <c r="R5560" s="10" t="s">
        <v>4788</v>
      </c>
      <c r="S5560" s="11"/>
      <c r="T5560" s="6"/>
      <c r="U5560" s="24" t="str">
        <f>HYPERLINK("https://media.infra-m.ru/2122/2122514/cover/2122514.jpg", "Обложка")</f>
        <v>Обложка</v>
      </c>
      <c r="V5560" s="24" t="str">
        <f>HYPERLINK("https://znanium.ru/catalog/product/1902895", "Ознакомиться")</f>
        <v>Ознакомиться</v>
      </c>
      <c r="W5560" s="8" t="s">
        <v>564</v>
      </c>
      <c r="X5560" s="6"/>
      <c r="Y5560" s="6"/>
      <c r="Z5560" s="6"/>
      <c r="AA5560" s="6" t="s">
        <v>207</v>
      </c>
      <c r="AB5560" s="8"/>
    </row>
    <row r="5561" spans="1:28" s="4" customFormat="1" ht="42" customHeight="1">
      <c r="A5561" s="5">
        <v>0</v>
      </c>
      <c r="B5561" s="6" t="s">
        <v>32603</v>
      </c>
      <c r="C5561" s="13">
        <v>1204</v>
      </c>
      <c r="D5561" s="8" t="s">
        <v>32604</v>
      </c>
      <c r="E5561" s="8" t="s">
        <v>32605</v>
      </c>
      <c r="F5561" s="8" t="s">
        <v>31187</v>
      </c>
      <c r="G5561" s="6" t="s">
        <v>89</v>
      </c>
      <c r="H5561" s="6" t="s">
        <v>53</v>
      </c>
      <c r="I5561" s="8" t="s">
        <v>127</v>
      </c>
      <c r="J5561" s="9">
        <v>1</v>
      </c>
      <c r="K5561" s="9">
        <v>232</v>
      </c>
      <c r="L5561" s="9">
        <v>2025</v>
      </c>
      <c r="M5561" s="8" t="s">
        <v>32606</v>
      </c>
      <c r="N5561" s="8" t="s">
        <v>41</v>
      </c>
      <c r="O5561" s="8" t="s">
        <v>129</v>
      </c>
      <c r="P5561" s="6" t="s">
        <v>43</v>
      </c>
      <c r="Q5561" s="8" t="s">
        <v>58</v>
      </c>
      <c r="R5561" s="10" t="s">
        <v>32607</v>
      </c>
      <c r="S5561" s="11"/>
      <c r="T5561" s="6"/>
      <c r="U5561" s="24" t="str">
        <f>HYPERLINK("https://media.infra-m.ru/2201/2201453/cover/2201453.jpg", "Обложка")</f>
        <v>Обложка</v>
      </c>
      <c r="V5561" s="24" t="str">
        <f>HYPERLINK("https://znanium.ru/catalog/product/1897627", "Ознакомиться")</f>
        <v>Ознакомиться</v>
      </c>
      <c r="W5561" s="8" t="s">
        <v>3605</v>
      </c>
      <c r="X5561" s="6"/>
      <c r="Y5561" s="6"/>
      <c r="Z5561" s="6"/>
      <c r="AA5561" s="6" t="s">
        <v>258</v>
      </c>
      <c r="AB5561" s="8" t="s">
        <v>840</v>
      </c>
    </row>
    <row r="5562" spans="1:28" s="4" customFormat="1" ht="51.95" customHeight="1">
      <c r="A5562" s="5">
        <v>0</v>
      </c>
      <c r="B5562" s="6" t="s">
        <v>32608</v>
      </c>
      <c r="C5562" s="13">
        <v>1484</v>
      </c>
      <c r="D5562" s="8" t="s">
        <v>32609</v>
      </c>
      <c r="E5562" s="8" t="s">
        <v>32610</v>
      </c>
      <c r="F5562" s="8" t="s">
        <v>32611</v>
      </c>
      <c r="G5562" s="6" t="s">
        <v>89</v>
      </c>
      <c r="H5562" s="6" t="s">
        <v>53</v>
      </c>
      <c r="I5562" s="8" t="s">
        <v>560</v>
      </c>
      <c r="J5562" s="9">
        <v>1</v>
      </c>
      <c r="K5562" s="9">
        <v>296</v>
      </c>
      <c r="L5562" s="9">
        <v>2025</v>
      </c>
      <c r="M5562" s="8" t="s">
        <v>32612</v>
      </c>
      <c r="N5562" s="8" t="s">
        <v>41</v>
      </c>
      <c r="O5562" s="8" t="s">
        <v>129</v>
      </c>
      <c r="P5562" s="6" t="s">
        <v>43</v>
      </c>
      <c r="Q5562" s="8" t="s">
        <v>58</v>
      </c>
      <c r="R5562" s="10" t="s">
        <v>32613</v>
      </c>
      <c r="S5562" s="11" t="s">
        <v>32614</v>
      </c>
      <c r="T5562" s="6"/>
      <c r="U5562" s="24" t="str">
        <f>HYPERLINK("https://media.infra-m.ru/2188/2188409/cover/2188409.jpg", "Обложка")</f>
        <v>Обложка</v>
      </c>
      <c r="V5562" s="24" t="str">
        <f>HYPERLINK("https://znanium.ru/catalog/product/2187296", "Ознакомиться")</f>
        <v>Ознакомиться</v>
      </c>
      <c r="W5562" s="8" t="s">
        <v>564</v>
      </c>
      <c r="X5562" s="6"/>
      <c r="Y5562" s="6"/>
      <c r="Z5562" s="6"/>
      <c r="AA5562" s="6" t="s">
        <v>793</v>
      </c>
      <c r="AB5562" s="8"/>
    </row>
    <row r="5563" spans="1:28" s="4" customFormat="1" ht="51.95" customHeight="1">
      <c r="A5563" s="5">
        <v>0</v>
      </c>
      <c r="B5563" s="6" t="s">
        <v>32615</v>
      </c>
      <c r="C5563" s="13">
        <v>2064</v>
      </c>
      <c r="D5563" s="8" t="s">
        <v>32616</v>
      </c>
      <c r="E5563" s="8" t="s">
        <v>32617</v>
      </c>
      <c r="F5563" s="8" t="s">
        <v>7036</v>
      </c>
      <c r="G5563" s="6" t="s">
        <v>52</v>
      </c>
      <c r="H5563" s="6" t="s">
        <v>39</v>
      </c>
      <c r="I5563" s="8" t="s">
        <v>185</v>
      </c>
      <c r="J5563" s="9">
        <v>1</v>
      </c>
      <c r="K5563" s="9">
        <v>448</v>
      </c>
      <c r="L5563" s="9">
        <v>2023</v>
      </c>
      <c r="M5563" s="8" t="s">
        <v>32618</v>
      </c>
      <c r="N5563" s="8" t="s">
        <v>79</v>
      </c>
      <c r="O5563" s="8" t="s">
        <v>537</v>
      </c>
      <c r="P5563" s="6" t="s">
        <v>43</v>
      </c>
      <c r="Q5563" s="8" t="s">
        <v>102</v>
      </c>
      <c r="R5563" s="10" t="s">
        <v>32619</v>
      </c>
      <c r="S5563" s="11" t="s">
        <v>32620</v>
      </c>
      <c r="T5563" s="6"/>
      <c r="U5563" s="24" t="str">
        <f>HYPERLINK("https://media.infra-m.ru/1989/1989249/cover/1989249.jpg", "Обложка")</f>
        <v>Обложка</v>
      </c>
      <c r="V5563" s="24" t="str">
        <f>HYPERLINK("https://znanium.ru/catalog/product/1236301", "Ознакомиться")</f>
        <v>Ознакомиться</v>
      </c>
      <c r="W5563" s="8" t="s">
        <v>1144</v>
      </c>
      <c r="X5563" s="6"/>
      <c r="Y5563" s="6"/>
      <c r="Z5563" s="6"/>
      <c r="AA5563" s="6" t="s">
        <v>407</v>
      </c>
      <c r="AB5563" s="8"/>
    </row>
    <row r="5564" spans="1:28" s="4" customFormat="1" ht="51.95" customHeight="1">
      <c r="A5564" s="5">
        <v>0</v>
      </c>
      <c r="B5564" s="6" t="s">
        <v>32621</v>
      </c>
      <c r="C5564" s="13">
        <v>1389</v>
      </c>
      <c r="D5564" s="8" t="s">
        <v>32622</v>
      </c>
      <c r="E5564" s="8" t="s">
        <v>32623</v>
      </c>
      <c r="F5564" s="8" t="s">
        <v>32624</v>
      </c>
      <c r="G5564" s="6" t="s">
        <v>52</v>
      </c>
      <c r="H5564" s="6" t="s">
        <v>53</v>
      </c>
      <c r="I5564" s="8" t="s">
        <v>560</v>
      </c>
      <c r="J5564" s="9">
        <v>1</v>
      </c>
      <c r="K5564" s="9">
        <v>262</v>
      </c>
      <c r="L5564" s="9">
        <v>2025</v>
      </c>
      <c r="M5564" s="8" t="s">
        <v>32625</v>
      </c>
      <c r="N5564" s="8" t="s">
        <v>41</v>
      </c>
      <c r="O5564" s="8" t="s">
        <v>129</v>
      </c>
      <c r="P5564" s="6" t="s">
        <v>167</v>
      </c>
      <c r="Q5564" s="8" t="s">
        <v>58</v>
      </c>
      <c r="R5564" s="10" t="s">
        <v>32626</v>
      </c>
      <c r="S5564" s="11"/>
      <c r="T5564" s="6"/>
      <c r="U5564" s="24" t="str">
        <f>HYPERLINK("https://media.infra-m.ru/2169/2169287/cover/2169287.jpg", "Обложка")</f>
        <v>Обложка</v>
      </c>
      <c r="V5564" s="24" t="str">
        <f>HYPERLINK("https://znanium.ru/catalog/product/2169287", "Ознакомиться")</f>
        <v>Ознакомиться</v>
      </c>
      <c r="W5564" s="8" t="s">
        <v>564</v>
      </c>
      <c r="X5564" s="6" t="s">
        <v>785</v>
      </c>
      <c r="Y5564" s="6"/>
      <c r="Z5564" s="6"/>
      <c r="AA5564" s="6" t="s">
        <v>61</v>
      </c>
      <c r="AB5564" s="8"/>
    </row>
    <row r="5565" spans="1:28" s="4" customFormat="1" ht="51.95" customHeight="1">
      <c r="A5565" s="5">
        <v>0</v>
      </c>
      <c r="B5565" s="6" t="s">
        <v>32627</v>
      </c>
      <c r="C5565" s="13">
        <v>1489</v>
      </c>
      <c r="D5565" s="8" t="s">
        <v>32628</v>
      </c>
      <c r="E5565" s="8" t="s">
        <v>32629</v>
      </c>
      <c r="F5565" s="8" t="s">
        <v>32630</v>
      </c>
      <c r="G5565" s="6" t="s">
        <v>52</v>
      </c>
      <c r="H5565" s="6" t="s">
        <v>53</v>
      </c>
      <c r="I5565" s="8" t="s">
        <v>560</v>
      </c>
      <c r="J5565" s="9">
        <v>1</v>
      </c>
      <c r="K5565" s="9">
        <v>284</v>
      </c>
      <c r="L5565" s="9">
        <v>2025</v>
      </c>
      <c r="M5565" s="8" t="s">
        <v>32631</v>
      </c>
      <c r="N5565" s="8" t="s">
        <v>41</v>
      </c>
      <c r="O5565" s="8" t="s">
        <v>129</v>
      </c>
      <c r="P5565" s="6" t="s">
        <v>167</v>
      </c>
      <c r="Q5565" s="8" t="s">
        <v>58</v>
      </c>
      <c r="R5565" s="10" t="s">
        <v>583</v>
      </c>
      <c r="S5565" s="11"/>
      <c r="T5565" s="6"/>
      <c r="U5565" s="24" t="str">
        <f>HYPERLINK("https://media.infra-m.ru/2169/2169277/cover/2169277.jpg", "Обложка")</f>
        <v>Обложка</v>
      </c>
      <c r="V5565" s="24" t="str">
        <f>HYPERLINK("https://znanium.ru/catalog/product/2169277", "Ознакомиться")</f>
        <v>Ознакомиться</v>
      </c>
      <c r="W5565" s="8" t="s">
        <v>564</v>
      </c>
      <c r="X5565" s="6" t="s">
        <v>132</v>
      </c>
      <c r="Y5565" s="6"/>
      <c r="Z5565" s="6"/>
      <c r="AA5565" s="6" t="s">
        <v>61</v>
      </c>
      <c r="AB5565" s="8"/>
    </row>
    <row r="5566" spans="1:28" s="4" customFormat="1" ht="51.95" customHeight="1">
      <c r="A5566" s="5">
        <v>0</v>
      </c>
      <c r="B5566" s="6" t="s">
        <v>32632</v>
      </c>
      <c r="C5566" s="7">
        <v>880</v>
      </c>
      <c r="D5566" s="8" t="s">
        <v>32633</v>
      </c>
      <c r="E5566" s="8" t="s">
        <v>32634</v>
      </c>
      <c r="F5566" s="8" t="s">
        <v>4470</v>
      </c>
      <c r="G5566" s="6" t="s">
        <v>52</v>
      </c>
      <c r="H5566" s="6" t="s">
        <v>53</v>
      </c>
      <c r="I5566" s="8" t="s">
        <v>1325</v>
      </c>
      <c r="J5566" s="9">
        <v>1</v>
      </c>
      <c r="K5566" s="9">
        <v>159</v>
      </c>
      <c r="L5566" s="9">
        <v>2024</v>
      </c>
      <c r="M5566" s="8" t="s">
        <v>32635</v>
      </c>
      <c r="N5566" s="8" t="s">
        <v>41</v>
      </c>
      <c r="O5566" s="8" t="s">
        <v>129</v>
      </c>
      <c r="P5566" s="6" t="s">
        <v>43</v>
      </c>
      <c r="Q5566" s="8" t="s">
        <v>58</v>
      </c>
      <c r="R5566" s="10" t="s">
        <v>32636</v>
      </c>
      <c r="S5566" s="11" t="s">
        <v>32637</v>
      </c>
      <c r="T5566" s="6"/>
      <c r="U5566" s="24" t="str">
        <f>HYPERLINK("https://media.infra-m.ru/1896/1896452/cover/1896452.jpg", "Обложка")</f>
        <v>Обложка</v>
      </c>
      <c r="V5566" s="24" t="str">
        <f>HYPERLINK("https://znanium.ru/catalog/product/1896452", "Ознакомиться")</f>
        <v>Ознакомиться</v>
      </c>
      <c r="W5566" s="8" t="s">
        <v>1329</v>
      </c>
      <c r="X5566" s="6"/>
      <c r="Y5566" s="6"/>
      <c r="Z5566" s="6"/>
      <c r="AA5566" s="6" t="s">
        <v>133</v>
      </c>
      <c r="AB5566" s="8"/>
    </row>
    <row r="5567" spans="1:28" s="4" customFormat="1" ht="51.95" customHeight="1">
      <c r="A5567" s="5">
        <v>0</v>
      </c>
      <c r="B5567" s="6" t="s">
        <v>32638</v>
      </c>
      <c r="C5567" s="13">
        <v>1440</v>
      </c>
      <c r="D5567" s="8" t="s">
        <v>32639</v>
      </c>
      <c r="E5567" s="8" t="s">
        <v>32640</v>
      </c>
      <c r="F5567" s="8" t="s">
        <v>21973</v>
      </c>
      <c r="G5567" s="6" t="s">
        <v>89</v>
      </c>
      <c r="H5567" s="6" t="s">
        <v>53</v>
      </c>
      <c r="I5567" s="8" t="s">
        <v>560</v>
      </c>
      <c r="J5567" s="9">
        <v>1</v>
      </c>
      <c r="K5567" s="9">
        <v>307</v>
      </c>
      <c r="L5567" s="9">
        <v>2024</v>
      </c>
      <c r="M5567" s="8" t="s">
        <v>32641</v>
      </c>
      <c r="N5567" s="8" t="s">
        <v>41</v>
      </c>
      <c r="O5567" s="8" t="s">
        <v>129</v>
      </c>
      <c r="P5567" s="6" t="s">
        <v>167</v>
      </c>
      <c r="Q5567" s="8" t="s">
        <v>58</v>
      </c>
      <c r="R5567" s="10" t="s">
        <v>21975</v>
      </c>
      <c r="S5567" s="11" t="s">
        <v>32642</v>
      </c>
      <c r="T5567" s="6"/>
      <c r="U5567" s="24" t="str">
        <f>HYPERLINK("https://media.infra-m.ru/2078/2078397/cover/2078397.jpg", "Обложка")</f>
        <v>Обложка</v>
      </c>
      <c r="V5567" s="24" t="str">
        <f>HYPERLINK("https://znanium.ru/catalog/product/2078397", "Ознакомиться")</f>
        <v>Ознакомиться</v>
      </c>
      <c r="W5567" s="8" t="s">
        <v>564</v>
      </c>
      <c r="X5567" s="6"/>
      <c r="Y5567" s="6"/>
      <c r="Z5567" s="6"/>
      <c r="AA5567" s="6" t="s">
        <v>258</v>
      </c>
      <c r="AB5567" s="8"/>
    </row>
    <row r="5568" spans="1:28" s="4" customFormat="1" ht="51.95" customHeight="1">
      <c r="A5568" s="5">
        <v>0</v>
      </c>
      <c r="B5568" s="6" t="s">
        <v>32643</v>
      </c>
      <c r="C5568" s="13">
        <v>1050</v>
      </c>
      <c r="D5568" s="8" t="s">
        <v>32644</v>
      </c>
      <c r="E5568" s="8" t="s">
        <v>32645</v>
      </c>
      <c r="F5568" s="8" t="s">
        <v>32646</v>
      </c>
      <c r="G5568" s="6" t="s">
        <v>89</v>
      </c>
      <c r="H5568" s="6" t="s">
        <v>53</v>
      </c>
      <c r="I5568" s="8" t="s">
        <v>560</v>
      </c>
      <c r="J5568" s="9">
        <v>1</v>
      </c>
      <c r="K5568" s="9">
        <v>223</v>
      </c>
      <c r="L5568" s="9">
        <v>2024</v>
      </c>
      <c r="M5568" s="8" t="s">
        <v>32647</v>
      </c>
      <c r="N5568" s="8" t="s">
        <v>41</v>
      </c>
      <c r="O5568" s="8" t="s">
        <v>129</v>
      </c>
      <c r="P5568" s="6" t="s">
        <v>167</v>
      </c>
      <c r="Q5568" s="8" t="s">
        <v>58</v>
      </c>
      <c r="R5568" s="10" t="s">
        <v>21975</v>
      </c>
      <c r="S5568" s="11" t="s">
        <v>32642</v>
      </c>
      <c r="T5568" s="6"/>
      <c r="U5568" s="24" t="str">
        <f>HYPERLINK("https://media.infra-m.ru/2081/2081153/cover/2081153.jpg", "Обложка")</f>
        <v>Обложка</v>
      </c>
      <c r="V5568" s="24" t="str">
        <f>HYPERLINK("https://znanium.ru/catalog/product/2081153", "Ознакомиться")</f>
        <v>Ознакомиться</v>
      </c>
      <c r="W5568" s="8" t="s">
        <v>564</v>
      </c>
      <c r="X5568" s="6"/>
      <c r="Y5568" s="6"/>
      <c r="Z5568" s="6"/>
      <c r="AA5568" s="6" t="s">
        <v>258</v>
      </c>
      <c r="AB5568" s="8"/>
    </row>
    <row r="5569" spans="1:28" s="4" customFormat="1" ht="44.1" customHeight="1">
      <c r="A5569" s="5">
        <v>0</v>
      </c>
      <c r="B5569" s="6" t="s">
        <v>32648</v>
      </c>
      <c r="C5569" s="13">
        <v>1624</v>
      </c>
      <c r="D5569" s="8" t="s">
        <v>32649</v>
      </c>
      <c r="E5569" s="8" t="s">
        <v>32650</v>
      </c>
      <c r="F5569" s="8" t="s">
        <v>31187</v>
      </c>
      <c r="G5569" s="6" t="s">
        <v>52</v>
      </c>
      <c r="H5569" s="6" t="s">
        <v>53</v>
      </c>
      <c r="I5569" s="8" t="s">
        <v>127</v>
      </c>
      <c r="J5569" s="9">
        <v>1</v>
      </c>
      <c r="K5569" s="9">
        <v>325</v>
      </c>
      <c r="L5569" s="9">
        <v>2025</v>
      </c>
      <c r="M5569" s="8" t="s">
        <v>32651</v>
      </c>
      <c r="N5569" s="8" t="s">
        <v>41</v>
      </c>
      <c r="O5569" s="8" t="s">
        <v>129</v>
      </c>
      <c r="P5569" s="6" t="s">
        <v>43</v>
      </c>
      <c r="Q5569" s="8" t="s">
        <v>58</v>
      </c>
      <c r="R5569" s="10" t="s">
        <v>32652</v>
      </c>
      <c r="S5569" s="11"/>
      <c r="T5569" s="6"/>
      <c r="U5569" s="24" t="str">
        <f>HYPERLINK("https://media.infra-m.ru/2161/2161042/cover/2161042.jpg", "Обложка")</f>
        <v>Обложка</v>
      </c>
      <c r="V5569" s="24" t="str">
        <f>HYPERLINK("https://znanium.ru/catalog/product/1058883", "Ознакомиться")</f>
        <v>Ознакомиться</v>
      </c>
      <c r="W5569" s="8" t="s">
        <v>3605</v>
      </c>
      <c r="X5569" s="6"/>
      <c r="Y5569" s="6"/>
      <c r="Z5569" s="6"/>
      <c r="AA5569" s="6" t="s">
        <v>219</v>
      </c>
      <c r="AB5569" s="8"/>
    </row>
    <row r="5570" spans="1:28" s="4" customFormat="1" ht="51.95" customHeight="1">
      <c r="A5570" s="5">
        <v>0</v>
      </c>
      <c r="B5570" s="6" t="s">
        <v>32653</v>
      </c>
      <c r="C5570" s="13">
        <v>1534</v>
      </c>
      <c r="D5570" s="8" t="s">
        <v>32654</v>
      </c>
      <c r="E5570" s="8" t="s">
        <v>32655</v>
      </c>
      <c r="F5570" s="8" t="s">
        <v>31187</v>
      </c>
      <c r="G5570" s="6" t="s">
        <v>89</v>
      </c>
      <c r="H5570" s="6" t="s">
        <v>53</v>
      </c>
      <c r="I5570" s="8" t="s">
        <v>127</v>
      </c>
      <c r="J5570" s="9">
        <v>1</v>
      </c>
      <c r="K5570" s="9">
        <v>307</v>
      </c>
      <c r="L5570" s="9">
        <v>2025</v>
      </c>
      <c r="M5570" s="8" t="s">
        <v>32656</v>
      </c>
      <c r="N5570" s="8" t="s">
        <v>41</v>
      </c>
      <c r="O5570" s="8" t="s">
        <v>129</v>
      </c>
      <c r="P5570" s="6" t="s">
        <v>43</v>
      </c>
      <c r="Q5570" s="8" t="s">
        <v>58</v>
      </c>
      <c r="R5570" s="10" t="s">
        <v>32657</v>
      </c>
      <c r="S5570" s="11"/>
      <c r="T5570" s="6"/>
      <c r="U5570" s="24" t="str">
        <f>HYPERLINK("https://media.infra-m.ru/2161/2161043/cover/2161043.jpg", "Обложка")</f>
        <v>Обложка</v>
      </c>
      <c r="V5570" s="24" t="str">
        <f>HYPERLINK("https://znanium.ru/catalog/product/2079801", "Ознакомиться")</f>
        <v>Ознакомиться</v>
      </c>
      <c r="W5570" s="8" t="s">
        <v>3605</v>
      </c>
      <c r="X5570" s="6"/>
      <c r="Y5570" s="6"/>
      <c r="Z5570" s="6"/>
      <c r="AA5570" s="6" t="s">
        <v>219</v>
      </c>
      <c r="AB5570" s="8"/>
    </row>
    <row r="5571" spans="1:28" s="4" customFormat="1" ht="51.95" customHeight="1">
      <c r="A5571" s="5">
        <v>0</v>
      </c>
      <c r="B5571" s="6" t="s">
        <v>32658</v>
      </c>
      <c r="C5571" s="13">
        <v>2040</v>
      </c>
      <c r="D5571" s="8" t="s">
        <v>32659</v>
      </c>
      <c r="E5571" s="8" t="s">
        <v>32660</v>
      </c>
      <c r="F5571" s="8" t="s">
        <v>31187</v>
      </c>
      <c r="G5571" s="6" t="s">
        <v>89</v>
      </c>
      <c r="H5571" s="6" t="s">
        <v>53</v>
      </c>
      <c r="I5571" s="8" t="s">
        <v>127</v>
      </c>
      <c r="J5571" s="9">
        <v>1</v>
      </c>
      <c r="K5571" s="9">
        <v>392</v>
      </c>
      <c r="L5571" s="9">
        <v>2025</v>
      </c>
      <c r="M5571" s="8" t="s">
        <v>32661</v>
      </c>
      <c r="N5571" s="8" t="s">
        <v>41</v>
      </c>
      <c r="O5571" s="8" t="s">
        <v>129</v>
      </c>
      <c r="P5571" s="6" t="s">
        <v>43</v>
      </c>
      <c r="Q5571" s="8" t="s">
        <v>58</v>
      </c>
      <c r="R5571" s="10" t="s">
        <v>32662</v>
      </c>
      <c r="S5571" s="11" t="s">
        <v>32663</v>
      </c>
      <c r="T5571" s="6"/>
      <c r="U5571" s="24" t="str">
        <f>HYPERLINK("https://media.infra-m.ru/2201/2201384/cover/2201384.jpg", "Обложка")</f>
        <v>Обложка</v>
      </c>
      <c r="V5571" s="24" t="str">
        <f>HYPERLINK("https://znanium.ru/catalog/product/2201384", "Ознакомиться")</f>
        <v>Ознакомиться</v>
      </c>
      <c r="W5571" s="8" t="s">
        <v>3605</v>
      </c>
      <c r="X5571" s="6"/>
      <c r="Y5571" s="6"/>
      <c r="Z5571" s="6"/>
      <c r="AA5571" s="6" t="s">
        <v>258</v>
      </c>
      <c r="AB5571" s="8"/>
    </row>
    <row r="5572" spans="1:28" s="4" customFormat="1" ht="44.1" customHeight="1">
      <c r="A5572" s="5">
        <v>0</v>
      </c>
      <c r="B5572" s="6" t="s">
        <v>32664</v>
      </c>
      <c r="C5572" s="13">
        <v>1884</v>
      </c>
      <c r="D5572" s="8" t="s">
        <v>32665</v>
      </c>
      <c r="E5572" s="8" t="s">
        <v>32666</v>
      </c>
      <c r="F5572" s="8" t="s">
        <v>32667</v>
      </c>
      <c r="G5572" s="6" t="s">
        <v>89</v>
      </c>
      <c r="H5572" s="6" t="s">
        <v>438</v>
      </c>
      <c r="I5572" s="8" t="s">
        <v>100</v>
      </c>
      <c r="J5572" s="9">
        <v>1</v>
      </c>
      <c r="K5572" s="9">
        <v>376</v>
      </c>
      <c r="L5572" s="9">
        <v>2025</v>
      </c>
      <c r="M5572" s="8" t="s">
        <v>32668</v>
      </c>
      <c r="N5572" s="8" t="s">
        <v>79</v>
      </c>
      <c r="O5572" s="8" t="s">
        <v>570</v>
      </c>
      <c r="P5572" s="6" t="s">
        <v>43</v>
      </c>
      <c r="Q5572" s="8" t="s">
        <v>102</v>
      </c>
      <c r="R5572" s="10" t="s">
        <v>6527</v>
      </c>
      <c r="S5572" s="11"/>
      <c r="T5572" s="6"/>
      <c r="U5572" s="24" t="str">
        <f>HYPERLINK("https://media.infra-m.ru/2167/2167250/cover/2167250.jpg", "Обложка")</f>
        <v>Обложка</v>
      </c>
      <c r="V5572" s="24" t="str">
        <f>HYPERLINK("https://znanium.ru/catalog/product/2163205", "Ознакомиться")</f>
        <v>Ознакомиться</v>
      </c>
      <c r="W5572" s="8" t="s">
        <v>450</v>
      </c>
      <c r="X5572" s="6"/>
      <c r="Y5572" s="6"/>
      <c r="Z5572" s="6"/>
      <c r="AA5572" s="6" t="s">
        <v>442</v>
      </c>
      <c r="AB5572" s="8"/>
    </row>
    <row r="5573" spans="1:28" s="4" customFormat="1" ht="51.95" customHeight="1">
      <c r="A5573" s="5">
        <v>0</v>
      </c>
      <c r="B5573" s="6" t="s">
        <v>32669</v>
      </c>
      <c r="C5573" s="7">
        <v>774</v>
      </c>
      <c r="D5573" s="8" t="s">
        <v>32670</v>
      </c>
      <c r="E5573" s="8" t="s">
        <v>32671</v>
      </c>
      <c r="F5573" s="8" t="s">
        <v>22045</v>
      </c>
      <c r="G5573" s="6" t="s">
        <v>38</v>
      </c>
      <c r="H5573" s="6" t="s">
        <v>39</v>
      </c>
      <c r="I5573" s="8" t="s">
        <v>116</v>
      </c>
      <c r="J5573" s="9">
        <v>1</v>
      </c>
      <c r="K5573" s="9">
        <v>168</v>
      </c>
      <c r="L5573" s="9">
        <v>2024</v>
      </c>
      <c r="M5573" s="8" t="s">
        <v>32672</v>
      </c>
      <c r="N5573" s="8" t="s">
        <v>79</v>
      </c>
      <c r="O5573" s="8" t="s">
        <v>570</v>
      </c>
      <c r="P5573" s="6" t="s">
        <v>43</v>
      </c>
      <c r="Q5573" s="8" t="s">
        <v>44</v>
      </c>
      <c r="R5573" s="10" t="s">
        <v>20586</v>
      </c>
      <c r="S5573" s="11" t="s">
        <v>32673</v>
      </c>
      <c r="T5573" s="6"/>
      <c r="U5573" s="24" t="str">
        <f>HYPERLINK("https://media.infra-m.ru/2079/2079329/cover/2079329.jpg", "Обложка")</f>
        <v>Обложка</v>
      </c>
      <c r="V5573" s="24" t="str">
        <f>HYPERLINK("https://znanium.ru/catalog/product/1834400", "Ознакомиться")</f>
        <v>Ознакомиться</v>
      </c>
      <c r="W5573" s="8" t="s">
        <v>450</v>
      </c>
      <c r="X5573" s="6"/>
      <c r="Y5573" s="6"/>
      <c r="Z5573" s="6"/>
      <c r="AA5573" s="6" t="s">
        <v>72</v>
      </c>
      <c r="AB5573" s="8"/>
    </row>
    <row r="5574" spans="1:28" s="4" customFormat="1" ht="42" customHeight="1">
      <c r="A5574" s="5">
        <v>0</v>
      </c>
      <c r="B5574" s="6" t="s">
        <v>32674</v>
      </c>
      <c r="C5574" s="13">
        <v>1440</v>
      </c>
      <c r="D5574" s="8" t="s">
        <v>32675</v>
      </c>
      <c r="E5574" s="8" t="s">
        <v>32676</v>
      </c>
      <c r="F5574" s="8" t="s">
        <v>18083</v>
      </c>
      <c r="G5574" s="6" t="s">
        <v>89</v>
      </c>
      <c r="H5574" s="6" t="s">
        <v>438</v>
      </c>
      <c r="I5574" s="8" t="s">
        <v>100</v>
      </c>
      <c r="J5574" s="9">
        <v>1</v>
      </c>
      <c r="K5574" s="9">
        <v>320</v>
      </c>
      <c r="L5574" s="9">
        <v>2023</v>
      </c>
      <c r="M5574" s="8" t="s">
        <v>32677</v>
      </c>
      <c r="N5574" s="8" t="s">
        <v>79</v>
      </c>
      <c r="O5574" s="8" t="s">
        <v>80</v>
      </c>
      <c r="P5574" s="6" t="s">
        <v>167</v>
      </c>
      <c r="Q5574" s="8" t="s">
        <v>102</v>
      </c>
      <c r="R5574" s="10" t="s">
        <v>32678</v>
      </c>
      <c r="S5574" s="11"/>
      <c r="T5574" s="6"/>
      <c r="U5574" s="24" t="str">
        <f>HYPERLINK("https://media.infra-m.ru/2002/2002607/cover/2002607.jpg", "Обложка")</f>
        <v>Обложка</v>
      </c>
      <c r="V5574" s="24" t="str">
        <f>HYPERLINK("https://znanium.ru/catalog/product/2002607", "Ознакомиться")</f>
        <v>Ознакомиться</v>
      </c>
      <c r="W5574" s="8" t="s">
        <v>46</v>
      </c>
      <c r="X5574" s="6"/>
      <c r="Y5574" s="6"/>
      <c r="Z5574" s="6"/>
      <c r="AA5574" s="6" t="s">
        <v>442</v>
      </c>
      <c r="AB5574" s="8"/>
    </row>
    <row r="5575" spans="1:28" s="4" customFormat="1" ht="51.95" customHeight="1">
      <c r="A5575" s="5">
        <v>0</v>
      </c>
      <c r="B5575" s="6" t="s">
        <v>32679</v>
      </c>
      <c r="C5575" s="13">
        <v>3390</v>
      </c>
      <c r="D5575" s="8" t="s">
        <v>32680</v>
      </c>
      <c r="E5575" s="8" t="s">
        <v>32681</v>
      </c>
      <c r="F5575" s="8" t="s">
        <v>22034</v>
      </c>
      <c r="G5575" s="6" t="s">
        <v>52</v>
      </c>
      <c r="H5575" s="6" t="s">
        <v>53</v>
      </c>
      <c r="I5575" s="8" t="s">
        <v>212</v>
      </c>
      <c r="J5575" s="9">
        <v>1</v>
      </c>
      <c r="K5575" s="9">
        <v>722</v>
      </c>
      <c r="L5575" s="9">
        <v>2024</v>
      </c>
      <c r="M5575" s="8" t="s">
        <v>32682</v>
      </c>
      <c r="N5575" s="8" t="s">
        <v>79</v>
      </c>
      <c r="O5575" s="8" t="s">
        <v>174</v>
      </c>
      <c r="P5575" s="6" t="s">
        <v>167</v>
      </c>
      <c r="Q5575" s="8" t="s">
        <v>214</v>
      </c>
      <c r="R5575" s="10" t="s">
        <v>1134</v>
      </c>
      <c r="S5575" s="11" t="s">
        <v>32683</v>
      </c>
      <c r="T5575" s="6" t="s">
        <v>299</v>
      </c>
      <c r="U5575" s="24" t="str">
        <f>HYPERLINK("https://media.infra-m.ru/2058/2058760/cover/2058760.jpg", "Обложка")</f>
        <v>Обложка</v>
      </c>
      <c r="V5575" s="24" t="str">
        <f>HYPERLINK("https://znanium.ru/catalog/product/2058760", "Ознакомиться")</f>
        <v>Ознакомиться</v>
      </c>
      <c r="W5575" s="8" t="s">
        <v>5284</v>
      </c>
      <c r="X5575" s="6"/>
      <c r="Y5575" s="6"/>
      <c r="Z5575" s="6"/>
      <c r="AA5575" s="6" t="s">
        <v>258</v>
      </c>
      <c r="AB5575" s="8"/>
    </row>
    <row r="5576" spans="1:28" s="4" customFormat="1" ht="51.95" customHeight="1">
      <c r="A5576" s="5">
        <v>0</v>
      </c>
      <c r="B5576" s="6" t="s">
        <v>32684</v>
      </c>
      <c r="C5576" s="13">
        <v>1090</v>
      </c>
      <c r="D5576" s="8" t="s">
        <v>32685</v>
      </c>
      <c r="E5576" s="8" t="s">
        <v>32686</v>
      </c>
      <c r="F5576" s="8" t="s">
        <v>32687</v>
      </c>
      <c r="G5576" s="6" t="s">
        <v>89</v>
      </c>
      <c r="H5576" s="6" t="s">
        <v>53</v>
      </c>
      <c r="I5576" s="8" t="s">
        <v>1325</v>
      </c>
      <c r="J5576" s="9">
        <v>1</v>
      </c>
      <c r="K5576" s="9">
        <v>136</v>
      </c>
      <c r="L5576" s="9">
        <v>2023</v>
      </c>
      <c r="M5576" s="8" t="s">
        <v>32688</v>
      </c>
      <c r="N5576" s="8" t="s">
        <v>41</v>
      </c>
      <c r="O5576" s="8" t="s">
        <v>129</v>
      </c>
      <c r="P5576" s="6" t="s">
        <v>43</v>
      </c>
      <c r="Q5576" s="8" t="s">
        <v>58</v>
      </c>
      <c r="R5576" s="10" t="s">
        <v>32689</v>
      </c>
      <c r="S5576" s="11" t="s">
        <v>32690</v>
      </c>
      <c r="T5576" s="6"/>
      <c r="U5576" s="24" t="str">
        <f>HYPERLINK("https://media.infra-m.ru/2095/2095111/cover/2095111.jpg", "Обложка")</f>
        <v>Обложка</v>
      </c>
      <c r="V5576" s="24" t="str">
        <f>HYPERLINK("https://znanium.ru/catalog/product/1079847", "Ознакомиться")</f>
        <v>Ознакомиться</v>
      </c>
      <c r="W5576" s="8" t="s">
        <v>1329</v>
      </c>
      <c r="X5576" s="6"/>
      <c r="Y5576" s="6"/>
      <c r="Z5576" s="6"/>
      <c r="AA5576" s="6" t="s">
        <v>207</v>
      </c>
      <c r="AB5576" s="8"/>
    </row>
    <row r="5577" spans="1:28" s="4" customFormat="1" ht="51.95" customHeight="1">
      <c r="A5577" s="5">
        <v>0</v>
      </c>
      <c r="B5577" s="6" t="s">
        <v>32691</v>
      </c>
      <c r="C5577" s="13">
        <v>1494</v>
      </c>
      <c r="D5577" s="8" t="s">
        <v>32692</v>
      </c>
      <c r="E5577" s="8" t="s">
        <v>32693</v>
      </c>
      <c r="F5577" s="8" t="s">
        <v>32694</v>
      </c>
      <c r="G5577" s="6" t="s">
        <v>89</v>
      </c>
      <c r="H5577" s="6" t="s">
        <v>1094</v>
      </c>
      <c r="I5577" s="8"/>
      <c r="J5577" s="9">
        <v>1</v>
      </c>
      <c r="K5577" s="9">
        <v>320</v>
      </c>
      <c r="L5577" s="9">
        <v>2024</v>
      </c>
      <c r="M5577" s="8" t="s">
        <v>32695</v>
      </c>
      <c r="N5577" s="8" t="s">
        <v>56</v>
      </c>
      <c r="O5577" s="8" t="s">
        <v>57</v>
      </c>
      <c r="P5577" s="6" t="s">
        <v>167</v>
      </c>
      <c r="Q5577" s="8" t="s">
        <v>44</v>
      </c>
      <c r="R5577" s="10" t="s">
        <v>32696</v>
      </c>
      <c r="S5577" s="11" t="s">
        <v>32697</v>
      </c>
      <c r="T5577" s="6"/>
      <c r="U5577" s="24" t="str">
        <f>HYPERLINK("https://media.infra-m.ru/2133/2133773/cover/2133773.jpg", "Обложка")</f>
        <v>Обложка</v>
      </c>
      <c r="V5577" s="24" t="str">
        <f>HYPERLINK("https://znanium.ru/catalog/product/2017320", "Ознакомиться")</f>
        <v>Ознакомиться</v>
      </c>
      <c r="W5577" s="8" t="s">
        <v>3282</v>
      </c>
      <c r="X5577" s="6"/>
      <c r="Y5577" s="6"/>
      <c r="Z5577" s="6"/>
      <c r="AA5577" s="6" t="s">
        <v>11612</v>
      </c>
      <c r="AB5577" s="8"/>
    </row>
    <row r="5578" spans="1:28" s="4" customFormat="1" ht="51.95" customHeight="1">
      <c r="A5578" s="5">
        <v>0</v>
      </c>
      <c r="B5578" s="6" t="s">
        <v>32698</v>
      </c>
      <c r="C5578" s="13">
        <v>2990</v>
      </c>
      <c r="D5578" s="8" t="s">
        <v>32699</v>
      </c>
      <c r="E5578" s="8" t="s">
        <v>32700</v>
      </c>
      <c r="F5578" s="8" t="s">
        <v>32701</v>
      </c>
      <c r="G5578" s="6" t="s">
        <v>52</v>
      </c>
      <c r="H5578" s="6" t="s">
        <v>184</v>
      </c>
      <c r="I5578" s="8" t="s">
        <v>32702</v>
      </c>
      <c r="J5578" s="9">
        <v>1</v>
      </c>
      <c r="K5578" s="9">
        <v>592</v>
      </c>
      <c r="L5578" s="9">
        <v>2025</v>
      </c>
      <c r="M5578" s="8" t="s">
        <v>32703</v>
      </c>
      <c r="N5578" s="8" t="s">
        <v>41</v>
      </c>
      <c r="O5578" s="8" t="s">
        <v>1007</v>
      </c>
      <c r="P5578" s="6" t="s">
        <v>167</v>
      </c>
      <c r="Q5578" s="8" t="s">
        <v>58</v>
      </c>
      <c r="R5578" s="10" t="s">
        <v>32704</v>
      </c>
      <c r="S5578" s="11"/>
      <c r="T5578" s="6"/>
      <c r="U5578" s="24" t="str">
        <f>HYPERLINK("https://media.infra-m.ru/2169/2169248/cover/2169248.jpg", "Обложка")</f>
        <v>Обложка</v>
      </c>
      <c r="V5578" s="24" t="str">
        <f>HYPERLINK("https://znanium.ru/catalog/product/2169248", "Ознакомиться")</f>
        <v>Ознакомиться</v>
      </c>
      <c r="W5578" s="8"/>
      <c r="X5578" s="6"/>
      <c r="Y5578" s="6"/>
      <c r="Z5578" s="6"/>
      <c r="AA5578" s="6" t="s">
        <v>326</v>
      </c>
      <c r="AB5578" s="8"/>
    </row>
    <row r="5579" spans="1:28" s="4" customFormat="1" ht="51.95" customHeight="1">
      <c r="A5579" s="5">
        <v>0</v>
      </c>
      <c r="B5579" s="6" t="s">
        <v>32705</v>
      </c>
      <c r="C5579" s="13">
        <v>1444</v>
      </c>
      <c r="D5579" s="8" t="s">
        <v>32706</v>
      </c>
      <c r="E5579" s="8" t="s">
        <v>32707</v>
      </c>
      <c r="F5579" s="8" t="s">
        <v>32708</v>
      </c>
      <c r="G5579" s="6" t="s">
        <v>52</v>
      </c>
      <c r="H5579" s="6" t="s">
        <v>53</v>
      </c>
      <c r="I5579" s="8" t="s">
        <v>90</v>
      </c>
      <c r="J5579" s="9">
        <v>1</v>
      </c>
      <c r="K5579" s="9">
        <v>320</v>
      </c>
      <c r="L5579" s="9">
        <v>2024</v>
      </c>
      <c r="M5579" s="8" t="s">
        <v>32709</v>
      </c>
      <c r="N5579" s="8" t="s">
        <v>41</v>
      </c>
      <c r="O5579" s="8" t="s">
        <v>1007</v>
      </c>
      <c r="P5579" s="6" t="s">
        <v>167</v>
      </c>
      <c r="Q5579" s="8" t="s">
        <v>44</v>
      </c>
      <c r="R5579" s="10" t="s">
        <v>6227</v>
      </c>
      <c r="S5579" s="11" t="s">
        <v>32710</v>
      </c>
      <c r="T5579" s="6"/>
      <c r="U5579" s="24" t="str">
        <f>HYPERLINK("https://media.infra-m.ru/1913/1913215/cover/1913215.jpg", "Обложка")</f>
        <v>Обложка</v>
      </c>
      <c r="V5579" s="24" t="str">
        <f>HYPERLINK("https://znanium.ru/catalog/product/1913215", "Ознакомиться")</f>
        <v>Ознакомиться</v>
      </c>
      <c r="W5579" s="8" t="s">
        <v>189</v>
      </c>
      <c r="X5579" s="6"/>
      <c r="Y5579" s="6"/>
      <c r="Z5579" s="6"/>
      <c r="AA5579" s="6" t="s">
        <v>47</v>
      </c>
      <c r="AB5579" s="8"/>
    </row>
    <row r="5580" spans="1:28" s="4" customFormat="1" ht="51.95" customHeight="1">
      <c r="A5580" s="5">
        <v>0</v>
      </c>
      <c r="B5580" s="6" t="s">
        <v>32711</v>
      </c>
      <c r="C5580" s="7">
        <v>744.9</v>
      </c>
      <c r="D5580" s="8" t="s">
        <v>32712</v>
      </c>
      <c r="E5580" s="8" t="s">
        <v>32713</v>
      </c>
      <c r="F5580" s="8" t="s">
        <v>32714</v>
      </c>
      <c r="G5580" s="6" t="s">
        <v>52</v>
      </c>
      <c r="H5580" s="6" t="s">
        <v>53</v>
      </c>
      <c r="I5580" s="8" t="s">
        <v>90</v>
      </c>
      <c r="J5580" s="9">
        <v>1</v>
      </c>
      <c r="K5580" s="9">
        <v>134</v>
      </c>
      <c r="L5580" s="9">
        <v>2022</v>
      </c>
      <c r="M5580" s="8" t="s">
        <v>32715</v>
      </c>
      <c r="N5580" s="8" t="s">
        <v>413</v>
      </c>
      <c r="O5580" s="8" t="s">
        <v>1141</v>
      </c>
      <c r="P5580" s="6" t="s">
        <v>43</v>
      </c>
      <c r="Q5580" s="8" t="s">
        <v>44</v>
      </c>
      <c r="R5580" s="10" t="s">
        <v>32716</v>
      </c>
      <c r="S5580" s="11" t="s">
        <v>32717</v>
      </c>
      <c r="T5580" s="6"/>
      <c r="U5580" s="24" t="str">
        <f>HYPERLINK("https://media.infra-m.ru/1855/1855592/cover/1855592.jpg", "Обложка")</f>
        <v>Обложка</v>
      </c>
      <c r="V5580" s="24" t="str">
        <f>HYPERLINK("https://znanium.ru/catalog/product/1242226", "Ознакомиться")</f>
        <v>Ознакомиться</v>
      </c>
      <c r="W5580" s="8"/>
      <c r="X5580" s="6"/>
      <c r="Y5580" s="6"/>
      <c r="Z5580" s="6"/>
      <c r="AA5580" s="6" t="s">
        <v>235</v>
      </c>
      <c r="AB5580" s="8"/>
    </row>
    <row r="5581" spans="1:28" s="4" customFormat="1" ht="51.95" customHeight="1">
      <c r="A5581" s="5">
        <v>0</v>
      </c>
      <c r="B5581" s="6" t="s">
        <v>32718</v>
      </c>
      <c r="C5581" s="7">
        <v>740</v>
      </c>
      <c r="D5581" s="8" t="s">
        <v>32719</v>
      </c>
      <c r="E5581" s="8" t="s">
        <v>32713</v>
      </c>
      <c r="F5581" s="8" t="s">
        <v>32714</v>
      </c>
      <c r="G5581" s="6" t="s">
        <v>52</v>
      </c>
      <c r="H5581" s="6" t="s">
        <v>53</v>
      </c>
      <c r="I5581" s="8" t="s">
        <v>100</v>
      </c>
      <c r="J5581" s="9">
        <v>1</v>
      </c>
      <c r="K5581" s="9">
        <v>134</v>
      </c>
      <c r="L5581" s="9">
        <v>2022</v>
      </c>
      <c r="M5581" s="8" t="s">
        <v>32720</v>
      </c>
      <c r="N5581" s="8" t="s">
        <v>413</v>
      </c>
      <c r="O5581" s="8" t="s">
        <v>1141</v>
      </c>
      <c r="P5581" s="6" t="s">
        <v>43</v>
      </c>
      <c r="Q5581" s="8" t="s">
        <v>102</v>
      </c>
      <c r="R5581" s="10" t="s">
        <v>32721</v>
      </c>
      <c r="S5581" s="11" t="s">
        <v>32722</v>
      </c>
      <c r="T5581" s="6"/>
      <c r="U5581" s="24" t="str">
        <f>HYPERLINK("https://media.infra-m.ru/1853/1853326/cover/1853326.jpg", "Обложка")</f>
        <v>Обложка</v>
      </c>
      <c r="V5581" s="24" t="str">
        <f>HYPERLINK("https://znanium.ru/catalog/product/1853326", "Ознакомиться")</f>
        <v>Ознакомиться</v>
      </c>
      <c r="W5581" s="8"/>
      <c r="X5581" s="6"/>
      <c r="Y5581" s="6"/>
      <c r="Z5581" s="6" t="s">
        <v>104</v>
      </c>
      <c r="AA5581" s="6" t="s">
        <v>235</v>
      </c>
      <c r="AB5581" s="8"/>
    </row>
    <row r="5582" spans="1:28" s="4" customFormat="1" ht="51.95" customHeight="1">
      <c r="A5582" s="5">
        <v>0</v>
      </c>
      <c r="B5582" s="6" t="s">
        <v>32723</v>
      </c>
      <c r="C5582" s="13">
        <v>1260</v>
      </c>
      <c r="D5582" s="8" t="s">
        <v>32724</v>
      </c>
      <c r="E5582" s="8" t="s">
        <v>32725</v>
      </c>
      <c r="F5582" s="8" t="s">
        <v>32726</v>
      </c>
      <c r="G5582" s="6" t="s">
        <v>89</v>
      </c>
      <c r="H5582" s="6" t="s">
        <v>53</v>
      </c>
      <c r="I5582" s="8" t="s">
        <v>116</v>
      </c>
      <c r="J5582" s="9">
        <v>1</v>
      </c>
      <c r="K5582" s="9">
        <v>280</v>
      </c>
      <c r="L5582" s="9">
        <v>2023</v>
      </c>
      <c r="M5582" s="8" t="s">
        <v>32727</v>
      </c>
      <c r="N5582" s="8" t="s">
        <v>413</v>
      </c>
      <c r="O5582" s="8" t="s">
        <v>414</v>
      </c>
      <c r="P5582" s="6" t="s">
        <v>43</v>
      </c>
      <c r="Q5582" s="8" t="s">
        <v>58</v>
      </c>
      <c r="R5582" s="10" t="s">
        <v>32728</v>
      </c>
      <c r="S5582" s="11" t="s">
        <v>32729</v>
      </c>
      <c r="T5582" s="6"/>
      <c r="U5582" s="24" t="str">
        <f>HYPERLINK("https://media.infra-m.ru/2024/2024025/cover/2024025.jpg", "Обложка")</f>
        <v>Обложка</v>
      </c>
      <c r="V5582" s="24" t="str">
        <f>HYPERLINK("https://znanium.ru/catalog/product/1904026", "Ознакомиться")</f>
        <v>Ознакомиться</v>
      </c>
      <c r="W5582" s="8" t="s">
        <v>9937</v>
      </c>
      <c r="X5582" s="6"/>
      <c r="Y5582" s="6"/>
      <c r="Z5582" s="6"/>
      <c r="AA5582" s="6" t="s">
        <v>258</v>
      </c>
      <c r="AB5582" s="8"/>
    </row>
    <row r="5583" spans="1:28" s="4" customFormat="1" ht="42" customHeight="1">
      <c r="A5583" s="5">
        <v>0</v>
      </c>
      <c r="B5583" s="6" t="s">
        <v>32730</v>
      </c>
      <c r="C5583" s="7">
        <v>814</v>
      </c>
      <c r="D5583" s="8" t="s">
        <v>32731</v>
      </c>
      <c r="E5583" s="8" t="s">
        <v>32732</v>
      </c>
      <c r="F5583" s="8" t="s">
        <v>32733</v>
      </c>
      <c r="G5583" s="6" t="s">
        <v>52</v>
      </c>
      <c r="H5583" s="6" t="s">
        <v>77</v>
      </c>
      <c r="I5583" s="8" t="s">
        <v>9028</v>
      </c>
      <c r="J5583" s="9">
        <v>1</v>
      </c>
      <c r="K5583" s="9">
        <v>176</v>
      </c>
      <c r="L5583" s="9">
        <v>2024</v>
      </c>
      <c r="M5583" s="8" t="s">
        <v>32734</v>
      </c>
      <c r="N5583" s="8" t="s">
        <v>41</v>
      </c>
      <c r="O5583" s="8" t="s">
        <v>1007</v>
      </c>
      <c r="P5583" s="6" t="s">
        <v>43</v>
      </c>
      <c r="Q5583" s="8" t="s">
        <v>279</v>
      </c>
      <c r="R5583" s="10" t="s">
        <v>2385</v>
      </c>
      <c r="S5583" s="11"/>
      <c r="T5583" s="6"/>
      <c r="U5583" s="24" t="str">
        <f>HYPERLINK("https://media.infra-m.ru/2094/2094520/cover/2094520.jpg", "Обложка")</f>
        <v>Обложка</v>
      </c>
      <c r="V5583" s="12"/>
      <c r="W5583" s="8" t="s">
        <v>83</v>
      </c>
      <c r="X5583" s="6"/>
      <c r="Y5583" s="6"/>
      <c r="Z5583" s="6"/>
      <c r="AA5583" s="6" t="s">
        <v>84</v>
      </c>
      <c r="AB5583" s="8"/>
    </row>
    <row r="5584" spans="1:28" s="4" customFormat="1" ht="51.95" customHeight="1">
      <c r="A5584" s="5">
        <v>0</v>
      </c>
      <c r="B5584" s="6" t="s">
        <v>32735</v>
      </c>
      <c r="C5584" s="7">
        <v>970</v>
      </c>
      <c r="D5584" s="8" t="s">
        <v>32736</v>
      </c>
      <c r="E5584" s="8" t="s">
        <v>32737</v>
      </c>
      <c r="F5584" s="8" t="s">
        <v>32738</v>
      </c>
      <c r="G5584" s="6" t="s">
        <v>89</v>
      </c>
      <c r="H5584" s="6" t="s">
        <v>53</v>
      </c>
      <c r="I5584" s="8" t="s">
        <v>90</v>
      </c>
      <c r="J5584" s="9">
        <v>1</v>
      </c>
      <c r="K5584" s="9">
        <v>254</v>
      </c>
      <c r="L5584" s="9">
        <v>2022</v>
      </c>
      <c r="M5584" s="8" t="s">
        <v>32739</v>
      </c>
      <c r="N5584" s="8" t="s">
        <v>41</v>
      </c>
      <c r="O5584" s="8" t="s">
        <v>1007</v>
      </c>
      <c r="P5584" s="6" t="s">
        <v>43</v>
      </c>
      <c r="Q5584" s="8" t="s">
        <v>44</v>
      </c>
      <c r="R5584" s="10" t="s">
        <v>3481</v>
      </c>
      <c r="S5584" s="11" t="s">
        <v>11276</v>
      </c>
      <c r="T5584" s="6"/>
      <c r="U5584" s="24" t="str">
        <f>HYPERLINK("https://media.infra-m.ru/1836/1836721/cover/1836721.jpg", "Обложка")</f>
        <v>Обложка</v>
      </c>
      <c r="V5584" s="24" t="str">
        <f>HYPERLINK("https://znanium.ru/catalog/product/1836721", "Ознакомиться")</f>
        <v>Ознакомиться</v>
      </c>
      <c r="W5584" s="8" t="s">
        <v>3333</v>
      </c>
      <c r="X5584" s="6"/>
      <c r="Y5584" s="6"/>
      <c r="Z5584" s="6"/>
      <c r="AA5584" s="6" t="s">
        <v>151</v>
      </c>
      <c r="AB5584" s="8"/>
    </row>
    <row r="5585" spans="1:28" s="4" customFormat="1" ht="51.95" customHeight="1">
      <c r="A5585" s="5">
        <v>0</v>
      </c>
      <c r="B5585" s="6" t="s">
        <v>32740</v>
      </c>
      <c r="C5585" s="13">
        <v>1140</v>
      </c>
      <c r="D5585" s="8" t="s">
        <v>32741</v>
      </c>
      <c r="E5585" s="8" t="s">
        <v>32737</v>
      </c>
      <c r="F5585" s="8" t="s">
        <v>32738</v>
      </c>
      <c r="G5585" s="6" t="s">
        <v>89</v>
      </c>
      <c r="H5585" s="6" t="s">
        <v>53</v>
      </c>
      <c r="I5585" s="8" t="s">
        <v>100</v>
      </c>
      <c r="J5585" s="9">
        <v>1</v>
      </c>
      <c r="K5585" s="9">
        <v>254</v>
      </c>
      <c r="L5585" s="9">
        <v>2023</v>
      </c>
      <c r="M5585" s="8" t="s">
        <v>32742</v>
      </c>
      <c r="N5585" s="8" t="s">
        <v>41</v>
      </c>
      <c r="O5585" s="8" t="s">
        <v>1007</v>
      </c>
      <c r="P5585" s="6" t="s">
        <v>43</v>
      </c>
      <c r="Q5585" s="8" t="s">
        <v>102</v>
      </c>
      <c r="R5585" s="10" t="s">
        <v>32743</v>
      </c>
      <c r="S5585" s="11" t="s">
        <v>32744</v>
      </c>
      <c r="T5585" s="6"/>
      <c r="U5585" s="24" t="str">
        <f>HYPERLINK("https://media.infra-m.ru/1920/1920309/cover/1920309.jpg", "Обложка")</f>
        <v>Обложка</v>
      </c>
      <c r="V5585" s="24" t="str">
        <f>HYPERLINK("https://znanium.ru/catalog/product/1920309", "Ознакомиться")</f>
        <v>Ознакомиться</v>
      </c>
      <c r="W5585" s="8" t="s">
        <v>3333</v>
      </c>
      <c r="X5585" s="6"/>
      <c r="Y5585" s="6"/>
      <c r="Z5585" s="6" t="s">
        <v>104</v>
      </c>
      <c r="AA5585" s="6" t="s">
        <v>258</v>
      </c>
      <c r="AB5585" s="8"/>
    </row>
    <row r="5586" spans="1:28" s="4" customFormat="1" ht="51.95" customHeight="1">
      <c r="A5586" s="5">
        <v>0</v>
      </c>
      <c r="B5586" s="6" t="s">
        <v>32745</v>
      </c>
      <c r="C5586" s="7">
        <v>990</v>
      </c>
      <c r="D5586" s="8" t="s">
        <v>32746</v>
      </c>
      <c r="E5586" s="8" t="s">
        <v>32747</v>
      </c>
      <c r="F5586" s="8" t="s">
        <v>32748</v>
      </c>
      <c r="G5586" s="6" t="s">
        <v>89</v>
      </c>
      <c r="H5586" s="6" t="s">
        <v>77</v>
      </c>
      <c r="I5586" s="8" t="s">
        <v>116</v>
      </c>
      <c r="J5586" s="9">
        <v>1</v>
      </c>
      <c r="K5586" s="9">
        <v>188</v>
      </c>
      <c r="L5586" s="9">
        <v>2025</v>
      </c>
      <c r="M5586" s="8" t="s">
        <v>32749</v>
      </c>
      <c r="N5586" s="8" t="s">
        <v>41</v>
      </c>
      <c r="O5586" s="8" t="s">
        <v>1007</v>
      </c>
      <c r="P5586" s="6" t="s">
        <v>43</v>
      </c>
      <c r="Q5586" s="8" t="s">
        <v>44</v>
      </c>
      <c r="R5586" s="10" t="s">
        <v>32750</v>
      </c>
      <c r="S5586" s="11"/>
      <c r="T5586" s="6"/>
      <c r="U5586" s="24" t="str">
        <f>HYPERLINK("https://media.infra-m.ru/2186/2186872/cover/2186872.jpg", "Обложка")</f>
        <v>Обложка</v>
      </c>
      <c r="V5586" s="24" t="str">
        <f>HYPERLINK("https://znanium.ru/catalog/product/2186872", "Ознакомиться")</f>
        <v>Ознакомиться</v>
      </c>
      <c r="W5586" s="8" t="s">
        <v>83</v>
      </c>
      <c r="X5586" s="6"/>
      <c r="Y5586" s="6"/>
      <c r="Z5586" s="6"/>
      <c r="AA5586" s="6" t="s">
        <v>644</v>
      </c>
      <c r="AB5586" s="8"/>
    </row>
    <row r="5587" spans="1:28" s="4" customFormat="1" ht="51.95" customHeight="1">
      <c r="A5587" s="5">
        <v>0</v>
      </c>
      <c r="B5587" s="6" t="s">
        <v>32751</v>
      </c>
      <c r="C5587" s="13">
        <v>1750</v>
      </c>
      <c r="D5587" s="8" t="s">
        <v>32752</v>
      </c>
      <c r="E5587" s="8" t="s">
        <v>32753</v>
      </c>
      <c r="F5587" s="8" t="s">
        <v>32754</v>
      </c>
      <c r="G5587" s="6" t="s">
        <v>89</v>
      </c>
      <c r="H5587" s="6" t="s">
        <v>53</v>
      </c>
      <c r="I5587" s="8" t="s">
        <v>276</v>
      </c>
      <c r="J5587" s="9">
        <v>1</v>
      </c>
      <c r="K5587" s="9">
        <v>377</v>
      </c>
      <c r="L5587" s="9">
        <v>2023</v>
      </c>
      <c r="M5587" s="8" t="s">
        <v>32755</v>
      </c>
      <c r="N5587" s="8" t="s">
        <v>41</v>
      </c>
      <c r="O5587" s="8" t="s">
        <v>1007</v>
      </c>
      <c r="P5587" s="6" t="s">
        <v>43</v>
      </c>
      <c r="Q5587" s="8" t="s">
        <v>279</v>
      </c>
      <c r="R5587" s="10" t="s">
        <v>32756</v>
      </c>
      <c r="S5587" s="11" t="s">
        <v>32757</v>
      </c>
      <c r="T5587" s="6"/>
      <c r="U5587" s="24" t="str">
        <f>HYPERLINK("https://media.infra-m.ru/2038/2038325/cover/2038325.jpg", "Обложка")</f>
        <v>Обложка</v>
      </c>
      <c r="V5587" s="24" t="str">
        <f>HYPERLINK("https://znanium.ru/catalog/product/2038325", "Ознакомиться")</f>
        <v>Ознакомиться</v>
      </c>
      <c r="W5587" s="8" t="s">
        <v>15504</v>
      </c>
      <c r="X5587" s="6"/>
      <c r="Y5587" s="6"/>
      <c r="Z5587" s="6"/>
      <c r="AA5587" s="6" t="s">
        <v>95</v>
      </c>
      <c r="AB5587" s="8"/>
    </row>
    <row r="5588" spans="1:28" s="4" customFormat="1" ht="42" customHeight="1">
      <c r="A5588" s="5">
        <v>0</v>
      </c>
      <c r="B5588" s="6" t="s">
        <v>32758</v>
      </c>
      <c r="C5588" s="7">
        <v>584.9</v>
      </c>
      <c r="D5588" s="8" t="s">
        <v>32759</v>
      </c>
      <c r="E5588" s="8" t="s">
        <v>32760</v>
      </c>
      <c r="F5588" s="8" t="s">
        <v>32761</v>
      </c>
      <c r="G5588" s="6" t="s">
        <v>38</v>
      </c>
      <c r="H5588" s="6" t="s">
        <v>184</v>
      </c>
      <c r="I5588" s="8"/>
      <c r="J5588" s="9">
        <v>1</v>
      </c>
      <c r="K5588" s="9">
        <v>172</v>
      </c>
      <c r="L5588" s="9">
        <v>2020</v>
      </c>
      <c r="M5588" s="8" t="s">
        <v>32762</v>
      </c>
      <c r="N5588" s="8" t="s">
        <v>41</v>
      </c>
      <c r="O5588" s="8" t="s">
        <v>1007</v>
      </c>
      <c r="P5588" s="6" t="s">
        <v>167</v>
      </c>
      <c r="Q5588" s="8" t="s">
        <v>44</v>
      </c>
      <c r="R5588" s="10" t="s">
        <v>2461</v>
      </c>
      <c r="S5588" s="11"/>
      <c r="T5588" s="6"/>
      <c r="U5588" s="24" t="str">
        <f>HYPERLINK("https://media.infra-m.ru/1044/1044580/cover/1044580.jpg", "Обложка")</f>
        <v>Обложка</v>
      </c>
      <c r="V5588" s="24" t="str">
        <f>HYPERLINK("https://znanium.ru/catalog/product/947682", "Ознакомиться")</f>
        <v>Ознакомиться</v>
      </c>
      <c r="W5588" s="8" t="s">
        <v>18724</v>
      </c>
      <c r="X5588" s="6"/>
      <c r="Y5588" s="6"/>
      <c r="Z5588" s="6"/>
      <c r="AA5588" s="6" t="s">
        <v>151</v>
      </c>
      <c r="AB5588" s="8"/>
    </row>
    <row r="5589" spans="1:28" s="4" customFormat="1" ht="44.1" customHeight="1">
      <c r="A5589" s="5">
        <v>0</v>
      </c>
      <c r="B5589" s="6" t="s">
        <v>32763</v>
      </c>
      <c r="C5589" s="7">
        <v>734</v>
      </c>
      <c r="D5589" s="8" t="s">
        <v>32764</v>
      </c>
      <c r="E5589" s="8" t="s">
        <v>32765</v>
      </c>
      <c r="F5589" s="8" t="s">
        <v>32766</v>
      </c>
      <c r="G5589" s="6" t="s">
        <v>52</v>
      </c>
      <c r="H5589" s="6" t="s">
        <v>53</v>
      </c>
      <c r="I5589" s="8" t="s">
        <v>90</v>
      </c>
      <c r="J5589" s="9">
        <v>1</v>
      </c>
      <c r="K5589" s="9">
        <v>161</v>
      </c>
      <c r="L5589" s="9">
        <v>2023</v>
      </c>
      <c r="M5589" s="8" t="s">
        <v>32767</v>
      </c>
      <c r="N5589" s="8" t="s">
        <v>41</v>
      </c>
      <c r="O5589" s="8" t="s">
        <v>1007</v>
      </c>
      <c r="P5589" s="6" t="s">
        <v>43</v>
      </c>
      <c r="Q5589" s="8" t="s">
        <v>44</v>
      </c>
      <c r="R5589" s="10" t="s">
        <v>3481</v>
      </c>
      <c r="S5589" s="11"/>
      <c r="T5589" s="6"/>
      <c r="U5589" s="24" t="str">
        <f>HYPERLINK("https://media.infra-m.ru/2006/2006046/cover/2006046.jpg", "Обложка")</f>
        <v>Обложка</v>
      </c>
      <c r="V5589" s="24" t="str">
        <f>HYPERLINK("https://znanium.ru/catalog/product/2006046", "Ознакомиться")</f>
        <v>Ознакомиться</v>
      </c>
      <c r="W5589" s="8" t="s">
        <v>83</v>
      </c>
      <c r="X5589" s="6"/>
      <c r="Y5589" s="6"/>
      <c r="Z5589" s="6"/>
      <c r="AA5589" s="6" t="s">
        <v>151</v>
      </c>
      <c r="AB5589" s="8"/>
    </row>
    <row r="5590" spans="1:28" s="4" customFormat="1" ht="51.95" customHeight="1">
      <c r="A5590" s="5">
        <v>0</v>
      </c>
      <c r="B5590" s="6" t="s">
        <v>32768</v>
      </c>
      <c r="C5590" s="13">
        <v>1490</v>
      </c>
      <c r="D5590" s="8" t="s">
        <v>32769</v>
      </c>
      <c r="E5590" s="8" t="s">
        <v>32770</v>
      </c>
      <c r="F5590" s="8" t="s">
        <v>32771</v>
      </c>
      <c r="G5590" s="6" t="s">
        <v>52</v>
      </c>
      <c r="H5590" s="6" t="s">
        <v>53</v>
      </c>
      <c r="I5590" s="8" t="s">
        <v>116</v>
      </c>
      <c r="J5590" s="9">
        <v>1</v>
      </c>
      <c r="K5590" s="9">
        <v>277</v>
      </c>
      <c r="L5590" s="9">
        <v>2025</v>
      </c>
      <c r="M5590" s="8" t="s">
        <v>32772</v>
      </c>
      <c r="N5590" s="8" t="s">
        <v>41</v>
      </c>
      <c r="O5590" s="8" t="s">
        <v>1007</v>
      </c>
      <c r="P5590" s="6" t="s">
        <v>167</v>
      </c>
      <c r="Q5590" s="8" t="s">
        <v>44</v>
      </c>
      <c r="R5590" s="10" t="s">
        <v>2461</v>
      </c>
      <c r="S5590" s="11" t="s">
        <v>32773</v>
      </c>
      <c r="T5590" s="6"/>
      <c r="U5590" s="24" t="str">
        <f>HYPERLINK("https://media.infra-m.ru/2141/2141896/cover/2141896.jpg", "Обложка")</f>
        <v>Обложка</v>
      </c>
      <c r="V5590" s="24" t="str">
        <f>HYPERLINK("https://znanium.ru/catalog/product/2141896", "Ознакомиться")</f>
        <v>Ознакомиться</v>
      </c>
      <c r="W5590" s="8" t="s">
        <v>5435</v>
      </c>
      <c r="X5590" s="6" t="s">
        <v>60</v>
      </c>
      <c r="Y5590" s="6"/>
      <c r="Z5590" s="6"/>
      <c r="AA5590" s="6" t="s">
        <v>61</v>
      </c>
      <c r="AB5590" s="8"/>
    </row>
    <row r="5591" spans="1:28" s="4" customFormat="1" ht="51.95" customHeight="1">
      <c r="A5591" s="5">
        <v>0</v>
      </c>
      <c r="B5591" s="6" t="s">
        <v>32774</v>
      </c>
      <c r="C5591" s="13">
        <v>1364</v>
      </c>
      <c r="D5591" s="8" t="s">
        <v>32775</v>
      </c>
      <c r="E5591" s="8" t="s">
        <v>32776</v>
      </c>
      <c r="F5591" s="8" t="s">
        <v>32777</v>
      </c>
      <c r="G5591" s="6" t="s">
        <v>52</v>
      </c>
      <c r="H5591" s="6" t="s">
        <v>77</v>
      </c>
      <c r="I5591" s="8"/>
      <c r="J5591" s="9">
        <v>1</v>
      </c>
      <c r="K5591" s="9">
        <v>302</v>
      </c>
      <c r="L5591" s="9">
        <v>2023</v>
      </c>
      <c r="M5591" s="8" t="s">
        <v>32778</v>
      </c>
      <c r="N5591" s="8" t="s">
        <v>41</v>
      </c>
      <c r="O5591" s="8" t="s">
        <v>1007</v>
      </c>
      <c r="P5591" s="6" t="s">
        <v>43</v>
      </c>
      <c r="Q5591" s="8" t="s">
        <v>44</v>
      </c>
      <c r="R5591" s="10" t="s">
        <v>1278</v>
      </c>
      <c r="S5591" s="11"/>
      <c r="T5591" s="6"/>
      <c r="U5591" s="24" t="str">
        <f>HYPERLINK("https://media.infra-m.ru/2044/2044354/cover/2044354.jpg", "Обложка")</f>
        <v>Обложка</v>
      </c>
      <c r="V5591" s="24" t="str">
        <f>HYPERLINK("https://znanium.ru/catalog/product/2044354", "Ознакомиться")</f>
        <v>Ознакомиться</v>
      </c>
      <c r="W5591" s="8" t="s">
        <v>14156</v>
      </c>
      <c r="X5591" s="6"/>
      <c r="Y5591" s="6"/>
      <c r="Z5591" s="6"/>
      <c r="AA5591" s="6" t="s">
        <v>122</v>
      </c>
      <c r="AB5591" s="8"/>
    </row>
    <row r="5592" spans="1:28" s="4" customFormat="1" ht="51.95" customHeight="1">
      <c r="A5592" s="5">
        <v>0</v>
      </c>
      <c r="B5592" s="6" t="s">
        <v>32779</v>
      </c>
      <c r="C5592" s="13">
        <v>1650</v>
      </c>
      <c r="D5592" s="8" t="s">
        <v>32780</v>
      </c>
      <c r="E5592" s="8" t="s">
        <v>32781</v>
      </c>
      <c r="F5592" s="8" t="s">
        <v>32782</v>
      </c>
      <c r="G5592" s="6" t="s">
        <v>89</v>
      </c>
      <c r="H5592" s="6" t="s">
        <v>53</v>
      </c>
      <c r="I5592" s="8" t="s">
        <v>90</v>
      </c>
      <c r="J5592" s="9">
        <v>1</v>
      </c>
      <c r="K5592" s="9">
        <v>365</v>
      </c>
      <c r="L5592" s="9">
        <v>2023</v>
      </c>
      <c r="M5592" s="8" t="s">
        <v>32783</v>
      </c>
      <c r="N5592" s="8" t="s">
        <v>41</v>
      </c>
      <c r="O5592" s="8" t="s">
        <v>1007</v>
      </c>
      <c r="P5592" s="6" t="s">
        <v>43</v>
      </c>
      <c r="Q5592" s="8" t="s">
        <v>44</v>
      </c>
      <c r="R5592" s="10" t="s">
        <v>2713</v>
      </c>
      <c r="S5592" s="11" t="s">
        <v>1217</v>
      </c>
      <c r="T5592" s="6" t="s">
        <v>299</v>
      </c>
      <c r="U5592" s="24" t="str">
        <f>HYPERLINK("https://media.infra-m.ru/1913/1913242/cover/1913242.jpg", "Обложка")</f>
        <v>Обложка</v>
      </c>
      <c r="V5592" s="24" t="str">
        <f>HYPERLINK("https://znanium.ru/catalog/product/1913242", "Ознакомиться")</f>
        <v>Ознакомиться</v>
      </c>
      <c r="W5592" s="8"/>
      <c r="X5592" s="6"/>
      <c r="Y5592" s="6"/>
      <c r="Z5592" s="6"/>
      <c r="AA5592" s="6" t="s">
        <v>1374</v>
      </c>
      <c r="AB5592" s="8"/>
    </row>
    <row r="5593" spans="1:28" s="4" customFormat="1" ht="51.95" customHeight="1">
      <c r="A5593" s="5">
        <v>0</v>
      </c>
      <c r="B5593" s="6" t="s">
        <v>32784</v>
      </c>
      <c r="C5593" s="7">
        <v>754.9</v>
      </c>
      <c r="D5593" s="8" t="s">
        <v>32785</v>
      </c>
      <c r="E5593" s="8" t="s">
        <v>32786</v>
      </c>
      <c r="F5593" s="8" t="s">
        <v>32782</v>
      </c>
      <c r="G5593" s="6" t="s">
        <v>52</v>
      </c>
      <c r="H5593" s="6" t="s">
        <v>53</v>
      </c>
      <c r="I5593" s="8" t="s">
        <v>90</v>
      </c>
      <c r="J5593" s="9">
        <v>20</v>
      </c>
      <c r="K5593" s="9">
        <v>345</v>
      </c>
      <c r="L5593" s="9">
        <v>2016</v>
      </c>
      <c r="M5593" s="8" t="s">
        <v>32787</v>
      </c>
      <c r="N5593" s="8" t="s">
        <v>41</v>
      </c>
      <c r="O5593" s="8" t="s">
        <v>1007</v>
      </c>
      <c r="P5593" s="6" t="s">
        <v>43</v>
      </c>
      <c r="Q5593" s="8" t="s">
        <v>44</v>
      </c>
      <c r="R5593" s="10" t="s">
        <v>2713</v>
      </c>
      <c r="S5593" s="11" t="s">
        <v>1217</v>
      </c>
      <c r="T5593" s="6"/>
      <c r="U5593" s="24" t="str">
        <f>HYPERLINK("https://media.infra-m.ru/0566/0566280/cover/566280.jpg", "Обложка")</f>
        <v>Обложка</v>
      </c>
      <c r="V5593" s="24" t="str">
        <f>HYPERLINK("https://znanium.ru/catalog/product/1913242", "Ознакомиться")</f>
        <v>Ознакомиться</v>
      </c>
      <c r="W5593" s="8"/>
      <c r="X5593" s="6"/>
      <c r="Y5593" s="6"/>
      <c r="Z5593" s="6"/>
      <c r="AA5593" s="6" t="s">
        <v>84</v>
      </c>
      <c r="AB5593" s="8"/>
    </row>
    <row r="5594" spans="1:28" s="4" customFormat="1" ht="51.95" customHeight="1">
      <c r="A5594" s="5">
        <v>0</v>
      </c>
      <c r="B5594" s="6" t="s">
        <v>32788</v>
      </c>
      <c r="C5594" s="13">
        <v>1604</v>
      </c>
      <c r="D5594" s="8" t="s">
        <v>32789</v>
      </c>
      <c r="E5594" s="8" t="s">
        <v>32790</v>
      </c>
      <c r="F5594" s="8" t="s">
        <v>32791</v>
      </c>
      <c r="G5594" s="6" t="s">
        <v>52</v>
      </c>
      <c r="H5594" s="6" t="s">
        <v>53</v>
      </c>
      <c r="I5594" s="8" t="s">
        <v>90</v>
      </c>
      <c r="J5594" s="9">
        <v>1</v>
      </c>
      <c r="K5594" s="9">
        <v>308</v>
      </c>
      <c r="L5594" s="9">
        <v>2025</v>
      </c>
      <c r="M5594" s="8" t="s">
        <v>32792</v>
      </c>
      <c r="N5594" s="8" t="s">
        <v>41</v>
      </c>
      <c r="O5594" s="8" t="s">
        <v>1007</v>
      </c>
      <c r="P5594" s="6" t="s">
        <v>43</v>
      </c>
      <c r="Q5594" s="8" t="s">
        <v>44</v>
      </c>
      <c r="R5594" s="10" t="s">
        <v>1291</v>
      </c>
      <c r="S5594" s="11" t="s">
        <v>32793</v>
      </c>
      <c r="T5594" s="6"/>
      <c r="U5594" s="24" t="str">
        <f>HYPERLINK("https://media.infra-m.ru/2196/2196068/cover/2196068.jpg", "Обложка")</f>
        <v>Обложка</v>
      </c>
      <c r="V5594" s="24" t="str">
        <f>HYPERLINK("https://znanium.ru/catalog/product/1981608", "Ознакомиться")</f>
        <v>Ознакомиться</v>
      </c>
      <c r="W5594" s="8" t="s">
        <v>637</v>
      </c>
      <c r="X5594" s="6"/>
      <c r="Y5594" s="6"/>
      <c r="Z5594" s="6"/>
      <c r="AA5594" s="6" t="s">
        <v>1374</v>
      </c>
      <c r="AB5594" s="8"/>
    </row>
    <row r="5595" spans="1:28" s="4" customFormat="1" ht="51.95" customHeight="1">
      <c r="A5595" s="5">
        <v>0</v>
      </c>
      <c r="B5595" s="6" t="s">
        <v>32794</v>
      </c>
      <c r="C5595" s="7">
        <v>934.9</v>
      </c>
      <c r="D5595" s="8" t="s">
        <v>32795</v>
      </c>
      <c r="E5595" s="8" t="s">
        <v>32796</v>
      </c>
      <c r="F5595" s="8" t="s">
        <v>32791</v>
      </c>
      <c r="G5595" s="6" t="s">
        <v>52</v>
      </c>
      <c r="H5595" s="6" t="s">
        <v>53</v>
      </c>
      <c r="I5595" s="8" t="s">
        <v>90</v>
      </c>
      <c r="J5595" s="9">
        <v>1</v>
      </c>
      <c r="K5595" s="9">
        <v>298</v>
      </c>
      <c r="L5595" s="9">
        <v>2018</v>
      </c>
      <c r="M5595" s="8" t="s">
        <v>32797</v>
      </c>
      <c r="N5595" s="8" t="s">
        <v>41</v>
      </c>
      <c r="O5595" s="8" t="s">
        <v>1007</v>
      </c>
      <c r="P5595" s="6" t="s">
        <v>43</v>
      </c>
      <c r="Q5595" s="8" t="s">
        <v>44</v>
      </c>
      <c r="R5595" s="10" t="s">
        <v>1291</v>
      </c>
      <c r="S5595" s="11" t="s">
        <v>32798</v>
      </c>
      <c r="T5595" s="6"/>
      <c r="U5595" s="24" t="str">
        <f>HYPERLINK("https://media.infra-m.ru/0971/0971373/cover/971373.jpg", "Обложка")</f>
        <v>Обложка</v>
      </c>
      <c r="V5595" s="24" t="str">
        <f>HYPERLINK("https://znanium.ru/catalog/product/1981608", "Ознакомиться")</f>
        <v>Ознакомиться</v>
      </c>
      <c r="W5595" s="8" t="s">
        <v>637</v>
      </c>
      <c r="X5595" s="6"/>
      <c r="Y5595" s="6"/>
      <c r="Z5595" s="6"/>
      <c r="AA5595" s="6" t="s">
        <v>111</v>
      </c>
      <c r="AB5595" s="8"/>
    </row>
    <row r="5596" spans="1:28" s="4" customFormat="1" ht="51.95" customHeight="1">
      <c r="A5596" s="5">
        <v>0</v>
      </c>
      <c r="B5596" s="6" t="s">
        <v>32799</v>
      </c>
      <c r="C5596" s="7">
        <v>600</v>
      </c>
      <c r="D5596" s="8" t="s">
        <v>32800</v>
      </c>
      <c r="E5596" s="8" t="s">
        <v>32801</v>
      </c>
      <c r="F5596" s="8" t="s">
        <v>32802</v>
      </c>
      <c r="G5596" s="6" t="s">
        <v>38</v>
      </c>
      <c r="H5596" s="6" t="s">
        <v>53</v>
      </c>
      <c r="I5596" s="8" t="s">
        <v>2356</v>
      </c>
      <c r="J5596" s="9">
        <v>1</v>
      </c>
      <c r="K5596" s="9">
        <v>130</v>
      </c>
      <c r="L5596" s="9">
        <v>2024</v>
      </c>
      <c r="M5596" s="8" t="s">
        <v>32803</v>
      </c>
      <c r="N5596" s="8" t="s">
        <v>413</v>
      </c>
      <c r="O5596" s="8" t="s">
        <v>1528</v>
      </c>
      <c r="P5596" s="6" t="s">
        <v>43</v>
      </c>
      <c r="Q5596" s="8" t="s">
        <v>58</v>
      </c>
      <c r="R5596" s="10" t="s">
        <v>32804</v>
      </c>
      <c r="S5596" s="11" t="s">
        <v>32805</v>
      </c>
      <c r="T5596" s="6"/>
      <c r="U5596" s="24" t="str">
        <f>HYPERLINK("https://media.infra-m.ru/2082/2082080/cover/2082080.jpg", "Обложка")</f>
        <v>Обложка</v>
      </c>
      <c r="V5596" s="24" t="str">
        <f>HYPERLINK("https://znanium.ru/catalog/product/2082080", "Ознакомиться")</f>
        <v>Ознакомиться</v>
      </c>
      <c r="W5596" s="8" t="s">
        <v>1514</v>
      </c>
      <c r="X5596" s="6"/>
      <c r="Y5596" s="6"/>
      <c r="Z5596" s="6"/>
      <c r="AA5596" s="6" t="s">
        <v>418</v>
      </c>
      <c r="AB5596" s="8"/>
    </row>
    <row r="5597" spans="1:28" s="4" customFormat="1" ht="51.95" customHeight="1">
      <c r="A5597" s="5">
        <v>0</v>
      </c>
      <c r="B5597" s="6" t="s">
        <v>32806</v>
      </c>
      <c r="C5597" s="7">
        <v>270</v>
      </c>
      <c r="D5597" s="8" t="s">
        <v>32807</v>
      </c>
      <c r="E5597" s="8" t="s">
        <v>32808</v>
      </c>
      <c r="F5597" s="8" t="s">
        <v>32809</v>
      </c>
      <c r="G5597" s="6" t="s">
        <v>38</v>
      </c>
      <c r="H5597" s="6" t="s">
        <v>53</v>
      </c>
      <c r="I5597" s="8" t="s">
        <v>90</v>
      </c>
      <c r="J5597" s="9">
        <v>1</v>
      </c>
      <c r="K5597" s="9">
        <v>88</v>
      </c>
      <c r="L5597" s="9">
        <v>2019</v>
      </c>
      <c r="M5597" s="8" t="s">
        <v>32810</v>
      </c>
      <c r="N5597" s="8" t="s">
        <v>41</v>
      </c>
      <c r="O5597" s="8" t="s">
        <v>1007</v>
      </c>
      <c r="P5597" s="6" t="s">
        <v>43</v>
      </c>
      <c r="Q5597" s="8" t="s">
        <v>44</v>
      </c>
      <c r="R5597" s="10" t="s">
        <v>3481</v>
      </c>
      <c r="S5597" s="11" t="s">
        <v>32811</v>
      </c>
      <c r="T5597" s="6" t="s">
        <v>299</v>
      </c>
      <c r="U5597" s="24" t="str">
        <f>HYPERLINK("https://media.infra-m.ru/1020/1020009/cover/1020009.jpg", "Обложка")</f>
        <v>Обложка</v>
      </c>
      <c r="V5597" s="24" t="str">
        <f>HYPERLINK("https://znanium.ru/catalog/product/2188730", "Ознакомиться")</f>
        <v>Ознакомиться</v>
      </c>
      <c r="W5597" s="8" t="s">
        <v>83</v>
      </c>
      <c r="X5597" s="6"/>
      <c r="Y5597" s="6"/>
      <c r="Z5597" s="6"/>
      <c r="AA5597" s="6" t="s">
        <v>72</v>
      </c>
      <c r="AB5597" s="8"/>
    </row>
    <row r="5598" spans="1:28" s="4" customFormat="1" ht="51.95" customHeight="1">
      <c r="A5598" s="5">
        <v>0</v>
      </c>
      <c r="B5598" s="6" t="s">
        <v>32812</v>
      </c>
      <c r="C5598" s="7">
        <v>720</v>
      </c>
      <c r="D5598" s="8" t="s">
        <v>32813</v>
      </c>
      <c r="E5598" s="8" t="s">
        <v>32814</v>
      </c>
      <c r="F5598" s="8" t="s">
        <v>32815</v>
      </c>
      <c r="G5598" s="6" t="s">
        <v>38</v>
      </c>
      <c r="H5598" s="6" t="s">
        <v>53</v>
      </c>
      <c r="I5598" s="8" t="s">
        <v>116</v>
      </c>
      <c r="J5598" s="9">
        <v>1</v>
      </c>
      <c r="K5598" s="9">
        <v>132</v>
      </c>
      <c r="L5598" s="9">
        <v>2025</v>
      </c>
      <c r="M5598" s="8" t="s">
        <v>32816</v>
      </c>
      <c r="N5598" s="8" t="s">
        <v>41</v>
      </c>
      <c r="O5598" s="8" t="s">
        <v>1007</v>
      </c>
      <c r="P5598" s="6" t="s">
        <v>43</v>
      </c>
      <c r="Q5598" s="8" t="s">
        <v>58</v>
      </c>
      <c r="R5598" s="10" t="s">
        <v>3481</v>
      </c>
      <c r="S5598" s="11" t="s">
        <v>32817</v>
      </c>
      <c r="T5598" s="6" t="s">
        <v>299</v>
      </c>
      <c r="U5598" s="24" t="str">
        <f>HYPERLINK("https://media.infra-m.ru/2188/2188730/cover/2188730.jpg", "Обложка")</f>
        <v>Обложка</v>
      </c>
      <c r="V5598" s="24" t="str">
        <f>HYPERLINK("https://znanium.ru/catalog/product/2188730", "Ознакомиться")</f>
        <v>Ознакомиться</v>
      </c>
      <c r="W5598" s="8" t="s">
        <v>83</v>
      </c>
      <c r="X5598" s="6"/>
      <c r="Y5598" s="6"/>
      <c r="Z5598" s="6"/>
      <c r="AA5598" s="6" t="s">
        <v>95</v>
      </c>
      <c r="AB5598" s="8"/>
    </row>
    <row r="5599" spans="1:28" s="4" customFormat="1" ht="51.95" customHeight="1">
      <c r="A5599" s="5">
        <v>0</v>
      </c>
      <c r="B5599" s="6" t="s">
        <v>32818</v>
      </c>
      <c r="C5599" s="13">
        <v>2280</v>
      </c>
      <c r="D5599" s="8" t="s">
        <v>32819</v>
      </c>
      <c r="E5599" s="8" t="s">
        <v>32820</v>
      </c>
      <c r="F5599" s="8" t="s">
        <v>32821</v>
      </c>
      <c r="G5599" s="6" t="s">
        <v>52</v>
      </c>
      <c r="H5599" s="6" t="s">
        <v>53</v>
      </c>
      <c r="I5599" s="8" t="s">
        <v>116</v>
      </c>
      <c r="J5599" s="9">
        <v>1</v>
      </c>
      <c r="K5599" s="9">
        <v>454</v>
      </c>
      <c r="L5599" s="9">
        <v>2024</v>
      </c>
      <c r="M5599" s="8" t="s">
        <v>32822</v>
      </c>
      <c r="N5599" s="8" t="s">
        <v>79</v>
      </c>
      <c r="O5599" s="8" t="s">
        <v>174</v>
      </c>
      <c r="P5599" s="6" t="s">
        <v>167</v>
      </c>
      <c r="Q5599" s="8" t="s">
        <v>214</v>
      </c>
      <c r="R5599" s="10" t="s">
        <v>18614</v>
      </c>
      <c r="S5599" s="11" t="s">
        <v>32823</v>
      </c>
      <c r="T5599" s="6"/>
      <c r="U5599" s="24" t="str">
        <f>HYPERLINK("https://media.infra-m.ru/2170/2170985/cover/2170985.jpg", "Обложка")</f>
        <v>Обложка</v>
      </c>
      <c r="V5599" s="24" t="str">
        <f>HYPERLINK("https://znanium.ru/catalog/product/2170985", "Ознакомиться")</f>
        <v>Ознакомиться</v>
      </c>
      <c r="W5599" s="8" t="s">
        <v>32824</v>
      </c>
      <c r="X5599" s="6"/>
      <c r="Y5599" s="6"/>
      <c r="Z5599" s="6"/>
      <c r="AA5599" s="6" t="s">
        <v>111</v>
      </c>
      <c r="AB5599" s="8"/>
    </row>
    <row r="5600" spans="1:28" s="4" customFormat="1" ht="51.95" customHeight="1">
      <c r="A5600" s="5">
        <v>0</v>
      </c>
      <c r="B5600" s="6" t="s">
        <v>32825</v>
      </c>
      <c r="C5600" s="13">
        <v>2900</v>
      </c>
      <c r="D5600" s="8" t="s">
        <v>32826</v>
      </c>
      <c r="E5600" s="8" t="s">
        <v>32827</v>
      </c>
      <c r="F5600" s="8" t="s">
        <v>32821</v>
      </c>
      <c r="G5600" s="6" t="s">
        <v>52</v>
      </c>
      <c r="H5600" s="6" t="s">
        <v>53</v>
      </c>
      <c r="I5600" s="8" t="s">
        <v>212</v>
      </c>
      <c r="J5600" s="9">
        <v>1</v>
      </c>
      <c r="K5600" s="9">
        <v>639</v>
      </c>
      <c r="L5600" s="9">
        <v>2023</v>
      </c>
      <c r="M5600" s="8" t="s">
        <v>32828</v>
      </c>
      <c r="N5600" s="8" t="s">
        <v>79</v>
      </c>
      <c r="O5600" s="8" t="s">
        <v>174</v>
      </c>
      <c r="P5600" s="6" t="s">
        <v>167</v>
      </c>
      <c r="Q5600" s="8" t="s">
        <v>214</v>
      </c>
      <c r="R5600" s="10" t="s">
        <v>29333</v>
      </c>
      <c r="S5600" s="11" t="s">
        <v>32829</v>
      </c>
      <c r="T5600" s="6" t="s">
        <v>299</v>
      </c>
      <c r="U5600" s="24" t="str">
        <f>HYPERLINK("https://media.infra-m.ru/1911/1911118/cover/1911118.jpg", "Обложка")</f>
        <v>Обложка</v>
      </c>
      <c r="V5600" s="24" t="str">
        <f>HYPERLINK("https://znanium.ru/catalog/product/1911118", "Ознакомиться")</f>
        <v>Ознакомиться</v>
      </c>
      <c r="W5600" s="8" t="s">
        <v>32824</v>
      </c>
      <c r="X5600" s="6"/>
      <c r="Y5600" s="6"/>
      <c r="Z5600" s="6"/>
      <c r="AA5600" s="6" t="s">
        <v>442</v>
      </c>
      <c r="AB5600" s="8"/>
    </row>
    <row r="5601" spans="1:28" s="4" customFormat="1" ht="51.95" customHeight="1">
      <c r="A5601" s="5">
        <v>0</v>
      </c>
      <c r="B5601" s="6" t="s">
        <v>32830</v>
      </c>
      <c r="C5601" s="13">
        <v>2564</v>
      </c>
      <c r="D5601" s="8" t="s">
        <v>32831</v>
      </c>
      <c r="E5601" s="8" t="s">
        <v>32832</v>
      </c>
      <c r="F5601" s="8" t="s">
        <v>32833</v>
      </c>
      <c r="G5601" s="6" t="s">
        <v>52</v>
      </c>
      <c r="H5601" s="6" t="s">
        <v>39</v>
      </c>
      <c r="I5601" s="8" t="s">
        <v>185</v>
      </c>
      <c r="J5601" s="9">
        <v>1</v>
      </c>
      <c r="K5601" s="9">
        <v>512</v>
      </c>
      <c r="L5601" s="9">
        <v>2025</v>
      </c>
      <c r="M5601" s="8" t="s">
        <v>32834</v>
      </c>
      <c r="N5601" s="8" t="s">
        <v>413</v>
      </c>
      <c r="O5601" s="8" t="s">
        <v>1141</v>
      </c>
      <c r="P5601" s="6" t="s">
        <v>43</v>
      </c>
      <c r="Q5601" s="8" t="s">
        <v>102</v>
      </c>
      <c r="R5601" s="10" t="s">
        <v>4836</v>
      </c>
      <c r="S5601" s="11" t="s">
        <v>3075</v>
      </c>
      <c r="T5601" s="6"/>
      <c r="U5601" s="24" t="str">
        <f>HYPERLINK("https://media.infra-m.ru/2178/2178829/cover/2178829.jpg", "Обложка")</f>
        <v>Обложка</v>
      </c>
      <c r="V5601" s="24" t="str">
        <f>HYPERLINK("https://znanium.ru/catalog/product/1138798", "Ознакомиться")</f>
        <v>Ознакомиться</v>
      </c>
      <c r="W5601" s="8" t="s">
        <v>2878</v>
      </c>
      <c r="X5601" s="6"/>
      <c r="Y5601" s="6"/>
      <c r="Z5601" s="6"/>
      <c r="AA5601" s="6" t="s">
        <v>377</v>
      </c>
      <c r="AB5601" s="8"/>
    </row>
    <row r="5602" spans="1:28" s="4" customFormat="1" ht="51.95" customHeight="1">
      <c r="A5602" s="5">
        <v>0</v>
      </c>
      <c r="B5602" s="6" t="s">
        <v>32835</v>
      </c>
      <c r="C5602" s="13">
        <v>1530</v>
      </c>
      <c r="D5602" s="8" t="s">
        <v>32836</v>
      </c>
      <c r="E5602" s="8" t="s">
        <v>32837</v>
      </c>
      <c r="F5602" s="8" t="s">
        <v>32838</v>
      </c>
      <c r="G5602" s="6" t="s">
        <v>89</v>
      </c>
      <c r="H5602" s="6" t="s">
        <v>53</v>
      </c>
      <c r="I5602" s="8" t="s">
        <v>116</v>
      </c>
      <c r="J5602" s="9">
        <v>1</v>
      </c>
      <c r="K5602" s="9">
        <v>328</v>
      </c>
      <c r="L5602" s="9">
        <v>2024</v>
      </c>
      <c r="M5602" s="8" t="s">
        <v>32839</v>
      </c>
      <c r="N5602" s="8" t="s">
        <v>413</v>
      </c>
      <c r="O5602" s="8" t="s">
        <v>414</v>
      </c>
      <c r="P5602" s="6" t="s">
        <v>167</v>
      </c>
      <c r="Q5602" s="8" t="s">
        <v>58</v>
      </c>
      <c r="R5602" s="10" t="s">
        <v>32840</v>
      </c>
      <c r="S5602" s="11" t="s">
        <v>5245</v>
      </c>
      <c r="T5602" s="6"/>
      <c r="U5602" s="24" t="str">
        <f>HYPERLINK("https://media.infra-m.ru/2069/2069302/cover/2069302.jpg", "Обложка")</f>
        <v>Обложка</v>
      </c>
      <c r="V5602" s="24" t="str">
        <f>HYPERLINK("https://znanium.ru/catalog/product/2069302", "Ознакомиться")</f>
        <v>Ознакомиться</v>
      </c>
      <c r="W5602" s="8" t="s">
        <v>4293</v>
      </c>
      <c r="X5602" s="6"/>
      <c r="Y5602" s="6"/>
      <c r="Z5602" s="6"/>
      <c r="AA5602" s="6" t="s">
        <v>418</v>
      </c>
      <c r="AB5602" s="8"/>
    </row>
    <row r="5603" spans="1:28" s="4" customFormat="1" ht="51.95" customHeight="1">
      <c r="A5603" s="5">
        <v>0</v>
      </c>
      <c r="B5603" s="6" t="s">
        <v>32841</v>
      </c>
      <c r="C5603" s="13">
        <v>1054</v>
      </c>
      <c r="D5603" s="8" t="s">
        <v>32842</v>
      </c>
      <c r="E5603" s="8" t="s">
        <v>32837</v>
      </c>
      <c r="F5603" s="8" t="s">
        <v>32843</v>
      </c>
      <c r="G5603" s="6" t="s">
        <v>89</v>
      </c>
      <c r="H5603" s="6" t="s">
        <v>53</v>
      </c>
      <c r="I5603" s="8" t="s">
        <v>3356</v>
      </c>
      <c r="J5603" s="9">
        <v>1</v>
      </c>
      <c r="K5603" s="9">
        <v>229</v>
      </c>
      <c r="L5603" s="9">
        <v>2023</v>
      </c>
      <c r="M5603" s="8" t="s">
        <v>32844</v>
      </c>
      <c r="N5603" s="8" t="s">
        <v>413</v>
      </c>
      <c r="O5603" s="8" t="s">
        <v>414</v>
      </c>
      <c r="P5603" s="6" t="s">
        <v>43</v>
      </c>
      <c r="Q5603" s="8" t="s">
        <v>214</v>
      </c>
      <c r="R5603" s="10" t="s">
        <v>32845</v>
      </c>
      <c r="S5603" s="11" t="s">
        <v>32846</v>
      </c>
      <c r="T5603" s="6"/>
      <c r="U5603" s="24" t="str">
        <f>HYPERLINK("https://media.infra-m.ru/2127/2127613/cover/2127613.jpg", "Обложка")</f>
        <v>Обложка</v>
      </c>
      <c r="V5603" s="12"/>
      <c r="W5603" s="8" t="s">
        <v>784</v>
      </c>
      <c r="X5603" s="6"/>
      <c r="Y5603" s="6"/>
      <c r="Z5603" s="6"/>
      <c r="AA5603" s="6" t="s">
        <v>235</v>
      </c>
      <c r="AB5603" s="8"/>
    </row>
    <row r="5604" spans="1:28" s="4" customFormat="1" ht="42" customHeight="1">
      <c r="A5604" s="5">
        <v>0</v>
      </c>
      <c r="B5604" s="6" t="s">
        <v>32847</v>
      </c>
      <c r="C5604" s="7">
        <v>254</v>
      </c>
      <c r="D5604" s="8" t="s">
        <v>32848</v>
      </c>
      <c r="E5604" s="8" t="s">
        <v>32849</v>
      </c>
      <c r="F5604" s="8" t="s">
        <v>32850</v>
      </c>
      <c r="G5604" s="6" t="s">
        <v>38</v>
      </c>
      <c r="H5604" s="6" t="s">
        <v>184</v>
      </c>
      <c r="I5604" s="8" t="s">
        <v>116</v>
      </c>
      <c r="J5604" s="9">
        <v>1</v>
      </c>
      <c r="K5604" s="9">
        <v>52</v>
      </c>
      <c r="L5604" s="9">
        <v>2023</v>
      </c>
      <c r="M5604" s="8" t="s">
        <v>32851</v>
      </c>
      <c r="N5604" s="8" t="s">
        <v>413</v>
      </c>
      <c r="O5604" s="8" t="s">
        <v>1141</v>
      </c>
      <c r="P5604" s="6" t="s">
        <v>43</v>
      </c>
      <c r="Q5604" s="8" t="s">
        <v>58</v>
      </c>
      <c r="R5604" s="10" t="s">
        <v>32716</v>
      </c>
      <c r="S5604" s="11"/>
      <c r="T5604" s="6"/>
      <c r="U5604" s="24" t="str">
        <f>HYPERLINK("https://media.infra-m.ru/2044/2044329/cover/2044329.jpg", "Обложка")</f>
        <v>Обложка</v>
      </c>
      <c r="V5604" s="24" t="str">
        <f>HYPERLINK("https://znanium.ru/catalog/product/938078", "Ознакомиться")</f>
        <v>Ознакомиться</v>
      </c>
      <c r="W5604" s="8" t="s">
        <v>12025</v>
      </c>
      <c r="X5604" s="6"/>
      <c r="Y5604" s="6"/>
      <c r="Z5604" s="6"/>
      <c r="AA5604" s="6" t="s">
        <v>47</v>
      </c>
      <c r="AB5604" s="8"/>
    </row>
    <row r="5605" spans="1:28" s="4" customFormat="1" ht="51.95" customHeight="1">
      <c r="A5605" s="5">
        <v>0</v>
      </c>
      <c r="B5605" s="6" t="s">
        <v>32852</v>
      </c>
      <c r="C5605" s="13">
        <v>1604</v>
      </c>
      <c r="D5605" s="8" t="s">
        <v>32853</v>
      </c>
      <c r="E5605" s="8" t="s">
        <v>32854</v>
      </c>
      <c r="F5605" s="8" t="s">
        <v>32855</v>
      </c>
      <c r="G5605" s="6" t="s">
        <v>89</v>
      </c>
      <c r="H5605" s="6" t="s">
        <v>53</v>
      </c>
      <c r="I5605" s="8" t="s">
        <v>90</v>
      </c>
      <c r="J5605" s="9">
        <v>1</v>
      </c>
      <c r="K5605" s="9">
        <v>348</v>
      </c>
      <c r="L5605" s="9">
        <v>2023</v>
      </c>
      <c r="M5605" s="8" t="s">
        <v>32856</v>
      </c>
      <c r="N5605" s="8" t="s">
        <v>413</v>
      </c>
      <c r="O5605" s="8" t="s">
        <v>414</v>
      </c>
      <c r="P5605" s="6" t="s">
        <v>167</v>
      </c>
      <c r="Q5605" s="8" t="s">
        <v>44</v>
      </c>
      <c r="R5605" s="10" t="s">
        <v>5140</v>
      </c>
      <c r="S5605" s="11" t="s">
        <v>32857</v>
      </c>
      <c r="T5605" s="6"/>
      <c r="U5605" s="24" t="str">
        <f>HYPERLINK("https://media.infra-m.ru/2079/2079258/cover/2079258.jpg", "Обложка")</f>
        <v>Обложка</v>
      </c>
      <c r="V5605" s="24" t="str">
        <f>HYPERLINK("https://znanium.ru/catalog/product/2063430", "Ознакомиться")</f>
        <v>Ознакомиться</v>
      </c>
      <c r="W5605" s="8" t="s">
        <v>5019</v>
      </c>
      <c r="X5605" s="6"/>
      <c r="Y5605" s="6"/>
      <c r="Z5605" s="6"/>
      <c r="AA5605" s="6" t="s">
        <v>442</v>
      </c>
      <c r="AB5605" s="8"/>
    </row>
    <row r="5606" spans="1:28" s="4" customFormat="1" ht="51.95" customHeight="1">
      <c r="A5606" s="5">
        <v>0</v>
      </c>
      <c r="B5606" s="6" t="s">
        <v>32858</v>
      </c>
      <c r="C5606" s="13">
        <v>1200</v>
      </c>
      <c r="D5606" s="8" t="s">
        <v>32859</v>
      </c>
      <c r="E5606" s="8" t="s">
        <v>32860</v>
      </c>
      <c r="F5606" s="8" t="s">
        <v>32861</v>
      </c>
      <c r="G5606" s="6" t="s">
        <v>52</v>
      </c>
      <c r="H5606" s="6" t="s">
        <v>53</v>
      </c>
      <c r="I5606" s="8" t="s">
        <v>782</v>
      </c>
      <c r="J5606" s="9">
        <v>1</v>
      </c>
      <c r="K5606" s="9">
        <v>255</v>
      </c>
      <c r="L5606" s="9">
        <v>2024</v>
      </c>
      <c r="M5606" s="8" t="s">
        <v>32862</v>
      </c>
      <c r="N5606" s="8" t="s">
        <v>413</v>
      </c>
      <c r="O5606" s="8" t="s">
        <v>1141</v>
      </c>
      <c r="P5606" s="6" t="s">
        <v>43</v>
      </c>
      <c r="Q5606" s="8" t="s">
        <v>58</v>
      </c>
      <c r="R5606" s="10" t="s">
        <v>32863</v>
      </c>
      <c r="S5606" s="11"/>
      <c r="T5606" s="6"/>
      <c r="U5606" s="24" t="str">
        <f>HYPERLINK("https://media.infra-m.ru/2130/2130420/cover/2130420.jpg", "Обложка")</f>
        <v>Обложка</v>
      </c>
      <c r="V5606" s="12"/>
      <c r="W5606" s="8" t="s">
        <v>784</v>
      </c>
      <c r="X5606" s="6"/>
      <c r="Y5606" s="6"/>
      <c r="Z5606" s="6"/>
      <c r="AA5606" s="6" t="s">
        <v>133</v>
      </c>
      <c r="AB5606" s="8"/>
    </row>
    <row r="5607" spans="1:28" s="4" customFormat="1" ht="42" customHeight="1">
      <c r="A5607" s="5">
        <v>0</v>
      </c>
      <c r="B5607" s="6" t="s">
        <v>32864</v>
      </c>
      <c r="C5607" s="7">
        <v>640</v>
      </c>
      <c r="D5607" s="8" t="s">
        <v>32865</v>
      </c>
      <c r="E5607" s="8" t="s">
        <v>32866</v>
      </c>
      <c r="F5607" s="8" t="s">
        <v>32867</v>
      </c>
      <c r="G5607" s="6" t="s">
        <v>38</v>
      </c>
      <c r="H5607" s="6" t="s">
        <v>53</v>
      </c>
      <c r="I5607" s="8" t="s">
        <v>782</v>
      </c>
      <c r="J5607" s="9">
        <v>1</v>
      </c>
      <c r="K5607" s="9">
        <v>127</v>
      </c>
      <c r="L5607" s="9">
        <v>2024</v>
      </c>
      <c r="M5607" s="8" t="s">
        <v>32868</v>
      </c>
      <c r="N5607" s="8" t="s">
        <v>413</v>
      </c>
      <c r="O5607" s="8" t="s">
        <v>1141</v>
      </c>
      <c r="P5607" s="6" t="s">
        <v>43</v>
      </c>
      <c r="Q5607" s="8" t="s">
        <v>58</v>
      </c>
      <c r="R5607" s="10" t="s">
        <v>4857</v>
      </c>
      <c r="S5607" s="11"/>
      <c r="T5607" s="6"/>
      <c r="U5607" s="24" t="str">
        <f>HYPERLINK("https://media.infra-m.ru/2133/2133999/cover/2133999.jpg", "Обложка")</f>
        <v>Обложка</v>
      </c>
      <c r="V5607" s="12"/>
      <c r="W5607" s="8" t="s">
        <v>784</v>
      </c>
      <c r="X5607" s="6" t="s">
        <v>389</v>
      </c>
      <c r="Y5607" s="6"/>
      <c r="Z5607" s="6"/>
      <c r="AA5607" s="6" t="s">
        <v>133</v>
      </c>
      <c r="AB5607" s="8"/>
    </row>
    <row r="5608" spans="1:28" s="4" customFormat="1" ht="42" customHeight="1">
      <c r="A5608" s="5">
        <v>0</v>
      </c>
      <c r="B5608" s="6" t="s">
        <v>32869</v>
      </c>
      <c r="C5608" s="13">
        <v>1384.9</v>
      </c>
      <c r="D5608" s="8" t="s">
        <v>32870</v>
      </c>
      <c r="E5608" s="8" t="s">
        <v>32866</v>
      </c>
      <c r="F5608" s="8" t="s">
        <v>32871</v>
      </c>
      <c r="G5608" s="6" t="s">
        <v>52</v>
      </c>
      <c r="H5608" s="6" t="s">
        <v>184</v>
      </c>
      <c r="I5608" s="8" t="s">
        <v>90</v>
      </c>
      <c r="J5608" s="9">
        <v>1</v>
      </c>
      <c r="K5608" s="9">
        <v>307</v>
      </c>
      <c r="L5608" s="9">
        <v>2023</v>
      </c>
      <c r="M5608" s="8" t="s">
        <v>32872</v>
      </c>
      <c r="N5608" s="8" t="s">
        <v>413</v>
      </c>
      <c r="O5608" s="8" t="s">
        <v>1141</v>
      </c>
      <c r="P5608" s="6" t="s">
        <v>43</v>
      </c>
      <c r="Q5608" s="8" t="s">
        <v>44</v>
      </c>
      <c r="R5608" s="10" t="s">
        <v>15346</v>
      </c>
      <c r="S5608" s="11"/>
      <c r="T5608" s="6"/>
      <c r="U5608" s="24" t="str">
        <f>HYPERLINK("https://media.infra-m.ru/1894/1894530/cover/1894530.jpg", "Обложка")</f>
        <v>Обложка</v>
      </c>
      <c r="V5608" s="24" t="str">
        <f>HYPERLINK("https://znanium.ru/catalog/product/959952", "Ознакомиться")</f>
        <v>Ознакомиться</v>
      </c>
      <c r="W5608" s="8" t="s">
        <v>1293</v>
      </c>
      <c r="X5608" s="6"/>
      <c r="Y5608" s="6"/>
      <c r="Z5608" s="6"/>
      <c r="AA5608" s="6" t="s">
        <v>47</v>
      </c>
      <c r="AB5608" s="8"/>
    </row>
    <row r="5609" spans="1:28" s="4" customFormat="1" ht="51.95" customHeight="1">
      <c r="A5609" s="5">
        <v>0</v>
      </c>
      <c r="B5609" s="6" t="s">
        <v>32873</v>
      </c>
      <c r="C5609" s="7">
        <v>980</v>
      </c>
      <c r="D5609" s="8" t="s">
        <v>32874</v>
      </c>
      <c r="E5609" s="8" t="s">
        <v>32875</v>
      </c>
      <c r="F5609" s="8" t="s">
        <v>32876</v>
      </c>
      <c r="G5609" s="6" t="s">
        <v>89</v>
      </c>
      <c r="H5609" s="6" t="s">
        <v>77</v>
      </c>
      <c r="I5609" s="8"/>
      <c r="J5609" s="9">
        <v>1</v>
      </c>
      <c r="K5609" s="9">
        <v>212</v>
      </c>
      <c r="L5609" s="9">
        <v>2024</v>
      </c>
      <c r="M5609" s="8" t="s">
        <v>32877</v>
      </c>
      <c r="N5609" s="8" t="s">
        <v>413</v>
      </c>
      <c r="O5609" s="8" t="s">
        <v>1141</v>
      </c>
      <c r="P5609" s="6" t="s">
        <v>43</v>
      </c>
      <c r="Q5609" s="8" t="s">
        <v>44</v>
      </c>
      <c r="R5609" s="10" t="s">
        <v>32878</v>
      </c>
      <c r="S5609" s="11" t="s">
        <v>32879</v>
      </c>
      <c r="T5609" s="6"/>
      <c r="U5609" s="24" t="str">
        <f>HYPERLINK("https://media.infra-m.ru/2120/2120774/cover/2120774.jpg", "Обложка")</f>
        <v>Обложка</v>
      </c>
      <c r="V5609" s="24" t="str">
        <f>HYPERLINK("https://znanium.ru/catalog/product/2120774", "Ознакомиться")</f>
        <v>Ознакомиться</v>
      </c>
      <c r="W5609" s="8" t="s">
        <v>4838</v>
      </c>
      <c r="X5609" s="6"/>
      <c r="Y5609" s="6"/>
      <c r="Z5609" s="6"/>
      <c r="AA5609" s="6" t="s">
        <v>701</v>
      </c>
      <c r="AB5609" s="8"/>
    </row>
    <row r="5610" spans="1:28" s="4" customFormat="1" ht="51.95" customHeight="1">
      <c r="A5610" s="5">
        <v>0</v>
      </c>
      <c r="B5610" s="6" t="s">
        <v>32880</v>
      </c>
      <c r="C5610" s="13">
        <v>1214</v>
      </c>
      <c r="D5610" s="8" t="s">
        <v>32881</v>
      </c>
      <c r="E5610" s="8" t="s">
        <v>32882</v>
      </c>
      <c r="F5610" s="8" t="s">
        <v>32883</v>
      </c>
      <c r="G5610" s="6" t="s">
        <v>52</v>
      </c>
      <c r="H5610" s="6" t="s">
        <v>77</v>
      </c>
      <c r="I5610" s="8"/>
      <c r="J5610" s="9">
        <v>1</v>
      </c>
      <c r="K5610" s="9">
        <v>231</v>
      </c>
      <c r="L5610" s="9">
        <v>2025</v>
      </c>
      <c r="M5610" s="8" t="s">
        <v>32884</v>
      </c>
      <c r="N5610" s="8" t="s">
        <v>413</v>
      </c>
      <c r="O5610" s="8" t="s">
        <v>1141</v>
      </c>
      <c r="P5610" s="6" t="s">
        <v>43</v>
      </c>
      <c r="Q5610" s="8" t="s">
        <v>44</v>
      </c>
      <c r="R5610" s="10" t="s">
        <v>32885</v>
      </c>
      <c r="S5610" s="11"/>
      <c r="T5610" s="6"/>
      <c r="U5610" s="24" t="str">
        <f>HYPERLINK("https://media.infra-m.ru/2194/2194333/cover/2194333.jpg", "Обложка")</f>
        <v>Обложка</v>
      </c>
      <c r="V5610" s="24" t="str">
        <f>HYPERLINK("https://znanium.ru/catalog/product/1850635", "Ознакомиться")</f>
        <v>Ознакомиться</v>
      </c>
      <c r="W5610" s="8" t="s">
        <v>4838</v>
      </c>
      <c r="X5610" s="6"/>
      <c r="Y5610" s="6"/>
      <c r="Z5610" s="6"/>
      <c r="AA5610" s="6" t="s">
        <v>244</v>
      </c>
      <c r="AB5610" s="8"/>
    </row>
    <row r="5611" spans="1:28" s="4" customFormat="1" ht="51.95" customHeight="1">
      <c r="A5611" s="5">
        <v>0</v>
      </c>
      <c r="B5611" s="6" t="s">
        <v>32886</v>
      </c>
      <c r="C5611" s="13">
        <v>1754</v>
      </c>
      <c r="D5611" s="8" t="s">
        <v>32887</v>
      </c>
      <c r="E5611" s="8" t="s">
        <v>32888</v>
      </c>
      <c r="F5611" s="8" t="s">
        <v>32889</v>
      </c>
      <c r="G5611" s="6" t="s">
        <v>52</v>
      </c>
      <c r="H5611" s="6" t="s">
        <v>184</v>
      </c>
      <c r="I5611" s="8" t="s">
        <v>185</v>
      </c>
      <c r="J5611" s="9">
        <v>1</v>
      </c>
      <c r="K5611" s="9">
        <v>380</v>
      </c>
      <c r="L5611" s="9">
        <v>2024</v>
      </c>
      <c r="M5611" s="8" t="s">
        <v>32890</v>
      </c>
      <c r="N5611" s="8" t="s">
        <v>413</v>
      </c>
      <c r="O5611" s="8" t="s">
        <v>1141</v>
      </c>
      <c r="P5611" s="6" t="s">
        <v>43</v>
      </c>
      <c r="Q5611" s="8" t="s">
        <v>44</v>
      </c>
      <c r="R5611" s="10" t="s">
        <v>32891</v>
      </c>
      <c r="S5611" s="11" t="s">
        <v>32892</v>
      </c>
      <c r="T5611" s="6"/>
      <c r="U5611" s="24" t="str">
        <f>HYPERLINK("https://media.infra-m.ru/2103/2103134/cover/2103134.jpg", "Обложка")</f>
        <v>Обложка</v>
      </c>
      <c r="V5611" s="24" t="str">
        <f>HYPERLINK("https://znanium.ru/catalog/product/1816902", "Ознакомиться")</f>
        <v>Ознакомиться</v>
      </c>
      <c r="W5611" s="8" t="s">
        <v>8621</v>
      </c>
      <c r="X5611" s="6"/>
      <c r="Y5611" s="6"/>
      <c r="Z5611" s="6"/>
      <c r="AA5611" s="6" t="s">
        <v>160</v>
      </c>
      <c r="AB5611" s="8"/>
    </row>
    <row r="5612" spans="1:28" s="4" customFormat="1" ht="51.95" customHeight="1">
      <c r="A5612" s="5">
        <v>0</v>
      </c>
      <c r="B5612" s="6" t="s">
        <v>32893</v>
      </c>
      <c r="C5612" s="7">
        <v>638</v>
      </c>
      <c r="D5612" s="8" t="s">
        <v>32894</v>
      </c>
      <c r="E5612" s="8" t="s">
        <v>32895</v>
      </c>
      <c r="F5612" s="8" t="s">
        <v>32896</v>
      </c>
      <c r="G5612" s="6" t="s">
        <v>38</v>
      </c>
      <c r="H5612" s="6" t="s">
        <v>39</v>
      </c>
      <c r="I5612" s="8" t="s">
        <v>100</v>
      </c>
      <c r="J5612" s="9">
        <v>1</v>
      </c>
      <c r="K5612" s="9">
        <v>97</v>
      </c>
      <c r="L5612" s="9">
        <v>2024</v>
      </c>
      <c r="M5612" s="8" t="s">
        <v>32897</v>
      </c>
      <c r="N5612" s="8" t="s">
        <v>413</v>
      </c>
      <c r="O5612" s="8" t="s">
        <v>1141</v>
      </c>
      <c r="P5612" s="6" t="s">
        <v>43</v>
      </c>
      <c r="Q5612" s="8" t="s">
        <v>102</v>
      </c>
      <c r="R5612" s="10" t="s">
        <v>32898</v>
      </c>
      <c r="S5612" s="11" t="s">
        <v>3081</v>
      </c>
      <c r="T5612" s="6"/>
      <c r="U5612" s="24" t="str">
        <f>HYPERLINK("https://media.infra-m.ru/2192/2192597/cover/2192597.jpg", "Обложка")</f>
        <v>Обложка</v>
      </c>
      <c r="V5612" s="24" t="str">
        <f>HYPERLINK("https://znanium.ru/catalog/product/2192597", "Ознакомиться")</f>
        <v>Ознакомиться</v>
      </c>
      <c r="W5612" s="8" t="s">
        <v>1144</v>
      </c>
      <c r="X5612" s="6"/>
      <c r="Y5612" s="6"/>
      <c r="Z5612" s="6"/>
      <c r="AA5612" s="6" t="s">
        <v>407</v>
      </c>
      <c r="AB5612" s="8"/>
    </row>
    <row r="5613" spans="1:28" s="4" customFormat="1" ht="51.95" customHeight="1">
      <c r="A5613" s="5">
        <v>0</v>
      </c>
      <c r="B5613" s="6" t="s">
        <v>32899</v>
      </c>
      <c r="C5613" s="7">
        <v>644</v>
      </c>
      <c r="D5613" s="8" t="s">
        <v>32900</v>
      </c>
      <c r="E5613" s="8" t="s">
        <v>32901</v>
      </c>
      <c r="F5613" s="8" t="s">
        <v>11683</v>
      </c>
      <c r="G5613" s="6" t="s">
        <v>38</v>
      </c>
      <c r="H5613" s="6" t="s">
        <v>53</v>
      </c>
      <c r="I5613" s="8" t="s">
        <v>90</v>
      </c>
      <c r="J5613" s="9">
        <v>1</v>
      </c>
      <c r="K5613" s="9">
        <v>142</v>
      </c>
      <c r="L5613" s="9">
        <v>2023</v>
      </c>
      <c r="M5613" s="8" t="s">
        <v>32902</v>
      </c>
      <c r="N5613" s="8" t="s">
        <v>413</v>
      </c>
      <c r="O5613" s="8" t="s">
        <v>1141</v>
      </c>
      <c r="P5613" s="6" t="s">
        <v>43</v>
      </c>
      <c r="Q5613" s="8" t="s">
        <v>44</v>
      </c>
      <c r="R5613" s="10" t="s">
        <v>32903</v>
      </c>
      <c r="S5613" s="11"/>
      <c r="T5613" s="6"/>
      <c r="U5613" s="24" t="str">
        <f>HYPERLINK("https://media.infra-m.ru/2045/2045800/cover/2045800.jpg", "Обложка")</f>
        <v>Обложка</v>
      </c>
      <c r="V5613" s="12"/>
      <c r="W5613" s="8" t="s">
        <v>189</v>
      </c>
      <c r="X5613" s="6"/>
      <c r="Y5613" s="6"/>
      <c r="Z5613" s="6"/>
      <c r="AA5613" s="6" t="s">
        <v>47</v>
      </c>
      <c r="AB5613" s="8"/>
    </row>
    <row r="5614" spans="1:28" s="4" customFormat="1" ht="51.95" customHeight="1">
      <c r="A5614" s="5">
        <v>0</v>
      </c>
      <c r="B5614" s="6" t="s">
        <v>32904</v>
      </c>
      <c r="C5614" s="13">
        <v>1114.9000000000001</v>
      </c>
      <c r="D5614" s="8" t="s">
        <v>32905</v>
      </c>
      <c r="E5614" s="8" t="s">
        <v>32906</v>
      </c>
      <c r="F5614" s="8" t="s">
        <v>32907</v>
      </c>
      <c r="G5614" s="6" t="s">
        <v>52</v>
      </c>
      <c r="H5614" s="6" t="s">
        <v>77</v>
      </c>
      <c r="I5614" s="8"/>
      <c r="J5614" s="9">
        <v>1</v>
      </c>
      <c r="K5614" s="9">
        <v>248</v>
      </c>
      <c r="L5614" s="9">
        <v>2023</v>
      </c>
      <c r="M5614" s="8" t="s">
        <v>32908</v>
      </c>
      <c r="N5614" s="8" t="s">
        <v>413</v>
      </c>
      <c r="O5614" s="8" t="s">
        <v>1141</v>
      </c>
      <c r="P5614" s="6" t="s">
        <v>43</v>
      </c>
      <c r="Q5614" s="8" t="s">
        <v>44</v>
      </c>
      <c r="R5614" s="10" t="s">
        <v>32909</v>
      </c>
      <c r="S5614" s="11" t="s">
        <v>32879</v>
      </c>
      <c r="T5614" s="6"/>
      <c r="U5614" s="24" t="str">
        <f>HYPERLINK("https://media.infra-m.ru/1904/1904827/cover/1904827.jpg", "Обложка")</f>
        <v>Обложка</v>
      </c>
      <c r="V5614" s="24" t="str">
        <f>HYPERLINK("https://znanium.ru/catalog/product/1084382", "Ознакомиться")</f>
        <v>Ознакомиться</v>
      </c>
      <c r="W5614" s="8" t="s">
        <v>4838</v>
      </c>
      <c r="X5614" s="6"/>
      <c r="Y5614" s="6"/>
      <c r="Z5614" s="6"/>
      <c r="AA5614" s="6" t="s">
        <v>2644</v>
      </c>
      <c r="AB5614" s="8"/>
    </row>
    <row r="5615" spans="1:28" s="4" customFormat="1" ht="51.95" customHeight="1">
      <c r="A5615" s="5">
        <v>0</v>
      </c>
      <c r="B5615" s="6" t="s">
        <v>32910</v>
      </c>
      <c r="C5615" s="13">
        <v>1750</v>
      </c>
      <c r="D5615" s="8" t="s">
        <v>32911</v>
      </c>
      <c r="E5615" s="8" t="s">
        <v>32912</v>
      </c>
      <c r="F5615" s="8" t="s">
        <v>32913</v>
      </c>
      <c r="G5615" s="6" t="s">
        <v>89</v>
      </c>
      <c r="H5615" s="6" t="s">
        <v>53</v>
      </c>
      <c r="I5615" s="8" t="s">
        <v>90</v>
      </c>
      <c r="J5615" s="9">
        <v>1</v>
      </c>
      <c r="K5615" s="9">
        <v>388</v>
      </c>
      <c r="L5615" s="9">
        <v>2023</v>
      </c>
      <c r="M5615" s="8" t="s">
        <v>32914</v>
      </c>
      <c r="N5615" s="8" t="s">
        <v>413</v>
      </c>
      <c r="O5615" s="8" t="s">
        <v>1141</v>
      </c>
      <c r="P5615" s="6" t="s">
        <v>43</v>
      </c>
      <c r="Q5615" s="8" t="s">
        <v>44</v>
      </c>
      <c r="R5615" s="10" t="s">
        <v>32915</v>
      </c>
      <c r="S5615" s="11" t="s">
        <v>32916</v>
      </c>
      <c r="T5615" s="6"/>
      <c r="U5615" s="24" t="str">
        <f>HYPERLINK("https://media.infra-m.ru/1891/1891221/cover/1891221.jpg", "Обложка")</f>
        <v>Обложка</v>
      </c>
      <c r="V5615" s="24" t="str">
        <f>HYPERLINK("https://znanium.ru/catalog/product/1891221", "Ознакомиться")</f>
        <v>Ознакомиться</v>
      </c>
      <c r="W5615" s="8" t="s">
        <v>2938</v>
      </c>
      <c r="X5615" s="6"/>
      <c r="Y5615" s="6"/>
      <c r="Z5615" s="6"/>
      <c r="AA5615" s="6" t="s">
        <v>793</v>
      </c>
      <c r="AB5615" s="8"/>
    </row>
    <row r="5616" spans="1:28" s="4" customFormat="1" ht="51.95" customHeight="1">
      <c r="A5616" s="5">
        <v>0</v>
      </c>
      <c r="B5616" s="6" t="s">
        <v>32917</v>
      </c>
      <c r="C5616" s="13">
        <v>1300</v>
      </c>
      <c r="D5616" s="8" t="s">
        <v>32918</v>
      </c>
      <c r="E5616" s="8" t="s">
        <v>32919</v>
      </c>
      <c r="F5616" s="8" t="s">
        <v>32920</v>
      </c>
      <c r="G5616" s="6" t="s">
        <v>89</v>
      </c>
      <c r="H5616" s="6" t="s">
        <v>53</v>
      </c>
      <c r="I5616" s="8" t="s">
        <v>100</v>
      </c>
      <c r="J5616" s="9">
        <v>1</v>
      </c>
      <c r="K5616" s="9">
        <v>274</v>
      </c>
      <c r="L5616" s="9">
        <v>2024</v>
      </c>
      <c r="M5616" s="8" t="s">
        <v>32921</v>
      </c>
      <c r="N5616" s="8" t="s">
        <v>413</v>
      </c>
      <c r="O5616" s="8" t="s">
        <v>1141</v>
      </c>
      <c r="P5616" s="6" t="s">
        <v>43</v>
      </c>
      <c r="Q5616" s="8" t="s">
        <v>102</v>
      </c>
      <c r="R5616" s="10" t="s">
        <v>4836</v>
      </c>
      <c r="S5616" s="11" t="s">
        <v>32922</v>
      </c>
      <c r="T5616" s="6"/>
      <c r="U5616" s="24" t="str">
        <f>HYPERLINK("https://media.infra-m.ru/2048/2048137/cover/2048137.jpg", "Обложка")</f>
        <v>Обложка</v>
      </c>
      <c r="V5616" s="24" t="str">
        <f>HYPERLINK("https://znanium.ru/catalog/product/2048137", "Ознакомиться")</f>
        <v>Ознакомиться</v>
      </c>
      <c r="W5616" s="8" t="s">
        <v>2321</v>
      </c>
      <c r="X5616" s="6"/>
      <c r="Y5616" s="6"/>
      <c r="Z5616" s="6"/>
      <c r="AA5616" s="6" t="s">
        <v>219</v>
      </c>
      <c r="AB5616" s="8"/>
    </row>
    <row r="5617" spans="1:28" s="4" customFormat="1" ht="51.95" customHeight="1">
      <c r="A5617" s="5">
        <v>0</v>
      </c>
      <c r="B5617" s="6" t="s">
        <v>32923</v>
      </c>
      <c r="C5617" s="13">
        <v>2634</v>
      </c>
      <c r="D5617" s="8" t="s">
        <v>32924</v>
      </c>
      <c r="E5617" s="8" t="s">
        <v>32925</v>
      </c>
      <c r="F5617" s="8" t="s">
        <v>32926</v>
      </c>
      <c r="G5617" s="6" t="s">
        <v>89</v>
      </c>
      <c r="H5617" s="6" t="s">
        <v>39</v>
      </c>
      <c r="I5617" s="8" t="s">
        <v>100</v>
      </c>
      <c r="J5617" s="9">
        <v>1</v>
      </c>
      <c r="K5617" s="9">
        <v>560</v>
      </c>
      <c r="L5617" s="9">
        <v>2025</v>
      </c>
      <c r="M5617" s="8" t="s">
        <v>32927</v>
      </c>
      <c r="N5617" s="8" t="s">
        <v>413</v>
      </c>
      <c r="O5617" s="8" t="s">
        <v>1141</v>
      </c>
      <c r="P5617" s="6" t="s">
        <v>167</v>
      </c>
      <c r="Q5617" s="8" t="s">
        <v>102</v>
      </c>
      <c r="R5617" s="10" t="s">
        <v>32898</v>
      </c>
      <c r="S5617" s="11" t="s">
        <v>32928</v>
      </c>
      <c r="T5617" s="6"/>
      <c r="U5617" s="24" t="str">
        <f>HYPERLINK("https://media.infra-m.ru/2143/2143938/cover/2143938.jpg", "Обложка")</f>
        <v>Обложка</v>
      </c>
      <c r="V5617" s="24" t="str">
        <f>HYPERLINK("https://znanium.ru/catalog/product/1968777", "Ознакомиться")</f>
        <v>Ознакомиться</v>
      </c>
      <c r="W5617" s="8" t="s">
        <v>2154</v>
      </c>
      <c r="X5617" s="6"/>
      <c r="Y5617" s="6"/>
      <c r="Z5617" s="6"/>
      <c r="AA5617" s="6" t="s">
        <v>2644</v>
      </c>
      <c r="AB5617" s="8"/>
    </row>
    <row r="5618" spans="1:28" s="4" customFormat="1" ht="51.95" customHeight="1">
      <c r="A5618" s="5">
        <v>0</v>
      </c>
      <c r="B5618" s="6" t="s">
        <v>32929</v>
      </c>
      <c r="C5618" s="13">
        <v>2904</v>
      </c>
      <c r="D5618" s="8" t="s">
        <v>32930</v>
      </c>
      <c r="E5618" s="8" t="s">
        <v>32931</v>
      </c>
      <c r="F5618" s="8" t="s">
        <v>32932</v>
      </c>
      <c r="G5618" s="6" t="s">
        <v>89</v>
      </c>
      <c r="H5618" s="6" t="s">
        <v>53</v>
      </c>
      <c r="I5618" s="8" t="s">
        <v>90</v>
      </c>
      <c r="J5618" s="9">
        <v>1</v>
      </c>
      <c r="K5618" s="9">
        <v>581</v>
      </c>
      <c r="L5618" s="9">
        <v>2025</v>
      </c>
      <c r="M5618" s="8" t="s">
        <v>32933</v>
      </c>
      <c r="N5618" s="8" t="s">
        <v>413</v>
      </c>
      <c r="O5618" s="8" t="s">
        <v>1141</v>
      </c>
      <c r="P5618" s="6" t="s">
        <v>167</v>
      </c>
      <c r="Q5618" s="8" t="s">
        <v>44</v>
      </c>
      <c r="R5618" s="10" t="s">
        <v>32934</v>
      </c>
      <c r="S5618" s="11" t="s">
        <v>32935</v>
      </c>
      <c r="T5618" s="6"/>
      <c r="U5618" s="24" t="str">
        <f>HYPERLINK("https://media.infra-m.ru/2194/2194389/cover/2194389.jpg", "Обложка")</f>
        <v>Обложка</v>
      </c>
      <c r="V5618" s="24" t="str">
        <f>HYPERLINK("https://znanium.ru/catalog/product/1913243", "Ознакомиться")</f>
        <v>Ознакомиться</v>
      </c>
      <c r="W5618" s="8" t="s">
        <v>10375</v>
      </c>
      <c r="X5618" s="6"/>
      <c r="Y5618" s="6"/>
      <c r="Z5618" s="6"/>
      <c r="AA5618" s="6" t="s">
        <v>22676</v>
      </c>
      <c r="AB5618" s="8"/>
    </row>
    <row r="5619" spans="1:28" s="4" customFormat="1" ht="51.95" customHeight="1">
      <c r="A5619" s="5">
        <v>0</v>
      </c>
      <c r="B5619" s="6" t="s">
        <v>32936</v>
      </c>
      <c r="C5619" s="13">
        <v>2034</v>
      </c>
      <c r="D5619" s="8" t="s">
        <v>32937</v>
      </c>
      <c r="E5619" s="8" t="s">
        <v>32938</v>
      </c>
      <c r="F5619" s="8" t="s">
        <v>32939</v>
      </c>
      <c r="G5619" s="6" t="s">
        <v>52</v>
      </c>
      <c r="H5619" s="6" t="s">
        <v>39</v>
      </c>
      <c r="I5619" s="8" t="s">
        <v>185</v>
      </c>
      <c r="J5619" s="9">
        <v>1</v>
      </c>
      <c r="K5619" s="9">
        <v>432</v>
      </c>
      <c r="L5619" s="9">
        <v>2024</v>
      </c>
      <c r="M5619" s="8" t="s">
        <v>32940</v>
      </c>
      <c r="N5619" s="8" t="s">
        <v>413</v>
      </c>
      <c r="O5619" s="8" t="s">
        <v>1141</v>
      </c>
      <c r="P5619" s="6" t="s">
        <v>43</v>
      </c>
      <c r="Q5619" s="8" t="s">
        <v>102</v>
      </c>
      <c r="R5619" s="10" t="s">
        <v>4836</v>
      </c>
      <c r="S5619" s="11" t="s">
        <v>32941</v>
      </c>
      <c r="T5619" s="6"/>
      <c r="U5619" s="24" t="str">
        <f>HYPERLINK("https://media.infra-m.ru/2083/2083157/cover/2083157.jpg", "Обложка")</f>
        <v>Обложка</v>
      </c>
      <c r="V5619" s="24" t="str">
        <f>HYPERLINK("https://znanium.ru/catalog/product/1012153", "Ознакомиться")</f>
        <v>Ознакомиться</v>
      </c>
      <c r="W5619" s="8" t="s">
        <v>1144</v>
      </c>
      <c r="X5619" s="6"/>
      <c r="Y5619" s="6"/>
      <c r="Z5619" s="6"/>
      <c r="AA5619" s="6" t="s">
        <v>47</v>
      </c>
      <c r="AB5619" s="8"/>
    </row>
    <row r="5620" spans="1:28" s="4" customFormat="1" ht="42" customHeight="1">
      <c r="A5620" s="5">
        <v>0</v>
      </c>
      <c r="B5620" s="6" t="s">
        <v>32942</v>
      </c>
      <c r="C5620" s="7">
        <v>194.9</v>
      </c>
      <c r="D5620" s="8" t="s">
        <v>32943</v>
      </c>
      <c r="E5620" s="8" t="s">
        <v>32944</v>
      </c>
      <c r="F5620" s="8" t="s">
        <v>6633</v>
      </c>
      <c r="G5620" s="6" t="s">
        <v>38</v>
      </c>
      <c r="H5620" s="6" t="s">
        <v>184</v>
      </c>
      <c r="I5620" s="8" t="s">
        <v>32945</v>
      </c>
      <c r="J5620" s="9">
        <v>1</v>
      </c>
      <c r="K5620" s="9">
        <v>112</v>
      </c>
      <c r="L5620" s="9">
        <v>2023</v>
      </c>
      <c r="M5620" s="8" t="s">
        <v>32946</v>
      </c>
      <c r="N5620" s="8" t="s">
        <v>413</v>
      </c>
      <c r="O5620" s="8" t="s">
        <v>1141</v>
      </c>
      <c r="P5620" s="6" t="s">
        <v>32947</v>
      </c>
      <c r="Q5620" s="8" t="s">
        <v>44</v>
      </c>
      <c r="R5620" s="10" t="s">
        <v>32948</v>
      </c>
      <c r="S5620" s="11"/>
      <c r="T5620" s="6"/>
      <c r="U5620" s="24" t="str">
        <f>HYPERLINK("https://media.infra-m.ru/1894/1894544/cover/1894544.jpg", "Обложка")</f>
        <v>Обложка</v>
      </c>
      <c r="V5620" s="12"/>
      <c r="W5620" s="8"/>
      <c r="X5620" s="6"/>
      <c r="Y5620" s="6"/>
      <c r="Z5620" s="6"/>
      <c r="AA5620" s="6" t="s">
        <v>2217</v>
      </c>
      <c r="AB5620" s="8"/>
    </row>
    <row r="5621" spans="1:28" s="4" customFormat="1" ht="51.95" customHeight="1">
      <c r="A5621" s="5">
        <v>0</v>
      </c>
      <c r="B5621" s="6" t="s">
        <v>32949</v>
      </c>
      <c r="C5621" s="13">
        <v>1384.9</v>
      </c>
      <c r="D5621" s="8" t="s">
        <v>32950</v>
      </c>
      <c r="E5621" s="8" t="s">
        <v>32938</v>
      </c>
      <c r="F5621" s="8" t="s">
        <v>32951</v>
      </c>
      <c r="G5621" s="6" t="s">
        <v>52</v>
      </c>
      <c r="H5621" s="6" t="s">
        <v>53</v>
      </c>
      <c r="I5621" s="8" t="s">
        <v>4855</v>
      </c>
      <c r="J5621" s="9">
        <v>1</v>
      </c>
      <c r="K5621" s="9">
        <v>308</v>
      </c>
      <c r="L5621" s="9">
        <v>2023</v>
      </c>
      <c r="M5621" s="8" t="s">
        <v>32952</v>
      </c>
      <c r="N5621" s="8" t="s">
        <v>413</v>
      </c>
      <c r="O5621" s="8" t="s">
        <v>1141</v>
      </c>
      <c r="P5621" s="6" t="s">
        <v>43</v>
      </c>
      <c r="Q5621" s="8" t="s">
        <v>44</v>
      </c>
      <c r="R5621" s="10" t="s">
        <v>32716</v>
      </c>
      <c r="S5621" s="11" t="s">
        <v>32953</v>
      </c>
      <c r="T5621" s="6"/>
      <c r="U5621" s="24" t="str">
        <f>HYPERLINK("https://media.infra-m.ru/1856/1856470/cover/1856470.jpg", "Обложка")</f>
        <v>Обложка</v>
      </c>
      <c r="V5621" s="12"/>
      <c r="W5621" s="8" t="s">
        <v>784</v>
      </c>
      <c r="X5621" s="6"/>
      <c r="Y5621" s="6"/>
      <c r="Z5621" s="6"/>
      <c r="AA5621" s="6" t="s">
        <v>151</v>
      </c>
      <c r="AB5621" s="8"/>
    </row>
    <row r="5622" spans="1:28" s="4" customFormat="1" ht="42" customHeight="1">
      <c r="A5622" s="5">
        <v>0</v>
      </c>
      <c r="B5622" s="6" t="s">
        <v>32954</v>
      </c>
      <c r="C5622" s="13">
        <v>1214</v>
      </c>
      <c r="D5622" s="8" t="s">
        <v>32955</v>
      </c>
      <c r="E5622" s="8" t="s">
        <v>32956</v>
      </c>
      <c r="F5622" s="8" t="s">
        <v>32957</v>
      </c>
      <c r="G5622" s="6" t="s">
        <v>89</v>
      </c>
      <c r="H5622" s="6" t="s">
        <v>952</v>
      </c>
      <c r="I5622" s="8"/>
      <c r="J5622" s="9">
        <v>1</v>
      </c>
      <c r="K5622" s="9">
        <v>232</v>
      </c>
      <c r="L5622" s="9">
        <v>2025</v>
      </c>
      <c r="M5622" s="8" t="s">
        <v>32958</v>
      </c>
      <c r="N5622" s="8" t="s">
        <v>79</v>
      </c>
      <c r="O5622" s="8" t="s">
        <v>396</v>
      </c>
      <c r="P5622" s="6" t="s">
        <v>43</v>
      </c>
      <c r="Q5622" s="8" t="s">
        <v>44</v>
      </c>
      <c r="R5622" s="10" t="s">
        <v>26176</v>
      </c>
      <c r="S5622" s="11"/>
      <c r="T5622" s="6"/>
      <c r="U5622" s="24" t="str">
        <f>HYPERLINK("https://media.infra-m.ru/2192/2192773/cover/2192773.jpg", "Обложка")</f>
        <v>Обложка</v>
      </c>
      <c r="V5622" s="24" t="str">
        <f>HYPERLINK("https://znanium.ru/catalog/product/1960115", "Ознакомиться")</f>
        <v>Ознакомиться</v>
      </c>
      <c r="W5622" s="8" t="s">
        <v>2463</v>
      </c>
      <c r="X5622" s="6"/>
      <c r="Y5622" s="6"/>
      <c r="Z5622" s="6"/>
      <c r="AA5622" s="6" t="s">
        <v>258</v>
      </c>
      <c r="AB5622" s="8"/>
    </row>
    <row r="5623" spans="1:28" s="4" customFormat="1" ht="51.95" customHeight="1">
      <c r="A5623" s="5">
        <v>0</v>
      </c>
      <c r="B5623" s="6" t="s">
        <v>32959</v>
      </c>
      <c r="C5623" s="7">
        <v>850</v>
      </c>
      <c r="D5623" s="8" t="s">
        <v>32960</v>
      </c>
      <c r="E5623" s="8" t="s">
        <v>32961</v>
      </c>
      <c r="F5623" s="8" t="s">
        <v>32962</v>
      </c>
      <c r="G5623" s="6" t="s">
        <v>89</v>
      </c>
      <c r="H5623" s="6" t="s">
        <v>53</v>
      </c>
      <c r="I5623" s="8" t="s">
        <v>276</v>
      </c>
      <c r="J5623" s="9">
        <v>1</v>
      </c>
      <c r="K5623" s="9">
        <v>176</v>
      </c>
      <c r="L5623" s="9">
        <v>2024</v>
      </c>
      <c r="M5623" s="8" t="s">
        <v>32963</v>
      </c>
      <c r="N5623" s="8" t="s">
        <v>41</v>
      </c>
      <c r="O5623" s="8" t="s">
        <v>129</v>
      </c>
      <c r="P5623" s="6" t="s">
        <v>43</v>
      </c>
      <c r="Q5623" s="8" t="s">
        <v>279</v>
      </c>
      <c r="R5623" s="10" t="s">
        <v>29891</v>
      </c>
      <c r="S5623" s="11" t="s">
        <v>32964</v>
      </c>
      <c r="T5623" s="6"/>
      <c r="U5623" s="24" t="str">
        <f>HYPERLINK("https://media.infra-m.ru/2124/2124769/cover/2124769.jpg", "Обложка")</f>
        <v>Обложка</v>
      </c>
      <c r="V5623" s="24" t="str">
        <f>HYPERLINK("https://znanium.ru/catalog/product/2124769", "Ознакомиться")</f>
        <v>Ознакомиться</v>
      </c>
      <c r="W5623" s="8" t="s">
        <v>399</v>
      </c>
      <c r="X5623" s="6"/>
      <c r="Y5623" s="6"/>
      <c r="Z5623" s="6"/>
      <c r="AA5623" s="6" t="s">
        <v>151</v>
      </c>
      <c r="AB5623" s="8"/>
    </row>
    <row r="5624" spans="1:28" s="4" customFormat="1" ht="51.95" customHeight="1">
      <c r="A5624" s="5">
        <v>0</v>
      </c>
      <c r="B5624" s="6" t="s">
        <v>32965</v>
      </c>
      <c r="C5624" s="13">
        <v>1804.9</v>
      </c>
      <c r="D5624" s="8" t="s">
        <v>32966</v>
      </c>
      <c r="E5624" s="8" t="s">
        <v>32967</v>
      </c>
      <c r="F5624" s="8" t="s">
        <v>32968</v>
      </c>
      <c r="G5624" s="6" t="s">
        <v>52</v>
      </c>
      <c r="H5624" s="6" t="s">
        <v>53</v>
      </c>
      <c r="I5624" s="8" t="s">
        <v>90</v>
      </c>
      <c r="J5624" s="9">
        <v>1</v>
      </c>
      <c r="K5624" s="9">
        <v>400</v>
      </c>
      <c r="L5624" s="9">
        <v>2023</v>
      </c>
      <c r="M5624" s="8" t="s">
        <v>32969</v>
      </c>
      <c r="N5624" s="8" t="s">
        <v>79</v>
      </c>
      <c r="O5624" s="8" t="s">
        <v>396</v>
      </c>
      <c r="P5624" s="6" t="s">
        <v>43</v>
      </c>
      <c r="Q5624" s="8" t="s">
        <v>44</v>
      </c>
      <c r="R5624" s="10" t="s">
        <v>32970</v>
      </c>
      <c r="S5624" s="11" t="s">
        <v>32971</v>
      </c>
      <c r="T5624" s="6"/>
      <c r="U5624" s="24" t="str">
        <f>HYPERLINK("https://media.infra-m.ru/1981/1981668/cover/1981668.jpg", "Обложка")</f>
        <v>Обложка</v>
      </c>
      <c r="V5624" s="24" t="str">
        <f>HYPERLINK("https://znanium.ru/catalog/product/958344", "Ознакомиться")</f>
        <v>Ознакомиться</v>
      </c>
      <c r="W5624" s="8" t="s">
        <v>1514</v>
      </c>
      <c r="X5624" s="6"/>
      <c r="Y5624" s="6"/>
      <c r="Z5624" s="6"/>
      <c r="AA5624" s="6" t="s">
        <v>479</v>
      </c>
      <c r="AB5624" s="8"/>
    </row>
    <row r="5625" spans="1:28" s="4" customFormat="1" ht="51.95" customHeight="1">
      <c r="A5625" s="5">
        <v>0</v>
      </c>
      <c r="B5625" s="6" t="s">
        <v>32972</v>
      </c>
      <c r="C5625" s="13">
        <v>1284</v>
      </c>
      <c r="D5625" s="8" t="s">
        <v>32973</v>
      </c>
      <c r="E5625" s="8" t="s">
        <v>32974</v>
      </c>
      <c r="F5625" s="8" t="s">
        <v>32975</v>
      </c>
      <c r="G5625" s="6" t="s">
        <v>52</v>
      </c>
      <c r="H5625" s="6" t="s">
        <v>39</v>
      </c>
      <c r="I5625" s="8" t="s">
        <v>116</v>
      </c>
      <c r="J5625" s="9">
        <v>1</v>
      </c>
      <c r="K5625" s="9">
        <v>256</v>
      </c>
      <c r="L5625" s="9">
        <v>2025</v>
      </c>
      <c r="M5625" s="8" t="s">
        <v>32976</v>
      </c>
      <c r="N5625" s="8" t="s">
        <v>413</v>
      </c>
      <c r="O5625" s="8" t="s">
        <v>2771</v>
      </c>
      <c r="P5625" s="6" t="s">
        <v>167</v>
      </c>
      <c r="Q5625" s="8" t="s">
        <v>44</v>
      </c>
      <c r="R5625" s="10" t="s">
        <v>20586</v>
      </c>
      <c r="S5625" s="11" t="s">
        <v>32977</v>
      </c>
      <c r="T5625" s="6"/>
      <c r="U5625" s="24" t="str">
        <f>HYPERLINK("https://media.infra-m.ru/2185/2185916/cover/2185916.jpg", "Обложка")</f>
        <v>Обложка</v>
      </c>
      <c r="V5625" s="24" t="str">
        <f>HYPERLINK("https://znanium.ru/catalog/product/1832148", "Ознакомиться")</f>
        <v>Ознакомиться</v>
      </c>
      <c r="W5625" s="8" t="s">
        <v>32978</v>
      </c>
      <c r="X5625" s="6"/>
      <c r="Y5625" s="6"/>
      <c r="Z5625" s="6"/>
      <c r="AA5625" s="6" t="s">
        <v>494</v>
      </c>
      <c r="AB5625" s="8"/>
    </row>
    <row r="5626" spans="1:28" s="4" customFormat="1" ht="51.95" customHeight="1">
      <c r="A5626" s="5">
        <v>0</v>
      </c>
      <c r="B5626" s="6" t="s">
        <v>32979</v>
      </c>
      <c r="C5626" s="13">
        <v>1140</v>
      </c>
      <c r="D5626" s="8" t="s">
        <v>32980</v>
      </c>
      <c r="E5626" s="8" t="s">
        <v>32981</v>
      </c>
      <c r="F5626" s="8" t="s">
        <v>32982</v>
      </c>
      <c r="G5626" s="6" t="s">
        <v>89</v>
      </c>
      <c r="H5626" s="6" t="s">
        <v>53</v>
      </c>
      <c r="I5626" s="8" t="s">
        <v>4767</v>
      </c>
      <c r="J5626" s="9">
        <v>1</v>
      </c>
      <c r="K5626" s="9">
        <v>242</v>
      </c>
      <c r="L5626" s="9">
        <v>2024</v>
      </c>
      <c r="M5626" s="8" t="s">
        <v>32983</v>
      </c>
      <c r="N5626" s="8" t="s">
        <v>997</v>
      </c>
      <c r="O5626" s="8" t="s">
        <v>998</v>
      </c>
      <c r="P5626" s="6" t="s">
        <v>32984</v>
      </c>
      <c r="Q5626" s="8" t="s">
        <v>58</v>
      </c>
      <c r="R5626" s="10" t="s">
        <v>32985</v>
      </c>
      <c r="S5626" s="11"/>
      <c r="T5626" s="6"/>
      <c r="U5626" s="24" t="str">
        <f>HYPERLINK("https://media.infra-m.ru/2082/2082777/cover/2082777.jpg", "Обложка")</f>
        <v>Обложка</v>
      </c>
      <c r="V5626" s="24" t="str">
        <f>HYPERLINK("https://znanium.ru/catalog/product/2082777", "Ознакомиться")</f>
        <v>Ознакомиться</v>
      </c>
      <c r="W5626" s="8" t="s">
        <v>2835</v>
      </c>
      <c r="X5626" s="6"/>
      <c r="Y5626" s="6"/>
      <c r="Z5626" s="6"/>
      <c r="AA5626" s="6" t="s">
        <v>793</v>
      </c>
      <c r="AB5626" s="8"/>
    </row>
    <row r="5627" spans="1:28" s="4" customFormat="1" ht="51.95" customHeight="1">
      <c r="A5627" s="5">
        <v>0</v>
      </c>
      <c r="B5627" s="6" t="s">
        <v>32986</v>
      </c>
      <c r="C5627" s="13">
        <v>1824</v>
      </c>
      <c r="D5627" s="8" t="s">
        <v>32987</v>
      </c>
      <c r="E5627" s="8" t="s">
        <v>32988</v>
      </c>
      <c r="F5627" s="8" t="s">
        <v>32989</v>
      </c>
      <c r="G5627" s="6" t="s">
        <v>89</v>
      </c>
      <c r="H5627" s="6" t="s">
        <v>53</v>
      </c>
      <c r="I5627" s="8" t="s">
        <v>100</v>
      </c>
      <c r="J5627" s="9">
        <v>1</v>
      </c>
      <c r="K5627" s="9">
        <v>351</v>
      </c>
      <c r="L5627" s="9">
        <v>2025</v>
      </c>
      <c r="M5627" s="8" t="s">
        <v>32990</v>
      </c>
      <c r="N5627" s="8" t="s">
        <v>79</v>
      </c>
      <c r="O5627" s="8" t="s">
        <v>174</v>
      </c>
      <c r="P5627" s="6" t="s">
        <v>43</v>
      </c>
      <c r="Q5627" s="8" t="s">
        <v>102</v>
      </c>
      <c r="R5627" s="10" t="s">
        <v>32991</v>
      </c>
      <c r="S5627" s="11" t="s">
        <v>19729</v>
      </c>
      <c r="T5627" s="6" t="s">
        <v>299</v>
      </c>
      <c r="U5627" s="24" t="str">
        <f>HYPERLINK("https://media.infra-m.ru/2201/2201209/cover/2201209.jpg", "Обложка")</f>
        <v>Обложка</v>
      </c>
      <c r="V5627" s="24" t="str">
        <f>HYPERLINK("https://znanium.ru/catalog/product/2142959", "Ознакомиться")</f>
        <v>Ознакомиться</v>
      </c>
      <c r="W5627" s="8" t="s">
        <v>1505</v>
      </c>
      <c r="X5627" s="6"/>
      <c r="Y5627" s="6"/>
      <c r="Z5627" s="6" t="s">
        <v>104</v>
      </c>
      <c r="AA5627" s="6" t="s">
        <v>1259</v>
      </c>
      <c r="AB5627" s="8"/>
    </row>
    <row r="5628" spans="1:28" s="4" customFormat="1" ht="51.95" customHeight="1">
      <c r="A5628" s="5">
        <v>0</v>
      </c>
      <c r="B5628" s="6" t="s">
        <v>32992</v>
      </c>
      <c r="C5628" s="13">
        <v>1614</v>
      </c>
      <c r="D5628" s="8" t="s">
        <v>32993</v>
      </c>
      <c r="E5628" s="8" t="s">
        <v>32988</v>
      </c>
      <c r="F5628" s="8" t="s">
        <v>32994</v>
      </c>
      <c r="G5628" s="6" t="s">
        <v>52</v>
      </c>
      <c r="H5628" s="6" t="s">
        <v>53</v>
      </c>
      <c r="I5628" s="8" t="s">
        <v>90</v>
      </c>
      <c r="J5628" s="9">
        <v>1</v>
      </c>
      <c r="K5628" s="9">
        <v>351</v>
      </c>
      <c r="L5628" s="9">
        <v>2024</v>
      </c>
      <c r="M5628" s="8" t="s">
        <v>32995</v>
      </c>
      <c r="N5628" s="8" t="s">
        <v>79</v>
      </c>
      <c r="O5628" s="8" t="s">
        <v>174</v>
      </c>
      <c r="P5628" s="6" t="s">
        <v>43</v>
      </c>
      <c r="Q5628" s="8" t="s">
        <v>44</v>
      </c>
      <c r="R5628" s="10" t="s">
        <v>32996</v>
      </c>
      <c r="S5628" s="11"/>
      <c r="T5628" s="6"/>
      <c r="U5628" s="24" t="str">
        <f>HYPERLINK("https://media.infra-m.ru/2099/2099056/cover/2099056.jpg", "Обложка")</f>
        <v>Обложка</v>
      </c>
      <c r="V5628" s="24" t="str">
        <f>HYPERLINK("https://znanium.ru/catalog/product/2099056", "Ознакомиться")</f>
        <v>Ознакомиться</v>
      </c>
      <c r="W5628" s="8" t="s">
        <v>1505</v>
      </c>
      <c r="X5628" s="6"/>
      <c r="Y5628" s="6"/>
      <c r="Z5628" s="6"/>
      <c r="AA5628" s="6" t="s">
        <v>494</v>
      </c>
      <c r="AB5628" s="8"/>
    </row>
    <row r="5629" spans="1:28" s="4" customFormat="1" ht="51.95" customHeight="1">
      <c r="A5629" s="5">
        <v>0</v>
      </c>
      <c r="B5629" s="6" t="s">
        <v>32997</v>
      </c>
      <c r="C5629" s="7">
        <v>870</v>
      </c>
      <c r="D5629" s="8" t="s">
        <v>32998</v>
      </c>
      <c r="E5629" s="8" t="s">
        <v>32999</v>
      </c>
      <c r="F5629" s="8" t="s">
        <v>33000</v>
      </c>
      <c r="G5629" s="6" t="s">
        <v>89</v>
      </c>
      <c r="H5629" s="6" t="s">
        <v>53</v>
      </c>
      <c r="I5629" s="8" t="s">
        <v>90</v>
      </c>
      <c r="J5629" s="9">
        <v>1</v>
      </c>
      <c r="K5629" s="9">
        <v>192</v>
      </c>
      <c r="L5629" s="9">
        <v>2023</v>
      </c>
      <c r="M5629" s="8" t="s">
        <v>33001</v>
      </c>
      <c r="N5629" s="8" t="s">
        <v>79</v>
      </c>
      <c r="O5629" s="8" t="s">
        <v>174</v>
      </c>
      <c r="P5629" s="6" t="s">
        <v>43</v>
      </c>
      <c r="Q5629" s="8" t="s">
        <v>44</v>
      </c>
      <c r="R5629" s="10" t="s">
        <v>33002</v>
      </c>
      <c r="S5629" s="11" t="s">
        <v>33003</v>
      </c>
      <c r="T5629" s="6"/>
      <c r="U5629" s="24" t="str">
        <f>HYPERLINK("https://media.infra-m.ru/1914/1914156/cover/1914156.jpg", "Обложка")</f>
        <v>Обложка</v>
      </c>
      <c r="V5629" s="24" t="str">
        <f>HYPERLINK("https://znanium.ru/catalog/product/1914156", "Ознакомиться")</f>
        <v>Ознакомиться</v>
      </c>
      <c r="W5629" s="8" t="s">
        <v>1505</v>
      </c>
      <c r="X5629" s="6"/>
      <c r="Y5629" s="6"/>
      <c r="Z5629" s="6"/>
      <c r="AA5629" s="6" t="s">
        <v>47</v>
      </c>
      <c r="AB5629" s="8"/>
    </row>
    <row r="5630" spans="1:28" s="4" customFormat="1" ht="51.95" customHeight="1">
      <c r="A5630" s="5">
        <v>0</v>
      </c>
      <c r="B5630" s="6" t="s">
        <v>33004</v>
      </c>
      <c r="C5630" s="13">
        <v>2000</v>
      </c>
      <c r="D5630" s="8" t="s">
        <v>33005</v>
      </c>
      <c r="E5630" s="8" t="s">
        <v>33006</v>
      </c>
      <c r="F5630" s="8" t="s">
        <v>33007</v>
      </c>
      <c r="G5630" s="6" t="s">
        <v>89</v>
      </c>
      <c r="H5630" s="6" t="s">
        <v>66</v>
      </c>
      <c r="I5630" s="8" t="s">
        <v>116</v>
      </c>
      <c r="J5630" s="9">
        <v>1</v>
      </c>
      <c r="K5630" s="9">
        <v>400</v>
      </c>
      <c r="L5630" s="9">
        <v>2024</v>
      </c>
      <c r="M5630" s="8" t="s">
        <v>33008</v>
      </c>
      <c r="N5630" s="8" t="s">
        <v>56</v>
      </c>
      <c r="O5630" s="8" t="s">
        <v>741</v>
      </c>
      <c r="P5630" s="6" t="s">
        <v>43</v>
      </c>
      <c r="Q5630" s="8" t="s">
        <v>44</v>
      </c>
      <c r="R5630" s="10" t="s">
        <v>4207</v>
      </c>
      <c r="S5630" s="11" t="s">
        <v>33009</v>
      </c>
      <c r="T5630" s="6"/>
      <c r="U5630" s="24" t="str">
        <f>HYPERLINK("https://media.infra-m.ru/2157/2157028/cover/2157028.jpg", "Обложка")</f>
        <v>Обложка</v>
      </c>
      <c r="V5630" s="12"/>
      <c r="W5630" s="8" t="s">
        <v>6117</v>
      </c>
      <c r="X5630" s="6"/>
      <c r="Y5630" s="6"/>
      <c r="Z5630" s="6"/>
      <c r="AA5630" s="6" t="s">
        <v>122</v>
      </c>
      <c r="AB5630" s="8"/>
    </row>
    <row r="5631" spans="1:28" s="4" customFormat="1" ht="51.95" customHeight="1">
      <c r="A5631" s="5">
        <v>0</v>
      </c>
      <c r="B5631" s="6" t="s">
        <v>33010</v>
      </c>
      <c r="C5631" s="13">
        <v>3900</v>
      </c>
      <c r="D5631" s="8" t="s">
        <v>33011</v>
      </c>
      <c r="E5631" s="8" t="s">
        <v>33012</v>
      </c>
      <c r="F5631" s="8" t="s">
        <v>33013</v>
      </c>
      <c r="G5631" s="6" t="s">
        <v>52</v>
      </c>
      <c r="H5631" s="6" t="s">
        <v>53</v>
      </c>
      <c r="I5631" s="8" t="s">
        <v>116</v>
      </c>
      <c r="J5631" s="9">
        <v>1</v>
      </c>
      <c r="K5631" s="9">
        <v>813</v>
      </c>
      <c r="L5631" s="9">
        <v>2025</v>
      </c>
      <c r="M5631" s="8" t="s">
        <v>33014</v>
      </c>
      <c r="N5631" s="8" t="s">
        <v>413</v>
      </c>
      <c r="O5631" s="8" t="s">
        <v>1584</v>
      </c>
      <c r="P5631" s="6" t="s">
        <v>167</v>
      </c>
      <c r="Q5631" s="8" t="s">
        <v>214</v>
      </c>
      <c r="R5631" s="10" t="s">
        <v>33015</v>
      </c>
      <c r="S5631" s="11"/>
      <c r="T5631" s="6"/>
      <c r="U5631" s="24" t="str">
        <f>HYPERLINK("https://media.infra-m.ru/2180/2180169/cover/2180169.jpg", "Обложка")</f>
        <v>Обложка</v>
      </c>
      <c r="V5631" s="24" t="str">
        <f>HYPERLINK("https://znanium.ru/catalog/product/2180169", "Ознакомиться")</f>
        <v>Ознакомиться</v>
      </c>
      <c r="W5631" s="8" t="s">
        <v>1642</v>
      </c>
      <c r="X5631" s="6"/>
      <c r="Y5631" s="6"/>
      <c r="Z5631" s="6"/>
      <c r="AA5631" s="6" t="s">
        <v>813</v>
      </c>
      <c r="AB5631" s="8"/>
    </row>
    <row r="5632" spans="1:28" s="4" customFormat="1" ht="51.95" customHeight="1">
      <c r="A5632" s="5">
        <v>0</v>
      </c>
      <c r="B5632" s="6" t="s">
        <v>33016</v>
      </c>
      <c r="C5632" s="13">
        <v>2500</v>
      </c>
      <c r="D5632" s="8" t="s">
        <v>33017</v>
      </c>
      <c r="E5632" s="8" t="s">
        <v>33018</v>
      </c>
      <c r="F5632" s="8" t="s">
        <v>33019</v>
      </c>
      <c r="G5632" s="6" t="s">
        <v>89</v>
      </c>
      <c r="H5632" s="6" t="s">
        <v>53</v>
      </c>
      <c r="I5632" s="8" t="s">
        <v>212</v>
      </c>
      <c r="J5632" s="9">
        <v>1</v>
      </c>
      <c r="K5632" s="9">
        <v>574</v>
      </c>
      <c r="L5632" s="9">
        <v>2021</v>
      </c>
      <c r="M5632" s="8" t="s">
        <v>33020</v>
      </c>
      <c r="N5632" s="8" t="s">
        <v>79</v>
      </c>
      <c r="O5632" s="8" t="s">
        <v>174</v>
      </c>
      <c r="P5632" s="6" t="s">
        <v>167</v>
      </c>
      <c r="Q5632" s="8" t="s">
        <v>214</v>
      </c>
      <c r="R5632" s="10" t="s">
        <v>33015</v>
      </c>
      <c r="S5632" s="11" t="s">
        <v>33021</v>
      </c>
      <c r="T5632" s="6" t="s">
        <v>299</v>
      </c>
      <c r="U5632" s="24" t="str">
        <f>HYPERLINK("https://media.infra-m.ru/1214/1214590/cover/1214590.jpg", "Обложка")</f>
        <v>Обложка</v>
      </c>
      <c r="V5632" s="24" t="str">
        <f>HYPERLINK("https://znanium.ru/catalog/product/2180169", "Ознакомиться")</f>
        <v>Ознакомиться</v>
      </c>
      <c r="W5632" s="8" t="s">
        <v>1642</v>
      </c>
      <c r="X5632" s="6"/>
      <c r="Y5632" s="6"/>
      <c r="Z5632" s="6"/>
      <c r="AA5632" s="6" t="s">
        <v>418</v>
      </c>
      <c r="AB5632" s="8"/>
    </row>
    <row r="5633" spans="1:28" s="4" customFormat="1" ht="51.95" customHeight="1">
      <c r="A5633" s="5">
        <v>0</v>
      </c>
      <c r="B5633" s="6" t="s">
        <v>33022</v>
      </c>
      <c r="C5633" s="13">
        <v>1684</v>
      </c>
      <c r="D5633" s="8" t="s">
        <v>33023</v>
      </c>
      <c r="E5633" s="8" t="s">
        <v>33024</v>
      </c>
      <c r="F5633" s="8" t="s">
        <v>33025</v>
      </c>
      <c r="G5633" s="6" t="s">
        <v>89</v>
      </c>
      <c r="H5633" s="6" t="s">
        <v>53</v>
      </c>
      <c r="I5633" s="8" t="s">
        <v>90</v>
      </c>
      <c r="J5633" s="9">
        <v>1</v>
      </c>
      <c r="K5633" s="9">
        <v>336</v>
      </c>
      <c r="L5633" s="9">
        <v>2025</v>
      </c>
      <c r="M5633" s="8" t="s">
        <v>33026</v>
      </c>
      <c r="N5633" s="8" t="s">
        <v>68</v>
      </c>
      <c r="O5633" s="8" t="s">
        <v>69</v>
      </c>
      <c r="P5633" s="6" t="s">
        <v>167</v>
      </c>
      <c r="Q5633" s="8" t="s">
        <v>44</v>
      </c>
      <c r="R5633" s="10" t="s">
        <v>33027</v>
      </c>
      <c r="S5633" s="11" t="s">
        <v>33028</v>
      </c>
      <c r="T5633" s="6"/>
      <c r="U5633" s="24" t="str">
        <f>HYPERLINK("https://media.infra-m.ru/2175/2175177/cover/2175177.jpg", "Обложка")</f>
        <v>Обложка</v>
      </c>
      <c r="V5633" s="24" t="str">
        <f>HYPERLINK("https://znanium.ru/catalog/product/2126890", "Ознакомиться")</f>
        <v>Ознакомиться</v>
      </c>
      <c r="W5633" s="8" t="s">
        <v>2514</v>
      </c>
      <c r="X5633" s="6"/>
      <c r="Y5633" s="6"/>
      <c r="Z5633" s="6"/>
      <c r="AA5633" s="6" t="s">
        <v>442</v>
      </c>
      <c r="AB5633" s="8"/>
    </row>
    <row r="5634" spans="1:28" s="4" customFormat="1" ht="51.95" customHeight="1">
      <c r="A5634" s="5">
        <v>0</v>
      </c>
      <c r="B5634" s="6" t="s">
        <v>33029</v>
      </c>
      <c r="C5634" s="13">
        <v>1690</v>
      </c>
      <c r="D5634" s="8" t="s">
        <v>33030</v>
      </c>
      <c r="E5634" s="8" t="s">
        <v>33024</v>
      </c>
      <c r="F5634" s="8" t="s">
        <v>33025</v>
      </c>
      <c r="G5634" s="6" t="s">
        <v>52</v>
      </c>
      <c r="H5634" s="6" t="s">
        <v>53</v>
      </c>
      <c r="I5634" s="8" t="s">
        <v>100</v>
      </c>
      <c r="J5634" s="9">
        <v>1</v>
      </c>
      <c r="K5634" s="9">
        <v>336</v>
      </c>
      <c r="L5634" s="9">
        <v>2025</v>
      </c>
      <c r="M5634" s="8" t="s">
        <v>33031</v>
      </c>
      <c r="N5634" s="8" t="s">
        <v>79</v>
      </c>
      <c r="O5634" s="8" t="s">
        <v>174</v>
      </c>
      <c r="P5634" s="6" t="s">
        <v>167</v>
      </c>
      <c r="Q5634" s="8" t="s">
        <v>102</v>
      </c>
      <c r="R5634" s="10" t="s">
        <v>33032</v>
      </c>
      <c r="S5634" s="11"/>
      <c r="T5634" s="6"/>
      <c r="U5634" s="24" t="str">
        <f>HYPERLINK("https://media.infra-m.ru/2169/2169778/cover/2169778.jpg", "Обложка")</f>
        <v>Обложка</v>
      </c>
      <c r="V5634" s="24" t="str">
        <f>HYPERLINK("https://znanium.ru/catalog/product/2169778", "Ознакомиться")</f>
        <v>Ознакомиться</v>
      </c>
      <c r="W5634" s="8" t="s">
        <v>2514</v>
      </c>
      <c r="X5634" s="6" t="s">
        <v>785</v>
      </c>
      <c r="Y5634" s="6"/>
      <c r="Z5634" s="6" t="s">
        <v>104</v>
      </c>
      <c r="AA5634" s="6" t="s">
        <v>61</v>
      </c>
      <c r="AB5634" s="8"/>
    </row>
    <row r="5635" spans="1:28" s="4" customFormat="1" ht="51.95" customHeight="1">
      <c r="A5635" s="5">
        <v>0</v>
      </c>
      <c r="B5635" s="6" t="s">
        <v>33033</v>
      </c>
      <c r="C5635" s="13">
        <v>1990</v>
      </c>
      <c r="D5635" s="8" t="s">
        <v>33034</v>
      </c>
      <c r="E5635" s="8" t="s">
        <v>33035</v>
      </c>
      <c r="F5635" s="8" t="s">
        <v>33036</v>
      </c>
      <c r="G5635" s="6" t="s">
        <v>52</v>
      </c>
      <c r="H5635" s="6" t="s">
        <v>53</v>
      </c>
      <c r="I5635" s="8" t="s">
        <v>90</v>
      </c>
      <c r="J5635" s="9">
        <v>1</v>
      </c>
      <c r="K5635" s="9">
        <v>432</v>
      </c>
      <c r="L5635" s="9">
        <v>2024</v>
      </c>
      <c r="M5635" s="8" t="s">
        <v>33037</v>
      </c>
      <c r="N5635" s="8" t="s">
        <v>79</v>
      </c>
      <c r="O5635" s="8" t="s">
        <v>174</v>
      </c>
      <c r="P5635" s="6" t="s">
        <v>43</v>
      </c>
      <c r="Q5635" s="8" t="s">
        <v>44</v>
      </c>
      <c r="R5635" s="10" t="s">
        <v>13924</v>
      </c>
      <c r="S5635" s="11" t="s">
        <v>33038</v>
      </c>
      <c r="T5635" s="6"/>
      <c r="U5635" s="24" t="str">
        <f>HYPERLINK("https://media.infra-m.ru/2119/2119108/cover/2119108.jpg", "Обложка")</f>
        <v>Обложка</v>
      </c>
      <c r="V5635" s="24" t="str">
        <f>HYPERLINK("https://znanium.ru/catalog/product/2119108", "Ознакомиться")</f>
        <v>Ознакомиться</v>
      </c>
      <c r="W5635" s="8" t="s">
        <v>1505</v>
      </c>
      <c r="X5635" s="6"/>
      <c r="Y5635" s="6"/>
      <c r="Z5635" s="6"/>
      <c r="AA5635" s="6" t="s">
        <v>494</v>
      </c>
      <c r="AB5635" s="8"/>
    </row>
    <row r="5636" spans="1:28" s="4" customFormat="1" ht="51.95" customHeight="1">
      <c r="A5636" s="5">
        <v>0</v>
      </c>
      <c r="B5636" s="6" t="s">
        <v>33039</v>
      </c>
      <c r="C5636" s="13">
        <v>1780</v>
      </c>
      <c r="D5636" s="8" t="s">
        <v>33040</v>
      </c>
      <c r="E5636" s="8" t="s">
        <v>33041</v>
      </c>
      <c r="F5636" s="8" t="s">
        <v>33042</v>
      </c>
      <c r="G5636" s="6" t="s">
        <v>89</v>
      </c>
      <c r="H5636" s="6" t="s">
        <v>53</v>
      </c>
      <c r="I5636" s="8" t="s">
        <v>1779</v>
      </c>
      <c r="J5636" s="9">
        <v>1</v>
      </c>
      <c r="K5636" s="9">
        <v>355</v>
      </c>
      <c r="L5636" s="9">
        <v>2025</v>
      </c>
      <c r="M5636" s="8" t="s">
        <v>33043</v>
      </c>
      <c r="N5636" s="8" t="s">
        <v>413</v>
      </c>
      <c r="O5636" s="8" t="s">
        <v>1584</v>
      </c>
      <c r="P5636" s="6" t="s">
        <v>43</v>
      </c>
      <c r="Q5636" s="8" t="s">
        <v>214</v>
      </c>
      <c r="R5636" s="10" t="s">
        <v>33044</v>
      </c>
      <c r="S5636" s="11" t="s">
        <v>33045</v>
      </c>
      <c r="T5636" s="6" t="s">
        <v>299</v>
      </c>
      <c r="U5636" s="24" t="str">
        <f>HYPERLINK("https://media.infra-m.ru/2179/2179080/cover/2179080.jpg", "Обложка")</f>
        <v>Обложка</v>
      </c>
      <c r="V5636" s="24" t="str">
        <f>HYPERLINK("https://znanium.ru/catalog/product/2179080", "Ознакомиться")</f>
        <v>Ознакомиться</v>
      </c>
      <c r="W5636" s="8" t="s">
        <v>33046</v>
      </c>
      <c r="X5636" s="6"/>
      <c r="Y5636" s="6"/>
      <c r="Z5636" s="6"/>
      <c r="AA5636" s="6" t="s">
        <v>235</v>
      </c>
      <c r="AB5636" s="8"/>
    </row>
    <row r="5637" spans="1:28" s="4" customFormat="1" ht="51.95" customHeight="1">
      <c r="A5637" s="5">
        <v>0</v>
      </c>
      <c r="B5637" s="6" t="s">
        <v>33047</v>
      </c>
      <c r="C5637" s="7">
        <v>744</v>
      </c>
      <c r="D5637" s="8" t="s">
        <v>33048</v>
      </c>
      <c r="E5637" s="8" t="s">
        <v>33049</v>
      </c>
      <c r="F5637" s="8" t="s">
        <v>33050</v>
      </c>
      <c r="G5637" s="6" t="s">
        <v>38</v>
      </c>
      <c r="H5637" s="6" t="s">
        <v>53</v>
      </c>
      <c r="I5637" s="8" t="s">
        <v>116</v>
      </c>
      <c r="J5637" s="9">
        <v>1</v>
      </c>
      <c r="K5637" s="9">
        <v>144</v>
      </c>
      <c r="L5637" s="9">
        <v>2025</v>
      </c>
      <c r="M5637" s="8" t="s">
        <v>33051</v>
      </c>
      <c r="N5637" s="8" t="s">
        <v>79</v>
      </c>
      <c r="O5637" s="8" t="s">
        <v>174</v>
      </c>
      <c r="P5637" s="6" t="s">
        <v>43</v>
      </c>
      <c r="Q5637" s="8" t="s">
        <v>58</v>
      </c>
      <c r="R5637" s="10" t="s">
        <v>33052</v>
      </c>
      <c r="S5637" s="11" t="s">
        <v>33053</v>
      </c>
      <c r="T5637" s="6"/>
      <c r="U5637" s="24" t="str">
        <f>HYPERLINK("https://media.infra-m.ru/2201/2201255/cover/2201255.jpg", "Обложка")</f>
        <v>Обложка</v>
      </c>
      <c r="V5637" s="24" t="str">
        <f>HYPERLINK("https://znanium.ru/catalog/product/2032570", "Ознакомиться")</f>
        <v>Ознакомиться</v>
      </c>
      <c r="W5637" s="8" t="s">
        <v>1626</v>
      </c>
      <c r="X5637" s="6"/>
      <c r="Y5637" s="6"/>
      <c r="Z5637" s="6"/>
      <c r="AA5637" s="6" t="s">
        <v>84</v>
      </c>
      <c r="AB5637" s="8"/>
    </row>
    <row r="5638" spans="1:28" s="4" customFormat="1" ht="51.95" customHeight="1">
      <c r="A5638" s="5">
        <v>0</v>
      </c>
      <c r="B5638" s="6" t="s">
        <v>33054</v>
      </c>
      <c r="C5638" s="7">
        <v>990</v>
      </c>
      <c r="D5638" s="8" t="s">
        <v>33055</v>
      </c>
      <c r="E5638" s="8" t="s">
        <v>33056</v>
      </c>
      <c r="F5638" s="8" t="s">
        <v>33057</v>
      </c>
      <c r="G5638" s="6" t="s">
        <v>52</v>
      </c>
      <c r="H5638" s="6" t="s">
        <v>53</v>
      </c>
      <c r="I5638" s="8" t="s">
        <v>712</v>
      </c>
      <c r="J5638" s="9">
        <v>1</v>
      </c>
      <c r="K5638" s="9">
        <v>200</v>
      </c>
      <c r="L5638" s="9">
        <v>2024</v>
      </c>
      <c r="M5638" s="8" t="s">
        <v>33058</v>
      </c>
      <c r="N5638" s="8" t="s">
        <v>413</v>
      </c>
      <c r="O5638" s="8" t="s">
        <v>1528</v>
      </c>
      <c r="P5638" s="6" t="s">
        <v>43</v>
      </c>
      <c r="Q5638" s="8" t="s">
        <v>44</v>
      </c>
      <c r="R5638" s="10" t="s">
        <v>33059</v>
      </c>
      <c r="S5638" s="11" t="s">
        <v>33060</v>
      </c>
      <c r="T5638" s="6"/>
      <c r="U5638" s="24" t="str">
        <f>HYPERLINK("https://media.infra-m.ru/2133/2133636/cover/2133636.jpg", "Обложка")</f>
        <v>Обложка</v>
      </c>
      <c r="V5638" s="24" t="str">
        <f>HYPERLINK("https://znanium.ru/catalog/product/2133636", "Ознакомиться")</f>
        <v>Ознакомиться</v>
      </c>
      <c r="W5638" s="8" t="s">
        <v>716</v>
      </c>
      <c r="X5638" s="6"/>
      <c r="Y5638" s="6"/>
      <c r="Z5638" s="6"/>
      <c r="AA5638" s="6" t="s">
        <v>133</v>
      </c>
      <c r="AB5638" s="8"/>
    </row>
    <row r="5639" spans="1:28" s="4" customFormat="1" ht="51.95" customHeight="1">
      <c r="A5639" s="5">
        <v>0</v>
      </c>
      <c r="B5639" s="6" t="s">
        <v>33061</v>
      </c>
      <c r="C5639" s="13">
        <v>1004</v>
      </c>
      <c r="D5639" s="8" t="s">
        <v>33062</v>
      </c>
      <c r="E5639" s="8" t="s">
        <v>33063</v>
      </c>
      <c r="F5639" s="8" t="s">
        <v>33064</v>
      </c>
      <c r="G5639" s="6" t="s">
        <v>52</v>
      </c>
      <c r="H5639" s="6" t="s">
        <v>53</v>
      </c>
      <c r="I5639" s="8" t="s">
        <v>4855</v>
      </c>
      <c r="J5639" s="9">
        <v>1</v>
      </c>
      <c r="K5639" s="9">
        <v>219</v>
      </c>
      <c r="L5639" s="9">
        <v>2024</v>
      </c>
      <c r="M5639" s="8" t="s">
        <v>33065</v>
      </c>
      <c r="N5639" s="8" t="s">
        <v>68</v>
      </c>
      <c r="O5639" s="8" t="s">
        <v>69</v>
      </c>
      <c r="P5639" s="6" t="s">
        <v>43</v>
      </c>
      <c r="Q5639" s="8" t="s">
        <v>44</v>
      </c>
      <c r="R5639" s="10" t="s">
        <v>33066</v>
      </c>
      <c r="S5639" s="11" t="s">
        <v>33067</v>
      </c>
      <c r="T5639" s="6"/>
      <c r="U5639" s="24" t="str">
        <f>HYPERLINK("https://media.infra-m.ru/2106/2106233/cover/2106233.jpg", "Обложка")</f>
        <v>Обложка</v>
      </c>
      <c r="V5639" s="12"/>
      <c r="W5639" s="8" t="s">
        <v>784</v>
      </c>
      <c r="X5639" s="6"/>
      <c r="Y5639" s="6"/>
      <c r="Z5639" s="6"/>
      <c r="AA5639" s="6" t="s">
        <v>151</v>
      </c>
      <c r="AB5639" s="8"/>
    </row>
    <row r="5640" spans="1:28" s="4" customFormat="1" ht="51.95" customHeight="1">
      <c r="A5640" s="5">
        <v>0</v>
      </c>
      <c r="B5640" s="6" t="s">
        <v>33068</v>
      </c>
      <c r="C5640" s="7">
        <v>950</v>
      </c>
      <c r="D5640" s="8" t="s">
        <v>33069</v>
      </c>
      <c r="E5640" s="8" t="s">
        <v>33070</v>
      </c>
      <c r="F5640" s="8" t="s">
        <v>33071</v>
      </c>
      <c r="G5640" s="6" t="s">
        <v>89</v>
      </c>
      <c r="H5640" s="6" t="s">
        <v>53</v>
      </c>
      <c r="I5640" s="8" t="s">
        <v>116</v>
      </c>
      <c r="J5640" s="9">
        <v>1</v>
      </c>
      <c r="K5640" s="9">
        <v>201</v>
      </c>
      <c r="L5640" s="9">
        <v>2024</v>
      </c>
      <c r="M5640" s="8" t="s">
        <v>33072</v>
      </c>
      <c r="N5640" s="8" t="s">
        <v>68</v>
      </c>
      <c r="O5640" s="8" t="s">
        <v>69</v>
      </c>
      <c r="P5640" s="6" t="s">
        <v>175</v>
      </c>
      <c r="Q5640" s="8" t="s">
        <v>44</v>
      </c>
      <c r="R5640" s="10" t="s">
        <v>33073</v>
      </c>
      <c r="S5640" s="11" t="s">
        <v>8930</v>
      </c>
      <c r="T5640" s="6"/>
      <c r="U5640" s="24" t="str">
        <f>HYPERLINK("https://media.infra-m.ru/2098/2098104/cover/2098104.jpg", "Обложка")</f>
        <v>Обложка</v>
      </c>
      <c r="V5640" s="24" t="str">
        <f>HYPERLINK("https://znanium.ru/catalog/product/2098104", "Ознакомиться")</f>
        <v>Ознакомиться</v>
      </c>
      <c r="W5640" s="8" t="s">
        <v>1505</v>
      </c>
      <c r="X5640" s="6"/>
      <c r="Y5640" s="6"/>
      <c r="Z5640" s="6"/>
      <c r="AA5640" s="6" t="s">
        <v>258</v>
      </c>
      <c r="AB5640" s="8"/>
    </row>
    <row r="5641" spans="1:28" s="4" customFormat="1" ht="51.95" customHeight="1">
      <c r="A5641" s="5">
        <v>0</v>
      </c>
      <c r="B5641" s="6" t="s">
        <v>33074</v>
      </c>
      <c r="C5641" s="13">
        <v>1024</v>
      </c>
      <c r="D5641" s="8" t="s">
        <v>33075</v>
      </c>
      <c r="E5641" s="8" t="s">
        <v>33070</v>
      </c>
      <c r="F5641" s="8" t="s">
        <v>33071</v>
      </c>
      <c r="G5641" s="6" t="s">
        <v>89</v>
      </c>
      <c r="H5641" s="6" t="s">
        <v>53</v>
      </c>
      <c r="I5641" s="8" t="s">
        <v>100</v>
      </c>
      <c r="J5641" s="9">
        <v>1</v>
      </c>
      <c r="K5641" s="9">
        <v>197</v>
      </c>
      <c r="L5641" s="9">
        <v>2025</v>
      </c>
      <c r="M5641" s="8" t="s">
        <v>33076</v>
      </c>
      <c r="N5641" s="8" t="s">
        <v>68</v>
      </c>
      <c r="O5641" s="8" t="s">
        <v>69</v>
      </c>
      <c r="P5641" s="6" t="s">
        <v>175</v>
      </c>
      <c r="Q5641" s="8" t="s">
        <v>102</v>
      </c>
      <c r="R5641" s="10" t="s">
        <v>33077</v>
      </c>
      <c r="S5641" s="11" t="s">
        <v>6935</v>
      </c>
      <c r="T5641" s="6"/>
      <c r="U5641" s="24" t="str">
        <f>HYPERLINK("https://media.infra-m.ru/2162/2162085/cover/2162085.jpg", "Обложка")</f>
        <v>Обложка</v>
      </c>
      <c r="V5641" s="24" t="str">
        <f>HYPERLINK("https://znanium.ru/catalog/product/2156464", "Ознакомиться")</f>
        <v>Ознакомиться</v>
      </c>
      <c r="W5641" s="8" t="s">
        <v>1505</v>
      </c>
      <c r="X5641" s="6"/>
      <c r="Y5641" s="6"/>
      <c r="Z5641" s="6" t="s">
        <v>104</v>
      </c>
      <c r="AA5641" s="6" t="s">
        <v>793</v>
      </c>
      <c r="AB5641" s="8"/>
    </row>
    <row r="5642" spans="1:28" s="4" customFormat="1" ht="51.95" customHeight="1">
      <c r="A5642" s="5">
        <v>0</v>
      </c>
      <c r="B5642" s="6" t="s">
        <v>33078</v>
      </c>
      <c r="C5642" s="13">
        <v>2990</v>
      </c>
      <c r="D5642" s="8" t="s">
        <v>33079</v>
      </c>
      <c r="E5642" s="8" t="s">
        <v>33080</v>
      </c>
      <c r="F5642" s="8" t="s">
        <v>33081</v>
      </c>
      <c r="G5642" s="6" t="s">
        <v>52</v>
      </c>
      <c r="H5642" s="6" t="s">
        <v>53</v>
      </c>
      <c r="I5642" s="8" t="s">
        <v>116</v>
      </c>
      <c r="J5642" s="9">
        <v>1</v>
      </c>
      <c r="K5642" s="9">
        <v>606</v>
      </c>
      <c r="L5642" s="9">
        <v>2025</v>
      </c>
      <c r="M5642" s="8" t="s">
        <v>33082</v>
      </c>
      <c r="N5642" s="8" t="s">
        <v>413</v>
      </c>
      <c r="O5642" s="8" t="s">
        <v>1528</v>
      </c>
      <c r="P5642" s="6" t="s">
        <v>167</v>
      </c>
      <c r="Q5642" s="8" t="s">
        <v>58</v>
      </c>
      <c r="R5642" s="10" t="s">
        <v>33083</v>
      </c>
      <c r="S5642" s="11" t="s">
        <v>33084</v>
      </c>
      <c r="T5642" s="6" t="s">
        <v>299</v>
      </c>
      <c r="U5642" s="24" t="str">
        <f>HYPERLINK("https://media.infra-m.ru/2168/2168878/cover/2168878.jpg", "Обложка")</f>
        <v>Обложка</v>
      </c>
      <c r="V5642" s="24" t="str">
        <f>HYPERLINK("https://znanium.ru/catalog/product/2168878", "Ознакомиться")</f>
        <v>Ознакомиться</v>
      </c>
      <c r="W5642" s="8" t="s">
        <v>2351</v>
      </c>
      <c r="X5642" s="6"/>
      <c r="Y5642" s="6"/>
      <c r="Z5642" s="6"/>
      <c r="AA5642" s="6" t="s">
        <v>442</v>
      </c>
      <c r="AB5642" s="8"/>
    </row>
    <row r="5643" spans="1:28" s="4" customFormat="1" ht="51.95" customHeight="1">
      <c r="A5643" s="5">
        <v>0</v>
      </c>
      <c r="B5643" s="6" t="s">
        <v>33085</v>
      </c>
      <c r="C5643" s="13">
        <v>1914</v>
      </c>
      <c r="D5643" s="8" t="s">
        <v>33086</v>
      </c>
      <c r="E5643" s="8" t="s">
        <v>33087</v>
      </c>
      <c r="F5643" s="8" t="s">
        <v>33081</v>
      </c>
      <c r="G5643" s="6" t="s">
        <v>89</v>
      </c>
      <c r="H5643" s="6" t="s">
        <v>53</v>
      </c>
      <c r="I5643" s="8" t="s">
        <v>116</v>
      </c>
      <c r="J5643" s="9">
        <v>1</v>
      </c>
      <c r="K5643" s="9">
        <v>383</v>
      </c>
      <c r="L5643" s="9">
        <v>2025</v>
      </c>
      <c r="M5643" s="8" t="s">
        <v>33088</v>
      </c>
      <c r="N5643" s="8" t="s">
        <v>413</v>
      </c>
      <c r="O5643" s="8" t="s">
        <v>1528</v>
      </c>
      <c r="P5643" s="6" t="s">
        <v>167</v>
      </c>
      <c r="Q5643" s="8" t="s">
        <v>58</v>
      </c>
      <c r="R5643" s="10" t="s">
        <v>33089</v>
      </c>
      <c r="S5643" s="11" t="s">
        <v>33090</v>
      </c>
      <c r="T5643" s="6" t="s">
        <v>299</v>
      </c>
      <c r="U5643" s="24" t="str">
        <f>HYPERLINK("https://media.infra-m.ru/2173/2173241/cover/2173241.jpg", "Обложка")</f>
        <v>Обложка</v>
      </c>
      <c r="V5643" s="24" t="str">
        <f>HYPERLINK("https://znanium.ru/catalog/product/2168879", "Ознакомиться")</f>
        <v>Ознакомиться</v>
      </c>
      <c r="W5643" s="8" t="s">
        <v>2351</v>
      </c>
      <c r="X5643" s="6"/>
      <c r="Y5643" s="6"/>
      <c r="Z5643" s="6"/>
      <c r="AA5643" s="6" t="s">
        <v>442</v>
      </c>
      <c r="AB5643" s="8"/>
    </row>
    <row r="5644" spans="1:28" s="4" customFormat="1" ht="51.95" customHeight="1">
      <c r="A5644" s="5">
        <v>0</v>
      </c>
      <c r="B5644" s="6" t="s">
        <v>33091</v>
      </c>
      <c r="C5644" s="13">
        <v>2374</v>
      </c>
      <c r="D5644" s="8" t="s">
        <v>33092</v>
      </c>
      <c r="E5644" s="8" t="s">
        <v>33093</v>
      </c>
      <c r="F5644" s="8" t="s">
        <v>33094</v>
      </c>
      <c r="G5644" s="6" t="s">
        <v>89</v>
      </c>
      <c r="H5644" s="6" t="s">
        <v>53</v>
      </c>
      <c r="I5644" s="8" t="s">
        <v>90</v>
      </c>
      <c r="J5644" s="9">
        <v>1</v>
      </c>
      <c r="K5644" s="9">
        <v>474</v>
      </c>
      <c r="L5644" s="9">
        <v>2025</v>
      </c>
      <c r="M5644" s="8" t="s">
        <v>33095</v>
      </c>
      <c r="N5644" s="8" t="s">
        <v>413</v>
      </c>
      <c r="O5644" s="8" t="s">
        <v>1528</v>
      </c>
      <c r="P5644" s="6" t="s">
        <v>43</v>
      </c>
      <c r="Q5644" s="8" t="s">
        <v>44</v>
      </c>
      <c r="R5644" s="10" t="s">
        <v>33096</v>
      </c>
      <c r="S5644" s="11" t="s">
        <v>33097</v>
      </c>
      <c r="T5644" s="6" t="s">
        <v>299</v>
      </c>
      <c r="U5644" s="24" t="str">
        <f>HYPERLINK("https://media.infra-m.ru/2168/2168883/cover/2168883.jpg", "Обложка")</f>
        <v>Обложка</v>
      </c>
      <c r="V5644" s="24" t="str">
        <f>HYPERLINK("https://znanium.ru/catalog/product/2127026", "Ознакомиться")</f>
        <v>Ознакомиться</v>
      </c>
      <c r="W5644" s="8" t="s">
        <v>5371</v>
      </c>
      <c r="X5644" s="6"/>
      <c r="Y5644" s="6"/>
      <c r="Z5644" s="6"/>
      <c r="AA5644" s="6" t="s">
        <v>442</v>
      </c>
      <c r="AB5644" s="8"/>
    </row>
    <row r="5645" spans="1:28" s="4" customFormat="1" ht="42" customHeight="1">
      <c r="A5645" s="5">
        <v>0</v>
      </c>
      <c r="B5645" s="6" t="s">
        <v>33098</v>
      </c>
      <c r="C5645" s="13">
        <v>1080</v>
      </c>
      <c r="D5645" s="8" t="s">
        <v>33099</v>
      </c>
      <c r="E5645" s="8" t="s">
        <v>33100</v>
      </c>
      <c r="F5645" s="8" t="s">
        <v>33081</v>
      </c>
      <c r="G5645" s="6" t="s">
        <v>52</v>
      </c>
      <c r="H5645" s="6" t="s">
        <v>53</v>
      </c>
      <c r="I5645" s="8" t="s">
        <v>116</v>
      </c>
      <c r="J5645" s="9">
        <v>1</v>
      </c>
      <c r="K5645" s="9">
        <v>214</v>
      </c>
      <c r="L5645" s="9">
        <v>2024</v>
      </c>
      <c r="M5645" s="8" t="s">
        <v>33101</v>
      </c>
      <c r="N5645" s="8" t="s">
        <v>413</v>
      </c>
      <c r="O5645" s="8" t="s">
        <v>1528</v>
      </c>
      <c r="P5645" s="6" t="s">
        <v>43</v>
      </c>
      <c r="Q5645" s="8" t="s">
        <v>58</v>
      </c>
      <c r="R5645" s="10" t="s">
        <v>33102</v>
      </c>
      <c r="S5645" s="11"/>
      <c r="T5645" s="6"/>
      <c r="U5645" s="24" t="str">
        <f>HYPERLINK("https://media.infra-m.ru/1978/1978001/cover/1978001.jpg", "Обложка")</f>
        <v>Обложка</v>
      </c>
      <c r="V5645" s="24" t="str">
        <f>HYPERLINK("https://znanium.ru/catalog/product/1978001", "Ознакомиться")</f>
        <v>Ознакомиться</v>
      </c>
      <c r="W5645" s="8" t="s">
        <v>2351</v>
      </c>
      <c r="X5645" s="6" t="s">
        <v>772</v>
      </c>
      <c r="Y5645" s="6"/>
      <c r="Z5645" s="6"/>
      <c r="AA5645" s="6" t="s">
        <v>133</v>
      </c>
      <c r="AB5645" s="8"/>
    </row>
    <row r="5646" spans="1:28" s="4" customFormat="1" ht="42" customHeight="1">
      <c r="A5646" s="5">
        <v>0</v>
      </c>
      <c r="B5646" s="6" t="s">
        <v>33103</v>
      </c>
      <c r="C5646" s="13">
        <v>1690</v>
      </c>
      <c r="D5646" s="8" t="s">
        <v>33104</v>
      </c>
      <c r="E5646" s="8" t="s">
        <v>33105</v>
      </c>
      <c r="F5646" s="8" t="s">
        <v>33081</v>
      </c>
      <c r="G5646" s="6" t="s">
        <v>52</v>
      </c>
      <c r="H5646" s="6" t="s">
        <v>53</v>
      </c>
      <c r="I5646" s="8" t="s">
        <v>116</v>
      </c>
      <c r="J5646" s="9">
        <v>1</v>
      </c>
      <c r="K5646" s="9">
        <v>298</v>
      </c>
      <c r="L5646" s="9">
        <v>2024</v>
      </c>
      <c r="M5646" s="8" t="s">
        <v>33106</v>
      </c>
      <c r="N5646" s="8" t="s">
        <v>413</v>
      </c>
      <c r="O5646" s="8" t="s">
        <v>1528</v>
      </c>
      <c r="P5646" s="6" t="s">
        <v>43</v>
      </c>
      <c r="Q5646" s="8" t="s">
        <v>58</v>
      </c>
      <c r="R5646" s="10" t="s">
        <v>33107</v>
      </c>
      <c r="S5646" s="11"/>
      <c r="T5646" s="6"/>
      <c r="U5646" s="24" t="str">
        <f>HYPERLINK("https://media.infra-m.ru/2091/2091937/cover/2091937.jpg", "Обложка")</f>
        <v>Обложка</v>
      </c>
      <c r="V5646" s="24" t="str">
        <f>HYPERLINK("https://znanium.ru/catalog/product/2091937", "Ознакомиться")</f>
        <v>Ознакомиться</v>
      </c>
      <c r="W5646" s="8" t="s">
        <v>2351</v>
      </c>
      <c r="X5646" s="6" t="s">
        <v>785</v>
      </c>
      <c r="Y5646" s="6"/>
      <c r="Z5646" s="6"/>
      <c r="AA5646" s="6" t="s">
        <v>133</v>
      </c>
      <c r="AB5646" s="8" t="s">
        <v>1159</v>
      </c>
    </row>
    <row r="5647" spans="1:28" s="4" customFormat="1" ht="42" customHeight="1">
      <c r="A5647" s="5">
        <v>0</v>
      </c>
      <c r="B5647" s="6" t="s">
        <v>33108</v>
      </c>
      <c r="C5647" s="7">
        <v>644</v>
      </c>
      <c r="D5647" s="8" t="s">
        <v>33109</v>
      </c>
      <c r="E5647" s="8" t="s">
        <v>33110</v>
      </c>
      <c r="F5647" s="8" t="s">
        <v>33111</v>
      </c>
      <c r="G5647" s="6" t="s">
        <v>38</v>
      </c>
      <c r="H5647" s="6" t="s">
        <v>77</v>
      </c>
      <c r="I5647" s="8"/>
      <c r="J5647" s="9">
        <v>1</v>
      </c>
      <c r="K5647" s="9">
        <v>140</v>
      </c>
      <c r="L5647" s="9">
        <v>2024</v>
      </c>
      <c r="M5647" s="8" t="s">
        <v>33112</v>
      </c>
      <c r="N5647" s="8" t="s">
        <v>413</v>
      </c>
      <c r="O5647" s="8" t="s">
        <v>1584</v>
      </c>
      <c r="P5647" s="6" t="s">
        <v>43</v>
      </c>
      <c r="Q5647" s="8" t="s">
        <v>58</v>
      </c>
      <c r="R5647" s="10" t="s">
        <v>33113</v>
      </c>
      <c r="S5647" s="11"/>
      <c r="T5647" s="6"/>
      <c r="U5647" s="24" t="str">
        <f>HYPERLINK("https://media.infra-m.ru/2088/2088250/cover/2088250.jpg", "Обложка")</f>
        <v>Обложка</v>
      </c>
      <c r="V5647" s="24" t="str">
        <f>HYPERLINK("https://znanium.ru/catalog/product/2203051", "Ознакомиться")</f>
        <v>Ознакомиться</v>
      </c>
      <c r="W5647" s="8" t="s">
        <v>33114</v>
      </c>
      <c r="X5647" s="6"/>
      <c r="Y5647" s="6"/>
      <c r="Z5647" s="6"/>
      <c r="AA5647" s="6" t="s">
        <v>111</v>
      </c>
      <c r="AB5647" s="8"/>
    </row>
    <row r="5648" spans="1:28" s="4" customFormat="1" ht="51.95" customHeight="1">
      <c r="A5648" s="5">
        <v>0</v>
      </c>
      <c r="B5648" s="6" t="s">
        <v>33115</v>
      </c>
      <c r="C5648" s="7">
        <v>554</v>
      </c>
      <c r="D5648" s="8" t="s">
        <v>33116</v>
      </c>
      <c r="E5648" s="8" t="s">
        <v>33117</v>
      </c>
      <c r="F5648" s="8" t="s">
        <v>33118</v>
      </c>
      <c r="G5648" s="6" t="s">
        <v>52</v>
      </c>
      <c r="H5648" s="6" t="s">
        <v>184</v>
      </c>
      <c r="I5648" s="8" t="s">
        <v>90</v>
      </c>
      <c r="J5648" s="9">
        <v>1</v>
      </c>
      <c r="K5648" s="9">
        <v>106</v>
      </c>
      <c r="L5648" s="9">
        <v>2025</v>
      </c>
      <c r="M5648" s="8" t="s">
        <v>33119</v>
      </c>
      <c r="N5648" s="8" t="s">
        <v>413</v>
      </c>
      <c r="O5648" s="8" t="s">
        <v>1141</v>
      </c>
      <c r="P5648" s="6" t="s">
        <v>43</v>
      </c>
      <c r="Q5648" s="8" t="s">
        <v>44</v>
      </c>
      <c r="R5648" s="10" t="s">
        <v>33120</v>
      </c>
      <c r="S5648" s="11" t="s">
        <v>33121</v>
      </c>
      <c r="T5648" s="6"/>
      <c r="U5648" s="24" t="str">
        <f>HYPERLINK("https://media.infra-m.ru/2192/2192219/cover/2192219.jpg", "Обложка")</f>
        <v>Обложка</v>
      </c>
      <c r="V5648" s="24" t="str">
        <f>HYPERLINK("https://znanium.ru/catalog/product/1497873", "Ознакомиться")</f>
        <v>Ознакомиться</v>
      </c>
      <c r="W5648" s="8" t="s">
        <v>1293</v>
      </c>
      <c r="X5648" s="6"/>
      <c r="Y5648" s="6"/>
      <c r="Z5648" s="6"/>
      <c r="AA5648" s="6" t="s">
        <v>47</v>
      </c>
      <c r="AB5648" s="8"/>
    </row>
    <row r="5649" spans="1:28" s="4" customFormat="1" ht="51.95" customHeight="1">
      <c r="A5649" s="5">
        <v>0</v>
      </c>
      <c r="B5649" s="6" t="s">
        <v>33122</v>
      </c>
      <c r="C5649" s="7">
        <v>810</v>
      </c>
      <c r="D5649" s="8" t="s">
        <v>33123</v>
      </c>
      <c r="E5649" s="8" t="s">
        <v>33124</v>
      </c>
      <c r="F5649" s="8" t="s">
        <v>33125</v>
      </c>
      <c r="G5649" s="6" t="s">
        <v>89</v>
      </c>
      <c r="H5649" s="6" t="s">
        <v>184</v>
      </c>
      <c r="I5649" s="8" t="s">
        <v>185</v>
      </c>
      <c r="J5649" s="9">
        <v>1</v>
      </c>
      <c r="K5649" s="9">
        <v>204</v>
      </c>
      <c r="L5649" s="9">
        <v>2022</v>
      </c>
      <c r="M5649" s="8" t="s">
        <v>33126</v>
      </c>
      <c r="N5649" s="8" t="s">
        <v>79</v>
      </c>
      <c r="O5649" s="8" t="s">
        <v>80</v>
      </c>
      <c r="P5649" s="6" t="s">
        <v>43</v>
      </c>
      <c r="Q5649" s="8" t="s">
        <v>44</v>
      </c>
      <c r="R5649" s="10" t="s">
        <v>33127</v>
      </c>
      <c r="S5649" s="11"/>
      <c r="T5649" s="6"/>
      <c r="U5649" s="24" t="str">
        <f>HYPERLINK("https://media.infra-m.ru/1851/1851140/cover/1851140.jpg", "Обложка")</f>
        <v>Обложка</v>
      </c>
      <c r="V5649" s="24" t="str">
        <f>HYPERLINK("https://znanium.ru/catalog/product/1851140", "Ознакомиться")</f>
        <v>Ознакомиться</v>
      </c>
      <c r="W5649" s="8" t="s">
        <v>234</v>
      </c>
      <c r="X5649" s="6"/>
      <c r="Y5649" s="6"/>
      <c r="Z5649" s="6"/>
      <c r="AA5649" s="6" t="s">
        <v>418</v>
      </c>
      <c r="AB5649" s="8"/>
    </row>
    <row r="5650" spans="1:28" s="4" customFormat="1" ht="51.95" customHeight="1">
      <c r="A5650" s="5">
        <v>0</v>
      </c>
      <c r="B5650" s="6" t="s">
        <v>33128</v>
      </c>
      <c r="C5650" s="13">
        <v>1100</v>
      </c>
      <c r="D5650" s="8" t="s">
        <v>33129</v>
      </c>
      <c r="E5650" s="8" t="s">
        <v>33130</v>
      </c>
      <c r="F5650" s="8" t="s">
        <v>4458</v>
      </c>
      <c r="G5650" s="6" t="s">
        <v>89</v>
      </c>
      <c r="H5650" s="6" t="s">
        <v>53</v>
      </c>
      <c r="I5650" s="8" t="s">
        <v>100</v>
      </c>
      <c r="J5650" s="9">
        <v>1</v>
      </c>
      <c r="K5650" s="9">
        <v>246</v>
      </c>
      <c r="L5650" s="9">
        <v>2023</v>
      </c>
      <c r="M5650" s="8" t="s">
        <v>33131</v>
      </c>
      <c r="N5650" s="8" t="s">
        <v>79</v>
      </c>
      <c r="O5650" s="8" t="s">
        <v>148</v>
      </c>
      <c r="P5650" s="6" t="s">
        <v>43</v>
      </c>
      <c r="Q5650" s="8" t="s">
        <v>102</v>
      </c>
      <c r="R5650" s="10" t="s">
        <v>33132</v>
      </c>
      <c r="S5650" s="11" t="s">
        <v>33133</v>
      </c>
      <c r="T5650" s="6"/>
      <c r="U5650" s="24" t="str">
        <f>HYPERLINK("https://media.infra-m.ru/1926/1926399/cover/1926399.jpg", "Обложка")</f>
        <v>Обложка</v>
      </c>
      <c r="V5650" s="24" t="str">
        <f>HYPERLINK("https://znanium.ru/catalog/product/1926399", "Ознакомиться")</f>
        <v>Ознакомиться</v>
      </c>
      <c r="W5650" s="8" t="s">
        <v>462</v>
      </c>
      <c r="X5650" s="6"/>
      <c r="Y5650" s="6"/>
      <c r="Z5650" s="6" t="s">
        <v>104</v>
      </c>
      <c r="AA5650" s="6" t="s">
        <v>219</v>
      </c>
      <c r="AB5650" s="8"/>
    </row>
    <row r="5651" spans="1:28" s="4" customFormat="1" ht="51.95" customHeight="1">
      <c r="A5651" s="5">
        <v>0</v>
      </c>
      <c r="B5651" s="6" t="s">
        <v>33134</v>
      </c>
      <c r="C5651" s="13">
        <v>1154</v>
      </c>
      <c r="D5651" s="8" t="s">
        <v>33135</v>
      </c>
      <c r="E5651" s="8" t="s">
        <v>33130</v>
      </c>
      <c r="F5651" s="8" t="s">
        <v>4458</v>
      </c>
      <c r="G5651" s="6" t="s">
        <v>89</v>
      </c>
      <c r="H5651" s="6" t="s">
        <v>53</v>
      </c>
      <c r="I5651" s="8" t="s">
        <v>116</v>
      </c>
      <c r="J5651" s="9">
        <v>1</v>
      </c>
      <c r="K5651" s="9">
        <v>246</v>
      </c>
      <c r="L5651" s="9">
        <v>2024</v>
      </c>
      <c r="M5651" s="8" t="s">
        <v>33136</v>
      </c>
      <c r="N5651" s="8" t="s">
        <v>79</v>
      </c>
      <c r="O5651" s="8" t="s">
        <v>148</v>
      </c>
      <c r="P5651" s="6" t="s">
        <v>43</v>
      </c>
      <c r="Q5651" s="8" t="s">
        <v>44</v>
      </c>
      <c r="R5651" s="10" t="s">
        <v>14910</v>
      </c>
      <c r="S5651" s="11" t="s">
        <v>33137</v>
      </c>
      <c r="T5651" s="6"/>
      <c r="U5651" s="24" t="str">
        <f>HYPERLINK("https://media.infra-m.ru/2139/2139327/cover/2139327.jpg", "Обложка")</f>
        <v>Обложка</v>
      </c>
      <c r="V5651" s="24" t="str">
        <f>HYPERLINK("https://znanium.ru/catalog/product/1894488", "Ознакомиться")</f>
        <v>Ознакомиться</v>
      </c>
      <c r="W5651" s="8" t="s">
        <v>462</v>
      </c>
      <c r="X5651" s="6"/>
      <c r="Y5651" s="6"/>
      <c r="Z5651" s="6"/>
      <c r="AA5651" s="6" t="s">
        <v>151</v>
      </c>
      <c r="AB5651" s="8"/>
    </row>
    <row r="5652" spans="1:28" s="4" customFormat="1" ht="51.95" customHeight="1">
      <c r="A5652" s="5">
        <v>0</v>
      </c>
      <c r="B5652" s="6" t="s">
        <v>33138</v>
      </c>
      <c r="C5652" s="7">
        <v>800</v>
      </c>
      <c r="D5652" s="8" t="s">
        <v>33139</v>
      </c>
      <c r="E5652" s="8" t="s">
        <v>33140</v>
      </c>
      <c r="F5652" s="8" t="s">
        <v>33141</v>
      </c>
      <c r="G5652" s="6" t="s">
        <v>89</v>
      </c>
      <c r="H5652" s="6" t="s">
        <v>53</v>
      </c>
      <c r="I5652" s="8" t="s">
        <v>276</v>
      </c>
      <c r="J5652" s="9">
        <v>1</v>
      </c>
      <c r="K5652" s="9">
        <v>160</v>
      </c>
      <c r="L5652" s="9">
        <v>2025</v>
      </c>
      <c r="M5652" s="8" t="s">
        <v>33142</v>
      </c>
      <c r="N5652" s="8" t="s">
        <v>413</v>
      </c>
      <c r="O5652" s="8" t="s">
        <v>1141</v>
      </c>
      <c r="P5652" s="6" t="s">
        <v>43</v>
      </c>
      <c r="Q5652" s="8" t="s">
        <v>279</v>
      </c>
      <c r="R5652" s="10" t="s">
        <v>33143</v>
      </c>
      <c r="S5652" s="11" t="s">
        <v>33144</v>
      </c>
      <c r="T5652" s="6"/>
      <c r="U5652" s="24" t="str">
        <f>HYPERLINK("https://media.infra-m.ru/2157/2157880/cover/2157880.jpg", "Обложка")</f>
        <v>Обложка</v>
      </c>
      <c r="V5652" s="24" t="str">
        <f>HYPERLINK("https://znanium.ru/catalog/product/2157880", "Ознакомиться")</f>
        <v>Ознакомиться</v>
      </c>
      <c r="W5652" s="8" t="s">
        <v>4830</v>
      </c>
      <c r="X5652" s="6"/>
      <c r="Y5652" s="6"/>
      <c r="Z5652" s="6"/>
      <c r="AA5652" s="6" t="s">
        <v>326</v>
      </c>
      <c r="AB5652" s="8"/>
    </row>
    <row r="5653" spans="1:28" s="4" customFormat="1" ht="51.95" customHeight="1">
      <c r="A5653" s="5">
        <v>0</v>
      </c>
      <c r="B5653" s="6" t="s">
        <v>33145</v>
      </c>
      <c r="C5653" s="13">
        <v>1364.9</v>
      </c>
      <c r="D5653" s="8" t="s">
        <v>33146</v>
      </c>
      <c r="E5653" s="8" t="s">
        <v>33147</v>
      </c>
      <c r="F5653" s="8" t="s">
        <v>33148</v>
      </c>
      <c r="G5653" s="6" t="s">
        <v>52</v>
      </c>
      <c r="H5653" s="6" t="s">
        <v>438</v>
      </c>
      <c r="I5653" s="8" t="s">
        <v>1171</v>
      </c>
      <c r="J5653" s="9">
        <v>1</v>
      </c>
      <c r="K5653" s="9">
        <v>304</v>
      </c>
      <c r="L5653" s="9">
        <v>2023</v>
      </c>
      <c r="M5653" s="8" t="s">
        <v>33149</v>
      </c>
      <c r="N5653" s="8" t="s">
        <v>79</v>
      </c>
      <c r="O5653" s="8" t="s">
        <v>396</v>
      </c>
      <c r="P5653" s="6" t="s">
        <v>167</v>
      </c>
      <c r="Q5653" s="8" t="s">
        <v>44</v>
      </c>
      <c r="R5653" s="10" t="s">
        <v>22996</v>
      </c>
      <c r="S5653" s="11" t="s">
        <v>33150</v>
      </c>
      <c r="T5653" s="6"/>
      <c r="U5653" s="24" t="str">
        <f>HYPERLINK("https://media.infra-m.ru/1913/1913005/cover/1913005.jpg", "Обложка")</f>
        <v>Обложка</v>
      </c>
      <c r="V5653" s="24" t="str">
        <f>HYPERLINK("https://znanium.ru/catalog/product/914079", "Ознакомиться")</f>
        <v>Ознакомиться</v>
      </c>
      <c r="W5653" s="8" t="s">
        <v>450</v>
      </c>
      <c r="X5653" s="6"/>
      <c r="Y5653" s="6"/>
      <c r="Z5653" s="6"/>
      <c r="AA5653" s="6" t="s">
        <v>326</v>
      </c>
      <c r="AB5653" s="8"/>
    </row>
    <row r="5654" spans="1:28" s="4" customFormat="1" ht="51.95" customHeight="1">
      <c r="A5654" s="5">
        <v>0</v>
      </c>
      <c r="B5654" s="6" t="s">
        <v>33151</v>
      </c>
      <c r="C5654" s="13">
        <v>1284.9000000000001</v>
      </c>
      <c r="D5654" s="8" t="s">
        <v>33152</v>
      </c>
      <c r="E5654" s="8" t="s">
        <v>33153</v>
      </c>
      <c r="F5654" s="8" t="s">
        <v>22994</v>
      </c>
      <c r="G5654" s="6" t="s">
        <v>52</v>
      </c>
      <c r="H5654" s="6" t="s">
        <v>53</v>
      </c>
      <c r="I5654" s="8" t="s">
        <v>90</v>
      </c>
      <c r="J5654" s="9">
        <v>1</v>
      </c>
      <c r="K5654" s="9">
        <v>286</v>
      </c>
      <c r="L5654" s="9">
        <v>2023</v>
      </c>
      <c r="M5654" s="8" t="s">
        <v>33154</v>
      </c>
      <c r="N5654" s="8" t="s">
        <v>79</v>
      </c>
      <c r="O5654" s="8" t="s">
        <v>396</v>
      </c>
      <c r="P5654" s="6" t="s">
        <v>43</v>
      </c>
      <c r="Q5654" s="8" t="s">
        <v>44</v>
      </c>
      <c r="R5654" s="10" t="s">
        <v>22949</v>
      </c>
      <c r="S5654" s="11" t="s">
        <v>22997</v>
      </c>
      <c r="T5654" s="6"/>
      <c r="U5654" s="24" t="str">
        <f>HYPERLINK("https://media.infra-m.ru/1981/1981707/cover/1981707.jpg", "Обложка")</f>
        <v>Обложка</v>
      </c>
      <c r="V5654" s="24" t="str">
        <f>HYPERLINK("https://znanium.ru/catalog/product/374641", "Ознакомиться")</f>
        <v>Ознакомиться</v>
      </c>
      <c r="W5654" s="8" t="s">
        <v>2216</v>
      </c>
      <c r="X5654" s="6"/>
      <c r="Y5654" s="6"/>
      <c r="Z5654" s="6"/>
      <c r="AA5654" s="6" t="s">
        <v>84</v>
      </c>
      <c r="AB5654" s="8"/>
    </row>
    <row r="5655" spans="1:28" s="4" customFormat="1" ht="51.95" customHeight="1">
      <c r="A5655" s="5">
        <v>0</v>
      </c>
      <c r="B5655" s="6" t="s">
        <v>33155</v>
      </c>
      <c r="C5655" s="13">
        <v>1090</v>
      </c>
      <c r="D5655" s="8" t="s">
        <v>33156</v>
      </c>
      <c r="E5655" s="8" t="s">
        <v>33157</v>
      </c>
      <c r="F5655" s="8" t="s">
        <v>33158</v>
      </c>
      <c r="G5655" s="6" t="s">
        <v>89</v>
      </c>
      <c r="H5655" s="6" t="s">
        <v>53</v>
      </c>
      <c r="I5655" s="8" t="s">
        <v>100</v>
      </c>
      <c r="J5655" s="9">
        <v>1</v>
      </c>
      <c r="K5655" s="9">
        <v>218</v>
      </c>
      <c r="L5655" s="9">
        <v>2025</v>
      </c>
      <c r="M5655" s="8" t="s">
        <v>33159</v>
      </c>
      <c r="N5655" s="8" t="s">
        <v>997</v>
      </c>
      <c r="O5655" s="8" t="s">
        <v>998</v>
      </c>
      <c r="P5655" s="6" t="s">
        <v>175</v>
      </c>
      <c r="Q5655" s="8" t="s">
        <v>102</v>
      </c>
      <c r="R5655" s="10" t="s">
        <v>33160</v>
      </c>
      <c r="S5655" s="11" t="s">
        <v>33161</v>
      </c>
      <c r="T5655" s="6"/>
      <c r="U5655" s="24" t="str">
        <f>HYPERLINK("https://media.infra-m.ru/2163/2163778/cover/2163778.jpg", "Обложка")</f>
        <v>Обложка</v>
      </c>
      <c r="V5655" s="24" t="str">
        <f>HYPERLINK("https://znanium.ru/catalog/product/2163778", "Ознакомиться")</f>
        <v>Ознакомиться</v>
      </c>
      <c r="W5655" s="8" t="s">
        <v>19992</v>
      </c>
      <c r="X5655" s="6"/>
      <c r="Y5655" s="6"/>
      <c r="Z5655" s="6"/>
      <c r="AA5655" s="6" t="s">
        <v>793</v>
      </c>
      <c r="AB5655" s="8"/>
    </row>
    <row r="5656" spans="1:28" s="4" customFormat="1" ht="51.95" customHeight="1">
      <c r="A5656" s="5">
        <v>0</v>
      </c>
      <c r="B5656" s="6" t="s">
        <v>33162</v>
      </c>
      <c r="C5656" s="7">
        <v>984</v>
      </c>
      <c r="D5656" s="8" t="s">
        <v>33163</v>
      </c>
      <c r="E5656" s="8" t="s">
        <v>33164</v>
      </c>
      <c r="F5656" s="8" t="s">
        <v>33165</v>
      </c>
      <c r="G5656" s="6" t="s">
        <v>52</v>
      </c>
      <c r="H5656" s="6" t="s">
        <v>53</v>
      </c>
      <c r="I5656" s="8" t="s">
        <v>15550</v>
      </c>
      <c r="J5656" s="9">
        <v>1</v>
      </c>
      <c r="K5656" s="9">
        <v>196</v>
      </c>
      <c r="L5656" s="9">
        <v>2025</v>
      </c>
      <c r="M5656" s="8" t="s">
        <v>33166</v>
      </c>
      <c r="N5656" s="8" t="s">
        <v>413</v>
      </c>
      <c r="O5656" s="8" t="s">
        <v>1141</v>
      </c>
      <c r="P5656" s="6" t="s">
        <v>43</v>
      </c>
      <c r="Q5656" s="8" t="s">
        <v>279</v>
      </c>
      <c r="R5656" s="10" t="s">
        <v>975</v>
      </c>
      <c r="S5656" s="11" t="s">
        <v>33167</v>
      </c>
      <c r="T5656" s="6"/>
      <c r="U5656" s="24" t="str">
        <f>HYPERLINK("https://media.infra-m.ru/2178/2178826/cover/2178826.jpg", "Обложка")</f>
        <v>Обложка</v>
      </c>
      <c r="V5656" s="24" t="str">
        <f>HYPERLINK("https://znanium.ru/catalog/product/1014191", "Ознакомиться")</f>
        <v>Ознакомиться</v>
      </c>
      <c r="W5656" s="8" t="s">
        <v>206</v>
      </c>
      <c r="X5656" s="6"/>
      <c r="Y5656" s="6"/>
      <c r="Z5656" s="6"/>
      <c r="AA5656" s="6" t="s">
        <v>219</v>
      </c>
      <c r="AB5656" s="8"/>
    </row>
    <row r="5657" spans="1:28" s="4" customFormat="1" ht="51.95" customHeight="1">
      <c r="A5657" s="5">
        <v>0</v>
      </c>
      <c r="B5657" s="6" t="s">
        <v>33168</v>
      </c>
      <c r="C5657" s="13">
        <v>1274</v>
      </c>
      <c r="D5657" s="8" t="s">
        <v>33169</v>
      </c>
      <c r="E5657" s="8" t="s">
        <v>33170</v>
      </c>
      <c r="F5657" s="8" t="s">
        <v>33171</v>
      </c>
      <c r="G5657" s="6" t="s">
        <v>89</v>
      </c>
      <c r="H5657" s="6" t="s">
        <v>53</v>
      </c>
      <c r="I5657" s="8" t="s">
        <v>4855</v>
      </c>
      <c r="J5657" s="9">
        <v>1</v>
      </c>
      <c r="K5657" s="9">
        <v>280</v>
      </c>
      <c r="L5657" s="9">
        <v>2023</v>
      </c>
      <c r="M5657" s="8" t="s">
        <v>33172</v>
      </c>
      <c r="N5657" s="8" t="s">
        <v>413</v>
      </c>
      <c r="O5657" s="8" t="s">
        <v>1528</v>
      </c>
      <c r="P5657" s="6" t="s">
        <v>43</v>
      </c>
      <c r="Q5657" s="8" t="s">
        <v>44</v>
      </c>
      <c r="R5657" s="10" t="s">
        <v>33173</v>
      </c>
      <c r="S5657" s="11" t="s">
        <v>33174</v>
      </c>
      <c r="T5657" s="6"/>
      <c r="U5657" s="24" t="str">
        <f>HYPERLINK("https://media.infra-m.ru/2006/2006823/cover/2006823.jpg", "Обложка")</f>
        <v>Обложка</v>
      </c>
      <c r="V5657" s="12"/>
      <c r="W5657" s="8" t="s">
        <v>784</v>
      </c>
      <c r="X5657" s="6"/>
      <c r="Y5657" s="6"/>
      <c r="Z5657" s="6"/>
      <c r="AA5657" s="6" t="s">
        <v>151</v>
      </c>
      <c r="AB5657" s="8"/>
    </row>
    <row r="5658" spans="1:28" s="4" customFormat="1" ht="44.1" customHeight="1">
      <c r="A5658" s="5">
        <v>0</v>
      </c>
      <c r="B5658" s="6" t="s">
        <v>33175</v>
      </c>
      <c r="C5658" s="13">
        <v>1040</v>
      </c>
      <c r="D5658" s="8" t="s">
        <v>33176</v>
      </c>
      <c r="E5658" s="8" t="s">
        <v>33177</v>
      </c>
      <c r="F5658" s="8" t="s">
        <v>33178</v>
      </c>
      <c r="G5658" s="6" t="s">
        <v>52</v>
      </c>
      <c r="H5658" s="6" t="s">
        <v>53</v>
      </c>
      <c r="I5658" s="8" t="s">
        <v>116</v>
      </c>
      <c r="J5658" s="9">
        <v>1</v>
      </c>
      <c r="K5658" s="9">
        <v>206</v>
      </c>
      <c r="L5658" s="9">
        <v>2025</v>
      </c>
      <c r="M5658" s="8" t="s">
        <v>33179</v>
      </c>
      <c r="N5658" s="8" t="s">
        <v>56</v>
      </c>
      <c r="O5658" s="8" t="s">
        <v>57</v>
      </c>
      <c r="P5658" s="6" t="s">
        <v>43</v>
      </c>
      <c r="Q5658" s="8" t="s">
        <v>44</v>
      </c>
      <c r="R5658" s="10" t="s">
        <v>33180</v>
      </c>
      <c r="S5658" s="11"/>
      <c r="T5658" s="6"/>
      <c r="U5658" s="24" t="str">
        <f>HYPERLINK("https://media.infra-m.ru/1855/1855749/cover/1855749.jpg", "Обложка")</f>
        <v>Обложка</v>
      </c>
      <c r="V5658" s="24" t="str">
        <f>HYPERLINK("https://znanium.ru/catalog/product/1855749", "Ознакомиться")</f>
        <v>Ознакомиться</v>
      </c>
      <c r="W5658" s="8" t="s">
        <v>4083</v>
      </c>
      <c r="X5658" s="6"/>
      <c r="Y5658" s="6"/>
      <c r="Z5658" s="6"/>
      <c r="AA5658" s="6" t="s">
        <v>61</v>
      </c>
      <c r="AB5658" s="8"/>
    </row>
    <row r="5659" spans="1:28" s="4" customFormat="1" ht="51.95" customHeight="1">
      <c r="A5659" s="5">
        <v>0</v>
      </c>
      <c r="B5659" s="6" t="s">
        <v>33181</v>
      </c>
      <c r="C5659" s="13">
        <v>1050</v>
      </c>
      <c r="D5659" s="8" t="s">
        <v>33182</v>
      </c>
      <c r="E5659" s="8" t="s">
        <v>33183</v>
      </c>
      <c r="F5659" s="8" t="s">
        <v>33184</v>
      </c>
      <c r="G5659" s="6" t="s">
        <v>89</v>
      </c>
      <c r="H5659" s="6" t="s">
        <v>77</v>
      </c>
      <c r="I5659" s="8"/>
      <c r="J5659" s="9">
        <v>1</v>
      </c>
      <c r="K5659" s="9">
        <v>292</v>
      </c>
      <c r="L5659" s="9">
        <v>2021</v>
      </c>
      <c r="M5659" s="8" t="s">
        <v>33185</v>
      </c>
      <c r="N5659" s="8" t="s">
        <v>41</v>
      </c>
      <c r="O5659" s="8" t="s">
        <v>676</v>
      </c>
      <c r="P5659" s="6" t="s">
        <v>167</v>
      </c>
      <c r="Q5659" s="8" t="s">
        <v>44</v>
      </c>
      <c r="R5659" s="10" t="s">
        <v>33186</v>
      </c>
      <c r="S5659" s="11"/>
      <c r="T5659" s="6"/>
      <c r="U5659" s="24" t="str">
        <f>HYPERLINK("https://media.infra-m.ru/1168/1168666/cover/1168666.jpg", "Обложка")</f>
        <v>Обложка</v>
      </c>
      <c r="V5659" s="24" t="str">
        <f>HYPERLINK("https://znanium.ru/catalog/product/1168666", "Ознакомиться")</f>
        <v>Ознакомиться</v>
      </c>
      <c r="W5659" s="8" t="s">
        <v>33187</v>
      </c>
      <c r="X5659" s="6"/>
      <c r="Y5659" s="6"/>
      <c r="Z5659" s="6"/>
      <c r="AA5659" s="6" t="s">
        <v>442</v>
      </c>
      <c r="AB5659" s="8"/>
    </row>
    <row r="5660" spans="1:28" s="4" customFormat="1" ht="51.95" customHeight="1">
      <c r="A5660" s="5">
        <v>0</v>
      </c>
      <c r="B5660" s="6" t="s">
        <v>33188</v>
      </c>
      <c r="C5660" s="13">
        <v>1484</v>
      </c>
      <c r="D5660" s="8" t="s">
        <v>33189</v>
      </c>
      <c r="E5660" s="8" t="s">
        <v>33190</v>
      </c>
      <c r="F5660" s="8" t="s">
        <v>3090</v>
      </c>
      <c r="G5660" s="6" t="s">
        <v>52</v>
      </c>
      <c r="H5660" s="6" t="s">
        <v>53</v>
      </c>
      <c r="I5660" s="8" t="s">
        <v>90</v>
      </c>
      <c r="J5660" s="9">
        <v>1</v>
      </c>
      <c r="K5660" s="9">
        <v>330</v>
      </c>
      <c r="L5660" s="9">
        <v>2023</v>
      </c>
      <c r="M5660" s="8" t="s">
        <v>33191</v>
      </c>
      <c r="N5660" s="8" t="s">
        <v>56</v>
      </c>
      <c r="O5660" s="8" t="s">
        <v>4042</v>
      </c>
      <c r="P5660" s="6" t="s">
        <v>167</v>
      </c>
      <c r="Q5660" s="8" t="s">
        <v>44</v>
      </c>
      <c r="R5660" s="10" t="s">
        <v>33192</v>
      </c>
      <c r="S5660" s="11" t="s">
        <v>33193</v>
      </c>
      <c r="T5660" s="6" t="s">
        <v>299</v>
      </c>
      <c r="U5660" s="24" t="str">
        <f>HYPERLINK("https://media.infra-m.ru/2002/2002636/cover/2002636.jpg", "Обложка")</f>
        <v>Обложка</v>
      </c>
      <c r="V5660" s="24" t="str">
        <f>HYPERLINK("https://znanium.ru/catalog/product/872301", "Ознакомиться")</f>
        <v>Ознакомиться</v>
      </c>
      <c r="W5660" s="8" t="s">
        <v>2201</v>
      </c>
      <c r="X5660" s="6"/>
      <c r="Y5660" s="6"/>
      <c r="Z5660" s="6"/>
      <c r="AA5660" s="6" t="s">
        <v>151</v>
      </c>
      <c r="AB5660" s="8"/>
    </row>
    <row r="5661" spans="1:28" s="4" customFormat="1" ht="51.95" customHeight="1">
      <c r="A5661" s="5">
        <v>0</v>
      </c>
      <c r="B5661" s="6" t="s">
        <v>33194</v>
      </c>
      <c r="C5661" s="13">
        <v>1610</v>
      </c>
      <c r="D5661" s="8" t="s">
        <v>33195</v>
      </c>
      <c r="E5661" s="8" t="s">
        <v>33196</v>
      </c>
      <c r="F5661" s="8" t="s">
        <v>3090</v>
      </c>
      <c r="G5661" s="6" t="s">
        <v>89</v>
      </c>
      <c r="H5661" s="6" t="s">
        <v>53</v>
      </c>
      <c r="I5661" s="8" t="s">
        <v>116</v>
      </c>
      <c r="J5661" s="9">
        <v>1</v>
      </c>
      <c r="K5661" s="9">
        <v>315</v>
      </c>
      <c r="L5661" s="9">
        <v>2025</v>
      </c>
      <c r="M5661" s="8" t="s">
        <v>33197</v>
      </c>
      <c r="N5661" s="8" t="s">
        <v>56</v>
      </c>
      <c r="O5661" s="8" t="s">
        <v>4042</v>
      </c>
      <c r="P5661" s="6" t="s">
        <v>167</v>
      </c>
      <c r="Q5661" s="8" t="s">
        <v>44</v>
      </c>
      <c r="R5661" s="10" t="s">
        <v>33198</v>
      </c>
      <c r="S5661" s="11" t="s">
        <v>33199</v>
      </c>
      <c r="T5661" s="6" t="s">
        <v>299</v>
      </c>
      <c r="U5661" s="24" t="str">
        <f>HYPERLINK("https://media.infra-m.ru/2189/2189097/cover/2189097.jpg", "Обложка")</f>
        <v>Обложка</v>
      </c>
      <c r="V5661" s="24" t="str">
        <f>HYPERLINK("https://znanium.ru/catalog/product/2189097", "Ознакомиться")</f>
        <v>Ознакомиться</v>
      </c>
      <c r="W5661" s="8" t="s">
        <v>2201</v>
      </c>
      <c r="X5661" s="6"/>
      <c r="Y5661" s="6"/>
      <c r="Z5661" s="6"/>
      <c r="AA5661" s="6" t="s">
        <v>151</v>
      </c>
      <c r="AB5661" s="8"/>
    </row>
    <row r="5662" spans="1:28" s="4" customFormat="1" ht="51.95" customHeight="1">
      <c r="A5662" s="5">
        <v>0</v>
      </c>
      <c r="B5662" s="6" t="s">
        <v>33200</v>
      </c>
      <c r="C5662" s="13">
        <v>1494</v>
      </c>
      <c r="D5662" s="8" t="s">
        <v>33201</v>
      </c>
      <c r="E5662" s="8" t="s">
        <v>33202</v>
      </c>
      <c r="F5662" s="8" t="s">
        <v>3090</v>
      </c>
      <c r="G5662" s="6" t="s">
        <v>89</v>
      </c>
      <c r="H5662" s="6" t="s">
        <v>53</v>
      </c>
      <c r="I5662" s="8" t="s">
        <v>90</v>
      </c>
      <c r="J5662" s="9">
        <v>1</v>
      </c>
      <c r="K5662" s="9">
        <v>326</v>
      </c>
      <c r="L5662" s="9">
        <v>2023</v>
      </c>
      <c r="M5662" s="8" t="s">
        <v>33203</v>
      </c>
      <c r="N5662" s="8" t="s">
        <v>56</v>
      </c>
      <c r="O5662" s="8" t="s">
        <v>4042</v>
      </c>
      <c r="P5662" s="6" t="s">
        <v>167</v>
      </c>
      <c r="Q5662" s="8" t="s">
        <v>44</v>
      </c>
      <c r="R5662" s="10" t="s">
        <v>33204</v>
      </c>
      <c r="S5662" s="11" t="s">
        <v>33205</v>
      </c>
      <c r="T5662" s="6" t="s">
        <v>299</v>
      </c>
      <c r="U5662" s="24" t="str">
        <f>HYPERLINK("https://media.infra-m.ru/1908/1908205/cover/1908205.jpg", "Обложка")</f>
        <v>Обложка</v>
      </c>
      <c r="V5662" s="24" t="str">
        <f>HYPERLINK("https://znanium.ru/catalog/product/1908205", "Ознакомиться")</f>
        <v>Ознакомиться</v>
      </c>
      <c r="W5662" s="8" t="s">
        <v>2201</v>
      </c>
      <c r="X5662" s="6"/>
      <c r="Y5662" s="6"/>
      <c r="Z5662" s="6"/>
      <c r="AA5662" s="6" t="s">
        <v>95</v>
      </c>
      <c r="AB5662" s="8"/>
    </row>
    <row r="5663" spans="1:28" s="4" customFormat="1" ht="51.95" customHeight="1">
      <c r="A5663" s="5">
        <v>0</v>
      </c>
      <c r="B5663" s="6" t="s">
        <v>33206</v>
      </c>
      <c r="C5663" s="13">
        <v>1480</v>
      </c>
      <c r="D5663" s="8" t="s">
        <v>33207</v>
      </c>
      <c r="E5663" s="8" t="s">
        <v>33208</v>
      </c>
      <c r="F5663" s="8" t="s">
        <v>3090</v>
      </c>
      <c r="G5663" s="6" t="s">
        <v>89</v>
      </c>
      <c r="H5663" s="6" t="s">
        <v>53</v>
      </c>
      <c r="I5663" s="8" t="s">
        <v>90</v>
      </c>
      <c r="J5663" s="9">
        <v>1</v>
      </c>
      <c r="K5663" s="9">
        <v>320</v>
      </c>
      <c r="L5663" s="9">
        <v>2023</v>
      </c>
      <c r="M5663" s="8" t="s">
        <v>33209</v>
      </c>
      <c r="N5663" s="8" t="s">
        <v>56</v>
      </c>
      <c r="O5663" s="8" t="s">
        <v>4042</v>
      </c>
      <c r="P5663" s="6" t="s">
        <v>167</v>
      </c>
      <c r="Q5663" s="8" t="s">
        <v>44</v>
      </c>
      <c r="R5663" s="10" t="s">
        <v>168</v>
      </c>
      <c r="S5663" s="11" t="s">
        <v>33210</v>
      </c>
      <c r="T5663" s="6" t="s">
        <v>299</v>
      </c>
      <c r="U5663" s="24" t="str">
        <f>HYPERLINK("https://media.infra-m.ru/2125/2125354/cover/2125354.jpg", "Обложка")</f>
        <v>Обложка</v>
      </c>
      <c r="V5663" s="24" t="str">
        <f>HYPERLINK("https://znanium.ru/catalog/product/2125354", "Ознакомиться")</f>
        <v>Ознакомиться</v>
      </c>
      <c r="W5663" s="8" t="s">
        <v>2201</v>
      </c>
      <c r="X5663" s="6"/>
      <c r="Y5663" s="6"/>
      <c r="Z5663" s="6"/>
      <c r="AA5663" s="6" t="s">
        <v>1259</v>
      </c>
      <c r="AB5663" s="8"/>
    </row>
    <row r="5664" spans="1:28" s="4" customFormat="1" ht="51.95" customHeight="1">
      <c r="A5664" s="5">
        <v>0</v>
      </c>
      <c r="B5664" s="6" t="s">
        <v>33211</v>
      </c>
      <c r="C5664" s="13">
        <v>1530</v>
      </c>
      <c r="D5664" s="8" t="s">
        <v>33212</v>
      </c>
      <c r="E5664" s="8" t="s">
        <v>33213</v>
      </c>
      <c r="F5664" s="8" t="s">
        <v>3090</v>
      </c>
      <c r="G5664" s="6" t="s">
        <v>89</v>
      </c>
      <c r="H5664" s="6" t="s">
        <v>53</v>
      </c>
      <c r="I5664" s="8" t="s">
        <v>116</v>
      </c>
      <c r="J5664" s="9">
        <v>1</v>
      </c>
      <c r="K5664" s="9">
        <v>333</v>
      </c>
      <c r="L5664" s="9">
        <v>2023</v>
      </c>
      <c r="M5664" s="8" t="s">
        <v>33214</v>
      </c>
      <c r="N5664" s="8" t="s">
        <v>56</v>
      </c>
      <c r="O5664" s="8" t="s">
        <v>4042</v>
      </c>
      <c r="P5664" s="6" t="s">
        <v>167</v>
      </c>
      <c r="Q5664" s="8" t="s">
        <v>58</v>
      </c>
      <c r="R5664" s="10" t="s">
        <v>33215</v>
      </c>
      <c r="S5664" s="11" t="s">
        <v>33216</v>
      </c>
      <c r="T5664" s="6" t="s">
        <v>299</v>
      </c>
      <c r="U5664" s="24" t="str">
        <f>HYPERLINK("https://media.infra-m.ru/2071/2071640/cover/2071640.jpg", "Обложка")</f>
        <v>Обложка</v>
      </c>
      <c r="V5664" s="24" t="str">
        <f>HYPERLINK("https://znanium.ru/catalog/product/1862067", "Ознакомиться")</f>
        <v>Ознакомиться</v>
      </c>
      <c r="W5664" s="8" t="s">
        <v>2201</v>
      </c>
      <c r="X5664" s="6"/>
      <c r="Y5664" s="6"/>
      <c r="Z5664" s="6"/>
      <c r="AA5664" s="6" t="s">
        <v>1374</v>
      </c>
      <c r="AB5664" s="8"/>
    </row>
    <row r="5665" spans="1:28" s="4" customFormat="1" ht="42" customHeight="1">
      <c r="A5665" s="5">
        <v>0</v>
      </c>
      <c r="B5665" s="6" t="s">
        <v>33217</v>
      </c>
      <c r="C5665" s="13">
        <v>1844</v>
      </c>
      <c r="D5665" s="8" t="s">
        <v>33218</v>
      </c>
      <c r="E5665" s="8" t="s">
        <v>33219</v>
      </c>
      <c r="F5665" s="8" t="s">
        <v>33220</v>
      </c>
      <c r="G5665" s="6" t="s">
        <v>89</v>
      </c>
      <c r="H5665" s="6" t="s">
        <v>674</v>
      </c>
      <c r="I5665" s="8"/>
      <c r="J5665" s="9">
        <v>1</v>
      </c>
      <c r="K5665" s="9">
        <v>368</v>
      </c>
      <c r="L5665" s="9">
        <v>2025</v>
      </c>
      <c r="M5665" s="8" t="s">
        <v>33221</v>
      </c>
      <c r="N5665" s="8" t="s">
        <v>56</v>
      </c>
      <c r="O5665" s="8" t="s">
        <v>4042</v>
      </c>
      <c r="P5665" s="6" t="s">
        <v>167</v>
      </c>
      <c r="Q5665" s="8" t="s">
        <v>44</v>
      </c>
      <c r="R5665" s="10" t="s">
        <v>33215</v>
      </c>
      <c r="S5665" s="11"/>
      <c r="T5665" s="6"/>
      <c r="U5665" s="24" t="str">
        <f>HYPERLINK("https://media.infra-m.ru/2168/2168293/cover/2168293.jpg", "Обложка")</f>
        <v>Обложка</v>
      </c>
      <c r="V5665" s="24" t="str">
        <f>HYPERLINK("https://znanium.ru/catalog/product/1980008", "Ознакомиться")</f>
        <v>Ознакомиться</v>
      </c>
      <c r="W5665" s="8" t="s">
        <v>792</v>
      </c>
      <c r="X5665" s="6"/>
      <c r="Y5665" s="6"/>
      <c r="Z5665" s="6"/>
      <c r="AA5665" s="6" t="s">
        <v>258</v>
      </c>
      <c r="AB5665" s="8"/>
    </row>
    <row r="5666" spans="1:28" s="4" customFormat="1" ht="51.95" customHeight="1">
      <c r="A5666" s="5">
        <v>0</v>
      </c>
      <c r="B5666" s="6" t="s">
        <v>33222</v>
      </c>
      <c r="C5666" s="7">
        <v>590</v>
      </c>
      <c r="D5666" s="8" t="s">
        <v>33223</v>
      </c>
      <c r="E5666" s="8" t="s">
        <v>33224</v>
      </c>
      <c r="F5666" s="8" t="s">
        <v>33225</v>
      </c>
      <c r="G5666" s="6" t="s">
        <v>38</v>
      </c>
      <c r="H5666" s="6" t="s">
        <v>53</v>
      </c>
      <c r="I5666" s="8" t="s">
        <v>276</v>
      </c>
      <c r="J5666" s="9">
        <v>1</v>
      </c>
      <c r="K5666" s="9">
        <v>128</v>
      </c>
      <c r="L5666" s="9">
        <v>2024</v>
      </c>
      <c r="M5666" s="8" t="s">
        <v>33226</v>
      </c>
      <c r="N5666" s="8" t="s">
        <v>56</v>
      </c>
      <c r="O5666" s="8" t="s">
        <v>4042</v>
      </c>
      <c r="P5666" s="6" t="s">
        <v>167</v>
      </c>
      <c r="Q5666" s="8" t="s">
        <v>279</v>
      </c>
      <c r="R5666" s="10" t="s">
        <v>33227</v>
      </c>
      <c r="S5666" s="11" t="s">
        <v>33228</v>
      </c>
      <c r="T5666" s="6"/>
      <c r="U5666" s="24" t="str">
        <f>HYPERLINK("https://media.infra-m.ru/2111/2111342/cover/2111342.jpg", "Обложка")</f>
        <v>Обложка</v>
      </c>
      <c r="V5666" s="24" t="str">
        <f>HYPERLINK("https://znanium.ru/catalog/product/2111342", "Ознакомиться")</f>
        <v>Ознакомиться</v>
      </c>
      <c r="W5666" s="8" t="s">
        <v>1076</v>
      </c>
      <c r="X5666" s="6"/>
      <c r="Y5666" s="6"/>
      <c r="Z5666" s="6"/>
      <c r="AA5666" s="6" t="s">
        <v>47</v>
      </c>
      <c r="AB5666" s="8"/>
    </row>
    <row r="5667" spans="1:28" s="4" customFormat="1" ht="42" customHeight="1">
      <c r="A5667" s="5">
        <v>0</v>
      </c>
      <c r="B5667" s="6" t="s">
        <v>33229</v>
      </c>
      <c r="C5667" s="7">
        <v>940</v>
      </c>
      <c r="D5667" s="8" t="s">
        <v>33230</v>
      </c>
      <c r="E5667" s="8" t="s">
        <v>33224</v>
      </c>
      <c r="F5667" s="8" t="s">
        <v>33231</v>
      </c>
      <c r="G5667" s="6" t="s">
        <v>38</v>
      </c>
      <c r="H5667" s="6" t="s">
        <v>53</v>
      </c>
      <c r="I5667" s="8" t="s">
        <v>116</v>
      </c>
      <c r="J5667" s="9">
        <v>1</v>
      </c>
      <c r="K5667" s="9">
        <v>176</v>
      </c>
      <c r="L5667" s="9">
        <v>2025</v>
      </c>
      <c r="M5667" s="8" t="s">
        <v>33232</v>
      </c>
      <c r="N5667" s="8" t="s">
        <v>56</v>
      </c>
      <c r="O5667" s="8" t="s">
        <v>4042</v>
      </c>
      <c r="P5667" s="6" t="s">
        <v>43</v>
      </c>
      <c r="Q5667" s="8" t="s">
        <v>1674</v>
      </c>
      <c r="R5667" s="10" t="s">
        <v>9439</v>
      </c>
      <c r="S5667" s="11"/>
      <c r="T5667" s="6"/>
      <c r="U5667" s="24" t="str">
        <f>HYPERLINK("https://media.infra-m.ru/2172/2172573/cover/2172573.jpg", "Обложка")</f>
        <v>Обложка</v>
      </c>
      <c r="V5667" s="24" t="str">
        <f>HYPERLINK("https://znanium.ru/catalog/product/2172573", "Ознакомиться")</f>
        <v>Ознакомиться</v>
      </c>
      <c r="W5667" s="8" t="s">
        <v>33233</v>
      </c>
      <c r="X5667" s="6"/>
      <c r="Y5667" s="6"/>
      <c r="Z5667" s="6"/>
      <c r="AA5667" s="6" t="s">
        <v>84</v>
      </c>
      <c r="AB5667" s="8"/>
    </row>
    <row r="5668" spans="1:28" s="4" customFormat="1" ht="51.95" customHeight="1">
      <c r="A5668" s="5">
        <v>0</v>
      </c>
      <c r="B5668" s="6" t="s">
        <v>33234</v>
      </c>
      <c r="C5668" s="13">
        <v>1570</v>
      </c>
      <c r="D5668" s="8" t="s">
        <v>33235</v>
      </c>
      <c r="E5668" s="8" t="s">
        <v>33236</v>
      </c>
      <c r="F5668" s="8" t="s">
        <v>33237</v>
      </c>
      <c r="G5668" s="6" t="s">
        <v>89</v>
      </c>
      <c r="H5668" s="6" t="s">
        <v>53</v>
      </c>
      <c r="I5668" s="8" t="s">
        <v>6796</v>
      </c>
      <c r="J5668" s="9">
        <v>1</v>
      </c>
      <c r="K5668" s="9">
        <v>413</v>
      </c>
      <c r="L5668" s="9">
        <v>2022</v>
      </c>
      <c r="M5668" s="8" t="s">
        <v>33238</v>
      </c>
      <c r="N5668" s="8" t="s">
        <v>56</v>
      </c>
      <c r="O5668" s="8" t="s">
        <v>4042</v>
      </c>
      <c r="P5668" s="6" t="s">
        <v>43</v>
      </c>
      <c r="Q5668" s="8" t="s">
        <v>279</v>
      </c>
      <c r="R5668" s="10" t="s">
        <v>33239</v>
      </c>
      <c r="S5668" s="11" t="s">
        <v>33240</v>
      </c>
      <c r="T5668" s="6"/>
      <c r="U5668" s="24" t="str">
        <f>HYPERLINK("https://media.infra-m.ru/1844/1844421/cover/1844421.jpg", "Обложка")</f>
        <v>Обложка</v>
      </c>
      <c r="V5668" s="12"/>
      <c r="W5668" s="8" t="s">
        <v>6503</v>
      </c>
      <c r="X5668" s="6"/>
      <c r="Y5668" s="6"/>
      <c r="Z5668" s="6"/>
      <c r="AA5668" s="6" t="s">
        <v>151</v>
      </c>
      <c r="AB5668" s="8"/>
    </row>
    <row r="5669" spans="1:28" s="4" customFormat="1" ht="42" customHeight="1">
      <c r="A5669" s="5">
        <v>0</v>
      </c>
      <c r="B5669" s="6" t="s">
        <v>33241</v>
      </c>
      <c r="C5669" s="13">
        <v>1050</v>
      </c>
      <c r="D5669" s="8" t="s">
        <v>33242</v>
      </c>
      <c r="E5669" s="8" t="s">
        <v>33243</v>
      </c>
      <c r="F5669" s="8" t="s">
        <v>33244</v>
      </c>
      <c r="G5669" s="6" t="s">
        <v>52</v>
      </c>
      <c r="H5669" s="6" t="s">
        <v>53</v>
      </c>
      <c r="I5669" s="8" t="s">
        <v>276</v>
      </c>
      <c r="J5669" s="9">
        <v>1</v>
      </c>
      <c r="K5669" s="9">
        <v>221</v>
      </c>
      <c r="L5669" s="9">
        <v>2024</v>
      </c>
      <c r="M5669" s="8" t="s">
        <v>33245</v>
      </c>
      <c r="N5669" s="8" t="s">
        <v>997</v>
      </c>
      <c r="O5669" s="8" t="s">
        <v>998</v>
      </c>
      <c r="P5669" s="6" t="s">
        <v>43</v>
      </c>
      <c r="Q5669" s="8" t="s">
        <v>279</v>
      </c>
      <c r="R5669" s="10" t="s">
        <v>33246</v>
      </c>
      <c r="S5669" s="11"/>
      <c r="T5669" s="6"/>
      <c r="U5669" s="24" t="str">
        <f>HYPERLINK("https://media.infra-m.ru/1910/1910860/cover/1910860.jpg", "Обложка")</f>
        <v>Обложка</v>
      </c>
      <c r="V5669" s="24" t="str">
        <f>HYPERLINK("https://znanium.ru/catalog/product/1910860", "Ознакомиться")</f>
        <v>Ознакомиться</v>
      </c>
      <c r="W5669" s="8" t="s">
        <v>2514</v>
      </c>
      <c r="X5669" s="6"/>
      <c r="Y5669" s="6"/>
      <c r="Z5669" s="6"/>
      <c r="AA5669" s="6" t="s">
        <v>133</v>
      </c>
      <c r="AB5669" s="8"/>
    </row>
    <row r="5670" spans="1:28" s="4" customFormat="1" ht="42" customHeight="1">
      <c r="A5670" s="5">
        <v>0</v>
      </c>
      <c r="B5670" s="6" t="s">
        <v>33247</v>
      </c>
      <c r="C5670" s="13">
        <v>1994</v>
      </c>
      <c r="D5670" s="8" t="s">
        <v>33248</v>
      </c>
      <c r="E5670" s="8" t="s">
        <v>33249</v>
      </c>
      <c r="F5670" s="8" t="s">
        <v>33250</v>
      </c>
      <c r="G5670" s="6" t="s">
        <v>52</v>
      </c>
      <c r="H5670" s="6" t="s">
        <v>66</v>
      </c>
      <c r="I5670" s="8" t="s">
        <v>116</v>
      </c>
      <c r="J5670" s="9">
        <v>1</v>
      </c>
      <c r="K5670" s="9">
        <v>408</v>
      </c>
      <c r="L5670" s="9">
        <v>2025</v>
      </c>
      <c r="M5670" s="8" t="s">
        <v>33251</v>
      </c>
      <c r="N5670" s="8" t="s">
        <v>56</v>
      </c>
      <c r="O5670" s="8" t="s">
        <v>4042</v>
      </c>
      <c r="P5670" s="6" t="s">
        <v>43</v>
      </c>
      <c r="Q5670" s="8" t="s">
        <v>44</v>
      </c>
      <c r="R5670" s="10" t="s">
        <v>9439</v>
      </c>
      <c r="S5670" s="11"/>
      <c r="T5670" s="6"/>
      <c r="U5670" s="24" t="str">
        <f>HYPERLINK("https://media.infra-m.ru/2188/2188740/cover/2188740.jpg", "Обложка")</f>
        <v>Обложка</v>
      </c>
      <c r="V5670" s="24" t="str">
        <f>HYPERLINK("https://znanium.ru/catalog/product/1072286", "Ознакомиться")</f>
        <v>Ознакомиться</v>
      </c>
      <c r="W5670" s="8" t="s">
        <v>913</v>
      </c>
      <c r="X5670" s="6"/>
      <c r="Y5670" s="6"/>
      <c r="Z5670" s="6"/>
      <c r="AA5670" s="6" t="s">
        <v>72</v>
      </c>
      <c r="AB5670" s="8"/>
    </row>
    <row r="5671" spans="1:28" s="4" customFormat="1" ht="51.95" customHeight="1">
      <c r="A5671" s="5">
        <v>0</v>
      </c>
      <c r="B5671" s="6" t="s">
        <v>33252</v>
      </c>
      <c r="C5671" s="13">
        <v>1490</v>
      </c>
      <c r="D5671" s="8" t="s">
        <v>33253</v>
      </c>
      <c r="E5671" s="8" t="s">
        <v>33254</v>
      </c>
      <c r="F5671" s="8" t="s">
        <v>33255</v>
      </c>
      <c r="G5671" s="6" t="s">
        <v>52</v>
      </c>
      <c r="H5671" s="6" t="s">
        <v>53</v>
      </c>
      <c r="I5671" s="8" t="s">
        <v>116</v>
      </c>
      <c r="J5671" s="9">
        <v>1</v>
      </c>
      <c r="K5671" s="9">
        <v>312</v>
      </c>
      <c r="L5671" s="9">
        <v>2023</v>
      </c>
      <c r="M5671" s="8" t="s">
        <v>33256</v>
      </c>
      <c r="N5671" s="8" t="s">
        <v>56</v>
      </c>
      <c r="O5671" s="8" t="s">
        <v>4042</v>
      </c>
      <c r="P5671" s="6" t="s">
        <v>167</v>
      </c>
      <c r="Q5671" s="8" t="s">
        <v>44</v>
      </c>
      <c r="R5671" s="10" t="s">
        <v>33257</v>
      </c>
      <c r="S5671" s="11" t="s">
        <v>33258</v>
      </c>
      <c r="T5671" s="6"/>
      <c r="U5671" s="24" t="str">
        <f>HYPERLINK("https://media.infra-m.ru/1865/1865671/cover/1865671.jpg", "Обложка")</f>
        <v>Обложка</v>
      </c>
      <c r="V5671" s="24" t="str">
        <f>HYPERLINK("https://znanium.ru/catalog/product/1865671", "Ознакомиться")</f>
        <v>Ознакомиться</v>
      </c>
      <c r="W5671" s="8" t="s">
        <v>4985</v>
      </c>
      <c r="X5671" s="6"/>
      <c r="Y5671" s="6"/>
      <c r="Z5671" s="6"/>
      <c r="AA5671" s="6" t="s">
        <v>207</v>
      </c>
      <c r="AB5671" s="8"/>
    </row>
    <row r="5672" spans="1:28" s="4" customFormat="1" ht="42" customHeight="1">
      <c r="A5672" s="5">
        <v>0</v>
      </c>
      <c r="B5672" s="6" t="s">
        <v>33259</v>
      </c>
      <c r="C5672" s="13">
        <v>1790</v>
      </c>
      <c r="D5672" s="8" t="s">
        <v>33260</v>
      </c>
      <c r="E5672" s="8" t="s">
        <v>33261</v>
      </c>
      <c r="F5672" s="8" t="s">
        <v>33262</v>
      </c>
      <c r="G5672" s="6" t="s">
        <v>89</v>
      </c>
      <c r="H5672" s="6" t="s">
        <v>77</v>
      </c>
      <c r="I5672" s="8"/>
      <c r="J5672" s="9">
        <v>1</v>
      </c>
      <c r="K5672" s="9">
        <v>388</v>
      </c>
      <c r="L5672" s="9">
        <v>2024</v>
      </c>
      <c r="M5672" s="8" t="s">
        <v>33263</v>
      </c>
      <c r="N5672" s="8" t="s">
        <v>56</v>
      </c>
      <c r="O5672" s="8" t="s">
        <v>4042</v>
      </c>
      <c r="P5672" s="6" t="s">
        <v>167</v>
      </c>
      <c r="Q5672" s="8" t="s">
        <v>44</v>
      </c>
      <c r="R5672" s="10" t="s">
        <v>33264</v>
      </c>
      <c r="S5672" s="11"/>
      <c r="T5672" s="6"/>
      <c r="U5672" s="24" t="str">
        <f>HYPERLINK("https://media.infra-m.ru/1915/1915954/cover/1915954.jpg", "Обложка")</f>
        <v>Обложка</v>
      </c>
      <c r="V5672" s="24" t="str">
        <f>HYPERLINK("https://znanium.ru/catalog/product/1915954", "Ознакомиться")</f>
        <v>Ознакомиться</v>
      </c>
      <c r="W5672" s="8" t="s">
        <v>206</v>
      </c>
      <c r="X5672" s="6"/>
      <c r="Y5672" s="6"/>
      <c r="Z5672" s="6"/>
      <c r="AA5672" s="6" t="s">
        <v>326</v>
      </c>
      <c r="AB5672" s="8"/>
    </row>
    <row r="5673" spans="1:28" s="4" customFormat="1" ht="51.95" customHeight="1">
      <c r="A5673" s="5">
        <v>0</v>
      </c>
      <c r="B5673" s="6" t="s">
        <v>33265</v>
      </c>
      <c r="C5673" s="13">
        <v>1670</v>
      </c>
      <c r="D5673" s="8" t="s">
        <v>33266</v>
      </c>
      <c r="E5673" s="8" t="s">
        <v>33261</v>
      </c>
      <c r="F5673" s="8" t="s">
        <v>33267</v>
      </c>
      <c r="G5673" s="6" t="s">
        <v>89</v>
      </c>
      <c r="H5673" s="6" t="s">
        <v>53</v>
      </c>
      <c r="I5673" s="8" t="s">
        <v>90</v>
      </c>
      <c r="J5673" s="9">
        <v>1</v>
      </c>
      <c r="K5673" s="9">
        <v>370</v>
      </c>
      <c r="L5673" s="9">
        <v>2023</v>
      </c>
      <c r="M5673" s="8" t="s">
        <v>33268</v>
      </c>
      <c r="N5673" s="8" t="s">
        <v>56</v>
      </c>
      <c r="O5673" s="8" t="s">
        <v>4042</v>
      </c>
      <c r="P5673" s="6" t="s">
        <v>43</v>
      </c>
      <c r="Q5673" s="8" t="s">
        <v>44</v>
      </c>
      <c r="R5673" s="10" t="s">
        <v>33269</v>
      </c>
      <c r="S5673" s="11" t="s">
        <v>33270</v>
      </c>
      <c r="T5673" s="6"/>
      <c r="U5673" s="24" t="str">
        <f>HYPERLINK("https://media.infra-m.ru/1941/1941757/cover/1941757.jpg", "Обложка")</f>
        <v>Обложка</v>
      </c>
      <c r="V5673" s="24" t="str">
        <f>HYPERLINK("https://znanium.ru/catalog/product/1941757", "Ознакомиться")</f>
        <v>Ознакомиться</v>
      </c>
      <c r="W5673" s="8" t="s">
        <v>243</v>
      </c>
      <c r="X5673" s="6"/>
      <c r="Y5673" s="6"/>
      <c r="Z5673" s="6"/>
      <c r="AA5673" s="6" t="s">
        <v>1374</v>
      </c>
      <c r="AB5673" s="8"/>
    </row>
    <row r="5674" spans="1:28" s="4" customFormat="1" ht="51.95" customHeight="1">
      <c r="A5674" s="5">
        <v>0</v>
      </c>
      <c r="B5674" s="6" t="s">
        <v>33271</v>
      </c>
      <c r="C5674" s="7">
        <v>900</v>
      </c>
      <c r="D5674" s="8" t="s">
        <v>33272</v>
      </c>
      <c r="E5674" s="8" t="s">
        <v>33273</v>
      </c>
      <c r="F5674" s="8" t="s">
        <v>33274</v>
      </c>
      <c r="G5674" s="6" t="s">
        <v>38</v>
      </c>
      <c r="H5674" s="6" t="s">
        <v>53</v>
      </c>
      <c r="I5674" s="8" t="s">
        <v>276</v>
      </c>
      <c r="J5674" s="9">
        <v>1</v>
      </c>
      <c r="K5674" s="9">
        <v>192</v>
      </c>
      <c r="L5674" s="9">
        <v>2023</v>
      </c>
      <c r="M5674" s="8" t="s">
        <v>33275</v>
      </c>
      <c r="N5674" s="8" t="s">
        <v>56</v>
      </c>
      <c r="O5674" s="8" t="s">
        <v>4042</v>
      </c>
      <c r="P5674" s="6" t="s">
        <v>43</v>
      </c>
      <c r="Q5674" s="8" t="s">
        <v>279</v>
      </c>
      <c r="R5674" s="10" t="s">
        <v>33276</v>
      </c>
      <c r="S5674" s="11" t="s">
        <v>33277</v>
      </c>
      <c r="T5674" s="6"/>
      <c r="U5674" s="24" t="str">
        <f>HYPERLINK("https://media.infra-m.ru/2013/2013648/cover/2013648.jpg", "Обложка")</f>
        <v>Обложка</v>
      </c>
      <c r="V5674" s="24" t="str">
        <f>HYPERLINK("https://znanium.ru/catalog/product/937308", "Ознакомиться")</f>
        <v>Ознакомиться</v>
      </c>
      <c r="W5674" s="8" t="s">
        <v>6124</v>
      </c>
      <c r="X5674" s="6"/>
      <c r="Y5674" s="6"/>
      <c r="Z5674" s="6"/>
      <c r="AA5674" s="6" t="s">
        <v>47</v>
      </c>
      <c r="AB5674" s="8"/>
    </row>
    <row r="5675" spans="1:28" s="4" customFormat="1" ht="42" customHeight="1">
      <c r="A5675" s="5">
        <v>0</v>
      </c>
      <c r="B5675" s="6" t="s">
        <v>33278</v>
      </c>
      <c r="C5675" s="13">
        <v>1970</v>
      </c>
      <c r="D5675" s="8" t="s">
        <v>33279</v>
      </c>
      <c r="E5675" s="8" t="s">
        <v>33280</v>
      </c>
      <c r="F5675" s="8" t="s">
        <v>33281</v>
      </c>
      <c r="G5675" s="6" t="s">
        <v>89</v>
      </c>
      <c r="H5675" s="6" t="s">
        <v>674</v>
      </c>
      <c r="I5675" s="8"/>
      <c r="J5675" s="9">
        <v>1</v>
      </c>
      <c r="K5675" s="9">
        <v>432</v>
      </c>
      <c r="L5675" s="9">
        <v>2023</v>
      </c>
      <c r="M5675" s="8" t="s">
        <v>33282</v>
      </c>
      <c r="N5675" s="8" t="s">
        <v>56</v>
      </c>
      <c r="O5675" s="8" t="s">
        <v>4042</v>
      </c>
      <c r="P5675" s="6" t="s">
        <v>167</v>
      </c>
      <c r="Q5675" s="8" t="s">
        <v>279</v>
      </c>
      <c r="R5675" s="10" t="s">
        <v>990</v>
      </c>
      <c r="S5675" s="11"/>
      <c r="T5675" s="6"/>
      <c r="U5675" s="24" t="str">
        <f>HYPERLINK("https://media.infra-m.ru/1977/1977963/cover/1977963.jpg", "Обложка")</f>
        <v>Обложка</v>
      </c>
      <c r="V5675" s="24" t="str">
        <f>HYPERLINK("https://znanium.ru/catalog/product/1977963", "Ознакомиться")</f>
        <v>Ознакомиться</v>
      </c>
      <c r="W5675" s="8" t="s">
        <v>913</v>
      </c>
      <c r="X5675" s="6"/>
      <c r="Y5675" s="6"/>
      <c r="Z5675" s="6"/>
      <c r="AA5675" s="6" t="s">
        <v>1365</v>
      </c>
      <c r="AB5675" s="8"/>
    </row>
    <row r="5676" spans="1:28" s="4" customFormat="1" ht="51.95" customHeight="1">
      <c r="A5676" s="5">
        <v>0</v>
      </c>
      <c r="B5676" s="6" t="s">
        <v>33283</v>
      </c>
      <c r="C5676" s="13">
        <v>1664</v>
      </c>
      <c r="D5676" s="8" t="s">
        <v>33284</v>
      </c>
      <c r="E5676" s="8" t="s">
        <v>33285</v>
      </c>
      <c r="F5676" s="8" t="s">
        <v>33286</v>
      </c>
      <c r="G5676" s="6" t="s">
        <v>38</v>
      </c>
      <c r="H5676" s="6" t="s">
        <v>53</v>
      </c>
      <c r="I5676" s="8" t="s">
        <v>7693</v>
      </c>
      <c r="J5676" s="9">
        <v>1</v>
      </c>
      <c r="K5676" s="9">
        <v>332</v>
      </c>
      <c r="L5676" s="9">
        <v>2025</v>
      </c>
      <c r="M5676" s="8" t="s">
        <v>33287</v>
      </c>
      <c r="N5676" s="8" t="s">
        <v>56</v>
      </c>
      <c r="O5676" s="8" t="s">
        <v>4042</v>
      </c>
      <c r="P5676" s="6" t="s">
        <v>43</v>
      </c>
      <c r="Q5676" s="8" t="s">
        <v>1674</v>
      </c>
      <c r="R5676" s="10" t="s">
        <v>33288</v>
      </c>
      <c r="S5676" s="11" t="s">
        <v>33289</v>
      </c>
      <c r="T5676" s="6"/>
      <c r="U5676" s="24" t="str">
        <f>HYPERLINK("https://media.infra-m.ru/2188/2188868/cover/2188868.jpg", "Обложка")</f>
        <v>Обложка</v>
      </c>
      <c r="V5676" s="24" t="str">
        <f>HYPERLINK("https://znanium.ru/catalog/product/1936321", "Ознакомиться")</f>
        <v>Ознакомиться</v>
      </c>
      <c r="W5676" s="8" t="s">
        <v>2954</v>
      </c>
      <c r="X5676" s="6"/>
      <c r="Y5676" s="6"/>
      <c r="Z5676" s="6"/>
      <c r="AA5676" s="6" t="s">
        <v>622</v>
      </c>
      <c r="AB5676" s="8"/>
    </row>
    <row r="5677" spans="1:28" s="4" customFormat="1" ht="51.95" customHeight="1">
      <c r="A5677" s="5">
        <v>0</v>
      </c>
      <c r="B5677" s="6" t="s">
        <v>33290</v>
      </c>
      <c r="C5677" s="13">
        <v>1280</v>
      </c>
      <c r="D5677" s="8" t="s">
        <v>33291</v>
      </c>
      <c r="E5677" s="8" t="s">
        <v>33285</v>
      </c>
      <c r="F5677" s="8" t="s">
        <v>33292</v>
      </c>
      <c r="G5677" s="6" t="s">
        <v>89</v>
      </c>
      <c r="H5677" s="6" t="s">
        <v>53</v>
      </c>
      <c r="I5677" s="8" t="s">
        <v>116</v>
      </c>
      <c r="J5677" s="9">
        <v>1</v>
      </c>
      <c r="K5677" s="9">
        <v>272</v>
      </c>
      <c r="L5677" s="9">
        <v>2024</v>
      </c>
      <c r="M5677" s="8" t="s">
        <v>33293</v>
      </c>
      <c r="N5677" s="8" t="s">
        <v>56</v>
      </c>
      <c r="O5677" s="8" t="s">
        <v>4042</v>
      </c>
      <c r="P5677" s="6" t="s">
        <v>43</v>
      </c>
      <c r="Q5677" s="8" t="s">
        <v>58</v>
      </c>
      <c r="R5677" s="10" t="s">
        <v>33294</v>
      </c>
      <c r="S5677" s="11"/>
      <c r="T5677" s="6"/>
      <c r="U5677" s="24" t="str">
        <f>HYPERLINK("https://media.infra-m.ru/2052/2052440/cover/2052440.jpg", "Обложка")</f>
        <v>Обложка</v>
      </c>
      <c r="V5677" s="24" t="str">
        <f>HYPERLINK("https://znanium.ru/catalog/product/2052440", "Ознакомиться")</f>
        <v>Ознакомиться</v>
      </c>
      <c r="W5677" s="8" t="s">
        <v>913</v>
      </c>
      <c r="X5677" s="6"/>
      <c r="Y5677" s="6"/>
      <c r="Z5677" s="6"/>
      <c r="AA5677" s="6" t="s">
        <v>3065</v>
      </c>
      <c r="AB5677" s="8"/>
    </row>
    <row r="5678" spans="1:28" s="4" customFormat="1" ht="51.95" customHeight="1">
      <c r="A5678" s="5">
        <v>0</v>
      </c>
      <c r="B5678" s="6" t="s">
        <v>33295</v>
      </c>
      <c r="C5678" s="13">
        <v>1034</v>
      </c>
      <c r="D5678" s="8" t="s">
        <v>33296</v>
      </c>
      <c r="E5678" s="8" t="s">
        <v>33297</v>
      </c>
      <c r="F5678" s="8" t="s">
        <v>33298</v>
      </c>
      <c r="G5678" s="6" t="s">
        <v>52</v>
      </c>
      <c r="H5678" s="6" t="s">
        <v>184</v>
      </c>
      <c r="I5678" s="8" t="s">
        <v>276</v>
      </c>
      <c r="J5678" s="9">
        <v>1</v>
      </c>
      <c r="K5678" s="9">
        <v>224</v>
      </c>
      <c r="L5678" s="9">
        <v>2024</v>
      </c>
      <c r="M5678" s="8" t="s">
        <v>33299</v>
      </c>
      <c r="N5678" s="8" t="s">
        <v>41</v>
      </c>
      <c r="O5678" s="8" t="s">
        <v>676</v>
      </c>
      <c r="P5678" s="6" t="s">
        <v>43</v>
      </c>
      <c r="Q5678" s="8" t="s">
        <v>279</v>
      </c>
      <c r="R5678" s="10" t="s">
        <v>33300</v>
      </c>
      <c r="S5678" s="11"/>
      <c r="T5678" s="6"/>
      <c r="U5678" s="24" t="str">
        <f>HYPERLINK("https://media.infra-m.ru/1981/1981698/cover/1981698.jpg", "Обложка")</f>
        <v>Обложка</v>
      </c>
      <c r="V5678" s="24" t="str">
        <f>HYPERLINK("https://znanium.ru/catalog/product/1981698", "Ознакомиться")</f>
        <v>Ознакомиться</v>
      </c>
      <c r="W5678" s="8" t="s">
        <v>2672</v>
      </c>
      <c r="X5678" s="6"/>
      <c r="Y5678" s="6"/>
      <c r="Z5678" s="6"/>
      <c r="AA5678" s="6" t="s">
        <v>47</v>
      </c>
      <c r="AB5678" s="8"/>
    </row>
    <row r="5679" spans="1:28" s="4" customFormat="1" ht="51.95" customHeight="1">
      <c r="A5679" s="5">
        <v>0</v>
      </c>
      <c r="B5679" s="6" t="s">
        <v>33301</v>
      </c>
      <c r="C5679" s="13">
        <v>1330</v>
      </c>
      <c r="D5679" s="8" t="s">
        <v>33302</v>
      </c>
      <c r="E5679" s="8" t="s">
        <v>33303</v>
      </c>
      <c r="F5679" s="8" t="s">
        <v>9183</v>
      </c>
      <c r="G5679" s="6" t="s">
        <v>38</v>
      </c>
      <c r="H5679" s="6" t="s">
        <v>674</v>
      </c>
      <c r="I5679" s="8" t="s">
        <v>5841</v>
      </c>
      <c r="J5679" s="9">
        <v>1</v>
      </c>
      <c r="K5679" s="9">
        <v>256</v>
      </c>
      <c r="L5679" s="9">
        <v>2025</v>
      </c>
      <c r="M5679" s="8" t="s">
        <v>33304</v>
      </c>
      <c r="N5679" s="8" t="s">
        <v>41</v>
      </c>
      <c r="O5679" s="8" t="s">
        <v>676</v>
      </c>
      <c r="P5679" s="6" t="s">
        <v>2134</v>
      </c>
      <c r="Q5679" s="8" t="s">
        <v>279</v>
      </c>
      <c r="R5679" s="10" t="s">
        <v>33305</v>
      </c>
      <c r="S5679" s="11"/>
      <c r="T5679" s="6"/>
      <c r="U5679" s="24" t="str">
        <f>HYPERLINK("https://media.infra-m.ru/2197/2197012/cover/2197012.jpg", "Обложка")</f>
        <v>Обложка</v>
      </c>
      <c r="V5679" s="24" t="str">
        <f>HYPERLINK("https://znanium.ru/catalog/product/2197012", "Ознакомиться")</f>
        <v>Ознакомиться</v>
      </c>
      <c r="W5679" s="8" t="s">
        <v>678</v>
      </c>
      <c r="X5679" s="6"/>
      <c r="Y5679" s="6"/>
      <c r="Z5679" s="6"/>
      <c r="AA5679" s="6" t="s">
        <v>7927</v>
      </c>
      <c r="AB5679" s="8"/>
    </row>
    <row r="5680" spans="1:28" s="4" customFormat="1" ht="51.95" customHeight="1">
      <c r="A5680" s="5">
        <v>0</v>
      </c>
      <c r="B5680" s="6" t="s">
        <v>33306</v>
      </c>
      <c r="C5680" s="13">
        <v>2960</v>
      </c>
      <c r="D5680" s="8" t="s">
        <v>33307</v>
      </c>
      <c r="E5680" s="8" t="s">
        <v>33308</v>
      </c>
      <c r="F5680" s="8" t="s">
        <v>17665</v>
      </c>
      <c r="G5680" s="6" t="s">
        <v>52</v>
      </c>
      <c r="H5680" s="6" t="s">
        <v>184</v>
      </c>
      <c r="I5680" s="8"/>
      <c r="J5680" s="9">
        <v>1</v>
      </c>
      <c r="K5680" s="9">
        <v>602</v>
      </c>
      <c r="L5680" s="9">
        <v>2025</v>
      </c>
      <c r="M5680" s="8" t="s">
        <v>33309</v>
      </c>
      <c r="N5680" s="8" t="s">
        <v>41</v>
      </c>
      <c r="O5680" s="8" t="s">
        <v>676</v>
      </c>
      <c r="P5680" s="6" t="s">
        <v>167</v>
      </c>
      <c r="Q5680" s="8" t="s">
        <v>279</v>
      </c>
      <c r="R5680" s="10" t="s">
        <v>33186</v>
      </c>
      <c r="S5680" s="11"/>
      <c r="T5680" s="6"/>
      <c r="U5680" s="24" t="str">
        <f>HYPERLINK("https://media.infra-m.ru/2163/2163741/cover/2163741.jpg", "Обложка")</f>
        <v>Обложка</v>
      </c>
      <c r="V5680" s="24" t="str">
        <f>HYPERLINK("https://znanium.ru/catalog/product/2163741", "Ознакомиться")</f>
        <v>Ознакомиться</v>
      </c>
      <c r="W5680" s="8" t="s">
        <v>8709</v>
      </c>
      <c r="X5680" s="6" t="s">
        <v>1049</v>
      </c>
      <c r="Y5680" s="6"/>
      <c r="Z5680" s="6"/>
      <c r="AA5680" s="6" t="s">
        <v>549</v>
      </c>
      <c r="AB5680" s="8"/>
    </row>
    <row r="5681" spans="1:28" s="4" customFormat="1" ht="51.95" customHeight="1">
      <c r="A5681" s="5">
        <v>0</v>
      </c>
      <c r="B5681" s="6" t="s">
        <v>33310</v>
      </c>
      <c r="C5681" s="13">
        <v>1760</v>
      </c>
      <c r="D5681" s="8" t="s">
        <v>33311</v>
      </c>
      <c r="E5681" s="8" t="s">
        <v>33303</v>
      </c>
      <c r="F5681" s="8" t="s">
        <v>17665</v>
      </c>
      <c r="G5681" s="6" t="s">
        <v>52</v>
      </c>
      <c r="H5681" s="6" t="s">
        <v>184</v>
      </c>
      <c r="I5681" s="8"/>
      <c r="J5681" s="9">
        <v>1</v>
      </c>
      <c r="K5681" s="9">
        <v>602</v>
      </c>
      <c r="L5681" s="9">
        <v>2017</v>
      </c>
      <c r="M5681" s="8" t="s">
        <v>33312</v>
      </c>
      <c r="N5681" s="8" t="s">
        <v>41</v>
      </c>
      <c r="O5681" s="8" t="s">
        <v>676</v>
      </c>
      <c r="P5681" s="6" t="s">
        <v>167</v>
      </c>
      <c r="Q5681" s="8" t="s">
        <v>279</v>
      </c>
      <c r="R5681" s="10" t="s">
        <v>33186</v>
      </c>
      <c r="S5681" s="11"/>
      <c r="T5681" s="6"/>
      <c r="U5681" s="24" t="str">
        <f>HYPERLINK("https://media.infra-m.ru/0766/0766742/cover/766742.jpg", "Обложка")</f>
        <v>Обложка</v>
      </c>
      <c r="V5681" s="24" t="str">
        <f>HYPERLINK("https://znanium.ru/catalog/product/2163741", "Ознакомиться")</f>
        <v>Ознакомиться</v>
      </c>
      <c r="W5681" s="8" t="s">
        <v>8709</v>
      </c>
      <c r="X5681" s="6"/>
      <c r="Y5681" s="6"/>
      <c r="Z5681" s="6"/>
      <c r="AA5681" s="6" t="s">
        <v>442</v>
      </c>
      <c r="AB5681" s="8"/>
    </row>
    <row r="5682" spans="1:28" s="4" customFormat="1" ht="51.95" customHeight="1">
      <c r="A5682" s="5">
        <v>0</v>
      </c>
      <c r="B5682" s="6" t="s">
        <v>33313</v>
      </c>
      <c r="C5682" s="13">
        <v>1990</v>
      </c>
      <c r="D5682" s="8" t="s">
        <v>33314</v>
      </c>
      <c r="E5682" s="8" t="s">
        <v>33303</v>
      </c>
      <c r="F5682" s="8" t="s">
        <v>8965</v>
      </c>
      <c r="G5682" s="6" t="s">
        <v>52</v>
      </c>
      <c r="H5682" s="6" t="s">
        <v>184</v>
      </c>
      <c r="I5682" s="8" t="s">
        <v>185</v>
      </c>
      <c r="J5682" s="9">
        <v>1</v>
      </c>
      <c r="K5682" s="9">
        <v>424</v>
      </c>
      <c r="L5682" s="9">
        <v>2024</v>
      </c>
      <c r="M5682" s="8" t="s">
        <v>33315</v>
      </c>
      <c r="N5682" s="8" t="s">
        <v>41</v>
      </c>
      <c r="O5682" s="8" t="s">
        <v>676</v>
      </c>
      <c r="P5682" s="6" t="s">
        <v>167</v>
      </c>
      <c r="Q5682" s="8" t="s">
        <v>58</v>
      </c>
      <c r="R5682" s="10" t="s">
        <v>33316</v>
      </c>
      <c r="S5682" s="11"/>
      <c r="T5682" s="6"/>
      <c r="U5682" s="12"/>
      <c r="V5682" s="12"/>
      <c r="W5682" s="8" t="s">
        <v>2343</v>
      </c>
      <c r="X5682" s="6"/>
      <c r="Y5682" s="6"/>
      <c r="Z5682" s="6"/>
      <c r="AA5682" s="6" t="s">
        <v>235</v>
      </c>
      <c r="AB5682" s="8"/>
    </row>
    <row r="5683" spans="1:28" s="4" customFormat="1" ht="51.95" customHeight="1">
      <c r="A5683" s="5">
        <v>0</v>
      </c>
      <c r="B5683" s="6" t="s">
        <v>33317</v>
      </c>
      <c r="C5683" s="7">
        <v>960</v>
      </c>
      <c r="D5683" s="8" t="s">
        <v>33318</v>
      </c>
      <c r="E5683" s="8" t="s">
        <v>33303</v>
      </c>
      <c r="F5683" s="8" t="s">
        <v>33319</v>
      </c>
      <c r="G5683" s="6" t="s">
        <v>89</v>
      </c>
      <c r="H5683" s="6" t="s">
        <v>674</v>
      </c>
      <c r="I5683" s="8"/>
      <c r="J5683" s="9">
        <v>1</v>
      </c>
      <c r="K5683" s="9">
        <v>192</v>
      </c>
      <c r="L5683" s="9">
        <v>2025</v>
      </c>
      <c r="M5683" s="8" t="s">
        <v>33320</v>
      </c>
      <c r="N5683" s="8" t="s">
        <v>41</v>
      </c>
      <c r="O5683" s="8" t="s">
        <v>676</v>
      </c>
      <c r="P5683" s="6" t="s">
        <v>167</v>
      </c>
      <c r="Q5683" s="8" t="s">
        <v>44</v>
      </c>
      <c r="R5683" s="10" t="s">
        <v>33321</v>
      </c>
      <c r="S5683" s="11"/>
      <c r="T5683" s="6"/>
      <c r="U5683" s="24" t="str">
        <f>HYPERLINK("https://media.infra-m.ru/2162/2162951/cover/2162951.jpg", "Обложка")</f>
        <v>Обложка</v>
      </c>
      <c r="V5683" s="24" t="str">
        <f>HYPERLINK("https://znanium.ru/catalog/product/2162951", "Ознакомиться")</f>
        <v>Ознакомиться</v>
      </c>
      <c r="W5683" s="8" t="s">
        <v>808</v>
      </c>
      <c r="X5683" s="6"/>
      <c r="Y5683" s="6"/>
      <c r="Z5683" s="6"/>
      <c r="AA5683" s="6" t="s">
        <v>793</v>
      </c>
      <c r="AB5683" s="8" t="s">
        <v>1383</v>
      </c>
    </row>
    <row r="5684" spans="1:28" s="4" customFormat="1" ht="51.95" customHeight="1">
      <c r="A5684" s="5">
        <v>0</v>
      </c>
      <c r="B5684" s="6" t="s">
        <v>33322</v>
      </c>
      <c r="C5684" s="13">
        <v>1744</v>
      </c>
      <c r="D5684" s="8" t="s">
        <v>33323</v>
      </c>
      <c r="E5684" s="8" t="s">
        <v>33308</v>
      </c>
      <c r="F5684" s="8" t="s">
        <v>33324</v>
      </c>
      <c r="G5684" s="6" t="s">
        <v>89</v>
      </c>
      <c r="H5684" s="6" t="s">
        <v>53</v>
      </c>
      <c r="I5684" s="8" t="s">
        <v>90</v>
      </c>
      <c r="J5684" s="9">
        <v>1</v>
      </c>
      <c r="K5684" s="9">
        <v>336</v>
      </c>
      <c r="L5684" s="9">
        <v>2025</v>
      </c>
      <c r="M5684" s="8" t="s">
        <v>33325</v>
      </c>
      <c r="N5684" s="8" t="s">
        <v>41</v>
      </c>
      <c r="O5684" s="8" t="s">
        <v>676</v>
      </c>
      <c r="P5684" s="6" t="s">
        <v>167</v>
      </c>
      <c r="Q5684" s="8" t="s">
        <v>44</v>
      </c>
      <c r="R5684" s="10" t="s">
        <v>33321</v>
      </c>
      <c r="S5684" s="11" t="s">
        <v>33326</v>
      </c>
      <c r="T5684" s="6"/>
      <c r="U5684" s="24" t="str">
        <f>HYPERLINK("https://media.infra-m.ru/2192/2192235/cover/2192235.jpg", "Обложка")</f>
        <v>Обложка</v>
      </c>
      <c r="V5684" s="24" t="str">
        <f>HYPERLINK("https://znanium.ru/catalog/product/1844270", "Ознакомиться")</f>
        <v>Ознакомиться</v>
      </c>
      <c r="W5684" s="8" t="s">
        <v>11595</v>
      </c>
      <c r="X5684" s="6"/>
      <c r="Y5684" s="6"/>
      <c r="Z5684" s="6"/>
      <c r="AA5684" s="6" t="s">
        <v>377</v>
      </c>
      <c r="AB5684" s="8"/>
    </row>
    <row r="5685" spans="1:28" s="4" customFormat="1" ht="51.95" customHeight="1">
      <c r="A5685" s="5">
        <v>0</v>
      </c>
      <c r="B5685" s="6" t="s">
        <v>33327</v>
      </c>
      <c r="C5685" s="13">
        <v>2244</v>
      </c>
      <c r="D5685" s="8" t="s">
        <v>33328</v>
      </c>
      <c r="E5685" s="8" t="s">
        <v>33308</v>
      </c>
      <c r="F5685" s="8" t="s">
        <v>9183</v>
      </c>
      <c r="G5685" s="6" t="s">
        <v>52</v>
      </c>
      <c r="H5685" s="6" t="s">
        <v>674</v>
      </c>
      <c r="I5685" s="8"/>
      <c r="J5685" s="9">
        <v>1</v>
      </c>
      <c r="K5685" s="9">
        <v>848</v>
      </c>
      <c r="L5685" s="9">
        <v>2024</v>
      </c>
      <c r="M5685" s="8" t="s">
        <v>33329</v>
      </c>
      <c r="N5685" s="8" t="s">
        <v>41</v>
      </c>
      <c r="O5685" s="8" t="s">
        <v>676</v>
      </c>
      <c r="P5685" s="6" t="s">
        <v>167</v>
      </c>
      <c r="Q5685" s="8" t="s">
        <v>44</v>
      </c>
      <c r="R5685" s="10" t="s">
        <v>33321</v>
      </c>
      <c r="S5685" s="11" t="s">
        <v>4821</v>
      </c>
      <c r="T5685" s="6"/>
      <c r="U5685" s="24" t="str">
        <f>HYPERLINK("https://media.infra-m.ru/2114/2114321/cover/2114321.jpg", "Обложка")</f>
        <v>Обложка</v>
      </c>
      <c r="V5685" s="24" t="str">
        <f>HYPERLINK("https://znanium.ru/catalog/product/1038336", "Ознакомиться")</f>
        <v>Ознакомиться</v>
      </c>
      <c r="W5685" s="8" t="s">
        <v>678</v>
      </c>
      <c r="X5685" s="6"/>
      <c r="Y5685" s="6"/>
      <c r="Z5685" s="6"/>
      <c r="AA5685" s="6" t="s">
        <v>4944</v>
      </c>
      <c r="AB5685" s="8"/>
    </row>
    <row r="5686" spans="1:28" s="4" customFormat="1" ht="51.95" customHeight="1">
      <c r="A5686" s="5">
        <v>0</v>
      </c>
      <c r="B5686" s="6" t="s">
        <v>33330</v>
      </c>
      <c r="C5686" s="13">
        <v>2224</v>
      </c>
      <c r="D5686" s="8" t="s">
        <v>33331</v>
      </c>
      <c r="E5686" s="8" t="s">
        <v>33303</v>
      </c>
      <c r="F5686" s="8" t="s">
        <v>28863</v>
      </c>
      <c r="G5686" s="6" t="s">
        <v>89</v>
      </c>
      <c r="H5686" s="6" t="s">
        <v>53</v>
      </c>
      <c r="I5686" s="8" t="s">
        <v>1054</v>
      </c>
      <c r="J5686" s="9">
        <v>1</v>
      </c>
      <c r="K5686" s="9">
        <v>474</v>
      </c>
      <c r="L5686" s="9">
        <v>2024</v>
      </c>
      <c r="M5686" s="8" t="s">
        <v>33332</v>
      </c>
      <c r="N5686" s="8" t="s">
        <v>41</v>
      </c>
      <c r="O5686" s="8" t="s">
        <v>676</v>
      </c>
      <c r="P5686" s="6" t="s">
        <v>43</v>
      </c>
      <c r="Q5686" s="8" t="s">
        <v>279</v>
      </c>
      <c r="R5686" s="10" t="s">
        <v>6822</v>
      </c>
      <c r="S5686" s="11" t="s">
        <v>33333</v>
      </c>
      <c r="T5686" s="6"/>
      <c r="U5686" s="24" t="str">
        <f>HYPERLINK("https://media.infra-m.ru/2152/2152115/cover/2152115.jpg", "Обложка")</f>
        <v>Обложка</v>
      </c>
      <c r="V5686" s="24" t="str">
        <f>HYPERLINK("https://znanium.ru/catalog/product/1846712", "Ознакомиться")</f>
        <v>Ознакомиться</v>
      </c>
      <c r="W5686" s="8" t="s">
        <v>83</v>
      </c>
      <c r="X5686" s="6"/>
      <c r="Y5686" s="6"/>
      <c r="Z5686" s="6"/>
      <c r="AA5686" s="6" t="s">
        <v>258</v>
      </c>
      <c r="AB5686" s="8"/>
    </row>
    <row r="5687" spans="1:28" s="4" customFormat="1" ht="51.95" customHeight="1">
      <c r="A5687" s="5">
        <v>0</v>
      </c>
      <c r="B5687" s="6" t="s">
        <v>33334</v>
      </c>
      <c r="C5687" s="7">
        <v>974.9</v>
      </c>
      <c r="D5687" s="8" t="s">
        <v>33335</v>
      </c>
      <c r="E5687" s="8" t="s">
        <v>33336</v>
      </c>
      <c r="F5687" s="8" t="s">
        <v>33337</v>
      </c>
      <c r="G5687" s="6" t="s">
        <v>38</v>
      </c>
      <c r="H5687" s="6" t="s">
        <v>952</v>
      </c>
      <c r="I5687" s="8" t="s">
        <v>2699</v>
      </c>
      <c r="J5687" s="9">
        <v>1</v>
      </c>
      <c r="K5687" s="9">
        <v>256</v>
      </c>
      <c r="L5687" s="9">
        <v>2022</v>
      </c>
      <c r="M5687" s="8" t="s">
        <v>33338</v>
      </c>
      <c r="N5687" s="8" t="s">
        <v>41</v>
      </c>
      <c r="O5687" s="8" t="s">
        <v>278</v>
      </c>
      <c r="P5687" s="6" t="s">
        <v>43</v>
      </c>
      <c r="Q5687" s="8" t="s">
        <v>44</v>
      </c>
      <c r="R5687" s="10" t="s">
        <v>33339</v>
      </c>
      <c r="S5687" s="11" t="s">
        <v>6481</v>
      </c>
      <c r="T5687" s="6"/>
      <c r="U5687" s="24" t="str">
        <f>HYPERLINK("https://media.infra-m.ru/1846/1846449/cover/1846449.jpg", "Обложка")</f>
        <v>Обложка</v>
      </c>
      <c r="V5687" s="24" t="str">
        <f>HYPERLINK("https://znanium.ru/catalog/product/1846449", "Ознакомиться")</f>
        <v>Ознакомиться</v>
      </c>
      <c r="W5687" s="8" t="s">
        <v>564</v>
      </c>
      <c r="X5687" s="6"/>
      <c r="Y5687" s="6"/>
      <c r="Z5687" s="6"/>
      <c r="AA5687" s="6" t="s">
        <v>47</v>
      </c>
      <c r="AB5687" s="8"/>
    </row>
    <row r="5688" spans="1:28" s="4" customFormat="1" ht="44.1" customHeight="1">
      <c r="A5688" s="5">
        <v>0</v>
      </c>
      <c r="B5688" s="6" t="s">
        <v>33340</v>
      </c>
      <c r="C5688" s="7">
        <v>734</v>
      </c>
      <c r="D5688" s="8" t="s">
        <v>33341</v>
      </c>
      <c r="E5688" s="8" t="s">
        <v>33342</v>
      </c>
      <c r="F5688" s="8" t="s">
        <v>12193</v>
      </c>
      <c r="G5688" s="6" t="s">
        <v>38</v>
      </c>
      <c r="H5688" s="6" t="s">
        <v>77</v>
      </c>
      <c r="I5688" s="8"/>
      <c r="J5688" s="9">
        <v>5</v>
      </c>
      <c r="K5688" s="9">
        <v>160</v>
      </c>
      <c r="L5688" s="9">
        <v>2024</v>
      </c>
      <c r="M5688" s="8" t="s">
        <v>33343</v>
      </c>
      <c r="N5688" s="8" t="s">
        <v>41</v>
      </c>
      <c r="O5688" s="8" t="s">
        <v>118</v>
      </c>
      <c r="P5688" s="6" t="s">
        <v>43</v>
      </c>
      <c r="Q5688" s="8" t="s">
        <v>44</v>
      </c>
      <c r="R5688" s="10" t="s">
        <v>33344</v>
      </c>
      <c r="S5688" s="11"/>
      <c r="T5688" s="6"/>
      <c r="U5688" s="24" t="str">
        <f>HYPERLINK("https://media.infra-m.ru/2102/2102178/cover/2102178.jpg", "Обложка")</f>
        <v>Обложка</v>
      </c>
      <c r="V5688" s="12"/>
      <c r="W5688" s="8" t="s">
        <v>12196</v>
      </c>
      <c r="X5688" s="6"/>
      <c r="Y5688" s="6"/>
      <c r="Z5688" s="6"/>
      <c r="AA5688" s="6" t="s">
        <v>47</v>
      </c>
      <c r="AB5688" s="8"/>
    </row>
    <row r="5689" spans="1:28" s="4" customFormat="1" ht="44.1" customHeight="1">
      <c r="A5689" s="5">
        <v>0</v>
      </c>
      <c r="B5689" s="6" t="s">
        <v>33345</v>
      </c>
      <c r="C5689" s="13">
        <v>1150</v>
      </c>
      <c r="D5689" s="8" t="s">
        <v>33346</v>
      </c>
      <c r="E5689" s="8" t="s">
        <v>33347</v>
      </c>
      <c r="F5689" s="8" t="s">
        <v>14485</v>
      </c>
      <c r="G5689" s="6" t="s">
        <v>52</v>
      </c>
      <c r="H5689" s="6" t="s">
        <v>53</v>
      </c>
      <c r="I5689" s="8" t="s">
        <v>116</v>
      </c>
      <c r="J5689" s="9">
        <v>1</v>
      </c>
      <c r="K5689" s="9">
        <v>212</v>
      </c>
      <c r="L5689" s="9">
        <v>2025</v>
      </c>
      <c r="M5689" s="8" t="s">
        <v>33348</v>
      </c>
      <c r="N5689" s="8" t="s">
        <v>41</v>
      </c>
      <c r="O5689" s="8" t="s">
        <v>1007</v>
      </c>
      <c r="P5689" s="6" t="s">
        <v>43</v>
      </c>
      <c r="Q5689" s="8" t="s">
        <v>279</v>
      </c>
      <c r="R5689" s="10" t="s">
        <v>33349</v>
      </c>
      <c r="S5689" s="11"/>
      <c r="T5689" s="6"/>
      <c r="U5689" s="24" t="str">
        <f>HYPERLINK("https://media.infra-m.ru/1946/1946203/cover/1946203.jpg", "Обложка")</f>
        <v>Обложка</v>
      </c>
      <c r="V5689" s="24" t="str">
        <f>HYPERLINK("https://znanium.ru/catalog/product/1946203", "Ознакомиться")</f>
        <v>Ознакомиться</v>
      </c>
      <c r="W5689" s="8" t="s">
        <v>14488</v>
      </c>
      <c r="X5689" s="6" t="s">
        <v>132</v>
      </c>
      <c r="Y5689" s="6"/>
      <c r="Z5689" s="6"/>
      <c r="AA5689" s="6" t="s">
        <v>61</v>
      </c>
      <c r="AB5689" s="8"/>
    </row>
    <row r="5690" spans="1:28" s="4" customFormat="1" ht="51.95" customHeight="1">
      <c r="A5690" s="5">
        <v>0</v>
      </c>
      <c r="B5690" s="6" t="s">
        <v>33350</v>
      </c>
      <c r="C5690" s="13">
        <v>1584</v>
      </c>
      <c r="D5690" s="8" t="s">
        <v>33351</v>
      </c>
      <c r="E5690" s="8" t="s">
        <v>33352</v>
      </c>
      <c r="F5690" s="8" t="s">
        <v>33353</v>
      </c>
      <c r="G5690" s="6" t="s">
        <v>26</v>
      </c>
      <c r="H5690" s="6" t="s">
        <v>952</v>
      </c>
      <c r="I5690" s="8"/>
      <c r="J5690" s="9">
        <v>1</v>
      </c>
      <c r="K5690" s="9">
        <v>304</v>
      </c>
      <c r="L5690" s="9">
        <v>2025</v>
      </c>
      <c r="M5690" s="8" t="s">
        <v>33354</v>
      </c>
      <c r="N5690" s="8" t="s">
        <v>56</v>
      </c>
      <c r="O5690" s="8" t="s">
        <v>4042</v>
      </c>
      <c r="P5690" s="6" t="s">
        <v>43</v>
      </c>
      <c r="Q5690" s="8" t="s">
        <v>44</v>
      </c>
      <c r="R5690" s="10" t="s">
        <v>33355</v>
      </c>
      <c r="S5690" s="11"/>
      <c r="T5690" s="6"/>
      <c r="U5690" s="24" t="str">
        <f>HYPERLINK("https://media.infra-m.ru/2192/2192752/cover/2192752.jpg", "Обложка")</f>
        <v>Обложка</v>
      </c>
      <c r="V5690" s="24" t="str">
        <f>HYPERLINK("https://znanium.ru/catalog/product/1010069", "Ознакомиться")</f>
        <v>Ознакомиться</v>
      </c>
      <c r="W5690" s="8" t="s">
        <v>33356</v>
      </c>
      <c r="X5690" s="6"/>
      <c r="Y5690" s="6"/>
      <c r="Z5690" s="6"/>
      <c r="AA5690" s="6" t="s">
        <v>111</v>
      </c>
      <c r="AB5690" s="8"/>
    </row>
    <row r="5691" spans="1:28" s="4" customFormat="1" ht="51.95" customHeight="1">
      <c r="A5691" s="5">
        <v>0</v>
      </c>
      <c r="B5691" s="6" t="s">
        <v>33357</v>
      </c>
      <c r="C5691" s="7">
        <v>970</v>
      </c>
      <c r="D5691" s="8" t="s">
        <v>33358</v>
      </c>
      <c r="E5691" s="8" t="s">
        <v>33359</v>
      </c>
      <c r="F5691" s="8" t="s">
        <v>8995</v>
      </c>
      <c r="G5691" s="6" t="s">
        <v>38</v>
      </c>
      <c r="H5691" s="6" t="s">
        <v>674</v>
      </c>
      <c r="I5691" s="8"/>
      <c r="J5691" s="9">
        <v>1</v>
      </c>
      <c r="K5691" s="9">
        <v>208</v>
      </c>
      <c r="L5691" s="9">
        <v>2024</v>
      </c>
      <c r="M5691" s="8" t="s">
        <v>33360</v>
      </c>
      <c r="N5691" s="8" t="s">
        <v>41</v>
      </c>
      <c r="O5691" s="8" t="s">
        <v>676</v>
      </c>
      <c r="P5691" s="6" t="s">
        <v>43</v>
      </c>
      <c r="Q5691" s="8" t="s">
        <v>279</v>
      </c>
      <c r="R5691" s="10" t="s">
        <v>806</v>
      </c>
      <c r="S5691" s="11"/>
      <c r="T5691" s="6"/>
      <c r="U5691" s="24" t="str">
        <f>HYPERLINK("https://media.infra-m.ru/2078/2078383/cover/2078383.jpg", "Обложка")</f>
        <v>Обложка</v>
      </c>
      <c r="V5691" s="24" t="str">
        <f>HYPERLINK("https://znanium.ru/catalog/product/2078383", "Ознакомиться")</f>
        <v>Ознакомиться</v>
      </c>
      <c r="W5691" s="8" t="s">
        <v>792</v>
      </c>
      <c r="X5691" s="6"/>
      <c r="Y5691" s="6"/>
      <c r="Z5691" s="6"/>
      <c r="AA5691" s="6" t="s">
        <v>418</v>
      </c>
      <c r="AB5691" s="8"/>
    </row>
    <row r="5692" spans="1:28" s="4" customFormat="1" ht="51.95" customHeight="1">
      <c r="A5692" s="5">
        <v>0</v>
      </c>
      <c r="B5692" s="6" t="s">
        <v>33361</v>
      </c>
      <c r="C5692" s="13">
        <v>1424</v>
      </c>
      <c r="D5692" s="8" t="s">
        <v>33362</v>
      </c>
      <c r="E5692" s="8" t="s">
        <v>33363</v>
      </c>
      <c r="F5692" s="8" t="s">
        <v>33364</v>
      </c>
      <c r="G5692" s="6" t="s">
        <v>52</v>
      </c>
      <c r="H5692" s="6" t="s">
        <v>53</v>
      </c>
      <c r="I5692" s="8" t="s">
        <v>90</v>
      </c>
      <c r="J5692" s="9">
        <v>1</v>
      </c>
      <c r="K5692" s="9">
        <v>310</v>
      </c>
      <c r="L5692" s="9">
        <v>2023</v>
      </c>
      <c r="M5692" s="8" t="s">
        <v>33365</v>
      </c>
      <c r="N5692" s="8" t="s">
        <v>56</v>
      </c>
      <c r="O5692" s="8" t="s">
        <v>4042</v>
      </c>
      <c r="P5692" s="6" t="s">
        <v>167</v>
      </c>
      <c r="Q5692" s="8" t="s">
        <v>44</v>
      </c>
      <c r="R5692" s="10" t="s">
        <v>33366</v>
      </c>
      <c r="S5692" s="11" t="s">
        <v>33367</v>
      </c>
      <c r="T5692" s="6"/>
      <c r="U5692" s="24" t="str">
        <f>HYPERLINK("https://media.infra-m.ru/1895/1895154/cover/1895154.jpg", "Обложка")</f>
        <v>Обложка</v>
      </c>
      <c r="V5692" s="24" t="str">
        <f>HYPERLINK("https://znanium.ru/catalog/product/1895154", "Ознакомиться")</f>
        <v>Ознакомиться</v>
      </c>
      <c r="W5692" s="8" t="s">
        <v>12172</v>
      </c>
      <c r="X5692" s="6"/>
      <c r="Y5692" s="6"/>
      <c r="Z5692" s="6"/>
      <c r="AA5692" s="6" t="s">
        <v>84</v>
      </c>
      <c r="AB5692" s="8"/>
    </row>
    <row r="5693" spans="1:28" s="4" customFormat="1" ht="51.95" customHeight="1">
      <c r="A5693" s="5">
        <v>0</v>
      </c>
      <c r="B5693" s="6" t="s">
        <v>33368</v>
      </c>
      <c r="C5693" s="13">
        <v>1744</v>
      </c>
      <c r="D5693" s="8" t="s">
        <v>33369</v>
      </c>
      <c r="E5693" s="8" t="s">
        <v>33370</v>
      </c>
      <c r="F5693" s="8" t="s">
        <v>33364</v>
      </c>
      <c r="G5693" s="6" t="s">
        <v>52</v>
      </c>
      <c r="H5693" s="6" t="s">
        <v>53</v>
      </c>
      <c r="I5693" s="8" t="s">
        <v>90</v>
      </c>
      <c r="J5693" s="9">
        <v>1</v>
      </c>
      <c r="K5693" s="9">
        <v>335</v>
      </c>
      <c r="L5693" s="9">
        <v>2025</v>
      </c>
      <c r="M5693" s="8" t="s">
        <v>33371</v>
      </c>
      <c r="N5693" s="8" t="s">
        <v>56</v>
      </c>
      <c r="O5693" s="8" t="s">
        <v>4042</v>
      </c>
      <c r="P5693" s="6" t="s">
        <v>167</v>
      </c>
      <c r="Q5693" s="8" t="s">
        <v>44</v>
      </c>
      <c r="R5693" s="10" t="s">
        <v>4285</v>
      </c>
      <c r="S5693" s="11" t="s">
        <v>33367</v>
      </c>
      <c r="T5693" s="6"/>
      <c r="U5693" s="24" t="str">
        <f>HYPERLINK("https://media.infra-m.ru/2194/2194357/cover/2194357.jpg", "Обложка")</f>
        <v>Обложка</v>
      </c>
      <c r="V5693" s="24" t="str">
        <f>HYPERLINK("https://znanium.ru/catalog/product/2194357", "Ознакомиться")</f>
        <v>Ознакомиться</v>
      </c>
      <c r="W5693" s="8" t="s">
        <v>12172</v>
      </c>
      <c r="X5693" s="6"/>
      <c r="Y5693" s="6"/>
      <c r="Z5693" s="6"/>
      <c r="AA5693" s="6" t="s">
        <v>84</v>
      </c>
      <c r="AB5693" s="8"/>
    </row>
    <row r="5694" spans="1:28" s="4" customFormat="1" ht="51.95" customHeight="1">
      <c r="A5694" s="5">
        <v>0</v>
      </c>
      <c r="B5694" s="6" t="s">
        <v>33372</v>
      </c>
      <c r="C5694" s="13">
        <v>1484</v>
      </c>
      <c r="D5694" s="8" t="s">
        <v>33373</v>
      </c>
      <c r="E5694" s="8" t="s">
        <v>33374</v>
      </c>
      <c r="F5694" s="8" t="s">
        <v>3090</v>
      </c>
      <c r="G5694" s="6" t="s">
        <v>89</v>
      </c>
      <c r="H5694" s="6" t="s">
        <v>53</v>
      </c>
      <c r="I5694" s="8" t="s">
        <v>90</v>
      </c>
      <c r="J5694" s="9">
        <v>1</v>
      </c>
      <c r="K5694" s="9">
        <v>291</v>
      </c>
      <c r="L5694" s="9">
        <v>2025</v>
      </c>
      <c r="M5694" s="8" t="s">
        <v>33375</v>
      </c>
      <c r="N5694" s="8" t="s">
        <v>56</v>
      </c>
      <c r="O5694" s="8" t="s">
        <v>4042</v>
      </c>
      <c r="P5694" s="6" t="s">
        <v>167</v>
      </c>
      <c r="Q5694" s="8" t="s">
        <v>44</v>
      </c>
      <c r="R5694" s="10" t="s">
        <v>33376</v>
      </c>
      <c r="S5694" s="11" t="s">
        <v>33377</v>
      </c>
      <c r="T5694" s="6" t="s">
        <v>299</v>
      </c>
      <c r="U5694" s="24" t="str">
        <f>HYPERLINK("https://media.infra-m.ru/2192/2192096/cover/2192096.jpg", "Обложка")</f>
        <v>Обложка</v>
      </c>
      <c r="V5694" s="24" t="str">
        <f>HYPERLINK("https://znanium.ru/catalog/product/2040002", "Ознакомиться")</f>
        <v>Ознакомиться</v>
      </c>
      <c r="W5694" s="8" t="s">
        <v>2201</v>
      </c>
      <c r="X5694" s="6"/>
      <c r="Y5694" s="6"/>
      <c r="Z5694" s="6"/>
      <c r="AA5694" s="6" t="s">
        <v>151</v>
      </c>
      <c r="AB5694" s="8"/>
    </row>
    <row r="5695" spans="1:28" s="4" customFormat="1" ht="51.95" customHeight="1">
      <c r="A5695" s="5">
        <v>0</v>
      </c>
      <c r="B5695" s="6" t="s">
        <v>33378</v>
      </c>
      <c r="C5695" s="13">
        <v>2994</v>
      </c>
      <c r="D5695" s="8" t="s">
        <v>33379</v>
      </c>
      <c r="E5695" s="8" t="s">
        <v>33374</v>
      </c>
      <c r="F5695" s="8" t="s">
        <v>33380</v>
      </c>
      <c r="G5695" s="6" t="s">
        <v>89</v>
      </c>
      <c r="H5695" s="6" t="s">
        <v>674</v>
      </c>
      <c r="I5695" s="8"/>
      <c r="J5695" s="9">
        <v>1</v>
      </c>
      <c r="K5695" s="9">
        <v>928</v>
      </c>
      <c r="L5695" s="9">
        <v>2025</v>
      </c>
      <c r="M5695" s="8" t="s">
        <v>33381</v>
      </c>
      <c r="N5695" s="8" t="s">
        <v>56</v>
      </c>
      <c r="O5695" s="8" t="s">
        <v>4042</v>
      </c>
      <c r="P5695" s="6" t="s">
        <v>167</v>
      </c>
      <c r="Q5695" s="8" t="s">
        <v>44</v>
      </c>
      <c r="R5695" s="10" t="s">
        <v>4285</v>
      </c>
      <c r="S5695" s="11" t="s">
        <v>9440</v>
      </c>
      <c r="T5695" s="6"/>
      <c r="U5695" s="24" t="str">
        <f>HYPERLINK("https://media.infra-m.ru/2161/2161183/cover/2161183.jpg", "Обложка")</f>
        <v>Обложка</v>
      </c>
      <c r="V5695" s="24" t="str">
        <f>HYPERLINK("https://znanium.ru/catalog/product/2160777", "Ознакомиться")</f>
        <v>Ознакомиться</v>
      </c>
      <c r="W5695" s="8" t="s">
        <v>12172</v>
      </c>
      <c r="X5695" s="6"/>
      <c r="Y5695" s="6"/>
      <c r="Z5695" s="6"/>
      <c r="AA5695" s="6" t="s">
        <v>3065</v>
      </c>
      <c r="AB5695" s="8"/>
    </row>
    <row r="5696" spans="1:28" s="4" customFormat="1" ht="51.95" customHeight="1">
      <c r="A5696" s="5">
        <v>0</v>
      </c>
      <c r="B5696" s="6" t="s">
        <v>33382</v>
      </c>
      <c r="C5696" s="13">
        <v>2594</v>
      </c>
      <c r="D5696" s="8" t="s">
        <v>33383</v>
      </c>
      <c r="E5696" s="8" t="s">
        <v>33374</v>
      </c>
      <c r="F5696" s="8" t="s">
        <v>33384</v>
      </c>
      <c r="G5696" s="6" t="s">
        <v>52</v>
      </c>
      <c r="H5696" s="6" t="s">
        <v>53</v>
      </c>
      <c r="I5696" s="8" t="s">
        <v>90</v>
      </c>
      <c r="J5696" s="9">
        <v>1</v>
      </c>
      <c r="K5696" s="9">
        <v>519</v>
      </c>
      <c r="L5696" s="9">
        <v>2025</v>
      </c>
      <c r="M5696" s="8" t="s">
        <v>33385</v>
      </c>
      <c r="N5696" s="8" t="s">
        <v>56</v>
      </c>
      <c r="O5696" s="8" t="s">
        <v>4042</v>
      </c>
      <c r="P5696" s="6" t="s">
        <v>167</v>
      </c>
      <c r="Q5696" s="8" t="s">
        <v>44</v>
      </c>
      <c r="R5696" s="10" t="s">
        <v>33386</v>
      </c>
      <c r="S5696" s="11" t="s">
        <v>9582</v>
      </c>
      <c r="T5696" s="6"/>
      <c r="U5696" s="24" t="str">
        <f>HYPERLINK("https://media.infra-m.ru/2161/2161233/cover/2161233.jpg", "Обложка")</f>
        <v>Обложка</v>
      </c>
      <c r="V5696" s="24" t="str">
        <f>HYPERLINK("https://znanium.ru/catalog/product/2053189", "Ознакомиться")</f>
        <v>Ознакомиться</v>
      </c>
      <c r="W5696" s="8" t="s">
        <v>12172</v>
      </c>
      <c r="X5696" s="6"/>
      <c r="Y5696" s="6"/>
      <c r="Z5696" s="6"/>
      <c r="AA5696" s="6" t="s">
        <v>12601</v>
      </c>
      <c r="AB5696" s="8"/>
    </row>
    <row r="5697" spans="1:28" s="4" customFormat="1" ht="42" customHeight="1">
      <c r="A5697" s="5">
        <v>0</v>
      </c>
      <c r="B5697" s="6" t="s">
        <v>33387</v>
      </c>
      <c r="C5697" s="13">
        <v>1544</v>
      </c>
      <c r="D5697" s="8" t="s">
        <v>33388</v>
      </c>
      <c r="E5697" s="8" t="s">
        <v>33374</v>
      </c>
      <c r="F5697" s="8" t="s">
        <v>33389</v>
      </c>
      <c r="G5697" s="6" t="s">
        <v>52</v>
      </c>
      <c r="H5697" s="6" t="s">
        <v>674</v>
      </c>
      <c r="I5697" s="8"/>
      <c r="J5697" s="9">
        <v>1</v>
      </c>
      <c r="K5697" s="9">
        <v>336</v>
      </c>
      <c r="L5697" s="9">
        <v>2024</v>
      </c>
      <c r="M5697" s="8" t="s">
        <v>33390</v>
      </c>
      <c r="N5697" s="8" t="s">
        <v>56</v>
      </c>
      <c r="O5697" s="8" t="s">
        <v>4042</v>
      </c>
      <c r="P5697" s="6" t="s">
        <v>167</v>
      </c>
      <c r="Q5697" s="8" t="s">
        <v>44</v>
      </c>
      <c r="R5697" s="10" t="s">
        <v>8722</v>
      </c>
      <c r="S5697" s="11"/>
      <c r="T5697" s="6"/>
      <c r="U5697" s="24" t="str">
        <f>HYPERLINK("https://media.infra-m.ru/1991/1991913/cover/1991913.jpg", "Обложка")</f>
        <v>Обложка</v>
      </c>
      <c r="V5697" s="24" t="str">
        <f>HYPERLINK("https://znanium.ru/catalog/product/1991913", "Ознакомиться")</f>
        <v>Ознакомиться</v>
      </c>
      <c r="W5697" s="8" t="s">
        <v>792</v>
      </c>
      <c r="X5697" s="6"/>
      <c r="Y5697" s="6"/>
      <c r="Z5697" s="6"/>
      <c r="AA5697" s="6" t="s">
        <v>793</v>
      </c>
      <c r="AB5697" s="8"/>
    </row>
    <row r="5698" spans="1:28" s="4" customFormat="1" ht="51.95" customHeight="1">
      <c r="A5698" s="5">
        <v>0</v>
      </c>
      <c r="B5698" s="6" t="s">
        <v>33391</v>
      </c>
      <c r="C5698" s="13">
        <v>1844</v>
      </c>
      <c r="D5698" s="8" t="s">
        <v>33392</v>
      </c>
      <c r="E5698" s="8" t="s">
        <v>33374</v>
      </c>
      <c r="F5698" s="8" t="s">
        <v>33393</v>
      </c>
      <c r="G5698" s="6" t="s">
        <v>52</v>
      </c>
      <c r="H5698" s="6" t="s">
        <v>66</v>
      </c>
      <c r="I5698" s="8" t="s">
        <v>116</v>
      </c>
      <c r="J5698" s="9">
        <v>1</v>
      </c>
      <c r="K5698" s="9">
        <v>400</v>
      </c>
      <c r="L5698" s="9">
        <v>2023</v>
      </c>
      <c r="M5698" s="8" t="s">
        <v>33394</v>
      </c>
      <c r="N5698" s="8" t="s">
        <v>56</v>
      </c>
      <c r="O5698" s="8" t="s">
        <v>4042</v>
      </c>
      <c r="P5698" s="6" t="s">
        <v>167</v>
      </c>
      <c r="Q5698" s="8" t="s">
        <v>58</v>
      </c>
      <c r="R5698" s="10" t="s">
        <v>33395</v>
      </c>
      <c r="S5698" s="11" t="s">
        <v>33396</v>
      </c>
      <c r="T5698" s="6"/>
      <c r="U5698" s="24" t="str">
        <f>HYPERLINK("https://media.infra-m.ru/2054/2054991/cover/2054991.jpg", "Обложка")</f>
        <v>Обложка</v>
      </c>
      <c r="V5698" s="24" t="str">
        <f>HYPERLINK("https://znanium.ru/catalog/product/2054991", "Ознакомиться")</f>
        <v>Ознакомиться</v>
      </c>
      <c r="W5698" s="8" t="s">
        <v>947</v>
      </c>
      <c r="X5698" s="6"/>
      <c r="Y5698" s="6"/>
      <c r="Z5698" s="6"/>
      <c r="AA5698" s="6" t="s">
        <v>1135</v>
      </c>
      <c r="AB5698" s="8"/>
    </row>
    <row r="5699" spans="1:28" s="4" customFormat="1" ht="42" customHeight="1">
      <c r="A5699" s="5">
        <v>0</v>
      </c>
      <c r="B5699" s="6" t="s">
        <v>33397</v>
      </c>
      <c r="C5699" s="13">
        <v>1914</v>
      </c>
      <c r="D5699" s="8" t="s">
        <v>33398</v>
      </c>
      <c r="E5699" s="8" t="s">
        <v>33399</v>
      </c>
      <c r="F5699" s="8" t="s">
        <v>33400</v>
      </c>
      <c r="G5699" s="6" t="s">
        <v>89</v>
      </c>
      <c r="H5699" s="6" t="s">
        <v>77</v>
      </c>
      <c r="I5699" s="8" t="s">
        <v>77</v>
      </c>
      <c r="J5699" s="9">
        <v>1</v>
      </c>
      <c r="K5699" s="9">
        <v>384</v>
      </c>
      <c r="L5699" s="9">
        <v>2024</v>
      </c>
      <c r="M5699" s="8" t="s">
        <v>33401</v>
      </c>
      <c r="N5699" s="8" t="s">
        <v>56</v>
      </c>
      <c r="O5699" s="8" t="s">
        <v>4042</v>
      </c>
      <c r="P5699" s="6" t="s">
        <v>167</v>
      </c>
      <c r="Q5699" s="8" t="s">
        <v>44</v>
      </c>
      <c r="R5699" s="10" t="s">
        <v>4285</v>
      </c>
      <c r="S5699" s="11"/>
      <c r="T5699" s="6"/>
      <c r="U5699" s="24" t="str">
        <f>HYPERLINK("https://media.infra-m.ru/2170/2170930/cover/2170930.jpg", "Обложка")</f>
        <v>Обложка</v>
      </c>
      <c r="V5699" s="24" t="str">
        <f>HYPERLINK("https://znanium.ru/catalog/product/1911127", "Ознакомиться")</f>
        <v>Ознакомиться</v>
      </c>
      <c r="W5699" s="8" t="s">
        <v>33187</v>
      </c>
      <c r="X5699" s="6"/>
      <c r="Y5699" s="6"/>
      <c r="Z5699" s="6"/>
      <c r="AA5699" s="6" t="s">
        <v>1365</v>
      </c>
      <c r="AB5699" s="8"/>
    </row>
    <row r="5700" spans="1:28" s="4" customFormat="1" ht="42" customHeight="1">
      <c r="A5700" s="5">
        <v>0</v>
      </c>
      <c r="B5700" s="6" t="s">
        <v>33402</v>
      </c>
      <c r="C5700" s="13">
        <v>1984</v>
      </c>
      <c r="D5700" s="8" t="s">
        <v>33403</v>
      </c>
      <c r="E5700" s="8" t="s">
        <v>33404</v>
      </c>
      <c r="F5700" s="8" t="s">
        <v>11593</v>
      </c>
      <c r="G5700" s="6" t="s">
        <v>52</v>
      </c>
      <c r="H5700" s="6" t="s">
        <v>53</v>
      </c>
      <c r="I5700" s="8" t="s">
        <v>90</v>
      </c>
      <c r="J5700" s="9">
        <v>1</v>
      </c>
      <c r="K5700" s="9">
        <v>432</v>
      </c>
      <c r="L5700" s="9">
        <v>2024</v>
      </c>
      <c r="M5700" s="8" t="s">
        <v>33405</v>
      </c>
      <c r="N5700" s="8" t="s">
        <v>56</v>
      </c>
      <c r="O5700" s="8" t="s">
        <v>4042</v>
      </c>
      <c r="P5700" s="6" t="s">
        <v>167</v>
      </c>
      <c r="Q5700" s="8" t="s">
        <v>44</v>
      </c>
      <c r="R5700" s="10" t="s">
        <v>4285</v>
      </c>
      <c r="S5700" s="11"/>
      <c r="T5700" s="6"/>
      <c r="U5700" s="24" t="str">
        <f>HYPERLINK("https://media.infra-m.ru/2130/2130079/cover/2130079.jpg", "Обложка")</f>
        <v>Обложка</v>
      </c>
      <c r="V5700" s="24" t="str">
        <f>HYPERLINK("https://znanium.ru/catalog/product/2130079", "Ознакомиться")</f>
        <v>Ознакомиться</v>
      </c>
      <c r="W5700" s="8" t="s">
        <v>11595</v>
      </c>
      <c r="X5700" s="6"/>
      <c r="Y5700" s="6"/>
      <c r="Z5700" s="6"/>
      <c r="AA5700" s="6" t="s">
        <v>377</v>
      </c>
      <c r="AB5700" s="8"/>
    </row>
    <row r="5701" spans="1:28" s="4" customFormat="1" ht="51.95" customHeight="1">
      <c r="A5701" s="5">
        <v>0</v>
      </c>
      <c r="B5701" s="6" t="s">
        <v>33406</v>
      </c>
      <c r="C5701" s="13">
        <v>2414</v>
      </c>
      <c r="D5701" s="8" t="s">
        <v>33407</v>
      </c>
      <c r="E5701" s="8" t="s">
        <v>33374</v>
      </c>
      <c r="F5701" s="8" t="s">
        <v>33220</v>
      </c>
      <c r="G5701" s="6" t="s">
        <v>52</v>
      </c>
      <c r="H5701" s="6" t="s">
        <v>674</v>
      </c>
      <c r="I5701" s="8"/>
      <c r="J5701" s="9">
        <v>1</v>
      </c>
      <c r="K5701" s="9">
        <v>536</v>
      </c>
      <c r="L5701" s="9">
        <v>2023</v>
      </c>
      <c r="M5701" s="8" t="s">
        <v>33408</v>
      </c>
      <c r="N5701" s="8" t="s">
        <v>56</v>
      </c>
      <c r="O5701" s="8" t="s">
        <v>4042</v>
      </c>
      <c r="P5701" s="6" t="s">
        <v>167</v>
      </c>
      <c r="Q5701" s="8" t="s">
        <v>214</v>
      </c>
      <c r="R5701" s="10" t="s">
        <v>33409</v>
      </c>
      <c r="S5701" s="11"/>
      <c r="T5701" s="6"/>
      <c r="U5701" s="24" t="str">
        <f>HYPERLINK("https://media.infra-m.ru/2043/2043247/cover/2043247.jpg", "Обложка")</f>
        <v>Обложка</v>
      </c>
      <c r="V5701" s="24" t="str">
        <f>HYPERLINK("https://znanium.ru/catalog/product/2043247", "Ознакомиться")</f>
        <v>Ознакомиться</v>
      </c>
      <c r="W5701" s="8" t="s">
        <v>792</v>
      </c>
      <c r="X5701" s="6"/>
      <c r="Y5701" s="6"/>
      <c r="Z5701" s="6"/>
      <c r="AA5701" s="6" t="s">
        <v>219</v>
      </c>
      <c r="AB5701" s="8"/>
    </row>
    <row r="5702" spans="1:28" s="4" customFormat="1" ht="42" customHeight="1">
      <c r="A5702" s="5">
        <v>0</v>
      </c>
      <c r="B5702" s="6" t="s">
        <v>33410</v>
      </c>
      <c r="C5702" s="13">
        <v>2484</v>
      </c>
      <c r="D5702" s="8" t="s">
        <v>33411</v>
      </c>
      <c r="E5702" s="8" t="s">
        <v>33374</v>
      </c>
      <c r="F5702" s="8" t="s">
        <v>33412</v>
      </c>
      <c r="G5702" s="6" t="s">
        <v>89</v>
      </c>
      <c r="H5702" s="6" t="s">
        <v>53</v>
      </c>
      <c r="I5702" s="8" t="s">
        <v>90</v>
      </c>
      <c r="J5702" s="9">
        <v>1</v>
      </c>
      <c r="K5702" s="9">
        <v>477</v>
      </c>
      <c r="L5702" s="9">
        <v>2025</v>
      </c>
      <c r="M5702" s="8" t="s">
        <v>33413</v>
      </c>
      <c r="N5702" s="8" t="s">
        <v>56</v>
      </c>
      <c r="O5702" s="8" t="s">
        <v>4042</v>
      </c>
      <c r="P5702" s="6" t="s">
        <v>167</v>
      </c>
      <c r="Q5702" s="8" t="s">
        <v>44</v>
      </c>
      <c r="R5702" s="10" t="s">
        <v>33414</v>
      </c>
      <c r="S5702" s="11"/>
      <c r="T5702" s="6"/>
      <c r="U5702" s="24" t="str">
        <f>HYPERLINK("https://media.infra-m.ru/2200/2200064/cover/2200064.jpg", "Обложка")</f>
        <v>Обложка</v>
      </c>
      <c r="V5702" s="24" t="str">
        <f>HYPERLINK("https://znanium.ru/catalog/product/1904352", "Ознакомиться")</f>
        <v>Ознакомиться</v>
      </c>
      <c r="W5702" s="8" t="s">
        <v>83</v>
      </c>
      <c r="X5702" s="6"/>
      <c r="Y5702" s="6"/>
      <c r="Z5702" s="6"/>
      <c r="AA5702" s="6" t="s">
        <v>219</v>
      </c>
      <c r="AB5702" s="8"/>
    </row>
    <row r="5703" spans="1:28" s="4" customFormat="1" ht="51.95" customHeight="1">
      <c r="A5703" s="5">
        <v>0</v>
      </c>
      <c r="B5703" s="6" t="s">
        <v>33415</v>
      </c>
      <c r="C5703" s="13">
        <v>2304</v>
      </c>
      <c r="D5703" s="8" t="s">
        <v>33416</v>
      </c>
      <c r="E5703" s="8" t="s">
        <v>33374</v>
      </c>
      <c r="F5703" s="8" t="s">
        <v>33417</v>
      </c>
      <c r="G5703" s="6" t="s">
        <v>52</v>
      </c>
      <c r="H5703" s="6" t="s">
        <v>53</v>
      </c>
      <c r="I5703" s="8" t="s">
        <v>212</v>
      </c>
      <c r="J5703" s="9">
        <v>1</v>
      </c>
      <c r="K5703" s="9">
        <v>461</v>
      </c>
      <c r="L5703" s="9">
        <v>2025</v>
      </c>
      <c r="M5703" s="8" t="s">
        <v>33418</v>
      </c>
      <c r="N5703" s="8" t="s">
        <v>56</v>
      </c>
      <c r="O5703" s="8" t="s">
        <v>4042</v>
      </c>
      <c r="P5703" s="6" t="s">
        <v>167</v>
      </c>
      <c r="Q5703" s="8" t="s">
        <v>214</v>
      </c>
      <c r="R5703" s="10" t="s">
        <v>33419</v>
      </c>
      <c r="S5703" s="11" t="s">
        <v>33420</v>
      </c>
      <c r="T5703" s="6"/>
      <c r="U5703" s="24" t="str">
        <f>HYPERLINK("https://media.infra-m.ru/2163/2163848/cover/2163848.jpg", "Обложка")</f>
        <v>Обложка</v>
      </c>
      <c r="V5703" s="24" t="str">
        <f>HYPERLINK("https://znanium.ru/catalog/product/2163188", "Ознакомиться")</f>
        <v>Ознакомиться</v>
      </c>
      <c r="W5703" s="8" t="s">
        <v>947</v>
      </c>
      <c r="X5703" s="6"/>
      <c r="Y5703" s="6"/>
      <c r="Z5703" s="6" t="s">
        <v>218</v>
      </c>
      <c r="AA5703" s="6" t="s">
        <v>219</v>
      </c>
      <c r="AB5703" s="8"/>
    </row>
    <row r="5704" spans="1:28" s="4" customFormat="1" ht="51.95" customHeight="1">
      <c r="A5704" s="5">
        <v>0</v>
      </c>
      <c r="B5704" s="6" t="s">
        <v>33421</v>
      </c>
      <c r="C5704" s="13">
        <v>2394</v>
      </c>
      <c r="D5704" s="8" t="s">
        <v>33422</v>
      </c>
      <c r="E5704" s="8" t="s">
        <v>33374</v>
      </c>
      <c r="F5704" s="8" t="s">
        <v>9552</v>
      </c>
      <c r="G5704" s="6" t="s">
        <v>89</v>
      </c>
      <c r="H5704" s="6" t="s">
        <v>53</v>
      </c>
      <c r="I5704" s="8" t="s">
        <v>90</v>
      </c>
      <c r="J5704" s="9">
        <v>1</v>
      </c>
      <c r="K5704" s="9">
        <v>461</v>
      </c>
      <c r="L5704" s="9">
        <v>2025</v>
      </c>
      <c r="M5704" s="8" t="s">
        <v>33423</v>
      </c>
      <c r="N5704" s="8" t="s">
        <v>56</v>
      </c>
      <c r="O5704" s="8" t="s">
        <v>4042</v>
      </c>
      <c r="P5704" s="6" t="s">
        <v>167</v>
      </c>
      <c r="Q5704" s="8" t="s">
        <v>44</v>
      </c>
      <c r="R5704" s="10" t="s">
        <v>4285</v>
      </c>
      <c r="S5704" s="11" t="s">
        <v>33424</v>
      </c>
      <c r="T5704" s="6"/>
      <c r="U5704" s="24" t="str">
        <f>HYPERLINK("https://media.infra-m.ru/2107/2107428/cover/2107428.jpg", "Обложка")</f>
        <v>Обложка</v>
      </c>
      <c r="V5704" s="24" t="str">
        <f>HYPERLINK("https://znanium.ru/catalog/product/1941769", "Ознакомиться")</f>
        <v>Ознакомиться</v>
      </c>
      <c r="W5704" s="8" t="s">
        <v>947</v>
      </c>
      <c r="X5704" s="6"/>
      <c r="Y5704" s="6"/>
      <c r="Z5704" s="6"/>
      <c r="AA5704" s="6" t="s">
        <v>47</v>
      </c>
      <c r="AB5704" s="8"/>
    </row>
    <row r="5705" spans="1:28" s="4" customFormat="1" ht="51.95" customHeight="1">
      <c r="A5705" s="5">
        <v>0</v>
      </c>
      <c r="B5705" s="6" t="s">
        <v>33425</v>
      </c>
      <c r="C5705" s="13">
        <v>1444</v>
      </c>
      <c r="D5705" s="8" t="s">
        <v>33426</v>
      </c>
      <c r="E5705" s="8" t="s">
        <v>33374</v>
      </c>
      <c r="F5705" s="8" t="s">
        <v>9027</v>
      </c>
      <c r="G5705" s="6" t="s">
        <v>52</v>
      </c>
      <c r="H5705" s="6" t="s">
        <v>77</v>
      </c>
      <c r="I5705" s="8"/>
      <c r="J5705" s="9">
        <v>1</v>
      </c>
      <c r="K5705" s="9">
        <v>313</v>
      </c>
      <c r="L5705" s="9">
        <v>2024</v>
      </c>
      <c r="M5705" s="8" t="s">
        <v>33427</v>
      </c>
      <c r="N5705" s="8" t="s">
        <v>56</v>
      </c>
      <c r="O5705" s="8" t="s">
        <v>4042</v>
      </c>
      <c r="P5705" s="6" t="s">
        <v>167</v>
      </c>
      <c r="Q5705" s="8" t="s">
        <v>44</v>
      </c>
      <c r="R5705" s="10" t="s">
        <v>33366</v>
      </c>
      <c r="S5705" s="11" t="s">
        <v>33428</v>
      </c>
      <c r="T5705" s="6"/>
      <c r="U5705" s="24" t="str">
        <f>HYPERLINK("https://media.infra-m.ru/2056/2056807/cover/2056807.jpg", "Обложка")</f>
        <v>Обложка</v>
      </c>
      <c r="V5705" s="24" t="str">
        <f>HYPERLINK("https://znanium.ru/catalog/product/2056807", "Ознакомиться")</f>
        <v>Ознакомиться</v>
      </c>
      <c r="W5705" s="8" t="s">
        <v>83</v>
      </c>
      <c r="X5705" s="6"/>
      <c r="Y5705" s="6"/>
      <c r="Z5705" s="6"/>
      <c r="AA5705" s="6" t="s">
        <v>2217</v>
      </c>
      <c r="AB5705" s="8"/>
    </row>
    <row r="5706" spans="1:28" s="4" customFormat="1" ht="42" customHeight="1">
      <c r="A5706" s="5">
        <v>0</v>
      </c>
      <c r="B5706" s="6" t="s">
        <v>33429</v>
      </c>
      <c r="C5706" s="7">
        <v>428</v>
      </c>
      <c r="D5706" s="8" t="s">
        <v>33430</v>
      </c>
      <c r="E5706" s="8" t="s">
        <v>33404</v>
      </c>
      <c r="F5706" s="8" t="s">
        <v>33431</v>
      </c>
      <c r="G5706" s="6" t="s">
        <v>38</v>
      </c>
      <c r="H5706" s="6" t="s">
        <v>184</v>
      </c>
      <c r="I5706" s="8" t="s">
        <v>10476</v>
      </c>
      <c r="J5706" s="9">
        <v>1</v>
      </c>
      <c r="K5706" s="9">
        <v>136</v>
      </c>
      <c r="L5706" s="9">
        <v>2024</v>
      </c>
      <c r="M5706" s="8" t="s">
        <v>33432</v>
      </c>
      <c r="N5706" s="8" t="s">
        <v>56</v>
      </c>
      <c r="O5706" s="8" t="s">
        <v>4042</v>
      </c>
      <c r="P5706" s="6" t="s">
        <v>43</v>
      </c>
      <c r="Q5706" s="8" t="s">
        <v>44</v>
      </c>
      <c r="R5706" s="10" t="s">
        <v>4285</v>
      </c>
      <c r="S5706" s="11"/>
      <c r="T5706" s="6"/>
      <c r="U5706" s="24" t="str">
        <f>HYPERLINK("https://media.infra-m.ru/2136/2136874/cover/2136874.jpg", "Обложка")</f>
        <v>Обложка</v>
      </c>
      <c r="V5706" s="24" t="str">
        <f>HYPERLINK("https://znanium.ru/catalog/product/2136874", "Ознакомиться")</f>
        <v>Ознакомиться</v>
      </c>
      <c r="W5706" s="8" t="s">
        <v>9014</v>
      </c>
      <c r="X5706" s="6"/>
      <c r="Y5706" s="6"/>
      <c r="Z5706" s="6"/>
      <c r="AA5706" s="6" t="s">
        <v>407</v>
      </c>
      <c r="AB5706" s="8"/>
    </row>
    <row r="5707" spans="1:28" s="4" customFormat="1" ht="51.95" customHeight="1">
      <c r="A5707" s="5">
        <v>0</v>
      </c>
      <c r="B5707" s="6" t="s">
        <v>33433</v>
      </c>
      <c r="C5707" s="7">
        <v>744</v>
      </c>
      <c r="D5707" s="8" t="s">
        <v>33434</v>
      </c>
      <c r="E5707" s="8" t="s">
        <v>33404</v>
      </c>
      <c r="F5707" s="8" t="s">
        <v>33435</v>
      </c>
      <c r="G5707" s="6" t="s">
        <v>52</v>
      </c>
      <c r="H5707" s="6" t="s">
        <v>53</v>
      </c>
      <c r="I5707" s="8" t="s">
        <v>90</v>
      </c>
      <c r="J5707" s="9">
        <v>1</v>
      </c>
      <c r="K5707" s="9">
        <v>162</v>
      </c>
      <c r="L5707" s="9">
        <v>2023</v>
      </c>
      <c r="M5707" s="8" t="s">
        <v>33436</v>
      </c>
      <c r="N5707" s="8" t="s">
        <v>56</v>
      </c>
      <c r="O5707" s="8" t="s">
        <v>4042</v>
      </c>
      <c r="P5707" s="6" t="s">
        <v>43</v>
      </c>
      <c r="Q5707" s="8" t="s">
        <v>44</v>
      </c>
      <c r="R5707" s="10" t="s">
        <v>4285</v>
      </c>
      <c r="S5707" s="11" t="s">
        <v>9412</v>
      </c>
      <c r="T5707" s="6"/>
      <c r="U5707" s="24" t="str">
        <f>HYPERLINK("https://media.infra-m.ru/2110/2110070/cover/2110070.jpg", "Обложка")</f>
        <v>Обложка</v>
      </c>
      <c r="V5707" s="24" t="str">
        <f>HYPERLINK("https://znanium.ru/catalog/product/1931512", "Ознакомиться")</f>
        <v>Ознакомиться</v>
      </c>
      <c r="W5707" s="8" t="s">
        <v>6117</v>
      </c>
      <c r="X5707" s="6"/>
      <c r="Y5707" s="6"/>
      <c r="Z5707" s="6"/>
      <c r="AA5707" s="6" t="s">
        <v>196</v>
      </c>
      <c r="AB5707" s="8"/>
    </row>
    <row r="5708" spans="1:28" s="4" customFormat="1" ht="51.95" customHeight="1">
      <c r="A5708" s="5">
        <v>0</v>
      </c>
      <c r="B5708" s="6" t="s">
        <v>33437</v>
      </c>
      <c r="C5708" s="7">
        <v>894</v>
      </c>
      <c r="D5708" s="8" t="s">
        <v>33438</v>
      </c>
      <c r="E5708" s="8" t="s">
        <v>33374</v>
      </c>
      <c r="F5708" s="8" t="s">
        <v>33439</v>
      </c>
      <c r="G5708" s="6" t="s">
        <v>89</v>
      </c>
      <c r="H5708" s="6" t="s">
        <v>53</v>
      </c>
      <c r="I5708" s="8" t="s">
        <v>90</v>
      </c>
      <c r="J5708" s="9">
        <v>1</v>
      </c>
      <c r="K5708" s="9">
        <v>180</v>
      </c>
      <c r="L5708" s="9">
        <v>2024</v>
      </c>
      <c r="M5708" s="8" t="s">
        <v>33440</v>
      </c>
      <c r="N5708" s="8" t="s">
        <v>56</v>
      </c>
      <c r="O5708" s="8" t="s">
        <v>4042</v>
      </c>
      <c r="P5708" s="6" t="s">
        <v>43</v>
      </c>
      <c r="Q5708" s="8" t="s">
        <v>44</v>
      </c>
      <c r="R5708" s="10" t="s">
        <v>4285</v>
      </c>
      <c r="S5708" s="11" t="s">
        <v>33441</v>
      </c>
      <c r="T5708" s="6"/>
      <c r="U5708" s="24" t="str">
        <f>HYPERLINK("https://media.infra-m.ru/2157/2157036/cover/2157036.jpg", "Обложка")</f>
        <v>Обложка</v>
      </c>
      <c r="V5708" s="24" t="str">
        <f>HYPERLINK("https://znanium.ru/catalog/product/1930709", "Ознакомиться")</f>
        <v>Ознакомиться</v>
      </c>
      <c r="W5708" s="8" t="s">
        <v>1544</v>
      </c>
      <c r="X5708" s="6"/>
      <c r="Y5708" s="6"/>
      <c r="Z5708" s="6"/>
      <c r="AA5708" s="6" t="s">
        <v>122</v>
      </c>
      <c r="AB5708" s="8"/>
    </row>
    <row r="5709" spans="1:28" s="4" customFormat="1" ht="51.95" customHeight="1">
      <c r="A5709" s="5">
        <v>0</v>
      </c>
      <c r="B5709" s="6" t="s">
        <v>33442</v>
      </c>
      <c r="C5709" s="7">
        <v>904</v>
      </c>
      <c r="D5709" s="8" t="s">
        <v>33443</v>
      </c>
      <c r="E5709" s="8" t="s">
        <v>33404</v>
      </c>
      <c r="F5709" s="8" t="s">
        <v>33439</v>
      </c>
      <c r="G5709" s="6" t="s">
        <v>89</v>
      </c>
      <c r="H5709" s="6" t="s">
        <v>53</v>
      </c>
      <c r="I5709" s="8" t="s">
        <v>90</v>
      </c>
      <c r="J5709" s="9">
        <v>1</v>
      </c>
      <c r="K5709" s="9">
        <v>180</v>
      </c>
      <c r="L5709" s="9">
        <v>2025</v>
      </c>
      <c r="M5709" s="8" t="s">
        <v>33440</v>
      </c>
      <c r="N5709" s="8" t="s">
        <v>56</v>
      </c>
      <c r="O5709" s="8" t="s">
        <v>4042</v>
      </c>
      <c r="P5709" s="6" t="s">
        <v>43</v>
      </c>
      <c r="Q5709" s="8" t="s">
        <v>44</v>
      </c>
      <c r="R5709" s="10" t="s">
        <v>4285</v>
      </c>
      <c r="S5709" s="11" t="s">
        <v>33441</v>
      </c>
      <c r="T5709" s="6"/>
      <c r="U5709" s="24" t="str">
        <f>HYPERLINK("https://media.infra-m.ru/2192/2192218/cover/2192218.jpg", "Обложка")</f>
        <v>Обложка</v>
      </c>
      <c r="V5709" s="24" t="str">
        <f>HYPERLINK("https://znanium.ru/catalog/product/1930709", "Ознакомиться")</f>
        <v>Ознакомиться</v>
      </c>
      <c r="W5709" s="8" t="s">
        <v>1544</v>
      </c>
      <c r="X5709" s="6"/>
      <c r="Y5709" s="6"/>
      <c r="Z5709" s="6"/>
      <c r="AA5709" s="6" t="s">
        <v>326</v>
      </c>
      <c r="AB5709" s="8"/>
    </row>
    <row r="5710" spans="1:28" s="4" customFormat="1" ht="51.95" customHeight="1">
      <c r="A5710" s="5">
        <v>0</v>
      </c>
      <c r="B5710" s="6" t="s">
        <v>33444</v>
      </c>
      <c r="C5710" s="7">
        <v>854.9</v>
      </c>
      <c r="D5710" s="8" t="s">
        <v>33445</v>
      </c>
      <c r="E5710" s="8" t="s">
        <v>33374</v>
      </c>
      <c r="F5710" s="8" t="s">
        <v>33446</v>
      </c>
      <c r="G5710" s="6" t="s">
        <v>89</v>
      </c>
      <c r="H5710" s="6" t="s">
        <v>53</v>
      </c>
      <c r="I5710" s="8" t="s">
        <v>90</v>
      </c>
      <c r="J5710" s="9">
        <v>1</v>
      </c>
      <c r="K5710" s="9">
        <v>190</v>
      </c>
      <c r="L5710" s="9">
        <v>2023</v>
      </c>
      <c r="M5710" s="8" t="s">
        <v>33447</v>
      </c>
      <c r="N5710" s="8" t="s">
        <v>56</v>
      </c>
      <c r="O5710" s="8" t="s">
        <v>4042</v>
      </c>
      <c r="P5710" s="6" t="s">
        <v>43</v>
      </c>
      <c r="Q5710" s="8" t="s">
        <v>44</v>
      </c>
      <c r="R5710" s="10" t="s">
        <v>4285</v>
      </c>
      <c r="S5710" s="11" t="s">
        <v>33448</v>
      </c>
      <c r="T5710" s="6"/>
      <c r="U5710" s="24" t="str">
        <f>HYPERLINK("https://media.infra-m.ru/2002/2002621/cover/2002621.jpg", "Обложка")</f>
        <v>Обложка</v>
      </c>
      <c r="V5710" s="24" t="str">
        <f>HYPERLINK("https://znanium.ru/catalog/product/2002621", "Ознакомиться")</f>
        <v>Ознакомиться</v>
      </c>
      <c r="W5710" s="8" t="s">
        <v>347</v>
      </c>
      <c r="X5710" s="6"/>
      <c r="Y5710" s="6"/>
      <c r="Z5710" s="6"/>
      <c r="AA5710" s="6" t="s">
        <v>151</v>
      </c>
      <c r="AB5710" s="8"/>
    </row>
    <row r="5711" spans="1:28" s="4" customFormat="1" ht="42" customHeight="1">
      <c r="A5711" s="5">
        <v>0</v>
      </c>
      <c r="B5711" s="6" t="s">
        <v>33449</v>
      </c>
      <c r="C5711" s="13">
        <v>1364.9</v>
      </c>
      <c r="D5711" s="8" t="s">
        <v>33450</v>
      </c>
      <c r="E5711" s="8" t="s">
        <v>33374</v>
      </c>
      <c r="F5711" s="8" t="s">
        <v>33451</v>
      </c>
      <c r="G5711" s="6" t="s">
        <v>52</v>
      </c>
      <c r="H5711" s="6" t="s">
        <v>53</v>
      </c>
      <c r="I5711" s="8" t="s">
        <v>90</v>
      </c>
      <c r="J5711" s="9">
        <v>1</v>
      </c>
      <c r="K5711" s="9">
        <v>304</v>
      </c>
      <c r="L5711" s="9">
        <v>2021</v>
      </c>
      <c r="M5711" s="8" t="s">
        <v>33452</v>
      </c>
      <c r="N5711" s="8" t="s">
        <v>56</v>
      </c>
      <c r="O5711" s="8" t="s">
        <v>4042</v>
      </c>
      <c r="P5711" s="6" t="s">
        <v>43</v>
      </c>
      <c r="Q5711" s="8" t="s">
        <v>44</v>
      </c>
      <c r="R5711" s="10" t="s">
        <v>4285</v>
      </c>
      <c r="S5711" s="11"/>
      <c r="T5711" s="6"/>
      <c r="U5711" s="24" t="str">
        <f>HYPERLINK("https://media.infra-m.ru/1189/1189957/cover/1189957.jpg", "Обложка")</f>
        <v>Обложка</v>
      </c>
      <c r="V5711" s="24" t="str">
        <f>HYPERLINK("https://znanium.ru/catalog/product/1920306", "Ознакомиться")</f>
        <v>Ознакомиться</v>
      </c>
      <c r="W5711" s="8" t="s">
        <v>8784</v>
      </c>
      <c r="X5711" s="6"/>
      <c r="Y5711" s="6"/>
      <c r="Z5711" s="6"/>
      <c r="AA5711" s="6" t="s">
        <v>47</v>
      </c>
      <c r="AB5711" s="8"/>
    </row>
    <row r="5712" spans="1:28" s="4" customFormat="1" ht="51.95" customHeight="1">
      <c r="A5712" s="5">
        <v>0</v>
      </c>
      <c r="B5712" s="6" t="s">
        <v>33453</v>
      </c>
      <c r="C5712" s="13">
        <v>1090</v>
      </c>
      <c r="D5712" s="8" t="s">
        <v>33454</v>
      </c>
      <c r="E5712" s="8" t="s">
        <v>33455</v>
      </c>
      <c r="F5712" s="8" t="s">
        <v>33456</v>
      </c>
      <c r="G5712" s="6" t="s">
        <v>89</v>
      </c>
      <c r="H5712" s="6" t="s">
        <v>53</v>
      </c>
      <c r="I5712" s="8" t="s">
        <v>2356</v>
      </c>
      <c r="J5712" s="9">
        <v>1</v>
      </c>
      <c r="K5712" s="9">
        <v>236</v>
      </c>
      <c r="L5712" s="9">
        <v>2024</v>
      </c>
      <c r="M5712" s="8" t="s">
        <v>33457</v>
      </c>
      <c r="N5712" s="8" t="s">
        <v>56</v>
      </c>
      <c r="O5712" s="8" t="s">
        <v>4042</v>
      </c>
      <c r="P5712" s="6" t="s">
        <v>43</v>
      </c>
      <c r="Q5712" s="8" t="s">
        <v>44</v>
      </c>
      <c r="R5712" s="10" t="s">
        <v>11529</v>
      </c>
      <c r="S5712" s="11" t="s">
        <v>33458</v>
      </c>
      <c r="T5712" s="6" t="s">
        <v>299</v>
      </c>
      <c r="U5712" s="24" t="str">
        <f>HYPERLINK("https://media.infra-m.ru/2104/2104869/cover/2104869.jpg", "Обложка")</f>
        <v>Обложка</v>
      </c>
      <c r="V5712" s="24" t="str">
        <f>HYPERLINK("https://znanium.ru/catalog/product/2104869", "Ознакомиться")</f>
        <v>Ознакомиться</v>
      </c>
      <c r="W5712" s="8" t="s">
        <v>1514</v>
      </c>
      <c r="X5712" s="6"/>
      <c r="Y5712" s="6"/>
      <c r="Z5712" s="6"/>
      <c r="AA5712" s="6" t="s">
        <v>1365</v>
      </c>
      <c r="AB5712" s="8"/>
    </row>
    <row r="5713" spans="1:28" s="4" customFormat="1" ht="51.95" customHeight="1">
      <c r="A5713" s="5">
        <v>0</v>
      </c>
      <c r="B5713" s="6" t="s">
        <v>33459</v>
      </c>
      <c r="C5713" s="7">
        <v>850</v>
      </c>
      <c r="D5713" s="8" t="s">
        <v>33460</v>
      </c>
      <c r="E5713" s="8" t="s">
        <v>33461</v>
      </c>
      <c r="F5713" s="8" t="s">
        <v>33462</v>
      </c>
      <c r="G5713" s="6" t="s">
        <v>38</v>
      </c>
      <c r="H5713" s="6" t="s">
        <v>77</v>
      </c>
      <c r="I5713" s="8" t="s">
        <v>77</v>
      </c>
      <c r="J5713" s="9">
        <v>1</v>
      </c>
      <c r="K5713" s="9">
        <v>274</v>
      </c>
      <c r="L5713" s="9">
        <v>2018</v>
      </c>
      <c r="M5713" s="8" t="s">
        <v>33463</v>
      </c>
      <c r="N5713" s="8" t="s">
        <v>56</v>
      </c>
      <c r="O5713" s="8" t="s">
        <v>4042</v>
      </c>
      <c r="P5713" s="6" t="s">
        <v>1046</v>
      </c>
      <c r="Q5713" s="8" t="s">
        <v>279</v>
      </c>
      <c r="R5713" s="10" t="s">
        <v>33464</v>
      </c>
      <c r="S5713" s="11"/>
      <c r="T5713" s="6"/>
      <c r="U5713" s="24" t="str">
        <f>HYPERLINK("https://media.infra-m.ru/0939/0939414/cover/939414.jpg", "Обложка")</f>
        <v>Обложка</v>
      </c>
      <c r="V5713" s="24" t="str">
        <f>HYPERLINK("https://znanium.ru/catalog/product/1760131", "Ознакомиться")</f>
        <v>Ознакомиться</v>
      </c>
      <c r="W5713" s="8" t="s">
        <v>150</v>
      </c>
      <c r="X5713" s="6"/>
      <c r="Y5713" s="6"/>
      <c r="Z5713" s="6"/>
      <c r="AA5713" s="6" t="s">
        <v>442</v>
      </c>
      <c r="AB5713" s="8"/>
    </row>
    <row r="5714" spans="1:28" s="4" customFormat="1" ht="51.95" customHeight="1">
      <c r="A5714" s="5">
        <v>0</v>
      </c>
      <c r="B5714" s="6" t="s">
        <v>33465</v>
      </c>
      <c r="C5714" s="7">
        <v>634.9</v>
      </c>
      <c r="D5714" s="8" t="s">
        <v>33466</v>
      </c>
      <c r="E5714" s="8" t="s">
        <v>33467</v>
      </c>
      <c r="F5714" s="8" t="s">
        <v>33468</v>
      </c>
      <c r="G5714" s="6" t="s">
        <v>38</v>
      </c>
      <c r="H5714" s="6" t="s">
        <v>53</v>
      </c>
      <c r="I5714" s="8" t="s">
        <v>90</v>
      </c>
      <c r="J5714" s="9">
        <v>1</v>
      </c>
      <c r="K5714" s="9">
        <v>141</v>
      </c>
      <c r="L5714" s="9">
        <v>2023</v>
      </c>
      <c r="M5714" s="8" t="s">
        <v>33469</v>
      </c>
      <c r="N5714" s="8" t="s">
        <v>41</v>
      </c>
      <c r="O5714" s="8" t="s">
        <v>118</v>
      </c>
      <c r="P5714" s="6" t="s">
        <v>43</v>
      </c>
      <c r="Q5714" s="8" t="s">
        <v>44</v>
      </c>
      <c r="R5714" s="10" t="s">
        <v>33470</v>
      </c>
      <c r="S5714" s="11"/>
      <c r="T5714" s="6"/>
      <c r="U5714" s="24" t="str">
        <f>HYPERLINK("https://media.infra-m.ru/1981/1981699/cover/1981699.jpg", "Обложка")</f>
        <v>Обложка</v>
      </c>
      <c r="V5714" s="24" t="str">
        <f>HYPERLINK("https://znanium.ru/catalog/product/1062671", "Ознакомиться")</f>
        <v>Ознакомиться</v>
      </c>
      <c r="W5714" s="8" t="s">
        <v>3002</v>
      </c>
      <c r="X5714" s="6"/>
      <c r="Y5714" s="6"/>
      <c r="Z5714" s="6"/>
      <c r="AA5714" s="6" t="s">
        <v>47</v>
      </c>
      <c r="AB5714" s="8"/>
    </row>
    <row r="5715" spans="1:28" s="4" customFormat="1" ht="42" customHeight="1">
      <c r="A5715" s="5">
        <v>0</v>
      </c>
      <c r="B5715" s="6" t="s">
        <v>33471</v>
      </c>
      <c r="C5715" s="13">
        <v>1490</v>
      </c>
      <c r="D5715" s="8" t="s">
        <v>33472</v>
      </c>
      <c r="E5715" s="8" t="s">
        <v>33473</v>
      </c>
      <c r="F5715" s="8" t="s">
        <v>2375</v>
      </c>
      <c r="G5715" s="6" t="s">
        <v>52</v>
      </c>
      <c r="H5715" s="6" t="s">
        <v>53</v>
      </c>
      <c r="I5715" s="8" t="s">
        <v>276</v>
      </c>
      <c r="J5715" s="9">
        <v>1</v>
      </c>
      <c r="K5715" s="9">
        <v>316</v>
      </c>
      <c r="L5715" s="9">
        <v>2024</v>
      </c>
      <c r="M5715" s="8" t="s">
        <v>33474</v>
      </c>
      <c r="N5715" s="8" t="s">
        <v>41</v>
      </c>
      <c r="O5715" s="8" t="s">
        <v>1007</v>
      </c>
      <c r="P5715" s="6" t="s">
        <v>167</v>
      </c>
      <c r="Q5715" s="8" t="s">
        <v>279</v>
      </c>
      <c r="R5715" s="10" t="s">
        <v>12502</v>
      </c>
      <c r="S5715" s="11"/>
      <c r="T5715" s="6"/>
      <c r="U5715" s="24" t="str">
        <f>HYPERLINK("https://media.infra-m.ru/1908/1908969/cover/1908969.jpg", "Обложка")</f>
        <v>Обложка</v>
      </c>
      <c r="V5715" s="24" t="str">
        <f>HYPERLINK("https://znanium.ru/catalog/product/1908969", "Ознакомиться")</f>
        <v>Ознакомиться</v>
      </c>
      <c r="W5715" s="8" t="s">
        <v>189</v>
      </c>
      <c r="X5715" s="6"/>
      <c r="Y5715" s="6"/>
      <c r="Z5715" s="6"/>
      <c r="AA5715" s="6" t="s">
        <v>133</v>
      </c>
      <c r="AB5715" s="8"/>
    </row>
    <row r="5716" spans="1:28" s="4" customFormat="1" ht="42" customHeight="1">
      <c r="A5716" s="5">
        <v>0</v>
      </c>
      <c r="B5716" s="6" t="s">
        <v>33475</v>
      </c>
      <c r="C5716" s="13">
        <v>1120</v>
      </c>
      <c r="D5716" s="8" t="s">
        <v>33476</v>
      </c>
      <c r="E5716" s="8" t="s">
        <v>33477</v>
      </c>
      <c r="F5716" s="8" t="s">
        <v>33478</v>
      </c>
      <c r="G5716" s="6" t="s">
        <v>89</v>
      </c>
      <c r="H5716" s="6" t="s">
        <v>53</v>
      </c>
      <c r="I5716" s="8" t="s">
        <v>116</v>
      </c>
      <c r="J5716" s="9">
        <v>1</v>
      </c>
      <c r="K5716" s="9">
        <v>225</v>
      </c>
      <c r="L5716" s="9">
        <v>2025</v>
      </c>
      <c r="M5716" s="8" t="s">
        <v>33479</v>
      </c>
      <c r="N5716" s="8" t="s">
        <v>41</v>
      </c>
      <c r="O5716" s="8" t="s">
        <v>1007</v>
      </c>
      <c r="P5716" s="6" t="s">
        <v>43</v>
      </c>
      <c r="Q5716" s="8" t="s">
        <v>44</v>
      </c>
      <c r="R5716" s="10" t="s">
        <v>13761</v>
      </c>
      <c r="S5716" s="11"/>
      <c r="T5716" s="6"/>
      <c r="U5716" s="24" t="str">
        <f>HYPERLINK("https://media.infra-m.ru/2161/2161435/cover/2161435.jpg", "Обложка")</f>
        <v>Обложка</v>
      </c>
      <c r="V5716" s="24" t="str">
        <f>HYPERLINK("https://znanium.ru/catalog/product/2161435", "Ознакомиться")</f>
        <v>Ознакомиться</v>
      </c>
      <c r="W5716" s="8" t="s">
        <v>2817</v>
      </c>
      <c r="X5716" s="6"/>
      <c r="Y5716" s="6"/>
      <c r="Z5716" s="6"/>
      <c r="AA5716" s="6" t="s">
        <v>207</v>
      </c>
      <c r="AB5716" s="8"/>
    </row>
    <row r="5717" spans="1:28" s="4" customFormat="1" ht="51.95" customHeight="1">
      <c r="A5717" s="5">
        <v>0</v>
      </c>
      <c r="B5717" s="6" t="s">
        <v>33480</v>
      </c>
      <c r="C5717" s="7">
        <v>734</v>
      </c>
      <c r="D5717" s="8" t="s">
        <v>33481</v>
      </c>
      <c r="E5717" s="8" t="s">
        <v>33482</v>
      </c>
      <c r="F5717" s="8" t="s">
        <v>33483</v>
      </c>
      <c r="G5717" s="6" t="s">
        <v>52</v>
      </c>
      <c r="H5717" s="6" t="s">
        <v>53</v>
      </c>
      <c r="I5717" s="8" t="s">
        <v>90</v>
      </c>
      <c r="J5717" s="9">
        <v>1</v>
      </c>
      <c r="K5717" s="9">
        <v>160</v>
      </c>
      <c r="L5717" s="9">
        <v>2024</v>
      </c>
      <c r="M5717" s="8" t="s">
        <v>33484</v>
      </c>
      <c r="N5717" s="8" t="s">
        <v>413</v>
      </c>
      <c r="O5717" s="8" t="s">
        <v>1141</v>
      </c>
      <c r="P5717" s="6" t="s">
        <v>43</v>
      </c>
      <c r="Q5717" s="8" t="s">
        <v>44</v>
      </c>
      <c r="R5717" s="10" t="s">
        <v>3378</v>
      </c>
      <c r="S5717" s="11" t="s">
        <v>33485</v>
      </c>
      <c r="T5717" s="6"/>
      <c r="U5717" s="24" t="str">
        <f>HYPERLINK("https://media.infra-m.ru/2103/2103127/cover/2103127.jpg", "Обложка")</f>
        <v>Обложка</v>
      </c>
      <c r="V5717" s="24" t="str">
        <f>HYPERLINK("https://znanium.ru/catalog/product/1044508", "Ознакомиться")</f>
        <v>Ознакомиться</v>
      </c>
      <c r="W5717" s="8" t="s">
        <v>189</v>
      </c>
      <c r="X5717" s="6"/>
      <c r="Y5717" s="6"/>
      <c r="Z5717" s="6"/>
      <c r="AA5717" s="6" t="s">
        <v>47</v>
      </c>
      <c r="AB5717" s="8"/>
    </row>
    <row r="5718" spans="1:28" s="4" customFormat="1" ht="51.95" customHeight="1">
      <c r="A5718" s="5">
        <v>0</v>
      </c>
      <c r="B5718" s="6" t="s">
        <v>33486</v>
      </c>
      <c r="C5718" s="13">
        <v>2400</v>
      </c>
      <c r="D5718" s="8" t="s">
        <v>33487</v>
      </c>
      <c r="E5718" s="8" t="s">
        <v>33482</v>
      </c>
      <c r="F5718" s="8" t="s">
        <v>33488</v>
      </c>
      <c r="G5718" s="6" t="s">
        <v>52</v>
      </c>
      <c r="H5718" s="6" t="s">
        <v>53</v>
      </c>
      <c r="I5718" s="8" t="s">
        <v>276</v>
      </c>
      <c r="J5718" s="9">
        <v>1</v>
      </c>
      <c r="K5718" s="9">
        <v>481</v>
      </c>
      <c r="L5718" s="9">
        <v>2025</v>
      </c>
      <c r="M5718" s="8" t="s">
        <v>33489</v>
      </c>
      <c r="N5718" s="8" t="s">
        <v>41</v>
      </c>
      <c r="O5718" s="8" t="s">
        <v>1007</v>
      </c>
      <c r="P5718" s="6" t="s">
        <v>43</v>
      </c>
      <c r="Q5718" s="8" t="s">
        <v>279</v>
      </c>
      <c r="R5718" s="10" t="s">
        <v>33490</v>
      </c>
      <c r="S5718" s="11" t="s">
        <v>33491</v>
      </c>
      <c r="T5718" s="6"/>
      <c r="U5718" s="24" t="str">
        <f>HYPERLINK("https://media.infra-m.ru/2157/2157043/cover/2157043.jpg", "Обложка")</f>
        <v>Обложка</v>
      </c>
      <c r="V5718" s="24" t="str">
        <f>HYPERLINK("https://znanium.ru/catalog/product/2157043", "Ознакомиться")</f>
        <v>Ознакомиться</v>
      </c>
      <c r="W5718" s="8" t="s">
        <v>83</v>
      </c>
      <c r="X5718" s="6"/>
      <c r="Y5718" s="6"/>
      <c r="Z5718" s="6"/>
      <c r="AA5718" s="6" t="s">
        <v>84</v>
      </c>
      <c r="AB5718" s="8"/>
    </row>
    <row r="5719" spans="1:28" s="4" customFormat="1" ht="51.95" customHeight="1">
      <c r="A5719" s="5">
        <v>0</v>
      </c>
      <c r="B5719" s="6" t="s">
        <v>33492</v>
      </c>
      <c r="C5719" s="13">
        <v>1200</v>
      </c>
      <c r="D5719" s="8" t="s">
        <v>33493</v>
      </c>
      <c r="E5719" s="8" t="s">
        <v>33494</v>
      </c>
      <c r="F5719" s="8" t="s">
        <v>2375</v>
      </c>
      <c r="G5719" s="6" t="s">
        <v>52</v>
      </c>
      <c r="H5719" s="6" t="s">
        <v>53</v>
      </c>
      <c r="I5719" s="8" t="s">
        <v>2959</v>
      </c>
      <c r="J5719" s="9">
        <v>1</v>
      </c>
      <c r="K5719" s="9">
        <v>258</v>
      </c>
      <c r="L5719" s="9">
        <v>2024</v>
      </c>
      <c r="M5719" s="8" t="s">
        <v>33495</v>
      </c>
      <c r="N5719" s="8" t="s">
        <v>41</v>
      </c>
      <c r="O5719" s="8" t="s">
        <v>118</v>
      </c>
      <c r="P5719" s="6" t="s">
        <v>167</v>
      </c>
      <c r="Q5719" s="8" t="s">
        <v>279</v>
      </c>
      <c r="R5719" s="10" t="s">
        <v>33496</v>
      </c>
      <c r="S5719" s="11" t="s">
        <v>33497</v>
      </c>
      <c r="T5719" s="6"/>
      <c r="U5719" s="24" t="str">
        <f>HYPERLINK("https://media.infra-m.ru/1989/1989243/cover/1989243.jpg", "Обложка")</f>
        <v>Обложка</v>
      </c>
      <c r="V5719" s="24" t="str">
        <f>HYPERLINK("https://znanium.ru/catalog/product/1989243", "Ознакомиться")</f>
        <v>Ознакомиться</v>
      </c>
      <c r="W5719" s="8" t="s">
        <v>189</v>
      </c>
      <c r="X5719" s="6"/>
      <c r="Y5719" s="6"/>
      <c r="Z5719" s="6"/>
      <c r="AA5719" s="6" t="s">
        <v>72</v>
      </c>
      <c r="AB5719" s="8"/>
    </row>
    <row r="5720" spans="1:28" s="4" customFormat="1" ht="51.95" customHeight="1">
      <c r="A5720" s="5">
        <v>0</v>
      </c>
      <c r="B5720" s="6" t="s">
        <v>33498</v>
      </c>
      <c r="C5720" s="7">
        <v>870</v>
      </c>
      <c r="D5720" s="8" t="s">
        <v>33499</v>
      </c>
      <c r="E5720" s="8" t="s">
        <v>33500</v>
      </c>
      <c r="F5720" s="8" t="s">
        <v>33501</v>
      </c>
      <c r="G5720" s="6" t="s">
        <v>89</v>
      </c>
      <c r="H5720" s="6" t="s">
        <v>53</v>
      </c>
      <c r="I5720" s="8" t="s">
        <v>90</v>
      </c>
      <c r="J5720" s="9">
        <v>1</v>
      </c>
      <c r="K5720" s="9">
        <v>193</v>
      </c>
      <c r="L5720" s="9">
        <v>2023</v>
      </c>
      <c r="M5720" s="8" t="s">
        <v>33502</v>
      </c>
      <c r="N5720" s="8" t="s">
        <v>41</v>
      </c>
      <c r="O5720" s="8" t="s">
        <v>6182</v>
      </c>
      <c r="P5720" s="6" t="s">
        <v>43</v>
      </c>
      <c r="Q5720" s="8" t="s">
        <v>44</v>
      </c>
      <c r="R5720" s="10" t="s">
        <v>33503</v>
      </c>
      <c r="S5720" s="11" t="s">
        <v>19413</v>
      </c>
      <c r="T5720" s="6"/>
      <c r="U5720" s="24" t="str">
        <f>HYPERLINK("https://media.infra-m.ru/1630/1630193/cover/1630193.jpg", "Обложка")</f>
        <v>Обложка</v>
      </c>
      <c r="V5720" s="12"/>
      <c r="W5720" s="8" t="s">
        <v>8428</v>
      </c>
      <c r="X5720" s="6"/>
      <c r="Y5720" s="6"/>
      <c r="Z5720" s="6"/>
      <c r="AA5720" s="6" t="s">
        <v>442</v>
      </c>
      <c r="AB5720" s="8"/>
    </row>
    <row r="5721" spans="1:28" s="4" customFormat="1" ht="51.95" customHeight="1">
      <c r="A5721" s="5">
        <v>0</v>
      </c>
      <c r="B5721" s="6" t="s">
        <v>33504</v>
      </c>
      <c r="C5721" s="13">
        <v>1234</v>
      </c>
      <c r="D5721" s="8" t="s">
        <v>33505</v>
      </c>
      <c r="E5721" s="8" t="s">
        <v>33506</v>
      </c>
      <c r="F5721" s="8" t="s">
        <v>33507</v>
      </c>
      <c r="G5721" s="6" t="s">
        <v>52</v>
      </c>
      <c r="H5721" s="6" t="s">
        <v>53</v>
      </c>
      <c r="I5721" s="8" t="s">
        <v>90</v>
      </c>
      <c r="J5721" s="9">
        <v>1</v>
      </c>
      <c r="K5721" s="9">
        <v>272</v>
      </c>
      <c r="L5721" s="9">
        <v>2023</v>
      </c>
      <c r="M5721" s="8" t="s">
        <v>33508</v>
      </c>
      <c r="N5721" s="8" t="s">
        <v>41</v>
      </c>
      <c r="O5721" s="8" t="s">
        <v>1007</v>
      </c>
      <c r="P5721" s="6" t="s">
        <v>43</v>
      </c>
      <c r="Q5721" s="8" t="s">
        <v>44</v>
      </c>
      <c r="R5721" s="10" t="s">
        <v>2461</v>
      </c>
      <c r="S5721" s="11" t="s">
        <v>33509</v>
      </c>
      <c r="T5721" s="6"/>
      <c r="U5721" s="24" t="str">
        <f>HYPERLINK("https://media.infra-m.ru/2021/2021418/cover/2021418.jpg", "Обложка")</f>
        <v>Обложка</v>
      </c>
      <c r="V5721" s="24" t="str">
        <f>HYPERLINK("https://znanium.ru/catalog/product/2021418", "Ознакомиться")</f>
        <v>Ознакомиться</v>
      </c>
      <c r="W5721" s="8" t="s">
        <v>33510</v>
      </c>
      <c r="X5721" s="6"/>
      <c r="Y5721" s="6"/>
      <c r="Z5721" s="6"/>
      <c r="AA5721" s="6" t="s">
        <v>707</v>
      </c>
      <c r="AB5721" s="8"/>
    </row>
    <row r="5722" spans="1:28" s="4" customFormat="1" ht="51.95" customHeight="1">
      <c r="A5722" s="5">
        <v>0</v>
      </c>
      <c r="B5722" s="6" t="s">
        <v>33511</v>
      </c>
      <c r="C5722" s="7">
        <v>530</v>
      </c>
      <c r="D5722" s="8" t="s">
        <v>33512</v>
      </c>
      <c r="E5722" s="8" t="s">
        <v>33513</v>
      </c>
      <c r="F5722" s="8" t="s">
        <v>33514</v>
      </c>
      <c r="G5722" s="6" t="s">
        <v>38</v>
      </c>
      <c r="H5722" s="6" t="s">
        <v>53</v>
      </c>
      <c r="I5722" s="8" t="s">
        <v>100</v>
      </c>
      <c r="J5722" s="9">
        <v>1</v>
      </c>
      <c r="K5722" s="9">
        <v>112</v>
      </c>
      <c r="L5722" s="9">
        <v>2023</v>
      </c>
      <c r="M5722" s="8" t="s">
        <v>33515</v>
      </c>
      <c r="N5722" s="8" t="s">
        <v>41</v>
      </c>
      <c r="O5722" s="8" t="s">
        <v>1007</v>
      </c>
      <c r="P5722" s="6" t="s">
        <v>43</v>
      </c>
      <c r="Q5722" s="8" t="s">
        <v>102</v>
      </c>
      <c r="R5722" s="10" t="s">
        <v>1349</v>
      </c>
      <c r="S5722" s="11" t="s">
        <v>16067</v>
      </c>
      <c r="T5722" s="6"/>
      <c r="U5722" s="24" t="str">
        <f>HYPERLINK("https://media.infra-m.ru/1998/1998740/cover/1998740.jpg", "Обложка")</f>
        <v>Обложка</v>
      </c>
      <c r="V5722" s="24" t="str">
        <f>HYPERLINK("https://znanium.ru/catalog/product/2198080", "Ознакомиться")</f>
        <v>Ознакомиться</v>
      </c>
      <c r="W5722" s="8" t="s">
        <v>243</v>
      </c>
      <c r="X5722" s="6"/>
      <c r="Y5722" s="6"/>
      <c r="Z5722" s="6" t="s">
        <v>104</v>
      </c>
      <c r="AA5722" s="6" t="s">
        <v>1259</v>
      </c>
      <c r="AB5722" s="8"/>
    </row>
    <row r="5723" spans="1:28" s="4" customFormat="1" ht="51.95" customHeight="1">
      <c r="A5723" s="5">
        <v>0</v>
      </c>
      <c r="B5723" s="6" t="s">
        <v>33516</v>
      </c>
      <c r="C5723" s="7">
        <v>660</v>
      </c>
      <c r="D5723" s="8" t="s">
        <v>33517</v>
      </c>
      <c r="E5723" s="8" t="s">
        <v>33518</v>
      </c>
      <c r="F5723" s="8" t="s">
        <v>33514</v>
      </c>
      <c r="G5723" s="6" t="s">
        <v>38</v>
      </c>
      <c r="H5723" s="6" t="s">
        <v>53</v>
      </c>
      <c r="I5723" s="8" t="s">
        <v>223</v>
      </c>
      <c r="J5723" s="9">
        <v>1</v>
      </c>
      <c r="K5723" s="9">
        <v>121</v>
      </c>
      <c r="L5723" s="9">
        <v>2025</v>
      </c>
      <c r="M5723" s="8" t="s">
        <v>33519</v>
      </c>
      <c r="N5723" s="8" t="s">
        <v>41</v>
      </c>
      <c r="O5723" s="8" t="s">
        <v>1007</v>
      </c>
      <c r="P5723" s="6" t="s">
        <v>43</v>
      </c>
      <c r="Q5723" s="8" t="s">
        <v>102</v>
      </c>
      <c r="R5723" s="10" t="s">
        <v>1349</v>
      </c>
      <c r="S5723" s="11" t="s">
        <v>16067</v>
      </c>
      <c r="T5723" s="6"/>
      <c r="U5723" s="24" t="str">
        <f>HYPERLINK("https://media.infra-m.ru/2198/2198080/cover/2198080.jpg", "Обложка")</f>
        <v>Обложка</v>
      </c>
      <c r="V5723" s="24" t="str">
        <f>HYPERLINK("https://znanium.ru/catalog/product/2198080", "Ознакомиться")</f>
        <v>Ознакомиться</v>
      </c>
      <c r="W5723" s="8" t="s">
        <v>243</v>
      </c>
      <c r="X5723" s="6" t="s">
        <v>60</v>
      </c>
      <c r="Y5723" s="6"/>
      <c r="Z5723" s="6" t="s">
        <v>104</v>
      </c>
      <c r="AA5723" s="6" t="s">
        <v>818</v>
      </c>
      <c r="AB5723" s="8"/>
    </row>
    <row r="5724" spans="1:28" s="4" customFormat="1" ht="51.95" customHeight="1">
      <c r="A5724" s="5">
        <v>0</v>
      </c>
      <c r="B5724" s="6" t="s">
        <v>33520</v>
      </c>
      <c r="C5724" s="7">
        <v>644</v>
      </c>
      <c r="D5724" s="8" t="s">
        <v>33521</v>
      </c>
      <c r="E5724" s="8" t="s">
        <v>33513</v>
      </c>
      <c r="F5724" s="8" t="s">
        <v>33514</v>
      </c>
      <c r="G5724" s="6" t="s">
        <v>89</v>
      </c>
      <c r="H5724" s="6" t="s">
        <v>53</v>
      </c>
      <c r="I5724" s="8" t="s">
        <v>1223</v>
      </c>
      <c r="J5724" s="9">
        <v>1</v>
      </c>
      <c r="K5724" s="9">
        <v>112</v>
      </c>
      <c r="L5724" s="9">
        <v>2024</v>
      </c>
      <c r="M5724" s="8" t="s">
        <v>33522</v>
      </c>
      <c r="N5724" s="8" t="s">
        <v>41</v>
      </c>
      <c r="O5724" s="8" t="s">
        <v>1007</v>
      </c>
      <c r="P5724" s="6" t="s">
        <v>43</v>
      </c>
      <c r="Q5724" s="8" t="s">
        <v>44</v>
      </c>
      <c r="R5724" s="10" t="s">
        <v>33523</v>
      </c>
      <c r="S5724" s="11" t="s">
        <v>33524</v>
      </c>
      <c r="T5724" s="6"/>
      <c r="U5724" s="24" t="str">
        <f>HYPERLINK("https://media.infra-m.ru/2129/2129185/cover/2129185.jpg", "Обложка")</f>
        <v>Обложка</v>
      </c>
      <c r="V5724" s="24" t="str">
        <f>HYPERLINK("https://znanium.ru/catalog/product/2201160", "Ознакомиться")</f>
        <v>Ознакомиться</v>
      </c>
      <c r="W5724" s="8" t="s">
        <v>243</v>
      </c>
      <c r="X5724" s="6"/>
      <c r="Y5724" s="6"/>
      <c r="Z5724" s="6"/>
      <c r="AA5724" s="6" t="s">
        <v>1374</v>
      </c>
      <c r="AB5724" s="8"/>
    </row>
    <row r="5725" spans="1:28" s="4" customFormat="1" ht="44.1" customHeight="1">
      <c r="A5725" s="5">
        <v>0</v>
      </c>
      <c r="B5725" s="6" t="s">
        <v>33525</v>
      </c>
      <c r="C5725" s="7">
        <v>700</v>
      </c>
      <c r="D5725" s="8" t="s">
        <v>33526</v>
      </c>
      <c r="E5725" s="8" t="s">
        <v>33518</v>
      </c>
      <c r="F5725" s="8" t="s">
        <v>33527</v>
      </c>
      <c r="G5725" s="6" t="s">
        <v>52</v>
      </c>
      <c r="H5725" s="6" t="s">
        <v>53</v>
      </c>
      <c r="I5725" s="8" t="s">
        <v>165</v>
      </c>
      <c r="J5725" s="9">
        <v>1</v>
      </c>
      <c r="K5725" s="9">
        <v>121</v>
      </c>
      <c r="L5725" s="9">
        <v>2024</v>
      </c>
      <c r="M5725" s="8" t="s">
        <v>33528</v>
      </c>
      <c r="N5725" s="8" t="s">
        <v>41</v>
      </c>
      <c r="O5725" s="8" t="s">
        <v>1007</v>
      </c>
      <c r="P5725" s="6" t="s">
        <v>43</v>
      </c>
      <c r="Q5725" s="8" t="s">
        <v>44</v>
      </c>
      <c r="R5725" s="10" t="s">
        <v>33523</v>
      </c>
      <c r="S5725" s="11"/>
      <c r="T5725" s="6"/>
      <c r="U5725" s="24" t="str">
        <f>HYPERLINK("https://media.infra-m.ru/2134/2134525/cover/2134525.jpg", "Обложка")</f>
        <v>Обложка</v>
      </c>
      <c r="V5725" s="24" t="str">
        <f>HYPERLINK("https://znanium.ru/catalog/product/2201160", "Ознакомиться")</f>
        <v>Ознакомиться</v>
      </c>
      <c r="W5725" s="8" t="s">
        <v>243</v>
      </c>
      <c r="X5725" s="6" t="s">
        <v>1049</v>
      </c>
      <c r="Y5725" s="6"/>
      <c r="Z5725" s="6"/>
      <c r="AA5725" s="6" t="s">
        <v>3787</v>
      </c>
      <c r="AB5725" s="8"/>
    </row>
    <row r="5726" spans="1:28" s="4" customFormat="1" ht="44.1" customHeight="1">
      <c r="A5726" s="5">
        <v>0</v>
      </c>
      <c r="B5726" s="6" t="s">
        <v>33529</v>
      </c>
      <c r="C5726" s="7">
        <v>320</v>
      </c>
      <c r="D5726" s="8" t="s">
        <v>33530</v>
      </c>
      <c r="E5726" s="8" t="s">
        <v>33531</v>
      </c>
      <c r="F5726" s="8" t="s">
        <v>33532</v>
      </c>
      <c r="G5726" s="6" t="s">
        <v>38</v>
      </c>
      <c r="H5726" s="6" t="s">
        <v>77</v>
      </c>
      <c r="I5726" s="8"/>
      <c r="J5726" s="9">
        <v>1</v>
      </c>
      <c r="K5726" s="9">
        <v>96</v>
      </c>
      <c r="L5726" s="9">
        <v>2018</v>
      </c>
      <c r="M5726" s="8" t="s">
        <v>33533</v>
      </c>
      <c r="N5726" s="8" t="s">
        <v>41</v>
      </c>
      <c r="O5726" s="8" t="s">
        <v>1007</v>
      </c>
      <c r="P5726" s="6" t="s">
        <v>43</v>
      </c>
      <c r="Q5726" s="8" t="s">
        <v>44</v>
      </c>
      <c r="R5726" s="10" t="s">
        <v>33523</v>
      </c>
      <c r="S5726" s="11"/>
      <c r="T5726" s="6"/>
      <c r="U5726" s="24" t="str">
        <f>HYPERLINK("https://media.infra-m.ru/0945/0945891/cover/945891.jpg", "Обложка")</f>
        <v>Обложка</v>
      </c>
      <c r="V5726" s="24" t="str">
        <f>HYPERLINK("https://znanium.ru/catalog/product/2201160", "Ознакомиться")</f>
        <v>Ознакомиться</v>
      </c>
      <c r="W5726" s="8" t="s">
        <v>243</v>
      </c>
      <c r="X5726" s="6"/>
      <c r="Y5726" s="6"/>
      <c r="Z5726" s="6"/>
      <c r="AA5726" s="6" t="s">
        <v>418</v>
      </c>
      <c r="AB5726" s="8"/>
    </row>
    <row r="5727" spans="1:28" s="4" customFormat="1" ht="42" customHeight="1">
      <c r="A5727" s="5">
        <v>0</v>
      </c>
      <c r="B5727" s="6" t="s">
        <v>33534</v>
      </c>
      <c r="C5727" s="13">
        <v>2320</v>
      </c>
      <c r="D5727" s="8" t="s">
        <v>33535</v>
      </c>
      <c r="E5727" s="8" t="s">
        <v>33536</v>
      </c>
      <c r="F5727" s="8" t="s">
        <v>33537</v>
      </c>
      <c r="G5727" s="6" t="s">
        <v>52</v>
      </c>
      <c r="H5727" s="6" t="s">
        <v>674</v>
      </c>
      <c r="I5727" s="8"/>
      <c r="J5727" s="9">
        <v>1</v>
      </c>
      <c r="K5727" s="9">
        <v>504</v>
      </c>
      <c r="L5727" s="9">
        <v>2023</v>
      </c>
      <c r="M5727" s="8" t="s">
        <v>33538</v>
      </c>
      <c r="N5727" s="8" t="s">
        <v>41</v>
      </c>
      <c r="O5727" s="8" t="s">
        <v>676</v>
      </c>
      <c r="P5727" s="6" t="s">
        <v>167</v>
      </c>
      <c r="Q5727" s="8" t="s">
        <v>44</v>
      </c>
      <c r="R5727" s="10" t="s">
        <v>11333</v>
      </c>
      <c r="S5727" s="11"/>
      <c r="T5727" s="6"/>
      <c r="U5727" s="24" t="str">
        <f>HYPERLINK("https://media.infra-m.ru/2053/2053974/cover/2053974.jpg", "Обложка")</f>
        <v>Обложка</v>
      </c>
      <c r="V5727" s="24" t="str">
        <f>HYPERLINK("https://znanium.ru/catalog/product/2155009", "Ознакомиться")</f>
        <v>Ознакомиться</v>
      </c>
      <c r="W5727" s="8" t="s">
        <v>7139</v>
      </c>
      <c r="X5727" s="6"/>
      <c r="Y5727" s="6"/>
      <c r="Z5727" s="6"/>
      <c r="AA5727" s="6" t="s">
        <v>33539</v>
      </c>
      <c r="AB5727" s="8"/>
    </row>
    <row r="5728" spans="1:28" s="4" customFormat="1" ht="42" customHeight="1">
      <c r="A5728" s="5">
        <v>0</v>
      </c>
      <c r="B5728" s="6" t="s">
        <v>33540</v>
      </c>
      <c r="C5728" s="7">
        <v>874.9</v>
      </c>
      <c r="D5728" s="8" t="s">
        <v>33541</v>
      </c>
      <c r="E5728" s="8" t="s">
        <v>33542</v>
      </c>
      <c r="F5728" s="8" t="s">
        <v>33543</v>
      </c>
      <c r="G5728" s="6" t="s">
        <v>52</v>
      </c>
      <c r="H5728" s="6" t="s">
        <v>674</v>
      </c>
      <c r="I5728" s="8"/>
      <c r="J5728" s="9">
        <v>1</v>
      </c>
      <c r="K5728" s="9">
        <v>624</v>
      </c>
      <c r="L5728" s="9">
        <v>2016</v>
      </c>
      <c r="M5728" s="8" t="s">
        <v>33544</v>
      </c>
      <c r="N5728" s="8" t="s">
        <v>41</v>
      </c>
      <c r="O5728" s="8" t="s">
        <v>676</v>
      </c>
      <c r="P5728" s="6" t="s">
        <v>167</v>
      </c>
      <c r="Q5728" s="8" t="s">
        <v>44</v>
      </c>
      <c r="R5728" s="10" t="s">
        <v>11333</v>
      </c>
      <c r="S5728" s="11"/>
      <c r="T5728" s="6"/>
      <c r="U5728" s="24" t="str">
        <f>HYPERLINK("https://media.infra-m.ru/0552/0552513/cover/552513.jpg", "Обложка")</f>
        <v>Обложка</v>
      </c>
      <c r="V5728" s="24" t="str">
        <f>HYPERLINK("https://znanium.ru/catalog/product/2155009", "Ознакомиться")</f>
        <v>Ознакомиться</v>
      </c>
      <c r="W5728" s="8" t="s">
        <v>7139</v>
      </c>
      <c r="X5728" s="6"/>
      <c r="Y5728" s="6"/>
      <c r="Z5728" s="6"/>
      <c r="AA5728" s="6" t="s">
        <v>9405</v>
      </c>
      <c r="AB5728" s="8"/>
    </row>
    <row r="5729" spans="1:28" s="4" customFormat="1" ht="42" customHeight="1">
      <c r="A5729" s="5">
        <v>0</v>
      </c>
      <c r="B5729" s="6" t="s">
        <v>33545</v>
      </c>
      <c r="C5729" s="13">
        <v>2840</v>
      </c>
      <c r="D5729" s="8" t="s">
        <v>33546</v>
      </c>
      <c r="E5729" s="8" t="s">
        <v>33547</v>
      </c>
      <c r="F5729" s="8" t="s">
        <v>33537</v>
      </c>
      <c r="G5729" s="6" t="s">
        <v>52</v>
      </c>
      <c r="H5729" s="6" t="s">
        <v>674</v>
      </c>
      <c r="I5729" s="8"/>
      <c r="J5729" s="9">
        <v>1</v>
      </c>
      <c r="K5729" s="9">
        <v>568</v>
      </c>
      <c r="L5729" s="9">
        <v>2025</v>
      </c>
      <c r="M5729" s="8" t="s">
        <v>33548</v>
      </c>
      <c r="N5729" s="8" t="s">
        <v>41</v>
      </c>
      <c r="O5729" s="8" t="s">
        <v>676</v>
      </c>
      <c r="P5729" s="6" t="s">
        <v>167</v>
      </c>
      <c r="Q5729" s="8" t="s">
        <v>44</v>
      </c>
      <c r="R5729" s="10" t="s">
        <v>11333</v>
      </c>
      <c r="S5729" s="11"/>
      <c r="T5729" s="6"/>
      <c r="U5729" s="24" t="str">
        <f>HYPERLINK("https://media.infra-m.ru/2155/2155009/cover/2155009.jpg", "Обложка")</f>
        <v>Обложка</v>
      </c>
      <c r="V5729" s="24" t="str">
        <f>HYPERLINK("https://znanium.ru/catalog/product/2155009", "Ознакомиться")</f>
        <v>Ознакомиться</v>
      </c>
      <c r="W5729" s="8" t="s">
        <v>7139</v>
      </c>
      <c r="X5729" s="6"/>
      <c r="Y5729" s="6"/>
      <c r="Z5729" s="6"/>
      <c r="AA5729" s="6" t="s">
        <v>25850</v>
      </c>
      <c r="AB5729" s="8"/>
    </row>
    <row r="5730" spans="1:28" s="4" customFormat="1" ht="42" customHeight="1">
      <c r="A5730" s="5">
        <v>0</v>
      </c>
      <c r="B5730" s="6" t="s">
        <v>33549</v>
      </c>
      <c r="C5730" s="13">
        <v>1224.9000000000001</v>
      </c>
      <c r="D5730" s="8" t="s">
        <v>33550</v>
      </c>
      <c r="E5730" s="8" t="s">
        <v>33551</v>
      </c>
      <c r="F5730" s="8" t="s">
        <v>33552</v>
      </c>
      <c r="G5730" s="6" t="s">
        <v>89</v>
      </c>
      <c r="H5730" s="6" t="s">
        <v>674</v>
      </c>
      <c r="I5730" s="8" t="s">
        <v>5900</v>
      </c>
      <c r="J5730" s="9">
        <v>1</v>
      </c>
      <c r="K5730" s="9">
        <v>272</v>
      </c>
      <c r="L5730" s="9">
        <v>2023</v>
      </c>
      <c r="M5730" s="8" t="s">
        <v>33553</v>
      </c>
      <c r="N5730" s="8" t="s">
        <v>41</v>
      </c>
      <c r="O5730" s="8" t="s">
        <v>676</v>
      </c>
      <c r="P5730" s="6" t="s">
        <v>167</v>
      </c>
      <c r="Q5730" s="8" t="s">
        <v>102</v>
      </c>
      <c r="R5730" s="10" t="s">
        <v>256</v>
      </c>
      <c r="S5730" s="11"/>
      <c r="T5730" s="6"/>
      <c r="U5730" s="24" t="str">
        <f>HYPERLINK("https://media.infra-m.ru/1893/1893953/cover/1893953.jpg", "Обложка")</f>
        <v>Обложка</v>
      </c>
      <c r="V5730" s="24" t="str">
        <f>HYPERLINK("https://znanium.ru/catalog/product/2066409", "Ознакомиться")</f>
        <v>Ознакомиться</v>
      </c>
      <c r="W5730" s="8" t="s">
        <v>792</v>
      </c>
      <c r="X5730" s="6"/>
      <c r="Y5730" s="6"/>
      <c r="Z5730" s="6"/>
      <c r="AA5730" s="6" t="s">
        <v>7605</v>
      </c>
      <c r="AB5730" s="8"/>
    </row>
    <row r="5731" spans="1:28" s="4" customFormat="1" ht="42" customHeight="1">
      <c r="A5731" s="5">
        <v>0</v>
      </c>
      <c r="B5731" s="6" t="s">
        <v>33554</v>
      </c>
      <c r="C5731" s="13">
        <v>1330</v>
      </c>
      <c r="D5731" s="8" t="s">
        <v>33555</v>
      </c>
      <c r="E5731" s="8" t="s">
        <v>33556</v>
      </c>
      <c r="F5731" s="8" t="s">
        <v>33552</v>
      </c>
      <c r="G5731" s="6" t="s">
        <v>89</v>
      </c>
      <c r="H5731" s="6" t="s">
        <v>674</v>
      </c>
      <c r="I5731" s="8" t="s">
        <v>5900</v>
      </c>
      <c r="J5731" s="9">
        <v>1</v>
      </c>
      <c r="K5731" s="9">
        <v>256</v>
      </c>
      <c r="L5731" s="9">
        <v>2025</v>
      </c>
      <c r="M5731" s="8" t="s">
        <v>33557</v>
      </c>
      <c r="N5731" s="8" t="s">
        <v>41</v>
      </c>
      <c r="O5731" s="8" t="s">
        <v>676</v>
      </c>
      <c r="P5731" s="6" t="s">
        <v>167</v>
      </c>
      <c r="Q5731" s="8" t="s">
        <v>102</v>
      </c>
      <c r="R5731" s="10" t="s">
        <v>256</v>
      </c>
      <c r="S5731" s="11"/>
      <c r="T5731" s="6"/>
      <c r="U5731" s="24" t="str">
        <f>HYPERLINK("https://media.infra-m.ru/2170/2170385/cover/2170385.jpg", "Обложка")</f>
        <v>Обложка</v>
      </c>
      <c r="V5731" s="24" t="str">
        <f>HYPERLINK("https://znanium.ru/catalog/product/2066409", "Ознакомиться")</f>
        <v>Ознакомиться</v>
      </c>
      <c r="W5731" s="8" t="s">
        <v>792</v>
      </c>
      <c r="X5731" s="6"/>
      <c r="Y5731" s="6"/>
      <c r="Z5731" s="6"/>
      <c r="AA5731" s="6" t="s">
        <v>33558</v>
      </c>
      <c r="AB5731" s="8"/>
    </row>
    <row r="5732" spans="1:28" s="4" customFormat="1" ht="51.95" customHeight="1">
      <c r="A5732" s="5">
        <v>0</v>
      </c>
      <c r="B5732" s="6" t="s">
        <v>33559</v>
      </c>
      <c r="C5732" s="13">
        <v>2500</v>
      </c>
      <c r="D5732" s="8" t="s">
        <v>33560</v>
      </c>
      <c r="E5732" s="8" t="s">
        <v>33556</v>
      </c>
      <c r="F5732" s="8" t="s">
        <v>33561</v>
      </c>
      <c r="G5732" s="6" t="s">
        <v>52</v>
      </c>
      <c r="H5732" s="6" t="s">
        <v>674</v>
      </c>
      <c r="I5732" s="8"/>
      <c r="J5732" s="9">
        <v>1</v>
      </c>
      <c r="K5732" s="9">
        <v>800</v>
      </c>
      <c r="L5732" s="9">
        <v>2025</v>
      </c>
      <c r="M5732" s="8" t="s">
        <v>33562</v>
      </c>
      <c r="N5732" s="8" t="s">
        <v>41</v>
      </c>
      <c r="O5732" s="8" t="s">
        <v>676</v>
      </c>
      <c r="P5732" s="6" t="s">
        <v>167</v>
      </c>
      <c r="Q5732" s="8" t="s">
        <v>44</v>
      </c>
      <c r="R5732" s="10" t="s">
        <v>2736</v>
      </c>
      <c r="S5732" s="11" t="s">
        <v>33563</v>
      </c>
      <c r="T5732" s="6"/>
      <c r="U5732" s="24" t="str">
        <f>HYPERLINK("https://media.infra-m.ru/2162/2162889/cover/2162889.jpg", "Обложка")</f>
        <v>Обложка</v>
      </c>
      <c r="V5732" s="24" t="str">
        <f>HYPERLINK("https://znanium.ru/catalog/product/1008406", "Ознакомиться")</f>
        <v>Ознакомиться</v>
      </c>
      <c r="W5732" s="8" t="s">
        <v>33564</v>
      </c>
      <c r="X5732" s="6"/>
      <c r="Y5732" s="6"/>
      <c r="Z5732" s="6"/>
      <c r="AA5732" s="6" t="s">
        <v>5325</v>
      </c>
      <c r="AB5732" s="8"/>
    </row>
    <row r="5733" spans="1:28" s="4" customFormat="1" ht="51.95" customHeight="1">
      <c r="A5733" s="5">
        <v>0</v>
      </c>
      <c r="B5733" s="6" t="s">
        <v>33565</v>
      </c>
      <c r="C5733" s="7">
        <v>800</v>
      </c>
      <c r="D5733" s="8" t="s">
        <v>33566</v>
      </c>
      <c r="E5733" s="8" t="s">
        <v>33567</v>
      </c>
      <c r="F5733" s="8" t="s">
        <v>33568</v>
      </c>
      <c r="G5733" s="6" t="s">
        <v>89</v>
      </c>
      <c r="H5733" s="6" t="s">
        <v>184</v>
      </c>
      <c r="I5733" s="8"/>
      <c r="J5733" s="9">
        <v>1</v>
      </c>
      <c r="K5733" s="9">
        <v>176</v>
      </c>
      <c r="L5733" s="9">
        <v>2022</v>
      </c>
      <c r="M5733" s="8" t="s">
        <v>33569</v>
      </c>
      <c r="N5733" s="8" t="s">
        <v>41</v>
      </c>
      <c r="O5733" s="8" t="s">
        <v>676</v>
      </c>
      <c r="P5733" s="6" t="s">
        <v>43</v>
      </c>
      <c r="Q5733" s="8" t="s">
        <v>44</v>
      </c>
      <c r="R5733" s="10" t="s">
        <v>13621</v>
      </c>
      <c r="S5733" s="11" t="s">
        <v>33570</v>
      </c>
      <c r="T5733" s="6"/>
      <c r="U5733" s="24" t="str">
        <f>HYPERLINK("https://media.infra-m.ru/1949/1949065/cover/1949065.jpg", "Обложка")</f>
        <v>Обложка</v>
      </c>
      <c r="V5733" s="24" t="str">
        <f>HYPERLINK("https://znanium.ru/catalog/product/1911128", "Ознакомиться")</f>
        <v>Ознакомиться</v>
      </c>
      <c r="W5733" s="8" t="s">
        <v>20435</v>
      </c>
      <c r="X5733" s="6"/>
      <c r="Y5733" s="6"/>
      <c r="Z5733" s="6"/>
      <c r="AA5733" s="6" t="s">
        <v>111</v>
      </c>
      <c r="AB5733" s="8"/>
    </row>
    <row r="5734" spans="1:28" s="4" customFormat="1" ht="51.95" customHeight="1">
      <c r="A5734" s="5">
        <v>0</v>
      </c>
      <c r="B5734" s="6" t="s">
        <v>33571</v>
      </c>
      <c r="C5734" s="7">
        <v>974.9</v>
      </c>
      <c r="D5734" s="8" t="s">
        <v>33572</v>
      </c>
      <c r="E5734" s="8" t="s">
        <v>33573</v>
      </c>
      <c r="F5734" s="8" t="s">
        <v>33574</v>
      </c>
      <c r="G5734" s="6" t="s">
        <v>52</v>
      </c>
      <c r="H5734" s="6" t="s">
        <v>649</v>
      </c>
      <c r="I5734" s="8" t="s">
        <v>185</v>
      </c>
      <c r="J5734" s="9">
        <v>1</v>
      </c>
      <c r="K5734" s="9">
        <v>288</v>
      </c>
      <c r="L5734" s="9">
        <v>2020</v>
      </c>
      <c r="M5734" s="8" t="s">
        <v>33575</v>
      </c>
      <c r="N5734" s="8" t="s">
        <v>41</v>
      </c>
      <c r="O5734" s="8" t="s">
        <v>676</v>
      </c>
      <c r="P5734" s="6" t="s">
        <v>43</v>
      </c>
      <c r="Q5734" s="8" t="s">
        <v>102</v>
      </c>
      <c r="R5734" s="10" t="s">
        <v>33576</v>
      </c>
      <c r="S5734" s="11" t="s">
        <v>33577</v>
      </c>
      <c r="T5734" s="6"/>
      <c r="U5734" s="24" t="str">
        <f>HYPERLINK("https://media.infra-m.ru/1052/1052235/cover/1052235.jpg", "Обложка")</f>
        <v>Обложка</v>
      </c>
      <c r="V5734" s="24" t="str">
        <f>HYPERLINK("https://znanium.ru/catalog/product/1052235", "Ознакомиться")</f>
        <v>Ознакомиться</v>
      </c>
      <c r="W5734" s="8" t="s">
        <v>1345</v>
      </c>
      <c r="X5734" s="6"/>
      <c r="Y5734" s="6"/>
      <c r="Z5734" s="6"/>
      <c r="AA5734" s="6" t="s">
        <v>244</v>
      </c>
      <c r="AB5734" s="8"/>
    </row>
    <row r="5735" spans="1:28" s="4" customFormat="1" ht="51.95" customHeight="1">
      <c r="A5735" s="5">
        <v>0</v>
      </c>
      <c r="B5735" s="6" t="s">
        <v>33578</v>
      </c>
      <c r="C5735" s="13">
        <v>2990</v>
      </c>
      <c r="D5735" s="8" t="s">
        <v>33579</v>
      </c>
      <c r="E5735" s="8" t="s">
        <v>33580</v>
      </c>
      <c r="F5735" s="8" t="s">
        <v>33581</v>
      </c>
      <c r="G5735" s="6" t="s">
        <v>52</v>
      </c>
      <c r="H5735" s="6" t="s">
        <v>674</v>
      </c>
      <c r="I5735" s="8"/>
      <c r="J5735" s="9">
        <v>1</v>
      </c>
      <c r="K5735" s="9">
        <v>648</v>
      </c>
      <c r="L5735" s="9">
        <v>2025</v>
      </c>
      <c r="M5735" s="8" t="s">
        <v>33582</v>
      </c>
      <c r="N5735" s="8" t="s">
        <v>41</v>
      </c>
      <c r="O5735" s="8" t="s">
        <v>676</v>
      </c>
      <c r="P5735" s="6" t="s">
        <v>167</v>
      </c>
      <c r="Q5735" s="8" t="s">
        <v>44</v>
      </c>
      <c r="R5735" s="10" t="s">
        <v>969</v>
      </c>
      <c r="S5735" s="11" t="s">
        <v>10505</v>
      </c>
      <c r="T5735" s="6"/>
      <c r="U5735" s="24" t="str">
        <f>HYPERLINK("https://media.infra-m.ru/2185/2185889/cover/2185889.jpg", "Обложка")</f>
        <v>Обложка</v>
      </c>
      <c r="V5735" s="24" t="str">
        <f>HYPERLINK("https://znanium.ru/catalog/product/2185889", "Ознакомиться")</f>
        <v>Ознакомиться</v>
      </c>
      <c r="W5735" s="8" t="s">
        <v>22331</v>
      </c>
      <c r="X5735" s="6"/>
      <c r="Y5735" s="6"/>
      <c r="Z5735" s="6"/>
      <c r="AA5735" s="6" t="s">
        <v>1382</v>
      </c>
      <c r="AB5735" s="8"/>
    </row>
    <row r="5736" spans="1:28" s="4" customFormat="1" ht="42" customHeight="1">
      <c r="A5736" s="5">
        <v>0</v>
      </c>
      <c r="B5736" s="6" t="s">
        <v>33583</v>
      </c>
      <c r="C5736" s="13">
        <v>1254</v>
      </c>
      <c r="D5736" s="8" t="s">
        <v>33584</v>
      </c>
      <c r="E5736" s="8" t="s">
        <v>33585</v>
      </c>
      <c r="F5736" s="8" t="s">
        <v>33586</v>
      </c>
      <c r="G5736" s="6" t="s">
        <v>52</v>
      </c>
      <c r="H5736" s="6" t="s">
        <v>1738</v>
      </c>
      <c r="I5736" s="8" t="s">
        <v>1171</v>
      </c>
      <c r="J5736" s="9">
        <v>1</v>
      </c>
      <c r="K5736" s="9">
        <v>240</v>
      </c>
      <c r="L5736" s="9">
        <v>2025</v>
      </c>
      <c r="M5736" s="8" t="s">
        <v>33587</v>
      </c>
      <c r="N5736" s="8" t="s">
        <v>41</v>
      </c>
      <c r="O5736" s="8" t="s">
        <v>118</v>
      </c>
      <c r="P5736" s="6" t="s">
        <v>43</v>
      </c>
      <c r="Q5736" s="8" t="s">
        <v>44</v>
      </c>
      <c r="R5736" s="10" t="s">
        <v>33588</v>
      </c>
      <c r="S5736" s="11"/>
      <c r="T5736" s="6"/>
      <c r="U5736" s="24" t="str">
        <f>HYPERLINK("https://media.infra-m.ru/2194/2194362/cover/2194362.jpg", "Обложка")</f>
        <v>Обложка</v>
      </c>
      <c r="V5736" s="24" t="str">
        <f>HYPERLINK("https://znanium.ru/catalog/product/1003847", "Ознакомиться")</f>
        <v>Ознакомиться</v>
      </c>
      <c r="W5736" s="8" t="s">
        <v>913</v>
      </c>
      <c r="X5736" s="6"/>
      <c r="Y5736" s="6"/>
      <c r="Z5736" s="6"/>
      <c r="AA5736" s="6" t="s">
        <v>84</v>
      </c>
      <c r="AB5736" s="8"/>
    </row>
    <row r="5737" spans="1:28" s="4" customFormat="1" ht="51.95" customHeight="1">
      <c r="A5737" s="5">
        <v>0</v>
      </c>
      <c r="B5737" s="6" t="s">
        <v>33589</v>
      </c>
      <c r="C5737" s="13">
        <v>1664</v>
      </c>
      <c r="D5737" s="8" t="s">
        <v>33590</v>
      </c>
      <c r="E5737" s="8" t="s">
        <v>33591</v>
      </c>
      <c r="F5737" s="8" t="s">
        <v>1354</v>
      </c>
      <c r="G5737" s="6" t="s">
        <v>89</v>
      </c>
      <c r="H5737" s="6" t="s">
        <v>53</v>
      </c>
      <c r="I5737" s="8" t="s">
        <v>90</v>
      </c>
      <c r="J5737" s="9">
        <v>1</v>
      </c>
      <c r="K5737" s="9">
        <v>320</v>
      </c>
      <c r="L5737" s="9">
        <v>2025</v>
      </c>
      <c r="M5737" s="8" t="s">
        <v>33592</v>
      </c>
      <c r="N5737" s="8" t="s">
        <v>41</v>
      </c>
      <c r="O5737" s="8" t="s">
        <v>1007</v>
      </c>
      <c r="P5737" s="6" t="s">
        <v>43</v>
      </c>
      <c r="Q5737" s="8" t="s">
        <v>44</v>
      </c>
      <c r="R5737" s="10" t="s">
        <v>3372</v>
      </c>
      <c r="S5737" s="11" t="s">
        <v>33593</v>
      </c>
      <c r="T5737" s="6"/>
      <c r="U5737" s="24" t="str">
        <f>HYPERLINK("https://media.infra-m.ru/2192/2192157/cover/2192157.jpg", "Обложка")</f>
        <v>Обложка</v>
      </c>
      <c r="V5737" s="24" t="str">
        <f>HYPERLINK("https://znanium.ru/catalog/product/2126801", "Ознакомиться")</f>
        <v>Ознакомиться</v>
      </c>
      <c r="W5737" s="8" t="s">
        <v>1358</v>
      </c>
      <c r="X5737" s="6"/>
      <c r="Y5737" s="6"/>
      <c r="Z5737" s="6"/>
      <c r="AA5737" s="6" t="s">
        <v>122</v>
      </c>
      <c r="AB5737" s="8"/>
    </row>
    <row r="5738" spans="1:28" s="4" customFormat="1" ht="44.1" customHeight="1">
      <c r="A5738" s="5">
        <v>0</v>
      </c>
      <c r="B5738" s="6" t="s">
        <v>33594</v>
      </c>
      <c r="C5738" s="13">
        <v>2380</v>
      </c>
      <c r="D5738" s="8" t="s">
        <v>33595</v>
      </c>
      <c r="E5738" s="8" t="s">
        <v>33596</v>
      </c>
      <c r="F5738" s="8" t="s">
        <v>33597</v>
      </c>
      <c r="G5738" s="6" t="s">
        <v>52</v>
      </c>
      <c r="H5738" s="6" t="s">
        <v>53</v>
      </c>
      <c r="I5738" s="8" t="s">
        <v>100</v>
      </c>
      <c r="J5738" s="9">
        <v>1</v>
      </c>
      <c r="K5738" s="9">
        <v>473</v>
      </c>
      <c r="L5738" s="9">
        <v>2025</v>
      </c>
      <c r="M5738" s="8" t="s">
        <v>33598</v>
      </c>
      <c r="N5738" s="8" t="s">
        <v>41</v>
      </c>
      <c r="O5738" s="8" t="s">
        <v>1007</v>
      </c>
      <c r="P5738" s="6" t="s">
        <v>43</v>
      </c>
      <c r="Q5738" s="8" t="s">
        <v>102</v>
      </c>
      <c r="R5738" s="10" t="s">
        <v>33599</v>
      </c>
      <c r="S5738" s="11"/>
      <c r="T5738" s="6" t="s">
        <v>299</v>
      </c>
      <c r="U5738" s="24" t="str">
        <f>HYPERLINK("https://media.infra-m.ru/2035/2035512/cover/2035512.jpg", "Обложка")</f>
        <v>Обложка</v>
      </c>
      <c r="V5738" s="24" t="str">
        <f>HYPERLINK("https://znanium.ru/catalog/product/2035512", "Ознакомиться")</f>
        <v>Ознакомиться</v>
      </c>
      <c r="W5738" s="8" t="s">
        <v>33600</v>
      </c>
      <c r="X5738" s="6" t="s">
        <v>548</v>
      </c>
      <c r="Y5738" s="6"/>
      <c r="Z5738" s="6"/>
      <c r="AA5738" s="6" t="s">
        <v>61</v>
      </c>
      <c r="AB5738" s="8"/>
    </row>
    <row r="5739" spans="1:28" s="4" customFormat="1" ht="51.95" customHeight="1">
      <c r="A5739" s="5">
        <v>0</v>
      </c>
      <c r="B5739" s="6" t="s">
        <v>33601</v>
      </c>
      <c r="C5739" s="13">
        <v>1874</v>
      </c>
      <c r="D5739" s="8" t="s">
        <v>33602</v>
      </c>
      <c r="E5739" s="8" t="s">
        <v>33603</v>
      </c>
      <c r="F5739" s="8" t="s">
        <v>33604</v>
      </c>
      <c r="G5739" s="6" t="s">
        <v>52</v>
      </c>
      <c r="H5739" s="6" t="s">
        <v>53</v>
      </c>
      <c r="I5739" s="8" t="s">
        <v>90</v>
      </c>
      <c r="J5739" s="9">
        <v>1</v>
      </c>
      <c r="K5739" s="9">
        <v>408</v>
      </c>
      <c r="L5739" s="9">
        <v>2024</v>
      </c>
      <c r="M5739" s="8" t="s">
        <v>33605</v>
      </c>
      <c r="N5739" s="8" t="s">
        <v>413</v>
      </c>
      <c r="O5739" s="8" t="s">
        <v>1141</v>
      </c>
      <c r="P5739" s="6" t="s">
        <v>43</v>
      </c>
      <c r="Q5739" s="8" t="s">
        <v>44</v>
      </c>
      <c r="R5739" s="10" t="s">
        <v>33606</v>
      </c>
      <c r="S5739" s="11" t="s">
        <v>11276</v>
      </c>
      <c r="T5739" s="6"/>
      <c r="U5739" s="24" t="str">
        <f>HYPERLINK("https://media.infra-m.ru/2053/2053237/cover/2053237.jpg", "Обложка")</f>
        <v>Обложка</v>
      </c>
      <c r="V5739" s="24" t="str">
        <f>HYPERLINK("https://znanium.ru/catalog/product/1228806", "Ознакомиться")</f>
        <v>Ознакомиться</v>
      </c>
      <c r="W5739" s="8" t="s">
        <v>1345</v>
      </c>
      <c r="X5739" s="6"/>
      <c r="Y5739" s="6"/>
      <c r="Z5739" s="6"/>
      <c r="AA5739" s="6" t="s">
        <v>2193</v>
      </c>
      <c r="AB5739" s="8"/>
    </row>
    <row r="5740" spans="1:28" s="4" customFormat="1" ht="42" customHeight="1">
      <c r="A5740" s="5">
        <v>0</v>
      </c>
      <c r="B5740" s="6" t="s">
        <v>33607</v>
      </c>
      <c r="C5740" s="13">
        <v>1200</v>
      </c>
      <c r="D5740" s="8" t="s">
        <v>33608</v>
      </c>
      <c r="E5740" s="8" t="s">
        <v>33609</v>
      </c>
      <c r="F5740" s="8" t="s">
        <v>33610</v>
      </c>
      <c r="G5740" s="6" t="s">
        <v>89</v>
      </c>
      <c r="H5740" s="6" t="s">
        <v>184</v>
      </c>
      <c r="I5740" s="8" t="s">
        <v>116</v>
      </c>
      <c r="J5740" s="9">
        <v>1</v>
      </c>
      <c r="K5740" s="9">
        <v>267</v>
      </c>
      <c r="L5740" s="9">
        <v>2023</v>
      </c>
      <c r="M5740" s="8" t="s">
        <v>33611</v>
      </c>
      <c r="N5740" s="8" t="s">
        <v>41</v>
      </c>
      <c r="O5740" s="8" t="s">
        <v>1007</v>
      </c>
      <c r="P5740" s="6" t="s">
        <v>43</v>
      </c>
      <c r="Q5740" s="8" t="s">
        <v>58</v>
      </c>
      <c r="R5740" s="10" t="s">
        <v>33612</v>
      </c>
      <c r="S5740" s="11"/>
      <c r="T5740" s="6"/>
      <c r="U5740" s="24" t="str">
        <f>HYPERLINK("https://media.infra-m.ru/1939/1939084/cover/1939084.jpg", "Обложка")</f>
        <v>Обложка</v>
      </c>
      <c r="V5740" s="24" t="str">
        <f>HYPERLINK("https://znanium.ru/catalog/product/1939084", "Ознакомиться")</f>
        <v>Ознакомиться</v>
      </c>
      <c r="W5740" s="8" t="s">
        <v>2392</v>
      </c>
      <c r="X5740" s="6"/>
      <c r="Y5740" s="6"/>
      <c r="Z5740" s="6"/>
      <c r="AA5740" s="6" t="s">
        <v>151</v>
      </c>
      <c r="AB5740" s="8"/>
    </row>
    <row r="5741" spans="1:28" s="4" customFormat="1" ht="51.95" customHeight="1">
      <c r="A5741" s="5">
        <v>0</v>
      </c>
      <c r="B5741" s="6" t="s">
        <v>33613</v>
      </c>
      <c r="C5741" s="7">
        <v>454.9</v>
      </c>
      <c r="D5741" s="8" t="s">
        <v>33614</v>
      </c>
      <c r="E5741" s="8" t="s">
        <v>33615</v>
      </c>
      <c r="F5741" s="8" t="s">
        <v>33478</v>
      </c>
      <c r="G5741" s="6" t="s">
        <v>52</v>
      </c>
      <c r="H5741" s="6" t="s">
        <v>53</v>
      </c>
      <c r="I5741" s="8" t="s">
        <v>90</v>
      </c>
      <c r="J5741" s="9">
        <v>1</v>
      </c>
      <c r="K5741" s="9">
        <v>135</v>
      </c>
      <c r="L5741" s="9">
        <v>2020</v>
      </c>
      <c r="M5741" s="8" t="s">
        <v>33616</v>
      </c>
      <c r="N5741" s="8" t="s">
        <v>41</v>
      </c>
      <c r="O5741" s="8" t="s">
        <v>1007</v>
      </c>
      <c r="P5741" s="6" t="s">
        <v>43</v>
      </c>
      <c r="Q5741" s="8" t="s">
        <v>44</v>
      </c>
      <c r="R5741" s="10" t="s">
        <v>3893</v>
      </c>
      <c r="S5741" s="11" t="s">
        <v>21280</v>
      </c>
      <c r="T5741" s="6"/>
      <c r="U5741" s="24" t="str">
        <f>HYPERLINK("https://media.infra-m.ru/1045/1045806/cover/1045806.jpg", "Обложка")</f>
        <v>Обложка</v>
      </c>
      <c r="V5741" s="24" t="str">
        <f>HYPERLINK("https://znanium.ru/catalog/product/914116", "Ознакомиться")</f>
        <v>Ознакомиться</v>
      </c>
      <c r="W5741" s="8" t="s">
        <v>2817</v>
      </c>
      <c r="X5741" s="6"/>
      <c r="Y5741" s="6"/>
      <c r="Z5741" s="6"/>
      <c r="AA5741" s="6" t="s">
        <v>442</v>
      </c>
      <c r="AB5741" s="8"/>
    </row>
    <row r="5742" spans="1:28" s="4" customFormat="1" ht="51.95" customHeight="1">
      <c r="A5742" s="5">
        <v>0</v>
      </c>
      <c r="B5742" s="6" t="s">
        <v>33617</v>
      </c>
      <c r="C5742" s="7">
        <v>430</v>
      </c>
      <c r="D5742" s="8" t="s">
        <v>33618</v>
      </c>
      <c r="E5742" s="8" t="s">
        <v>33615</v>
      </c>
      <c r="F5742" s="8" t="s">
        <v>33478</v>
      </c>
      <c r="G5742" s="6" t="s">
        <v>52</v>
      </c>
      <c r="H5742" s="6" t="s">
        <v>53</v>
      </c>
      <c r="I5742" s="8" t="s">
        <v>100</v>
      </c>
      <c r="J5742" s="9">
        <v>1</v>
      </c>
      <c r="K5742" s="9">
        <v>135</v>
      </c>
      <c r="L5742" s="9">
        <v>2019</v>
      </c>
      <c r="M5742" s="8" t="s">
        <v>33619</v>
      </c>
      <c r="N5742" s="8" t="s">
        <v>41</v>
      </c>
      <c r="O5742" s="8" t="s">
        <v>1007</v>
      </c>
      <c r="P5742" s="6" t="s">
        <v>43</v>
      </c>
      <c r="Q5742" s="8" t="s">
        <v>102</v>
      </c>
      <c r="R5742" s="10" t="s">
        <v>33599</v>
      </c>
      <c r="S5742" s="11" t="s">
        <v>12289</v>
      </c>
      <c r="T5742" s="6"/>
      <c r="U5742" s="24" t="str">
        <f>HYPERLINK("https://media.infra-m.ru/1029/1029651/cover/1029651.jpg", "Обложка")</f>
        <v>Обложка</v>
      </c>
      <c r="V5742" s="24" t="str">
        <f>HYPERLINK("https://znanium.ru/catalog/product/1029651", "Ознакомиться")</f>
        <v>Ознакомиться</v>
      </c>
      <c r="W5742" s="8" t="s">
        <v>2817</v>
      </c>
      <c r="X5742" s="6"/>
      <c r="Y5742" s="6"/>
      <c r="Z5742" s="6" t="s">
        <v>104</v>
      </c>
      <c r="AA5742" s="6" t="s">
        <v>258</v>
      </c>
      <c r="AB5742" s="8"/>
    </row>
    <row r="5743" spans="1:28" s="4" customFormat="1" ht="51.95" customHeight="1">
      <c r="A5743" s="5">
        <v>0</v>
      </c>
      <c r="B5743" s="6" t="s">
        <v>33620</v>
      </c>
      <c r="C5743" s="13">
        <v>1924</v>
      </c>
      <c r="D5743" s="8" t="s">
        <v>33621</v>
      </c>
      <c r="E5743" s="8" t="s">
        <v>33622</v>
      </c>
      <c r="F5743" s="8" t="s">
        <v>33623</v>
      </c>
      <c r="G5743" s="6" t="s">
        <v>89</v>
      </c>
      <c r="H5743" s="6" t="s">
        <v>39</v>
      </c>
      <c r="I5743" s="8" t="s">
        <v>90</v>
      </c>
      <c r="J5743" s="9">
        <v>1</v>
      </c>
      <c r="K5743" s="9">
        <v>384</v>
      </c>
      <c r="L5743" s="9">
        <v>2025</v>
      </c>
      <c r="M5743" s="8" t="s">
        <v>33624</v>
      </c>
      <c r="N5743" s="8" t="s">
        <v>41</v>
      </c>
      <c r="O5743" s="8" t="s">
        <v>1007</v>
      </c>
      <c r="P5743" s="6" t="s">
        <v>43</v>
      </c>
      <c r="Q5743" s="8" t="s">
        <v>44</v>
      </c>
      <c r="R5743" s="10" t="s">
        <v>33625</v>
      </c>
      <c r="S5743" s="11" t="s">
        <v>120</v>
      </c>
      <c r="T5743" s="6"/>
      <c r="U5743" s="24" t="str">
        <f>HYPERLINK("https://media.infra-m.ru/2187/2187442/cover/2187442.jpg", "Обложка")</f>
        <v>Обложка</v>
      </c>
      <c r="V5743" s="24" t="str">
        <f>HYPERLINK("https://znanium.ru/catalog/product/1945432", "Ознакомиться")</f>
        <v>Ознакомиться</v>
      </c>
      <c r="W5743" s="8" t="s">
        <v>4109</v>
      </c>
      <c r="X5743" s="6"/>
      <c r="Y5743" s="6"/>
      <c r="Z5743" s="6"/>
      <c r="AA5743" s="6" t="s">
        <v>418</v>
      </c>
      <c r="AB5743" s="8"/>
    </row>
    <row r="5744" spans="1:28" s="4" customFormat="1" ht="51.95" customHeight="1">
      <c r="A5744" s="5">
        <v>0</v>
      </c>
      <c r="B5744" s="6" t="s">
        <v>33626</v>
      </c>
      <c r="C5744" s="7">
        <v>820</v>
      </c>
      <c r="D5744" s="8" t="s">
        <v>33627</v>
      </c>
      <c r="E5744" s="8" t="s">
        <v>33628</v>
      </c>
      <c r="F5744" s="8" t="s">
        <v>33629</v>
      </c>
      <c r="G5744" s="6" t="s">
        <v>89</v>
      </c>
      <c r="H5744" s="6" t="s">
        <v>53</v>
      </c>
      <c r="I5744" s="8" t="s">
        <v>165</v>
      </c>
      <c r="J5744" s="9">
        <v>1</v>
      </c>
      <c r="K5744" s="9">
        <v>168</v>
      </c>
      <c r="L5744" s="9">
        <v>2023</v>
      </c>
      <c r="M5744" s="8" t="s">
        <v>33630</v>
      </c>
      <c r="N5744" s="8" t="s">
        <v>41</v>
      </c>
      <c r="O5744" s="8" t="s">
        <v>1007</v>
      </c>
      <c r="P5744" s="6" t="s">
        <v>43</v>
      </c>
      <c r="Q5744" s="8" t="s">
        <v>44</v>
      </c>
      <c r="R5744" s="10" t="s">
        <v>1400</v>
      </c>
      <c r="S5744" s="11" t="s">
        <v>33631</v>
      </c>
      <c r="T5744" s="6"/>
      <c r="U5744" s="24" t="str">
        <f>HYPERLINK("https://media.infra-m.ru/2049/2049699/cover/2049699.jpg", "Обложка")</f>
        <v>Обложка</v>
      </c>
      <c r="V5744" s="24" t="str">
        <f>HYPERLINK("https://znanium.ru/catalog/product/2049699", "Ознакомиться")</f>
        <v>Ознакомиться</v>
      </c>
      <c r="W5744" s="8" t="s">
        <v>33632</v>
      </c>
      <c r="X5744" s="6"/>
      <c r="Y5744" s="6"/>
      <c r="Z5744" s="6"/>
      <c r="AA5744" s="6" t="s">
        <v>793</v>
      </c>
      <c r="AB5744" s="8"/>
    </row>
    <row r="5745" spans="1:28" s="4" customFormat="1" ht="51.95" customHeight="1">
      <c r="A5745" s="5">
        <v>0</v>
      </c>
      <c r="B5745" s="6" t="s">
        <v>33633</v>
      </c>
      <c r="C5745" s="13">
        <v>1394.9</v>
      </c>
      <c r="D5745" s="8" t="s">
        <v>33634</v>
      </c>
      <c r="E5745" s="8" t="s">
        <v>33635</v>
      </c>
      <c r="F5745" s="8" t="s">
        <v>33636</v>
      </c>
      <c r="G5745" s="6" t="s">
        <v>52</v>
      </c>
      <c r="H5745" s="6" t="s">
        <v>53</v>
      </c>
      <c r="I5745" s="8" t="s">
        <v>90</v>
      </c>
      <c r="J5745" s="9">
        <v>1</v>
      </c>
      <c r="K5745" s="9">
        <v>366</v>
      </c>
      <c r="L5745" s="9">
        <v>2022</v>
      </c>
      <c r="M5745" s="8" t="s">
        <v>33637</v>
      </c>
      <c r="N5745" s="8" t="s">
        <v>41</v>
      </c>
      <c r="O5745" s="8" t="s">
        <v>1007</v>
      </c>
      <c r="P5745" s="6" t="s">
        <v>43</v>
      </c>
      <c r="Q5745" s="8" t="s">
        <v>44</v>
      </c>
      <c r="R5745" s="10" t="s">
        <v>1008</v>
      </c>
      <c r="S5745" s="11" t="s">
        <v>33638</v>
      </c>
      <c r="T5745" s="6"/>
      <c r="U5745" s="24" t="str">
        <f>HYPERLINK("https://media.infra-m.ru/1851/1851328/cover/1851328.jpg", "Обложка")</f>
        <v>Обложка</v>
      </c>
      <c r="V5745" s="24" t="str">
        <f>HYPERLINK("https://znanium.ru/catalog/product/1851328", "Ознакомиться")</f>
        <v>Ознакомиться</v>
      </c>
      <c r="W5745" s="8" t="s">
        <v>83</v>
      </c>
      <c r="X5745" s="6"/>
      <c r="Y5745" s="6"/>
      <c r="Z5745" s="6"/>
      <c r="AA5745" s="6" t="s">
        <v>122</v>
      </c>
      <c r="AB5745" s="8"/>
    </row>
    <row r="5746" spans="1:28" s="4" customFormat="1" ht="51.95" customHeight="1">
      <c r="A5746" s="5">
        <v>0</v>
      </c>
      <c r="B5746" s="6" t="s">
        <v>33639</v>
      </c>
      <c r="C5746" s="13">
        <v>1150</v>
      </c>
      <c r="D5746" s="8" t="s">
        <v>33640</v>
      </c>
      <c r="E5746" s="8" t="s">
        <v>33641</v>
      </c>
      <c r="F5746" s="8" t="s">
        <v>33629</v>
      </c>
      <c r="G5746" s="6" t="s">
        <v>89</v>
      </c>
      <c r="H5746" s="6" t="s">
        <v>53</v>
      </c>
      <c r="I5746" s="8" t="s">
        <v>165</v>
      </c>
      <c r="J5746" s="9">
        <v>1</v>
      </c>
      <c r="K5746" s="9">
        <v>245</v>
      </c>
      <c r="L5746" s="9">
        <v>2024</v>
      </c>
      <c r="M5746" s="8" t="s">
        <v>33642</v>
      </c>
      <c r="N5746" s="8" t="s">
        <v>41</v>
      </c>
      <c r="O5746" s="8" t="s">
        <v>1007</v>
      </c>
      <c r="P5746" s="6" t="s">
        <v>43</v>
      </c>
      <c r="Q5746" s="8" t="s">
        <v>44</v>
      </c>
      <c r="R5746" s="10" t="s">
        <v>157</v>
      </c>
      <c r="S5746" s="11" t="s">
        <v>33643</v>
      </c>
      <c r="T5746" s="6"/>
      <c r="U5746" s="24" t="str">
        <f>HYPERLINK("https://media.infra-m.ru/2079/2079323/cover/2079323.jpg", "Обложка")</f>
        <v>Обложка</v>
      </c>
      <c r="V5746" s="24" t="str">
        <f>HYPERLINK("https://znanium.ru/catalog/product/2079323", "Ознакомиться")</f>
        <v>Ознакомиться</v>
      </c>
      <c r="W5746" s="8" t="s">
        <v>33632</v>
      </c>
      <c r="X5746" s="6"/>
      <c r="Y5746" s="6"/>
      <c r="Z5746" s="6"/>
      <c r="AA5746" s="6" t="s">
        <v>793</v>
      </c>
      <c r="AB5746" s="8"/>
    </row>
    <row r="5747" spans="1:28" s="4" customFormat="1" ht="44.1" customHeight="1">
      <c r="A5747" s="5">
        <v>0</v>
      </c>
      <c r="B5747" s="6" t="s">
        <v>33644</v>
      </c>
      <c r="C5747" s="13">
        <v>1070</v>
      </c>
      <c r="D5747" s="8" t="s">
        <v>33645</v>
      </c>
      <c r="E5747" s="8" t="s">
        <v>33646</v>
      </c>
      <c r="F5747" s="8" t="s">
        <v>33647</v>
      </c>
      <c r="G5747" s="6" t="s">
        <v>52</v>
      </c>
      <c r="H5747" s="6" t="s">
        <v>53</v>
      </c>
      <c r="I5747" s="8" t="s">
        <v>116</v>
      </c>
      <c r="J5747" s="9">
        <v>1</v>
      </c>
      <c r="K5747" s="9">
        <v>208</v>
      </c>
      <c r="L5747" s="9">
        <v>2025</v>
      </c>
      <c r="M5747" s="8" t="s">
        <v>33648</v>
      </c>
      <c r="N5747" s="8" t="s">
        <v>41</v>
      </c>
      <c r="O5747" s="8" t="s">
        <v>1007</v>
      </c>
      <c r="P5747" s="6" t="s">
        <v>167</v>
      </c>
      <c r="Q5747" s="8" t="s">
        <v>58</v>
      </c>
      <c r="R5747" s="10" t="s">
        <v>33649</v>
      </c>
      <c r="S5747" s="11"/>
      <c r="T5747" s="6"/>
      <c r="U5747" s="24" t="str">
        <f>HYPERLINK("https://media.infra-m.ru/2125/2125939/cover/2125939.jpg", "Обложка")</f>
        <v>Обложка</v>
      </c>
      <c r="V5747" s="24" t="str">
        <f>HYPERLINK("https://znanium.ru/catalog/product/2125939", "Ознакомиться")</f>
        <v>Ознакомиться</v>
      </c>
      <c r="W5747" s="8" t="s">
        <v>5435</v>
      </c>
      <c r="X5747" s="6" t="s">
        <v>785</v>
      </c>
      <c r="Y5747" s="6"/>
      <c r="Z5747" s="6"/>
      <c r="AA5747" s="6" t="s">
        <v>61</v>
      </c>
      <c r="AB5747" s="8"/>
    </row>
    <row r="5748" spans="1:28" s="4" customFormat="1" ht="51.95" customHeight="1">
      <c r="A5748" s="5">
        <v>0</v>
      </c>
      <c r="B5748" s="6" t="s">
        <v>33650</v>
      </c>
      <c r="C5748" s="7">
        <v>924</v>
      </c>
      <c r="D5748" s="8" t="s">
        <v>33651</v>
      </c>
      <c r="E5748" s="8" t="s">
        <v>33652</v>
      </c>
      <c r="F5748" s="8" t="s">
        <v>7487</v>
      </c>
      <c r="G5748" s="6" t="s">
        <v>52</v>
      </c>
      <c r="H5748" s="6" t="s">
        <v>77</v>
      </c>
      <c r="I5748" s="8"/>
      <c r="J5748" s="9">
        <v>1</v>
      </c>
      <c r="K5748" s="9">
        <v>200</v>
      </c>
      <c r="L5748" s="9">
        <v>2024</v>
      </c>
      <c r="M5748" s="8" t="s">
        <v>33653</v>
      </c>
      <c r="N5748" s="8" t="s">
        <v>41</v>
      </c>
      <c r="O5748" s="8" t="s">
        <v>278</v>
      </c>
      <c r="P5748" s="6" t="s">
        <v>43</v>
      </c>
      <c r="Q5748" s="8" t="s">
        <v>279</v>
      </c>
      <c r="R5748" s="10" t="s">
        <v>33654</v>
      </c>
      <c r="S5748" s="11" t="s">
        <v>33655</v>
      </c>
      <c r="T5748" s="6"/>
      <c r="U5748" s="24" t="str">
        <f>HYPERLINK("https://media.infra-m.ru/2091/2091926/cover/2091926.jpg", "Обложка")</f>
        <v>Обложка</v>
      </c>
      <c r="V5748" s="24" t="str">
        <f>HYPERLINK("https://znanium.ru/catalog/product/1010815", "Ознакомиться")</f>
        <v>Ознакомиться</v>
      </c>
      <c r="W5748" s="8" t="s">
        <v>189</v>
      </c>
      <c r="X5748" s="6"/>
      <c r="Y5748" s="6"/>
      <c r="Z5748" s="6"/>
      <c r="AA5748" s="6" t="s">
        <v>47</v>
      </c>
      <c r="AB5748" s="8"/>
    </row>
    <row r="5749" spans="1:28" s="4" customFormat="1" ht="44.1" customHeight="1">
      <c r="A5749" s="5">
        <v>0</v>
      </c>
      <c r="B5749" s="6" t="s">
        <v>33656</v>
      </c>
      <c r="C5749" s="13">
        <v>1700</v>
      </c>
      <c r="D5749" s="8" t="s">
        <v>33657</v>
      </c>
      <c r="E5749" s="8" t="s">
        <v>33658</v>
      </c>
      <c r="F5749" s="8" t="s">
        <v>1378</v>
      </c>
      <c r="G5749" s="6" t="s">
        <v>52</v>
      </c>
      <c r="H5749" s="6" t="s">
        <v>53</v>
      </c>
      <c r="I5749" s="8" t="s">
        <v>116</v>
      </c>
      <c r="J5749" s="9">
        <v>1</v>
      </c>
      <c r="K5749" s="9">
        <v>372</v>
      </c>
      <c r="L5749" s="9">
        <v>2023</v>
      </c>
      <c r="M5749" s="8" t="s">
        <v>33659</v>
      </c>
      <c r="N5749" s="8" t="s">
        <v>41</v>
      </c>
      <c r="O5749" s="8" t="s">
        <v>1007</v>
      </c>
      <c r="P5749" s="6" t="s">
        <v>167</v>
      </c>
      <c r="Q5749" s="8" t="s">
        <v>44</v>
      </c>
      <c r="R5749" s="10" t="s">
        <v>11275</v>
      </c>
      <c r="S5749" s="11"/>
      <c r="T5749" s="6" t="s">
        <v>299</v>
      </c>
      <c r="U5749" s="24" t="str">
        <f>HYPERLINK("https://media.infra-m.ru/1977/1977992/cover/1977992.jpg", "Обложка")</f>
        <v>Обложка</v>
      </c>
      <c r="V5749" s="24" t="str">
        <f>HYPERLINK("https://znanium.ru/catalog/product/1977992", "Ознакомиться")</f>
        <v>Ознакомиться</v>
      </c>
      <c r="W5749" s="8" t="s">
        <v>189</v>
      </c>
      <c r="X5749" s="6"/>
      <c r="Y5749" s="6"/>
      <c r="Z5749" s="6"/>
      <c r="AA5749" s="6" t="s">
        <v>2657</v>
      </c>
      <c r="AB5749" s="8"/>
    </row>
    <row r="5750" spans="1:28" s="4" customFormat="1" ht="51.95" customHeight="1">
      <c r="A5750" s="5">
        <v>0</v>
      </c>
      <c r="B5750" s="6" t="s">
        <v>33660</v>
      </c>
      <c r="C5750" s="13">
        <v>1400</v>
      </c>
      <c r="D5750" s="8" t="s">
        <v>33661</v>
      </c>
      <c r="E5750" s="8" t="s">
        <v>33662</v>
      </c>
      <c r="F5750" s="8" t="s">
        <v>1378</v>
      </c>
      <c r="G5750" s="6" t="s">
        <v>89</v>
      </c>
      <c r="H5750" s="6" t="s">
        <v>53</v>
      </c>
      <c r="I5750" s="8" t="s">
        <v>90</v>
      </c>
      <c r="J5750" s="9">
        <v>1</v>
      </c>
      <c r="K5750" s="9">
        <v>368</v>
      </c>
      <c r="L5750" s="9">
        <v>2022</v>
      </c>
      <c r="M5750" s="8" t="s">
        <v>33663</v>
      </c>
      <c r="N5750" s="8" t="s">
        <v>41</v>
      </c>
      <c r="O5750" s="8" t="s">
        <v>1007</v>
      </c>
      <c r="P5750" s="6" t="s">
        <v>167</v>
      </c>
      <c r="Q5750" s="8" t="s">
        <v>44</v>
      </c>
      <c r="R5750" s="10" t="s">
        <v>11275</v>
      </c>
      <c r="S5750" s="11" t="s">
        <v>1401</v>
      </c>
      <c r="T5750" s="6" t="s">
        <v>299</v>
      </c>
      <c r="U5750" s="24" t="str">
        <f>HYPERLINK("https://media.infra-m.ru/1862/1862635/cover/1862635.jpg", "Обложка")</f>
        <v>Обложка</v>
      </c>
      <c r="V5750" s="24" t="str">
        <f>HYPERLINK("https://znanium.ru/catalog/product/1977992", "Ознакомиться")</f>
        <v>Ознакомиться</v>
      </c>
      <c r="W5750" s="8" t="s">
        <v>189</v>
      </c>
      <c r="X5750" s="6"/>
      <c r="Y5750" s="6"/>
      <c r="Z5750" s="6"/>
      <c r="AA5750" s="6" t="s">
        <v>1374</v>
      </c>
      <c r="AB5750" s="8"/>
    </row>
    <row r="5751" spans="1:28" s="4" customFormat="1" ht="44.1" customHeight="1">
      <c r="A5751" s="5">
        <v>0</v>
      </c>
      <c r="B5751" s="6" t="s">
        <v>33664</v>
      </c>
      <c r="C5751" s="13">
        <v>1184.9000000000001</v>
      </c>
      <c r="D5751" s="8" t="s">
        <v>33665</v>
      </c>
      <c r="E5751" s="8" t="s">
        <v>33666</v>
      </c>
      <c r="F5751" s="8" t="s">
        <v>1378</v>
      </c>
      <c r="G5751" s="6" t="s">
        <v>52</v>
      </c>
      <c r="H5751" s="6" t="s">
        <v>77</v>
      </c>
      <c r="I5751" s="8"/>
      <c r="J5751" s="9">
        <v>1</v>
      </c>
      <c r="K5751" s="9">
        <v>368</v>
      </c>
      <c r="L5751" s="9">
        <v>2019</v>
      </c>
      <c r="M5751" s="8" t="s">
        <v>33667</v>
      </c>
      <c r="N5751" s="8" t="s">
        <v>41</v>
      </c>
      <c r="O5751" s="8" t="s">
        <v>1007</v>
      </c>
      <c r="P5751" s="6" t="s">
        <v>167</v>
      </c>
      <c r="Q5751" s="8" t="s">
        <v>44</v>
      </c>
      <c r="R5751" s="10" t="s">
        <v>11275</v>
      </c>
      <c r="S5751" s="11"/>
      <c r="T5751" s="6" t="s">
        <v>299</v>
      </c>
      <c r="U5751" s="24" t="str">
        <f>HYPERLINK("https://media.infra-m.ru/0987/0987736/cover/987736.jpg", "Обложка")</f>
        <v>Обложка</v>
      </c>
      <c r="V5751" s="24" t="str">
        <f>HYPERLINK("https://znanium.ru/catalog/product/1977992", "Ознакомиться")</f>
        <v>Ознакомиться</v>
      </c>
      <c r="W5751" s="8" t="s">
        <v>189</v>
      </c>
      <c r="X5751" s="6"/>
      <c r="Y5751" s="6"/>
      <c r="Z5751" s="6"/>
      <c r="AA5751" s="6" t="s">
        <v>418</v>
      </c>
      <c r="AB5751" s="8"/>
    </row>
    <row r="5752" spans="1:28" s="4" customFormat="1" ht="51.95" customHeight="1">
      <c r="A5752" s="5">
        <v>0</v>
      </c>
      <c r="B5752" s="6" t="s">
        <v>33668</v>
      </c>
      <c r="C5752" s="13">
        <v>3370</v>
      </c>
      <c r="D5752" s="8" t="s">
        <v>33669</v>
      </c>
      <c r="E5752" s="8" t="s">
        <v>33670</v>
      </c>
      <c r="F5752" s="8" t="s">
        <v>33671</v>
      </c>
      <c r="G5752" s="6" t="s">
        <v>52</v>
      </c>
      <c r="H5752" s="6" t="s">
        <v>53</v>
      </c>
      <c r="I5752" s="8" t="s">
        <v>116</v>
      </c>
      <c r="J5752" s="9">
        <v>1</v>
      </c>
      <c r="K5752" s="9">
        <v>362</v>
      </c>
      <c r="L5752" s="9">
        <v>2024</v>
      </c>
      <c r="M5752" s="8" t="s">
        <v>33672</v>
      </c>
      <c r="N5752" s="8" t="s">
        <v>41</v>
      </c>
      <c r="O5752" s="8" t="s">
        <v>1007</v>
      </c>
      <c r="P5752" s="6" t="s">
        <v>167</v>
      </c>
      <c r="Q5752" s="8" t="s">
        <v>58</v>
      </c>
      <c r="R5752" s="10" t="s">
        <v>33673</v>
      </c>
      <c r="S5752" s="11"/>
      <c r="T5752" s="6"/>
      <c r="U5752" s="24" t="str">
        <f>HYPERLINK("https://media.infra-m.ru/1977/1977968/cover/1977968.jpg", "Обложка")</f>
        <v>Обложка</v>
      </c>
      <c r="V5752" s="24" t="str">
        <f>HYPERLINK("https://znanium.ru/catalog/product/1977968", "Ознакомиться")</f>
        <v>Ознакомиться</v>
      </c>
      <c r="W5752" s="8" t="s">
        <v>71</v>
      </c>
      <c r="X5752" s="6"/>
      <c r="Y5752" s="6"/>
      <c r="Z5752" s="6"/>
      <c r="AA5752" s="6" t="s">
        <v>133</v>
      </c>
      <c r="AB5752" s="8"/>
    </row>
    <row r="5753" spans="1:28" s="4" customFormat="1" ht="51.95" customHeight="1">
      <c r="A5753" s="5">
        <v>0</v>
      </c>
      <c r="B5753" s="6" t="s">
        <v>33674</v>
      </c>
      <c r="C5753" s="7">
        <v>590</v>
      </c>
      <c r="D5753" s="8" t="s">
        <v>33675</v>
      </c>
      <c r="E5753" s="8" t="s">
        <v>33676</v>
      </c>
      <c r="F5753" s="8" t="s">
        <v>33677</v>
      </c>
      <c r="G5753" s="6" t="s">
        <v>38</v>
      </c>
      <c r="H5753" s="6" t="s">
        <v>53</v>
      </c>
      <c r="I5753" s="8" t="s">
        <v>6796</v>
      </c>
      <c r="J5753" s="9">
        <v>1</v>
      </c>
      <c r="K5753" s="9">
        <v>90</v>
      </c>
      <c r="L5753" s="9">
        <v>2023</v>
      </c>
      <c r="M5753" s="8" t="s">
        <v>33678</v>
      </c>
      <c r="N5753" s="8" t="s">
        <v>41</v>
      </c>
      <c r="O5753" s="8" t="s">
        <v>1007</v>
      </c>
      <c r="P5753" s="6" t="s">
        <v>43</v>
      </c>
      <c r="Q5753" s="8" t="s">
        <v>279</v>
      </c>
      <c r="R5753" s="10" t="s">
        <v>2713</v>
      </c>
      <c r="S5753" s="11" t="s">
        <v>33679</v>
      </c>
      <c r="T5753" s="6"/>
      <c r="U5753" s="24" t="str">
        <f>HYPERLINK("https://media.infra-m.ru/1910/1910848/cover/1910848.jpg", "Обложка")</f>
        <v>Обложка</v>
      </c>
      <c r="V5753" s="12"/>
      <c r="W5753" s="8"/>
      <c r="X5753" s="6"/>
      <c r="Y5753" s="6"/>
      <c r="Z5753" s="6"/>
      <c r="AA5753" s="6" t="s">
        <v>207</v>
      </c>
      <c r="AB5753" s="8"/>
    </row>
    <row r="5754" spans="1:28" s="4" customFormat="1" ht="51.95" customHeight="1">
      <c r="A5754" s="5">
        <v>0</v>
      </c>
      <c r="B5754" s="6" t="s">
        <v>33680</v>
      </c>
      <c r="C5754" s="7">
        <v>894</v>
      </c>
      <c r="D5754" s="8" t="s">
        <v>33681</v>
      </c>
      <c r="E5754" s="8" t="s">
        <v>33682</v>
      </c>
      <c r="F5754" s="8" t="s">
        <v>33683</v>
      </c>
      <c r="G5754" s="6" t="s">
        <v>38</v>
      </c>
      <c r="H5754" s="6" t="s">
        <v>39</v>
      </c>
      <c r="I5754" s="8" t="s">
        <v>90</v>
      </c>
      <c r="J5754" s="9">
        <v>1</v>
      </c>
      <c r="K5754" s="9">
        <v>192</v>
      </c>
      <c r="L5754" s="9">
        <v>2024</v>
      </c>
      <c r="M5754" s="8" t="s">
        <v>33684</v>
      </c>
      <c r="N5754" s="8" t="s">
        <v>41</v>
      </c>
      <c r="O5754" s="8" t="s">
        <v>118</v>
      </c>
      <c r="P5754" s="6" t="s">
        <v>43</v>
      </c>
      <c r="Q5754" s="8" t="s">
        <v>44</v>
      </c>
      <c r="R5754" s="10" t="s">
        <v>1400</v>
      </c>
      <c r="S5754" s="11" t="s">
        <v>33685</v>
      </c>
      <c r="T5754" s="6"/>
      <c r="U5754" s="24" t="str">
        <f>HYPERLINK("https://media.infra-m.ru/2129/2129187/cover/2129187.jpg", "Обложка")</f>
        <v>Обложка</v>
      </c>
      <c r="V5754" s="24" t="str">
        <f>HYPERLINK("https://znanium.ru/catalog/product/1947347", "Ознакомиться")</f>
        <v>Ознакомиться</v>
      </c>
      <c r="W5754" s="8" t="s">
        <v>83</v>
      </c>
      <c r="X5754" s="6"/>
      <c r="Y5754" s="6"/>
      <c r="Z5754" s="6"/>
      <c r="AA5754" s="6" t="s">
        <v>84</v>
      </c>
      <c r="AB5754" s="8"/>
    </row>
    <row r="5755" spans="1:28" s="4" customFormat="1" ht="51.95" customHeight="1">
      <c r="A5755" s="5">
        <v>0</v>
      </c>
      <c r="B5755" s="6" t="s">
        <v>33686</v>
      </c>
      <c r="C5755" s="7">
        <v>704.9</v>
      </c>
      <c r="D5755" s="8" t="s">
        <v>33687</v>
      </c>
      <c r="E5755" s="8" t="s">
        <v>33688</v>
      </c>
      <c r="F5755" s="8" t="s">
        <v>33689</v>
      </c>
      <c r="G5755" s="6" t="s">
        <v>89</v>
      </c>
      <c r="H5755" s="6" t="s">
        <v>53</v>
      </c>
      <c r="I5755" s="8" t="s">
        <v>90</v>
      </c>
      <c r="J5755" s="9">
        <v>1</v>
      </c>
      <c r="K5755" s="9">
        <v>157</v>
      </c>
      <c r="L5755" s="9">
        <v>2022</v>
      </c>
      <c r="M5755" s="8" t="s">
        <v>33690</v>
      </c>
      <c r="N5755" s="8" t="s">
        <v>41</v>
      </c>
      <c r="O5755" s="8" t="s">
        <v>1007</v>
      </c>
      <c r="P5755" s="6" t="s">
        <v>43</v>
      </c>
      <c r="Q5755" s="8" t="s">
        <v>44</v>
      </c>
      <c r="R5755" s="10" t="s">
        <v>7881</v>
      </c>
      <c r="S5755" s="11" t="s">
        <v>1372</v>
      </c>
      <c r="T5755" s="6"/>
      <c r="U5755" s="24" t="str">
        <f>HYPERLINK("https://media.infra-m.ru/1920/1920341/cover/1920341.jpg", "Обложка")</f>
        <v>Обложка</v>
      </c>
      <c r="V5755" s="24" t="str">
        <f>HYPERLINK("https://znanium.ru/catalog/product/1909158", "Ознакомиться")</f>
        <v>Ознакомиться</v>
      </c>
      <c r="W5755" s="8" t="s">
        <v>83</v>
      </c>
      <c r="X5755" s="6"/>
      <c r="Y5755" s="6"/>
      <c r="Z5755" s="6"/>
      <c r="AA5755" s="6" t="s">
        <v>111</v>
      </c>
      <c r="AB5755" s="8"/>
    </row>
    <row r="5756" spans="1:28" s="4" customFormat="1" ht="51.95" customHeight="1">
      <c r="A5756" s="5">
        <v>0</v>
      </c>
      <c r="B5756" s="6" t="s">
        <v>33691</v>
      </c>
      <c r="C5756" s="13">
        <v>1940</v>
      </c>
      <c r="D5756" s="8" t="s">
        <v>33692</v>
      </c>
      <c r="E5756" s="8" t="s">
        <v>33693</v>
      </c>
      <c r="F5756" s="8" t="s">
        <v>2682</v>
      </c>
      <c r="G5756" s="6" t="s">
        <v>52</v>
      </c>
      <c r="H5756" s="6" t="s">
        <v>53</v>
      </c>
      <c r="I5756" s="8" t="s">
        <v>100</v>
      </c>
      <c r="J5756" s="9">
        <v>1</v>
      </c>
      <c r="K5756" s="9">
        <v>421</v>
      </c>
      <c r="L5756" s="9">
        <v>2023</v>
      </c>
      <c r="M5756" s="8" t="s">
        <v>33694</v>
      </c>
      <c r="N5756" s="8" t="s">
        <v>41</v>
      </c>
      <c r="O5756" s="8" t="s">
        <v>1007</v>
      </c>
      <c r="P5756" s="6" t="s">
        <v>167</v>
      </c>
      <c r="Q5756" s="8" t="s">
        <v>102</v>
      </c>
      <c r="R5756" s="10" t="s">
        <v>33695</v>
      </c>
      <c r="S5756" s="11" t="s">
        <v>33696</v>
      </c>
      <c r="T5756" s="6"/>
      <c r="U5756" s="24" t="str">
        <f>HYPERLINK("https://media.infra-m.ru/1123/1123729/cover/1123729.jpg", "Обложка")</f>
        <v>Обложка</v>
      </c>
      <c r="V5756" s="24" t="str">
        <f>HYPERLINK("https://znanium.ru/catalog/product/1123729", "Ознакомиться")</f>
        <v>Ознакомиться</v>
      </c>
      <c r="W5756" s="8" t="s">
        <v>1358</v>
      </c>
      <c r="X5756" s="6"/>
      <c r="Y5756" s="6"/>
      <c r="Z5756" s="6" t="s">
        <v>104</v>
      </c>
      <c r="AA5756" s="6" t="s">
        <v>207</v>
      </c>
      <c r="AB5756" s="8"/>
    </row>
    <row r="5757" spans="1:28" s="4" customFormat="1" ht="51.95" customHeight="1">
      <c r="A5757" s="5">
        <v>0</v>
      </c>
      <c r="B5757" s="6" t="s">
        <v>33697</v>
      </c>
      <c r="C5757" s="13">
        <v>2730</v>
      </c>
      <c r="D5757" s="8" t="s">
        <v>33698</v>
      </c>
      <c r="E5757" s="8" t="s">
        <v>33699</v>
      </c>
      <c r="F5757" s="8" t="s">
        <v>33700</v>
      </c>
      <c r="G5757" s="6" t="s">
        <v>52</v>
      </c>
      <c r="H5757" s="6" t="s">
        <v>53</v>
      </c>
      <c r="I5757" s="8" t="s">
        <v>116</v>
      </c>
      <c r="J5757" s="9">
        <v>1</v>
      </c>
      <c r="K5757" s="9">
        <v>592</v>
      </c>
      <c r="L5757" s="9">
        <v>2024</v>
      </c>
      <c r="M5757" s="8" t="s">
        <v>33701</v>
      </c>
      <c r="N5757" s="8" t="s">
        <v>41</v>
      </c>
      <c r="O5757" s="8" t="s">
        <v>1007</v>
      </c>
      <c r="P5757" s="6" t="s">
        <v>167</v>
      </c>
      <c r="Q5757" s="8" t="s">
        <v>44</v>
      </c>
      <c r="R5757" s="10" t="s">
        <v>157</v>
      </c>
      <c r="S5757" s="11" t="s">
        <v>33702</v>
      </c>
      <c r="T5757" s="6"/>
      <c r="U5757" s="24" t="str">
        <f>HYPERLINK("https://media.infra-m.ru/2094/2094500/cover/2094500.jpg", "Обложка")</f>
        <v>Обложка</v>
      </c>
      <c r="V5757" s="24" t="str">
        <f>HYPERLINK("https://znanium.ru/catalog/product/2094500", "Ознакомиться")</f>
        <v>Ознакомиться</v>
      </c>
      <c r="W5757" s="8" t="s">
        <v>189</v>
      </c>
      <c r="X5757" s="6"/>
      <c r="Y5757" s="6"/>
      <c r="Z5757" s="6"/>
      <c r="AA5757" s="6" t="s">
        <v>418</v>
      </c>
      <c r="AB5757" s="8"/>
    </row>
    <row r="5758" spans="1:28" s="4" customFormat="1" ht="51.95" customHeight="1">
      <c r="A5758" s="5">
        <v>0</v>
      </c>
      <c r="B5758" s="6" t="s">
        <v>33703</v>
      </c>
      <c r="C5758" s="13">
        <v>1240</v>
      </c>
      <c r="D5758" s="8" t="s">
        <v>33704</v>
      </c>
      <c r="E5758" s="8" t="s">
        <v>33705</v>
      </c>
      <c r="F5758" s="8" t="s">
        <v>33706</v>
      </c>
      <c r="G5758" s="6" t="s">
        <v>52</v>
      </c>
      <c r="H5758" s="6" t="s">
        <v>53</v>
      </c>
      <c r="I5758" s="8" t="s">
        <v>2048</v>
      </c>
      <c r="J5758" s="9">
        <v>1</v>
      </c>
      <c r="K5758" s="9">
        <v>235</v>
      </c>
      <c r="L5758" s="9">
        <v>2025</v>
      </c>
      <c r="M5758" s="8" t="s">
        <v>33707</v>
      </c>
      <c r="N5758" s="8" t="s">
        <v>41</v>
      </c>
      <c r="O5758" s="8" t="s">
        <v>118</v>
      </c>
      <c r="P5758" s="6" t="s">
        <v>167</v>
      </c>
      <c r="Q5758" s="8" t="s">
        <v>58</v>
      </c>
      <c r="R5758" s="10" t="s">
        <v>33708</v>
      </c>
      <c r="S5758" s="11"/>
      <c r="T5758" s="6"/>
      <c r="U5758" s="24" t="str">
        <f>HYPERLINK("https://media.infra-m.ru/2049/2049712/cover/2049712.jpg", "Обложка")</f>
        <v>Обложка</v>
      </c>
      <c r="V5758" s="24" t="str">
        <f>HYPERLINK("https://znanium.ru/catalog/product/2049712", "Ознакомиться")</f>
        <v>Ознакомиться</v>
      </c>
      <c r="W5758" s="8" t="s">
        <v>189</v>
      </c>
      <c r="X5758" s="6" t="s">
        <v>389</v>
      </c>
      <c r="Y5758" s="6"/>
      <c r="Z5758" s="6"/>
      <c r="AA5758" s="6" t="s">
        <v>61</v>
      </c>
      <c r="AB5758" s="8"/>
    </row>
    <row r="5759" spans="1:28" s="4" customFormat="1" ht="51.95" customHeight="1">
      <c r="A5759" s="5">
        <v>0</v>
      </c>
      <c r="B5759" s="6" t="s">
        <v>33709</v>
      </c>
      <c r="C5759" s="13">
        <v>1744</v>
      </c>
      <c r="D5759" s="8" t="s">
        <v>33710</v>
      </c>
      <c r="E5759" s="8" t="s">
        <v>33711</v>
      </c>
      <c r="F5759" s="8" t="s">
        <v>33712</v>
      </c>
      <c r="G5759" s="6" t="s">
        <v>89</v>
      </c>
      <c r="H5759" s="6" t="s">
        <v>53</v>
      </c>
      <c r="I5759" s="8" t="s">
        <v>1054</v>
      </c>
      <c r="J5759" s="9">
        <v>1</v>
      </c>
      <c r="K5759" s="9">
        <v>348</v>
      </c>
      <c r="L5759" s="9">
        <v>2025</v>
      </c>
      <c r="M5759" s="8" t="s">
        <v>33713</v>
      </c>
      <c r="N5759" s="8" t="s">
        <v>41</v>
      </c>
      <c r="O5759" s="8" t="s">
        <v>118</v>
      </c>
      <c r="P5759" s="6" t="s">
        <v>167</v>
      </c>
      <c r="Q5759" s="8" t="s">
        <v>279</v>
      </c>
      <c r="R5759" s="10" t="s">
        <v>33714</v>
      </c>
      <c r="S5759" s="11" t="s">
        <v>33715</v>
      </c>
      <c r="T5759" s="6"/>
      <c r="U5759" s="24" t="str">
        <f>HYPERLINK("https://media.infra-m.ru/2173/2173332/cover/2173332.jpg", "Обложка")</f>
        <v>Обложка</v>
      </c>
      <c r="V5759" s="24" t="str">
        <f>HYPERLINK("https://znanium.ru/catalog/product/2049700", "Ознакомиться")</f>
        <v>Ознакомиться</v>
      </c>
      <c r="W5759" s="8" t="s">
        <v>83</v>
      </c>
      <c r="X5759" s="6"/>
      <c r="Y5759" s="6"/>
      <c r="Z5759" s="6"/>
      <c r="AA5759" s="6" t="s">
        <v>513</v>
      </c>
      <c r="AB5759" s="8"/>
    </row>
    <row r="5760" spans="1:28" s="4" customFormat="1" ht="51.95" customHeight="1">
      <c r="A5760" s="5">
        <v>0</v>
      </c>
      <c r="B5760" s="6" t="s">
        <v>33716</v>
      </c>
      <c r="C5760" s="13">
        <v>1120</v>
      </c>
      <c r="D5760" s="8" t="s">
        <v>33717</v>
      </c>
      <c r="E5760" s="8" t="s">
        <v>33718</v>
      </c>
      <c r="F5760" s="8" t="s">
        <v>33719</v>
      </c>
      <c r="G5760" s="6" t="s">
        <v>89</v>
      </c>
      <c r="H5760" s="6" t="s">
        <v>53</v>
      </c>
      <c r="I5760" s="8" t="s">
        <v>90</v>
      </c>
      <c r="J5760" s="9">
        <v>1</v>
      </c>
      <c r="K5760" s="9">
        <v>347</v>
      </c>
      <c r="L5760" s="9">
        <v>2019</v>
      </c>
      <c r="M5760" s="8" t="s">
        <v>33720</v>
      </c>
      <c r="N5760" s="8" t="s">
        <v>41</v>
      </c>
      <c r="O5760" s="8" t="s">
        <v>118</v>
      </c>
      <c r="P5760" s="6" t="s">
        <v>167</v>
      </c>
      <c r="Q5760" s="8" t="s">
        <v>44</v>
      </c>
      <c r="R5760" s="10" t="s">
        <v>33714</v>
      </c>
      <c r="S5760" s="11" t="s">
        <v>1285</v>
      </c>
      <c r="T5760" s="6"/>
      <c r="U5760" s="24" t="str">
        <f>HYPERLINK("https://media.infra-m.ru/1010/1010117/cover/1010117.jpg", "Обложка")</f>
        <v>Обложка</v>
      </c>
      <c r="V5760" s="24" t="str">
        <f>HYPERLINK("https://znanium.ru/catalog/product/2049700", "Ознакомиться")</f>
        <v>Ознакомиться</v>
      </c>
      <c r="W5760" s="8" t="s">
        <v>83</v>
      </c>
      <c r="X5760" s="6"/>
      <c r="Y5760" s="6"/>
      <c r="Z5760" s="6"/>
      <c r="AA5760" s="6" t="s">
        <v>442</v>
      </c>
      <c r="AB5760" s="8"/>
    </row>
    <row r="5761" spans="1:28" s="4" customFormat="1" ht="51.95" customHeight="1">
      <c r="A5761" s="5">
        <v>0</v>
      </c>
      <c r="B5761" s="6" t="s">
        <v>33721</v>
      </c>
      <c r="C5761" s="13">
        <v>1000</v>
      </c>
      <c r="D5761" s="8" t="s">
        <v>33722</v>
      </c>
      <c r="E5761" s="8" t="s">
        <v>33723</v>
      </c>
      <c r="F5761" s="8" t="s">
        <v>33724</v>
      </c>
      <c r="G5761" s="6" t="s">
        <v>38</v>
      </c>
      <c r="H5761" s="6" t="s">
        <v>184</v>
      </c>
      <c r="I5761" s="8" t="s">
        <v>276</v>
      </c>
      <c r="J5761" s="9">
        <v>1</v>
      </c>
      <c r="K5761" s="9">
        <v>217</v>
      </c>
      <c r="L5761" s="9">
        <v>2023</v>
      </c>
      <c r="M5761" s="8" t="s">
        <v>33725</v>
      </c>
      <c r="N5761" s="8" t="s">
        <v>41</v>
      </c>
      <c r="O5761" s="8" t="s">
        <v>118</v>
      </c>
      <c r="P5761" s="6" t="s">
        <v>167</v>
      </c>
      <c r="Q5761" s="8" t="s">
        <v>279</v>
      </c>
      <c r="R5761" s="10" t="s">
        <v>22783</v>
      </c>
      <c r="S5761" s="11"/>
      <c r="T5761" s="6" t="s">
        <v>299</v>
      </c>
      <c r="U5761" s="24" t="str">
        <f>HYPERLINK("https://media.infra-m.ru/1911/1911188/cover/1911188.jpg", "Обложка")</f>
        <v>Обложка</v>
      </c>
      <c r="V5761" s="24" t="str">
        <f>HYPERLINK("https://znanium.ru/catalog/product/1911188", "Ознакомиться")</f>
        <v>Ознакомиться</v>
      </c>
      <c r="W5761" s="8" t="s">
        <v>3002</v>
      </c>
      <c r="X5761" s="6"/>
      <c r="Y5761" s="6"/>
      <c r="Z5761" s="6"/>
      <c r="AA5761" s="6" t="s">
        <v>442</v>
      </c>
      <c r="AB5761" s="8"/>
    </row>
    <row r="5762" spans="1:28" s="4" customFormat="1" ht="51.95" customHeight="1">
      <c r="A5762" s="5">
        <v>0</v>
      </c>
      <c r="B5762" s="6" t="s">
        <v>33726</v>
      </c>
      <c r="C5762" s="13">
        <v>1084.9000000000001</v>
      </c>
      <c r="D5762" s="8" t="s">
        <v>33727</v>
      </c>
      <c r="E5762" s="8" t="s">
        <v>33723</v>
      </c>
      <c r="F5762" s="8" t="s">
        <v>8946</v>
      </c>
      <c r="G5762" s="6" t="s">
        <v>52</v>
      </c>
      <c r="H5762" s="6" t="s">
        <v>53</v>
      </c>
      <c r="I5762" s="8" t="s">
        <v>90</v>
      </c>
      <c r="J5762" s="9">
        <v>1</v>
      </c>
      <c r="K5762" s="9">
        <v>240</v>
      </c>
      <c r="L5762" s="9">
        <v>2023</v>
      </c>
      <c r="M5762" s="8" t="s">
        <v>33728</v>
      </c>
      <c r="N5762" s="8" t="s">
        <v>41</v>
      </c>
      <c r="O5762" s="8" t="s">
        <v>118</v>
      </c>
      <c r="P5762" s="6" t="s">
        <v>167</v>
      </c>
      <c r="Q5762" s="8" t="s">
        <v>44</v>
      </c>
      <c r="R5762" s="10" t="s">
        <v>33729</v>
      </c>
      <c r="S5762" s="11"/>
      <c r="T5762" s="6"/>
      <c r="U5762" s="24" t="str">
        <f>HYPERLINK("https://media.infra-m.ru/1983/1983235/cover/1983235.jpg", "Обложка")</f>
        <v>Обложка</v>
      </c>
      <c r="V5762" s="24" t="str">
        <f>HYPERLINK("https://znanium.ru/catalog/product/987785", "Ознакомиться")</f>
        <v>Ознакомиться</v>
      </c>
      <c r="W5762" s="8" t="s">
        <v>4161</v>
      </c>
      <c r="X5762" s="6"/>
      <c r="Y5762" s="6"/>
      <c r="Z5762" s="6"/>
      <c r="AA5762" s="6" t="s">
        <v>25712</v>
      </c>
      <c r="AB5762" s="8"/>
    </row>
    <row r="5763" spans="1:28" s="4" customFormat="1" ht="51.95" customHeight="1">
      <c r="A5763" s="5">
        <v>0</v>
      </c>
      <c r="B5763" s="6" t="s">
        <v>33730</v>
      </c>
      <c r="C5763" s="7">
        <v>990</v>
      </c>
      <c r="D5763" s="8" t="s">
        <v>33731</v>
      </c>
      <c r="E5763" s="8" t="s">
        <v>33732</v>
      </c>
      <c r="F5763" s="8" t="s">
        <v>33733</v>
      </c>
      <c r="G5763" s="6" t="s">
        <v>89</v>
      </c>
      <c r="H5763" s="6" t="s">
        <v>53</v>
      </c>
      <c r="I5763" s="8" t="s">
        <v>116</v>
      </c>
      <c r="J5763" s="9">
        <v>1</v>
      </c>
      <c r="K5763" s="9">
        <v>185</v>
      </c>
      <c r="L5763" s="9">
        <v>2025</v>
      </c>
      <c r="M5763" s="8" t="s">
        <v>33734</v>
      </c>
      <c r="N5763" s="8" t="s">
        <v>41</v>
      </c>
      <c r="O5763" s="8" t="s">
        <v>118</v>
      </c>
      <c r="P5763" s="6" t="s">
        <v>167</v>
      </c>
      <c r="Q5763" s="8" t="s">
        <v>44</v>
      </c>
      <c r="R5763" s="10" t="s">
        <v>6765</v>
      </c>
      <c r="S5763" s="11" t="s">
        <v>33735</v>
      </c>
      <c r="T5763" s="6"/>
      <c r="U5763" s="24" t="str">
        <f>HYPERLINK("https://media.infra-m.ru/2177/2177514/cover/2177514.jpg", "Обложка")</f>
        <v>Обложка</v>
      </c>
      <c r="V5763" s="24" t="str">
        <f>HYPERLINK("https://znanium.ru/catalog/product/2177514", "Ознакомиться")</f>
        <v>Ознакомиться</v>
      </c>
      <c r="W5763" s="8" t="s">
        <v>6204</v>
      </c>
      <c r="X5763" s="6"/>
      <c r="Y5763" s="6"/>
      <c r="Z5763" s="6"/>
      <c r="AA5763" s="6" t="s">
        <v>513</v>
      </c>
      <c r="AB5763" s="8"/>
    </row>
    <row r="5764" spans="1:28" s="4" customFormat="1" ht="51.95" customHeight="1">
      <c r="A5764" s="5">
        <v>0</v>
      </c>
      <c r="B5764" s="6" t="s">
        <v>33736</v>
      </c>
      <c r="C5764" s="7">
        <v>680</v>
      </c>
      <c r="D5764" s="8" t="s">
        <v>33737</v>
      </c>
      <c r="E5764" s="8" t="s">
        <v>33723</v>
      </c>
      <c r="F5764" s="8" t="s">
        <v>33738</v>
      </c>
      <c r="G5764" s="6" t="s">
        <v>89</v>
      </c>
      <c r="H5764" s="6" t="s">
        <v>53</v>
      </c>
      <c r="I5764" s="8" t="s">
        <v>90</v>
      </c>
      <c r="J5764" s="9">
        <v>1</v>
      </c>
      <c r="K5764" s="9">
        <v>184</v>
      </c>
      <c r="L5764" s="9">
        <v>2021</v>
      </c>
      <c r="M5764" s="8" t="s">
        <v>33739</v>
      </c>
      <c r="N5764" s="8" t="s">
        <v>41</v>
      </c>
      <c r="O5764" s="8" t="s">
        <v>118</v>
      </c>
      <c r="P5764" s="6" t="s">
        <v>167</v>
      </c>
      <c r="Q5764" s="8" t="s">
        <v>44</v>
      </c>
      <c r="R5764" s="10" t="s">
        <v>6765</v>
      </c>
      <c r="S5764" s="11" t="s">
        <v>33735</v>
      </c>
      <c r="T5764" s="6"/>
      <c r="U5764" s="24" t="str">
        <f>HYPERLINK("https://media.infra-m.ru/1584/1584941/cover/1584941.jpg", "Обложка")</f>
        <v>Обложка</v>
      </c>
      <c r="V5764" s="24" t="str">
        <f>HYPERLINK("https://znanium.ru/catalog/product/2177514", "Ознакомиться")</f>
        <v>Ознакомиться</v>
      </c>
      <c r="W5764" s="8" t="s">
        <v>6204</v>
      </c>
      <c r="X5764" s="6"/>
      <c r="Y5764" s="6"/>
      <c r="Z5764" s="6"/>
      <c r="AA5764" s="6" t="s">
        <v>47</v>
      </c>
      <c r="AB5764" s="8"/>
    </row>
    <row r="5765" spans="1:28" s="4" customFormat="1" ht="51.95" customHeight="1">
      <c r="A5765" s="5">
        <v>0</v>
      </c>
      <c r="B5765" s="6" t="s">
        <v>33740</v>
      </c>
      <c r="C5765" s="13">
        <v>1524</v>
      </c>
      <c r="D5765" s="8" t="s">
        <v>33741</v>
      </c>
      <c r="E5765" s="8" t="s">
        <v>33723</v>
      </c>
      <c r="F5765" s="8" t="s">
        <v>33742</v>
      </c>
      <c r="G5765" s="6" t="s">
        <v>52</v>
      </c>
      <c r="H5765" s="6" t="s">
        <v>53</v>
      </c>
      <c r="I5765" s="8" t="s">
        <v>90</v>
      </c>
      <c r="J5765" s="9">
        <v>1</v>
      </c>
      <c r="K5765" s="9">
        <v>294</v>
      </c>
      <c r="L5765" s="9">
        <v>2025</v>
      </c>
      <c r="M5765" s="8" t="s">
        <v>33743</v>
      </c>
      <c r="N5765" s="8" t="s">
        <v>41</v>
      </c>
      <c r="O5765" s="8" t="s">
        <v>118</v>
      </c>
      <c r="P5765" s="6" t="s">
        <v>167</v>
      </c>
      <c r="Q5765" s="8" t="s">
        <v>44</v>
      </c>
      <c r="R5765" s="10" t="s">
        <v>33744</v>
      </c>
      <c r="S5765" s="11" t="s">
        <v>1285</v>
      </c>
      <c r="T5765" s="6"/>
      <c r="U5765" s="24" t="str">
        <f>HYPERLINK("https://media.infra-m.ru/2195/2195036/cover/2195036.jpg", "Обложка")</f>
        <v>Обложка</v>
      </c>
      <c r="V5765" s="24" t="str">
        <f>HYPERLINK("https://znanium.ru/catalog/product/938021", "Ознакомиться")</f>
        <v>Ознакомиться</v>
      </c>
      <c r="W5765" s="8" t="s">
        <v>3577</v>
      </c>
      <c r="X5765" s="6"/>
      <c r="Y5765" s="6"/>
      <c r="Z5765" s="6"/>
      <c r="AA5765" s="6" t="s">
        <v>418</v>
      </c>
      <c r="AB5765" s="8"/>
    </row>
    <row r="5766" spans="1:28" s="4" customFormat="1" ht="51.95" customHeight="1">
      <c r="A5766" s="5">
        <v>0</v>
      </c>
      <c r="B5766" s="6" t="s">
        <v>33745</v>
      </c>
      <c r="C5766" s="13">
        <v>1184</v>
      </c>
      <c r="D5766" s="8" t="s">
        <v>33746</v>
      </c>
      <c r="E5766" s="8" t="s">
        <v>33732</v>
      </c>
      <c r="F5766" s="8" t="s">
        <v>33747</v>
      </c>
      <c r="G5766" s="6" t="s">
        <v>52</v>
      </c>
      <c r="H5766" s="6" t="s">
        <v>649</v>
      </c>
      <c r="I5766" s="8" t="s">
        <v>116</v>
      </c>
      <c r="J5766" s="9">
        <v>1</v>
      </c>
      <c r="K5766" s="9">
        <v>256</v>
      </c>
      <c r="L5766" s="9">
        <v>2024</v>
      </c>
      <c r="M5766" s="8" t="s">
        <v>33748</v>
      </c>
      <c r="N5766" s="8" t="s">
        <v>41</v>
      </c>
      <c r="O5766" s="8" t="s">
        <v>118</v>
      </c>
      <c r="P5766" s="6" t="s">
        <v>43</v>
      </c>
      <c r="Q5766" s="8" t="s">
        <v>44</v>
      </c>
      <c r="R5766" s="10" t="s">
        <v>157</v>
      </c>
      <c r="S5766" s="11" t="s">
        <v>33749</v>
      </c>
      <c r="T5766" s="6"/>
      <c r="U5766" s="24" t="str">
        <f>HYPERLINK("https://media.infra-m.ru/2053/2053981/cover/2053981.jpg", "Обложка")</f>
        <v>Обложка</v>
      </c>
      <c r="V5766" s="24" t="str">
        <f>HYPERLINK("https://znanium.ru/catalog/product/1745609", "Ознакомиться")</f>
        <v>Ознакомиться</v>
      </c>
      <c r="W5766" s="8" t="s">
        <v>5635</v>
      </c>
      <c r="X5766" s="6"/>
      <c r="Y5766" s="6"/>
      <c r="Z5766" s="6"/>
      <c r="AA5766" s="6" t="s">
        <v>407</v>
      </c>
      <c r="AB5766" s="8"/>
    </row>
    <row r="5767" spans="1:28" s="4" customFormat="1" ht="42" customHeight="1">
      <c r="A5767" s="5">
        <v>0</v>
      </c>
      <c r="B5767" s="6" t="s">
        <v>33750</v>
      </c>
      <c r="C5767" s="13">
        <v>1390</v>
      </c>
      <c r="D5767" s="8" t="s">
        <v>33751</v>
      </c>
      <c r="E5767" s="8" t="s">
        <v>33752</v>
      </c>
      <c r="F5767" s="8" t="s">
        <v>7468</v>
      </c>
      <c r="G5767" s="6" t="s">
        <v>52</v>
      </c>
      <c r="H5767" s="6" t="s">
        <v>53</v>
      </c>
      <c r="I5767" s="8" t="s">
        <v>116</v>
      </c>
      <c r="J5767" s="9">
        <v>1</v>
      </c>
      <c r="K5767" s="9">
        <v>248</v>
      </c>
      <c r="L5767" s="9">
        <v>2025</v>
      </c>
      <c r="M5767" s="8" t="s">
        <v>33753</v>
      </c>
      <c r="N5767" s="8" t="s">
        <v>41</v>
      </c>
      <c r="O5767" s="8" t="s">
        <v>118</v>
      </c>
      <c r="P5767" s="6" t="s">
        <v>43</v>
      </c>
      <c r="Q5767" s="8" t="s">
        <v>58</v>
      </c>
      <c r="R5767" s="10" t="s">
        <v>1291</v>
      </c>
      <c r="S5767" s="11"/>
      <c r="T5767" s="6" t="s">
        <v>299</v>
      </c>
      <c r="U5767" s="24" t="str">
        <f>HYPERLINK("https://media.infra-m.ru/2118/2118066/cover/2118066.jpg", "Обложка")</f>
        <v>Обложка</v>
      </c>
      <c r="V5767" s="24" t="str">
        <f>HYPERLINK("https://znanium.ru/catalog/product/2118066", "Ознакомиться")</f>
        <v>Ознакомиться</v>
      </c>
      <c r="W5767" s="8" t="s">
        <v>913</v>
      </c>
      <c r="X5767" s="6" t="s">
        <v>548</v>
      </c>
      <c r="Y5767" s="6"/>
      <c r="Z5767" s="6"/>
      <c r="AA5767" s="6" t="s">
        <v>818</v>
      </c>
      <c r="AB5767" s="8"/>
    </row>
    <row r="5768" spans="1:28" s="4" customFormat="1" ht="51.95" customHeight="1">
      <c r="A5768" s="5">
        <v>0</v>
      </c>
      <c r="B5768" s="6" t="s">
        <v>33754</v>
      </c>
      <c r="C5768" s="13">
        <v>1004.9</v>
      </c>
      <c r="D5768" s="8" t="s">
        <v>33755</v>
      </c>
      <c r="E5768" s="8" t="s">
        <v>33723</v>
      </c>
      <c r="F5768" s="8" t="s">
        <v>33756</v>
      </c>
      <c r="G5768" s="6" t="s">
        <v>52</v>
      </c>
      <c r="H5768" s="6" t="s">
        <v>53</v>
      </c>
      <c r="I5768" s="8" t="s">
        <v>90</v>
      </c>
      <c r="J5768" s="9">
        <v>1</v>
      </c>
      <c r="K5768" s="9">
        <v>224</v>
      </c>
      <c r="L5768" s="9">
        <v>2023</v>
      </c>
      <c r="M5768" s="8" t="s">
        <v>33757</v>
      </c>
      <c r="N5768" s="8" t="s">
        <v>41</v>
      </c>
      <c r="O5768" s="8" t="s">
        <v>118</v>
      </c>
      <c r="P5768" s="6" t="s">
        <v>43</v>
      </c>
      <c r="Q5768" s="8" t="s">
        <v>44</v>
      </c>
      <c r="R5768" s="10" t="s">
        <v>33758</v>
      </c>
      <c r="S5768" s="11" t="s">
        <v>33759</v>
      </c>
      <c r="T5768" s="6"/>
      <c r="U5768" s="24" t="str">
        <f>HYPERLINK("https://media.infra-m.ru/1921/1921415/cover/1921415.jpg", "Обложка")</f>
        <v>Обложка</v>
      </c>
      <c r="V5768" s="24" t="str">
        <f>HYPERLINK("https://znanium.ru/catalog/product/965342", "Ознакомиться")</f>
        <v>Ознакомиться</v>
      </c>
      <c r="W5768" s="8" t="s">
        <v>83</v>
      </c>
      <c r="X5768" s="6"/>
      <c r="Y5768" s="6"/>
      <c r="Z5768" s="6"/>
      <c r="AA5768" s="6" t="s">
        <v>47</v>
      </c>
      <c r="AB5768" s="8"/>
    </row>
    <row r="5769" spans="1:28" s="4" customFormat="1" ht="51.95" customHeight="1">
      <c r="A5769" s="5">
        <v>0</v>
      </c>
      <c r="B5769" s="6" t="s">
        <v>33760</v>
      </c>
      <c r="C5769" s="13">
        <v>1084.9000000000001</v>
      </c>
      <c r="D5769" s="8" t="s">
        <v>33761</v>
      </c>
      <c r="E5769" s="8" t="s">
        <v>33732</v>
      </c>
      <c r="F5769" s="8" t="s">
        <v>7468</v>
      </c>
      <c r="G5769" s="6" t="s">
        <v>52</v>
      </c>
      <c r="H5769" s="6" t="s">
        <v>53</v>
      </c>
      <c r="I5769" s="8" t="s">
        <v>90</v>
      </c>
      <c r="J5769" s="9">
        <v>1</v>
      </c>
      <c r="K5769" s="9">
        <v>240</v>
      </c>
      <c r="L5769" s="9">
        <v>2023</v>
      </c>
      <c r="M5769" s="8" t="s">
        <v>33762</v>
      </c>
      <c r="N5769" s="8" t="s">
        <v>41</v>
      </c>
      <c r="O5769" s="8" t="s">
        <v>118</v>
      </c>
      <c r="P5769" s="6" t="s">
        <v>43</v>
      </c>
      <c r="Q5769" s="8" t="s">
        <v>44</v>
      </c>
      <c r="R5769" s="10" t="s">
        <v>1291</v>
      </c>
      <c r="S5769" s="11" t="s">
        <v>33763</v>
      </c>
      <c r="T5769" s="6" t="s">
        <v>299</v>
      </c>
      <c r="U5769" s="24" t="str">
        <f>HYPERLINK("https://media.infra-m.ru/1911/1911827/cover/1911827.jpg", "Обложка")</f>
        <v>Обложка</v>
      </c>
      <c r="V5769" s="24" t="str">
        <f>HYPERLINK("https://znanium.ru/catalog/product/2118066", "Ознакомиться")</f>
        <v>Ознакомиться</v>
      </c>
      <c r="W5769" s="8" t="s">
        <v>913</v>
      </c>
      <c r="X5769" s="6"/>
      <c r="Y5769" s="6"/>
      <c r="Z5769" s="6"/>
      <c r="AA5769" s="6" t="s">
        <v>160</v>
      </c>
      <c r="AB5769" s="8"/>
    </row>
    <row r="5770" spans="1:28" s="4" customFormat="1" ht="51.95" customHeight="1">
      <c r="A5770" s="5">
        <v>0</v>
      </c>
      <c r="B5770" s="6" t="s">
        <v>33764</v>
      </c>
      <c r="C5770" s="13">
        <v>1134</v>
      </c>
      <c r="D5770" s="8" t="s">
        <v>33765</v>
      </c>
      <c r="E5770" s="8" t="s">
        <v>33723</v>
      </c>
      <c r="F5770" s="8" t="s">
        <v>4491</v>
      </c>
      <c r="G5770" s="6" t="s">
        <v>52</v>
      </c>
      <c r="H5770" s="6" t="s">
        <v>53</v>
      </c>
      <c r="I5770" s="8" t="s">
        <v>90</v>
      </c>
      <c r="J5770" s="9">
        <v>1</v>
      </c>
      <c r="K5770" s="9">
        <v>247</v>
      </c>
      <c r="L5770" s="9">
        <v>2023</v>
      </c>
      <c r="M5770" s="8" t="s">
        <v>33766</v>
      </c>
      <c r="N5770" s="8" t="s">
        <v>41</v>
      </c>
      <c r="O5770" s="8" t="s">
        <v>118</v>
      </c>
      <c r="P5770" s="6" t="s">
        <v>43</v>
      </c>
      <c r="Q5770" s="8" t="s">
        <v>44</v>
      </c>
      <c r="R5770" s="10" t="s">
        <v>33767</v>
      </c>
      <c r="S5770" s="11" t="s">
        <v>11276</v>
      </c>
      <c r="T5770" s="6"/>
      <c r="U5770" s="24" t="str">
        <f>HYPERLINK("https://media.infra-m.ru/1892/1892017/cover/1892017.jpg", "Обложка")</f>
        <v>Обложка</v>
      </c>
      <c r="V5770" s="24" t="str">
        <f>HYPERLINK("https://znanium.ru/catalog/product/1047178", "Ознакомиться")</f>
        <v>Ознакомиться</v>
      </c>
      <c r="W5770" s="8" t="s">
        <v>2392</v>
      </c>
      <c r="X5770" s="6"/>
      <c r="Y5770" s="6"/>
      <c r="Z5770" s="6"/>
      <c r="AA5770" s="6" t="s">
        <v>442</v>
      </c>
      <c r="AB5770" s="8"/>
    </row>
    <row r="5771" spans="1:28" s="4" customFormat="1" ht="51.95" customHeight="1">
      <c r="A5771" s="5">
        <v>0</v>
      </c>
      <c r="B5771" s="6" t="s">
        <v>33768</v>
      </c>
      <c r="C5771" s="13">
        <v>1094</v>
      </c>
      <c r="D5771" s="8" t="s">
        <v>33769</v>
      </c>
      <c r="E5771" s="8" t="s">
        <v>33723</v>
      </c>
      <c r="F5771" s="8" t="s">
        <v>33770</v>
      </c>
      <c r="G5771" s="6" t="s">
        <v>52</v>
      </c>
      <c r="H5771" s="6" t="s">
        <v>53</v>
      </c>
      <c r="I5771" s="8" t="s">
        <v>90</v>
      </c>
      <c r="J5771" s="9">
        <v>1</v>
      </c>
      <c r="K5771" s="9">
        <v>236</v>
      </c>
      <c r="L5771" s="9">
        <v>2024</v>
      </c>
      <c r="M5771" s="8" t="s">
        <v>33771</v>
      </c>
      <c r="N5771" s="8" t="s">
        <v>41</v>
      </c>
      <c r="O5771" s="8" t="s">
        <v>118</v>
      </c>
      <c r="P5771" s="6" t="s">
        <v>43</v>
      </c>
      <c r="Q5771" s="8" t="s">
        <v>44</v>
      </c>
      <c r="R5771" s="10" t="s">
        <v>33744</v>
      </c>
      <c r="S5771" s="11" t="s">
        <v>33772</v>
      </c>
      <c r="T5771" s="6"/>
      <c r="U5771" s="24" t="str">
        <f>HYPERLINK("https://media.infra-m.ru/2061/2061519/cover/2061519.jpg", "Обложка")</f>
        <v>Обложка</v>
      </c>
      <c r="V5771" s="24" t="str">
        <f>HYPERLINK("https://znanium.ru/catalog/product/2061519", "Ознакомиться")</f>
        <v>Ознакомиться</v>
      </c>
      <c r="W5771" s="8" t="s">
        <v>83</v>
      </c>
      <c r="X5771" s="6"/>
      <c r="Y5771" s="6"/>
      <c r="Z5771" s="6"/>
      <c r="AA5771" s="6" t="s">
        <v>111</v>
      </c>
      <c r="AB5771" s="8"/>
    </row>
    <row r="5772" spans="1:28" s="4" customFormat="1" ht="42" customHeight="1">
      <c r="A5772" s="5">
        <v>0</v>
      </c>
      <c r="B5772" s="6" t="s">
        <v>33773</v>
      </c>
      <c r="C5772" s="7">
        <v>590</v>
      </c>
      <c r="D5772" s="8" t="s">
        <v>33774</v>
      </c>
      <c r="E5772" s="8" t="s">
        <v>33775</v>
      </c>
      <c r="F5772" s="8" t="s">
        <v>33776</v>
      </c>
      <c r="G5772" s="6" t="s">
        <v>38</v>
      </c>
      <c r="H5772" s="6" t="s">
        <v>77</v>
      </c>
      <c r="I5772" s="8"/>
      <c r="J5772" s="9">
        <v>1</v>
      </c>
      <c r="K5772" s="9">
        <v>188</v>
      </c>
      <c r="L5772" s="9">
        <v>2018</v>
      </c>
      <c r="M5772" s="8" t="s">
        <v>33777</v>
      </c>
      <c r="N5772" s="8" t="s">
        <v>41</v>
      </c>
      <c r="O5772" s="8" t="s">
        <v>1007</v>
      </c>
      <c r="P5772" s="6" t="s">
        <v>1046</v>
      </c>
      <c r="Q5772" s="8" t="s">
        <v>279</v>
      </c>
      <c r="R5772" s="10" t="s">
        <v>2713</v>
      </c>
      <c r="S5772" s="11"/>
      <c r="T5772" s="6"/>
      <c r="U5772" s="24" t="str">
        <f>HYPERLINK("https://media.infra-m.ru/0927/0927078/cover/927078.jpg", "Обложка")</f>
        <v>Обложка</v>
      </c>
      <c r="V5772" s="24" t="str">
        <f>HYPERLINK("https://znanium.ru/catalog/product/881931", "Ознакомиться")</f>
        <v>Ознакомиться</v>
      </c>
      <c r="W5772" s="8" t="s">
        <v>14156</v>
      </c>
      <c r="X5772" s="6"/>
      <c r="Y5772" s="6"/>
      <c r="Z5772" s="6"/>
      <c r="AA5772" s="6" t="s">
        <v>442</v>
      </c>
      <c r="AB5772" s="8"/>
    </row>
    <row r="5773" spans="1:28" s="4" customFormat="1" ht="51.95" customHeight="1">
      <c r="A5773" s="5">
        <v>0</v>
      </c>
      <c r="B5773" s="6" t="s">
        <v>33778</v>
      </c>
      <c r="C5773" s="7">
        <v>954</v>
      </c>
      <c r="D5773" s="8" t="s">
        <v>33779</v>
      </c>
      <c r="E5773" s="8" t="s">
        <v>33780</v>
      </c>
      <c r="F5773" s="8" t="s">
        <v>27886</v>
      </c>
      <c r="G5773" s="6" t="s">
        <v>89</v>
      </c>
      <c r="H5773" s="6" t="s">
        <v>674</v>
      </c>
      <c r="I5773" s="8"/>
      <c r="J5773" s="9">
        <v>1</v>
      </c>
      <c r="K5773" s="9">
        <v>208</v>
      </c>
      <c r="L5773" s="9">
        <v>2023</v>
      </c>
      <c r="M5773" s="8" t="s">
        <v>33781</v>
      </c>
      <c r="N5773" s="8" t="s">
        <v>41</v>
      </c>
      <c r="O5773" s="8" t="s">
        <v>1007</v>
      </c>
      <c r="P5773" s="6" t="s">
        <v>43</v>
      </c>
      <c r="Q5773" s="8" t="s">
        <v>279</v>
      </c>
      <c r="R5773" s="10" t="s">
        <v>33782</v>
      </c>
      <c r="S5773" s="11"/>
      <c r="T5773" s="6"/>
      <c r="U5773" s="24" t="str">
        <f>HYPERLINK("https://media.infra-m.ru/2006/2006932/cover/2006932.jpg", "Обложка")</f>
        <v>Обложка</v>
      </c>
      <c r="V5773" s="24" t="str">
        <f>HYPERLINK("https://znanium.ru/catalog/product/2168170", "Ознакомиться")</f>
        <v>Ознакомиться</v>
      </c>
      <c r="W5773" s="8" t="s">
        <v>792</v>
      </c>
      <c r="X5773" s="6"/>
      <c r="Y5773" s="6"/>
      <c r="Z5773" s="6"/>
      <c r="AA5773" s="6" t="s">
        <v>95</v>
      </c>
      <c r="AB5773" s="8"/>
    </row>
    <row r="5774" spans="1:28" s="4" customFormat="1" ht="51.95" customHeight="1">
      <c r="A5774" s="5">
        <v>0</v>
      </c>
      <c r="B5774" s="6" t="s">
        <v>33783</v>
      </c>
      <c r="C5774" s="13">
        <v>1240</v>
      </c>
      <c r="D5774" s="8" t="s">
        <v>33784</v>
      </c>
      <c r="E5774" s="8" t="s">
        <v>33785</v>
      </c>
      <c r="F5774" s="8" t="s">
        <v>33786</v>
      </c>
      <c r="G5774" s="6" t="s">
        <v>89</v>
      </c>
      <c r="H5774" s="6" t="s">
        <v>674</v>
      </c>
      <c r="I5774" s="8"/>
      <c r="J5774" s="9">
        <v>1</v>
      </c>
      <c r="K5774" s="9">
        <v>248</v>
      </c>
      <c r="L5774" s="9">
        <v>2025</v>
      </c>
      <c r="M5774" s="8" t="s">
        <v>33787</v>
      </c>
      <c r="N5774" s="8" t="s">
        <v>41</v>
      </c>
      <c r="O5774" s="8" t="s">
        <v>1007</v>
      </c>
      <c r="P5774" s="6" t="s">
        <v>43</v>
      </c>
      <c r="Q5774" s="8" t="s">
        <v>279</v>
      </c>
      <c r="R5774" s="10" t="s">
        <v>33782</v>
      </c>
      <c r="S5774" s="11"/>
      <c r="T5774" s="6"/>
      <c r="U5774" s="24" t="str">
        <f>HYPERLINK("https://media.infra-m.ru/2168/2168170/cover/2168170.jpg", "Обложка")</f>
        <v>Обложка</v>
      </c>
      <c r="V5774" s="24" t="str">
        <f>HYPERLINK("https://znanium.ru/catalog/product/2168170", "Ознакомиться")</f>
        <v>Ознакомиться</v>
      </c>
      <c r="W5774" s="8" t="s">
        <v>4293</v>
      </c>
      <c r="X5774" s="6" t="s">
        <v>1049</v>
      </c>
      <c r="Y5774" s="6"/>
      <c r="Z5774" s="6"/>
      <c r="AA5774" s="6" t="s">
        <v>818</v>
      </c>
      <c r="AB5774" s="8"/>
    </row>
    <row r="5775" spans="1:28" s="4" customFormat="1" ht="51.95" customHeight="1">
      <c r="A5775" s="5">
        <v>0</v>
      </c>
      <c r="B5775" s="6" t="s">
        <v>33788</v>
      </c>
      <c r="C5775" s="7">
        <v>600</v>
      </c>
      <c r="D5775" s="8" t="s">
        <v>33789</v>
      </c>
      <c r="E5775" s="8" t="s">
        <v>33790</v>
      </c>
      <c r="F5775" s="8" t="s">
        <v>27886</v>
      </c>
      <c r="G5775" s="6" t="s">
        <v>52</v>
      </c>
      <c r="H5775" s="6" t="s">
        <v>674</v>
      </c>
      <c r="I5775" s="8"/>
      <c r="J5775" s="9">
        <v>1</v>
      </c>
      <c r="K5775" s="9">
        <v>176</v>
      </c>
      <c r="L5775" s="9">
        <v>2018</v>
      </c>
      <c r="M5775" s="8" t="s">
        <v>33791</v>
      </c>
      <c r="N5775" s="8" t="s">
        <v>41</v>
      </c>
      <c r="O5775" s="8" t="s">
        <v>1007</v>
      </c>
      <c r="P5775" s="6" t="s">
        <v>43</v>
      </c>
      <c r="Q5775" s="8" t="s">
        <v>279</v>
      </c>
      <c r="R5775" s="10" t="s">
        <v>33782</v>
      </c>
      <c r="S5775" s="11"/>
      <c r="T5775" s="6"/>
      <c r="U5775" s="24" t="str">
        <f>HYPERLINK("https://media.infra-m.ru/0948/0948180/cover/948180.jpg", "Обложка")</f>
        <v>Обложка</v>
      </c>
      <c r="V5775" s="24" t="str">
        <f>HYPERLINK("https://znanium.ru/catalog/product/2168170", "Ознакомиться")</f>
        <v>Ознакомиться</v>
      </c>
      <c r="W5775" s="8" t="s">
        <v>792</v>
      </c>
      <c r="X5775" s="6"/>
      <c r="Y5775" s="6"/>
      <c r="Z5775" s="6"/>
      <c r="AA5775" s="6" t="s">
        <v>151</v>
      </c>
      <c r="AB5775" s="8"/>
    </row>
    <row r="5776" spans="1:28" s="4" customFormat="1" ht="42" customHeight="1">
      <c r="A5776" s="5">
        <v>0</v>
      </c>
      <c r="B5776" s="6" t="s">
        <v>33792</v>
      </c>
      <c r="C5776" s="13">
        <v>1574</v>
      </c>
      <c r="D5776" s="8" t="s">
        <v>33793</v>
      </c>
      <c r="E5776" s="8" t="s">
        <v>33794</v>
      </c>
      <c r="F5776" s="8" t="s">
        <v>33795</v>
      </c>
      <c r="G5776" s="6" t="s">
        <v>52</v>
      </c>
      <c r="H5776" s="6" t="s">
        <v>77</v>
      </c>
      <c r="I5776" s="8"/>
      <c r="J5776" s="9">
        <v>1</v>
      </c>
      <c r="K5776" s="9">
        <v>343</v>
      </c>
      <c r="L5776" s="9">
        <v>2024</v>
      </c>
      <c r="M5776" s="8" t="s">
        <v>33796</v>
      </c>
      <c r="N5776" s="8" t="s">
        <v>41</v>
      </c>
      <c r="O5776" s="8" t="s">
        <v>1007</v>
      </c>
      <c r="P5776" s="6" t="s">
        <v>167</v>
      </c>
      <c r="Q5776" s="8" t="s">
        <v>279</v>
      </c>
      <c r="R5776" s="10" t="s">
        <v>33797</v>
      </c>
      <c r="S5776" s="11"/>
      <c r="T5776" s="6"/>
      <c r="U5776" s="24" t="str">
        <f>HYPERLINK("https://media.infra-m.ru/2079/2079595/cover/2079595.jpg", "Обложка")</f>
        <v>Обложка</v>
      </c>
      <c r="V5776" s="24" t="str">
        <f>HYPERLINK("https://znanium.ru/catalog/product/1167949", "Ознакомиться")</f>
        <v>Ознакомиться</v>
      </c>
      <c r="W5776" s="8" t="s">
        <v>83</v>
      </c>
      <c r="X5776" s="6"/>
      <c r="Y5776" s="6"/>
      <c r="Z5776" s="6"/>
      <c r="AA5776" s="6" t="s">
        <v>326</v>
      </c>
      <c r="AB5776" s="8"/>
    </row>
    <row r="5777" spans="1:28" s="4" customFormat="1" ht="44.1" customHeight="1">
      <c r="A5777" s="5">
        <v>0</v>
      </c>
      <c r="B5777" s="6" t="s">
        <v>33798</v>
      </c>
      <c r="C5777" s="13">
        <v>1714.9</v>
      </c>
      <c r="D5777" s="8" t="s">
        <v>33799</v>
      </c>
      <c r="E5777" s="8" t="s">
        <v>33800</v>
      </c>
      <c r="F5777" s="8" t="s">
        <v>33801</v>
      </c>
      <c r="G5777" s="6" t="s">
        <v>52</v>
      </c>
      <c r="H5777" s="6" t="s">
        <v>77</v>
      </c>
      <c r="I5777" s="8"/>
      <c r="J5777" s="9">
        <v>1</v>
      </c>
      <c r="K5777" s="9">
        <v>464</v>
      </c>
      <c r="L5777" s="9">
        <v>2021</v>
      </c>
      <c r="M5777" s="8" t="s">
        <v>33802</v>
      </c>
      <c r="N5777" s="8" t="s">
        <v>41</v>
      </c>
      <c r="O5777" s="8" t="s">
        <v>1007</v>
      </c>
      <c r="P5777" s="6" t="s">
        <v>167</v>
      </c>
      <c r="Q5777" s="8" t="s">
        <v>44</v>
      </c>
      <c r="R5777" s="10" t="s">
        <v>33803</v>
      </c>
      <c r="S5777" s="11"/>
      <c r="T5777" s="6" t="s">
        <v>299</v>
      </c>
      <c r="U5777" s="24" t="str">
        <f>HYPERLINK("https://media.infra-m.ru/1658/1658736/cover/1658736.jpg", "Обложка")</f>
        <v>Обложка</v>
      </c>
      <c r="V5777" s="24" t="str">
        <f>HYPERLINK("https://znanium.ru/catalog/product/1658736", "Ознакомиться")</f>
        <v>Ознакомиться</v>
      </c>
      <c r="W5777" s="8" t="s">
        <v>83</v>
      </c>
      <c r="X5777" s="6"/>
      <c r="Y5777" s="6"/>
      <c r="Z5777" s="6"/>
      <c r="AA5777" s="6" t="s">
        <v>111</v>
      </c>
      <c r="AB5777" s="8"/>
    </row>
    <row r="5778" spans="1:28" s="4" customFormat="1" ht="51.95" customHeight="1">
      <c r="A5778" s="5">
        <v>0</v>
      </c>
      <c r="B5778" s="6" t="s">
        <v>33804</v>
      </c>
      <c r="C5778" s="13">
        <v>1274</v>
      </c>
      <c r="D5778" s="8" t="s">
        <v>33805</v>
      </c>
      <c r="E5778" s="8" t="s">
        <v>33806</v>
      </c>
      <c r="F5778" s="8" t="s">
        <v>33807</v>
      </c>
      <c r="G5778" s="6" t="s">
        <v>52</v>
      </c>
      <c r="H5778" s="6" t="s">
        <v>53</v>
      </c>
      <c r="I5778" s="8" t="s">
        <v>90</v>
      </c>
      <c r="J5778" s="9">
        <v>1</v>
      </c>
      <c r="K5778" s="9">
        <v>280</v>
      </c>
      <c r="L5778" s="9">
        <v>2023</v>
      </c>
      <c r="M5778" s="8" t="s">
        <v>33808</v>
      </c>
      <c r="N5778" s="8" t="s">
        <v>41</v>
      </c>
      <c r="O5778" s="8" t="s">
        <v>1007</v>
      </c>
      <c r="P5778" s="6" t="s">
        <v>167</v>
      </c>
      <c r="Q5778" s="8" t="s">
        <v>44</v>
      </c>
      <c r="R5778" s="10" t="s">
        <v>157</v>
      </c>
      <c r="S5778" s="11" t="s">
        <v>2366</v>
      </c>
      <c r="T5778" s="6"/>
      <c r="U5778" s="24" t="str">
        <f>HYPERLINK("https://media.infra-m.ru/2021/2021410/cover/2021410.jpg", "Обложка")</f>
        <v>Обложка</v>
      </c>
      <c r="V5778" s="24" t="str">
        <f>HYPERLINK("https://znanium.ru/catalog/product/989921", "Ознакомиться")</f>
        <v>Ознакомиться</v>
      </c>
      <c r="W5778" s="8" t="s">
        <v>354</v>
      </c>
      <c r="X5778" s="6"/>
      <c r="Y5778" s="6"/>
      <c r="Z5778" s="6"/>
      <c r="AA5778" s="6" t="s">
        <v>258</v>
      </c>
      <c r="AB5778" s="8" t="s">
        <v>840</v>
      </c>
    </row>
    <row r="5779" spans="1:28" s="4" customFormat="1" ht="51.95" customHeight="1">
      <c r="A5779" s="5">
        <v>0</v>
      </c>
      <c r="B5779" s="6" t="s">
        <v>33809</v>
      </c>
      <c r="C5779" s="13">
        <v>2194.9</v>
      </c>
      <c r="D5779" s="8" t="s">
        <v>33810</v>
      </c>
      <c r="E5779" s="8" t="s">
        <v>33811</v>
      </c>
      <c r="F5779" s="8" t="s">
        <v>33812</v>
      </c>
      <c r="G5779" s="6" t="s">
        <v>89</v>
      </c>
      <c r="H5779" s="6" t="s">
        <v>53</v>
      </c>
      <c r="I5779" s="8" t="s">
        <v>90</v>
      </c>
      <c r="J5779" s="9">
        <v>1</v>
      </c>
      <c r="K5779" s="9">
        <v>622</v>
      </c>
      <c r="L5779" s="9">
        <v>2023</v>
      </c>
      <c r="M5779" s="8" t="s">
        <v>33813</v>
      </c>
      <c r="N5779" s="8" t="s">
        <v>41</v>
      </c>
      <c r="O5779" s="8" t="s">
        <v>1007</v>
      </c>
      <c r="P5779" s="6" t="s">
        <v>167</v>
      </c>
      <c r="Q5779" s="8" t="s">
        <v>44</v>
      </c>
      <c r="R5779" s="10" t="s">
        <v>3481</v>
      </c>
      <c r="S5779" s="11" t="s">
        <v>33814</v>
      </c>
      <c r="T5779" s="6" t="s">
        <v>299</v>
      </c>
      <c r="U5779" s="24" t="str">
        <f>HYPERLINK("https://media.infra-m.ru/1900/1900719/cover/1900719.jpg", "Обложка")</f>
        <v>Обложка</v>
      </c>
      <c r="V5779" s="24" t="str">
        <f>HYPERLINK("https://znanium.ru/catalog/product/1900719", "Ознакомиться")</f>
        <v>Ознакомиться</v>
      </c>
      <c r="W5779" s="8" t="s">
        <v>83</v>
      </c>
      <c r="X5779" s="6"/>
      <c r="Y5779" s="6"/>
      <c r="Z5779" s="6"/>
      <c r="AA5779" s="6" t="s">
        <v>5325</v>
      </c>
      <c r="AB5779" s="8"/>
    </row>
    <row r="5780" spans="1:28" s="4" customFormat="1" ht="51.95" customHeight="1">
      <c r="A5780" s="5">
        <v>0</v>
      </c>
      <c r="B5780" s="6" t="s">
        <v>33815</v>
      </c>
      <c r="C5780" s="7">
        <v>894.9</v>
      </c>
      <c r="D5780" s="8" t="s">
        <v>33816</v>
      </c>
      <c r="E5780" s="8" t="s">
        <v>33817</v>
      </c>
      <c r="F5780" s="8" t="s">
        <v>33818</v>
      </c>
      <c r="G5780" s="6" t="s">
        <v>52</v>
      </c>
      <c r="H5780" s="6" t="s">
        <v>53</v>
      </c>
      <c r="I5780" s="8" t="s">
        <v>116</v>
      </c>
      <c r="J5780" s="9">
        <v>10</v>
      </c>
      <c r="K5780" s="9">
        <v>784</v>
      </c>
      <c r="L5780" s="9">
        <v>2016</v>
      </c>
      <c r="M5780" s="8" t="s">
        <v>33819</v>
      </c>
      <c r="N5780" s="8" t="s">
        <v>41</v>
      </c>
      <c r="O5780" s="8" t="s">
        <v>1007</v>
      </c>
      <c r="P5780" s="6" t="s">
        <v>167</v>
      </c>
      <c r="Q5780" s="8" t="s">
        <v>44</v>
      </c>
      <c r="R5780" s="10" t="s">
        <v>3481</v>
      </c>
      <c r="S5780" s="11" t="s">
        <v>33820</v>
      </c>
      <c r="T5780" s="6"/>
      <c r="U5780" s="24" t="str">
        <f>HYPERLINK("https://media.infra-m.ru/0548/0548451/cover/548451.jpg", "Обложка")</f>
        <v>Обложка</v>
      </c>
      <c r="V5780" s="24" t="str">
        <f>HYPERLINK("https://znanium.ru/catalog/product/1900719", "Ознакомиться")</f>
        <v>Ознакомиться</v>
      </c>
      <c r="W5780" s="8" t="s">
        <v>83</v>
      </c>
      <c r="X5780" s="6"/>
      <c r="Y5780" s="6"/>
      <c r="Z5780" s="6"/>
      <c r="AA5780" s="6" t="s">
        <v>8285</v>
      </c>
      <c r="AB5780" s="8"/>
    </row>
    <row r="5781" spans="1:28" s="4" customFormat="1" ht="51.95" customHeight="1">
      <c r="A5781" s="5">
        <v>0</v>
      </c>
      <c r="B5781" s="6" t="s">
        <v>33821</v>
      </c>
      <c r="C5781" s="13">
        <v>1090</v>
      </c>
      <c r="D5781" s="8" t="s">
        <v>33822</v>
      </c>
      <c r="E5781" s="8" t="s">
        <v>33823</v>
      </c>
      <c r="F5781" s="8" t="s">
        <v>4491</v>
      </c>
      <c r="G5781" s="6" t="s">
        <v>52</v>
      </c>
      <c r="H5781" s="6" t="s">
        <v>53</v>
      </c>
      <c r="I5781" s="8" t="s">
        <v>116</v>
      </c>
      <c r="J5781" s="9">
        <v>1</v>
      </c>
      <c r="K5781" s="9">
        <v>222</v>
      </c>
      <c r="L5781" s="9">
        <v>2024</v>
      </c>
      <c r="M5781" s="8" t="s">
        <v>33824</v>
      </c>
      <c r="N5781" s="8" t="s">
        <v>41</v>
      </c>
      <c r="O5781" s="8" t="s">
        <v>1007</v>
      </c>
      <c r="P5781" s="6" t="s">
        <v>167</v>
      </c>
      <c r="Q5781" s="8" t="s">
        <v>44</v>
      </c>
      <c r="R5781" s="10" t="s">
        <v>33825</v>
      </c>
      <c r="S5781" s="11"/>
      <c r="T5781" s="6"/>
      <c r="U5781" s="24" t="str">
        <f>HYPERLINK("https://media.infra-m.ru/1846/1846126/cover/1846126.jpg", "Обложка")</f>
        <v>Обложка</v>
      </c>
      <c r="V5781" s="24" t="str">
        <f>HYPERLINK("https://znanium.ru/catalog/product/1846126", "Ознакомиться")</f>
        <v>Ознакомиться</v>
      </c>
      <c r="W5781" s="8" t="s">
        <v>2392</v>
      </c>
      <c r="X5781" s="6"/>
      <c r="Y5781" s="6"/>
      <c r="Z5781" s="6"/>
      <c r="AA5781" s="6" t="s">
        <v>133</v>
      </c>
      <c r="AB5781" s="8"/>
    </row>
    <row r="5782" spans="1:28" s="4" customFormat="1" ht="51.95" customHeight="1">
      <c r="A5782" s="5">
        <v>0</v>
      </c>
      <c r="B5782" s="6" t="s">
        <v>33826</v>
      </c>
      <c r="C5782" s="13">
        <v>2020</v>
      </c>
      <c r="D5782" s="8" t="s">
        <v>33827</v>
      </c>
      <c r="E5782" s="8" t="s">
        <v>33828</v>
      </c>
      <c r="F5782" s="8" t="s">
        <v>33829</v>
      </c>
      <c r="G5782" s="6" t="s">
        <v>89</v>
      </c>
      <c r="H5782" s="6" t="s">
        <v>53</v>
      </c>
      <c r="I5782" s="8" t="s">
        <v>116</v>
      </c>
      <c r="J5782" s="9">
        <v>1</v>
      </c>
      <c r="K5782" s="9">
        <v>398</v>
      </c>
      <c r="L5782" s="9">
        <v>2025</v>
      </c>
      <c r="M5782" s="8" t="s">
        <v>33830</v>
      </c>
      <c r="N5782" s="8" t="s">
        <v>41</v>
      </c>
      <c r="O5782" s="8" t="s">
        <v>1007</v>
      </c>
      <c r="P5782" s="6" t="s">
        <v>43</v>
      </c>
      <c r="Q5782" s="8" t="s">
        <v>58</v>
      </c>
      <c r="R5782" s="10" t="s">
        <v>7881</v>
      </c>
      <c r="S5782" s="11" t="s">
        <v>33831</v>
      </c>
      <c r="T5782" s="6" t="s">
        <v>299</v>
      </c>
      <c r="U5782" s="24" t="str">
        <f>HYPERLINK("https://media.infra-m.ru/2132/2132495/cover/2132495.jpg", "Обложка")</f>
        <v>Обложка</v>
      </c>
      <c r="V5782" s="24" t="str">
        <f>HYPERLINK("https://znanium.ru/catalog/product/2132495", "Ознакомиться")</f>
        <v>Ознакомиться</v>
      </c>
      <c r="W5782" s="8" t="s">
        <v>33832</v>
      </c>
      <c r="X5782" s="6"/>
      <c r="Y5782" s="6"/>
      <c r="Z5782" s="6"/>
      <c r="AA5782" s="6" t="s">
        <v>84</v>
      </c>
      <c r="AB5782" s="8"/>
    </row>
    <row r="5783" spans="1:28" s="4" customFormat="1" ht="51.95" customHeight="1">
      <c r="A5783" s="5">
        <v>0</v>
      </c>
      <c r="B5783" s="6" t="s">
        <v>33833</v>
      </c>
      <c r="C5783" s="13">
        <v>1500</v>
      </c>
      <c r="D5783" s="8" t="s">
        <v>33834</v>
      </c>
      <c r="E5783" s="8" t="s">
        <v>33835</v>
      </c>
      <c r="F5783" s="8" t="s">
        <v>33836</v>
      </c>
      <c r="G5783" s="6" t="s">
        <v>89</v>
      </c>
      <c r="H5783" s="6" t="s">
        <v>53</v>
      </c>
      <c r="I5783" s="8" t="s">
        <v>1054</v>
      </c>
      <c r="J5783" s="9">
        <v>1</v>
      </c>
      <c r="K5783" s="9">
        <v>313</v>
      </c>
      <c r="L5783" s="9">
        <v>2023</v>
      </c>
      <c r="M5783" s="8" t="s">
        <v>33837</v>
      </c>
      <c r="N5783" s="8" t="s">
        <v>41</v>
      </c>
      <c r="O5783" s="8" t="s">
        <v>1007</v>
      </c>
      <c r="P5783" s="6" t="s">
        <v>167</v>
      </c>
      <c r="Q5783" s="8" t="s">
        <v>279</v>
      </c>
      <c r="R5783" s="10" t="s">
        <v>2713</v>
      </c>
      <c r="S5783" s="11" t="s">
        <v>33838</v>
      </c>
      <c r="T5783" s="6"/>
      <c r="U5783" s="24" t="str">
        <f>HYPERLINK("https://media.infra-m.ru/2001/2001663/cover/2001663.jpg", "Обложка")</f>
        <v>Обложка</v>
      </c>
      <c r="V5783" s="24" t="str">
        <f>HYPERLINK("https://znanium.ru/catalog/product/2001663", "Ознакомиться")</f>
        <v>Ознакомиться</v>
      </c>
      <c r="W5783" s="8" t="s">
        <v>83</v>
      </c>
      <c r="X5783" s="6"/>
      <c r="Y5783" s="6"/>
      <c r="Z5783" s="6"/>
      <c r="AA5783" s="6" t="s">
        <v>219</v>
      </c>
      <c r="AB5783" s="8" t="s">
        <v>1383</v>
      </c>
    </row>
    <row r="5784" spans="1:28" s="4" customFormat="1" ht="51.95" customHeight="1">
      <c r="A5784" s="5">
        <v>0</v>
      </c>
      <c r="B5784" s="6" t="s">
        <v>33839</v>
      </c>
      <c r="C5784" s="13">
        <v>3184</v>
      </c>
      <c r="D5784" s="8" t="s">
        <v>33840</v>
      </c>
      <c r="E5784" s="8" t="s">
        <v>33841</v>
      </c>
      <c r="F5784" s="8" t="s">
        <v>33842</v>
      </c>
      <c r="G5784" s="6" t="s">
        <v>52</v>
      </c>
      <c r="H5784" s="6" t="s">
        <v>53</v>
      </c>
      <c r="I5784" s="8" t="s">
        <v>116</v>
      </c>
      <c r="J5784" s="9">
        <v>1</v>
      </c>
      <c r="K5784" s="9">
        <v>612</v>
      </c>
      <c r="L5784" s="9">
        <v>2025</v>
      </c>
      <c r="M5784" s="8" t="s">
        <v>33843</v>
      </c>
      <c r="N5784" s="8" t="s">
        <v>41</v>
      </c>
      <c r="O5784" s="8" t="s">
        <v>1007</v>
      </c>
      <c r="P5784" s="6" t="s">
        <v>167</v>
      </c>
      <c r="Q5784" s="8" t="s">
        <v>44</v>
      </c>
      <c r="R5784" s="10" t="s">
        <v>33844</v>
      </c>
      <c r="S5784" s="11" t="s">
        <v>33845</v>
      </c>
      <c r="T5784" s="6"/>
      <c r="U5784" s="24" t="str">
        <f>HYPERLINK("https://media.infra-m.ru/2196/2196881/cover/2196881.jpg", "Обложка")</f>
        <v>Обложка</v>
      </c>
      <c r="V5784" s="24" t="str">
        <f>HYPERLINK("https://znanium.ru/catalog/product/447391", "Ознакомиться")</f>
        <v>Ознакомиться</v>
      </c>
      <c r="W5784" s="8" t="s">
        <v>947</v>
      </c>
      <c r="X5784" s="6"/>
      <c r="Y5784" s="6"/>
      <c r="Z5784" s="6"/>
      <c r="AA5784" s="6" t="s">
        <v>813</v>
      </c>
      <c r="AB5784" s="8"/>
    </row>
    <row r="5785" spans="1:28" s="4" customFormat="1" ht="51.95" customHeight="1">
      <c r="A5785" s="5">
        <v>0</v>
      </c>
      <c r="B5785" s="6" t="s">
        <v>33846</v>
      </c>
      <c r="C5785" s="13">
        <v>2304</v>
      </c>
      <c r="D5785" s="8" t="s">
        <v>33847</v>
      </c>
      <c r="E5785" s="8" t="s">
        <v>33841</v>
      </c>
      <c r="F5785" s="8" t="s">
        <v>33848</v>
      </c>
      <c r="G5785" s="6" t="s">
        <v>89</v>
      </c>
      <c r="H5785" s="6" t="s">
        <v>952</v>
      </c>
      <c r="I5785" s="8"/>
      <c r="J5785" s="9">
        <v>1</v>
      </c>
      <c r="K5785" s="9">
        <v>912</v>
      </c>
      <c r="L5785" s="9">
        <v>2024</v>
      </c>
      <c r="M5785" s="8" t="s">
        <v>33849</v>
      </c>
      <c r="N5785" s="8" t="s">
        <v>41</v>
      </c>
      <c r="O5785" s="8" t="s">
        <v>1007</v>
      </c>
      <c r="P5785" s="6" t="s">
        <v>167</v>
      </c>
      <c r="Q5785" s="8" t="s">
        <v>44</v>
      </c>
      <c r="R5785" s="10" t="s">
        <v>33850</v>
      </c>
      <c r="S5785" s="11" t="s">
        <v>33851</v>
      </c>
      <c r="T5785" s="6"/>
      <c r="U5785" s="24" t="str">
        <f>HYPERLINK("https://media.infra-m.ru/2145/2145208/cover/2145208.jpg", "Обложка")</f>
        <v>Обложка</v>
      </c>
      <c r="V5785" s="24" t="str">
        <f>HYPERLINK("https://znanium.ru/catalog/product/1932278", "Ознакомиться")</f>
        <v>Ознакомиться</v>
      </c>
      <c r="W5785" s="8" t="s">
        <v>2988</v>
      </c>
      <c r="X5785" s="6"/>
      <c r="Y5785" s="6"/>
      <c r="Z5785" s="6"/>
      <c r="AA5785" s="6" t="s">
        <v>1461</v>
      </c>
      <c r="AB5785" s="8"/>
    </row>
    <row r="5786" spans="1:28" s="4" customFormat="1" ht="51.95" customHeight="1">
      <c r="A5786" s="5">
        <v>0</v>
      </c>
      <c r="B5786" s="6" t="s">
        <v>33852</v>
      </c>
      <c r="C5786" s="13">
        <v>1040</v>
      </c>
      <c r="D5786" s="8" t="s">
        <v>33853</v>
      </c>
      <c r="E5786" s="8" t="s">
        <v>33854</v>
      </c>
      <c r="F5786" s="8" t="s">
        <v>33855</v>
      </c>
      <c r="G5786" s="6" t="s">
        <v>89</v>
      </c>
      <c r="H5786" s="6" t="s">
        <v>53</v>
      </c>
      <c r="I5786" s="8" t="s">
        <v>116</v>
      </c>
      <c r="J5786" s="9">
        <v>1</v>
      </c>
      <c r="K5786" s="9">
        <v>201</v>
      </c>
      <c r="L5786" s="9">
        <v>2025</v>
      </c>
      <c r="M5786" s="8" t="s">
        <v>33856</v>
      </c>
      <c r="N5786" s="8" t="s">
        <v>41</v>
      </c>
      <c r="O5786" s="8" t="s">
        <v>1007</v>
      </c>
      <c r="P5786" s="6" t="s">
        <v>167</v>
      </c>
      <c r="Q5786" s="8" t="s">
        <v>279</v>
      </c>
      <c r="R5786" s="10" t="s">
        <v>33857</v>
      </c>
      <c r="S5786" s="11" t="s">
        <v>33858</v>
      </c>
      <c r="T5786" s="6"/>
      <c r="U5786" s="24" t="str">
        <f>HYPERLINK("https://media.infra-m.ru/2187/2187017/cover/2187017.jpg", "Обложка")</f>
        <v>Обложка</v>
      </c>
      <c r="V5786" s="24" t="str">
        <f>HYPERLINK("https://znanium.ru/catalog/product/2187017", "Ознакомиться")</f>
        <v>Ознакомиться</v>
      </c>
      <c r="W5786" s="8" t="s">
        <v>189</v>
      </c>
      <c r="X5786" s="6"/>
      <c r="Y5786" s="6"/>
      <c r="Z5786" s="6"/>
      <c r="AA5786" s="6" t="s">
        <v>219</v>
      </c>
      <c r="AB5786" s="8"/>
    </row>
    <row r="5787" spans="1:28" s="4" customFormat="1" ht="51.95" customHeight="1">
      <c r="A5787" s="5">
        <v>0</v>
      </c>
      <c r="B5787" s="6" t="s">
        <v>33859</v>
      </c>
      <c r="C5787" s="13">
        <v>2590</v>
      </c>
      <c r="D5787" s="8" t="s">
        <v>33860</v>
      </c>
      <c r="E5787" s="8" t="s">
        <v>33861</v>
      </c>
      <c r="F5787" s="8" t="s">
        <v>33862</v>
      </c>
      <c r="G5787" s="6" t="s">
        <v>52</v>
      </c>
      <c r="H5787" s="6" t="s">
        <v>53</v>
      </c>
      <c r="I5787" s="8" t="s">
        <v>116</v>
      </c>
      <c r="J5787" s="9">
        <v>1</v>
      </c>
      <c r="K5787" s="9">
        <v>492</v>
      </c>
      <c r="L5787" s="9">
        <v>2025</v>
      </c>
      <c r="M5787" s="8" t="s">
        <v>33863</v>
      </c>
      <c r="N5787" s="8" t="s">
        <v>41</v>
      </c>
      <c r="O5787" s="8" t="s">
        <v>1007</v>
      </c>
      <c r="P5787" s="6" t="s">
        <v>167</v>
      </c>
      <c r="Q5787" s="8" t="s">
        <v>44</v>
      </c>
      <c r="R5787" s="10" t="s">
        <v>33864</v>
      </c>
      <c r="S5787" s="11" t="s">
        <v>33865</v>
      </c>
      <c r="T5787" s="6"/>
      <c r="U5787" s="24" t="str">
        <f>HYPERLINK("https://media.infra-m.ru/2167/2167465/cover/2167465.jpg", "Обложка")</f>
        <v>Обложка</v>
      </c>
      <c r="V5787" s="24" t="str">
        <f>HYPERLINK("https://znanium.ru/catalog/product/2167465", "Ознакомиться")</f>
        <v>Ознакомиться</v>
      </c>
      <c r="W5787" s="8" t="s">
        <v>1345</v>
      </c>
      <c r="X5787" s="6" t="s">
        <v>60</v>
      </c>
      <c r="Y5787" s="6"/>
      <c r="Z5787" s="6"/>
      <c r="AA5787" s="6" t="s">
        <v>61</v>
      </c>
      <c r="AB5787" s="8"/>
    </row>
    <row r="5788" spans="1:28" s="4" customFormat="1" ht="51.95" customHeight="1">
      <c r="A5788" s="5">
        <v>0</v>
      </c>
      <c r="B5788" s="6" t="s">
        <v>33866</v>
      </c>
      <c r="C5788" s="13">
        <v>1834</v>
      </c>
      <c r="D5788" s="8" t="s">
        <v>33867</v>
      </c>
      <c r="E5788" s="8" t="s">
        <v>33868</v>
      </c>
      <c r="F5788" s="8" t="s">
        <v>33869</v>
      </c>
      <c r="G5788" s="6" t="s">
        <v>52</v>
      </c>
      <c r="H5788" s="6" t="s">
        <v>952</v>
      </c>
      <c r="I5788" s="8"/>
      <c r="J5788" s="9">
        <v>1</v>
      </c>
      <c r="K5788" s="9">
        <v>352</v>
      </c>
      <c r="L5788" s="9">
        <v>2025</v>
      </c>
      <c r="M5788" s="8" t="s">
        <v>33870</v>
      </c>
      <c r="N5788" s="8" t="s">
        <v>41</v>
      </c>
      <c r="O5788" s="8" t="s">
        <v>1007</v>
      </c>
      <c r="P5788" s="6" t="s">
        <v>167</v>
      </c>
      <c r="Q5788" s="8" t="s">
        <v>44</v>
      </c>
      <c r="R5788" s="10" t="s">
        <v>33871</v>
      </c>
      <c r="S5788" s="11" t="s">
        <v>33872</v>
      </c>
      <c r="T5788" s="6"/>
      <c r="U5788" s="24" t="str">
        <f>HYPERLINK("https://media.infra-m.ru/2188/2188744/cover/2188744.jpg", "Обложка")</f>
        <v>Обложка</v>
      </c>
      <c r="V5788" s="24" t="str">
        <f>HYPERLINK("https://znanium.ru/catalog/product/1891638", "Ознакомиться")</f>
        <v>Ознакомиться</v>
      </c>
      <c r="W5788" s="8" t="s">
        <v>189</v>
      </c>
      <c r="X5788" s="6"/>
      <c r="Y5788" s="6"/>
      <c r="Z5788" s="6"/>
      <c r="AA5788" s="6" t="s">
        <v>72</v>
      </c>
      <c r="AB5788" s="8"/>
    </row>
    <row r="5789" spans="1:28" s="4" customFormat="1" ht="51.95" customHeight="1">
      <c r="A5789" s="5">
        <v>0</v>
      </c>
      <c r="B5789" s="6" t="s">
        <v>33873</v>
      </c>
      <c r="C5789" s="13">
        <v>1280</v>
      </c>
      <c r="D5789" s="8" t="s">
        <v>33874</v>
      </c>
      <c r="E5789" s="8" t="s">
        <v>33875</v>
      </c>
      <c r="F5789" s="8" t="s">
        <v>33876</v>
      </c>
      <c r="G5789" s="6" t="s">
        <v>89</v>
      </c>
      <c r="H5789" s="6" t="s">
        <v>53</v>
      </c>
      <c r="I5789" s="8" t="s">
        <v>90</v>
      </c>
      <c r="J5789" s="9">
        <v>1</v>
      </c>
      <c r="K5789" s="9">
        <v>285</v>
      </c>
      <c r="L5789" s="9">
        <v>2023</v>
      </c>
      <c r="M5789" s="8" t="s">
        <v>33877</v>
      </c>
      <c r="N5789" s="8" t="s">
        <v>41</v>
      </c>
      <c r="O5789" s="8" t="s">
        <v>1007</v>
      </c>
      <c r="P5789" s="6" t="s">
        <v>43</v>
      </c>
      <c r="Q5789" s="8" t="s">
        <v>44</v>
      </c>
      <c r="R5789" s="10" t="s">
        <v>3581</v>
      </c>
      <c r="S5789" s="11" t="s">
        <v>33878</v>
      </c>
      <c r="T5789" s="6"/>
      <c r="U5789" s="24" t="str">
        <f>HYPERLINK("https://media.infra-m.ru/1932/1932277/cover/1932277.jpg", "Обложка")</f>
        <v>Обложка</v>
      </c>
      <c r="V5789" s="24" t="str">
        <f>HYPERLINK("https://znanium.ru/catalog/product/1932277", "Ознакомиться")</f>
        <v>Ознакомиться</v>
      </c>
      <c r="W5789" s="8" t="s">
        <v>913</v>
      </c>
      <c r="X5789" s="6"/>
      <c r="Y5789" s="6"/>
      <c r="Z5789" s="6"/>
      <c r="AA5789" s="6" t="s">
        <v>793</v>
      </c>
      <c r="AB5789" s="8"/>
    </row>
    <row r="5790" spans="1:28" s="4" customFormat="1" ht="51.95" customHeight="1">
      <c r="A5790" s="5">
        <v>0</v>
      </c>
      <c r="B5790" s="6" t="s">
        <v>33879</v>
      </c>
      <c r="C5790" s="13">
        <v>1954</v>
      </c>
      <c r="D5790" s="8" t="s">
        <v>33880</v>
      </c>
      <c r="E5790" s="8" t="s">
        <v>33875</v>
      </c>
      <c r="F5790" s="8" t="s">
        <v>33881</v>
      </c>
      <c r="G5790" s="6" t="s">
        <v>52</v>
      </c>
      <c r="H5790" s="6" t="s">
        <v>53</v>
      </c>
      <c r="I5790" s="8" t="s">
        <v>90</v>
      </c>
      <c r="J5790" s="9">
        <v>1</v>
      </c>
      <c r="K5790" s="9">
        <v>375</v>
      </c>
      <c r="L5790" s="9">
        <v>2025</v>
      </c>
      <c r="M5790" s="8" t="s">
        <v>33882</v>
      </c>
      <c r="N5790" s="8" t="s">
        <v>41</v>
      </c>
      <c r="O5790" s="8" t="s">
        <v>1007</v>
      </c>
      <c r="P5790" s="6" t="s">
        <v>167</v>
      </c>
      <c r="Q5790" s="8" t="s">
        <v>44</v>
      </c>
      <c r="R5790" s="10" t="s">
        <v>6765</v>
      </c>
      <c r="S5790" s="11" t="s">
        <v>33759</v>
      </c>
      <c r="T5790" s="6"/>
      <c r="U5790" s="24" t="str">
        <f>HYPERLINK("https://media.infra-m.ru/2192/2192251/cover/2192251.jpg", "Обложка")</f>
        <v>Обложка</v>
      </c>
      <c r="V5790" s="24" t="str">
        <f>HYPERLINK("https://znanium.ru/catalog/product/1072215", "Ознакомиться")</f>
        <v>Ознакомиться</v>
      </c>
      <c r="W5790" s="8" t="s">
        <v>189</v>
      </c>
      <c r="X5790" s="6"/>
      <c r="Y5790" s="6"/>
      <c r="Z5790" s="6"/>
      <c r="AA5790" s="6" t="s">
        <v>47</v>
      </c>
      <c r="AB5790" s="8"/>
    </row>
    <row r="5791" spans="1:28" s="4" customFormat="1" ht="51.95" customHeight="1">
      <c r="A5791" s="5">
        <v>0</v>
      </c>
      <c r="B5791" s="6" t="s">
        <v>33883</v>
      </c>
      <c r="C5791" s="13">
        <v>1430</v>
      </c>
      <c r="D5791" s="8" t="s">
        <v>33884</v>
      </c>
      <c r="E5791" s="8" t="s">
        <v>33875</v>
      </c>
      <c r="F5791" s="8" t="s">
        <v>33876</v>
      </c>
      <c r="G5791" s="6" t="s">
        <v>89</v>
      </c>
      <c r="H5791" s="6" t="s">
        <v>53</v>
      </c>
      <c r="I5791" s="8" t="s">
        <v>100</v>
      </c>
      <c r="J5791" s="9">
        <v>1</v>
      </c>
      <c r="K5791" s="9">
        <v>285</v>
      </c>
      <c r="L5791" s="9">
        <v>2025</v>
      </c>
      <c r="M5791" s="8" t="s">
        <v>33885</v>
      </c>
      <c r="N5791" s="8" t="s">
        <v>41</v>
      </c>
      <c r="O5791" s="8" t="s">
        <v>1007</v>
      </c>
      <c r="P5791" s="6" t="s">
        <v>43</v>
      </c>
      <c r="Q5791" s="8" t="s">
        <v>102</v>
      </c>
      <c r="R5791" s="10" t="s">
        <v>33886</v>
      </c>
      <c r="S5791" s="11" t="s">
        <v>33887</v>
      </c>
      <c r="T5791" s="6"/>
      <c r="U5791" s="24" t="str">
        <f>HYPERLINK("https://media.infra-m.ru/2160/2160912/cover/2160912.jpg", "Обложка")</f>
        <v>Обложка</v>
      </c>
      <c r="V5791" s="24" t="str">
        <f>HYPERLINK("https://znanium.ru/catalog/product/2160912", "Ознакомиться")</f>
        <v>Ознакомиться</v>
      </c>
      <c r="W5791" s="8" t="s">
        <v>913</v>
      </c>
      <c r="X5791" s="6"/>
      <c r="Y5791" s="6"/>
      <c r="Z5791" s="6" t="s">
        <v>104</v>
      </c>
      <c r="AA5791" s="6" t="s">
        <v>793</v>
      </c>
      <c r="AB5791" s="8"/>
    </row>
    <row r="5792" spans="1:28" s="4" customFormat="1" ht="51.95" customHeight="1">
      <c r="A5792" s="5">
        <v>0</v>
      </c>
      <c r="B5792" s="6" t="s">
        <v>33888</v>
      </c>
      <c r="C5792" s="13">
        <v>1104</v>
      </c>
      <c r="D5792" s="8" t="s">
        <v>33889</v>
      </c>
      <c r="E5792" s="8" t="s">
        <v>33890</v>
      </c>
      <c r="F5792" s="8" t="s">
        <v>3723</v>
      </c>
      <c r="G5792" s="6" t="s">
        <v>52</v>
      </c>
      <c r="H5792" s="6" t="s">
        <v>53</v>
      </c>
      <c r="I5792" s="8" t="s">
        <v>116</v>
      </c>
      <c r="J5792" s="9">
        <v>1</v>
      </c>
      <c r="K5792" s="9">
        <v>240</v>
      </c>
      <c r="L5792" s="9">
        <v>2024</v>
      </c>
      <c r="M5792" s="8" t="s">
        <v>33891</v>
      </c>
      <c r="N5792" s="8" t="s">
        <v>41</v>
      </c>
      <c r="O5792" s="8" t="s">
        <v>1007</v>
      </c>
      <c r="P5792" s="6" t="s">
        <v>43</v>
      </c>
      <c r="Q5792" s="8" t="s">
        <v>44</v>
      </c>
      <c r="R5792" s="10" t="s">
        <v>33892</v>
      </c>
      <c r="S5792" s="11" t="s">
        <v>33893</v>
      </c>
      <c r="T5792" s="6"/>
      <c r="U5792" s="24" t="str">
        <f>HYPERLINK("https://media.infra-m.ru/2056/2056616/cover/2056616.jpg", "Обложка")</f>
        <v>Обложка</v>
      </c>
      <c r="V5792" s="24" t="str">
        <f>HYPERLINK("https://znanium.ru/catalog/product/2056616", "Ознакомиться")</f>
        <v>Ознакомиться</v>
      </c>
      <c r="W5792" s="8" t="s">
        <v>3727</v>
      </c>
      <c r="X5792" s="6"/>
      <c r="Y5792" s="6"/>
      <c r="Z5792" s="6"/>
      <c r="AA5792" s="6" t="s">
        <v>494</v>
      </c>
      <c r="AB5792" s="8"/>
    </row>
    <row r="5793" spans="1:28" s="4" customFormat="1" ht="42" customHeight="1">
      <c r="A5793" s="5">
        <v>0</v>
      </c>
      <c r="B5793" s="6" t="s">
        <v>33894</v>
      </c>
      <c r="C5793" s="13">
        <v>1190</v>
      </c>
      <c r="D5793" s="8" t="s">
        <v>33895</v>
      </c>
      <c r="E5793" s="8" t="s">
        <v>33896</v>
      </c>
      <c r="F5793" s="8" t="s">
        <v>1195</v>
      </c>
      <c r="G5793" s="6" t="s">
        <v>52</v>
      </c>
      <c r="H5793" s="6" t="s">
        <v>184</v>
      </c>
      <c r="I5793" s="8" t="s">
        <v>116</v>
      </c>
      <c r="J5793" s="9">
        <v>1</v>
      </c>
      <c r="K5793" s="9">
        <v>252</v>
      </c>
      <c r="L5793" s="9">
        <v>2024</v>
      </c>
      <c r="M5793" s="8" t="s">
        <v>33897</v>
      </c>
      <c r="N5793" s="8" t="s">
        <v>41</v>
      </c>
      <c r="O5793" s="8" t="s">
        <v>118</v>
      </c>
      <c r="P5793" s="6" t="s">
        <v>43</v>
      </c>
      <c r="Q5793" s="8" t="s">
        <v>58</v>
      </c>
      <c r="R5793" s="10" t="s">
        <v>2461</v>
      </c>
      <c r="S5793" s="11"/>
      <c r="T5793" s="6"/>
      <c r="U5793" s="24" t="str">
        <f>HYPERLINK("https://media.infra-m.ru/2130/2130119/cover/2130119.jpg", "Обложка")</f>
        <v>Обложка</v>
      </c>
      <c r="V5793" s="12"/>
      <c r="W5793" s="8" t="s">
        <v>1198</v>
      </c>
      <c r="X5793" s="6"/>
      <c r="Y5793" s="6"/>
      <c r="Z5793" s="6"/>
      <c r="AA5793" s="6" t="s">
        <v>133</v>
      </c>
      <c r="AB5793" s="8"/>
    </row>
    <row r="5794" spans="1:28" s="4" customFormat="1" ht="42" customHeight="1">
      <c r="A5794" s="5">
        <v>0</v>
      </c>
      <c r="B5794" s="6" t="s">
        <v>33898</v>
      </c>
      <c r="C5794" s="7">
        <v>950</v>
      </c>
      <c r="D5794" s="8" t="s">
        <v>33899</v>
      </c>
      <c r="E5794" s="8" t="s">
        <v>33900</v>
      </c>
      <c r="F5794" s="8" t="s">
        <v>1195</v>
      </c>
      <c r="G5794" s="6" t="s">
        <v>38</v>
      </c>
      <c r="H5794" s="6" t="s">
        <v>184</v>
      </c>
      <c r="I5794" s="8" t="s">
        <v>185</v>
      </c>
      <c r="J5794" s="9">
        <v>1</v>
      </c>
      <c r="K5794" s="9">
        <v>202</v>
      </c>
      <c r="L5794" s="9">
        <v>2024</v>
      </c>
      <c r="M5794" s="8" t="s">
        <v>33901</v>
      </c>
      <c r="N5794" s="8" t="s">
        <v>41</v>
      </c>
      <c r="O5794" s="8" t="s">
        <v>1007</v>
      </c>
      <c r="P5794" s="6" t="s">
        <v>167</v>
      </c>
      <c r="Q5794" s="8" t="s">
        <v>102</v>
      </c>
      <c r="R5794" s="10" t="s">
        <v>33599</v>
      </c>
      <c r="S5794" s="11"/>
      <c r="T5794" s="6"/>
      <c r="U5794" s="24" t="str">
        <f>HYPERLINK("https://media.infra-m.ru/2125/2125002/cover/2125002.jpg", "Обложка")</f>
        <v>Обложка</v>
      </c>
      <c r="V5794" s="24" t="str">
        <f>HYPERLINK("https://znanium.ru/catalog/product/2125002", "Ознакомиться")</f>
        <v>Ознакомиться</v>
      </c>
      <c r="W5794" s="8" t="s">
        <v>1198</v>
      </c>
      <c r="X5794" s="6"/>
      <c r="Y5794" s="6"/>
      <c r="Z5794" s="6"/>
      <c r="AA5794" s="6" t="s">
        <v>442</v>
      </c>
      <c r="AB5794" s="8"/>
    </row>
    <row r="5795" spans="1:28" s="4" customFormat="1" ht="51.95" customHeight="1">
      <c r="A5795" s="5">
        <v>0</v>
      </c>
      <c r="B5795" s="6" t="s">
        <v>33902</v>
      </c>
      <c r="C5795" s="13">
        <v>1744.9</v>
      </c>
      <c r="D5795" s="8" t="s">
        <v>33903</v>
      </c>
      <c r="E5795" s="8" t="s">
        <v>33904</v>
      </c>
      <c r="F5795" s="8" t="s">
        <v>4491</v>
      </c>
      <c r="G5795" s="6" t="s">
        <v>89</v>
      </c>
      <c r="H5795" s="6" t="s">
        <v>53</v>
      </c>
      <c r="I5795" s="8" t="s">
        <v>90</v>
      </c>
      <c r="J5795" s="9">
        <v>1</v>
      </c>
      <c r="K5795" s="9">
        <v>386</v>
      </c>
      <c r="L5795" s="9">
        <v>2021</v>
      </c>
      <c r="M5795" s="8" t="s">
        <v>33905</v>
      </c>
      <c r="N5795" s="8" t="s">
        <v>41</v>
      </c>
      <c r="O5795" s="8" t="s">
        <v>118</v>
      </c>
      <c r="P5795" s="6" t="s">
        <v>167</v>
      </c>
      <c r="Q5795" s="8" t="s">
        <v>44</v>
      </c>
      <c r="R5795" s="10" t="s">
        <v>33906</v>
      </c>
      <c r="S5795" s="11" t="s">
        <v>406</v>
      </c>
      <c r="T5795" s="6"/>
      <c r="U5795" s="24" t="str">
        <f>HYPERLINK("https://media.infra-m.ru/1971/1971819/cover/1971819.jpg", "Обложка")</f>
        <v>Обложка</v>
      </c>
      <c r="V5795" s="24" t="str">
        <f>HYPERLINK("https://znanium.ru/catalog/product/1932275", "Ознакомиться")</f>
        <v>Ознакомиться</v>
      </c>
      <c r="W5795" s="8" t="s">
        <v>2392</v>
      </c>
      <c r="X5795" s="6"/>
      <c r="Y5795" s="6"/>
      <c r="Z5795" s="6"/>
      <c r="AA5795" s="6" t="s">
        <v>326</v>
      </c>
      <c r="AB5795" s="8"/>
    </row>
    <row r="5796" spans="1:28" s="4" customFormat="1" ht="51.95" customHeight="1">
      <c r="A5796" s="5">
        <v>0</v>
      </c>
      <c r="B5796" s="6" t="s">
        <v>33907</v>
      </c>
      <c r="C5796" s="13">
        <v>1294.9000000000001</v>
      </c>
      <c r="D5796" s="8" t="s">
        <v>33908</v>
      </c>
      <c r="E5796" s="8" t="s">
        <v>33900</v>
      </c>
      <c r="F5796" s="8" t="s">
        <v>33909</v>
      </c>
      <c r="G5796" s="6" t="s">
        <v>89</v>
      </c>
      <c r="H5796" s="6" t="s">
        <v>53</v>
      </c>
      <c r="I5796" s="8" t="s">
        <v>4855</v>
      </c>
      <c r="J5796" s="9">
        <v>1</v>
      </c>
      <c r="K5796" s="9">
        <v>382</v>
      </c>
      <c r="L5796" s="9">
        <v>2020</v>
      </c>
      <c r="M5796" s="8" t="s">
        <v>33910</v>
      </c>
      <c r="N5796" s="8" t="s">
        <v>41</v>
      </c>
      <c r="O5796" s="8" t="s">
        <v>1007</v>
      </c>
      <c r="P5796" s="6" t="s">
        <v>43</v>
      </c>
      <c r="Q5796" s="8" t="s">
        <v>44</v>
      </c>
      <c r="R5796" s="10"/>
      <c r="S5796" s="11" t="s">
        <v>33911</v>
      </c>
      <c r="T5796" s="6"/>
      <c r="U5796" s="24" t="str">
        <f>HYPERLINK("https://media.infra-m.ru/1044/1044529/cover/1044529.jpg", "Обложка")</f>
        <v>Обложка</v>
      </c>
      <c r="V5796" s="12"/>
      <c r="W5796" s="8" t="s">
        <v>784</v>
      </c>
      <c r="X5796" s="6"/>
      <c r="Y5796" s="6"/>
      <c r="Z5796" s="6"/>
      <c r="AA5796" s="6" t="s">
        <v>151</v>
      </c>
      <c r="AB5796" s="8"/>
    </row>
    <row r="5797" spans="1:28" s="4" customFormat="1" ht="51.95" customHeight="1">
      <c r="A5797" s="5">
        <v>0</v>
      </c>
      <c r="B5797" s="6" t="s">
        <v>33912</v>
      </c>
      <c r="C5797" s="13">
        <v>1094</v>
      </c>
      <c r="D5797" s="8" t="s">
        <v>33913</v>
      </c>
      <c r="E5797" s="8" t="s">
        <v>33914</v>
      </c>
      <c r="F5797" s="8" t="s">
        <v>33623</v>
      </c>
      <c r="G5797" s="6" t="s">
        <v>89</v>
      </c>
      <c r="H5797" s="6" t="s">
        <v>53</v>
      </c>
      <c r="I5797" s="8" t="s">
        <v>90</v>
      </c>
      <c r="J5797" s="9">
        <v>1</v>
      </c>
      <c r="K5797" s="9">
        <v>237</v>
      </c>
      <c r="L5797" s="9">
        <v>2024</v>
      </c>
      <c r="M5797" s="8" t="s">
        <v>33915</v>
      </c>
      <c r="N5797" s="8" t="s">
        <v>41</v>
      </c>
      <c r="O5797" s="8" t="s">
        <v>278</v>
      </c>
      <c r="P5797" s="6" t="s">
        <v>43</v>
      </c>
      <c r="Q5797" s="8" t="s">
        <v>44</v>
      </c>
      <c r="R5797" s="10" t="s">
        <v>33916</v>
      </c>
      <c r="S5797" s="11" t="s">
        <v>33917</v>
      </c>
      <c r="T5797" s="6"/>
      <c r="U5797" s="24" t="str">
        <f>HYPERLINK("https://media.infra-m.ru/2091/2091900/cover/2091900.jpg", "Обложка")</f>
        <v>Обложка</v>
      </c>
      <c r="V5797" s="24" t="str">
        <f>HYPERLINK("https://znanium.ru/catalog/product/1480608", "Ознакомиться")</f>
        <v>Ознакомиться</v>
      </c>
      <c r="W5797" s="8" t="s">
        <v>4109</v>
      </c>
      <c r="X5797" s="6"/>
      <c r="Y5797" s="6"/>
      <c r="Z5797" s="6"/>
      <c r="AA5797" s="6" t="s">
        <v>513</v>
      </c>
      <c r="AB5797" s="8"/>
    </row>
    <row r="5798" spans="1:28" s="4" customFormat="1" ht="51.95" customHeight="1">
      <c r="A5798" s="5">
        <v>0</v>
      </c>
      <c r="B5798" s="6" t="s">
        <v>33918</v>
      </c>
      <c r="C5798" s="7">
        <v>724.9</v>
      </c>
      <c r="D5798" s="8" t="s">
        <v>33919</v>
      </c>
      <c r="E5798" s="8" t="s">
        <v>33920</v>
      </c>
      <c r="F5798" s="8" t="s">
        <v>33921</v>
      </c>
      <c r="G5798" s="6" t="s">
        <v>38</v>
      </c>
      <c r="H5798" s="6" t="s">
        <v>39</v>
      </c>
      <c r="I5798" s="8" t="s">
        <v>90</v>
      </c>
      <c r="J5798" s="9">
        <v>1</v>
      </c>
      <c r="K5798" s="9">
        <v>200</v>
      </c>
      <c r="L5798" s="9">
        <v>2020</v>
      </c>
      <c r="M5798" s="8" t="s">
        <v>33922</v>
      </c>
      <c r="N5798" s="8" t="s">
        <v>41</v>
      </c>
      <c r="O5798" s="8" t="s">
        <v>278</v>
      </c>
      <c r="P5798" s="6" t="s">
        <v>43</v>
      </c>
      <c r="Q5798" s="8" t="s">
        <v>44</v>
      </c>
      <c r="R5798" s="10" t="s">
        <v>33916</v>
      </c>
      <c r="S5798" s="11" t="s">
        <v>33923</v>
      </c>
      <c r="T5798" s="6"/>
      <c r="U5798" s="24" t="str">
        <f>HYPERLINK("https://media.infra-m.ru/1208/1208859/cover/1208859.jpg", "Обложка")</f>
        <v>Обложка</v>
      </c>
      <c r="V5798" s="24" t="str">
        <f>HYPERLINK("https://znanium.ru/catalog/product/1480608", "Ознакомиться")</f>
        <v>Ознакомиться</v>
      </c>
      <c r="W5798" s="8" t="s">
        <v>4109</v>
      </c>
      <c r="X5798" s="6"/>
      <c r="Y5798" s="6"/>
      <c r="Z5798" s="6"/>
      <c r="AA5798" s="6" t="s">
        <v>111</v>
      </c>
      <c r="AB5798" s="8"/>
    </row>
    <row r="5799" spans="1:28" s="4" customFormat="1" ht="51.95" customHeight="1">
      <c r="A5799" s="5">
        <v>0</v>
      </c>
      <c r="B5799" s="6" t="s">
        <v>33924</v>
      </c>
      <c r="C5799" s="13">
        <v>1570</v>
      </c>
      <c r="D5799" s="8" t="s">
        <v>33925</v>
      </c>
      <c r="E5799" s="8" t="s">
        <v>33926</v>
      </c>
      <c r="F5799" s="8" t="s">
        <v>33927</v>
      </c>
      <c r="G5799" s="6" t="s">
        <v>89</v>
      </c>
      <c r="H5799" s="6" t="s">
        <v>649</v>
      </c>
      <c r="I5799" s="8" t="s">
        <v>100</v>
      </c>
      <c r="J5799" s="9">
        <v>1</v>
      </c>
      <c r="K5799" s="9">
        <v>336</v>
      </c>
      <c r="L5799" s="9">
        <v>2024</v>
      </c>
      <c r="M5799" s="8" t="s">
        <v>33928</v>
      </c>
      <c r="N5799" s="8" t="s">
        <v>41</v>
      </c>
      <c r="O5799" s="8" t="s">
        <v>1007</v>
      </c>
      <c r="P5799" s="6" t="s">
        <v>167</v>
      </c>
      <c r="Q5799" s="8" t="s">
        <v>102</v>
      </c>
      <c r="R5799" s="10" t="s">
        <v>33929</v>
      </c>
      <c r="S5799" s="11" t="s">
        <v>33930</v>
      </c>
      <c r="T5799" s="6"/>
      <c r="U5799" s="24" t="str">
        <f>HYPERLINK("https://media.infra-m.ru/2110/2110036/cover/2110036.jpg", "Обложка")</f>
        <v>Обложка</v>
      </c>
      <c r="V5799" s="24" t="str">
        <f>HYPERLINK("https://znanium.ru/catalog/product/2110036", "Ознакомиться")</f>
        <v>Ознакомиться</v>
      </c>
      <c r="W5799" s="8" t="s">
        <v>83</v>
      </c>
      <c r="X5799" s="6"/>
      <c r="Y5799" s="6"/>
      <c r="Z5799" s="6"/>
      <c r="AA5799" s="6" t="s">
        <v>11034</v>
      </c>
      <c r="AB5799" s="8"/>
    </row>
    <row r="5800" spans="1:28" s="4" customFormat="1" ht="51.95" customHeight="1">
      <c r="A5800" s="5">
        <v>0</v>
      </c>
      <c r="B5800" s="6" t="s">
        <v>33931</v>
      </c>
      <c r="C5800" s="13">
        <v>2064</v>
      </c>
      <c r="D5800" s="8" t="s">
        <v>33932</v>
      </c>
      <c r="E5800" s="8" t="s">
        <v>33933</v>
      </c>
      <c r="F5800" s="8" t="s">
        <v>23642</v>
      </c>
      <c r="G5800" s="6" t="s">
        <v>89</v>
      </c>
      <c r="H5800" s="6" t="s">
        <v>39</v>
      </c>
      <c r="I5800" s="8" t="s">
        <v>185</v>
      </c>
      <c r="J5800" s="9">
        <v>1</v>
      </c>
      <c r="K5800" s="9">
        <v>414</v>
      </c>
      <c r="L5800" s="9">
        <v>2024</v>
      </c>
      <c r="M5800" s="8" t="s">
        <v>33934</v>
      </c>
      <c r="N5800" s="8" t="s">
        <v>41</v>
      </c>
      <c r="O5800" s="8" t="s">
        <v>1007</v>
      </c>
      <c r="P5800" s="6" t="s">
        <v>167</v>
      </c>
      <c r="Q5800" s="8" t="s">
        <v>102</v>
      </c>
      <c r="R5800" s="10" t="s">
        <v>15996</v>
      </c>
      <c r="S5800" s="11" t="s">
        <v>18789</v>
      </c>
      <c r="T5800" s="6"/>
      <c r="U5800" s="24" t="str">
        <f>HYPERLINK("https://media.infra-m.ru/2137/2137026/cover/2137026.jpg", "Обложка")</f>
        <v>Обложка</v>
      </c>
      <c r="V5800" s="24" t="str">
        <f>HYPERLINK("https://znanium.ru/catalog/product/1215825", "Ознакомиться")</f>
        <v>Ознакомиться</v>
      </c>
      <c r="W5800" s="8" t="s">
        <v>189</v>
      </c>
      <c r="X5800" s="6"/>
      <c r="Y5800" s="6"/>
      <c r="Z5800" s="6"/>
      <c r="AA5800" s="6" t="s">
        <v>1461</v>
      </c>
      <c r="AB5800" s="8"/>
    </row>
    <row r="5801" spans="1:28" s="4" customFormat="1" ht="51.95" customHeight="1">
      <c r="A5801" s="5">
        <v>0</v>
      </c>
      <c r="B5801" s="6" t="s">
        <v>33935</v>
      </c>
      <c r="C5801" s="13">
        <v>2964</v>
      </c>
      <c r="D5801" s="8" t="s">
        <v>33936</v>
      </c>
      <c r="E5801" s="8" t="s">
        <v>33937</v>
      </c>
      <c r="F5801" s="8" t="s">
        <v>33938</v>
      </c>
      <c r="G5801" s="6" t="s">
        <v>89</v>
      </c>
      <c r="H5801" s="6" t="s">
        <v>53</v>
      </c>
      <c r="I5801" s="8" t="s">
        <v>116</v>
      </c>
      <c r="J5801" s="9">
        <v>1</v>
      </c>
      <c r="K5801" s="9">
        <v>609</v>
      </c>
      <c r="L5801" s="9">
        <v>2025</v>
      </c>
      <c r="M5801" s="8" t="s">
        <v>33939</v>
      </c>
      <c r="N5801" s="8" t="s">
        <v>41</v>
      </c>
      <c r="O5801" s="8" t="s">
        <v>1007</v>
      </c>
      <c r="P5801" s="6" t="s">
        <v>167</v>
      </c>
      <c r="Q5801" s="8" t="s">
        <v>44</v>
      </c>
      <c r="R5801" s="10" t="s">
        <v>33940</v>
      </c>
      <c r="S5801" s="11" t="s">
        <v>33941</v>
      </c>
      <c r="T5801" s="6" t="s">
        <v>299</v>
      </c>
      <c r="U5801" s="24" t="str">
        <f>HYPERLINK("https://media.infra-m.ru/2188/2188866/cover/2188866.jpg", "Обложка")</f>
        <v>Обложка</v>
      </c>
      <c r="V5801" s="24" t="str">
        <f>HYPERLINK("https://znanium.ru/catalog/product/2006082", "Ознакомиться")</f>
        <v>Ознакомиться</v>
      </c>
      <c r="W5801" s="8" t="s">
        <v>33942</v>
      </c>
      <c r="X5801" s="6"/>
      <c r="Y5801" s="6"/>
      <c r="Z5801" s="6"/>
      <c r="AA5801" s="6" t="s">
        <v>5034</v>
      </c>
      <c r="AB5801" s="8"/>
    </row>
    <row r="5802" spans="1:28" s="4" customFormat="1" ht="51.95" customHeight="1">
      <c r="A5802" s="5">
        <v>0</v>
      </c>
      <c r="B5802" s="6" t="s">
        <v>33943</v>
      </c>
      <c r="C5802" s="13">
        <v>2374.9</v>
      </c>
      <c r="D5802" s="8" t="s">
        <v>33944</v>
      </c>
      <c r="E5802" s="8" t="s">
        <v>33945</v>
      </c>
      <c r="F5802" s="8" t="s">
        <v>6231</v>
      </c>
      <c r="G5802" s="6" t="s">
        <v>52</v>
      </c>
      <c r="H5802" s="6" t="s">
        <v>952</v>
      </c>
      <c r="I5802" s="8"/>
      <c r="J5802" s="9">
        <v>1</v>
      </c>
      <c r="K5802" s="9">
        <v>528</v>
      </c>
      <c r="L5802" s="9">
        <v>2023</v>
      </c>
      <c r="M5802" s="8" t="s">
        <v>33946</v>
      </c>
      <c r="N5802" s="8" t="s">
        <v>41</v>
      </c>
      <c r="O5802" s="8" t="s">
        <v>1007</v>
      </c>
      <c r="P5802" s="6" t="s">
        <v>43</v>
      </c>
      <c r="Q5802" s="8" t="s">
        <v>44</v>
      </c>
      <c r="R5802" s="10" t="s">
        <v>33947</v>
      </c>
      <c r="S5802" s="11" t="s">
        <v>6234</v>
      </c>
      <c r="T5802" s="6"/>
      <c r="U5802" s="24" t="str">
        <f>HYPERLINK("https://media.infra-m.ru/1893/1893637/cover/1893637.jpg", "Обложка")</f>
        <v>Обложка</v>
      </c>
      <c r="V5802" s="24" t="str">
        <f>HYPERLINK("https://znanium.ru/catalog/product/1893637", "Ознакомиться")</f>
        <v>Ознакомиться</v>
      </c>
      <c r="W5802" s="8" t="s">
        <v>83</v>
      </c>
      <c r="X5802" s="6"/>
      <c r="Y5802" s="6"/>
      <c r="Z5802" s="6"/>
      <c r="AA5802" s="6" t="s">
        <v>654</v>
      </c>
      <c r="AB5802" s="8"/>
    </row>
    <row r="5803" spans="1:28" s="4" customFormat="1" ht="51.95" customHeight="1">
      <c r="A5803" s="5">
        <v>0</v>
      </c>
      <c r="B5803" s="6" t="s">
        <v>33948</v>
      </c>
      <c r="C5803" s="13">
        <v>1270</v>
      </c>
      <c r="D5803" s="8" t="s">
        <v>33949</v>
      </c>
      <c r="E5803" s="8" t="s">
        <v>33945</v>
      </c>
      <c r="F5803" s="8" t="s">
        <v>20730</v>
      </c>
      <c r="G5803" s="6" t="s">
        <v>52</v>
      </c>
      <c r="H5803" s="6" t="s">
        <v>53</v>
      </c>
      <c r="I5803" s="8" t="s">
        <v>100</v>
      </c>
      <c r="J5803" s="9">
        <v>1</v>
      </c>
      <c r="K5803" s="9">
        <v>261</v>
      </c>
      <c r="L5803" s="9">
        <v>2023</v>
      </c>
      <c r="M5803" s="8" t="s">
        <v>33950</v>
      </c>
      <c r="N5803" s="8" t="s">
        <v>41</v>
      </c>
      <c r="O5803" s="8" t="s">
        <v>1007</v>
      </c>
      <c r="P5803" s="6" t="s">
        <v>43</v>
      </c>
      <c r="Q5803" s="8" t="s">
        <v>102</v>
      </c>
      <c r="R5803" s="10" t="s">
        <v>5767</v>
      </c>
      <c r="S5803" s="11"/>
      <c r="T5803" s="6"/>
      <c r="U5803" s="24" t="str">
        <f>HYPERLINK("https://media.infra-m.ru/1550/1550594/cover/1550594.jpg", "Обложка")</f>
        <v>Обложка</v>
      </c>
      <c r="V5803" s="24" t="str">
        <f>HYPERLINK("https://znanium.ru/catalog/product/1550594", "Ознакомиться")</f>
        <v>Ознакомиться</v>
      </c>
      <c r="W5803" s="8" t="s">
        <v>5435</v>
      </c>
      <c r="X5803" s="6"/>
      <c r="Y5803" s="6"/>
      <c r="Z5803" s="6"/>
      <c r="AA5803" s="6" t="s">
        <v>207</v>
      </c>
      <c r="AB5803" s="8"/>
    </row>
    <row r="5804" spans="1:28" s="4" customFormat="1" ht="51.95" customHeight="1">
      <c r="A5804" s="5">
        <v>0</v>
      </c>
      <c r="B5804" s="6" t="s">
        <v>33951</v>
      </c>
      <c r="C5804" s="13">
        <v>2290</v>
      </c>
      <c r="D5804" s="8" t="s">
        <v>33952</v>
      </c>
      <c r="E5804" s="8" t="s">
        <v>33953</v>
      </c>
      <c r="F5804" s="8" t="s">
        <v>5739</v>
      </c>
      <c r="G5804" s="6" t="s">
        <v>52</v>
      </c>
      <c r="H5804" s="6" t="s">
        <v>53</v>
      </c>
      <c r="I5804" s="8" t="s">
        <v>90</v>
      </c>
      <c r="J5804" s="9">
        <v>1</v>
      </c>
      <c r="K5804" s="9">
        <v>528</v>
      </c>
      <c r="L5804" s="9">
        <v>2023</v>
      </c>
      <c r="M5804" s="8" t="s">
        <v>33954</v>
      </c>
      <c r="N5804" s="8" t="s">
        <v>41</v>
      </c>
      <c r="O5804" s="8" t="s">
        <v>1007</v>
      </c>
      <c r="P5804" s="6" t="s">
        <v>167</v>
      </c>
      <c r="Q5804" s="8" t="s">
        <v>44</v>
      </c>
      <c r="R5804" s="10" t="s">
        <v>33955</v>
      </c>
      <c r="S5804" s="11" t="s">
        <v>7773</v>
      </c>
      <c r="T5804" s="6"/>
      <c r="U5804" s="24" t="str">
        <f>HYPERLINK("https://media.infra-m.ru/1456/1456979/cover/1456979.jpg", "Обложка")</f>
        <v>Обложка</v>
      </c>
      <c r="V5804" s="24" t="str">
        <f>HYPERLINK("https://znanium.ru/catalog/product/1456979", "Ознакомиться")</f>
        <v>Ознакомиться</v>
      </c>
      <c r="W5804" s="8" t="s">
        <v>33956</v>
      </c>
      <c r="X5804" s="6"/>
      <c r="Y5804" s="6"/>
      <c r="Z5804" s="6"/>
      <c r="AA5804" s="6" t="s">
        <v>235</v>
      </c>
      <c r="AB5804" s="8"/>
    </row>
    <row r="5805" spans="1:28" s="4" customFormat="1" ht="42" customHeight="1">
      <c r="A5805" s="5">
        <v>0</v>
      </c>
      <c r="B5805" s="6" t="s">
        <v>33957</v>
      </c>
      <c r="C5805" s="7">
        <v>820</v>
      </c>
      <c r="D5805" s="8" t="s">
        <v>33958</v>
      </c>
      <c r="E5805" s="8" t="s">
        <v>33953</v>
      </c>
      <c r="F5805" s="8" t="s">
        <v>33959</v>
      </c>
      <c r="G5805" s="6" t="s">
        <v>89</v>
      </c>
      <c r="H5805" s="6" t="s">
        <v>77</v>
      </c>
      <c r="I5805" s="8"/>
      <c r="J5805" s="9">
        <v>1</v>
      </c>
      <c r="K5805" s="9">
        <v>178</v>
      </c>
      <c r="L5805" s="9">
        <v>2023</v>
      </c>
      <c r="M5805" s="8" t="s">
        <v>33960</v>
      </c>
      <c r="N5805" s="8" t="s">
        <v>41</v>
      </c>
      <c r="O5805" s="8" t="s">
        <v>1007</v>
      </c>
      <c r="P5805" s="6" t="s">
        <v>167</v>
      </c>
      <c r="Q5805" s="8" t="s">
        <v>44</v>
      </c>
      <c r="R5805" s="10" t="s">
        <v>2461</v>
      </c>
      <c r="S5805" s="11"/>
      <c r="T5805" s="6"/>
      <c r="U5805" s="24" t="str">
        <f>HYPERLINK("https://media.infra-m.ru/2124/2124355/cover/2124355.jpg", "Обложка")</f>
        <v>Обложка</v>
      </c>
      <c r="V5805" s="24" t="str">
        <f>HYPERLINK("https://znanium.ru/catalog/product/2124355", "Ознакомиться")</f>
        <v>Ознакомиться</v>
      </c>
      <c r="W5805" s="8" t="s">
        <v>71</v>
      </c>
      <c r="X5805" s="6"/>
      <c r="Y5805" s="6"/>
      <c r="Z5805" s="6"/>
      <c r="AA5805" s="6" t="s">
        <v>418</v>
      </c>
      <c r="AB5805" s="8"/>
    </row>
    <row r="5806" spans="1:28" s="4" customFormat="1" ht="51.95" customHeight="1">
      <c r="A5806" s="5">
        <v>0</v>
      </c>
      <c r="B5806" s="6" t="s">
        <v>33961</v>
      </c>
      <c r="C5806" s="13">
        <v>1550</v>
      </c>
      <c r="D5806" s="8" t="s">
        <v>33962</v>
      </c>
      <c r="E5806" s="8" t="s">
        <v>33963</v>
      </c>
      <c r="F5806" s="8" t="s">
        <v>33964</v>
      </c>
      <c r="G5806" s="6" t="s">
        <v>89</v>
      </c>
      <c r="H5806" s="6" t="s">
        <v>952</v>
      </c>
      <c r="I5806" s="8" t="s">
        <v>1171</v>
      </c>
      <c r="J5806" s="9">
        <v>1</v>
      </c>
      <c r="K5806" s="9">
        <v>336</v>
      </c>
      <c r="L5806" s="9">
        <v>2024</v>
      </c>
      <c r="M5806" s="8" t="s">
        <v>33965</v>
      </c>
      <c r="N5806" s="8" t="s">
        <v>41</v>
      </c>
      <c r="O5806" s="8" t="s">
        <v>1007</v>
      </c>
      <c r="P5806" s="6" t="s">
        <v>167</v>
      </c>
      <c r="Q5806" s="8" t="s">
        <v>44</v>
      </c>
      <c r="R5806" s="10" t="s">
        <v>33966</v>
      </c>
      <c r="S5806" s="11" t="s">
        <v>33967</v>
      </c>
      <c r="T5806" s="6"/>
      <c r="U5806" s="24" t="str">
        <f>HYPERLINK("https://media.infra-m.ru/2079/2079506/cover/2079506.jpg", "Обложка")</f>
        <v>Обложка</v>
      </c>
      <c r="V5806" s="24" t="str">
        <f>HYPERLINK("https://znanium.ru/catalog/product/2079506", "Ознакомиться")</f>
        <v>Ознакомиться</v>
      </c>
      <c r="W5806" s="8" t="s">
        <v>189</v>
      </c>
      <c r="X5806" s="6"/>
      <c r="Y5806" s="6"/>
      <c r="Z5806" s="6"/>
      <c r="AA5806" s="6" t="s">
        <v>244</v>
      </c>
      <c r="AB5806" s="8"/>
    </row>
    <row r="5807" spans="1:28" s="4" customFormat="1" ht="51.95" customHeight="1">
      <c r="A5807" s="5">
        <v>0</v>
      </c>
      <c r="B5807" s="6" t="s">
        <v>33968</v>
      </c>
      <c r="C5807" s="13">
        <v>1924</v>
      </c>
      <c r="D5807" s="8" t="s">
        <v>33969</v>
      </c>
      <c r="E5807" s="8" t="s">
        <v>33953</v>
      </c>
      <c r="F5807" s="8" t="s">
        <v>6231</v>
      </c>
      <c r="G5807" s="6" t="s">
        <v>52</v>
      </c>
      <c r="H5807" s="6" t="s">
        <v>952</v>
      </c>
      <c r="I5807" s="8"/>
      <c r="J5807" s="9">
        <v>1</v>
      </c>
      <c r="K5807" s="9">
        <v>576</v>
      </c>
      <c r="L5807" s="9">
        <v>2024</v>
      </c>
      <c r="M5807" s="8" t="s">
        <v>33970</v>
      </c>
      <c r="N5807" s="8" t="s">
        <v>41</v>
      </c>
      <c r="O5807" s="8" t="s">
        <v>1007</v>
      </c>
      <c r="P5807" s="6" t="s">
        <v>43</v>
      </c>
      <c r="Q5807" s="8" t="s">
        <v>44</v>
      </c>
      <c r="R5807" s="10" t="s">
        <v>157</v>
      </c>
      <c r="S5807" s="11" t="s">
        <v>33971</v>
      </c>
      <c r="T5807" s="6"/>
      <c r="U5807" s="24" t="str">
        <f>HYPERLINK("https://media.infra-m.ru/2079/2079630/cover/2079630.jpg", "Обложка")</f>
        <v>Обложка</v>
      </c>
      <c r="V5807" s="24" t="str">
        <f>HYPERLINK("https://znanium.ru/catalog/product/224601", "Ознакомиться")</f>
        <v>Ознакомиться</v>
      </c>
      <c r="W5807" s="8" t="s">
        <v>83</v>
      </c>
      <c r="X5807" s="6"/>
      <c r="Y5807" s="6"/>
      <c r="Z5807" s="6"/>
      <c r="AA5807" s="6" t="s">
        <v>72</v>
      </c>
      <c r="AB5807" s="8"/>
    </row>
    <row r="5808" spans="1:28" s="4" customFormat="1" ht="51.95" customHeight="1">
      <c r="A5808" s="5">
        <v>0</v>
      </c>
      <c r="B5808" s="6" t="s">
        <v>33972</v>
      </c>
      <c r="C5808" s="13">
        <v>1994</v>
      </c>
      <c r="D5808" s="8" t="s">
        <v>33973</v>
      </c>
      <c r="E5808" s="8" t="s">
        <v>33974</v>
      </c>
      <c r="F5808" s="8" t="s">
        <v>33975</v>
      </c>
      <c r="G5808" s="6" t="s">
        <v>89</v>
      </c>
      <c r="H5808" s="6" t="s">
        <v>952</v>
      </c>
      <c r="I5808" s="8" t="s">
        <v>1171</v>
      </c>
      <c r="J5808" s="9">
        <v>1</v>
      </c>
      <c r="K5808" s="9">
        <v>448</v>
      </c>
      <c r="L5808" s="9">
        <v>2023</v>
      </c>
      <c r="M5808" s="8" t="s">
        <v>33976</v>
      </c>
      <c r="N5808" s="8" t="s">
        <v>41</v>
      </c>
      <c r="O5808" s="8" t="s">
        <v>1007</v>
      </c>
      <c r="P5808" s="6" t="s">
        <v>43</v>
      </c>
      <c r="Q5808" s="8" t="s">
        <v>44</v>
      </c>
      <c r="R5808" s="10" t="s">
        <v>33977</v>
      </c>
      <c r="S5808" s="11" t="s">
        <v>33978</v>
      </c>
      <c r="T5808" s="6"/>
      <c r="U5808" s="24" t="str">
        <f>HYPERLINK("https://media.infra-m.ru/1976/1976179/cover/1976179.jpg", "Обложка")</f>
        <v>Обложка</v>
      </c>
      <c r="V5808" s="24" t="str">
        <f>HYPERLINK("https://znanium.ru/catalog/product/1976179", "Ознакомиться")</f>
        <v>Ознакомиться</v>
      </c>
      <c r="W5808" s="8" t="s">
        <v>189</v>
      </c>
      <c r="X5808" s="6"/>
      <c r="Y5808" s="6"/>
      <c r="Z5808" s="6"/>
      <c r="AA5808" s="6" t="s">
        <v>2001</v>
      </c>
      <c r="AB5808" s="8"/>
    </row>
    <row r="5809" spans="1:28" s="4" customFormat="1" ht="42" customHeight="1">
      <c r="A5809" s="5">
        <v>0</v>
      </c>
      <c r="B5809" s="6" t="s">
        <v>33979</v>
      </c>
      <c r="C5809" s="7">
        <v>910</v>
      </c>
      <c r="D5809" s="8" t="s">
        <v>33980</v>
      </c>
      <c r="E5809" s="8" t="s">
        <v>33981</v>
      </c>
      <c r="F5809" s="8" t="s">
        <v>33982</v>
      </c>
      <c r="G5809" s="6" t="s">
        <v>89</v>
      </c>
      <c r="H5809" s="6" t="s">
        <v>53</v>
      </c>
      <c r="I5809" s="8" t="s">
        <v>276</v>
      </c>
      <c r="J5809" s="9">
        <v>1</v>
      </c>
      <c r="K5809" s="9">
        <v>178</v>
      </c>
      <c r="L5809" s="9">
        <v>2024</v>
      </c>
      <c r="M5809" s="8" t="s">
        <v>33983</v>
      </c>
      <c r="N5809" s="8" t="s">
        <v>79</v>
      </c>
      <c r="O5809" s="8" t="s">
        <v>684</v>
      </c>
      <c r="P5809" s="6" t="s">
        <v>167</v>
      </c>
      <c r="Q5809" s="8" t="s">
        <v>279</v>
      </c>
      <c r="R5809" s="10" t="s">
        <v>33984</v>
      </c>
      <c r="S5809" s="11"/>
      <c r="T5809" s="6"/>
      <c r="U5809" s="24" t="str">
        <f>HYPERLINK("https://media.infra-m.ru/2110/2110943/cover/2110943.jpg", "Обложка")</f>
        <v>Обложка</v>
      </c>
      <c r="V5809" s="24" t="str">
        <f>HYPERLINK("https://znanium.ru/catalog/product/2110943", "Ознакомиться")</f>
        <v>Ознакомиться</v>
      </c>
      <c r="W5809" s="8" t="s">
        <v>10299</v>
      </c>
      <c r="X5809" s="6"/>
      <c r="Y5809" s="6"/>
      <c r="Z5809" s="6"/>
      <c r="AA5809" s="6" t="s">
        <v>418</v>
      </c>
      <c r="AB5809" s="8"/>
    </row>
    <row r="5810" spans="1:28" s="4" customFormat="1" ht="51.95" customHeight="1">
      <c r="A5810" s="5">
        <v>0</v>
      </c>
      <c r="B5810" s="6" t="s">
        <v>33985</v>
      </c>
      <c r="C5810" s="13">
        <v>1304</v>
      </c>
      <c r="D5810" s="8" t="s">
        <v>33986</v>
      </c>
      <c r="E5810" s="8" t="s">
        <v>33987</v>
      </c>
      <c r="F5810" s="8" t="s">
        <v>33988</v>
      </c>
      <c r="G5810" s="6" t="s">
        <v>89</v>
      </c>
      <c r="H5810" s="6" t="s">
        <v>53</v>
      </c>
      <c r="I5810" s="8" t="s">
        <v>90</v>
      </c>
      <c r="J5810" s="9">
        <v>1</v>
      </c>
      <c r="K5810" s="9">
        <v>288</v>
      </c>
      <c r="L5810" s="9">
        <v>2023</v>
      </c>
      <c r="M5810" s="8" t="s">
        <v>33989</v>
      </c>
      <c r="N5810" s="8" t="s">
        <v>79</v>
      </c>
      <c r="O5810" s="8" t="s">
        <v>684</v>
      </c>
      <c r="P5810" s="6" t="s">
        <v>167</v>
      </c>
      <c r="Q5810" s="8" t="s">
        <v>44</v>
      </c>
      <c r="R5810" s="10" t="s">
        <v>33990</v>
      </c>
      <c r="S5810" s="11" t="s">
        <v>33991</v>
      </c>
      <c r="T5810" s="6"/>
      <c r="U5810" s="24" t="str">
        <f>HYPERLINK("https://media.infra-m.ru/1941/1941726/cover/1941726.jpg", "Обложка")</f>
        <v>Обложка</v>
      </c>
      <c r="V5810" s="24" t="str">
        <f>HYPERLINK("https://znanium.ru/catalog/product/1931491", "Ознакомиться")</f>
        <v>Ознакомиться</v>
      </c>
      <c r="W5810" s="8" t="s">
        <v>637</v>
      </c>
      <c r="X5810" s="6"/>
      <c r="Y5810" s="6"/>
      <c r="Z5810" s="6"/>
      <c r="AA5810" s="6" t="s">
        <v>111</v>
      </c>
      <c r="AB5810" s="8"/>
    </row>
    <row r="5811" spans="1:28" s="4" customFormat="1" ht="51.95" customHeight="1">
      <c r="A5811" s="5">
        <v>0</v>
      </c>
      <c r="B5811" s="6" t="s">
        <v>33992</v>
      </c>
      <c r="C5811" s="13">
        <v>1144</v>
      </c>
      <c r="D5811" s="8" t="s">
        <v>33993</v>
      </c>
      <c r="E5811" s="8" t="s">
        <v>33994</v>
      </c>
      <c r="F5811" s="8" t="s">
        <v>33995</v>
      </c>
      <c r="G5811" s="6" t="s">
        <v>89</v>
      </c>
      <c r="H5811" s="6" t="s">
        <v>53</v>
      </c>
      <c r="I5811" s="8" t="s">
        <v>100</v>
      </c>
      <c r="J5811" s="9">
        <v>1</v>
      </c>
      <c r="K5811" s="9">
        <v>221</v>
      </c>
      <c r="L5811" s="9">
        <v>2025</v>
      </c>
      <c r="M5811" s="8" t="s">
        <v>33996</v>
      </c>
      <c r="N5811" s="8" t="s">
        <v>56</v>
      </c>
      <c r="O5811" s="8" t="s">
        <v>2183</v>
      </c>
      <c r="P5811" s="6" t="s">
        <v>43</v>
      </c>
      <c r="Q5811" s="8" t="s">
        <v>102</v>
      </c>
      <c r="R5811" s="10" t="s">
        <v>33997</v>
      </c>
      <c r="S5811" s="11" t="s">
        <v>33998</v>
      </c>
      <c r="T5811" s="6" t="s">
        <v>299</v>
      </c>
      <c r="U5811" s="24" t="str">
        <f>HYPERLINK("https://media.infra-m.ru/2198/2198346/cover/2198346.jpg", "Обложка")</f>
        <v>Обложка</v>
      </c>
      <c r="V5811" s="24" t="str">
        <f>HYPERLINK("https://znanium.ru/catalog/product/2107429", "Ознакомиться")</f>
        <v>Ознакомиться</v>
      </c>
      <c r="W5811" s="8" t="s">
        <v>12347</v>
      </c>
      <c r="X5811" s="6"/>
      <c r="Y5811" s="6"/>
      <c r="Z5811" s="6"/>
      <c r="AA5811" s="6" t="s">
        <v>84</v>
      </c>
      <c r="AB5811" s="8"/>
    </row>
    <row r="5812" spans="1:28" s="4" customFormat="1" ht="51.95" customHeight="1">
      <c r="A5812" s="5">
        <v>0</v>
      </c>
      <c r="B5812" s="6" t="s">
        <v>33999</v>
      </c>
      <c r="C5812" s="13">
        <v>1214</v>
      </c>
      <c r="D5812" s="8" t="s">
        <v>34000</v>
      </c>
      <c r="E5812" s="8" t="s">
        <v>34001</v>
      </c>
      <c r="F5812" s="8" t="s">
        <v>34002</v>
      </c>
      <c r="G5812" s="6" t="s">
        <v>52</v>
      </c>
      <c r="H5812" s="6" t="s">
        <v>649</v>
      </c>
      <c r="I5812" s="8" t="s">
        <v>185</v>
      </c>
      <c r="J5812" s="9">
        <v>16</v>
      </c>
      <c r="K5812" s="9">
        <v>256</v>
      </c>
      <c r="L5812" s="9">
        <v>2024</v>
      </c>
      <c r="M5812" s="8" t="s">
        <v>34003</v>
      </c>
      <c r="N5812" s="8" t="s">
        <v>56</v>
      </c>
      <c r="O5812" s="8" t="s">
        <v>57</v>
      </c>
      <c r="P5812" s="6" t="s">
        <v>43</v>
      </c>
      <c r="Q5812" s="8" t="s">
        <v>102</v>
      </c>
      <c r="R5812" s="10" t="s">
        <v>2015</v>
      </c>
      <c r="S5812" s="11" t="s">
        <v>34004</v>
      </c>
      <c r="T5812" s="6"/>
      <c r="U5812" s="24" t="str">
        <f>HYPERLINK("https://media.infra-m.ru/2147/2147932/cover/2147932.jpg", "Обложка")</f>
        <v>Обложка</v>
      </c>
      <c r="V5812" s="24" t="str">
        <f>HYPERLINK("https://znanium.ru/catalog/product/1237092", "Ознакомиться")</f>
        <v>Ознакомиться</v>
      </c>
      <c r="W5812" s="8" t="s">
        <v>34005</v>
      </c>
      <c r="X5812" s="6"/>
      <c r="Y5812" s="6"/>
      <c r="Z5812" s="6"/>
      <c r="AA5812" s="6" t="s">
        <v>614</v>
      </c>
      <c r="AB5812" s="8"/>
    </row>
    <row r="5813" spans="1:28" s="4" customFormat="1" ht="51.95" customHeight="1">
      <c r="A5813" s="5">
        <v>0</v>
      </c>
      <c r="B5813" s="6" t="s">
        <v>34006</v>
      </c>
      <c r="C5813" s="7">
        <v>894</v>
      </c>
      <c r="D5813" s="8" t="s">
        <v>34007</v>
      </c>
      <c r="E5813" s="8" t="s">
        <v>34008</v>
      </c>
      <c r="F5813" s="8" t="s">
        <v>33244</v>
      </c>
      <c r="G5813" s="6" t="s">
        <v>52</v>
      </c>
      <c r="H5813" s="6" t="s">
        <v>53</v>
      </c>
      <c r="I5813" s="8" t="s">
        <v>90</v>
      </c>
      <c r="J5813" s="9">
        <v>1</v>
      </c>
      <c r="K5813" s="9">
        <v>189</v>
      </c>
      <c r="L5813" s="9">
        <v>2024</v>
      </c>
      <c r="M5813" s="8" t="s">
        <v>34009</v>
      </c>
      <c r="N5813" s="8" t="s">
        <v>997</v>
      </c>
      <c r="O5813" s="8" t="s">
        <v>998</v>
      </c>
      <c r="P5813" s="6" t="s">
        <v>43</v>
      </c>
      <c r="Q5813" s="8" t="s">
        <v>44</v>
      </c>
      <c r="R5813" s="10" t="s">
        <v>6390</v>
      </c>
      <c r="S5813" s="11" t="s">
        <v>34010</v>
      </c>
      <c r="T5813" s="6"/>
      <c r="U5813" s="24" t="str">
        <f>HYPERLINK("https://media.infra-m.ru/2137/2137198/cover/2137198.jpg", "Обложка")</f>
        <v>Обложка</v>
      </c>
      <c r="V5813" s="24" t="str">
        <f>HYPERLINK("https://znanium.ru/catalog/product/1058944", "Ознакомиться")</f>
        <v>Ознакомиться</v>
      </c>
      <c r="W5813" s="8" t="s">
        <v>2514</v>
      </c>
      <c r="X5813" s="6"/>
      <c r="Y5813" s="6"/>
      <c r="Z5813" s="6"/>
      <c r="AA5813" s="6" t="s">
        <v>219</v>
      </c>
      <c r="AB5813" s="8"/>
    </row>
    <row r="5814" spans="1:28" s="4" customFormat="1" ht="51.95" customHeight="1">
      <c r="A5814" s="5">
        <v>0</v>
      </c>
      <c r="B5814" s="6" t="s">
        <v>34011</v>
      </c>
      <c r="C5814" s="7">
        <v>870</v>
      </c>
      <c r="D5814" s="8" t="s">
        <v>34012</v>
      </c>
      <c r="E5814" s="8" t="s">
        <v>34013</v>
      </c>
      <c r="F5814" s="8" t="s">
        <v>34014</v>
      </c>
      <c r="G5814" s="6" t="s">
        <v>52</v>
      </c>
      <c r="H5814" s="6" t="s">
        <v>53</v>
      </c>
      <c r="I5814" s="8" t="s">
        <v>116</v>
      </c>
      <c r="J5814" s="9">
        <v>1</v>
      </c>
      <c r="K5814" s="9">
        <v>174</v>
      </c>
      <c r="L5814" s="9">
        <v>2024</v>
      </c>
      <c r="M5814" s="8" t="s">
        <v>34015</v>
      </c>
      <c r="N5814" s="8" t="s">
        <v>997</v>
      </c>
      <c r="O5814" s="8" t="s">
        <v>998</v>
      </c>
      <c r="P5814" s="6" t="s">
        <v>43</v>
      </c>
      <c r="Q5814" s="8" t="s">
        <v>44</v>
      </c>
      <c r="R5814" s="10" t="s">
        <v>34016</v>
      </c>
      <c r="S5814" s="11"/>
      <c r="T5814" s="6"/>
      <c r="U5814" s="24" t="str">
        <f>HYPERLINK("https://media.infra-m.ru/1882/1882578/cover/1882578.jpg", "Обложка")</f>
        <v>Обложка</v>
      </c>
      <c r="V5814" s="24" t="str">
        <f>HYPERLINK("https://znanium.ru/catalog/product/1882578", "Ознакомиться")</f>
        <v>Ознакомиться</v>
      </c>
      <c r="W5814" s="8" t="s">
        <v>26392</v>
      </c>
      <c r="X5814" s="6"/>
      <c r="Y5814" s="6"/>
      <c r="Z5814" s="6"/>
      <c r="AA5814" s="6" t="s">
        <v>133</v>
      </c>
      <c r="AB5814" s="8" t="s">
        <v>2963</v>
      </c>
    </row>
    <row r="5815" spans="1:28" s="4" customFormat="1" ht="51.95" customHeight="1">
      <c r="A5815" s="5">
        <v>0</v>
      </c>
      <c r="B5815" s="6" t="s">
        <v>34017</v>
      </c>
      <c r="C5815" s="13">
        <v>1544</v>
      </c>
      <c r="D5815" s="8" t="s">
        <v>34018</v>
      </c>
      <c r="E5815" s="8" t="s">
        <v>34019</v>
      </c>
      <c r="F5815" s="8" t="s">
        <v>34020</v>
      </c>
      <c r="G5815" s="6" t="s">
        <v>52</v>
      </c>
      <c r="H5815" s="6" t="s">
        <v>53</v>
      </c>
      <c r="I5815" s="8" t="s">
        <v>4855</v>
      </c>
      <c r="J5815" s="9">
        <v>1</v>
      </c>
      <c r="K5815" s="9">
        <v>344</v>
      </c>
      <c r="L5815" s="9">
        <v>2023</v>
      </c>
      <c r="M5815" s="8" t="s">
        <v>34021</v>
      </c>
      <c r="N5815" s="8" t="s">
        <v>79</v>
      </c>
      <c r="O5815" s="8" t="s">
        <v>396</v>
      </c>
      <c r="P5815" s="6" t="s">
        <v>43</v>
      </c>
      <c r="Q5815" s="8" t="s">
        <v>44</v>
      </c>
      <c r="R5815" s="10" t="s">
        <v>19951</v>
      </c>
      <c r="S5815" s="11" t="s">
        <v>20068</v>
      </c>
      <c r="T5815" s="6"/>
      <c r="U5815" s="24" t="str">
        <f>HYPERLINK("https://media.infra-m.ru/2006/2006871/cover/2006871.jpg", "Обложка")</f>
        <v>Обложка</v>
      </c>
      <c r="V5815" s="12"/>
      <c r="W5815" s="8" t="s">
        <v>3605</v>
      </c>
      <c r="X5815" s="6"/>
      <c r="Y5815" s="6"/>
      <c r="Z5815" s="6"/>
      <c r="AA5815" s="6" t="s">
        <v>151</v>
      </c>
      <c r="AB5815" s="8"/>
    </row>
    <row r="5816" spans="1:28" s="4" customFormat="1" ht="51.95" customHeight="1">
      <c r="A5816" s="5">
        <v>0</v>
      </c>
      <c r="B5816" s="6" t="s">
        <v>34022</v>
      </c>
      <c r="C5816" s="13">
        <v>1874.9</v>
      </c>
      <c r="D5816" s="8" t="s">
        <v>34023</v>
      </c>
      <c r="E5816" s="8" t="s">
        <v>34024</v>
      </c>
      <c r="F5816" s="8" t="s">
        <v>34025</v>
      </c>
      <c r="G5816" s="6" t="s">
        <v>52</v>
      </c>
      <c r="H5816" s="6" t="s">
        <v>39</v>
      </c>
      <c r="I5816" s="8" t="s">
        <v>116</v>
      </c>
      <c r="J5816" s="9">
        <v>1</v>
      </c>
      <c r="K5816" s="9">
        <v>416</v>
      </c>
      <c r="L5816" s="9">
        <v>2023</v>
      </c>
      <c r="M5816" s="8" t="s">
        <v>34026</v>
      </c>
      <c r="N5816" s="8" t="s">
        <v>79</v>
      </c>
      <c r="O5816" s="8" t="s">
        <v>396</v>
      </c>
      <c r="P5816" s="6" t="s">
        <v>43</v>
      </c>
      <c r="Q5816" s="8" t="s">
        <v>44</v>
      </c>
      <c r="R5816" s="10" t="s">
        <v>454</v>
      </c>
      <c r="S5816" s="11" t="s">
        <v>34027</v>
      </c>
      <c r="T5816" s="6"/>
      <c r="U5816" s="24" t="str">
        <f>HYPERLINK("https://media.infra-m.ru/1915/1915711/cover/1915711.jpg", "Обложка")</f>
        <v>Обложка</v>
      </c>
      <c r="V5816" s="12"/>
      <c r="W5816" s="8" t="s">
        <v>758</v>
      </c>
      <c r="X5816" s="6"/>
      <c r="Y5816" s="6"/>
      <c r="Z5816" s="6"/>
      <c r="AA5816" s="6" t="s">
        <v>622</v>
      </c>
      <c r="AB5816" s="8"/>
    </row>
    <row r="5817" spans="1:28" s="4" customFormat="1" ht="51.95" customHeight="1">
      <c r="A5817" s="5">
        <v>0</v>
      </c>
      <c r="B5817" s="6" t="s">
        <v>34028</v>
      </c>
      <c r="C5817" s="13">
        <v>1870</v>
      </c>
      <c r="D5817" s="8" t="s">
        <v>34029</v>
      </c>
      <c r="E5817" s="8" t="s">
        <v>34024</v>
      </c>
      <c r="F5817" s="8" t="s">
        <v>34025</v>
      </c>
      <c r="G5817" s="6" t="s">
        <v>89</v>
      </c>
      <c r="H5817" s="6" t="s">
        <v>39</v>
      </c>
      <c r="I5817" s="8" t="s">
        <v>100</v>
      </c>
      <c r="J5817" s="9">
        <v>1</v>
      </c>
      <c r="K5817" s="9">
        <v>416</v>
      </c>
      <c r="L5817" s="9">
        <v>2023</v>
      </c>
      <c r="M5817" s="8" t="s">
        <v>34030</v>
      </c>
      <c r="N5817" s="8" t="s">
        <v>79</v>
      </c>
      <c r="O5817" s="8" t="s">
        <v>396</v>
      </c>
      <c r="P5817" s="6" t="s">
        <v>43</v>
      </c>
      <c r="Q5817" s="8" t="s">
        <v>102</v>
      </c>
      <c r="R5817" s="10" t="s">
        <v>34031</v>
      </c>
      <c r="S5817" s="11" t="s">
        <v>14204</v>
      </c>
      <c r="T5817" s="6"/>
      <c r="U5817" s="24" t="str">
        <f>HYPERLINK("https://media.infra-m.ru/1965/1965754/cover/1965754.jpg", "Обложка")</f>
        <v>Обложка</v>
      </c>
      <c r="V5817" s="24" t="str">
        <f>HYPERLINK("https://znanium.ru/catalog/product/1965754", "Ознакомиться")</f>
        <v>Ознакомиться</v>
      </c>
      <c r="W5817" s="8" t="s">
        <v>758</v>
      </c>
      <c r="X5817" s="6"/>
      <c r="Y5817" s="6"/>
      <c r="Z5817" s="6" t="s">
        <v>104</v>
      </c>
      <c r="AA5817" s="6" t="s">
        <v>258</v>
      </c>
      <c r="AB5817" s="8"/>
    </row>
    <row r="5818" spans="1:28" s="4" customFormat="1" ht="42" customHeight="1">
      <c r="A5818" s="5">
        <v>0</v>
      </c>
      <c r="B5818" s="6" t="s">
        <v>34032</v>
      </c>
      <c r="C5818" s="13">
        <v>1100</v>
      </c>
      <c r="D5818" s="8" t="s">
        <v>34033</v>
      </c>
      <c r="E5818" s="8" t="s">
        <v>34034</v>
      </c>
      <c r="F5818" s="8" t="s">
        <v>20628</v>
      </c>
      <c r="G5818" s="6" t="s">
        <v>52</v>
      </c>
      <c r="H5818" s="6" t="s">
        <v>53</v>
      </c>
      <c r="I5818" s="8" t="s">
        <v>116</v>
      </c>
      <c r="J5818" s="9">
        <v>1</v>
      </c>
      <c r="K5818" s="9">
        <v>232</v>
      </c>
      <c r="L5818" s="9">
        <v>2024</v>
      </c>
      <c r="M5818" s="8" t="s">
        <v>34035</v>
      </c>
      <c r="N5818" s="8" t="s">
        <v>41</v>
      </c>
      <c r="O5818" s="8" t="s">
        <v>118</v>
      </c>
      <c r="P5818" s="6" t="s">
        <v>43</v>
      </c>
      <c r="Q5818" s="8" t="s">
        <v>44</v>
      </c>
      <c r="R5818" s="10" t="s">
        <v>1709</v>
      </c>
      <c r="S5818" s="11"/>
      <c r="T5818" s="6"/>
      <c r="U5818" s="24" t="str">
        <f>HYPERLINK("https://media.infra-m.ru/1859/1859085/cover/1859085.jpg", "Обложка")</f>
        <v>Обложка</v>
      </c>
      <c r="V5818" s="24" t="str">
        <f>HYPERLINK("https://znanium.ru/catalog/product/1859085", "Ознакомиться")</f>
        <v>Ознакомиться</v>
      </c>
      <c r="W5818" s="8" t="s">
        <v>2878</v>
      </c>
      <c r="X5818" s="6"/>
      <c r="Y5818" s="6"/>
      <c r="Z5818" s="6"/>
      <c r="AA5818" s="6" t="s">
        <v>133</v>
      </c>
      <c r="AB5818" s="8"/>
    </row>
    <row r="5819" spans="1:28" s="4" customFormat="1" ht="51.95" customHeight="1">
      <c r="A5819" s="5">
        <v>0</v>
      </c>
      <c r="B5819" s="6" t="s">
        <v>34036</v>
      </c>
      <c r="C5819" s="7">
        <v>939.9</v>
      </c>
      <c r="D5819" s="8" t="s">
        <v>34037</v>
      </c>
      <c r="E5819" s="8" t="s">
        <v>34038</v>
      </c>
      <c r="F5819" s="8" t="s">
        <v>29631</v>
      </c>
      <c r="G5819" s="6" t="s">
        <v>89</v>
      </c>
      <c r="H5819" s="6" t="s">
        <v>1738</v>
      </c>
      <c r="I5819" s="8" t="s">
        <v>1739</v>
      </c>
      <c r="J5819" s="9">
        <v>1</v>
      </c>
      <c r="K5819" s="9">
        <v>319</v>
      </c>
      <c r="L5819" s="9">
        <v>2017</v>
      </c>
      <c r="M5819" s="8" t="s">
        <v>34039</v>
      </c>
      <c r="N5819" s="8" t="s">
        <v>56</v>
      </c>
      <c r="O5819" s="8" t="s">
        <v>2183</v>
      </c>
      <c r="P5819" s="6" t="s">
        <v>43</v>
      </c>
      <c r="Q5819" s="8" t="s">
        <v>102</v>
      </c>
      <c r="R5819" s="10" t="s">
        <v>29633</v>
      </c>
      <c r="S5819" s="11" t="s">
        <v>34040</v>
      </c>
      <c r="T5819" s="6"/>
      <c r="U5819" s="24" t="str">
        <f>HYPERLINK("https://media.infra-m.ru/0809/0809827/cover/809827.jpg", "Обложка")</f>
        <v>Обложка</v>
      </c>
      <c r="V5819" s="24" t="str">
        <f>HYPERLINK("https://znanium.ru/catalog/product/2175284", "Ознакомиться")</f>
        <v>Ознакомиться</v>
      </c>
      <c r="W5819" s="8" t="s">
        <v>71</v>
      </c>
      <c r="X5819" s="6"/>
      <c r="Y5819" s="6"/>
      <c r="Z5819" s="6"/>
      <c r="AA5819" s="6" t="s">
        <v>47</v>
      </c>
      <c r="AB5819" s="8"/>
    </row>
    <row r="5820" spans="1:28" s="4" customFormat="1" ht="44.1" customHeight="1">
      <c r="A5820" s="5">
        <v>0</v>
      </c>
      <c r="B5820" s="6" t="s">
        <v>34041</v>
      </c>
      <c r="C5820" s="7">
        <v>920</v>
      </c>
      <c r="D5820" s="8" t="s">
        <v>34042</v>
      </c>
      <c r="E5820" s="8" t="s">
        <v>34043</v>
      </c>
      <c r="F5820" s="8" t="s">
        <v>28080</v>
      </c>
      <c r="G5820" s="6" t="s">
        <v>89</v>
      </c>
      <c r="H5820" s="6" t="s">
        <v>674</v>
      </c>
      <c r="I5820" s="8"/>
      <c r="J5820" s="9">
        <v>1</v>
      </c>
      <c r="K5820" s="9">
        <v>192</v>
      </c>
      <c r="L5820" s="9">
        <v>2024</v>
      </c>
      <c r="M5820" s="8" t="s">
        <v>34044</v>
      </c>
      <c r="N5820" s="8" t="s">
        <v>56</v>
      </c>
      <c r="O5820" s="8" t="s">
        <v>57</v>
      </c>
      <c r="P5820" s="6" t="s">
        <v>43</v>
      </c>
      <c r="Q5820" s="8" t="s">
        <v>44</v>
      </c>
      <c r="R5820" s="10" t="s">
        <v>8910</v>
      </c>
      <c r="S5820" s="11"/>
      <c r="T5820" s="6"/>
      <c r="U5820" s="24" t="str">
        <f>HYPERLINK("https://media.infra-m.ru/2130/2130548/cover/2130548.jpg", "Обложка")</f>
        <v>Обложка</v>
      </c>
      <c r="V5820" s="24" t="str">
        <f>HYPERLINK("https://znanium.ru/catalog/product/2130548", "Ознакомиться")</f>
        <v>Ознакомиться</v>
      </c>
      <c r="W5820" s="8" t="s">
        <v>792</v>
      </c>
      <c r="X5820" s="6"/>
      <c r="Y5820" s="6"/>
      <c r="Z5820" s="6"/>
      <c r="AA5820" s="6" t="s">
        <v>793</v>
      </c>
      <c r="AB5820" s="8"/>
    </row>
    <row r="5821" spans="1:28" s="4" customFormat="1" ht="51.95" customHeight="1">
      <c r="A5821" s="5">
        <v>0</v>
      </c>
      <c r="B5821" s="6" t="s">
        <v>34045</v>
      </c>
      <c r="C5821" s="13">
        <v>1997</v>
      </c>
      <c r="D5821" s="8" t="s">
        <v>34046</v>
      </c>
      <c r="E5821" s="8" t="s">
        <v>34047</v>
      </c>
      <c r="F5821" s="8" t="s">
        <v>34048</v>
      </c>
      <c r="G5821" s="6" t="s">
        <v>52</v>
      </c>
      <c r="H5821" s="6" t="s">
        <v>39</v>
      </c>
      <c r="I5821" s="8" t="s">
        <v>116</v>
      </c>
      <c r="J5821" s="9">
        <v>1</v>
      </c>
      <c r="K5821" s="9">
        <v>336</v>
      </c>
      <c r="L5821" s="9">
        <v>2024</v>
      </c>
      <c r="M5821" s="8" t="s">
        <v>34049</v>
      </c>
      <c r="N5821" s="8" t="s">
        <v>56</v>
      </c>
      <c r="O5821" s="8" t="s">
        <v>57</v>
      </c>
      <c r="P5821" s="6" t="s">
        <v>43</v>
      </c>
      <c r="Q5821" s="8" t="s">
        <v>44</v>
      </c>
      <c r="R5821" s="10" t="s">
        <v>1910</v>
      </c>
      <c r="S5821" s="11" t="s">
        <v>34004</v>
      </c>
      <c r="T5821" s="6"/>
      <c r="U5821" s="24" t="str">
        <f>HYPERLINK("https://media.infra-m.ru/2136/2136881/cover/2136881.jpg", "Обложка")</f>
        <v>Обложка</v>
      </c>
      <c r="V5821" s="12"/>
      <c r="W5821" s="8" t="s">
        <v>8022</v>
      </c>
      <c r="X5821" s="6"/>
      <c r="Y5821" s="6"/>
      <c r="Z5821" s="6"/>
      <c r="AA5821" s="6" t="s">
        <v>3065</v>
      </c>
      <c r="AB5821" s="8"/>
    </row>
    <row r="5822" spans="1:28" s="4" customFormat="1" ht="51.95" customHeight="1">
      <c r="A5822" s="5">
        <v>0</v>
      </c>
      <c r="B5822" s="6" t="s">
        <v>34050</v>
      </c>
      <c r="C5822" s="7">
        <v>474.9</v>
      </c>
      <c r="D5822" s="8" t="s">
        <v>34051</v>
      </c>
      <c r="E5822" s="8" t="s">
        <v>34052</v>
      </c>
      <c r="F5822" s="8" t="s">
        <v>10086</v>
      </c>
      <c r="G5822" s="6" t="s">
        <v>38</v>
      </c>
      <c r="H5822" s="6" t="s">
        <v>649</v>
      </c>
      <c r="I5822" s="8" t="s">
        <v>116</v>
      </c>
      <c r="J5822" s="9">
        <v>1</v>
      </c>
      <c r="K5822" s="9">
        <v>104</v>
      </c>
      <c r="L5822" s="9">
        <v>2023</v>
      </c>
      <c r="M5822" s="8" t="s">
        <v>34053</v>
      </c>
      <c r="N5822" s="8" t="s">
        <v>41</v>
      </c>
      <c r="O5822" s="8" t="s">
        <v>278</v>
      </c>
      <c r="P5822" s="6" t="s">
        <v>43</v>
      </c>
      <c r="Q5822" s="8" t="s">
        <v>44</v>
      </c>
      <c r="R5822" s="10" t="s">
        <v>34054</v>
      </c>
      <c r="S5822" s="11" t="s">
        <v>17782</v>
      </c>
      <c r="T5822" s="6"/>
      <c r="U5822" s="24" t="str">
        <f>HYPERLINK("https://media.infra-m.ru/2019/2019762/cover/2019762.jpg", "Обложка")</f>
        <v>Обложка</v>
      </c>
      <c r="V5822" s="24" t="str">
        <f>HYPERLINK("https://znanium.ru/catalog/product/1946546", "Ознакомиться")</f>
        <v>Ознакомиться</v>
      </c>
      <c r="W5822" s="8" t="s">
        <v>189</v>
      </c>
      <c r="X5822" s="6"/>
      <c r="Y5822" s="6"/>
      <c r="Z5822" s="6"/>
      <c r="AA5822" s="6" t="s">
        <v>47</v>
      </c>
      <c r="AB5822" s="8"/>
    </row>
    <row r="5823" spans="1:28" s="4" customFormat="1" ht="42" customHeight="1">
      <c r="A5823" s="5">
        <v>0</v>
      </c>
      <c r="B5823" s="6" t="s">
        <v>34055</v>
      </c>
      <c r="C5823" s="13">
        <v>1524</v>
      </c>
      <c r="D5823" s="8" t="s">
        <v>34056</v>
      </c>
      <c r="E5823" s="8" t="s">
        <v>34057</v>
      </c>
      <c r="F5823" s="8" t="s">
        <v>15687</v>
      </c>
      <c r="G5823" s="6" t="s">
        <v>89</v>
      </c>
      <c r="H5823" s="6" t="s">
        <v>53</v>
      </c>
      <c r="I5823" s="8" t="s">
        <v>276</v>
      </c>
      <c r="J5823" s="9">
        <v>1</v>
      </c>
      <c r="K5823" s="9">
        <v>321</v>
      </c>
      <c r="L5823" s="9">
        <v>2023</v>
      </c>
      <c r="M5823" s="8" t="s">
        <v>34058</v>
      </c>
      <c r="N5823" s="8" t="s">
        <v>56</v>
      </c>
      <c r="O5823" s="8" t="s">
        <v>741</v>
      </c>
      <c r="P5823" s="6" t="s">
        <v>167</v>
      </c>
      <c r="Q5823" s="8" t="s">
        <v>279</v>
      </c>
      <c r="R5823" s="10" t="s">
        <v>34059</v>
      </c>
      <c r="S5823" s="11"/>
      <c r="T5823" s="6"/>
      <c r="U5823" s="24" t="str">
        <f>HYPERLINK("https://media.infra-m.ru/2126/2126207/cover/2126207.jpg", "Обложка")</f>
        <v>Обложка</v>
      </c>
      <c r="V5823" s="24" t="str">
        <f>HYPERLINK("https://znanium.ru/catalog/product/2122927", "Ознакомиться")</f>
        <v>Ознакомиться</v>
      </c>
      <c r="W5823" s="8" t="s">
        <v>7243</v>
      </c>
      <c r="X5823" s="6"/>
      <c r="Y5823" s="6"/>
      <c r="Z5823" s="6"/>
      <c r="AA5823" s="6" t="s">
        <v>207</v>
      </c>
      <c r="AB5823" s="8"/>
    </row>
    <row r="5824" spans="1:28" s="4" customFormat="1" ht="51.95" customHeight="1">
      <c r="A5824" s="5">
        <v>0</v>
      </c>
      <c r="B5824" s="6" t="s">
        <v>34060</v>
      </c>
      <c r="C5824" s="13">
        <v>1074.9000000000001</v>
      </c>
      <c r="D5824" s="8" t="s">
        <v>34061</v>
      </c>
      <c r="E5824" s="8" t="s">
        <v>34062</v>
      </c>
      <c r="F5824" s="8" t="s">
        <v>34063</v>
      </c>
      <c r="G5824" s="6" t="s">
        <v>52</v>
      </c>
      <c r="H5824" s="6" t="s">
        <v>184</v>
      </c>
      <c r="I5824" s="8" t="s">
        <v>185</v>
      </c>
      <c r="J5824" s="9">
        <v>1</v>
      </c>
      <c r="K5824" s="9">
        <v>238</v>
      </c>
      <c r="L5824" s="9">
        <v>2023</v>
      </c>
      <c r="M5824" s="8" t="s">
        <v>34064</v>
      </c>
      <c r="N5824" s="8" t="s">
        <v>413</v>
      </c>
      <c r="O5824" s="8" t="s">
        <v>1141</v>
      </c>
      <c r="P5824" s="6" t="s">
        <v>43</v>
      </c>
      <c r="Q5824" s="8" t="s">
        <v>44</v>
      </c>
      <c r="R5824" s="10" t="s">
        <v>34065</v>
      </c>
      <c r="S5824" s="11"/>
      <c r="T5824" s="6"/>
      <c r="U5824" s="24" t="str">
        <f>HYPERLINK("https://media.infra-m.ru/1895/1895939/cover/1895939.jpg", "Обложка")</f>
        <v>Обложка</v>
      </c>
      <c r="V5824" s="24" t="str">
        <f>HYPERLINK("https://znanium.ru/catalog/product/1021442", "Ознакомиться")</f>
        <v>Ознакомиться</v>
      </c>
      <c r="W5824" s="8" t="s">
        <v>399</v>
      </c>
      <c r="X5824" s="6"/>
      <c r="Y5824" s="6"/>
      <c r="Z5824" s="6"/>
      <c r="AA5824" s="6" t="s">
        <v>442</v>
      </c>
      <c r="AB5824" s="8"/>
    </row>
    <row r="5825" spans="1:28" s="4" customFormat="1" ht="51.95" customHeight="1">
      <c r="A5825" s="5">
        <v>0</v>
      </c>
      <c r="B5825" s="6" t="s">
        <v>34066</v>
      </c>
      <c r="C5825" s="7">
        <v>660</v>
      </c>
      <c r="D5825" s="8" t="s">
        <v>34067</v>
      </c>
      <c r="E5825" s="8" t="s">
        <v>34068</v>
      </c>
      <c r="F5825" s="8" t="s">
        <v>34069</v>
      </c>
      <c r="G5825" s="6" t="s">
        <v>38</v>
      </c>
      <c r="H5825" s="6" t="s">
        <v>53</v>
      </c>
      <c r="I5825" s="8" t="s">
        <v>276</v>
      </c>
      <c r="J5825" s="9">
        <v>1</v>
      </c>
      <c r="K5825" s="9">
        <v>140</v>
      </c>
      <c r="L5825" s="9">
        <v>2024</v>
      </c>
      <c r="M5825" s="8" t="s">
        <v>34070</v>
      </c>
      <c r="N5825" s="8" t="s">
        <v>79</v>
      </c>
      <c r="O5825" s="8" t="s">
        <v>148</v>
      </c>
      <c r="P5825" s="6" t="s">
        <v>43</v>
      </c>
      <c r="Q5825" s="8" t="s">
        <v>279</v>
      </c>
      <c r="R5825" s="10" t="s">
        <v>34071</v>
      </c>
      <c r="S5825" s="11" t="s">
        <v>34072</v>
      </c>
      <c r="T5825" s="6" t="s">
        <v>299</v>
      </c>
      <c r="U5825" s="24" t="str">
        <f>HYPERLINK("https://media.infra-m.ru/2029/2029907/cover/2029907.jpg", "Обложка")</f>
        <v>Обложка</v>
      </c>
      <c r="V5825" s="24" t="str">
        <f>HYPERLINK("https://znanium.ru/catalog/product/2029907", "Ознакомиться")</f>
        <v>Ознакомиться</v>
      </c>
      <c r="W5825" s="8" t="s">
        <v>1514</v>
      </c>
      <c r="X5825" s="6"/>
      <c r="Y5825" s="6"/>
      <c r="Z5825" s="6"/>
      <c r="AA5825" s="6" t="s">
        <v>418</v>
      </c>
      <c r="AB5825" s="8"/>
    </row>
    <row r="5826" spans="1:28" s="4" customFormat="1" ht="51.95" customHeight="1">
      <c r="A5826" s="5">
        <v>0</v>
      </c>
      <c r="B5826" s="6" t="s">
        <v>34073</v>
      </c>
      <c r="C5826" s="13">
        <v>1760</v>
      </c>
      <c r="D5826" s="8" t="s">
        <v>34074</v>
      </c>
      <c r="E5826" s="8" t="s">
        <v>34075</v>
      </c>
      <c r="F5826" s="8" t="s">
        <v>14744</v>
      </c>
      <c r="G5826" s="6" t="s">
        <v>89</v>
      </c>
      <c r="H5826" s="6" t="s">
        <v>53</v>
      </c>
      <c r="I5826" s="8" t="s">
        <v>90</v>
      </c>
      <c r="J5826" s="9">
        <v>1</v>
      </c>
      <c r="K5826" s="9">
        <v>381</v>
      </c>
      <c r="L5826" s="9">
        <v>2023</v>
      </c>
      <c r="M5826" s="8" t="s">
        <v>34076</v>
      </c>
      <c r="N5826" s="8" t="s">
        <v>79</v>
      </c>
      <c r="O5826" s="8" t="s">
        <v>424</v>
      </c>
      <c r="P5826" s="6" t="s">
        <v>43</v>
      </c>
      <c r="Q5826" s="8" t="s">
        <v>44</v>
      </c>
      <c r="R5826" s="10" t="s">
        <v>5274</v>
      </c>
      <c r="S5826" s="11" t="s">
        <v>30380</v>
      </c>
      <c r="T5826" s="6"/>
      <c r="U5826" s="24" t="str">
        <f>HYPERLINK("https://media.infra-m.ru/2126/2126638/cover/2126638.jpg", "Обложка")</f>
        <v>Обложка</v>
      </c>
      <c r="V5826" s="24" t="str">
        <f>HYPERLINK("https://znanium.ru/catalog/product/2126638", "Ознакомиться")</f>
        <v>Ознакомиться</v>
      </c>
      <c r="W5826" s="8" t="s">
        <v>450</v>
      </c>
      <c r="X5826" s="6"/>
      <c r="Y5826" s="6"/>
      <c r="Z5826" s="6"/>
      <c r="AA5826" s="6" t="s">
        <v>418</v>
      </c>
      <c r="AB5826" s="8"/>
    </row>
    <row r="5827" spans="1:28" s="4" customFormat="1" ht="51.95" customHeight="1">
      <c r="A5827" s="5">
        <v>0</v>
      </c>
      <c r="B5827" s="6" t="s">
        <v>34077</v>
      </c>
      <c r="C5827" s="13">
        <v>1474</v>
      </c>
      <c r="D5827" s="8" t="s">
        <v>34078</v>
      </c>
      <c r="E5827" s="8" t="s">
        <v>34079</v>
      </c>
      <c r="F5827" s="8" t="s">
        <v>34080</v>
      </c>
      <c r="G5827" s="6" t="s">
        <v>52</v>
      </c>
      <c r="H5827" s="6" t="s">
        <v>53</v>
      </c>
      <c r="I5827" s="8" t="s">
        <v>90</v>
      </c>
      <c r="J5827" s="9">
        <v>1</v>
      </c>
      <c r="K5827" s="9">
        <v>320</v>
      </c>
      <c r="L5827" s="9">
        <v>2023</v>
      </c>
      <c r="M5827" s="8" t="s">
        <v>34081</v>
      </c>
      <c r="N5827" s="8" t="s">
        <v>413</v>
      </c>
      <c r="O5827" s="8" t="s">
        <v>1528</v>
      </c>
      <c r="P5827" s="6" t="s">
        <v>43</v>
      </c>
      <c r="Q5827" s="8" t="s">
        <v>44</v>
      </c>
      <c r="R5827" s="10" t="s">
        <v>34082</v>
      </c>
      <c r="S5827" s="11"/>
      <c r="T5827" s="6"/>
      <c r="U5827" s="24" t="str">
        <f>HYPERLINK("https://media.infra-m.ru/1981/1981680/cover/1981680.jpg", "Обложка")</f>
        <v>Обложка</v>
      </c>
      <c r="V5827" s="12"/>
      <c r="W5827" s="8" t="s">
        <v>2995</v>
      </c>
      <c r="X5827" s="6"/>
      <c r="Y5827" s="6"/>
      <c r="Z5827" s="6"/>
      <c r="AA5827" s="6" t="s">
        <v>47</v>
      </c>
      <c r="AB5827" s="8"/>
    </row>
    <row r="5828" spans="1:28" s="4" customFormat="1" ht="51.95" customHeight="1">
      <c r="A5828" s="5">
        <v>0</v>
      </c>
      <c r="B5828" s="6" t="s">
        <v>34083</v>
      </c>
      <c r="C5828" s="7">
        <v>950</v>
      </c>
      <c r="D5828" s="8" t="s">
        <v>34084</v>
      </c>
      <c r="E5828" s="8" t="s">
        <v>34085</v>
      </c>
      <c r="F5828" s="8" t="s">
        <v>34086</v>
      </c>
      <c r="G5828" s="6" t="s">
        <v>89</v>
      </c>
      <c r="H5828" s="6" t="s">
        <v>184</v>
      </c>
      <c r="I5828" s="8" t="s">
        <v>185</v>
      </c>
      <c r="J5828" s="9">
        <v>1</v>
      </c>
      <c r="K5828" s="9">
        <v>199</v>
      </c>
      <c r="L5828" s="9">
        <v>2023</v>
      </c>
      <c r="M5828" s="8" t="s">
        <v>34087</v>
      </c>
      <c r="N5828" s="8" t="s">
        <v>413</v>
      </c>
      <c r="O5828" s="8" t="s">
        <v>1528</v>
      </c>
      <c r="P5828" s="6" t="s">
        <v>43</v>
      </c>
      <c r="Q5828" s="8" t="s">
        <v>44</v>
      </c>
      <c r="R5828" s="10" t="s">
        <v>34088</v>
      </c>
      <c r="S5828" s="11"/>
      <c r="T5828" s="6"/>
      <c r="U5828" s="24" t="str">
        <f>HYPERLINK("https://media.infra-m.ru/1905/1905602/cover/1905602.jpg", "Обложка")</f>
        <v>Обложка</v>
      </c>
      <c r="V5828" s="24" t="str">
        <f>HYPERLINK("https://znanium.ru/catalog/product/1905602", "Ознакомиться")</f>
        <v>Ознакомиться</v>
      </c>
      <c r="W5828" s="8"/>
      <c r="X5828" s="6"/>
      <c r="Y5828" s="6"/>
      <c r="Z5828" s="6"/>
      <c r="AA5828" s="6" t="s">
        <v>418</v>
      </c>
      <c r="AB5828" s="8"/>
    </row>
    <row r="5829" spans="1:28" s="4" customFormat="1" ht="51.95" customHeight="1">
      <c r="A5829" s="5">
        <v>0</v>
      </c>
      <c r="B5829" s="6" t="s">
        <v>34089</v>
      </c>
      <c r="C5829" s="7">
        <v>990</v>
      </c>
      <c r="D5829" s="8" t="s">
        <v>34090</v>
      </c>
      <c r="E5829" s="8" t="s">
        <v>34091</v>
      </c>
      <c r="F5829" s="8" t="s">
        <v>34092</v>
      </c>
      <c r="G5829" s="6" t="s">
        <v>89</v>
      </c>
      <c r="H5829" s="6" t="s">
        <v>53</v>
      </c>
      <c r="I5829" s="8" t="s">
        <v>116</v>
      </c>
      <c r="J5829" s="9">
        <v>1</v>
      </c>
      <c r="K5829" s="9">
        <v>214</v>
      </c>
      <c r="L5829" s="9">
        <v>2024</v>
      </c>
      <c r="M5829" s="8" t="s">
        <v>34093</v>
      </c>
      <c r="N5829" s="8" t="s">
        <v>413</v>
      </c>
      <c r="O5829" s="8" t="s">
        <v>414</v>
      </c>
      <c r="P5829" s="6" t="s">
        <v>167</v>
      </c>
      <c r="Q5829" s="8" t="s">
        <v>58</v>
      </c>
      <c r="R5829" s="10" t="s">
        <v>34094</v>
      </c>
      <c r="S5829" s="11" t="s">
        <v>34095</v>
      </c>
      <c r="T5829" s="6"/>
      <c r="U5829" s="24" t="str">
        <f>HYPERLINK("https://media.infra-m.ru/2069/2069319/cover/2069319.jpg", "Обложка")</f>
        <v>Обложка</v>
      </c>
      <c r="V5829" s="24" t="str">
        <f>HYPERLINK("https://znanium.ru/catalog/product/2069319", "Ознакомиться")</f>
        <v>Ознакомиться</v>
      </c>
      <c r="W5829" s="8" t="s">
        <v>9937</v>
      </c>
      <c r="X5829" s="6"/>
      <c r="Y5829" s="6"/>
      <c r="Z5829" s="6"/>
      <c r="AA5829" s="6" t="s">
        <v>219</v>
      </c>
      <c r="AB5829" s="8"/>
    </row>
    <row r="5830" spans="1:28" s="4" customFormat="1" ht="51.95" customHeight="1">
      <c r="A5830" s="5">
        <v>0</v>
      </c>
      <c r="B5830" s="6" t="s">
        <v>34096</v>
      </c>
      <c r="C5830" s="13">
        <v>1094</v>
      </c>
      <c r="D5830" s="8" t="s">
        <v>34097</v>
      </c>
      <c r="E5830" s="8" t="s">
        <v>34098</v>
      </c>
      <c r="F5830" s="8" t="s">
        <v>34099</v>
      </c>
      <c r="G5830" s="6" t="s">
        <v>89</v>
      </c>
      <c r="H5830" s="6" t="s">
        <v>53</v>
      </c>
      <c r="I5830" s="8" t="s">
        <v>100</v>
      </c>
      <c r="J5830" s="9">
        <v>1</v>
      </c>
      <c r="K5830" s="9">
        <v>218</v>
      </c>
      <c r="L5830" s="9">
        <v>2025</v>
      </c>
      <c r="M5830" s="8" t="s">
        <v>34100</v>
      </c>
      <c r="N5830" s="8" t="s">
        <v>79</v>
      </c>
      <c r="O5830" s="8" t="s">
        <v>424</v>
      </c>
      <c r="P5830" s="6" t="s">
        <v>167</v>
      </c>
      <c r="Q5830" s="8" t="s">
        <v>102</v>
      </c>
      <c r="R5830" s="10" t="s">
        <v>34101</v>
      </c>
      <c r="S5830" s="11" t="s">
        <v>34102</v>
      </c>
      <c r="T5830" s="6"/>
      <c r="U5830" s="24" t="str">
        <f>HYPERLINK("https://media.infra-m.ru/2186/2186865/cover/2186865.jpg", "Обложка")</f>
        <v>Обложка</v>
      </c>
      <c r="V5830" s="24" t="str">
        <f>HYPERLINK("https://znanium.ru/catalog/product/2023172", "Ознакомиться")</f>
        <v>Ознакомиться</v>
      </c>
      <c r="W5830" s="8" t="s">
        <v>478</v>
      </c>
      <c r="X5830" s="6"/>
      <c r="Y5830" s="6" t="s">
        <v>30</v>
      </c>
      <c r="Z5830" s="6"/>
      <c r="AA5830" s="6" t="s">
        <v>555</v>
      </c>
      <c r="AB5830" s="8"/>
    </row>
    <row r="5831" spans="1:28" s="4" customFormat="1" ht="51.95" customHeight="1">
      <c r="A5831" s="5">
        <v>0</v>
      </c>
      <c r="B5831" s="6" t="s">
        <v>34103</v>
      </c>
      <c r="C5831" s="13">
        <v>1074.9000000000001</v>
      </c>
      <c r="D5831" s="8" t="s">
        <v>34104</v>
      </c>
      <c r="E5831" s="8" t="s">
        <v>34105</v>
      </c>
      <c r="F5831" s="8" t="s">
        <v>34106</v>
      </c>
      <c r="G5831" s="6" t="s">
        <v>52</v>
      </c>
      <c r="H5831" s="6" t="s">
        <v>53</v>
      </c>
      <c r="I5831" s="8" t="s">
        <v>90</v>
      </c>
      <c r="J5831" s="9">
        <v>12</v>
      </c>
      <c r="K5831" s="9">
        <v>336</v>
      </c>
      <c r="L5831" s="9">
        <v>2020</v>
      </c>
      <c r="M5831" s="8" t="s">
        <v>34107</v>
      </c>
      <c r="N5831" s="8" t="s">
        <v>413</v>
      </c>
      <c r="O5831" s="8" t="s">
        <v>1528</v>
      </c>
      <c r="P5831" s="6" t="s">
        <v>167</v>
      </c>
      <c r="Q5831" s="8" t="s">
        <v>44</v>
      </c>
      <c r="R5831" s="10" t="s">
        <v>34108</v>
      </c>
      <c r="S5831" s="11" t="s">
        <v>34109</v>
      </c>
      <c r="T5831" s="6" t="s">
        <v>299</v>
      </c>
      <c r="U5831" s="24" t="str">
        <f>HYPERLINK("https://media.infra-m.ru/1032/1032231/cover/1032231.jpg", "Обложка")</f>
        <v>Обложка</v>
      </c>
      <c r="V5831" s="24" t="str">
        <f>HYPERLINK("https://znanium.ru/catalog/product/1041945", "Ознакомиться")</f>
        <v>Ознакомиться</v>
      </c>
      <c r="W5831" s="8" t="s">
        <v>5142</v>
      </c>
      <c r="X5831" s="6"/>
      <c r="Y5831" s="6"/>
      <c r="Z5831" s="6"/>
      <c r="AA5831" s="6" t="s">
        <v>84</v>
      </c>
      <c r="AB5831" s="8"/>
    </row>
    <row r="5832" spans="1:28" s="4" customFormat="1" ht="51.95" customHeight="1">
      <c r="A5832" s="5">
        <v>0</v>
      </c>
      <c r="B5832" s="6" t="s">
        <v>34110</v>
      </c>
      <c r="C5832" s="13">
        <v>1290</v>
      </c>
      <c r="D5832" s="8" t="s">
        <v>34111</v>
      </c>
      <c r="E5832" s="8" t="s">
        <v>34112</v>
      </c>
      <c r="F5832" s="8" t="s">
        <v>34113</v>
      </c>
      <c r="G5832" s="6" t="s">
        <v>89</v>
      </c>
      <c r="H5832" s="6" t="s">
        <v>53</v>
      </c>
      <c r="I5832" s="8" t="s">
        <v>276</v>
      </c>
      <c r="J5832" s="9">
        <v>1</v>
      </c>
      <c r="K5832" s="9">
        <v>404</v>
      </c>
      <c r="L5832" s="9">
        <v>2022</v>
      </c>
      <c r="M5832" s="8" t="s">
        <v>34114</v>
      </c>
      <c r="N5832" s="8" t="s">
        <v>413</v>
      </c>
      <c r="O5832" s="8" t="s">
        <v>1528</v>
      </c>
      <c r="P5832" s="6" t="s">
        <v>167</v>
      </c>
      <c r="Q5832" s="8" t="s">
        <v>279</v>
      </c>
      <c r="R5832" s="10" t="s">
        <v>34108</v>
      </c>
      <c r="S5832" s="11" t="s">
        <v>34115</v>
      </c>
      <c r="T5832" s="6"/>
      <c r="U5832" s="24" t="str">
        <f>HYPERLINK("https://media.infra-m.ru/1041/1041945/cover/1041945.jpg", "Обложка")</f>
        <v>Обложка</v>
      </c>
      <c r="V5832" s="24" t="str">
        <f>HYPERLINK("https://znanium.ru/catalog/product/1041945", "Ознакомиться")</f>
        <v>Ознакомиться</v>
      </c>
      <c r="W5832" s="8" t="s">
        <v>5142</v>
      </c>
      <c r="X5832" s="6"/>
      <c r="Y5832" s="6"/>
      <c r="Z5832" s="6"/>
      <c r="AA5832" s="6" t="s">
        <v>513</v>
      </c>
      <c r="AB5832" s="8"/>
    </row>
    <row r="5833" spans="1:28" s="4" customFormat="1" ht="51.95" customHeight="1">
      <c r="A5833" s="5">
        <v>0</v>
      </c>
      <c r="B5833" s="6" t="s">
        <v>34116</v>
      </c>
      <c r="C5833" s="13">
        <v>2394</v>
      </c>
      <c r="D5833" s="8" t="s">
        <v>34117</v>
      </c>
      <c r="E5833" s="8" t="s">
        <v>34118</v>
      </c>
      <c r="F5833" s="8" t="s">
        <v>34119</v>
      </c>
      <c r="G5833" s="6" t="s">
        <v>52</v>
      </c>
      <c r="H5833" s="6" t="s">
        <v>53</v>
      </c>
      <c r="I5833" s="8" t="s">
        <v>116</v>
      </c>
      <c r="J5833" s="9">
        <v>1</v>
      </c>
      <c r="K5833" s="9">
        <v>528</v>
      </c>
      <c r="L5833" s="9">
        <v>2024</v>
      </c>
      <c r="M5833" s="8" t="s">
        <v>34120</v>
      </c>
      <c r="N5833" s="8" t="s">
        <v>413</v>
      </c>
      <c r="O5833" s="8" t="s">
        <v>1528</v>
      </c>
      <c r="P5833" s="6" t="s">
        <v>167</v>
      </c>
      <c r="Q5833" s="8" t="s">
        <v>44</v>
      </c>
      <c r="R5833" s="10" t="s">
        <v>34121</v>
      </c>
      <c r="S5833" s="11" t="s">
        <v>34122</v>
      </c>
      <c r="T5833" s="6"/>
      <c r="U5833" s="24" t="str">
        <f>HYPERLINK("https://media.infra-m.ru/2152/2152109/cover/2152109.jpg", "Обложка")</f>
        <v>Обложка</v>
      </c>
      <c r="V5833" s="24" t="str">
        <f>HYPERLINK("https://znanium.ru/catalog/product/1009070", "Ознакомиться")</f>
        <v>Ознакомиться</v>
      </c>
      <c r="W5833" s="8" t="s">
        <v>1544</v>
      </c>
      <c r="X5833" s="6"/>
      <c r="Y5833" s="6"/>
      <c r="Z5833" s="6"/>
      <c r="AA5833" s="6" t="s">
        <v>84</v>
      </c>
      <c r="AB5833" s="8"/>
    </row>
    <row r="5834" spans="1:28" s="4" customFormat="1" ht="51.95" customHeight="1">
      <c r="A5834" s="5">
        <v>0</v>
      </c>
      <c r="B5834" s="6" t="s">
        <v>34123</v>
      </c>
      <c r="C5834" s="13">
        <v>1960</v>
      </c>
      <c r="D5834" s="8" t="s">
        <v>34124</v>
      </c>
      <c r="E5834" s="8" t="s">
        <v>34125</v>
      </c>
      <c r="F5834" s="8" t="s">
        <v>34126</v>
      </c>
      <c r="G5834" s="6" t="s">
        <v>52</v>
      </c>
      <c r="H5834" s="6" t="s">
        <v>39</v>
      </c>
      <c r="I5834" s="8" t="s">
        <v>100</v>
      </c>
      <c r="J5834" s="9">
        <v>1</v>
      </c>
      <c r="K5834" s="9">
        <v>416</v>
      </c>
      <c r="L5834" s="9">
        <v>2024</v>
      </c>
      <c r="M5834" s="8" t="s">
        <v>34127</v>
      </c>
      <c r="N5834" s="8" t="s">
        <v>79</v>
      </c>
      <c r="O5834" s="8" t="s">
        <v>396</v>
      </c>
      <c r="P5834" s="6" t="s">
        <v>43</v>
      </c>
      <c r="Q5834" s="8" t="s">
        <v>102</v>
      </c>
      <c r="R5834" s="10" t="s">
        <v>34128</v>
      </c>
      <c r="S5834" s="11" t="s">
        <v>3081</v>
      </c>
      <c r="T5834" s="6"/>
      <c r="U5834" s="24" t="str">
        <f>HYPERLINK("https://media.infra-m.ru/2048/2048906/cover/2048906.jpg", "Обложка")</f>
        <v>Обложка</v>
      </c>
      <c r="V5834" s="24" t="str">
        <f>HYPERLINK("https://znanium.ru/catalog/product/2048906", "Ознакомиться")</f>
        <v>Ознакомиться</v>
      </c>
      <c r="W5834" s="8" t="s">
        <v>10326</v>
      </c>
      <c r="X5834" s="6"/>
      <c r="Y5834" s="6"/>
      <c r="Z5834" s="6"/>
      <c r="AA5834" s="6" t="s">
        <v>644</v>
      </c>
      <c r="AB5834" s="8"/>
    </row>
    <row r="5835" spans="1:28" s="4" customFormat="1" ht="51.95" customHeight="1">
      <c r="A5835" s="5">
        <v>0</v>
      </c>
      <c r="B5835" s="6" t="s">
        <v>34129</v>
      </c>
      <c r="C5835" s="7">
        <v>794</v>
      </c>
      <c r="D5835" s="8" t="s">
        <v>34130</v>
      </c>
      <c r="E5835" s="8" t="s">
        <v>34131</v>
      </c>
      <c r="F5835" s="8" t="s">
        <v>14744</v>
      </c>
      <c r="G5835" s="6" t="s">
        <v>52</v>
      </c>
      <c r="H5835" s="6" t="s">
        <v>53</v>
      </c>
      <c r="I5835" s="8" t="s">
        <v>90</v>
      </c>
      <c r="J5835" s="9">
        <v>1</v>
      </c>
      <c r="K5835" s="9">
        <v>158</v>
      </c>
      <c r="L5835" s="9">
        <v>2025</v>
      </c>
      <c r="M5835" s="8" t="s">
        <v>34132</v>
      </c>
      <c r="N5835" s="8" t="s">
        <v>79</v>
      </c>
      <c r="O5835" s="8" t="s">
        <v>424</v>
      </c>
      <c r="P5835" s="6" t="s">
        <v>43</v>
      </c>
      <c r="Q5835" s="8" t="s">
        <v>44</v>
      </c>
      <c r="R5835" s="10" t="s">
        <v>5274</v>
      </c>
      <c r="S5835" s="11" t="s">
        <v>34133</v>
      </c>
      <c r="T5835" s="6"/>
      <c r="U5835" s="24" t="str">
        <f>HYPERLINK("https://media.infra-m.ru/2182/2182613/cover/2182613.jpg", "Обложка")</f>
        <v>Обложка</v>
      </c>
      <c r="V5835" s="24" t="str">
        <f>HYPERLINK("https://znanium.ru/catalog/product/1017321", "Ознакомиться")</f>
        <v>Ознакомиться</v>
      </c>
      <c r="W5835" s="8" t="s">
        <v>450</v>
      </c>
      <c r="X5835" s="6"/>
      <c r="Y5835" s="6"/>
      <c r="Z5835" s="6"/>
      <c r="AA5835" s="6" t="s">
        <v>494</v>
      </c>
      <c r="AB5835" s="8"/>
    </row>
    <row r="5836" spans="1:28" s="4" customFormat="1" ht="51.95" customHeight="1">
      <c r="A5836" s="5">
        <v>0</v>
      </c>
      <c r="B5836" s="6" t="s">
        <v>34134</v>
      </c>
      <c r="C5836" s="7">
        <v>964.9</v>
      </c>
      <c r="D5836" s="8" t="s">
        <v>34135</v>
      </c>
      <c r="E5836" s="8" t="s">
        <v>34136</v>
      </c>
      <c r="F5836" s="8" t="s">
        <v>34137</v>
      </c>
      <c r="G5836" s="6" t="s">
        <v>52</v>
      </c>
      <c r="H5836" s="6" t="s">
        <v>649</v>
      </c>
      <c r="I5836" s="8" t="s">
        <v>116</v>
      </c>
      <c r="J5836" s="9">
        <v>1</v>
      </c>
      <c r="K5836" s="9">
        <v>335</v>
      </c>
      <c r="L5836" s="9">
        <v>2018</v>
      </c>
      <c r="M5836" s="8" t="s">
        <v>34138</v>
      </c>
      <c r="N5836" s="8" t="s">
        <v>79</v>
      </c>
      <c r="O5836" s="8" t="s">
        <v>396</v>
      </c>
      <c r="P5836" s="6" t="s">
        <v>43</v>
      </c>
      <c r="Q5836" s="8" t="s">
        <v>44</v>
      </c>
      <c r="R5836" s="10" t="s">
        <v>20479</v>
      </c>
      <c r="S5836" s="11" t="s">
        <v>34139</v>
      </c>
      <c r="T5836" s="6"/>
      <c r="U5836" s="24" t="str">
        <f>HYPERLINK("https://media.infra-m.ru/0954/0954434/cover/954434.jpg", "Обложка")</f>
        <v>Обложка</v>
      </c>
      <c r="V5836" s="24" t="str">
        <f>HYPERLINK("https://znanium.ru/catalog/product/2145088", "Ознакомиться")</f>
        <v>Ознакомиться</v>
      </c>
      <c r="W5836" s="8" t="s">
        <v>6558</v>
      </c>
      <c r="X5836" s="6"/>
      <c r="Y5836" s="6"/>
      <c r="Z5836" s="6"/>
      <c r="AA5836" s="6" t="s">
        <v>479</v>
      </c>
      <c r="AB5836" s="8"/>
    </row>
    <row r="5837" spans="1:28" s="4" customFormat="1" ht="51.95" customHeight="1">
      <c r="A5837" s="5">
        <v>0</v>
      </c>
      <c r="B5837" s="6" t="s">
        <v>34140</v>
      </c>
      <c r="C5837" s="13">
        <v>1654</v>
      </c>
      <c r="D5837" s="8" t="s">
        <v>34141</v>
      </c>
      <c r="E5837" s="8" t="s">
        <v>34142</v>
      </c>
      <c r="F5837" s="8" t="s">
        <v>34137</v>
      </c>
      <c r="G5837" s="6" t="s">
        <v>89</v>
      </c>
      <c r="H5837" s="6" t="s">
        <v>53</v>
      </c>
      <c r="I5837" s="8" t="s">
        <v>90</v>
      </c>
      <c r="J5837" s="9">
        <v>1</v>
      </c>
      <c r="K5837" s="9">
        <v>311</v>
      </c>
      <c r="L5837" s="9">
        <v>2025</v>
      </c>
      <c r="M5837" s="8" t="s">
        <v>34143</v>
      </c>
      <c r="N5837" s="8" t="s">
        <v>79</v>
      </c>
      <c r="O5837" s="8" t="s">
        <v>396</v>
      </c>
      <c r="P5837" s="6" t="s">
        <v>43</v>
      </c>
      <c r="Q5837" s="8" t="s">
        <v>44</v>
      </c>
      <c r="R5837" s="10" t="s">
        <v>20479</v>
      </c>
      <c r="S5837" s="11" t="s">
        <v>34144</v>
      </c>
      <c r="T5837" s="6"/>
      <c r="U5837" s="24" t="str">
        <f>HYPERLINK("https://media.infra-m.ru/2198/2198383/cover/2198383.jpg", "Обложка")</f>
        <v>Обложка</v>
      </c>
      <c r="V5837" s="24" t="str">
        <f>HYPERLINK("https://znanium.ru/catalog/product/2145088", "Ознакомиться")</f>
        <v>Ознакомиться</v>
      </c>
      <c r="W5837" s="8" t="s">
        <v>6558</v>
      </c>
      <c r="X5837" s="6"/>
      <c r="Y5837" s="6"/>
      <c r="Z5837" s="6"/>
      <c r="AA5837" s="6" t="s">
        <v>1382</v>
      </c>
      <c r="AB5837" s="8"/>
    </row>
    <row r="5838" spans="1:28" s="4" customFormat="1" ht="51.95" customHeight="1">
      <c r="A5838" s="5">
        <v>0</v>
      </c>
      <c r="B5838" s="6" t="s">
        <v>34145</v>
      </c>
      <c r="C5838" s="13">
        <v>1414</v>
      </c>
      <c r="D5838" s="8" t="s">
        <v>34146</v>
      </c>
      <c r="E5838" s="8" t="s">
        <v>34147</v>
      </c>
      <c r="F5838" s="8" t="s">
        <v>22224</v>
      </c>
      <c r="G5838" s="6" t="s">
        <v>52</v>
      </c>
      <c r="H5838" s="6" t="s">
        <v>53</v>
      </c>
      <c r="I5838" s="8" t="s">
        <v>116</v>
      </c>
      <c r="J5838" s="9">
        <v>1</v>
      </c>
      <c r="K5838" s="9">
        <v>272</v>
      </c>
      <c r="L5838" s="9">
        <v>2025</v>
      </c>
      <c r="M5838" s="8" t="s">
        <v>34148</v>
      </c>
      <c r="N5838" s="8" t="s">
        <v>79</v>
      </c>
      <c r="O5838" s="8" t="s">
        <v>684</v>
      </c>
      <c r="P5838" s="6" t="s">
        <v>43</v>
      </c>
      <c r="Q5838" s="8" t="s">
        <v>44</v>
      </c>
      <c r="R5838" s="10" t="s">
        <v>22794</v>
      </c>
      <c r="S5838" s="11" t="s">
        <v>34149</v>
      </c>
      <c r="T5838" s="6"/>
      <c r="U5838" s="24" t="str">
        <f>HYPERLINK("https://media.infra-m.ru/2196/2196890/cover/2196890.jpg", "Обложка")</f>
        <v>Обложка</v>
      </c>
      <c r="V5838" s="24" t="str">
        <f>HYPERLINK("https://znanium.ru/catalog/product/1079438", "Ознакомиться")</f>
        <v>Ознакомиться</v>
      </c>
      <c r="W5838" s="8" t="s">
        <v>637</v>
      </c>
      <c r="X5838" s="6"/>
      <c r="Y5838" s="6"/>
      <c r="Z5838" s="6"/>
      <c r="AA5838" s="6" t="s">
        <v>813</v>
      </c>
      <c r="AB5838" s="8"/>
    </row>
    <row r="5839" spans="1:28" s="4" customFormat="1" ht="42" customHeight="1">
      <c r="A5839" s="5">
        <v>0</v>
      </c>
      <c r="B5839" s="6" t="s">
        <v>34150</v>
      </c>
      <c r="C5839" s="7">
        <v>930</v>
      </c>
      <c r="D5839" s="8" t="s">
        <v>34151</v>
      </c>
      <c r="E5839" s="8" t="s">
        <v>34152</v>
      </c>
      <c r="F5839" s="8" t="s">
        <v>34153</v>
      </c>
      <c r="G5839" s="6" t="s">
        <v>52</v>
      </c>
      <c r="H5839" s="6" t="s">
        <v>53</v>
      </c>
      <c r="I5839" s="8" t="s">
        <v>782</v>
      </c>
      <c r="J5839" s="9">
        <v>1</v>
      </c>
      <c r="K5839" s="9">
        <v>180</v>
      </c>
      <c r="L5839" s="9">
        <v>2025</v>
      </c>
      <c r="M5839" s="8" t="s">
        <v>34154</v>
      </c>
      <c r="N5839" s="8" t="s">
        <v>413</v>
      </c>
      <c r="O5839" s="8" t="s">
        <v>1528</v>
      </c>
      <c r="P5839" s="6" t="s">
        <v>43</v>
      </c>
      <c r="Q5839" s="8" t="s">
        <v>44</v>
      </c>
      <c r="R5839" s="10" t="s">
        <v>20533</v>
      </c>
      <c r="S5839" s="11"/>
      <c r="T5839" s="6"/>
      <c r="U5839" s="24" t="str">
        <f>HYPERLINK("https://media.infra-m.ru/2167/2167518/cover/2167518.jpg", "Обложка")</f>
        <v>Обложка</v>
      </c>
      <c r="V5839" s="12"/>
      <c r="W5839" s="8" t="s">
        <v>784</v>
      </c>
      <c r="X5839" s="6" t="s">
        <v>785</v>
      </c>
      <c r="Y5839" s="6"/>
      <c r="Z5839" s="6"/>
      <c r="AA5839" s="6" t="s">
        <v>61</v>
      </c>
      <c r="AB5839" s="8"/>
    </row>
    <row r="5840" spans="1:28" s="4" customFormat="1" ht="51.95" customHeight="1">
      <c r="A5840" s="5">
        <v>0</v>
      </c>
      <c r="B5840" s="6" t="s">
        <v>34155</v>
      </c>
      <c r="C5840" s="13">
        <v>1200</v>
      </c>
      <c r="D5840" s="8" t="s">
        <v>34156</v>
      </c>
      <c r="E5840" s="8" t="s">
        <v>34152</v>
      </c>
      <c r="F5840" s="8" t="s">
        <v>33057</v>
      </c>
      <c r="G5840" s="6" t="s">
        <v>52</v>
      </c>
      <c r="H5840" s="6" t="s">
        <v>53</v>
      </c>
      <c r="I5840" s="8" t="s">
        <v>712</v>
      </c>
      <c r="J5840" s="9">
        <v>1</v>
      </c>
      <c r="K5840" s="9">
        <v>257</v>
      </c>
      <c r="L5840" s="9">
        <v>2024</v>
      </c>
      <c r="M5840" s="8" t="s">
        <v>34157</v>
      </c>
      <c r="N5840" s="8" t="s">
        <v>413</v>
      </c>
      <c r="O5840" s="8" t="s">
        <v>1528</v>
      </c>
      <c r="P5840" s="6" t="s">
        <v>43</v>
      </c>
      <c r="Q5840" s="8" t="s">
        <v>58</v>
      </c>
      <c r="R5840" s="10" t="s">
        <v>34158</v>
      </c>
      <c r="S5840" s="11" t="s">
        <v>34159</v>
      </c>
      <c r="T5840" s="6"/>
      <c r="U5840" s="24" t="str">
        <f>HYPERLINK("https://media.infra-m.ru/2082/2082631/cover/2082631.jpg", "Обложка")</f>
        <v>Обложка</v>
      </c>
      <c r="V5840" s="24" t="str">
        <f>HYPERLINK("https://znanium.ru/catalog/product/2082631", "Ознакомиться")</f>
        <v>Ознакомиться</v>
      </c>
      <c r="W5840" s="8" t="s">
        <v>716</v>
      </c>
      <c r="X5840" s="6"/>
      <c r="Y5840" s="6"/>
      <c r="Z5840" s="6"/>
      <c r="AA5840" s="6" t="s">
        <v>133</v>
      </c>
      <c r="AB5840" s="8"/>
    </row>
    <row r="5841" spans="1:28" s="4" customFormat="1" ht="51.95" customHeight="1">
      <c r="A5841" s="5">
        <v>0</v>
      </c>
      <c r="B5841" s="6" t="s">
        <v>34160</v>
      </c>
      <c r="C5841" s="7">
        <v>450</v>
      </c>
      <c r="D5841" s="8" t="s">
        <v>34161</v>
      </c>
      <c r="E5841" s="8" t="s">
        <v>34162</v>
      </c>
      <c r="F5841" s="8" t="s">
        <v>34163</v>
      </c>
      <c r="G5841" s="6" t="s">
        <v>38</v>
      </c>
      <c r="H5841" s="6" t="s">
        <v>53</v>
      </c>
      <c r="I5841" s="8" t="s">
        <v>116</v>
      </c>
      <c r="J5841" s="9">
        <v>1</v>
      </c>
      <c r="K5841" s="9">
        <v>64</v>
      </c>
      <c r="L5841" s="9">
        <v>2024</v>
      </c>
      <c r="M5841" s="8" t="s">
        <v>34164</v>
      </c>
      <c r="N5841" s="8" t="s">
        <v>79</v>
      </c>
      <c r="O5841" s="8" t="s">
        <v>174</v>
      </c>
      <c r="P5841" s="6" t="s">
        <v>43</v>
      </c>
      <c r="Q5841" s="8" t="s">
        <v>44</v>
      </c>
      <c r="R5841" s="10" t="s">
        <v>9952</v>
      </c>
      <c r="S5841" s="11" t="s">
        <v>34165</v>
      </c>
      <c r="T5841" s="6"/>
      <c r="U5841" s="24" t="str">
        <f>HYPERLINK("https://media.infra-m.ru/1160/1160971/cover/1160971.jpg", "Обложка")</f>
        <v>Обложка</v>
      </c>
      <c r="V5841" s="24" t="str">
        <f>HYPERLINK("https://znanium.ru/catalog/product/1160971", "Ознакомиться")</f>
        <v>Ознакомиться</v>
      </c>
      <c r="W5841" s="8" t="s">
        <v>5973</v>
      </c>
      <c r="X5841" s="6"/>
      <c r="Y5841" s="6"/>
      <c r="Z5841" s="6"/>
      <c r="AA5841" s="6" t="s">
        <v>418</v>
      </c>
      <c r="AB5841" s="8"/>
    </row>
    <row r="5842" spans="1:28" s="4" customFormat="1" ht="51.95" customHeight="1">
      <c r="A5842" s="5">
        <v>0</v>
      </c>
      <c r="B5842" s="6" t="s">
        <v>34166</v>
      </c>
      <c r="C5842" s="13">
        <v>2304</v>
      </c>
      <c r="D5842" s="8" t="s">
        <v>34167</v>
      </c>
      <c r="E5842" s="8" t="s">
        <v>34168</v>
      </c>
      <c r="F5842" s="8" t="s">
        <v>34169</v>
      </c>
      <c r="G5842" s="6" t="s">
        <v>52</v>
      </c>
      <c r="H5842" s="6" t="s">
        <v>39</v>
      </c>
      <c r="I5842" s="8" t="s">
        <v>185</v>
      </c>
      <c r="J5842" s="9">
        <v>1</v>
      </c>
      <c r="K5842" s="9">
        <v>576</v>
      </c>
      <c r="L5842" s="9">
        <v>2024</v>
      </c>
      <c r="M5842" s="8" t="s">
        <v>34170</v>
      </c>
      <c r="N5842" s="8" t="s">
        <v>79</v>
      </c>
      <c r="O5842" s="8" t="s">
        <v>174</v>
      </c>
      <c r="P5842" s="6" t="s">
        <v>43</v>
      </c>
      <c r="Q5842" s="8" t="s">
        <v>102</v>
      </c>
      <c r="R5842" s="10" t="s">
        <v>34171</v>
      </c>
      <c r="S5842" s="11" t="s">
        <v>34172</v>
      </c>
      <c r="T5842" s="6"/>
      <c r="U5842" s="24" t="str">
        <f>HYPERLINK("https://media.infra-m.ru/2073/2073487/cover/2073487.jpg", "Обложка")</f>
        <v>Обложка</v>
      </c>
      <c r="V5842" s="12"/>
      <c r="W5842" s="8" t="s">
        <v>34173</v>
      </c>
      <c r="X5842" s="6"/>
      <c r="Y5842" s="6"/>
      <c r="Z5842" s="6"/>
      <c r="AA5842" s="6" t="s">
        <v>47</v>
      </c>
      <c r="AB5842" s="8"/>
    </row>
    <row r="5843" spans="1:28" s="4" customFormat="1" ht="51.95" customHeight="1">
      <c r="A5843" s="5">
        <v>0</v>
      </c>
      <c r="B5843" s="6" t="s">
        <v>34174</v>
      </c>
      <c r="C5843" s="13">
        <v>2874</v>
      </c>
      <c r="D5843" s="8" t="s">
        <v>34175</v>
      </c>
      <c r="E5843" s="8" t="s">
        <v>34176</v>
      </c>
      <c r="F5843" s="8" t="s">
        <v>34177</v>
      </c>
      <c r="G5843" s="6" t="s">
        <v>52</v>
      </c>
      <c r="H5843" s="6" t="s">
        <v>53</v>
      </c>
      <c r="I5843" s="8" t="s">
        <v>100</v>
      </c>
      <c r="J5843" s="9">
        <v>1</v>
      </c>
      <c r="K5843" s="9">
        <v>552</v>
      </c>
      <c r="L5843" s="9">
        <v>2025</v>
      </c>
      <c r="M5843" s="8" t="s">
        <v>34178</v>
      </c>
      <c r="N5843" s="8" t="s">
        <v>79</v>
      </c>
      <c r="O5843" s="8" t="s">
        <v>174</v>
      </c>
      <c r="P5843" s="6" t="s">
        <v>167</v>
      </c>
      <c r="Q5843" s="8" t="s">
        <v>102</v>
      </c>
      <c r="R5843" s="10" t="s">
        <v>17617</v>
      </c>
      <c r="S5843" s="11" t="s">
        <v>34179</v>
      </c>
      <c r="T5843" s="6"/>
      <c r="U5843" s="24" t="str">
        <f>HYPERLINK("https://media.infra-m.ru/2196/2196571/cover/2196571.jpg", "Обложка")</f>
        <v>Обложка</v>
      </c>
      <c r="V5843" s="24" t="str">
        <f>HYPERLINK("https://znanium.ru/catalog/product/2170975", "Ознакомиться")</f>
        <v>Ознакомиться</v>
      </c>
      <c r="W5843" s="8" t="s">
        <v>34173</v>
      </c>
      <c r="X5843" s="6"/>
      <c r="Y5843" s="6" t="s">
        <v>30</v>
      </c>
      <c r="Z5843" s="6"/>
      <c r="AA5843" s="6" t="s">
        <v>219</v>
      </c>
      <c r="AB5843" s="8"/>
    </row>
    <row r="5844" spans="1:28" s="4" customFormat="1" ht="42" customHeight="1">
      <c r="A5844" s="5">
        <v>0</v>
      </c>
      <c r="B5844" s="6" t="s">
        <v>34180</v>
      </c>
      <c r="C5844" s="13">
        <v>2080</v>
      </c>
      <c r="D5844" s="8" t="s">
        <v>34181</v>
      </c>
      <c r="E5844" s="8" t="s">
        <v>34182</v>
      </c>
      <c r="F5844" s="8" t="s">
        <v>34183</v>
      </c>
      <c r="G5844" s="6" t="s">
        <v>89</v>
      </c>
      <c r="H5844" s="6" t="s">
        <v>53</v>
      </c>
      <c r="I5844" s="8" t="s">
        <v>212</v>
      </c>
      <c r="J5844" s="9">
        <v>1</v>
      </c>
      <c r="K5844" s="9">
        <v>1111</v>
      </c>
      <c r="L5844" s="9">
        <v>2022</v>
      </c>
      <c r="M5844" s="8" t="s">
        <v>34184</v>
      </c>
      <c r="N5844" s="8" t="s">
        <v>79</v>
      </c>
      <c r="O5844" s="8" t="s">
        <v>174</v>
      </c>
      <c r="P5844" s="6" t="s">
        <v>21641</v>
      </c>
      <c r="Q5844" s="8" t="s">
        <v>214</v>
      </c>
      <c r="R5844" s="10" t="s">
        <v>5971</v>
      </c>
      <c r="S5844" s="11"/>
      <c r="T5844" s="6"/>
      <c r="U5844" s="24" t="str">
        <f>HYPERLINK("https://media.infra-m.ru/1841/1841412/cover/1841412.jpg", "Обложка")</f>
        <v>Обложка</v>
      </c>
      <c r="V5844" s="24" t="str">
        <f>HYPERLINK("https://znanium.ru/catalog/product/1841412", "Ознакомиться")</f>
        <v>Ознакомиться</v>
      </c>
      <c r="W5844" s="8" t="s">
        <v>5973</v>
      </c>
      <c r="X5844" s="6"/>
      <c r="Y5844" s="6"/>
      <c r="Z5844" s="6"/>
      <c r="AA5844" s="6" t="s">
        <v>258</v>
      </c>
      <c r="AB5844" s="8"/>
    </row>
    <row r="5845" spans="1:28" s="4" customFormat="1" ht="51.95" customHeight="1">
      <c r="A5845" s="5">
        <v>0</v>
      </c>
      <c r="B5845" s="6" t="s">
        <v>34185</v>
      </c>
      <c r="C5845" s="7">
        <v>970</v>
      </c>
      <c r="D5845" s="8" t="s">
        <v>34186</v>
      </c>
      <c r="E5845" s="8" t="s">
        <v>34187</v>
      </c>
      <c r="F5845" s="8" t="s">
        <v>34188</v>
      </c>
      <c r="G5845" s="6" t="s">
        <v>38</v>
      </c>
      <c r="H5845" s="6" t="s">
        <v>53</v>
      </c>
      <c r="I5845" s="8" t="s">
        <v>116</v>
      </c>
      <c r="J5845" s="9">
        <v>1</v>
      </c>
      <c r="K5845" s="9">
        <v>192</v>
      </c>
      <c r="L5845" s="9">
        <v>2025</v>
      </c>
      <c r="M5845" s="8" t="s">
        <v>34189</v>
      </c>
      <c r="N5845" s="8" t="s">
        <v>56</v>
      </c>
      <c r="O5845" s="8" t="s">
        <v>2183</v>
      </c>
      <c r="P5845" s="6" t="s">
        <v>43</v>
      </c>
      <c r="Q5845" s="8" t="s">
        <v>44</v>
      </c>
      <c r="R5845" s="10" t="s">
        <v>34190</v>
      </c>
      <c r="S5845" s="11" t="s">
        <v>34191</v>
      </c>
      <c r="T5845" s="6" t="s">
        <v>299</v>
      </c>
      <c r="U5845" s="24" t="str">
        <f>HYPERLINK("https://media.infra-m.ru/2188/2188194/cover/2188194.jpg", "Обложка")</f>
        <v>Обложка</v>
      </c>
      <c r="V5845" s="24" t="str">
        <f>HYPERLINK("https://znanium.ru/catalog/product/2188194", "Ознакомиться")</f>
        <v>Ознакомиться</v>
      </c>
      <c r="W5845" s="8" t="s">
        <v>141</v>
      </c>
      <c r="X5845" s="6"/>
      <c r="Y5845" s="6"/>
      <c r="Z5845" s="6"/>
      <c r="AA5845" s="6" t="s">
        <v>111</v>
      </c>
      <c r="AB5845" s="8"/>
    </row>
    <row r="5846" spans="1:28" s="4" customFormat="1" ht="51.95" customHeight="1">
      <c r="A5846" s="5">
        <v>0</v>
      </c>
      <c r="B5846" s="6" t="s">
        <v>34192</v>
      </c>
      <c r="C5846" s="7">
        <v>990</v>
      </c>
      <c r="D5846" s="8" t="s">
        <v>34193</v>
      </c>
      <c r="E5846" s="8" t="s">
        <v>34187</v>
      </c>
      <c r="F5846" s="8" t="s">
        <v>18817</v>
      </c>
      <c r="G5846" s="6" t="s">
        <v>38</v>
      </c>
      <c r="H5846" s="6" t="s">
        <v>53</v>
      </c>
      <c r="I5846" s="8" t="s">
        <v>100</v>
      </c>
      <c r="J5846" s="9">
        <v>1</v>
      </c>
      <c r="K5846" s="9">
        <v>192</v>
      </c>
      <c r="L5846" s="9">
        <v>2025</v>
      </c>
      <c r="M5846" s="8" t="s">
        <v>34194</v>
      </c>
      <c r="N5846" s="8" t="s">
        <v>56</v>
      </c>
      <c r="O5846" s="8" t="s">
        <v>2183</v>
      </c>
      <c r="P5846" s="6" t="s">
        <v>43</v>
      </c>
      <c r="Q5846" s="8" t="s">
        <v>102</v>
      </c>
      <c r="R5846" s="10" t="s">
        <v>34195</v>
      </c>
      <c r="S5846" s="11"/>
      <c r="T5846" s="6" t="s">
        <v>299</v>
      </c>
      <c r="U5846" s="24" t="str">
        <f>HYPERLINK("https://media.infra-m.ru/2168/2168925/cover/2168925.jpg", "Обложка")</f>
        <v>Обложка</v>
      </c>
      <c r="V5846" s="24" t="str">
        <f>HYPERLINK("https://znanium.ru/catalog/product/2168925", "Ознакомиться")</f>
        <v>Ознакомиться</v>
      </c>
      <c r="W5846" s="8" t="s">
        <v>141</v>
      </c>
      <c r="X5846" s="6" t="s">
        <v>1049</v>
      </c>
      <c r="Y5846" s="6"/>
      <c r="Z5846" s="6" t="s">
        <v>104</v>
      </c>
      <c r="AA5846" s="6" t="s">
        <v>61</v>
      </c>
      <c r="AB5846" s="8"/>
    </row>
    <row r="5847" spans="1:28" s="4" customFormat="1" ht="51.95" customHeight="1">
      <c r="A5847" s="5">
        <v>0</v>
      </c>
      <c r="B5847" s="6" t="s">
        <v>34196</v>
      </c>
      <c r="C5847" s="13">
        <v>1394</v>
      </c>
      <c r="D5847" s="8" t="s">
        <v>34197</v>
      </c>
      <c r="E5847" s="8" t="s">
        <v>34198</v>
      </c>
      <c r="F5847" s="8" t="s">
        <v>34199</v>
      </c>
      <c r="G5847" s="6" t="s">
        <v>52</v>
      </c>
      <c r="H5847" s="6" t="s">
        <v>649</v>
      </c>
      <c r="I5847" s="8" t="s">
        <v>116</v>
      </c>
      <c r="J5847" s="9">
        <v>1</v>
      </c>
      <c r="K5847" s="9">
        <v>304</v>
      </c>
      <c r="L5847" s="9">
        <v>2024</v>
      </c>
      <c r="M5847" s="8" t="s">
        <v>34200</v>
      </c>
      <c r="N5847" s="8" t="s">
        <v>41</v>
      </c>
      <c r="O5847" s="8" t="s">
        <v>278</v>
      </c>
      <c r="P5847" s="6" t="s">
        <v>43</v>
      </c>
      <c r="Q5847" s="8" t="s">
        <v>44</v>
      </c>
      <c r="R5847" s="10" t="s">
        <v>8490</v>
      </c>
      <c r="S5847" s="11" t="s">
        <v>34201</v>
      </c>
      <c r="T5847" s="6"/>
      <c r="U5847" s="24" t="str">
        <f>HYPERLINK("https://media.infra-m.ru/2063/2063446/cover/2063446.jpg", "Обложка")</f>
        <v>Обложка</v>
      </c>
      <c r="V5847" s="24" t="str">
        <f>HYPERLINK("https://znanium.ru/catalog/product/1840472", "Ознакомиться")</f>
        <v>Ознакомиться</v>
      </c>
      <c r="W5847" s="8" t="s">
        <v>354</v>
      </c>
      <c r="X5847" s="6"/>
      <c r="Y5847" s="6"/>
      <c r="Z5847" s="6"/>
      <c r="AA5847" s="6" t="s">
        <v>622</v>
      </c>
      <c r="AB5847" s="8"/>
    </row>
    <row r="5848" spans="1:28" s="4" customFormat="1" ht="51.95" customHeight="1">
      <c r="A5848" s="5">
        <v>0</v>
      </c>
      <c r="B5848" s="6" t="s">
        <v>34202</v>
      </c>
      <c r="C5848" s="13">
        <v>3394</v>
      </c>
      <c r="D5848" s="8" t="s">
        <v>34203</v>
      </c>
      <c r="E5848" s="8" t="s">
        <v>34204</v>
      </c>
      <c r="F5848" s="8" t="s">
        <v>8828</v>
      </c>
      <c r="G5848" s="6" t="s">
        <v>89</v>
      </c>
      <c r="H5848" s="6" t="s">
        <v>674</v>
      </c>
      <c r="I5848" s="8"/>
      <c r="J5848" s="9">
        <v>1</v>
      </c>
      <c r="K5848" s="9">
        <v>672</v>
      </c>
      <c r="L5848" s="9">
        <v>2025</v>
      </c>
      <c r="M5848" s="8" t="s">
        <v>34205</v>
      </c>
      <c r="N5848" s="8" t="s">
        <v>41</v>
      </c>
      <c r="O5848" s="8" t="s">
        <v>676</v>
      </c>
      <c r="P5848" s="6" t="s">
        <v>43</v>
      </c>
      <c r="Q5848" s="8" t="s">
        <v>44</v>
      </c>
      <c r="R5848" s="10" t="s">
        <v>806</v>
      </c>
      <c r="S5848" s="11" t="s">
        <v>34206</v>
      </c>
      <c r="T5848" s="6"/>
      <c r="U5848" s="24" t="str">
        <f>HYPERLINK("https://media.infra-m.ru/2196/2196537/cover/2196537.jpg", "Обложка")</f>
        <v>Обложка</v>
      </c>
      <c r="V5848" s="12"/>
      <c r="W5848" s="8" t="s">
        <v>7139</v>
      </c>
      <c r="X5848" s="6"/>
      <c r="Y5848" s="6"/>
      <c r="Z5848" s="6"/>
      <c r="AA5848" s="6" t="s">
        <v>8847</v>
      </c>
      <c r="AB5848" s="8"/>
    </row>
    <row r="5849" spans="1:28" s="4" customFormat="1" ht="51.95" customHeight="1">
      <c r="A5849" s="5">
        <v>0</v>
      </c>
      <c r="B5849" s="6" t="s">
        <v>34207</v>
      </c>
      <c r="C5849" s="13">
        <v>2510</v>
      </c>
      <c r="D5849" s="8" t="s">
        <v>34208</v>
      </c>
      <c r="E5849" s="8" t="s">
        <v>34209</v>
      </c>
      <c r="F5849" s="8" t="s">
        <v>8983</v>
      </c>
      <c r="G5849" s="6" t="s">
        <v>52</v>
      </c>
      <c r="H5849" s="6" t="s">
        <v>674</v>
      </c>
      <c r="I5849" s="8"/>
      <c r="J5849" s="9">
        <v>1</v>
      </c>
      <c r="K5849" s="9">
        <v>544</v>
      </c>
      <c r="L5849" s="9">
        <v>2024</v>
      </c>
      <c r="M5849" s="8" t="s">
        <v>34210</v>
      </c>
      <c r="N5849" s="8" t="s">
        <v>41</v>
      </c>
      <c r="O5849" s="8" t="s">
        <v>676</v>
      </c>
      <c r="P5849" s="6" t="s">
        <v>8866</v>
      </c>
      <c r="Q5849" s="8" t="s">
        <v>58</v>
      </c>
      <c r="R5849" s="10" t="s">
        <v>34211</v>
      </c>
      <c r="S5849" s="11"/>
      <c r="T5849" s="6"/>
      <c r="U5849" s="24" t="str">
        <f>HYPERLINK("https://media.infra-m.ru/1974/1974288/cover/1974288.jpg", "Обложка")</f>
        <v>Обложка</v>
      </c>
      <c r="V5849" s="24" t="str">
        <f>HYPERLINK("https://znanium.ru/catalog/product/1974288", "Ознакомиться")</f>
        <v>Ознакомиться</v>
      </c>
      <c r="W5849" s="8" t="s">
        <v>792</v>
      </c>
      <c r="X5849" s="6"/>
      <c r="Y5849" s="6"/>
      <c r="Z5849" s="6"/>
      <c r="AA5849" s="6" t="s">
        <v>151</v>
      </c>
      <c r="AB5849" s="8"/>
    </row>
    <row r="5850" spans="1:28" s="4" customFormat="1" ht="51.95" customHeight="1">
      <c r="A5850" s="5">
        <v>0</v>
      </c>
      <c r="B5850" s="6" t="s">
        <v>34212</v>
      </c>
      <c r="C5850" s="13">
        <v>2890</v>
      </c>
      <c r="D5850" s="8" t="s">
        <v>34213</v>
      </c>
      <c r="E5850" s="8" t="s">
        <v>34214</v>
      </c>
      <c r="F5850" s="8" t="s">
        <v>34215</v>
      </c>
      <c r="G5850" s="6" t="s">
        <v>52</v>
      </c>
      <c r="H5850" s="6" t="s">
        <v>674</v>
      </c>
      <c r="I5850" s="8"/>
      <c r="J5850" s="9">
        <v>1</v>
      </c>
      <c r="K5850" s="9">
        <v>816</v>
      </c>
      <c r="L5850" s="9">
        <v>2025</v>
      </c>
      <c r="M5850" s="8" t="s">
        <v>34216</v>
      </c>
      <c r="N5850" s="8" t="s">
        <v>41</v>
      </c>
      <c r="O5850" s="8" t="s">
        <v>676</v>
      </c>
      <c r="P5850" s="6" t="s">
        <v>8866</v>
      </c>
      <c r="Q5850" s="8" t="s">
        <v>58</v>
      </c>
      <c r="R5850" s="10" t="s">
        <v>5025</v>
      </c>
      <c r="S5850" s="11" t="s">
        <v>34206</v>
      </c>
      <c r="T5850" s="6"/>
      <c r="U5850" s="24" t="str">
        <f>HYPERLINK("https://media.infra-m.ru/2177/2177983/cover/2177983.jpg", "Обложка")</f>
        <v>Обложка</v>
      </c>
      <c r="V5850" s="24" t="str">
        <f>HYPERLINK("https://znanium.ru/catalog/product/2177983", "Ознакомиться")</f>
        <v>Ознакомиться</v>
      </c>
      <c r="W5850" s="8" t="s">
        <v>7139</v>
      </c>
      <c r="X5850" s="6"/>
      <c r="Y5850" s="6"/>
      <c r="Z5850" s="6"/>
      <c r="AA5850" s="6" t="s">
        <v>8847</v>
      </c>
      <c r="AB5850" s="8"/>
    </row>
    <row r="5851" spans="1:28" s="4" customFormat="1" ht="51.95" customHeight="1">
      <c r="A5851" s="5">
        <v>0</v>
      </c>
      <c r="B5851" s="6" t="s">
        <v>34217</v>
      </c>
      <c r="C5851" s="7">
        <v>880</v>
      </c>
      <c r="D5851" s="8" t="s">
        <v>34218</v>
      </c>
      <c r="E5851" s="8" t="s">
        <v>34219</v>
      </c>
      <c r="F5851" s="8" t="s">
        <v>34220</v>
      </c>
      <c r="G5851" s="6" t="s">
        <v>89</v>
      </c>
      <c r="H5851" s="6" t="s">
        <v>53</v>
      </c>
      <c r="I5851" s="8" t="s">
        <v>116</v>
      </c>
      <c r="J5851" s="9">
        <v>1</v>
      </c>
      <c r="K5851" s="9">
        <v>191</v>
      </c>
      <c r="L5851" s="9">
        <v>2024</v>
      </c>
      <c r="M5851" s="8" t="s">
        <v>34221</v>
      </c>
      <c r="N5851" s="8" t="s">
        <v>56</v>
      </c>
      <c r="O5851" s="8" t="s">
        <v>741</v>
      </c>
      <c r="P5851" s="6" t="s">
        <v>43</v>
      </c>
      <c r="Q5851" s="8" t="s">
        <v>44</v>
      </c>
      <c r="R5851" s="10" t="s">
        <v>34222</v>
      </c>
      <c r="S5851" s="11" t="s">
        <v>34223</v>
      </c>
      <c r="T5851" s="6" t="s">
        <v>299</v>
      </c>
      <c r="U5851" s="24" t="str">
        <f>HYPERLINK("https://media.infra-m.ru/2096/2096932/cover/2096932.jpg", "Обложка")</f>
        <v>Обложка</v>
      </c>
      <c r="V5851" s="24" t="str">
        <f>HYPERLINK("https://znanium.ru/catalog/product/2096932", "Ознакомиться")</f>
        <v>Ознакомиться</v>
      </c>
      <c r="W5851" s="8" t="s">
        <v>5371</v>
      </c>
      <c r="X5851" s="6"/>
      <c r="Y5851" s="6"/>
      <c r="Z5851" s="6"/>
      <c r="AA5851" s="6" t="s">
        <v>442</v>
      </c>
      <c r="AB5851" s="8"/>
    </row>
    <row r="5852" spans="1:28" s="4" customFormat="1" ht="51.95" customHeight="1">
      <c r="A5852" s="5">
        <v>0</v>
      </c>
      <c r="B5852" s="6" t="s">
        <v>34224</v>
      </c>
      <c r="C5852" s="13">
        <v>1310</v>
      </c>
      <c r="D5852" s="8" t="s">
        <v>34225</v>
      </c>
      <c r="E5852" s="8" t="s">
        <v>34226</v>
      </c>
      <c r="F5852" s="8" t="s">
        <v>34227</v>
      </c>
      <c r="G5852" s="6" t="s">
        <v>52</v>
      </c>
      <c r="H5852" s="6" t="s">
        <v>53</v>
      </c>
      <c r="I5852" s="8" t="s">
        <v>116</v>
      </c>
      <c r="J5852" s="9">
        <v>1</v>
      </c>
      <c r="K5852" s="9">
        <v>256</v>
      </c>
      <c r="L5852" s="9">
        <v>2024</v>
      </c>
      <c r="M5852" s="8" t="s">
        <v>34228</v>
      </c>
      <c r="N5852" s="8" t="s">
        <v>56</v>
      </c>
      <c r="O5852" s="8" t="s">
        <v>9271</v>
      </c>
      <c r="P5852" s="6" t="s">
        <v>43</v>
      </c>
      <c r="Q5852" s="8" t="s">
        <v>279</v>
      </c>
      <c r="R5852" s="10" t="s">
        <v>34229</v>
      </c>
      <c r="S5852" s="11" t="s">
        <v>34230</v>
      </c>
      <c r="T5852" s="6"/>
      <c r="U5852" s="24" t="str">
        <f>HYPERLINK("https://media.infra-m.ru/2125/2125211/cover/2125211.jpg", "Обложка")</f>
        <v>Обложка</v>
      </c>
      <c r="V5852" s="24" t="str">
        <f>HYPERLINK("https://znanium.ru/catalog/product/2125211", "Ознакомиться")</f>
        <v>Ознакомиться</v>
      </c>
      <c r="W5852" s="8" t="s">
        <v>4293</v>
      </c>
      <c r="X5852" s="6" t="s">
        <v>548</v>
      </c>
      <c r="Y5852" s="6"/>
      <c r="Z5852" s="6"/>
      <c r="AA5852" s="6" t="s">
        <v>105</v>
      </c>
      <c r="AB5852" s="8"/>
    </row>
    <row r="5853" spans="1:28" s="4" customFormat="1" ht="51.95" customHeight="1">
      <c r="A5853" s="5">
        <v>0</v>
      </c>
      <c r="B5853" s="6" t="s">
        <v>34231</v>
      </c>
      <c r="C5853" s="13">
        <v>1104</v>
      </c>
      <c r="D5853" s="8" t="s">
        <v>34232</v>
      </c>
      <c r="E5853" s="8" t="s">
        <v>34233</v>
      </c>
      <c r="F5853" s="8" t="s">
        <v>34234</v>
      </c>
      <c r="G5853" s="6" t="s">
        <v>52</v>
      </c>
      <c r="H5853" s="6" t="s">
        <v>53</v>
      </c>
      <c r="I5853" s="8" t="s">
        <v>276</v>
      </c>
      <c r="J5853" s="9">
        <v>1</v>
      </c>
      <c r="K5853" s="9">
        <v>240</v>
      </c>
      <c r="L5853" s="9">
        <v>2024</v>
      </c>
      <c r="M5853" s="8" t="s">
        <v>34235</v>
      </c>
      <c r="N5853" s="8" t="s">
        <v>56</v>
      </c>
      <c r="O5853" s="8" t="s">
        <v>9271</v>
      </c>
      <c r="P5853" s="6" t="s">
        <v>43</v>
      </c>
      <c r="Q5853" s="8" t="s">
        <v>44</v>
      </c>
      <c r="R5853" s="10" t="s">
        <v>34229</v>
      </c>
      <c r="S5853" s="11" t="s">
        <v>34236</v>
      </c>
      <c r="T5853" s="6"/>
      <c r="U5853" s="24" t="str">
        <f>HYPERLINK("https://media.infra-m.ru/2102/2102707/cover/2102707.jpg", "Обложка")</f>
        <v>Обложка</v>
      </c>
      <c r="V5853" s="24" t="str">
        <f>HYPERLINK("https://znanium.ru/catalog/product/2125211", "Ознакомиться")</f>
        <v>Ознакомиться</v>
      </c>
      <c r="W5853" s="8" t="s">
        <v>4293</v>
      </c>
      <c r="X5853" s="6"/>
      <c r="Y5853" s="6"/>
      <c r="Z5853" s="6"/>
      <c r="AA5853" s="6" t="s">
        <v>47</v>
      </c>
      <c r="AB5853" s="8"/>
    </row>
    <row r="5854" spans="1:28" s="4" customFormat="1" ht="51.95" customHeight="1">
      <c r="A5854" s="5">
        <v>0</v>
      </c>
      <c r="B5854" s="6" t="s">
        <v>34237</v>
      </c>
      <c r="C5854" s="13">
        <v>1410</v>
      </c>
      <c r="D5854" s="8" t="s">
        <v>34238</v>
      </c>
      <c r="E5854" s="8" t="s">
        <v>34239</v>
      </c>
      <c r="F5854" s="8" t="s">
        <v>34240</v>
      </c>
      <c r="G5854" s="6" t="s">
        <v>89</v>
      </c>
      <c r="H5854" s="6" t="s">
        <v>53</v>
      </c>
      <c r="I5854" s="8" t="s">
        <v>116</v>
      </c>
      <c r="J5854" s="9">
        <v>1</v>
      </c>
      <c r="K5854" s="9">
        <v>300</v>
      </c>
      <c r="L5854" s="9">
        <v>2024</v>
      </c>
      <c r="M5854" s="8" t="s">
        <v>34241</v>
      </c>
      <c r="N5854" s="8" t="s">
        <v>56</v>
      </c>
      <c r="O5854" s="8" t="s">
        <v>57</v>
      </c>
      <c r="P5854" s="6" t="s">
        <v>43</v>
      </c>
      <c r="Q5854" s="8" t="s">
        <v>44</v>
      </c>
      <c r="R5854" s="10" t="s">
        <v>34242</v>
      </c>
      <c r="S5854" s="11" t="s">
        <v>4044</v>
      </c>
      <c r="T5854" s="6"/>
      <c r="U5854" s="24" t="str">
        <f>HYPERLINK("https://media.infra-m.ru/2107/2107430/cover/2107430.jpg", "Обложка")</f>
        <v>Обложка</v>
      </c>
      <c r="V5854" s="24" t="str">
        <f>HYPERLINK("https://znanium.ru/catalog/product/2107430", "Ознакомиться")</f>
        <v>Ознакомиться</v>
      </c>
      <c r="W5854" s="8" t="s">
        <v>16259</v>
      </c>
      <c r="X5854" s="6"/>
      <c r="Y5854" s="6"/>
      <c r="Z5854" s="6"/>
      <c r="AA5854" s="6" t="s">
        <v>235</v>
      </c>
      <c r="AB5854" s="8"/>
    </row>
    <row r="5855" spans="1:28" s="4" customFormat="1" ht="51.95" customHeight="1">
      <c r="A5855" s="5">
        <v>0</v>
      </c>
      <c r="B5855" s="6" t="s">
        <v>34243</v>
      </c>
      <c r="C5855" s="13">
        <v>1330</v>
      </c>
      <c r="D5855" s="8" t="s">
        <v>34244</v>
      </c>
      <c r="E5855" s="8" t="s">
        <v>34245</v>
      </c>
      <c r="F5855" s="8" t="s">
        <v>9124</v>
      </c>
      <c r="G5855" s="6" t="s">
        <v>89</v>
      </c>
      <c r="H5855" s="6" t="s">
        <v>53</v>
      </c>
      <c r="I5855" s="8" t="s">
        <v>116</v>
      </c>
      <c r="J5855" s="9">
        <v>1</v>
      </c>
      <c r="K5855" s="9">
        <v>286</v>
      </c>
      <c r="L5855" s="9">
        <v>2024</v>
      </c>
      <c r="M5855" s="8" t="s">
        <v>34246</v>
      </c>
      <c r="N5855" s="8" t="s">
        <v>41</v>
      </c>
      <c r="O5855" s="8" t="s">
        <v>1204</v>
      </c>
      <c r="P5855" s="6" t="s">
        <v>167</v>
      </c>
      <c r="Q5855" s="8" t="s">
        <v>44</v>
      </c>
      <c r="R5855" s="10" t="s">
        <v>34247</v>
      </c>
      <c r="S5855" s="11" t="s">
        <v>34248</v>
      </c>
      <c r="T5855" s="6" t="s">
        <v>299</v>
      </c>
      <c r="U5855" s="24" t="str">
        <f>HYPERLINK("https://media.infra-m.ru/2087/2087303/cover/2087303.jpg", "Обложка")</f>
        <v>Обложка</v>
      </c>
      <c r="V5855" s="24" t="str">
        <f>HYPERLINK("https://znanium.ru/catalog/product/2087303", "Ознакомиться")</f>
        <v>Ознакомиться</v>
      </c>
      <c r="W5855" s="8" t="s">
        <v>2122</v>
      </c>
      <c r="X5855" s="6"/>
      <c r="Y5855" s="6"/>
      <c r="Z5855" s="6"/>
      <c r="AA5855" s="6" t="s">
        <v>151</v>
      </c>
      <c r="AB5855" s="8"/>
    </row>
    <row r="5856" spans="1:28" s="4" customFormat="1" ht="51.95" customHeight="1">
      <c r="A5856" s="5">
        <v>0</v>
      </c>
      <c r="B5856" s="6" t="s">
        <v>34249</v>
      </c>
      <c r="C5856" s="13">
        <v>1400</v>
      </c>
      <c r="D5856" s="8" t="s">
        <v>34250</v>
      </c>
      <c r="E5856" s="8" t="s">
        <v>34251</v>
      </c>
      <c r="F5856" s="8" t="s">
        <v>34252</v>
      </c>
      <c r="G5856" s="6" t="s">
        <v>89</v>
      </c>
      <c r="H5856" s="6" t="s">
        <v>952</v>
      </c>
      <c r="I5856" s="8"/>
      <c r="J5856" s="9">
        <v>1</v>
      </c>
      <c r="K5856" s="9">
        <v>304</v>
      </c>
      <c r="L5856" s="9">
        <v>2024</v>
      </c>
      <c r="M5856" s="8" t="s">
        <v>34253</v>
      </c>
      <c r="N5856" s="8" t="s">
        <v>41</v>
      </c>
      <c r="O5856" s="8" t="s">
        <v>1007</v>
      </c>
      <c r="P5856" s="6" t="s">
        <v>167</v>
      </c>
      <c r="Q5856" s="8" t="s">
        <v>44</v>
      </c>
      <c r="R5856" s="10" t="s">
        <v>34254</v>
      </c>
      <c r="S5856" s="11" t="s">
        <v>33971</v>
      </c>
      <c r="T5856" s="6"/>
      <c r="U5856" s="24" t="str">
        <f>HYPERLINK("https://media.infra-m.ru/2086/2086781/cover/2086781.jpg", "Обложка")</f>
        <v>Обложка</v>
      </c>
      <c r="V5856" s="24" t="str">
        <f>HYPERLINK("https://znanium.ru/catalog/product/2086781", "Ознакомиться")</f>
        <v>Ознакомиться</v>
      </c>
      <c r="W5856" s="8" t="s">
        <v>189</v>
      </c>
      <c r="X5856" s="6"/>
      <c r="Y5856" s="6"/>
      <c r="Z5856" s="6"/>
      <c r="AA5856" s="6" t="s">
        <v>1365</v>
      </c>
      <c r="AB5856" s="8"/>
    </row>
    <row r="5857" spans="1:28" s="4" customFormat="1" ht="42" customHeight="1">
      <c r="A5857" s="5">
        <v>0</v>
      </c>
      <c r="B5857" s="6" t="s">
        <v>34255</v>
      </c>
      <c r="C5857" s="7">
        <v>824</v>
      </c>
      <c r="D5857" s="8" t="s">
        <v>34256</v>
      </c>
      <c r="E5857" s="8" t="s">
        <v>34257</v>
      </c>
      <c r="F5857" s="8" t="s">
        <v>1195</v>
      </c>
      <c r="G5857" s="6" t="s">
        <v>89</v>
      </c>
      <c r="H5857" s="6" t="s">
        <v>184</v>
      </c>
      <c r="I5857" s="8"/>
      <c r="J5857" s="9">
        <v>1</v>
      </c>
      <c r="K5857" s="9">
        <v>151</v>
      </c>
      <c r="L5857" s="9">
        <v>2025</v>
      </c>
      <c r="M5857" s="8" t="s">
        <v>34258</v>
      </c>
      <c r="N5857" s="8" t="s">
        <v>41</v>
      </c>
      <c r="O5857" s="8" t="s">
        <v>1007</v>
      </c>
      <c r="P5857" s="6" t="s">
        <v>167</v>
      </c>
      <c r="Q5857" s="8" t="s">
        <v>44</v>
      </c>
      <c r="R5857" s="10" t="s">
        <v>1008</v>
      </c>
      <c r="S5857" s="11"/>
      <c r="T5857" s="6"/>
      <c r="U5857" s="24" t="str">
        <f>HYPERLINK("https://media.infra-m.ru/2198/2198285/cover/2198285.jpg", "Обложка")</f>
        <v>Обложка</v>
      </c>
      <c r="V5857" s="12"/>
      <c r="W5857" s="8" t="s">
        <v>1198</v>
      </c>
      <c r="X5857" s="6"/>
      <c r="Y5857" s="6"/>
      <c r="Z5857" s="6"/>
      <c r="AA5857" s="6" t="s">
        <v>207</v>
      </c>
      <c r="AB5857" s="8"/>
    </row>
    <row r="5858" spans="1:28" s="4" customFormat="1" ht="42" customHeight="1">
      <c r="A5858" s="5">
        <v>0</v>
      </c>
      <c r="B5858" s="6" t="s">
        <v>34259</v>
      </c>
      <c r="C5858" s="7">
        <v>590</v>
      </c>
      <c r="D5858" s="8" t="s">
        <v>34260</v>
      </c>
      <c r="E5858" s="8" t="s">
        <v>34261</v>
      </c>
      <c r="F5858" s="8" t="s">
        <v>34262</v>
      </c>
      <c r="G5858" s="6" t="s">
        <v>52</v>
      </c>
      <c r="H5858" s="6" t="s">
        <v>53</v>
      </c>
      <c r="I5858" s="8" t="s">
        <v>782</v>
      </c>
      <c r="J5858" s="9">
        <v>1</v>
      </c>
      <c r="K5858" s="9">
        <v>116</v>
      </c>
      <c r="L5858" s="9">
        <v>2024</v>
      </c>
      <c r="M5858" s="8" t="s">
        <v>34263</v>
      </c>
      <c r="N5858" s="8" t="s">
        <v>413</v>
      </c>
      <c r="O5858" s="8" t="s">
        <v>1584</v>
      </c>
      <c r="P5858" s="6" t="s">
        <v>43</v>
      </c>
      <c r="Q5858" s="8" t="s">
        <v>58</v>
      </c>
      <c r="R5858" s="10" t="s">
        <v>34264</v>
      </c>
      <c r="S5858" s="11"/>
      <c r="T5858" s="6"/>
      <c r="U5858" s="24" t="str">
        <f>HYPERLINK("https://media.infra-m.ru/2130/2130275/cover/2130275.jpg", "Обложка")</f>
        <v>Обложка</v>
      </c>
      <c r="V5858" s="12"/>
      <c r="W5858" s="8" t="s">
        <v>784</v>
      </c>
      <c r="X5858" s="6"/>
      <c r="Y5858" s="6"/>
      <c r="Z5858" s="6"/>
      <c r="AA5858" s="6" t="s">
        <v>133</v>
      </c>
      <c r="AB5858" s="8"/>
    </row>
    <row r="5859" spans="1:28" s="4" customFormat="1" ht="51.95" customHeight="1">
      <c r="A5859" s="5">
        <v>0</v>
      </c>
      <c r="B5859" s="6" t="s">
        <v>34265</v>
      </c>
      <c r="C5859" s="13">
        <v>1054</v>
      </c>
      <c r="D5859" s="8" t="s">
        <v>34266</v>
      </c>
      <c r="E5859" s="8" t="s">
        <v>34267</v>
      </c>
      <c r="F5859" s="8" t="s">
        <v>34268</v>
      </c>
      <c r="G5859" s="6" t="s">
        <v>89</v>
      </c>
      <c r="H5859" s="6" t="s">
        <v>53</v>
      </c>
      <c r="I5859" s="8" t="s">
        <v>90</v>
      </c>
      <c r="J5859" s="9">
        <v>1</v>
      </c>
      <c r="K5859" s="9">
        <v>229</v>
      </c>
      <c r="L5859" s="9">
        <v>2024</v>
      </c>
      <c r="M5859" s="8" t="s">
        <v>34269</v>
      </c>
      <c r="N5859" s="8" t="s">
        <v>79</v>
      </c>
      <c r="O5859" s="8" t="s">
        <v>570</v>
      </c>
      <c r="P5859" s="6" t="s">
        <v>43</v>
      </c>
      <c r="Q5859" s="8" t="s">
        <v>44</v>
      </c>
      <c r="R5859" s="10" t="s">
        <v>5311</v>
      </c>
      <c r="S5859" s="11" t="s">
        <v>34270</v>
      </c>
      <c r="T5859" s="6"/>
      <c r="U5859" s="24" t="str">
        <f>HYPERLINK("https://media.infra-m.ru/2125/2125120/cover/2125120.jpg", "Обложка")</f>
        <v>Обложка</v>
      </c>
      <c r="V5859" s="24" t="str">
        <f>HYPERLINK("https://znanium.ru/catalog/product/1931477", "Ознакомиться")</f>
        <v>Ознакомиться</v>
      </c>
      <c r="W5859" s="8" t="s">
        <v>2938</v>
      </c>
      <c r="X5859" s="6"/>
      <c r="Y5859" s="6"/>
      <c r="Z5859" s="6"/>
      <c r="AA5859" s="6" t="s">
        <v>219</v>
      </c>
      <c r="AB5859" s="8"/>
    </row>
    <row r="5860" spans="1:28" s="4" customFormat="1" ht="51.95" customHeight="1">
      <c r="A5860" s="5">
        <v>0</v>
      </c>
      <c r="B5860" s="6" t="s">
        <v>34271</v>
      </c>
      <c r="C5860" s="13">
        <v>1670</v>
      </c>
      <c r="D5860" s="8" t="s">
        <v>34272</v>
      </c>
      <c r="E5860" s="8" t="s">
        <v>34273</v>
      </c>
      <c r="F5860" s="8" t="s">
        <v>34274</v>
      </c>
      <c r="G5860" s="6" t="s">
        <v>89</v>
      </c>
      <c r="H5860" s="6" t="s">
        <v>53</v>
      </c>
      <c r="I5860" s="8" t="s">
        <v>90</v>
      </c>
      <c r="J5860" s="9">
        <v>1</v>
      </c>
      <c r="K5860" s="9">
        <v>369</v>
      </c>
      <c r="L5860" s="9">
        <v>2023</v>
      </c>
      <c r="M5860" s="8" t="s">
        <v>34275</v>
      </c>
      <c r="N5860" s="8" t="s">
        <v>41</v>
      </c>
      <c r="O5860" s="8" t="s">
        <v>1007</v>
      </c>
      <c r="P5860" s="6" t="s">
        <v>167</v>
      </c>
      <c r="Q5860" s="8" t="s">
        <v>44</v>
      </c>
      <c r="R5860" s="10" t="s">
        <v>34276</v>
      </c>
      <c r="S5860" s="11" t="s">
        <v>34277</v>
      </c>
      <c r="T5860" s="6"/>
      <c r="U5860" s="24" t="str">
        <f>HYPERLINK("https://media.infra-m.ru/1896/1896604/cover/1896604.jpg", "Обложка")</f>
        <v>Обложка</v>
      </c>
      <c r="V5860" s="24" t="str">
        <f>HYPERLINK("https://znanium.ru/catalog/product/1896604", "Ознакомиться")</f>
        <v>Ознакомиться</v>
      </c>
      <c r="W5860" s="8" t="s">
        <v>399</v>
      </c>
      <c r="X5860" s="6"/>
      <c r="Y5860" s="6"/>
      <c r="Z5860" s="6"/>
      <c r="AA5860" s="6" t="s">
        <v>793</v>
      </c>
      <c r="AB5860" s="8"/>
    </row>
    <row r="5861" spans="1:28" s="4" customFormat="1" ht="51.95" customHeight="1">
      <c r="A5861" s="5">
        <v>0</v>
      </c>
      <c r="B5861" s="6" t="s">
        <v>34278</v>
      </c>
      <c r="C5861" s="13">
        <v>2394</v>
      </c>
      <c r="D5861" s="8" t="s">
        <v>34279</v>
      </c>
      <c r="E5861" s="8" t="s">
        <v>34280</v>
      </c>
      <c r="F5861" s="8" t="s">
        <v>34281</v>
      </c>
      <c r="G5861" s="6" t="s">
        <v>52</v>
      </c>
      <c r="H5861" s="6" t="s">
        <v>53</v>
      </c>
      <c r="I5861" s="8" t="s">
        <v>116</v>
      </c>
      <c r="J5861" s="9">
        <v>1</v>
      </c>
      <c r="K5861" s="9">
        <v>479</v>
      </c>
      <c r="L5861" s="9">
        <v>2024</v>
      </c>
      <c r="M5861" s="8" t="s">
        <v>34282</v>
      </c>
      <c r="N5861" s="8" t="s">
        <v>41</v>
      </c>
      <c r="O5861" s="8" t="s">
        <v>1007</v>
      </c>
      <c r="P5861" s="6" t="s">
        <v>167</v>
      </c>
      <c r="Q5861" s="8" t="s">
        <v>58</v>
      </c>
      <c r="R5861" s="10" t="s">
        <v>157</v>
      </c>
      <c r="S5861" s="11" t="s">
        <v>12658</v>
      </c>
      <c r="T5861" s="6"/>
      <c r="U5861" s="24" t="str">
        <f>HYPERLINK("https://media.infra-m.ru/2158/2158090/cover/2158090.jpg", "Обложка")</f>
        <v>Обложка</v>
      </c>
      <c r="V5861" s="24" t="str">
        <f>HYPERLINK("https://znanium.ru/catalog/product/2001678", "Ознакомиться")</f>
        <v>Ознакомиться</v>
      </c>
      <c r="W5861" s="8" t="s">
        <v>1253</v>
      </c>
      <c r="X5861" s="6"/>
      <c r="Y5861" s="6"/>
      <c r="Z5861" s="6"/>
      <c r="AA5861" s="6" t="s">
        <v>151</v>
      </c>
      <c r="AB5861" s="8"/>
    </row>
    <row r="5862" spans="1:28" s="4" customFormat="1" ht="51.95" customHeight="1">
      <c r="A5862" s="5">
        <v>0</v>
      </c>
      <c r="B5862" s="6" t="s">
        <v>34283</v>
      </c>
      <c r="C5862" s="7">
        <v>960</v>
      </c>
      <c r="D5862" s="8" t="s">
        <v>34284</v>
      </c>
      <c r="E5862" s="8" t="s">
        <v>34285</v>
      </c>
      <c r="F5862" s="8" t="s">
        <v>12532</v>
      </c>
      <c r="G5862" s="6" t="s">
        <v>89</v>
      </c>
      <c r="H5862" s="6" t="s">
        <v>53</v>
      </c>
      <c r="I5862" s="8" t="s">
        <v>116</v>
      </c>
      <c r="J5862" s="9">
        <v>1</v>
      </c>
      <c r="K5862" s="9">
        <v>186</v>
      </c>
      <c r="L5862" s="9">
        <v>2025</v>
      </c>
      <c r="M5862" s="8" t="s">
        <v>34286</v>
      </c>
      <c r="N5862" s="8" t="s">
        <v>41</v>
      </c>
      <c r="O5862" s="8" t="s">
        <v>1007</v>
      </c>
      <c r="P5862" s="6" t="s">
        <v>167</v>
      </c>
      <c r="Q5862" s="8" t="s">
        <v>44</v>
      </c>
      <c r="R5862" s="10" t="s">
        <v>7900</v>
      </c>
      <c r="S5862" s="11" t="s">
        <v>32116</v>
      </c>
      <c r="T5862" s="6"/>
      <c r="U5862" s="24" t="str">
        <f>HYPERLINK("https://media.infra-m.ru/2187/2187652/cover/2187652.jpg", "Обложка")</f>
        <v>Обложка</v>
      </c>
      <c r="V5862" s="24" t="str">
        <f>HYPERLINK("https://znanium.ru/catalog/product/2187652", "Ознакомиться")</f>
        <v>Ознакомиться</v>
      </c>
      <c r="W5862" s="8" t="s">
        <v>12535</v>
      </c>
      <c r="X5862" s="6"/>
      <c r="Y5862" s="6"/>
      <c r="Z5862" s="6"/>
      <c r="AA5862" s="6" t="s">
        <v>151</v>
      </c>
      <c r="AB5862" s="8"/>
    </row>
    <row r="5863" spans="1:28" s="4" customFormat="1" ht="42" customHeight="1">
      <c r="A5863" s="5">
        <v>0</v>
      </c>
      <c r="B5863" s="6" t="s">
        <v>34287</v>
      </c>
      <c r="C5863" s="13">
        <v>1120</v>
      </c>
      <c r="D5863" s="8" t="s">
        <v>34288</v>
      </c>
      <c r="E5863" s="8" t="s">
        <v>34289</v>
      </c>
      <c r="F5863" s="8" t="s">
        <v>34290</v>
      </c>
      <c r="G5863" s="6" t="s">
        <v>52</v>
      </c>
      <c r="H5863" s="6" t="s">
        <v>53</v>
      </c>
      <c r="I5863" s="8" t="s">
        <v>782</v>
      </c>
      <c r="J5863" s="9">
        <v>1</v>
      </c>
      <c r="K5863" s="9">
        <v>234</v>
      </c>
      <c r="L5863" s="9">
        <v>2024</v>
      </c>
      <c r="M5863" s="8" t="s">
        <v>34291</v>
      </c>
      <c r="N5863" s="8" t="s">
        <v>79</v>
      </c>
      <c r="O5863" s="8" t="s">
        <v>537</v>
      </c>
      <c r="P5863" s="6" t="s">
        <v>43</v>
      </c>
      <c r="Q5863" s="8" t="s">
        <v>58</v>
      </c>
      <c r="R5863" s="10" t="s">
        <v>18648</v>
      </c>
      <c r="S5863" s="11"/>
      <c r="T5863" s="6"/>
      <c r="U5863" s="24" t="str">
        <f>HYPERLINK("https://media.infra-m.ru/2130/2130482/cover/2130482.jpg", "Обложка")</f>
        <v>Обложка</v>
      </c>
      <c r="V5863" s="12"/>
      <c r="W5863" s="8" t="s">
        <v>784</v>
      </c>
      <c r="X5863" s="6"/>
      <c r="Y5863" s="6"/>
      <c r="Z5863" s="6"/>
      <c r="AA5863" s="6" t="s">
        <v>133</v>
      </c>
      <c r="AB5863" s="8"/>
    </row>
    <row r="5864" spans="1:28" s="4" customFormat="1" ht="51.95" customHeight="1">
      <c r="A5864" s="5">
        <v>0</v>
      </c>
      <c r="B5864" s="6" t="s">
        <v>34292</v>
      </c>
      <c r="C5864" s="13">
        <v>2100</v>
      </c>
      <c r="D5864" s="8" t="s">
        <v>34293</v>
      </c>
      <c r="E5864" s="8" t="s">
        <v>34294</v>
      </c>
      <c r="F5864" s="8" t="s">
        <v>34295</v>
      </c>
      <c r="G5864" s="6" t="s">
        <v>52</v>
      </c>
      <c r="H5864" s="6" t="s">
        <v>53</v>
      </c>
      <c r="I5864" s="8" t="s">
        <v>276</v>
      </c>
      <c r="J5864" s="9">
        <v>1</v>
      </c>
      <c r="K5864" s="9">
        <v>418</v>
      </c>
      <c r="L5864" s="9">
        <v>2025</v>
      </c>
      <c r="M5864" s="8" t="s">
        <v>34296</v>
      </c>
      <c r="N5864" s="8" t="s">
        <v>41</v>
      </c>
      <c r="O5864" s="8" t="s">
        <v>1007</v>
      </c>
      <c r="P5864" s="6" t="s">
        <v>167</v>
      </c>
      <c r="Q5864" s="8" t="s">
        <v>279</v>
      </c>
      <c r="R5864" s="10" t="s">
        <v>7900</v>
      </c>
      <c r="S5864" s="11" t="s">
        <v>34297</v>
      </c>
      <c r="T5864" s="6"/>
      <c r="U5864" s="24" t="str">
        <f>HYPERLINK("https://media.infra-m.ru/2186/2186207/cover/2186207.jpg", "Обложка")</f>
        <v>Обложка</v>
      </c>
      <c r="V5864" s="24" t="str">
        <f>HYPERLINK("https://znanium.ru/catalog/product/2186207", "Ознакомиться")</f>
        <v>Ознакомиться</v>
      </c>
      <c r="W5864" s="8" t="s">
        <v>189</v>
      </c>
      <c r="X5864" s="6"/>
      <c r="Y5864" s="6"/>
      <c r="Z5864" s="6"/>
      <c r="AA5864" s="6" t="s">
        <v>151</v>
      </c>
      <c r="AB5864" s="8" t="s">
        <v>271</v>
      </c>
    </row>
    <row r="5865" spans="1:28" s="4" customFormat="1" ht="42" customHeight="1">
      <c r="A5865" s="5">
        <v>0</v>
      </c>
      <c r="B5865" s="6" t="s">
        <v>34298</v>
      </c>
      <c r="C5865" s="13">
        <v>1470</v>
      </c>
      <c r="D5865" s="8" t="s">
        <v>34299</v>
      </c>
      <c r="E5865" s="8" t="s">
        <v>34300</v>
      </c>
      <c r="F5865" s="8" t="s">
        <v>34301</v>
      </c>
      <c r="G5865" s="6" t="s">
        <v>52</v>
      </c>
      <c r="H5865" s="6" t="s">
        <v>53</v>
      </c>
      <c r="I5865" s="8" t="s">
        <v>1779</v>
      </c>
      <c r="J5865" s="9">
        <v>1</v>
      </c>
      <c r="K5865" s="9">
        <v>309</v>
      </c>
      <c r="L5865" s="9">
        <v>2024</v>
      </c>
      <c r="M5865" s="8" t="s">
        <v>34302</v>
      </c>
      <c r="N5865" s="8" t="s">
        <v>79</v>
      </c>
      <c r="O5865" s="8" t="s">
        <v>80</v>
      </c>
      <c r="P5865" s="6" t="s">
        <v>43</v>
      </c>
      <c r="Q5865" s="8" t="s">
        <v>58</v>
      </c>
      <c r="R5865" s="10" t="s">
        <v>34303</v>
      </c>
      <c r="S5865" s="11"/>
      <c r="T5865" s="6"/>
      <c r="U5865" s="24" t="str">
        <f>HYPERLINK("https://media.infra-m.ru/2104/2104875/cover/2104875.jpg", "Обложка")</f>
        <v>Обложка</v>
      </c>
      <c r="V5865" s="24" t="str">
        <f>HYPERLINK("https://znanium.ru/catalog/product/2104875", "Ознакомиться")</f>
        <v>Ознакомиться</v>
      </c>
      <c r="W5865" s="8" t="s">
        <v>34304</v>
      </c>
      <c r="X5865" s="6"/>
      <c r="Y5865" s="6"/>
      <c r="Z5865" s="6"/>
      <c r="AA5865" s="6" t="s">
        <v>133</v>
      </c>
      <c r="AB5865" s="8"/>
    </row>
    <row r="5866" spans="1:28" s="4" customFormat="1" ht="51.95" customHeight="1">
      <c r="A5866" s="5">
        <v>0</v>
      </c>
      <c r="B5866" s="6" t="s">
        <v>34305</v>
      </c>
      <c r="C5866" s="13">
        <v>1190</v>
      </c>
      <c r="D5866" s="8" t="s">
        <v>34306</v>
      </c>
      <c r="E5866" s="8" t="s">
        <v>34307</v>
      </c>
      <c r="F5866" s="8" t="s">
        <v>34308</v>
      </c>
      <c r="G5866" s="6" t="s">
        <v>52</v>
      </c>
      <c r="H5866" s="6" t="s">
        <v>53</v>
      </c>
      <c r="I5866" s="8" t="s">
        <v>116</v>
      </c>
      <c r="J5866" s="9">
        <v>1</v>
      </c>
      <c r="K5866" s="9">
        <v>223</v>
      </c>
      <c r="L5866" s="9">
        <v>2025</v>
      </c>
      <c r="M5866" s="8" t="s">
        <v>34309</v>
      </c>
      <c r="N5866" s="8" t="s">
        <v>997</v>
      </c>
      <c r="O5866" s="8" t="s">
        <v>998</v>
      </c>
      <c r="P5866" s="6" t="s">
        <v>43</v>
      </c>
      <c r="Q5866" s="8" t="s">
        <v>44</v>
      </c>
      <c r="R5866" s="10" t="s">
        <v>34310</v>
      </c>
      <c r="S5866" s="11"/>
      <c r="T5866" s="6" t="s">
        <v>299</v>
      </c>
      <c r="U5866" s="24" t="str">
        <f>HYPERLINK("https://media.infra-m.ru/2139/2139201/cover/2139201.jpg", "Обложка")</f>
        <v>Обложка</v>
      </c>
      <c r="V5866" s="24" t="str">
        <f>HYPERLINK("https://znanium.ru/catalog/product/2139201", "Ознакомиться")</f>
        <v>Ознакомиться</v>
      </c>
      <c r="W5866" s="8" t="s">
        <v>4503</v>
      </c>
      <c r="X5866" s="6" t="s">
        <v>60</v>
      </c>
      <c r="Y5866" s="6"/>
      <c r="Z5866" s="6"/>
      <c r="AA5866" s="6" t="s">
        <v>61</v>
      </c>
      <c r="AB5866" s="8"/>
    </row>
    <row r="5867" spans="1:28" s="4" customFormat="1" ht="42" customHeight="1">
      <c r="A5867" s="5">
        <v>0</v>
      </c>
      <c r="B5867" s="6" t="s">
        <v>34311</v>
      </c>
      <c r="C5867" s="13">
        <v>1554</v>
      </c>
      <c r="D5867" s="8" t="s">
        <v>34312</v>
      </c>
      <c r="E5867" s="8" t="s">
        <v>34313</v>
      </c>
      <c r="F5867" s="8" t="s">
        <v>34314</v>
      </c>
      <c r="G5867" s="6" t="s">
        <v>52</v>
      </c>
      <c r="H5867" s="6" t="s">
        <v>184</v>
      </c>
      <c r="I5867" s="8" t="s">
        <v>116</v>
      </c>
      <c r="J5867" s="9">
        <v>1</v>
      </c>
      <c r="K5867" s="9">
        <v>311</v>
      </c>
      <c r="L5867" s="9">
        <v>2025</v>
      </c>
      <c r="M5867" s="8" t="s">
        <v>34315</v>
      </c>
      <c r="N5867" s="8" t="s">
        <v>79</v>
      </c>
      <c r="O5867" s="8" t="s">
        <v>80</v>
      </c>
      <c r="P5867" s="6" t="s">
        <v>167</v>
      </c>
      <c r="Q5867" s="8" t="s">
        <v>58</v>
      </c>
      <c r="R5867" s="10" t="s">
        <v>34316</v>
      </c>
      <c r="S5867" s="11"/>
      <c r="T5867" s="6"/>
      <c r="U5867" s="24" t="str">
        <f>HYPERLINK("https://media.infra-m.ru/2173/2173448/cover/2173448.jpg", "Обложка")</f>
        <v>Обложка</v>
      </c>
      <c r="V5867" s="12"/>
      <c r="W5867" s="8" t="s">
        <v>2938</v>
      </c>
      <c r="X5867" s="6"/>
      <c r="Y5867" s="6"/>
      <c r="Z5867" s="6"/>
      <c r="AA5867" s="6" t="s">
        <v>207</v>
      </c>
      <c r="AB5867" s="8"/>
    </row>
    <row r="5868" spans="1:28" s="4" customFormat="1" ht="42" customHeight="1">
      <c r="A5868" s="5">
        <v>0</v>
      </c>
      <c r="B5868" s="6" t="s">
        <v>34317</v>
      </c>
      <c r="C5868" s="13">
        <v>1690</v>
      </c>
      <c r="D5868" s="8" t="s">
        <v>34318</v>
      </c>
      <c r="E5868" s="8" t="s">
        <v>34319</v>
      </c>
      <c r="F5868" s="8" t="s">
        <v>34314</v>
      </c>
      <c r="G5868" s="6" t="s">
        <v>52</v>
      </c>
      <c r="H5868" s="6" t="s">
        <v>184</v>
      </c>
      <c r="I5868" s="8" t="s">
        <v>116</v>
      </c>
      <c r="J5868" s="9">
        <v>1</v>
      </c>
      <c r="K5868" s="9">
        <v>331</v>
      </c>
      <c r="L5868" s="9">
        <v>2025</v>
      </c>
      <c r="M5868" s="8" t="s">
        <v>34320</v>
      </c>
      <c r="N5868" s="8" t="s">
        <v>79</v>
      </c>
      <c r="O5868" s="8" t="s">
        <v>80</v>
      </c>
      <c r="P5868" s="6" t="s">
        <v>167</v>
      </c>
      <c r="Q5868" s="8" t="s">
        <v>58</v>
      </c>
      <c r="R5868" s="10" t="s">
        <v>34316</v>
      </c>
      <c r="S5868" s="11"/>
      <c r="T5868" s="6"/>
      <c r="U5868" s="24" t="str">
        <f>HYPERLINK("https://media.infra-m.ru/2168/2168894/cover/2168894.jpg", "Обложка")</f>
        <v>Обложка</v>
      </c>
      <c r="V5868" s="12"/>
      <c r="W5868" s="8" t="s">
        <v>2938</v>
      </c>
      <c r="X5868" s="6" t="s">
        <v>2790</v>
      </c>
      <c r="Y5868" s="6"/>
      <c r="Z5868" s="6"/>
      <c r="AA5868" s="6" t="s">
        <v>549</v>
      </c>
      <c r="AB5868" s="8"/>
    </row>
    <row r="5869" spans="1:28" s="4" customFormat="1" ht="42" customHeight="1">
      <c r="A5869" s="5">
        <v>0</v>
      </c>
      <c r="B5869" s="6" t="s">
        <v>34321</v>
      </c>
      <c r="C5869" s="7">
        <v>514</v>
      </c>
      <c r="D5869" s="8" t="s">
        <v>34322</v>
      </c>
      <c r="E5869" s="8" t="s">
        <v>34323</v>
      </c>
      <c r="F5869" s="8" t="s">
        <v>34324</v>
      </c>
      <c r="G5869" s="6" t="s">
        <v>38</v>
      </c>
      <c r="H5869" s="6" t="s">
        <v>674</v>
      </c>
      <c r="I5869" s="8"/>
      <c r="J5869" s="9">
        <v>1</v>
      </c>
      <c r="K5869" s="9">
        <v>104</v>
      </c>
      <c r="L5869" s="9">
        <v>2024</v>
      </c>
      <c r="M5869" s="8" t="s">
        <v>34325</v>
      </c>
      <c r="N5869" s="8" t="s">
        <v>79</v>
      </c>
      <c r="O5869" s="8" t="s">
        <v>80</v>
      </c>
      <c r="P5869" s="6" t="s">
        <v>43</v>
      </c>
      <c r="Q5869" s="8" t="s">
        <v>44</v>
      </c>
      <c r="R5869" s="10" t="s">
        <v>34326</v>
      </c>
      <c r="S5869" s="11"/>
      <c r="T5869" s="6"/>
      <c r="U5869" s="24" t="str">
        <f>HYPERLINK("https://media.infra-m.ru/2156/2156912/cover/2156912.jpg", "Обложка")</f>
        <v>Обложка</v>
      </c>
      <c r="V5869" s="24" t="str">
        <f>HYPERLINK("https://znanium.ru/catalog/product/1234413", "Ознакомиться")</f>
        <v>Ознакомиться</v>
      </c>
      <c r="W5869" s="8" t="s">
        <v>792</v>
      </c>
      <c r="X5869" s="6"/>
      <c r="Y5869" s="6"/>
      <c r="Z5869" s="6"/>
      <c r="AA5869" s="6" t="s">
        <v>219</v>
      </c>
      <c r="AB5869" s="8"/>
    </row>
    <row r="5870" spans="1:28" s="4" customFormat="1" ht="51.95" customHeight="1">
      <c r="A5870" s="5">
        <v>0</v>
      </c>
      <c r="B5870" s="6" t="s">
        <v>34327</v>
      </c>
      <c r="C5870" s="13">
        <v>2340</v>
      </c>
      <c r="D5870" s="8" t="s">
        <v>34328</v>
      </c>
      <c r="E5870" s="8" t="s">
        <v>34329</v>
      </c>
      <c r="F5870" s="8" t="s">
        <v>34330</v>
      </c>
      <c r="G5870" s="6" t="s">
        <v>52</v>
      </c>
      <c r="H5870" s="6" t="s">
        <v>53</v>
      </c>
      <c r="I5870" s="8" t="s">
        <v>2048</v>
      </c>
      <c r="J5870" s="9">
        <v>1</v>
      </c>
      <c r="K5870" s="9">
        <v>451</v>
      </c>
      <c r="L5870" s="9">
        <v>2025</v>
      </c>
      <c r="M5870" s="8" t="s">
        <v>34331</v>
      </c>
      <c r="N5870" s="8" t="s">
        <v>41</v>
      </c>
      <c r="O5870" s="8" t="s">
        <v>1007</v>
      </c>
      <c r="P5870" s="6" t="s">
        <v>167</v>
      </c>
      <c r="Q5870" s="8" t="s">
        <v>279</v>
      </c>
      <c r="R5870" s="10" t="s">
        <v>34332</v>
      </c>
      <c r="S5870" s="11" t="s">
        <v>34333</v>
      </c>
      <c r="T5870" s="6"/>
      <c r="U5870" s="24" t="str">
        <f>HYPERLINK("https://media.infra-m.ru/2171/2171044/cover/2171044.jpg", "Обложка")</f>
        <v>Обложка</v>
      </c>
      <c r="V5870" s="24" t="str">
        <f>HYPERLINK("https://znanium.ru/catalog/product/2171044", "Ознакомиться")</f>
        <v>Ознакомиться</v>
      </c>
      <c r="W5870" s="8" t="s">
        <v>189</v>
      </c>
      <c r="X5870" s="6"/>
      <c r="Y5870" s="6"/>
      <c r="Z5870" s="6"/>
      <c r="AA5870" s="6" t="s">
        <v>133</v>
      </c>
      <c r="AB5870" s="8"/>
    </row>
    <row r="5871" spans="1:28" s="4" customFormat="1" ht="51.95" customHeight="1">
      <c r="A5871" s="5">
        <v>0</v>
      </c>
      <c r="B5871" s="6" t="s">
        <v>34334</v>
      </c>
      <c r="C5871" s="7">
        <v>750</v>
      </c>
      <c r="D5871" s="8" t="s">
        <v>34335</v>
      </c>
      <c r="E5871" s="8" t="s">
        <v>34336</v>
      </c>
      <c r="F5871" s="8" t="s">
        <v>34337</v>
      </c>
      <c r="G5871" s="6" t="s">
        <v>89</v>
      </c>
      <c r="H5871" s="6" t="s">
        <v>53</v>
      </c>
      <c r="I5871" s="8" t="s">
        <v>276</v>
      </c>
      <c r="J5871" s="9">
        <v>1</v>
      </c>
      <c r="K5871" s="9">
        <v>156</v>
      </c>
      <c r="L5871" s="9">
        <v>2023</v>
      </c>
      <c r="M5871" s="8" t="s">
        <v>34338</v>
      </c>
      <c r="N5871" s="8" t="s">
        <v>56</v>
      </c>
      <c r="O5871" s="8" t="s">
        <v>57</v>
      </c>
      <c r="P5871" s="6" t="s">
        <v>43</v>
      </c>
      <c r="Q5871" s="8" t="s">
        <v>279</v>
      </c>
      <c r="R5871" s="10" t="s">
        <v>34339</v>
      </c>
      <c r="S5871" s="11" t="s">
        <v>34340</v>
      </c>
      <c r="T5871" s="6"/>
      <c r="U5871" s="24" t="str">
        <f>HYPERLINK("https://media.infra-m.ru/1914/1914160/cover/1914160.jpg", "Обложка")</f>
        <v>Обложка</v>
      </c>
      <c r="V5871" s="24" t="str">
        <f>HYPERLINK("https://znanium.ru/catalog/product/1914160", "Ознакомиться")</f>
        <v>Ознакомиться</v>
      </c>
      <c r="W5871" s="8" t="s">
        <v>9191</v>
      </c>
      <c r="X5871" s="6"/>
      <c r="Y5871" s="6"/>
      <c r="Z5871" s="6"/>
      <c r="AA5871" s="6" t="s">
        <v>151</v>
      </c>
      <c r="AB5871" s="8"/>
    </row>
    <row r="5872" spans="1:28" s="4" customFormat="1" ht="51.95" customHeight="1">
      <c r="A5872" s="5">
        <v>0</v>
      </c>
      <c r="B5872" s="6" t="s">
        <v>34341</v>
      </c>
      <c r="C5872" s="7">
        <v>664</v>
      </c>
      <c r="D5872" s="8" t="s">
        <v>34342</v>
      </c>
      <c r="E5872" s="8" t="s">
        <v>34343</v>
      </c>
      <c r="F5872" s="8" t="s">
        <v>34344</v>
      </c>
      <c r="G5872" s="6" t="s">
        <v>38</v>
      </c>
      <c r="H5872" s="6" t="s">
        <v>39</v>
      </c>
      <c r="I5872" s="8" t="s">
        <v>116</v>
      </c>
      <c r="J5872" s="9">
        <v>1</v>
      </c>
      <c r="K5872" s="9">
        <v>96</v>
      </c>
      <c r="L5872" s="9">
        <v>2025</v>
      </c>
      <c r="M5872" s="8" t="s">
        <v>34345</v>
      </c>
      <c r="N5872" s="8" t="s">
        <v>79</v>
      </c>
      <c r="O5872" s="8" t="s">
        <v>174</v>
      </c>
      <c r="P5872" s="6" t="s">
        <v>43</v>
      </c>
      <c r="Q5872" s="8" t="s">
        <v>214</v>
      </c>
      <c r="R5872" s="10" t="s">
        <v>19210</v>
      </c>
      <c r="S5872" s="11" t="s">
        <v>34346</v>
      </c>
      <c r="T5872" s="6"/>
      <c r="U5872" s="24" t="str">
        <f>HYPERLINK("https://media.infra-m.ru/2199/2199156/cover/2199156.jpg", "Обложка")</f>
        <v>Обложка</v>
      </c>
      <c r="V5872" s="24" t="str">
        <f>HYPERLINK("https://znanium.ru/catalog/product/1861347", "Ознакомиться")</f>
        <v>Ознакомиться</v>
      </c>
      <c r="W5872" s="8" t="s">
        <v>5973</v>
      </c>
      <c r="X5872" s="6"/>
      <c r="Y5872" s="6"/>
      <c r="Z5872" s="6"/>
      <c r="AA5872" s="6" t="s">
        <v>111</v>
      </c>
      <c r="AB5872" s="8"/>
    </row>
    <row r="5873" spans="1:28" s="4" customFormat="1" ht="51.95" customHeight="1">
      <c r="A5873" s="5">
        <v>0</v>
      </c>
      <c r="B5873" s="6" t="s">
        <v>34347</v>
      </c>
      <c r="C5873" s="7">
        <v>950</v>
      </c>
      <c r="D5873" s="8" t="s">
        <v>34348</v>
      </c>
      <c r="E5873" s="8" t="s">
        <v>34349</v>
      </c>
      <c r="F5873" s="8" t="s">
        <v>7228</v>
      </c>
      <c r="G5873" s="6" t="s">
        <v>89</v>
      </c>
      <c r="H5873" s="6" t="s">
        <v>53</v>
      </c>
      <c r="I5873" s="8" t="s">
        <v>116</v>
      </c>
      <c r="J5873" s="9">
        <v>1</v>
      </c>
      <c r="K5873" s="9">
        <v>206</v>
      </c>
      <c r="L5873" s="9">
        <v>2024</v>
      </c>
      <c r="M5873" s="8" t="s">
        <v>34350</v>
      </c>
      <c r="N5873" s="8" t="s">
        <v>413</v>
      </c>
      <c r="O5873" s="8" t="s">
        <v>1584</v>
      </c>
      <c r="P5873" s="6" t="s">
        <v>43</v>
      </c>
      <c r="Q5873" s="8" t="s">
        <v>44</v>
      </c>
      <c r="R5873" s="10" t="s">
        <v>34351</v>
      </c>
      <c r="S5873" s="11"/>
      <c r="T5873" s="6"/>
      <c r="U5873" s="24" t="str">
        <f>HYPERLINK("https://media.infra-m.ru/2091/2091922/cover/2091922.jpg", "Обложка")</f>
        <v>Обложка</v>
      </c>
      <c r="V5873" s="24" t="str">
        <f>HYPERLINK("https://znanium.ru/catalog/product/2091922", "Ознакомиться")</f>
        <v>Ознакомиться</v>
      </c>
      <c r="W5873" s="8" t="s">
        <v>7231</v>
      </c>
      <c r="X5873" s="6"/>
      <c r="Y5873" s="6"/>
      <c r="Z5873" s="6"/>
      <c r="AA5873" s="6" t="s">
        <v>47</v>
      </c>
      <c r="AB5873" s="8"/>
    </row>
    <row r="5874" spans="1:28" s="4" customFormat="1" ht="51.95" customHeight="1">
      <c r="A5874" s="5">
        <v>0</v>
      </c>
      <c r="B5874" s="6" t="s">
        <v>34352</v>
      </c>
      <c r="C5874" s="7">
        <v>994</v>
      </c>
      <c r="D5874" s="8" t="s">
        <v>34353</v>
      </c>
      <c r="E5874" s="8" t="s">
        <v>34354</v>
      </c>
      <c r="F5874" s="8" t="s">
        <v>18552</v>
      </c>
      <c r="G5874" s="6" t="s">
        <v>52</v>
      </c>
      <c r="H5874" s="6" t="s">
        <v>674</v>
      </c>
      <c r="I5874" s="8"/>
      <c r="J5874" s="9">
        <v>1</v>
      </c>
      <c r="K5874" s="9">
        <v>256</v>
      </c>
      <c r="L5874" s="9">
        <v>2023</v>
      </c>
      <c r="M5874" s="8" t="s">
        <v>34355</v>
      </c>
      <c r="N5874" s="8" t="s">
        <v>41</v>
      </c>
      <c r="O5874" s="8" t="s">
        <v>118</v>
      </c>
      <c r="P5874" s="6" t="s">
        <v>43</v>
      </c>
      <c r="Q5874" s="8" t="s">
        <v>44</v>
      </c>
      <c r="R5874" s="10" t="s">
        <v>34356</v>
      </c>
      <c r="S5874" s="11"/>
      <c r="T5874" s="6"/>
      <c r="U5874" s="24" t="str">
        <f>HYPERLINK("https://media.infra-m.ru/1993/1993584/cover/1993584.jpg", "Обложка")</f>
        <v>Обложка</v>
      </c>
      <c r="V5874" s="24" t="str">
        <f>HYPERLINK("https://znanium.ru/catalog/product/1010111", "Ознакомиться")</f>
        <v>Ознакомиться</v>
      </c>
      <c r="W5874" s="8" t="s">
        <v>1076</v>
      </c>
      <c r="X5874" s="6"/>
      <c r="Y5874" s="6"/>
      <c r="Z5874" s="6"/>
      <c r="AA5874" s="6" t="s">
        <v>47</v>
      </c>
      <c r="AB5874" s="8"/>
    </row>
    <row r="5875" spans="1:28" s="4" customFormat="1" ht="51.95" customHeight="1">
      <c r="A5875" s="5">
        <v>0</v>
      </c>
      <c r="B5875" s="6" t="s">
        <v>34357</v>
      </c>
      <c r="C5875" s="13">
        <v>1024</v>
      </c>
      <c r="D5875" s="8" t="s">
        <v>34358</v>
      </c>
      <c r="E5875" s="8" t="s">
        <v>34359</v>
      </c>
      <c r="F5875" s="8" t="s">
        <v>34360</v>
      </c>
      <c r="G5875" s="6" t="s">
        <v>38</v>
      </c>
      <c r="H5875" s="6" t="s">
        <v>438</v>
      </c>
      <c r="I5875" s="8" t="s">
        <v>1171</v>
      </c>
      <c r="J5875" s="9">
        <v>1</v>
      </c>
      <c r="K5875" s="9">
        <v>112</v>
      </c>
      <c r="L5875" s="9">
        <v>2025</v>
      </c>
      <c r="M5875" s="8" t="s">
        <v>34361</v>
      </c>
      <c r="N5875" s="8" t="s">
        <v>56</v>
      </c>
      <c r="O5875" s="8" t="s">
        <v>2183</v>
      </c>
      <c r="P5875" s="6" t="s">
        <v>43</v>
      </c>
      <c r="Q5875" s="8" t="s">
        <v>44</v>
      </c>
      <c r="R5875" s="10" t="s">
        <v>34362</v>
      </c>
      <c r="S5875" s="11" t="s">
        <v>16429</v>
      </c>
      <c r="T5875" s="6"/>
      <c r="U5875" s="24" t="str">
        <f>HYPERLINK("https://media.infra-m.ru/2182/2182617/cover/2182617.jpg", "Обложка")</f>
        <v>Обложка</v>
      </c>
      <c r="V5875" s="24" t="str">
        <f>HYPERLINK("https://znanium.ru/catalog/product/997137", "Ознакомиться")</f>
        <v>Ознакомиться</v>
      </c>
      <c r="W5875" s="8" t="s">
        <v>1853</v>
      </c>
      <c r="X5875" s="6"/>
      <c r="Y5875" s="6"/>
      <c r="Z5875" s="6"/>
      <c r="AA5875" s="6" t="s">
        <v>84</v>
      </c>
      <c r="AB5875" s="8"/>
    </row>
    <row r="5876" spans="1:28" s="4" customFormat="1" ht="51.95" customHeight="1">
      <c r="A5876" s="5">
        <v>0</v>
      </c>
      <c r="B5876" s="6" t="s">
        <v>34363</v>
      </c>
      <c r="C5876" s="13">
        <v>2397</v>
      </c>
      <c r="D5876" s="8" t="s">
        <v>34364</v>
      </c>
      <c r="E5876" s="8" t="s">
        <v>34365</v>
      </c>
      <c r="F5876" s="8" t="s">
        <v>34366</v>
      </c>
      <c r="G5876" s="6" t="s">
        <v>89</v>
      </c>
      <c r="H5876" s="6" t="s">
        <v>53</v>
      </c>
      <c r="I5876" s="8" t="s">
        <v>100</v>
      </c>
      <c r="J5876" s="9">
        <v>1</v>
      </c>
      <c r="K5876" s="9">
        <v>400</v>
      </c>
      <c r="L5876" s="9">
        <v>2024</v>
      </c>
      <c r="M5876" s="8" t="s">
        <v>34367</v>
      </c>
      <c r="N5876" s="8" t="s">
        <v>79</v>
      </c>
      <c r="O5876" s="8" t="s">
        <v>148</v>
      </c>
      <c r="P5876" s="6" t="s">
        <v>167</v>
      </c>
      <c r="Q5876" s="8" t="s">
        <v>102</v>
      </c>
      <c r="R5876" s="10" t="s">
        <v>34368</v>
      </c>
      <c r="S5876" s="11" t="s">
        <v>34369</v>
      </c>
      <c r="T5876" s="6"/>
      <c r="U5876" s="24" t="str">
        <f>HYPERLINK("https://media.infra-m.ru/2102/2102698/cover/2102698.jpg", "Обложка")</f>
        <v>Обложка</v>
      </c>
      <c r="V5876" s="24" t="str">
        <f>HYPERLINK("https://znanium.ru/catalog/product/1190674", "Ознакомиться")</f>
        <v>Ознакомиться</v>
      </c>
      <c r="W5876" s="8" t="s">
        <v>9885</v>
      </c>
      <c r="X5876" s="6"/>
      <c r="Y5876" s="6"/>
      <c r="Z5876" s="6"/>
      <c r="AA5876" s="6" t="s">
        <v>2001</v>
      </c>
      <c r="AB5876" s="8"/>
    </row>
    <row r="5877" spans="1:28" s="4" customFormat="1" ht="51.95" customHeight="1">
      <c r="A5877" s="5">
        <v>0</v>
      </c>
      <c r="B5877" s="6" t="s">
        <v>34370</v>
      </c>
      <c r="C5877" s="7">
        <v>790</v>
      </c>
      <c r="D5877" s="8" t="s">
        <v>34371</v>
      </c>
      <c r="E5877" s="8" t="s">
        <v>34372</v>
      </c>
      <c r="F5877" s="8" t="s">
        <v>34373</v>
      </c>
      <c r="G5877" s="6" t="s">
        <v>38</v>
      </c>
      <c r="H5877" s="6" t="s">
        <v>53</v>
      </c>
      <c r="I5877" s="8"/>
      <c r="J5877" s="9">
        <v>1</v>
      </c>
      <c r="K5877" s="9">
        <v>176</v>
      </c>
      <c r="L5877" s="9">
        <v>2023</v>
      </c>
      <c r="M5877" s="8" t="s">
        <v>34374</v>
      </c>
      <c r="N5877" s="8" t="s">
        <v>413</v>
      </c>
      <c r="O5877" s="8" t="s">
        <v>1141</v>
      </c>
      <c r="P5877" s="6" t="s">
        <v>43</v>
      </c>
      <c r="Q5877" s="8" t="s">
        <v>44</v>
      </c>
      <c r="R5877" s="10" t="s">
        <v>34375</v>
      </c>
      <c r="S5877" s="11" t="s">
        <v>34376</v>
      </c>
      <c r="T5877" s="6"/>
      <c r="U5877" s="24" t="str">
        <f>HYPERLINK("https://media.infra-m.ru/2051/2051256/cover/2051256.jpg", "Обложка")</f>
        <v>Обложка</v>
      </c>
      <c r="V5877" s="24" t="str">
        <f>HYPERLINK("https://znanium.ru/catalog/product/1013459", "Ознакомиться")</f>
        <v>Ознакомиться</v>
      </c>
      <c r="W5877" s="8" t="s">
        <v>4293</v>
      </c>
      <c r="X5877" s="6"/>
      <c r="Y5877" s="6"/>
      <c r="Z5877" s="6"/>
      <c r="AA5877" s="6" t="s">
        <v>479</v>
      </c>
      <c r="AB5877" s="8"/>
    </row>
    <row r="5878" spans="1:28" s="4" customFormat="1" ht="51.95" customHeight="1">
      <c r="A5878" s="5">
        <v>0</v>
      </c>
      <c r="B5878" s="6" t="s">
        <v>34377</v>
      </c>
      <c r="C5878" s="13">
        <v>1680</v>
      </c>
      <c r="D5878" s="8" t="s">
        <v>34378</v>
      </c>
      <c r="E5878" s="8" t="s">
        <v>34379</v>
      </c>
      <c r="F5878" s="8" t="s">
        <v>34380</v>
      </c>
      <c r="G5878" s="6" t="s">
        <v>89</v>
      </c>
      <c r="H5878" s="6" t="s">
        <v>649</v>
      </c>
      <c r="I5878" s="8" t="s">
        <v>100</v>
      </c>
      <c r="J5878" s="9">
        <v>1</v>
      </c>
      <c r="K5878" s="9">
        <v>336</v>
      </c>
      <c r="L5878" s="9">
        <v>2025</v>
      </c>
      <c r="M5878" s="8" t="s">
        <v>34381</v>
      </c>
      <c r="N5878" s="8" t="s">
        <v>79</v>
      </c>
      <c r="O5878" s="8" t="s">
        <v>80</v>
      </c>
      <c r="P5878" s="6" t="s">
        <v>43</v>
      </c>
      <c r="Q5878" s="8" t="s">
        <v>102</v>
      </c>
      <c r="R5878" s="10" t="s">
        <v>34382</v>
      </c>
      <c r="S5878" s="11" t="s">
        <v>18706</v>
      </c>
      <c r="T5878" s="6"/>
      <c r="U5878" s="24" t="str">
        <f>HYPERLINK("https://media.infra-m.ru/2139/2139606/cover/2139606.jpg", "Обложка")</f>
        <v>Обложка</v>
      </c>
      <c r="V5878" s="24" t="str">
        <f>HYPERLINK("https://znanium.ru/catalog/product/2139606", "Ознакомиться")</f>
        <v>Ознакомиться</v>
      </c>
      <c r="W5878" s="8" t="s">
        <v>2216</v>
      </c>
      <c r="X5878" s="6"/>
      <c r="Y5878" s="6"/>
      <c r="Z5878" s="6"/>
      <c r="AA5878" s="6" t="s">
        <v>654</v>
      </c>
      <c r="AB5878" s="8"/>
    </row>
    <row r="5879" spans="1:28" s="4" customFormat="1" ht="51.95" customHeight="1">
      <c r="A5879" s="5">
        <v>0</v>
      </c>
      <c r="B5879" s="6" t="s">
        <v>34383</v>
      </c>
      <c r="C5879" s="13">
        <v>1600</v>
      </c>
      <c r="D5879" s="8" t="s">
        <v>34384</v>
      </c>
      <c r="E5879" s="8" t="s">
        <v>34385</v>
      </c>
      <c r="F5879" s="8" t="s">
        <v>34386</v>
      </c>
      <c r="G5879" s="6" t="s">
        <v>89</v>
      </c>
      <c r="H5879" s="6" t="s">
        <v>952</v>
      </c>
      <c r="I5879" s="8"/>
      <c r="J5879" s="9">
        <v>1</v>
      </c>
      <c r="K5879" s="9">
        <v>528</v>
      </c>
      <c r="L5879" s="9">
        <v>2022</v>
      </c>
      <c r="M5879" s="8" t="s">
        <v>34387</v>
      </c>
      <c r="N5879" s="8" t="s">
        <v>413</v>
      </c>
      <c r="O5879" s="8" t="s">
        <v>1141</v>
      </c>
      <c r="P5879" s="6" t="s">
        <v>43</v>
      </c>
      <c r="Q5879" s="8" t="s">
        <v>44</v>
      </c>
      <c r="R5879" s="10" t="s">
        <v>34388</v>
      </c>
      <c r="S5879" s="11"/>
      <c r="T5879" s="6"/>
      <c r="U5879" s="24" t="str">
        <f>HYPERLINK("https://media.infra-m.ru/1899/1899976/cover/1899976.jpg", "Обложка")</f>
        <v>Обложка</v>
      </c>
      <c r="V5879" s="24" t="str">
        <f>HYPERLINK("https://znanium.ru/catalog/product/1899976", "Ознакомиться")</f>
        <v>Ознакомиться</v>
      </c>
      <c r="W5879" s="8" t="s">
        <v>4433</v>
      </c>
      <c r="X5879" s="6"/>
      <c r="Y5879" s="6"/>
      <c r="Z5879" s="6"/>
      <c r="AA5879" s="6" t="s">
        <v>1382</v>
      </c>
      <c r="AB5879" s="8"/>
    </row>
    <row r="5880" spans="1:28" s="4" customFormat="1" ht="51.95" customHeight="1">
      <c r="A5880" s="5">
        <v>0</v>
      </c>
      <c r="B5880" s="6" t="s">
        <v>34389</v>
      </c>
      <c r="C5880" s="13">
        <v>1334.9</v>
      </c>
      <c r="D5880" s="8" t="s">
        <v>34390</v>
      </c>
      <c r="E5880" s="8" t="s">
        <v>34391</v>
      </c>
      <c r="F5880" s="8" t="s">
        <v>6485</v>
      </c>
      <c r="G5880" s="6" t="s">
        <v>52</v>
      </c>
      <c r="H5880" s="6" t="s">
        <v>39</v>
      </c>
      <c r="I5880" s="8" t="s">
        <v>90</v>
      </c>
      <c r="J5880" s="9">
        <v>1</v>
      </c>
      <c r="K5880" s="9">
        <v>352</v>
      </c>
      <c r="L5880" s="9">
        <v>2022</v>
      </c>
      <c r="M5880" s="8" t="s">
        <v>34392</v>
      </c>
      <c r="N5880" s="8" t="s">
        <v>79</v>
      </c>
      <c r="O5880" s="8" t="s">
        <v>396</v>
      </c>
      <c r="P5880" s="6" t="s">
        <v>43</v>
      </c>
      <c r="Q5880" s="8" t="s">
        <v>44</v>
      </c>
      <c r="R5880" s="10" t="s">
        <v>34393</v>
      </c>
      <c r="S5880" s="11" t="s">
        <v>34394</v>
      </c>
      <c r="T5880" s="6"/>
      <c r="U5880" s="24" t="str">
        <f>HYPERLINK("https://media.infra-m.ru/1850/1850723/cover/1850723.jpg", "Обложка")</f>
        <v>Обложка</v>
      </c>
      <c r="V5880" s="12"/>
      <c r="W5880" s="8" t="s">
        <v>6489</v>
      </c>
      <c r="X5880" s="6"/>
      <c r="Y5880" s="6"/>
      <c r="Z5880" s="6"/>
      <c r="AA5880" s="6" t="s">
        <v>701</v>
      </c>
      <c r="AB5880" s="8"/>
    </row>
    <row r="5881" spans="1:28" s="4" customFormat="1" ht="51.95" customHeight="1">
      <c r="A5881" s="5">
        <v>0</v>
      </c>
      <c r="B5881" s="6" t="s">
        <v>34395</v>
      </c>
      <c r="C5881" s="13">
        <v>2992</v>
      </c>
      <c r="D5881" s="8" t="s">
        <v>34396</v>
      </c>
      <c r="E5881" s="8" t="s">
        <v>34397</v>
      </c>
      <c r="F5881" s="8" t="s">
        <v>34398</v>
      </c>
      <c r="G5881" s="6" t="s">
        <v>89</v>
      </c>
      <c r="H5881" s="6" t="s">
        <v>53</v>
      </c>
      <c r="I5881" s="8" t="s">
        <v>116</v>
      </c>
      <c r="J5881" s="9">
        <v>1</v>
      </c>
      <c r="K5881" s="9">
        <v>512</v>
      </c>
      <c r="L5881" s="9">
        <v>2023</v>
      </c>
      <c r="M5881" s="8" t="s">
        <v>34399</v>
      </c>
      <c r="N5881" s="8" t="s">
        <v>413</v>
      </c>
      <c r="O5881" s="8" t="s">
        <v>1141</v>
      </c>
      <c r="P5881" s="6" t="s">
        <v>43</v>
      </c>
      <c r="Q5881" s="8" t="s">
        <v>44</v>
      </c>
      <c r="R5881" s="10" t="s">
        <v>34400</v>
      </c>
      <c r="S5881" s="11" t="s">
        <v>9929</v>
      </c>
      <c r="T5881" s="6"/>
      <c r="U5881" s="24" t="str">
        <f>HYPERLINK("https://media.infra-m.ru/2002/2002583/cover/2002583.jpg", "Обложка")</f>
        <v>Обложка</v>
      </c>
      <c r="V5881" s="24" t="str">
        <f>HYPERLINK("https://znanium.ru/catalog/product/2002583", "Ознакомиться")</f>
        <v>Ознакомиться</v>
      </c>
      <c r="W5881" s="8" t="s">
        <v>1514</v>
      </c>
      <c r="X5881" s="6"/>
      <c r="Y5881" s="6"/>
      <c r="Z5881" s="6"/>
      <c r="AA5881" s="6" t="s">
        <v>442</v>
      </c>
      <c r="AB5881" s="8"/>
    </row>
    <row r="5882" spans="1:28" s="4" customFormat="1" ht="51.95" customHeight="1">
      <c r="A5882" s="5">
        <v>0</v>
      </c>
      <c r="B5882" s="6" t="s">
        <v>34401</v>
      </c>
      <c r="C5882" s="7">
        <v>794</v>
      </c>
      <c r="D5882" s="8" t="s">
        <v>34402</v>
      </c>
      <c r="E5882" s="8" t="s">
        <v>34403</v>
      </c>
      <c r="F5882" s="8" t="s">
        <v>34404</v>
      </c>
      <c r="G5882" s="6" t="s">
        <v>38</v>
      </c>
      <c r="H5882" s="6" t="s">
        <v>53</v>
      </c>
      <c r="I5882" s="8" t="s">
        <v>90</v>
      </c>
      <c r="J5882" s="9">
        <v>1</v>
      </c>
      <c r="K5882" s="9">
        <v>152</v>
      </c>
      <c r="L5882" s="9">
        <v>2025</v>
      </c>
      <c r="M5882" s="8" t="s">
        <v>34405</v>
      </c>
      <c r="N5882" s="8" t="s">
        <v>79</v>
      </c>
      <c r="O5882" s="8" t="s">
        <v>80</v>
      </c>
      <c r="P5882" s="6" t="s">
        <v>43</v>
      </c>
      <c r="Q5882" s="8" t="s">
        <v>44</v>
      </c>
      <c r="R5882" s="10" t="s">
        <v>18648</v>
      </c>
      <c r="S5882" s="11" t="s">
        <v>34406</v>
      </c>
      <c r="T5882" s="6" t="s">
        <v>299</v>
      </c>
      <c r="U5882" s="24" t="str">
        <f>HYPERLINK("https://media.infra-m.ru/2194/2194332/cover/2194332.jpg", "Обложка")</f>
        <v>Обложка</v>
      </c>
      <c r="V5882" s="24" t="str">
        <f>HYPERLINK("https://znanium.ru/catalog/product/1850634", "Ознакомиться")</f>
        <v>Ознакомиться</v>
      </c>
      <c r="W5882" s="8" t="s">
        <v>399</v>
      </c>
      <c r="X5882" s="6"/>
      <c r="Y5882" s="6"/>
      <c r="Z5882" s="6"/>
      <c r="AA5882" s="6" t="s">
        <v>418</v>
      </c>
      <c r="AB5882" s="8"/>
    </row>
    <row r="5883" spans="1:28" s="4" customFormat="1" ht="51.95" customHeight="1">
      <c r="A5883" s="5">
        <v>0</v>
      </c>
      <c r="B5883" s="6" t="s">
        <v>34407</v>
      </c>
      <c r="C5883" s="13">
        <v>1490</v>
      </c>
      <c r="D5883" s="8" t="s">
        <v>34408</v>
      </c>
      <c r="E5883" s="8" t="s">
        <v>34409</v>
      </c>
      <c r="F5883" s="8" t="s">
        <v>12022</v>
      </c>
      <c r="G5883" s="6" t="s">
        <v>52</v>
      </c>
      <c r="H5883" s="6" t="s">
        <v>53</v>
      </c>
      <c r="I5883" s="8" t="s">
        <v>90</v>
      </c>
      <c r="J5883" s="9">
        <v>1</v>
      </c>
      <c r="K5883" s="9">
        <v>381</v>
      </c>
      <c r="L5883" s="9">
        <v>2022</v>
      </c>
      <c r="M5883" s="8" t="s">
        <v>34410</v>
      </c>
      <c r="N5883" s="8" t="s">
        <v>413</v>
      </c>
      <c r="O5883" s="8" t="s">
        <v>1141</v>
      </c>
      <c r="P5883" s="6" t="s">
        <v>43</v>
      </c>
      <c r="Q5883" s="8" t="s">
        <v>44</v>
      </c>
      <c r="R5883" s="10" t="s">
        <v>34411</v>
      </c>
      <c r="S5883" s="11" t="s">
        <v>34412</v>
      </c>
      <c r="T5883" s="6"/>
      <c r="U5883" s="24" t="str">
        <f>HYPERLINK("https://media.infra-m.ru/0996/0996207/cover/996207.jpg", "Обложка")</f>
        <v>Обложка</v>
      </c>
      <c r="V5883" s="24" t="str">
        <f>HYPERLINK("https://znanium.ru/catalog/product/996207", "Ознакомиться")</f>
        <v>Ознакомиться</v>
      </c>
      <c r="W5883" s="8" t="s">
        <v>12025</v>
      </c>
      <c r="X5883" s="6"/>
      <c r="Y5883" s="6"/>
      <c r="Z5883" s="6"/>
      <c r="AA5883" s="6" t="s">
        <v>235</v>
      </c>
      <c r="AB5883" s="8"/>
    </row>
    <row r="5884" spans="1:28" s="4" customFormat="1" ht="51.95" customHeight="1">
      <c r="A5884" s="5">
        <v>0</v>
      </c>
      <c r="B5884" s="6" t="s">
        <v>34413</v>
      </c>
      <c r="C5884" s="7">
        <v>730</v>
      </c>
      <c r="D5884" s="8" t="s">
        <v>34414</v>
      </c>
      <c r="E5884" s="8" t="s">
        <v>34415</v>
      </c>
      <c r="F5884" s="8" t="s">
        <v>34416</v>
      </c>
      <c r="G5884" s="6" t="s">
        <v>89</v>
      </c>
      <c r="H5884" s="6" t="s">
        <v>649</v>
      </c>
      <c r="I5884" s="8" t="s">
        <v>116</v>
      </c>
      <c r="J5884" s="9">
        <v>1</v>
      </c>
      <c r="K5884" s="9">
        <v>192</v>
      </c>
      <c r="L5884" s="9">
        <v>2022</v>
      </c>
      <c r="M5884" s="8" t="s">
        <v>34417</v>
      </c>
      <c r="N5884" s="8" t="s">
        <v>79</v>
      </c>
      <c r="O5884" s="8" t="s">
        <v>396</v>
      </c>
      <c r="P5884" s="6" t="s">
        <v>43</v>
      </c>
      <c r="Q5884" s="8" t="s">
        <v>44</v>
      </c>
      <c r="R5884" s="10" t="s">
        <v>34418</v>
      </c>
      <c r="S5884" s="11" t="s">
        <v>34419</v>
      </c>
      <c r="T5884" s="6"/>
      <c r="U5884" s="24" t="str">
        <f>HYPERLINK("https://media.infra-m.ru/1853/1853931/cover/1853931.jpg", "Обложка")</f>
        <v>Обложка</v>
      </c>
      <c r="V5884" s="24" t="str">
        <f>HYPERLINK("https://znanium.ru/catalog/product/2044321", "Ознакомиться")</f>
        <v>Ознакомиться</v>
      </c>
      <c r="W5884" s="8" t="s">
        <v>1571</v>
      </c>
      <c r="X5884" s="6"/>
      <c r="Y5884" s="6"/>
      <c r="Z5884" s="6"/>
      <c r="AA5884" s="6" t="s">
        <v>47</v>
      </c>
      <c r="AB5884" s="8"/>
    </row>
    <row r="5885" spans="1:28" s="4" customFormat="1" ht="42" customHeight="1">
      <c r="A5885" s="5">
        <v>0</v>
      </c>
      <c r="B5885" s="6" t="s">
        <v>34420</v>
      </c>
      <c r="C5885" s="7">
        <v>390</v>
      </c>
      <c r="D5885" s="8" t="s">
        <v>34421</v>
      </c>
      <c r="E5885" s="8" t="s">
        <v>34422</v>
      </c>
      <c r="F5885" s="8" t="s">
        <v>34423</v>
      </c>
      <c r="G5885" s="6" t="s">
        <v>38</v>
      </c>
      <c r="H5885" s="6" t="s">
        <v>53</v>
      </c>
      <c r="I5885" s="8" t="s">
        <v>116</v>
      </c>
      <c r="J5885" s="9">
        <v>1</v>
      </c>
      <c r="K5885" s="9">
        <v>83</v>
      </c>
      <c r="L5885" s="9">
        <v>2024</v>
      </c>
      <c r="M5885" s="8" t="s">
        <v>34424</v>
      </c>
      <c r="N5885" s="8" t="s">
        <v>79</v>
      </c>
      <c r="O5885" s="8" t="s">
        <v>174</v>
      </c>
      <c r="P5885" s="6" t="s">
        <v>43</v>
      </c>
      <c r="Q5885" s="8" t="s">
        <v>44</v>
      </c>
      <c r="R5885" s="10" t="s">
        <v>1134</v>
      </c>
      <c r="S5885" s="11"/>
      <c r="T5885" s="6"/>
      <c r="U5885" s="24" t="str">
        <f>HYPERLINK("https://media.infra-m.ru/2099/2099054/cover/2099054.jpg", "Обложка")</f>
        <v>Обложка</v>
      </c>
      <c r="V5885" s="24" t="str">
        <f>HYPERLINK("https://znanium.ru/catalog/product/2099054", "Ознакомиться")</f>
        <v>Ознакомиться</v>
      </c>
      <c r="W5885" s="8" t="s">
        <v>4776</v>
      </c>
      <c r="X5885" s="6"/>
      <c r="Y5885" s="6"/>
      <c r="Z5885" s="6"/>
      <c r="AA5885" s="6" t="s">
        <v>47</v>
      </c>
      <c r="AB5885" s="8"/>
    </row>
    <row r="5886" spans="1:28" s="4" customFormat="1" ht="42" customHeight="1">
      <c r="A5886" s="5">
        <v>0</v>
      </c>
      <c r="B5886" s="6" t="s">
        <v>34425</v>
      </c>
      <c r="C5886" s="13">
        <v>2190</v>
      </c>
      <c r="D5886" s="8" t="s">
        <v>34426</v>
      </c>
      <c r="E5886" s="8" t="s">
        <v>34427</v>
      </c>
      <c r="F5886" s="8" t="s">
        <v>23203</v>
      </c>
      <c r="G5886" s="6" t="s">
        <v>52</v>
      </c>
      <c r="H5886" s="6" t="s">
        <v>53</v>
      </c>
      <c r="I5886" s="8" t="s">
        <v>90</v>
      </c>
      <c r="J5886" s="9">
        <v>1</v>
      </c>
      <c r="K5886" s="9">
        <v>580</v>
      </c>
      <c r="L5886" s="9">
        <v>2023</v>
      </c>
      <c r="M5886" s="8" t="s">
        <v>34428</v>
      </c>
      <c r="N5886" s="8" t="s">
        <v>79</v>
      </c>
      <c r="O5886" s="8" t="s">
        <v>80</v>
      </c>
      <c r="P5886" s="6" t="s">
        <v>43</v>
      </c>
      <c r="Q5886" s="8" t="s">
        <v>44</v>
      </c>
      <c r="R5886" s="10" t="s">
        <v>34429</v>
      </c>
      <c r="S5886" s="11"/>
      <c r="T5886" s="6"/>
      <c r="U5886" s="24" t="str">
        <f>HYPERLINK("https://media.infra-m.ru/1912/1912429/cover/1912429.jpg", "Обложка")</f>
        <v>Обложка</v>
      </c>
      <c r="V5886" s="24" t="str">
        <f>HYPERLINK("https://znanium.ru/catalog/product/1912429", "Ознакомиться")</f>
        <v>Ознакомиться</v>
      </c>
      <c r="W5886" s="8" t="s">
        <v>450</v>
      </c>
      <c r="X5886" s="6"/>
      <c r="Y5886" s="6"/>
      <c r="Z5886" s="6"/>
      <c r="AA5886" s="6" t="s">
        <v>207</v>
      </c>
      <c r="AB5886" s="8"/>
    </row>
    <row r="5887" spans="1:28" s="4" customFormat="1" ht="51.95" customHeight="1">
      <c r="A5887" s="5">
        <v>0</v>
      </c>
      <c r="B5887" s="6" t="s">
        <v>34430</v>
      </c>
      <c r="C5887" s="13">
        <v>1624</v>
      </c>
      <c r="D5887" s="8" t="s">
        <v>34431</v>
      </c>
      <c r="E5887" s="8" t="s">
        <v>34432</v>
      </c>
      <c r="F5887" s="8" t="s">
        <v>34433</v>
      </c>
      <c r="G5887" s="6" t="s">
        <v>52</v>
      </c>
      <c r="H5887" s="6" t="s">
        <v>53</v>
      </c>
      <c r="I5887" s="8" t="s">
        <v>90</v>
      </c>
      <c r="J5887" s="9">
        <v>1</v>
      </c>
      <c r="K5887" s="9">
        <v>360</v>
      </c>
      <c r="L5887" s="9">
        <v>2023</v>
      </c>
      <c r="M5887" s="8" t="s">
        <v>34434</v>
      </c>
      <c r="N5887" s="8" t="s">
        <v>41</v>
      </c>
      <c r="O5887" s="8" t="s">
        <v>278</v>
      </c>
      <c r="P5887" s="6" t="s">
        <v>937</v>
      </c>
      <c r="Q5887" s="8" t="s">
        <v>44</v>
      </c>
      <c r="R5887" s="10" t="s">
        <v>34435</v>
      </c>
      <c r="S5887" s="11" t="s">
        <v>14733</v>
      </c>
      <c r="T5887" s="6"/>
      <c r="U5887" s="24" t="str">
        <f>HYPERLINK("https://media.infra-m.ru/2006/2006843/cover/2006843.jpg", "Обложка")</f>
        <v>Обложка</v>
      </c>
      <c r="V5887" s="24" t="str">
        <f>HYPERLINK("https://znanium.ru/catalog/product/958467", "Ознакомиться")</f>
        <v>Ознакомиться</v>
      </c>
      <c r="W5887" s="8" t="s">
        <v>14156</v>
      </c>
      <c r="X5887" s="6"/>
      <c r="Y5887" s="6"/>
      <c r="Z5887" s="6"/>
      <c r="AA5887" s="6" t="s">
        <v>258</v>
      </c>
      <c r="AB5887" s="8"/>
    </row>
    <row r="5888" spans="1:28" s="4" customFormat="1" ht="51.95" customHeight="1">
      <c r="A5888" s="5">
        <v>0</v>
      </c>
      <c r="B5888" s="6" t="s">
        <v>34436</v>
      </c>
      <c r="C5888" s="13">
        <v>1480</v>
      </c>
      <c r="D5888" s="8" t="s">
        <v>34437</v>
      </c>
      <c r="E5888" s="8" t="s">
        <v>34438</v>
      </c>
      <c r="F5888" s="8" t="s">
        <v>34439</v>
      </c>
      <c r="G5888" s="6" t="s">
        <v>52</v>
      </c>
      <c r="H5888" s="6" t="s">
        <v>184</v>
      </c>
      <c r="I5888" s="8" t="s">
        <v>2511</v>
      </c>
      <c r="J5888" s="9">
        <v>1</v>
      </c>
      <c r="K5888" s="9">
        <v>281</v>
      </c>
      <c r="L5888" s="9">
        <v>2025</v>
      </c>
      <c r="M5888" s="8" t="s">
        <v>34440</v>
      </c>
      <c r="N5888" s="8" t="s">
        <v>41</v>
      </c>
      <c r="O5888" s="8" t="s">
        <v>676</v>
      </c>
      <c r="P5888" s="6" t="s">
        <v>1046</v>
      </c>
      <c r="Q5888" s="8" t="s">
        <v>1047</v>
      </c>
      <c r="R5888" s="10" t="s">
        <v>34441</v>
      </c>
      <c r="S5888" s="11"/>
      <c r="T5888" s="6"/>
      <c r="U5888" s="24" t="str">
        <f>HYPERLINK("https://media.infra-m.ru/2186/2186182/cover/2186182.jpg", "Обложка")</f>
        <v>Обложка</v>
      </c>
      <c r="V5888" s="24" t="str">
        <f>HYPERLINK("https://znanium.ru/catalog/product/2186182", "Ознакомиться")</f>
        <v>Ознакомиться</v>
      </c>
      <c r="W5888" s="8" t="s">
        <v>4815</v>
      </c>
      <c r="X5888" s="6" t="s">
        <v>2790</v>
      </c>
      <c r="Y5888" s="6"/>
      <c r="Z5888" s="6"/>
      <c r="AA5888" s="6" t="s">
        <v>61</v>
      </c>
      <c r="AB5888" s="8"/>
    </row>
    <row r="5889" spans="1:28" s="4" customFormat="1" ht="51.95" customHeight="1">
      <c r="A5889" s="5">
        <v>0</v>
      </c>
      <c r="B5889" s="6" t="s">
        <v>34442</v>
      </c>
      <c r="C5889" s="13">
        <v>1670</v>
      </c>
      <c r="D5889" s="8" t="s">
        <v>34443</v>
      </c>
      <c r="E5889" s="8" t="s">
        <v>34444</v>
      </c>
      <c r="F5889" s="8" t="s">
        <v>34445</v>
      </c>
      <c r="G5889" s="6" t="s">
        <v>89</v>
      </c>
      <c r="H5889" s="6" t="s">
        <v>53</v>
      </c>
      <c r="I5889" s="8" t="s">
        <v>116</v>
      </c>
      <c r="J5889" s="9">
        <v>1</v>
      </c>
      <c r="K5889" s="9">
        <v>362</v>
      </c>
      <c r="L5889" s="9">
        <v>2024</v>
      </c>
      <c r="M5889" s="8" t="s">
        <v>34446</v>
      </c>
      <c r="N5889" s="8" t="s">
        <v>413</v>
      </c>
      <c r="O5889" s="8" t="s">
        <v>414</v>
      </c>
      <c r="P5889" s="6" t="s">
        <v>43</v>
      </c>
      <c r="Q5889" s="8" t="s">
        <v>44</v>
      </c>
      <c r="R5889" s="10" t="s">
        <v>7726</v>
      </c>
      <c r="S5889" s="11" t="s">
        <v>34447</v>
      </c>
      <c r="T5889" s="6" t="s">
        <v>299</v>
      </c>
      <c r="U5889" s="24" t="str">
        <f>HYPERLINK("https://media.infra-m.ru/2128/2128637/cover/2128637.jpg", "Обложка")</f>
        <v>Обложка</v>
      </c>
      <c r="V5889" s="24" t="str">
        <f>HYPERLINK("https://znanium.ru/catalog/product/2128637", "Ознакомиться")</f>
        <v>Ознакомиться</v>
      </c>
      <c r="W5889" s="8" t="s">
        <v>34448</v>
      </c>
      <c r="X5889" s="6"/>
      <c r="Y5889" s="6"/>
      <c r="Z5889" s="6"/>
      <c r="AA5889" s="6" t="s">
        <v>160</v>
      </c>
      <c r="AB5889" s="8"/>
    </row>
    <row r="5890" spans="1:28" s="4" customFormat="1" ht="51.95" customHeight="1">
      <c r="A5890" s="5">
        <v>0</v>
      </c>
      <c r="B5890" s="6" t="s">
        <v>34449</v>
      </c>
      <c r="C5890" s="13">
        <v>1050</v>
      </c>
      <c r="D5890" s="8" t="s">
        <v>34450</v>
      </c>
      <c r="E5890" s="8" t="s">
        <v>34451</v>
      </c>
      <c r="F5890" s="8" t="s">
        <v>34452</v>
      </c>
      <c r="G5890" s="6" t="s">
        <v>89</v>
      </c>
      <c r="H5890" s="6" t="s">
        <v>53</v>
      </c>
      <c r="I5890" s="8" t="s">
        <v>276</v>
      </c>
      <c r="J5890" s="9">
        <v>1</v>
      </c>
      <c r="K5890" s="9">
        <v>228</v>
      </c>
      <c r="L5890" s="9">
        <v>2023</v>
      </c>
      <c r="M5890" s="8" t="s">
        <v>34453</v>
      </c>
      <c r="N5890" s="8" t="s">
        <v>79</v>
      </c>
      <c r="O5890" s="8" t="s">
        <v>148</v>
      </c>
      <c r="P5890" s="6" t="s">
        <v>43</v>
      </c>
      <c r="Q5890" s="8" t="s">
        <v>279</v>
      </c>
      <c r="R5890" s="10" t="s">
        <v>34454</v>
      </c>
      <c r="S5890" s="11" t="s">
        <v>34455</v>
      </c>
      <c r="T5890" s="6"/>
      <c r="U5890" s="24" t="str">
        <f>HYPERLINK("https://media.infra-m.ru/2126/2126796/cover/2126796.jpg", "Обложка")</f>
        <v>Обложка</v>
      </c>
      <c r="V5890" s="24" t="str">
        <f>HYPERLINK("https://znanium.ru/catalog/product/2126796", "Ознакомиться")</f>
        <v>Ознакомиться</v>
      </c>
      <c r="W5890" s="8"/>
      <c r="X5890" s="6"/>
      <c r="Y5890" s="6"/>
      <c r="Z5890" s="6"/>
      <c r="AA5890" s="6" t="s">
        <v>793</v>
      </c>
      <c r="AB5890" s="8"/>
    </row>
    <row r="5891" spans="1:28" s="4" customFormat="1" ht="51.95" customHeight="1">
      <c r="A5891" s="5">
        <v>0</v>
      </c>
      <c r="B5891" s="6" t="s">
        <v>34456</v>
      </c>
      <c r="C5891" s="7">
        <v>734</v>
      </c>
      <c r="D5891" s="8" t="s">
        <v>34457</v>
      </c>
      <c r="E5891" s="8" t="s">
        <v>34458</v>
      </c>
      <c r="F5891" s="8" t="s">
        <v>34459</v>
      </c>
      <c r="G5891" s="6" t="s">
        <v>38</v>
      </c>
      <c r="H5891" s="6" t="s">
        <v>53</v>
      </c>
      <c r="I5891" s="8" t="s">
        <v>90</v>
      </c>
      <c r="J5891" s="9">
        <v>1</v>
      </c>
      <c r="K5891" s="9">
        <v>158</v>
      </c>
      <c r="L5891" s="9">
        <v>2023</v>
      </c>
      <c r="M5891" s="8" t="s">
        <v>34460</v>
      </c>
      <c r="N5891" s="8" t="s">
        <v>413</v>
      </c>
      <c r="O5891" s="8" t="s">
        <v>414</v>
      </c>
      <c r="P5891" s="6" t="s">
        <v>43</v>
      </c>
      <c r="Q5891" s="8" t="s">
        <v>44</v>
      </c>
      <c r="R5891" s="10" t="s">
        <v>7726</v>
      </c>
      <c r="S5891" s="11" t="s">
        <v>34461</v>
      </c>
      <c r="T5891" s="6"/>
      <c r="U5891" s="24" t="str">
        <f>HYPERLINK("https://media.infra-m.ru/1893/1893978/cover/1893978.jpg", "Обложка")</f>
        <v>Обложка</v>
      </c>
      <c r="V5891" s="24" t="str">
        <f>HYPERLINK("https://znanium.ru/catalog/product/926504", "Ознакомиться")</f>
        <v>Ознакомиться</v>
      </c>
      <c r="W5891" s="8" t="s">
        <v>1571</v>
      </c>
      <c r="X5891" s="6"/>
      <c r="Y5891" s="6"/>
      <c r="Z5891" s="6"/>
      <c r="AA5891" s="6" t="s">
        <v>418</v>
      </c>
      <c r="AB5891" s="8"/>
    </row>
    <row r="5892" spans="1:28" s="4" customFormat="1" ht="51.95" customHeight="1">
      <c r="A5892" s="5">
        <v>0</v>
      </c>
      <c r="B5892" s="6" t="s">
        <v>34462</v>
      </c>
      <c r="C5892" s="7">
        <v>900</v>
      </c>
      <c r="D5892" s="8" t="s">
        <v>34463</v>
      </c>
      <c r="E5892" s="8" t="s">
        <v>34464</v>
      </c>
      <c r="F5892" s="8" t="s">
        <v>34465</v>
      </c>
      <c r="G5892" s="6" t="s">
        <v>89</v>
      </c>
      <c r="H5892" s="6" t="s">
        <v>53</v>
      </c>
      <c r="I5892" s="8" t="s">
        <v>276</v>
      </c>
      <c r="J5892" s="9">
        <v>1</v>
      </c>
      <c r="K5892" s="9">
        <v>195</v>
      </c>
      <c r="L5892" s="9">
        <v>2023</v>
      </c>
      <c r="M5892" s="8" t="s">
        <v>34466</v>
      </c>
      <c r="N5892" s="8" t="s">
        <v>79</v>
      </c>
      <c r="O5892" s="8" t="s">
        <v>424</v>
      </c>
      <c r="P5892" s="6" t="s">
        <v>43</v>
      </c>
      <c r="Q5892" s="8" t="s">
        <v>279</v>
      </c>
      <c r="R5892" s="10" t="s">
        <v>975</v>
      </c>
      <c r="S5892" s="11" t="s">
        <v>34467</v>
      </c>
      <c r="T5892" s="6" t="s">
        <v>299</v>
      </c>
      <c r="U5892" s="24" t="str">
        <f>HYPERLINK("https://media.infra-m.ru/2126/2126642/cover/2126642.jpg", "Обложка")</f>
        <v>Обложка</v>
      </c>
      <c r="V5892" s="24" t="str">
        <f>HYPERLINK("https://znanium.ru/catalog/product/2126642", "Ознакомиться")</f>
        <v>Ознакомиться</v>
      </c>
      <c r="W5892" s="8" t="s">
        <v>8022</v>
      </c>
      <c r="X5892" s="6"/>
      <c r="Y5892" s="6"/>
      <c r="Z5892" s="6"/>
      <c r="AA5892" s="6" t="s">
        <v>219</v>
      </c>
      <c r="AB5892" s="8"/>
    </row>
    <row r="5893" spans="1:28" s="4" customFormat="1" ht="51.95" customHeight="1">
      <c r="A5893" s="5">
        <v>0</v>
      </c>
      <c r="B5893" s="6" t="s">
        <v>34468</v>
      </c>
      <c r="C5893" s="13">
        <v>1130</v>
      </c>
      <c r="D5893" s="8" t="s">
        <v>34469</v>
      </c>
      <c r="E5893" s="8" t="s">
        <v>34470</v>
      </c>
      <c r="F5893" s="8" t="s">
        <v>34471</v>
      </c>
      <c r="G5893" s="6" t="s">
        <v>89</v>
      </c>
      <c r="H5893" s="6" t="s">
        <v>53</v>
      </c>
      <c r="I5893" s="8" t="s">
        <v>116</v>
      </c>
      <c r="J5893" s="9">
        <v>1</v>
      </c>
      <c r="K5893" s="9">
        <v>235</v>
      </c>
      <c r="L5893" s="9">
        <v>2024</v>
      </c>
      <c r="M5893" s="8" t="s">
        <v>34472</v>
      </c>
      <c r="N5893" s="8" t="s">
        <v>413</v>
      </c>
      <c r="O5893" s="8" t="s">
        <v>414</v>
      </c>
      <c r="P5893" s="6" t="s">
        <v>167</v>
      </c>
      <c r="Q5893" s="8" t="s">
        <v>44</v>
      </c>
      <c r="R5893" s="10" t="s">
        <v>12090</v>
      </c>
      <c r="S5893" s="11" t="s">
        <v>34473</v>
      </c>
      <c r="T5893" s="6"/>
      <c r="U5893" s="24" t="str">
        <f>HYPERLINK("https://media.infra-m.ru/2152/2152106/cover/2152106.jpg", "Обложка")</f>
        <v>Обложка</v>
      </c>
      <c r="V5893" s="24" t="str">
        <f>HYPERLINK("https://znanium.ru/catalog/product/2152106", "Ознакомиться")</f>
        <v>Ознакомиться</v>
      </c>
      <c r="W5893" s="8" t="s">
        <v>5142</v>
      </c>
      <c r="X5893" s="6"/>
      <c r="Y5893" s="6"/>
      <c r="Z5893" s="6"/>
      <c r="AA5893" s="6" t="s">
        <v>219</v>
      </c>
      <c r="AB5893" s="8"/>
    </row>
    <row r="5894" spans="1:28" s="4" customFormat="1" ht="51.95" customHeight="1">
      <c r="A5894" s="5">
        <v>0</v>
      </c>
      <c r="B5894" s="6" t="s">
        <v>34474</v>
      </c>
      <c r="C5894" s="13">
        <v>1110</v>
      </c>
      <c r="D5894" s="8" t="s">
        <v>34475</v>
      </c>
      <c r="E5894" s="8" t="s">
        <v>34476</v>
      </c>
      <c r="F5894" s="8" t="s">
        <v>34477</v>
      </c>
      <c r="G5894" s="6" t="s">
        <v>89</v>
      </c>
      <c r="H5894" s="6" t="s">
        <v>53</v>
      </c>
      <c r="I5894" s="8" t="s">
        <v>90</v>
      </c>
      <c r="J5894" s="9">
        <v>1</v>
      </c>
      <c r="K5894" s="9">
        <v>240</v>
      </c>
      <c r="L5894" s="9">
        <v>2023</v>
      </c>
      <c r="M5894" s="8" t="s">
        <v>34478</v>
      </c>
      <c r="N5894" s="8" t="s">
        <v>413</v>
      </c>
      <c r="O5894" s="8" t="s">
        <v>414</v>
      </c>
      <c r="P5894" s="6" t="s">
        <v>43</v>
      </c>
      <c r="Q5894" s="8" t="s">
        <v>44</v>
      </c>
      <c r="R5894" s="10" t="s">
        <v>26176</v>
      </c>
      <c r="S5894" s="11" t="s">
        <v>34479</v>
      </c>
      <c r="T5894" s="6" t="s">
        <v>299</v>
      </c>
      <c r="U5894" s="24" t="str">
        <f>HYPERLINK("https://media.infra-m.ru/2126/2126470/cover/2126470.jpg", "Обложка")</f>
        <v>Обложка</v>
      </c>
      <c r="V5894" s="24" t="str">
        <f>HYPERLINK("https://znanium.ru/catalog/product/2096328", "Ознакомиться")</f>
        <v>Ознакомиться</v>
      </c>
      <c r="W5894" s="8" t="s">
        <v>1505</v>
      </c>
      <c r="X5894" s="6"/>
      <c r="Y5894" s="6"/>
      <c r="Z5894" s="6"/>
      <c r="AA5894" s="6" t="s">
        <v>418</v>
      </c>
      <c r="AB5894" s="8"/>
    </row>
    <row r="5895" spans="1:28" s="4" customFormat="1" ht="51.95" customHeight="1">
      <c r="A5895" s="5">
        <v>0</v>
      </c>
      <c r="B5895" s="6" t="s">
        <v>34480</v>
      </c>
      <c r="C5895" s="13">
        <v>1140</v>
      </c>
      <c r="D5895" s="8" t="s">
        <v>34481</v>
      </c>
      <c r="E5895" s="8" t="s">
        <v>34482</v>
      </c>
      <c r="F5895" s="8" t="s">
        <v>34483</v>
      </c>
      <c r="G5895" s="6" t="s">
        <v>89</v>
      </c>
      <c r="H5895" s="6" t="s">
        <v>53</v>
      </c>
      <c r="I5895" s="8" t="s">
        <v>90</v>
      </c>
      <c r="J5895" s="9">
        <v>1</v>
      </c>
      <c r="K5895" s="9">
        <v>252</v>
      </c>
      <c r="L5895" s="9">
        <v>2023</v>
      </c>
      <c r="M5895" s="8" t="s">
        <v>34484</v>
      </c>
      <c r="N5895" s="8" t="s">
        <v>413</v>
      </c>
      <c r="O5895" s="8" t="s">
        <v>414</v>
      </c>
      <c r="P5895" s="6" t="s">
        <v>43</v>
      </c>
      <c r="Q5895" s="8" t="s">
        <v>44</v>
      </c>
      <c r="R5895" s="10" t="s">
        <v>15089</v>
      </c>
      <c r="S5895" s="11" t="s">
        <v>34485</v>
      </c>
      <c r="T5895" s="6" t="s">
        <v>299</v>
      </c>
      <c r="U5895" s="24" t="str">
        <f>HYPERLINK("https://media.infra-m.ru/1939/1939105/cover/1939105.jpg", "Обложка")</f>
        <v>Обложка</v>
      </c>
      <c r="V5895" s="24" t="str">
        <f>HYPERLINK("https://znanium.ru/catalog/product/1939105", "Ознакомиться")</f>
        <v>Ознакомиться</v>
      </c>
      <c r="W5895" s="8" t="s">
        <v>10299</v>
      </c>
      <c r="X5895" s="6"/>
      <c r="Y5895" s="6"/>
      <c r="Z5895" s="6"/>
      <c r="AA5895" s="6" t="s">
        <v>111</v>
      </c>
      <c r="AB5895" s="8"/>
    </row>
    <row r="5896" spans="1:28" s="4" customFormat="1" ht="51.95" customHeight="1">
      <c r="A5896" s="5">
        <v>0</v>
      </c>
      <c r="B5896" s="6" t="s">
        <v>34486</v>
      </c>
      <c r="C5896" s="13">
        <v>1480</v>
      </c>
      <c r="D5896" s="8" t="s">
        <v>34487</v>
      </c>
      <c r="E5896" s="8" t="s">
        <v>34488</v>
      </c>
      <c r="F5896" s="8" t="s">
        <v>34489</v>
      </c>
      <c r="G5896" s="6" t="s">
        <v>89</v>
      </c>
      <c r="H5896" s="6" t="s">
        <v>53</v>
      </c>
      <c r="I5896" s="8" t="s">
        <v>90</v>
      </c>
      <c r="J5896" s="9">
        <v>1</v>
      </c>
      <c r="K5896" s="9">
        <v>320</v>
      </c>
      <c r="L5896" s="9">
        <v>2023</v>
      </c>
      <c r="M5896" s="8" t="s">
        <v>34490</v>
      </c>
      <c r="N5896" s="8" t="s">
        <v>413</v>
      </c>
      <c r="O5896" s="8" t="s">
        <v>414</v>
      </c>
      <c r="P5896" s="6" t="s">
        <v>167</v>
      </c>
      <c r="Q5896" s="8" t="s">
        <v>44</v>
      </c>
      <c r="R5896" s="10" t="s">
        <v>34491</v>
      </c>
      <c r="S5896" s="11" t="s">
        <v>34492</v>
      </c>
      <c r="T5896" s="6"/>
      <c r="U5896" s="24" t="str">
        <f>HYPERLINK("https://media.infra-m.ru/2127/2127140/cover/2127140.jpg", "Обложка")</f>
        <v>Обложка</v>
      </c>
      <c r="V5896" s="24" t="str">
        <f>HYPERLINK("https://znanium.ru/catalog/product/2127140", "Ознакомиться")</f>
        <v>Ознакомиться</v>
      </c>
      <c r="W5896" s="8" t="s">
        <v>1313</v>
      </c>
      <c r="X5896" s="6"/>
      <c r="Y5896" s="6"/>
      <c r="Z5896" s="6"/>
      <c r="AA5896" s="6" t="s">
        <v>219</v>
      </c>
      <c r="AB5896" s="8"/>
    </row>
    <row r="5897" spans="1:28" s="4" customFormat="1" ht="42" customHeight="1">
      <c r="A5897" s="5">
        <v>0</v>
      </c>
      <c r="B5897" s="6" t="s">
        <v>34493</v>
      </c>
      <c r="C5897" s="13">
        <v>1050</v>
      </c>
      <c r="D5897" s="8" t="s">
        <v>34494</v>
      </c>
      <c r="E5897" s="8" t="s">
        <v>34495</v>
      </c>
      <c r="F5897" s="8" t="s">
        <v>31712</v>
      </c>
      <c r="G5897" s="6" t="s">
        <v>52</v>
      </c>
      <c r="H5897" s="6" t="s">
        <v>53</v>
      </c>
      <c r="I5897" s="8" t="s">
        <v>782</v>
      </c>
      <c r="J5897" s="9">
        <v>1</v>
      </c>
      <c r="K5897" s="9">
        <v>221</v>
      </c>
      <c r="L5897" s="9">
        <v>2024</v>
      </c>
      <c r="M5897" s="8" t="s">
        <v>34496</v>
      </c>
      <c r="N5897" s="8" t="s">
        <v>41</v>
      </c>
      <c r="O5897" s="8" t="s">
        <v>1007</v>
      </c>
      <c r="P5897" s="6" t="s">
        <v>43</v>
      </c>
      <c r="Q5897" s="8" t="s">
        <v>58</v>
      </c>
      <c r="R5897" s="10" t="s">
        <v>34497</v>
      </c>
      <c r="S5897" s="11"/>
      <c r="T5897" s="6"/>
      <c r="U5897" s="24" t="str">
        <f>HYPERLINK("https://media.infra-m.ru/2125/2125124/cover/2125124.jpg", "Обложка")</f>
        <v>Обложка</v>
      </c>
      <c r="V5897" s="12"/>
      <c r="W5897" s="8" t="s">
        <v>784</v>
      </c>
      <c r="X5897" s="6"/>
      <c r="Y5897" s="6"/>
      <c r="Z5897" s="6"/>
      <c r="AA5897" s="6" t="s">
        <v>133</v>
      </c>
      <c r="AB5897" s="8"/>
    </row>
    <row r="5898" spans="1:28" s="4" customFormat="1" ht="51.95" customHeight="1">
      <c r="A5898" s="5">
        <v>0</v>
      </c>
      <c r="B5898" s="6" t="s">
        <v>34498</v>
      </c>
      <c r="C5898" s="7">
        <v>804</v>
      </c>
      <c r="D5898" s="8" t="s">
        <v>34499</v>
      </c>
      <c r="E5898" s="8" t="s">
        <v>34500</v>
      </c>
      <c r="F5898" s="8" t="s">
        <v>34501</v>
      </c>
      <c r="G5898" s="6" t="s">
        <v>38</v>
      </c>
      <c r="H5898" s="6" t="s">
        <v>39</v>
      </c>
      <c r="I5898" s="8" t="s">
        <v>100</v>
      </c>
      <c r="J5898" s="9">
        <v>1</v>
      </c>
      <c r="K5898" s="9">
        <v>160</v>
      </c>
      <c r="L5898" s="9">
        <v>2025</v>
      </c>
      <c r="M5898" s="8" t="s">
        <v>34502</v>
      </c>
      <c r="N5898" s="8" t="s">
        <v>413</v>
      </c>
      <c r="O5898" s="8" t="s">
        <v>414</v>
      </c>
      <c r="P5898" s="6" t="s">
        <v>43</v>
      </c>
      <c r="Q5898" s="8" t="s">
        <v>102</v>
      </c>
      <c r="R5898" s="10" t="s">
        <v>34503</v>
      </c>
      <c r="S5898" s="11" t="s">
        <v>6590</v>
      </c>
      <c r="T5898" s="6"/>
      <c r="U5898" s="24" t="str">
        <f>HYPERLINK("https://media.infra-m.ru/2180/2180047/cover/2180047.jpg", "Обложка")</f>
        <v>Обложка</v>
      </c>
      <c r="V5898" s="24" t="str">
        <f>HYPERLINK("https://znanium.ru/catalog/product/2104837", "Ознакомиться")</f>
        <v>Ознакомиться</v>
      </c>
      <c r="W5898" s="8" t="s">
        <v>83</v>
      </c>
      <c r="X5898" s="6"/>
      <c r="Y5898" s="6"/>
      <c r="Z5898" s="6"/>
      <c r="AA5898" s="6" t="s">
        <v>377</v>
      </c>
      <c r="AB5898" s="8"/>
    </row>
    <row r="5899" spans="1:28" s="4" customFormat="1" ht="51.95" customHeight="1">
      <c r="A5899" s="5">
        <v>0</v>
      </c>
      <c r="B5899" s="6" t="s">
        <v>34504</v>
      </c>
      <c r="C5899" s="13">
        <v>1280</v>
      </c>
      <c r="D5899" s="8" t="s">
        <v>34505</v>
      </c>
      <c r="E5899" s="8" t="s">
        <v>34500</v>
      </c>
      <c r="F5899" s="8" t="s">
        <v>34506</v>
      </c>
      <c r="G5899" s="6" t="s">
        <v>89</v>
      </c>
      <c r="H5899" s="6" t="s">
        <v>53</v>
      </c>
      <c r="I5899" s="8" t="s">
        <v>100</v>
      </c>
      <c r="J5899" s="9">
        <v>1</v>
      </c>
      <c r="K5899" s="9">
        <v>256</v>
      </c>
      <c r="L5899" s="9">
        <v>2025</v>
      </c>
      <c r="M5899" s="8" t="s">
        <v>34507</v>
      </c>
      <c r="N5899" s="8" t="s">
        <v>413</v>
      </c>
      <c r="O5899" s="8" t="s">
        <v>414</v>
      </c>
      <c r="P5899" s="6" t="s">
        <v>167</v>
      </c>
      <c r="Q5899" s="8" t="s">
        <v>102</v>
      </c>
      <c r="R5899" s="10" t="s">
        <v>34508</v>
      </c>
      <c r="S5899" s="11" t="s">
        <v>32928</v>
      </c>
      <c r="T5899" s="6"/>
      <c r="U5899" s="24" t="str">
        <f>HYPERLINK("https://media.infra-m.ru/2169/2169729/cover/2169729.jpg", "Обложка")</f>
        <v>Обложка</v>
      </c>
      <c r="V5899" s="24" t="str">
        <f>HYPERLINK("https://znanium.ru/catalog/product/2084084", "Ознакомиться")</f>
        <v>Ознакомиться</v>
      </c>
      <c r="W5899" s="8" t="s">
        <v>613</v>
      </c>
      <c r="X5899" s="6"/>
      <c r="Y5899" s="6"/>
      <c r="Z5899" s="6"/>
      <c r="AA5899" s="6" t="s">
        <v>1442</v>
      </c>
      <c r="AB5899" s="8"/>
    </row>
    <row r="5900" spans="1:28" s="4" customFormat="1" ht="51.95" customHeight="1">
      <c r="A5900" s="5">
        <v>0</v>
      </c>
      <c r="B5900" s="6" t="s">
        <v>34509</v>
      </c>
      <c r="C5900" s="7">
        <v>780</v>
      </c>
      <c r="D5900" s="8" t="s">
        <v>34510</v>
      </c>
      <c r="E5900" s="8" t="s">
        <v>34511</v>
      </c>
      <c r="F5900" s="8" t="s">
        <v>34512</v>
      </c>
      <c r="G5900" s="6" t="s">
        <v>52</v>
      </c>
      <c r="H5900" s="6" t="s">
        <v>53</v>
      </c>
      <c r="I5900" s="8" t="s">
        <v>1631</v>
      </c>
      <c r="J5900" s="9">
        <v>1</v>
      </c>
      <c r="K5900" s="9">
        <v>153</v>
      </c>
      <c r="L5900" s="9">
        <v>2024</v>
      </c>
      <c r="M5900" s="8" t="s">
        <v>34513</v>
      </c>
      <c r="N5900" s="8" t="s">
        <v>413</v>
      </c>
      <c r="O5900" s="8" t="s">
        <v>414</v>
      </c>
      <c r="P5900" s="6" t="s">
        <v>43</v>
      </c>
      <c r="Q5900" s="8" t="s">
        <v>102</v>
      </c>
      <c r="R5900" s="10" t="s">
        <v>34514</v>
      </c>
      <c r="S5900" s="11" t="s">
        <v>34515</v>
      </c>
      <c r="T5900" s="6"/>
      <c r="U5900" s="24" t="str">
        <f>HYPERLINK("https://media.infra-m.ru/2082/2082734/cover/2082734.jpg", "Обложка")</f>
        <v>Обложка</v>
      </c>
      <c r="V5900" s="24" t="str">
        <f>HYPERLINK("https://znanium.ru/catalog/product/2082734", "Ознакомиться")</f>
        <v>Ознакомиться</v>
      </c>
      <c r="W5900" s="8" t="s">
        <v>716</v>
      </c>
      <c r="X5900" s="6"/>
      <c r="Y5900" s="6"/>
      <c r="Z5900" s="6"/>
      <c r="AA5900" s="6" t="s">
        <v>133</v>
      </c>
      <c r="AB5900" s="8"/>
    </row>
    <row r="5901" spans="1:28" s="4" customFormat="1" ht="51.95" customHeight="1">
      <c r="A5901" s="5">
        <v>0</v>
      </c>
      <c r="B5901" s="6" t="s">
        <v>34516</v>
      </c>
      <c r="C5901" s="7">
        <v>984</v>
      </c>
      <c r="D5901" s="8" t="s">
        <v>34517</v>
      </c>
      <c r="E5901" s="8" t="s">
        <v>34518</v>
      </c>
      <c r="F5901" s="8" t="s">
        <v>34519</v>
      </c>
      <c r="G5901" s="6" t="s">
        <v>89</v>
      </c>
      <c r="H5901" s="6" t="s">
        <v>53</v>
      </c>
      <c r="I5901" s="8" t="s">
        <v>4855</v>
      </c>
      <c r="J5901" s="9">
        <v>1</v>
      </c>
      <c r="K5901" s="9">
        <v>217</v>
      </c>
      <c r="L5901" s="9">
        <v>2023</v>
      </c>
      <c r="M5901" s="8" t="s">
        <v>34520</v>
      </c>
      <c r="N5901" s="8" t="s">
        <v>79</v>
      </c>
      <c r="O5901" s="8" t="s">
        <v>570</v>
      </c>
      <c r="P5901" s="6" t="s">
        <v>43</v>
      </c>
      <c r="Q5901" s="8" t="s">
        <v>44</v>
      </c>
      <c r="R5901" s="10" t="s">
        <v>5296</v>
      </c>
      <c r="S5901" s="11" t="s">
        <v>34521</v>
      </c>
      <c r="T5901" s="6"/>
      <c r="U5901" s="24" t="str">
        <f>HYPERLINK("https://media.infra-m.ru/2006/2006851/cover/2006851.jpg", "Обложка")</f>
        <v>Обложка</v>
      </c>
      <c r="V5901" s="12"/>
      <c r="W5901" s="8" t="s">
        <v>784</v>
      </c>
      <c r="X5901" s="6"/>
      <c r="Y5901" s="6"/>
      <c r="Z5901" s="6"/>
      <c r="AA5901" s="6" t="s">
        <v>151</v>
      </c>
      <c r="AB5901" s="8"/>
    </row>
    <row r="5902" spans="1:28" s="4" customFormat="1" ht="51.95" customHeight="1">
      <c r="A5902" s="5">
        <v>0</v>
      </c>
      <c r="B5902" s="6" t="s">
        <v>34522</v>
      </c>
      <c r="C5902" s="7">
        <v>390</v>
      </c>
      <c r="D5902" s="8" t="s">
        <v>34523</v>
      </c>
      <c r="E5902" s="8" t="s">
        <v>34524</v>
      </c>
      <c r="F5902" s="8" t="s">
        <v>4576</v>
      </c>
      <c r="G5902" s="6" t="s">
        <v>38</v>
      </c>
      <c r="H5902" s="6" t="s">
        <v>53</v>
      </c>
      <c r="I5902" s="8" t="s">
        <v>90</v>
      </c>
      <c r="J5902" s="9">
        <v>1</v>
      </c>
      <c r="K5902" s="9">
        <v>73</v>
      </c>
      <c r="L5902" s="9">
        <v>2023</v>
      </c>
      <c r="M5902" s="8" t="s">
        <v>34525</v>
      </c>
      <c r="N5902" s="8" t="s">
        <v>413</v>
      </c>
      <c r="O5902" s="8" t="s">
        <v>1584</v>
      </c>
      <c r="P5902" s="6" t="s">
        <v>43</v>
      </c>
      <c r="Q5902" s="8" t="s">
        <v>44</v>
      </c>
      <c r="R5902" s="10" t="s">
        <v>1311</v>
      </c>
      <c r="S5902" s="11" t="s">
        <v>24954</v>
      </c>
      <c r="T5902" s="6"/>
      <c r="U5902" s="24" t="str">
        <f>HYPERLINK("https://media.infra-m.ru/2125/2125659/cover/2125659.jpg", "Обложка")</f>
        <v>Обложка</v>
      </c>
      <c r="V5902" s="24" t="str">
        <f>HYPERLINK("https://znanium.ru/catalog/product/2125659", "Ознакомиться")</f>
        <v>Ознакомиться</v>
      </c>
      <c r="W5902" s="8" t="s">
        <v>2122</v>
      </c>
      <c r="X5902" s="6"/>
      <c r="Y5902" s="6"/>
      <c r="Z5902" s="6"/>
      <c r="AA5902" s="6" t="s">
        <v>442</v>
      </c>
      <c r="AB5902" s="8"/>
    </row>
    <row r="5903" spans="1:28" s="4" customFormat="1" ht="51.95" customHeight="1">
      <c r="A5903" s="5">
        <v>0</v>
      </c>
      <c r="B5903" s="6" t="s">
        <v>34526</v>
      </c>
      <c r="C5903" s="7">
        <v>920</v>
      </c>
      <c r="D5903" s="8" t="s">
        <v>34527</v>
      </c>
      <c r="E5903" s="8" t="s">
        <v>34528</v>
      </c>
      <c r="F5903" s="8" t="s">
        <v>20829</v>
      </c>
      <c r="G5903" s="6" t="s">
        <v>89</v>
      </c>
      <c r="H5903" s="6" t="s">
        <v>53</v>
      </c>
      <c r="I5903" s="8" t="s">
        <v>90</v>
      </c>
      <c r="J5903" s="9">
        <v>1</v>
      </c>
      <c r="K5903" s="9">
        <v>202</v>
      </c>
      <c r="L5903" s="9">
        <v>2023</v>
      </c>
      <c r="M5903" s="8" t="s">
        <v>34529</v>
      </c>
      <c r="N5903" s="8" t="s">
        <v>413</v>
      </c>
      <c r="O5903" s="8" t="s">
        <v>414</v>
      </c>
      <c r="P5903" s="6" t="s">
        <v>43</v>
      </c>
      <c r="Q5903" s="8" t="s">
        <v>44</v>
      </c>
      <c r="R5903" s="10" t="s">
        <v>34530</v>
      </c>
      <c r="S5903" s="11" t="s">
        <v>34531</v>
      </c>
      <c r="T5903" s="6"/>
      <c r="U5903" s="24" t="str">
        <f>HYPERLINK("https://media.infra-m.ru/1939/1939106/cover/1939106.jpg", "Обложка")</f>
        <v>Обложка</v>
      </c>
      <c r="V5903" s="24" t="str">
        <f>HYPERLINK("https://znanium.ru/catalog/product/1939106", "Ознакомиться")</f>
        <v>Ознакомиться</v>
      </c>
      <c r="W5903" s="8" t="s">
        <v>10326</v>
      </c>
      <c r="X5903" s="6"/>
      <c r="Y5903" s="6"/>
      <c r="Z5903" s="6"/>
      <c r="AA5903" s="6" t="s">
        <v>1259</v>
      </c>
      <c r="AB5903" s="8"/>
    </row>
    <row r="5904" spans="1:28" s="4" customFormat="1" ht="51.95" customHeight="1">
      <c r="A5904" s="5">
        <v>0</v>
      </c>
      <c r="B5904" s="6" t="s">
        <v>34532</v>
      </c>
      <c r="C5904" s="13">
        <v>1400</v>
      </c>
      <c r="D5904" s="8" t="s">
        <v>34533</v>
      </c>
      <c r="E5904" s="8" t="s">
        <v>34534</v>
      </c>
      <c r="F5904" s="8" t="s">
        <v>34535</v>
      </c>
      <c r="G5904" s="6" t="s">
        <v>89</v>
      </c>
      <c r="H5904" s="6" t="s">
        <v>53</v>
      </c>
      <c r="I5904" s="8" t="s">
        <v>90</v>
      </c>
      <c r="J5904" s="9">
        <v>1</v>
      </c>
      <c r="K5904" s="9">
        <v>304</v>
      </c>
      <c r="L5904" s="9">
        <v>2023</v>
      </c>
      <c r="M5904" s="8" t="s">
        <v>34536</v>
      </c>
      <c r="N5904" s="8" t="s">
        <v>413</v>
      </c>
      <c r="O5904" s="8" t="s">
        <v>414</v>
      </c>
      <c r="P5904" s="6" t="s">
        <v>43</v>
      </c>
      <c r="Q5904" s="8" t="s">
        <v>44</v>
      </c>
      <c r="R5904" s="10" t="s">
        <v>26639</v>
      </c>
      <c r="S5904" s="11" t="s">
        <v>34537</v>
      </c>
      <c r="T5904" s="6"/>
      <c r="U5904" s="24" t="str">
        <f>HYPERLINK("https://media.infra-m.ru/1926/1926304/cover/1926304.jpg", "Обложка")</f>
        <v>Обложка</v>
      </c>
      <c r="V5904" s="24" t="str">
        <f>HYPERLINK("https://znanium.ru/catalog/product/1926304", "Ознакомиться")</f>
        <v>Ознакомиться</v>
      </c>
      <c r="W5904" s="8" t="s">
        <v>4343</v>
      </c>
      <c r="X5904" s="6"/>
      <c r="Y5904" s="6"/>
      <c r="Z5904" s="6"/>
      <c r="AA5904" s="6" t="s">
        <v>47</v>
      </c>
      <c r="AB5904" s="8"/>
    </row>
    <row r="5905" spans="1:28" s="4" customFormat="1" ht="51.95" customHeight="1">
      <c r="A5905" s="5">
        <v>0</v>
      </c>
      <c r="B5905" s="6" t="s">
        <v>34538</v>
      </c>
      <c r="C5905" s="7">
        <v>540</v>
      </c>
      <c r="D5905" s="8" t="s">
        <v>34539</v>
      </c>
      <c r="E5905" s="8" t="s">
        <v>34540</v>
      </c>
      <c r="F5905" s="8" t="s">
        <v>34541</v>
      </c>
      <c r="G5905" s="6" t="s">
        <v>38</v>
      </c>
      <c r="H5905" s="6" t="s">
        <v>53</v>
      </c>
      <c r="I5905" s="8" t="s">
        <v>90</v>
      </c>
      <c r="J5905" s="9">
        <v>1</v>
      </c>
      <c r="K5905" s="9">
        <v>106</v>
      </c>
      <c r="L5905" s="9">
        <v>2023</v>
      </c>
      <c r="M5905" s="8" t="s">
        <v>34542</v>
      </c>
      <c r="N5905" s="8" t="s">
        <v>413</v>
      </c>
      <c r="O5905" s="8" t="s">
        <v>414</v>
      </c>
      <c r="P5905" s="6" t="s">
        <v>43</v>
      </c>
      <c r="Q5905" s="8" t="s">
        <v>44</v>
      </c>
      <c r="R5905" s="10" t="s">
        <v>34543</v>
      </c>
      <c r="S5905" s="11" t="s">
        <v>34544</v>
      </c>
      <c r="T5905" s="6"/>
      <c r="U5905" s="24" t="str">
        <f>HYPERLINK("https://media.infra-m.ru/2127/2127029/cover/2127029.jpg", "Обложка")</f>
        <v>Обложка</v>
      </c>
      <c r="V5905" s="12"/>
      <c r="W5905" s="8" t="s">
        <v>10326</v>
      </c>
      <c r="X5905" s="6"/>
      <c r="Y5905" s="6"/>
      <c r="Z5905" s="6"/>
      <c r="AA5905" s="6" t="s">
        <v>442</v>
      </c>
      <c r="AB5905" s="8"/>
    </row>
    <row r="5906" spans="1:28" s="4" customFormat="1" ht="51.95" customHeight="1">
      <c r="A5906" s="5">
        <v>0</v>
      </c>
      <c r="B5906" s="6" t="s">
        <v>34545</v>
      </c>
      <c r="C5906" s="13">
        <v>1690</v>
      </c>
      <c r="D5906" s="8" t="s">
        <v>34546</v>
      </c>
      <c r="E5906" s="8" t="s">
        <v>34547</v>
      </c>
      <c r="F5906" s="8" t="s">
        <v>34548</v>
      </c>
      <c r="G5906" s="6" t="s">
        <v>89</v>
      </c>
      <c r="H5906" s="6" t="s">
        <v>53</v>
      </c>
      <c r="I5906" s="8" t="s">
        <v>90</v>
      </c>
      <c r="J5906" s="9">
        <v>1</v>
      </c>
      <c r="K5906" s="9">
        <v>372</v>
      </c>
      <c r="L5906" s="9">
        <v>2023</v>
      </c>
      <c r="M5906" s="8" t="s">
        <v>34549</v>
      </c>
      <c r="N5906" s="8" t="s">
        <v>413</v>
      </c>
      <c r="O5906" s="8" t="s">
        <v>414</v>
      </c>
      <c r="P5906" s="6" t="s">
        <v>167</v>
      </c>
      <c r="Q5906" s="8" t="s">
        <v>44</v>
      </c>
      <c r="R5906" s="10" t="s">
        <v>10324</v>
      </c>
      <c r="S5906" s="11" t="s">
        <v>1312</v>
      </c>
      <c r="T5906" s="6"/>
      <c r="U5906" s="24" t="str">
        <f>HYPERLINK("https://media.infra-m.ru/1965/1965760/cover/1965760.jpg", "Обложка")</f>
        <v>Обложка</v>
      </c>
      <c r="V5906" s="24" t="str">
        <f>HYPERLINK("https://znanium.ru/catalog/product/1965760", "Ознакомиться")</f>
        <v>Ознакомиться</v>
      </c>
      <c r="W5906" s="8" t="s">
        <v>1313</v>
      </c>
      <c r="X5906" s="6"/>
      <c r="Y5906" s="6"/>
      <c r="Z5906" s="6"/>
      <c r="AA5906" s="6" t="s">
        <v>219</v>
      </c>
      <c r="AB5906" s="8"/>
    </row>
    <row r="5907" spans="1:28" s="4" customFormat="1" ht="51.95" customHeight="1">
      <c r="A5907" s="5">
        <v>0</v>
      </c>
      <c r="B5907" s="6" t="s">
        <v>34550</v>
      </c>
      <c r="C5907" s="7">
        <v>740</v>
      </c>
      <c r="D5907" s="8" t="s">
        <v>34551</v>
      </c>
      <c r="E5907" s="8" t="s">
        <v>34547</v>
      </c>
      <c r="F5907" s="8" t="s">
        <v>34552</v>
      </c>
      <c r="G5907" s="6" t="s">
        <v>89</v>
      </c>
      <c r="H5907" s="6" t="s">
        <v>53</v>
      </c>
      <c r="I5907" s="8" t="s">
        <v>90</v>
      </c>
      <c r="J5907" s="9">
        <v>1</v>
      </c>
      <c r="K5907" s="9">
        <v>151</v>
      </c>
      <c r="L5907" s="9">
        <v>2023</v>
      </c>
      <c r="M5907" s="8" t="s">
        <v>34553</v>
      </c>
      <c r="N5907" s="8" t="s">
        <v>413</v>
      </c>
      <c r="O5907" s="8" t="s">
        <v>414</v>
      </c>
      <c r="P5907" s="6" t="s">
        <v>43</v>
      </c>
      <c r="Q5907" s="8" t="s">
        <v>44</v>
      </c>
      <c r="R5907" s="10" t="s">
        <v>1311</v>
      </c>
      <c r="S5907" s="11" t="s">
        <v>34554</v>
      </c>
      <c r="T5907" s="6"/>
      <c r="U5907" s="24" t="str">
        <f>HYPERLINK("https://media.infra-m.ru/1893/1893860/cover/1893860.jpg", "Обложка")</f>
        <v>Обложка</v>
      </c>
      <c r="V5907" s="24" t="str">
        <f>HYPERLINK("https://znanium.ru/catalog/product/1893860", "Ознакомиться")</f>
        <v>Ознакомиться</v>
      </c>
      <c r="W5907" s="8" t="s">
        <v>2343</v>
      </c>
      <c r="X5907" s="6"/>
      <c r="Y5907" s="6"/>
      <c r="Z5907" s="6"/>
      <c r="AA5907" s="6" t="s">
        <v>793</v>
      </c>
      <c r="AB5907" s="8"/>
    </row>
    <row r="5908" spans="1:28" s="4" customFormat="1" ht="51.95" customHeight="1">
      <c r="A5908" s="5">
        <v>0</v>
      </c>
      <c r="B5908" s="6" t="s">
        <v>34555</v>
      </c>
      <c r="C5908" s="7">
        <v>680</v>
      </c>
      <c r="D5908" s="8" t="s">
        <v>34556</v>
      </c>
      <c r="E5908" s="8" t="s">
        <v>34557</v>
      </c>
      <c r="F5908" s="8" t="s">
        <v>34558</v>
      </c>
      <c r="G5908" s="6" t="s">
        <v>89</v>
      </c>
      <c r="H5908" s="6" t="s">
        <v>53</v>
      </c>
      <c r="I5908" s="8" t="s">
        <v>100</v>
      </c>
      <c r="J5908" s="9">
        <v>1</v>
      </c>
      <c r="K5908" s="9">
        <v>133</v>
      </c>
      <c r="L5908" s="9">
        <v>2024</v>
      </c>
      <c r="M5908" s="8" t="s">
        <v>34559</v>
      </c>
      <c r="N5908" s="8" t="s">
        <v>41</v>
      </c>
      <c r="O5908" s="8" t="s">
        <v>676</v>
      </c>
      <c r="P5908" s="6" t="s">
        <v>43</v>
      </c>
      <c r="Q5908" s="8" t="s">
        <v>102</v>
      </c>
      <c r="R5908" s="10" t="s">
        <v>256</v>
      </c>
      <c r="S5908" s="11" t="s">
        <v>34560</v>
      </c>
      <c r="T5908" s="6"/>
      <c r="U5908" s="24" t="str">
        <f>HYPERLINK("https://media.infra-m.ru/2125/2125930/cover/2125930.jpg", "Обложка")</f>
        <v>Обложка</v>
      </c>
      <c r="V5908" s="24" t="str">
        <f>HYPERLINK("https://znanium.ru/catalog/product/2125930", "Ознакомиться")</f>
        <v>Ознакомиться</v>
      </c>
      <c r="W5908" s="8" t="s">
        <v>1345</v>
      </c>
      <c r="X5908" s="6"/>
      <c r="Y5908" s="6"/>
      <c r="Z5908" s="6"/>
      <c r="AA5908" s="6" t="s">
        <v>874</v>
      </c>
      <c r="AB5908" s="8"/>
    </row>
    <row r="5909" spans="1:28" s="4" customFormat="1" ht="51.95" customHeight="1">
      <c r="A5909" s="5">
        <v>0</v>
      </c>
      <c r="B5909" s="6" t="s">
        <v>34561</v>
      </c>
      <c r="C5909" s="7">
        <v>694.9</v>
      </c>
      <c r="D5909" s="8" t="s">
        <v>34562</v>
      </c>
      <c r="E5909" s="8" t="s">
        <v>34563</v>
      </c>
      <c r="F5909" s="8" t="s">
        <v>34564</v>
      </c>
      <c r="G5909" s="6" t="s">
        <v>52</v>
      </c>
      <c r="H5909" s="6" t="s">
        <v>649</v>
      </c>
      <c r="I5909" s="8" t="s">
        <v>185</v>
      </c>
      <c r="J5909" s="9">
        <v>1</v>
      </c>
      <c r="K5909" s="9">
        <v>240</v>
      </c>
      <c r="L5909" s="9">
        <v>2018</v>
      </c>
      <c r="M5909" s="8" t="s">
        <v>34565</v>
      </c>
      <c r="N5909" s="8" t="s">
        <v>41</v>
      </c>
      <c r="O5909" s="8" t="s">
        <v>676</v>
      </c>
      <c r="P5909" s="6" t="s">
        <v>43</v>
      </c>
      <c r="Q5909" s="8" t="s">
        <v>102</v>
      </c>
      <c r="R5909" s="10" t="s">
        <v>256</v>
      </c>
      <c r="S5909" s="11" t="s">
        <v>34566</v>
      </c>
      <c r="T5909" s="6"/>
      <c r="U5909" s="24" t="str">
        <f>HYPERLINK("https://media.infra-m.ru/0937/0937327/cover/937327.jpg", "Обложка")</f>
        <v>Обложка</v>
      </c>
      <c r="V5909" s="24" t="str">
        <f>HYPERLINK("https://znanium.ru/catalog/product/2125930", "Ознакомиться")</f>
        <v>Ознакомиться</v>
      </c>
      <c r="W5909" s="8" t="s">
        <v>1345</v>
      </c>
      <c r="X5909" s="6"/>
      <c r="Y5909" s="6"/>
      <c r="Z5909" s="6"/>
      <c r="AA5909" s="6" t="s">
        <v>407</v>
      </c>
      <c r="AB5909" s="8"/>
    </row>
    <row r="5910" spans="1:28" s="4" customFormat="1" ht="51.95" customHeight="1">
      <c r="A5910" s="5">
        <v>0</v>
      </c>
      <c r="B5910" s="6" t="s">
        <v>34567</v>
      </c>
      <c r="C5910" s="13">
        <v>2080</v>
      </c>
      <c r="D5910" s="8" t="s">
        <v>34568</v>
      </c>
      <c r="E5910" s="8" t="s">
        <v>34569</v>
      </c>
      <c r="F5910" s="8" t="s">
        <v>34570</v>
      </c>
      <c r="G5910" s="6" t="s">
        <v>89</v>
      </c>
      <c r="H5910" s="6" t="s">
        <v>649</v>
      </c>
      <c r="I5910" s="8" t="s">
        <v>100</v>
      </c>
      <c r="J5910" s="9">
        <v>1</v>
      </c>
      <c r="K5910" s="9">
        <v>399</v>
      </c>
      <c r="L5910" s="9">
        <v>2025</v>
      </c>
      <c r="M5910" s="8" t="s">
        <v>34571</v>
      </c>
      <c r="N5910" s="8" t="s">
        <v>41</v>
      </c>
      <c r="O5910" s="8" t="s">
        <v>676</v>
      </c>
      <c r="P5910" s="6" t="s">
        <v>167</v>
      </c>
      <c r="Q5910" s="8" t="s">
        <v>102</v>
      </c>
      <c r="R5910" s="10" t="s">
        <v>256</v>
      </c>
      <c r="S5910" s="11" t="s">
        <v>34572</v>
      </c>
      <c r="T5910" s="6"/>
      <c r="U5910" s="24" t="str">
        <f>HYPERLINK("https://media.infra-m.ru/2186/2186175/cover/2186175.jpg", "Обложка")</f>
        <v>Обложка</v>
      </c>
      <c r="V5910" s="24" t="str">
        <f>HYPERLINK("https://znanium.ru/catalog/product/2186175", "Ознакомиться")</f>
        <v>Ознакомиться</v>
      </c>
      <c r="W5910" s="8" t="s">
        <v>792</v>
      </c>
      <c r="X5910" s="6"/>
      <c r="Y5910" s="6"/>
      <c r="Z5910" s="6"/>
      <c r="AA5910" s="6" t="s">
        <v>2202</v>
      </c>
      <c r="AB5910" s="8"/>
    </row>
    <row r="5911" spans="1:28" s="4" customFormat="1" ht="51.95" customHeight="1">
      <c r="A5911" s="5">
        <v>0</v>
      </c>
      <c r="B5911" s="6" t="s">
        <v>34573</v>
      </c>
      <c r="C5911" s="13">
        <v>2684</v>
      </c>
      <c r="D5911" s="8" t="s">
        <v>34574</v>
      </c>
      <c r="E5911" s="8" t="s">
        <v>34575</v>
      </c>
      <c r="F5911" s="8" t="s">
        <v>34576</v>
      </c>
      <c r="G5911" s="6" t="s">
        <v>52</v>
      </c>
      <c r="H5911" s="6" t="s">
        <v>53</v>
      </c>
      <c r="I5911" s="8" t="s">
        <v>212</v>
      </c>
      <c r="J5911" s="9">
        <v>1</v>
      </c>
      <c r="K5911" s="9">
        <v>538</v>
      </c>
      <c r="L5911" s="9">
        <v>2025</v>
      </c>
      <c r="M5911" s="8" t="s">
        <v>34577</v>
      </c>
      <c r="N5911" s="8" t="s">
        <v>41</v>
      </c>
      <c r="O5911" s="8" t="s">
        <v>676</v>
      </c>
      <c r="P5911" s="6" t="s">
        <v>167</v>
      </c>
      <c r="Q5911" s="8" t="s">
        <v>214</v>
      </c>
      <c r="R5911" s="10" t="s">
        <v>34578</v>
      </c>
      <c r="S5911" s="11" t="s">
        <v>34579</v>
      </c>
      <c r="T5911" s="6"/>
      <c r="U5911" s="24" t="str">
        <f>HYPERLINK("https://media.infra-m.ru/2186/2186208/cover/2186208.jpg", "Обложка")</f>
        <v>Обложка</v>
      </c>
      <c r="V5911" s="24" t="str">
        <f>HYPERLINK("https://znanium.ru/catalog/product/2133547", "Ознакомиться")</f>
        <v>Ознакомиться</v>
      </c>
      <c r="W5911" s="8"/>
      <c r="X5911" s="6"/>
      <c r="Y5911" s="6"/>
      <c r="Z5911" s="6"/>
      <c r="AA5911" s="6" t="s">
        <v>235</v>
      </c>
      <c r="AB5911" s="8"/>
    </row>
    <row r="5912" spans="1:28" s="4" customFormat="1" ht="51.95" customHeight="1">
      <c r="A5912" s="5">
        <v>0</v>
      </c>
      <c r="B5912" s="6" t="s">
        <v>34580</v>
      </c>
      <c r="C5912" s="13">
        <v>2634</v>
      </c>
      <c r="D5912" s="8" t="s">
        <v>34581</v>
      </c>
      <c r="E5912" s="8" t="s">
        <v>34582</v>
      </c>
      <c r="F5912" s="8" t="s">
        <v>7134</v>
      </c>
      <c r="G5912" s="6" t="s">
        <v>52</v>
      </c>
      <c r="H5912" s="6" t="s">
        <v>674</v>
      </c>
      <c r="I5912" s="8" t="s">
        <v>7135</v>
      </c>
      <c r="J5912" s="9">
        <v>1</v>
      </c>
      <c r="K5912" s="9">
        <v>528</v>
      </c>
      <c r="L5912" s="9">
        <v>2025</v>
      </c>
      <c r="M5912" s="8" t="s">
        <v>34583</v>
      </c>
      <c r="N5912" s="8" t="s">
        <v>41</v>
      </c>
      <c r="O5912" s="8" t="s">
        <v>676</v>
      </c>
      <c r="P5912" s="6" t="s">
        <v>167</v>
      </c>
      <c r="Q5912" s="8" t="s">
        <v>44</v>
      </c>
      <c r="R5912" s="10" t="s">
        <v>34584</v>
      </c>
      <c r="S5912" s="11" t="s">
        <v>7138</v>
      </c>
      <c r="T5912" s="6"/>
      <c r="U5912" s="24" t="str">
        <f>HYPERLINK("https://media.infra-m.ru/2165/2165978/cover/2165978.jpg", "Обложка")</f>
        <v>Обложка</v>
      </c>
      <c r="V5912" s="24" t="str">
        <f>HYPERLINK("https://znanium.ru/catalog/product/2131423", "Ознакомиться")</f>
        <v>Ознакомиться</v>
      </c>
      <c r="W5912" s="8" t="s">
        <v>7139</v>
      </c>
      <c r="X5912" s="6"/>
      <c r="Y5912" s="6"/>
      <c r="Z5912" s="6"/>
      <c r="AA5912" s="6" t="s">
        <v>10384</v>
      </c>
      <c r="AB5912" s="8"/>
    </row>
    <row r="5913" spans="1:28" s="4" customFormat="1" ht="51.95" customHeight="1">
      <c r="A5913" s="5">
        <v>0</v>
      </c>
      <c r="B5913" s="6" t="s">
        <v>34585</v>
      </c>
      <c r="C5913" s="7">
        <v>604.9</v>
      </c>
      <c r="D5913" s="8" t="s">
        <v>34586</v>
      </c>
      <c r="E5913" s="8" t="s">
        <v>34587</v>
      </c>
      <c r="F5913" s="8" t="s">
        <v>34588</v>
      </c>
      <c r="G5913" s="6" t="s">
        <v>52</v>
      </c>
      <c r="H5913" s="6" t="s">
        <v>53</v>
      </c>
      <c r="I5913" s="8" t="s">
        <v>90</v>
      </c>
      <c r="J5913" s="9">
        <v>1</v>
      </c>
      <c r="K5913" s="9">
        <v>178</v>
      </c>
      <c r="L5913" s="9">
        <v>2020</v>
      </c>
      <c r="M5913" s="8" t="s">
        <v>34589</v>
      </c>
      <c r="N5913" s="8" t="s">
        <v>413</v>
      </c>
      <c r="O5913" s="8" t="s">
        <v>414</v>
      </c>
      <c r="P5913" s="6" t="s">
        <v>43</v>
      </c>
      <c r="Q5913" s="8" t="s">
        <v>44</v>
      </c>
      <c r="R5913" s="10" t="s">
        <v>34590</v>
      </c>
      <c r="S5913" s="11" t="s">
        <v>34591</v>
      </c>
      <c r="T5913" s="6"/>
      <c r="U5913" s="24" t="str">
        <f>HYPERLINK("https://media.infra-m.ru/1045/1045789/cover/1045789.jpg", "Обложка")</f>
        <v>Обложка</v>
      </c>
      <c r="V5913" s="24" t="str">
        <f>HYPERLINK("https://znanium.ru/catalog/product/1093106", "Ознакомиться")</f>
        <v>Ознакомиться</v>
      </c>
      <c r="W5913" s="8" t="s">
        <v>450</v>
      </c>
      <c r="X5913" s="6"/>
      <c r="Y5913" s="6"/>
      <c r="Z5913" s="6"/>
      <c r="AA5913" s="6" t="s">
        <v>151</v>
      </c>
      <c r="AB5913" s="8"/>
    </row>
    <row r="5914" spans="1:28" s="4" customFormat="1" ht="51.95" customHeight="1">
      <c r="A5914" s="5">
        <v>0</v>
      </c>
      <c r="B5914" s="6" t="s">
        <v>34592</v>
      </c>
      <c r="C5914" s="7">
        <v>870</v>
      </c>
      <c r="D5914" s="8" t="s">
        <v>34593</v>
      </c>
      <c r="E5914" s="8" t="s">
        <v>34594</v>
      </c>
      <c r="F5914" s="8" t="s">
        <v>34588</v>
      </c>
      <c r="G5914" s="6" t="s">
        <v>89</v>
      </c>
      <c r="H5914" s="6" t="s">
        <v>53</v>
      </c>
      <c r="I5914" s="8" t="s">
        <v>90</v>
      </c>
      <c r="J5914" s="9">
        <v>1</v>
      </c>
      <c r="K5914" s="9">
        <v>214</v>
      </c>
      <c r="L5914" s="9">
        <v>2022</v>
      </c>
      <c r="M5914" s="8" t="s">
        <v>34595</v>
      </c>
      <c r="N5914" s="8" t="s">
        <v>413</v>
      </c>
      <c r="O5914" s="8" t="s">
        <v>414</v>
      </c>
      <c r="P5914" s="6" t="s">
        <v>43</v>
      </c>
      <c r="Q5914" s="8" t="s">
        <v>44</v>
      </c>
      <c r="R5914" s="10" t="s">
        <v>34590</v>
      </c>
      <c r="S5914" s="11" t="s">
        <v>34591</v>
      </c>
      <c r="T5914" s="6"/>
      <c r="U5914" s="24" t="str">
        <f>HYPERLINK("https://media.infra-m.ru/1093/1093106/cover/1093106.jpg", "Обложка")</f>
        <v>Обложка</v>
      </c>
      <c r="V5914" s="24" t="str">
        <f>HYPERLINK("https://znanium.ru/catalog/product/1093106", "Ознакомиться")</f>
        <v>Ознакомиться</v>
      </c>
      <c r="W5914" s="8" t="s">
        <v>450</v>
      </c>
      <c r="X5914" s="6"/>
      <c r="Y5914" s="6"/>
      <c r="Z5914" s="6"/>
      <c r="AA5914" s="6" t="s">
        <v>513</v>
      </c>
      <c r="AB5914" s="8"/>
    </row>
    <row r="5915" spans="1:28" s="4" customFormat="1" ht="51.95" customHeight="1">
      <c r="A5915" s="5">
        <v>0</v>
      </c>
      <c r="B5915" s="6" t="s">
        <v>34596</v>
      </c>
      <c r="C5915" s="7">
        <v>744</v>
      </c>
      <c r="D5915" s="8" t="s">
        <v>34597</v>
      </c>
      <c r="E5915" s="8" t="s">
        <v>34598</v>
      </c>
      <c r="F5915" s="8" t="s">
        <v>1898</v>
      </c>
      <c r="G5915" s="6" t="s">
        <v>38</v>
      </c>
      <c r="H5915" s="6" t="s">
        <v>53</v>
      </c>
      <c r="I5915" s="8" t="s">
        <v>90</v>
      </c>
      <c r="J5915" s="9">
        <v>1</v>
      </c>
      <c r="K5915" s="9">
        <v>144</v>
      </c>
      <c r="L5915" s="9">
        <v>2025</v>
      </c>
      <c r="M5915" s="8" t="s">
        <v>34599</v>
      </c>
      <c r="N5915" s="8" t="s">
        <v>56</v>
      </c>
      <c r="O5915" s="8" t="s">
        <v>57</v>
      </c>
      <c r="P5915" s="6" t="s">
        <v>43</v>
      </c>
      <c r="Q5915" s="8" t="s">
        <v>44</v>
      </c>
      <c r="R5915" s="10" t="s">
        <v>34600</v>
      </c>
      <c r="S5915" s="11"/>
      <c r="T5915" s="6"/>
      <c r="U5915" s="24" t="str">
        <f>HYPERLINK("https://media.infra-m.ru/2196/2196913/cover/2196913.jpg", "Обложка")</f>
        <v>Обложка</v>
      </c>
      <c r="V5915" s="24" t="str">
        <f>HYPERLINK("https://znanium.ru/catalog/product/2126767", "Ознакомиться")</f>
        <v>Ознакомиться</v>
      </c>
      <c r="W5915" s="8" t="s">
        <v>1703</v>
      </c>
      <c r="X5915" s="6"/>
      <c r="Y5915" s="6"/>
      <c r="Z5915" s="6"/>
      <c r="AA5915" s="6" t="s">
        <v>47</v>
      </c>
      <c r="AB5915" s="8"/>
    </row>
    <row r="5916" spans="1:28" s="4" customFormat="1" ht="51.95" customHeight="1">
      <c r="A5916" s="5">
        <v>0</v>
      </c>
      <c r="B5916" s="6" t="s">
        <v>34601</v>
      </c>
      <c r="C5916" s="7">
        <v>760</v>
      </c>
      <c r="D5916" s="8" t="s">
        <v>34602</v>
      </c>
      <c r="E5916" s="8" t="s">
        <v>34603</v>
      </c>
      <c r="F5916" s="8" t="s">
        <v>32516</v>
      </c>
      <c r="G5916" s="6" t="s">
        <v>52</v>
      </c>
      <c r="H5916" s="6" t="s">
        <v>53</v>
      </c>
      <c r="I5916" s="8" t="s">
        <v>712</v>
      </c>
      <c r="J5916" s="9">
        <v>1</v>
      </c>
      <c r="K5916" s="9">
        <v>164</v>
      </c>
      <c r="L5916" s="9">
        <v>2024</v>
      </c>
      <c r="M5916" s="8" t="s">
        <v>34604</v>
      </c>
      <c r="N5916" s="8" t="s">
        <v>413</v>
      </c>
      <c r="O5916" s="8" t="s">
        <v>414</v>
      </c>
      <c r="P5916" s="6" t="s">
        <v>43</v>
      </c>
      <c r="Q5916" s="8" t="s">
        <v>58</v>
      </c>
      <c r="R5916" s="10" t="s">
        <v>34605</v>
      </c>
      <c r="S5916" s="11" t="s">
        <v>34606</v>
      </c>
      <c r="T5916" s="6"/>
      <c r="U5916" s="24" t="str">
        <f>HYPERLINK("https://media.infra-m.ru/2082/2082638/cover/2082638.jpg", "Обложка")</f>
        <v>Обложка</v>
      </c>
      <c r="V5916" s="24" t="str">
        <f>HYPERLINK("https://znanium.ru/catalog/product/2082638", "Ознакомиться")</f>
        <v>Ознакомиться</v>
      </c>
      <c r="W5916" s="8" t="s">
        <v>716</v>
      </c>
      <c r="X5916" s="6"/>
      <c r="Y5916" s="6"/>
      <c r="Z5916" s="6"/>
      <c r="AA5916" s="6" t="s">
        <v>133</v>
      </c>
      <c r="AB5916" s="8"/>
    </row>
    <row r="5917" spans="1:28" s="4" customFormat="1" ht="51.95" customHeight="1">
      <c r="A5917" s="5">
        <v>0</v>
      </c>
      <c r="B5917" s="6" t="s">
        <v>34607</v>
      </c>
      <c r="C5917" s="13">
        <v>1474</v>
      </c>
      <c r="D5917" s="8" t="s">
        <v>34608</v>
      </c>
      <c r="E5917" s="8" t="s">
        <v>34609</v>
      </c>
      <c r="F5917" s="8" t="s">
        <v>34610</v>
      </c>
      <c r="G5917" s="6" t="s">
        <v>52</v>
      </c>
      <c r="H5917" s="6" t="s">
        <v>39</v>
      </c>
      <c r="I5917" s="8" t="s">
        <v>116</v>
      </c>
      <c r="J5917" s="9">
        <v>1</v>
      </c>
      <c r="K5917" s="9">
        <v>320</v>
      </c>
      <c r="L5917" s="9">
        <v>2024</v>
      </c>
      <c r="M5917" s="8" t="s">
        <v>34611</v>
      </c>
      <c r="N5917" s="8" t="s">
        <v>413</v>
      </c>
      <c r="O5917" s="8" t="s">
        <v>414</v>
      </c>
      <c r="P5917" s="6" t="s">
        <v>167</v>
      </c>
      <c r="Q5917" s="8" t="s">
        <v>44</v>
      </c>
      <c r="R5917" s="10" t="s">
        <v>34612</v>
      </c>
      <c r="S5917" s="11" t="s">
        <v>34613</v>
      </c>
      <c r="T5917" s="6"/>
      <c r="U5917" s="24" t="str">
        <f>HYPERLINK("https://media.infra-m.ru/2130/2130072/cover/2130072.jpg", "Обложка")</f>
        <v>Обложка</v>
      </c>
      <c r="V5917" s="24" t="str">
        <f>HYPERLINK("https://znanium.ru/catalog/product/2130072", "Ознакомиться")</f>
        <v>Ознакомиться</v>
      </c>
      <c r="W5917" s="8" t="s">
        <v>450</v>
      </c>
      <c r="X5917" s="6"/>
      <c r="Y5917" s="6"/>
      <c r="Z5917" s="6"/>
      <c r="AA5917" s="6" t="s">
        <v>160</v>
      </c>
      <c r="AB5917" s="8"/>
    </row>
    <row r="5918" spans="1:28" s="4" customFormat="1" ht="51.95" customHeight="1">
      <c r="A5918" s="5">
        <v>0</v>
      </c>
      <c r="B5918" s="6" t="s">
        <v>34614</v>
      </c>
      <c r="C5918" s="13">
        <v>1844</v>
      </c>
      <c r="D5918" s="8" t="s">
        <v>34615</v>
      </c>
      <c r="E5918" s="8" t="s">
        <v>34616</v>
      </c>
      <c r="F5918" s="8" t="s">
        <v>34617</v>
      </c>
      <c r="G5918" s="6" t="s">
        <v>89</v>
      </c>
      <c r="H5918" s="6" t="s">
        <v>53</v>
      </c>
      <c r="I5918" s="8" t="s">
        <v>90</v>
      </c>
      <c r="J5918" s="9">
        <v>1</v>
      </c>
      <c r="K5918" s="9">
        <v>355</v>
      </c>
      <c r="L5918" s="9">
        <v>2025</v>
      </c>
      <c r="M5918" s="8" t="s">
        <v>34618</v>
      </c>
      <c r="N5918" s="8" t="s">
        <v>413</v>
      </c>
      <c r="O5918" s="8" t="s">
        <v>414</v>
      </c>
      <c r="P5918" s="6" t="s">
        <v>43</v>
      </c>
      <c r="Q5918" s="8" t="s">
        <v>44</v>
      </c>
      <c r="R5918" s="10" t="s">
        <v>34619</v>
      </c>
      <c r="S5918" s="11" t="s">
        <v>34620</v>
      </c>
      <c r="T5918" s="6"/>
      <c r="U5918" s="24" t="str">
        <f>HYPERLINK("https://media.infra-m.ru/2196/2196120/cover/2196120.jpg", "Обложка")</f>
        <v>Обложка</v>
      </c>
      <c r="V5918" s="24" t="str">
        <f>HYPERLINK("https://znanium.ru/catalog/product/1930703", "Ознакомиться")</f>
        <v>Ознакомиться</v>
      </c>
      <c r="W5918" s="8" t="s">
        <v>34621</v>
      </c>
      <c r="X5918" s="6"/>
      <c r="Y5918" s="6"/>
      <c r="Z5918" s="6"/>
      <c r="AA5918" s="6" t="s">
        <v>442</v>
      </c>
      <c r="AB5918" s="8"/>
    </row>
    <row r="5919" spans="1:28" s="4" customFormat="1" ht="51.95" customHeight="1">
      <c r="A5919" s="5">
        <v>0</v>
      </c>
      <c r="B5919" s="6" t="s">
        <v>34622</v>
      </c>
      <c r="C5919" s="13">
        <v>2124</v>
      </c>
      <c r="D5919" s="8" t="s">
        <v>34623</v>
      </c>
      <c r="E5919" s="8" t="s">
        <v>34624</v>
      </c>
      <c r="F5919" s="8" t="s">
        <v>34625</v>
      </c>
      <c r="G5919" s="6" t="s">
        <v>52</v>
      </c>
      <c r="H5919" s="6" t="s">
        <v>53</v>
      </c>
      <c r="I5919" s="8" t="s">
        <v>90</v>
      </c>
      <c r="J5919" s="9">
        <v>1</v>
      </c>
      <c r="K5919" s="9">
        <v>408</v>
      </c>
      <c r="L5919" s="9">
        <v>2025</v>
      </c>
      <c r="M5919" s="8" t="s">
        <v>34626</v>
      </c>
      <c r="N5919" s="8" t="s">
        <v>413</v>
      </c>
      <c r="O5919" s="8" t="s">
        <v>1584</v>
      </c>
      <c r="P5919" s="6" t="s">
        <v>167</v>
      </c>
      <c r="Q5919" s="8" t="s">
        <v>44</v>
      </c>
      <c r="R5919" s="10" t="s">
        <v>1311</v>
      </c>
      <c r="S5919" s="11" t="s">
        <v>34627</v>
      </c>
      <c r="T5919" s="6"/>
      <c r="U5919" s="24" t="str">
        <f>HYPERLINK("https://media.infra-m.ru/2196/2196124/cover/2196124.jpg", "Обложка")</f>
        <v>Обложка</v>
      </c>
      <c r="V5919" s="12"/>
      <c r="W5919" s="8" t="s">
        <v>34628</v>
      </c>
      <c r="X5919" s="6"/>
      <c r="Y5919" s="6"/>
      <c r="Z5919" s="6"/>
      <c r="AA5919" s="6" t="s">
        <v>196</v>
      </c>
      <c r="AB5919" s="8"/>
    </row>
    <row r="5920" spans="1:28" s="4" customFormat="1" ht="51.95" customHeight="1">
      <c r="A5920" s="5">
        <v>0</v>
      </c>
      <c r="B5920" s="6" t="s">
        <v>34629</v>
      </c>
      <c r="C5920" s="13">
        <v>1000</v>
      </c>
      <c r="D5920" s="8" t="s">
        <v>34630</v>
      </c>
      <c r="E5920" s="8" t="s">
        <v>34631</v>
      </c>
      <c r="F5920" s="8" t="s">
        <v>34632</v>
      </c>
      <c r="G5920" s="6" t="s">
        <v>89</v>
      </c>
      <c r="H5920" s="6" t="s">
        <v>39</v>
      </c>
      <c r="I5920" s="8" t="s">
        <v>116</v>
      </c>
      <c r="J5920" s="9">
        <v>1</v>
      </c>
      <c r="K5920" s="9">
        <v>200</v>
      </c>
      <c r="L5920" s="9">
        <v>2024</v>
      </c>
      <c r="M5920" s="8" t="s">
        <v>34633</v>
      </c>
      <c r="N5920" s="8" t="s">
        <v>413</v>
      </c>
      <c r="O5920" s="8" t="s">
        <v>414</v>
      </c>
      <c r="P5920" s="6" t="s">
        <v>43</v>
      </c>
      <c r="Q5920" s="8" t="s">
        <v>44</v>
      </c>
      <c r="R5920" s="10" t="s">
        <v>14672</v>
      </c>
      <c r="S5920" s="11" t="s">
        <v>34634</v>
      </c>
      <c r="T5920" s="6"/>
      <c r="U5920" s="24" t="str">
        <f>HYPERLINK("https://media.infra-m.ru/2087/2087253/cover/2087253.jpg", "Обложка")</f>
        <v>Обложка</v>
      </c>
      <c r="V5920" s="24" t="str">
        <f>HYPERLINK("https://znanium.ru/catalog/product/2087253", "Ознакомиться")</f>
        <v>Ознакомиться</v>
      </c>
      <c r="W5920" s="8" t="s">
        <v>368</v>
      </c>
      <c r="X5920" s="6"/>
      <c r="Y5920" s="6"/>
      <c r="Z5920" s="6"/>
      <c r="AA5920" s="6" t="s">
        <v>84</v>
      </c>
      <c r="AB5920" s="8"/>
    </row>
    <row r="5921" spans="1:28" s="4" customFormat="1" ht="51.95" customHeight="1">
      <c r="A5921" s="5">
        <v>0</v>
      </c>
      <c r="B5921" s="6" t="s">
        <v>34635</v>
      </c>
      <c r="C5921" s="13">
        <v>1524</v>
      </c>
      <c r="D5921" s="8" t="s">
        <v>34636</v>
      </c>
      <c r="E5921" s="8" t="s">
        <v>34637</v>
      </c>
      <c r="F5921" s="8" t="s">
        <v>34638</v>
      </c>
      <c r="G5921" s="6" t="s">
        <v>89</v>
      </c>
      <c r="H5921" s="6" t="s">
        <v>53</v>
      </c>
      <c r="I5921" s="8" t="s">
        <v>116</v>
      </c>
      <c r="J5921" s="9">
        <v>1</v>
      </c>
      <c r="K5921" s="9">
        <v>293</v>
      </c>
      <c r="L5921" s="9">
        <v>2025</v>
      </c>
      <c r="M5921" s="8" t="s">
        <v>34639</v>
      </c>
      <c r="N5921" s="8" t="s">
        <v>413</v>
      </c>
      <c r="O5921" s="8" t="s">
        <v>414</v>
      </c>
      <c r="P5921" s="6" t="s">
        <v>43</v>
      </c>
      <c r="Q5921" s="8" t="s">
        <v>58</v>
      </c>
      <c r="R5921" s="10" t="s">
        <v>7726</v>
      </c>
      <c r="S5921" s="11" t="s">
        <v>34640</v>
      </c>
      <c r="T5921" s="6"/>
      <c r="U5921" s="24" t="str">
        <f>HYPERLINK("https://media.infra-m.ru/2196/2196891/cover/2196891.jpg", "Обложка")</f>
        <v>Обложка</v>
      </c>
      <c r="V5921" s="24" t="str">
        <f>HYPERLINK("https://znanium.ru/catalog/product/1905750", "Ознакомиться")</f>
        <v>Ознакомиться</v>
      </c>
      <c r="W5921" s="8" t="s">
        <v>4343</v>
      </c>
      <c r="X5921" s="6"/>
      <c r="Y5921" s="6"/>
      <c r="Z5921" s="6"/>
      <c r="AA5921" s="6" t="s">
        <v>111</v>
      </c>
      <c r="AB5921" s="8"/>
    </row>
    <row r="5922" spans="1:28" s="4" customFormat="1" ht="51.95" customHeight="1">
      <c r="A5922" s="5">
        <v>0</v>
      </c>
      <c r="B5922" s="6" t="s">
        <v>34641</v>
      </c>
      <c r="C5922" s="13">
        <v>2430</v>
      </c>
      <c r="D5922" s="8" t="s">
        <v>34642</v>
      </c>
      <c r="E5922" s="8" t="s">
        <v>34643</v>
      </c>
      <c r="F5922" s="8" t="s">
        <v>34644</v>
      </c>
      <c r="G5922" s="6" t="s">
        <v>52</v>
      </c>
      <c r="H5922" s="6" t="s">
        <v>53</v>
      </c>
      <c r="I5922" s="8" t="s">
        <v>90</v>
      </c>
      <c r="J5922" s="9">
        <v>1</v>
      </c>
      <c r="K5922" s="9">
        <v>528</v>
      </c>
      <c r="L5922" s="9">
        <v>2024</v>
      </c>
      <c r="M5922" s="8" t="s">
        <v>34645</v>
      </c>
      <c r="N5922" s="8" t="s">
        <v>413</v>
      </c>
      <c r="O5922" s="8" t="s">
        <v>414</v>
      </c>
      <c r="P5922" s="6" t="s">
        <v>167</v>
      </c>
      <c r="Q5922" s="8" t="s">
        <v>44</v>
      </c>
      <c r="R5922" s="10" t="s">
        <v>34646</v>
      </c>
      <c r="S5922" s="11" t="s">
        <v>34647</v>
      </c>
      <c r="T5922" s="6"/>
      <c r="U5922" s="24" t="str">
        <f>HYPERLINK("https://media.infra-m.ru/2125/2125020/cover/2125020.jpg", "Обложка")</f>
        <v>Обложка</v>
      </c>
      <c r="V5922" s="24" t="str">
        <f>HYPERLINK("https://znanium.ru/catalog/product/1904027", "Ознакомиться")</f>
        <v>Ознакомиться</v>
      </c>
      <c r="W5922" s="8" t="s">
        <v>478</v>
      </c>
      <c r="X5922" s="6"/>
      <c r="Y5922" s="6"/>
      <c r="Z5922" s="6"/>
      <c r="AA5922" s="6" t="s">
        <v>160</v>
      </c>
      <c r="AB5922" s="8"/>
    </row>
    <row r="5923" spans="1:28" s="4" customFormat="1" ht="51.95" customHeight="1">
      <c r="A5923" s="5">
        <v>0</v>
      </c>
      <c r="B5923" s="6" t="s">
        <v>34648</v>
      </c>
      <c r="C5923" s="13">
        <v>1854</v>
      </c>
      <c r="D5923" s="8" t="s">
        <v>34649</v>
      </c>
      <c r="E5923" s="8" t="s">
        <v>34650</v>
      </c>
      <c r="F5923" s="8" t="s">
        <v>34651</v>
      </c>
      <c r="G5923" s="6" t="s">
        <v>52</v>
      </c>
      <c r="H5923" s="6" t="s">
        <v>53</v>
      </c>
      <c r="I5923" s="8" t="s">
        <v>90</v>
      </c>
      <c r="J5923" s="9">
        <v>1</v>
      </c>
      <c r="K5923" s="9">
        <v>397</v>
      </c>
      <c r="L5923" s="9">
        <v>2024</v>
      </c>
      <c r="M5923" s="8" t="s">
        <v>34652</v>
      </c>
      <c r="N5923" s="8" t="s">
        <v>413</v>
      </c>
      <c r="O5923" s="8" t="s">
        <v>414</v>
      </c>
      <c r="P5923" s="6" t="s">
        <v>167</v>
      </c>
      <c r="Q5923" s="8" t="s">
        <v>44</v>
      </c>
      <c r="R5923" s="10" t="s">
        <v>34653</v>
      </c>
      <c r="S5923" s="11" t="s">
        <v>34654</v>
      </c>
      <c r="T5923" s="6"/>
      <c r="U5923" s="24" t="str">
        <f>HYPERLINK("https://media.infra-m.ru/2149/2149163/cover/2149163.jpg", "Обложка")</f>
        <v>Обложка</v>
      </c>
      <c r="V5923" s="24" t="str">
        <f>HYPERLINK("https://znanium.ru/catalog/product/2149163", "Ознакомиться")</f>
        <v>Ознакомиться</v>
      </c>
      <c r="W5923" s="8" t="s">
        <v>1151</v>
      </c>
      <c r="X5923" s="6"/>
      <c r="Y5923" s="6"/>
      <c r="Z5923" s="6"/>
      <c r="AA5923" s="6" t="s">
        <v>111</v>
      </c>
      <c r="AB5923" s="8"/>
    </row>
    <row r="5924" spans="1:28" s="4" customFormat="1" ht="51.95" customHeight="1">
      <c r="A5924" s="5">
        <v>0</v>
      </c>
      <c r="B5924" s="6" t="s">
        <v>34655</v>
      </c>
      <c r="C5924" s="13">
        <v>2994</v>
      </c>
      <c r="D5924" s="8" t="s">
        <v>34656</v>
      </c>
      <c r="E5924" s="8" t="s">
        <v>34657</v>
      </c>
      <c r="F5924" s="8" t="s">
        <v>34658</v>
      </c>
      <c r="G5924" s="6" t="s">
        <v>89</v>
      </c>
      <c r="H5924" s="6" t="s">
        <v>53</v>
      </c>
      <c r="I5924" s="8" t="s">
        <v>90</v>
      </c>
      <c r="J5924" s="9">
        <v>1</v>
      </c>
      <c r="K5924" s="9">
        <v>615</v>
      </c>
      <c r="L5924" s="9">
        <v>2025</v>
      </c>
      <c r="M5924" s="8" t="s">
        <v>34659</v>
      </c>
      <c r="N5924" s="8" t="s">
        <v>413</v>
      </c>
      <c r="O5924" s="8" t="s">
        <v>414</v>
      </c>
      <c r="P5924" s="6" t="s">
        <v>167</v>
      </c>
      <c r="Q5924" s="8" t="s">
        <v>44</v>
      </c>
      <c r="R5924" s="10" t="s">
        <v>17398</v>
      </c>
      <c r="S5924" s="11" t="s">
        <v>34660</v>
      </c>
      <c r="T5924" s="6"/>
      <c r="U5924" s="24" t="str">
        <f>HYPERLINK("https://media.infra-m.ru/2178/2178857/cover/2178857.jpg", "Обложка")</f>
        <v>Обложка</v>
      </c>
      <c r="V5924" s="24" t="str">
        <f>HYPERLINK("https://znanium.ru/catalog/product/1914174", "Ознакомиться")</f>
        <v>Ознакомиться</v>
      </c>
      <c r="W5924" s="8" t="s">
        <v>16339</v>
      </c>
      <c r="X5924" s="6"/>
      <c r="Y5924" s="6"/>
      <c r="Z5924" s="6"/>
      <c r="AA5924" s="6" t="s">
        <v>34661</v>
      </c>
      <c r="AB5924" s="8" t="s">
        <v>271</v>
      </c>
    </row>
    <row r="5925" spans="1:28" s="4" customFormat="1" ht="51.95" customHeight="1">
      <c r="A5925" s="5">
        <v>0</v>
      </c>
      <c r="B5925" s="6" t="s">
        <v>34662</v>
      </c>
      <c r="C5925" s="13">
        <v>1480</v>
      </c>
      <c r="D5925" s="8" t="s">
        <v>34663</v>
      </c>
      <c r="E5925" s="8" t="s">
        <v>34650</v>
      </c>
      <c r="F5925" s="8" t="s">
        <v>11095</v>
      </c>
      <c r="G5925" s="6" t="s">
        <v>89</v>
      </c>
      <c r="H5925" s="6" t="s">
        <v>53</v>
      </c>
      <c r="I5925" s="8" t="s">
        <v>90</v>
      </c>
      <c r="J5925" s="9">
        <v>1</v>
      </c>
      <c r="K5925" s="9">
        <v>296</v>
      </c>
      <c r="L5925" s="9">
        <v>2024</v>
      </c>
      <c r="M5925" s="8" t="s">
        <v>34664</v>
      </c>
      <c r="N5925" s="8" t="s">
        <v>413</v>
      </c>
      <c r="O5925" s="8" t="s">
        <v>414</v>
      </c>
      <c r="P5925" s="6" t="s">
        <v>43</v>
      </c>
      <c r="Q5925" s="8" t="s">
        <v>44</v>
      </c>
      <c r="R5925" s="10" t="s">
        <v>17398</v>
      </c>
      <c r="S5925" s="11" t="s">
        <v>34665</v>
      </c>
      <c r="T5925" s="6"/>
      <c r="U5925" s="24" t="str">
        <f>HYPERLINK("https://media.infra-m.ru/2167/2167676/cover/2167676.jpg", "Обложка")</f>
        <v>Обложка</v>
      </c>
      <c r="V5925" s="24" t="str">
        <f>HYPERLINK("https://znanium.ru/catalog/product/2167676", "Ознакомиться")</f>
        <v>Ознакомиться</v>
      </c>
      <c r="W5925" s="8" t="s">
        <v>11097</v>
      </c>
      <c r="X5925" s="6"/>
      <c r="Y5925" s="6"/>
      <c r="Z5925" s="6"/>
      <c r="AA5925" s="6" t="s">
        <v>122</v>
      </c>
      <c r="AB5925" s="8"/>
    </row>
    <row r="5926" spans="1:28" s="4" customFormat="1" ht="51.95" customHeight="1">
      <c r="A5926" s="5">
        <v>0</v>
      </c>
      <c r="B5926" s="6" t="s">
        <v>34666</v>
      </c>
      <c r="C5926" s="13">
        <v>1280</v>
      </c>
      <c r="D5926" s="8" t="s">
        <v>34667</v>
      </c>
      <c r="E5926" s="8" t="s">
        <v>34650</v>
      </c>
      <c r="F5926" s="8" t="s">
        <v>32516</v>
      </c>
      <c r="G5926" s="6" t="s">
        <v>52</v>
      </c>
      <c r="H5926" s="6" t="s">
        <v>53</v>
      </c>
      <c r="I5926" s="8" t="s">
        <v>1631</v>
      </c>
      <c r="J5926" s="9">
        <v>1</v>
      </c>
      <c r="K5926" s="9">
        <v>270</v>
      </c>
      <c r="L5926" s="9">
        <v>2024</v>
      </c>
      <c r="M5926" s="8" t="s">
        <v>34668</v>
      </c>
      <c r="N5926" s="8" t="s">
        <v>413</v>
      </c>
      <c r="O5926" s="8" t="s">
        <v>414</v>
      </c>
      <c r="P5926" s="6" t="s">
        <v>43</v>
      </c>
      <c r="Q5926" s="8" t="s">
        <v>102</v>
      </c>
      <c r="R5926" s="10" t="s">
        <v>34669</v>
      </c>
      <c r="S5926" s="11" t="s">
        <v>34670</v>
      </c>
      <c r="T5926" s="6"/>
      <c r="U5926" s="24" t="str">
        <f>HYPERLINK("https://media.infra-m.ru/2133/2133639/cover/2133639.jpg", "Обложка")</f>
        <v>Обложка</v>
      </c>
      <c r="V5926" s="24" t="str">
        <f>HYPERLINK("https://znanium.ru/catalog/product/2133639", "Ознакомиться")</f>
        <v>Ознакомиться</v>
      </c>
      <c r="W5926" s="8" t="s">
        <v>716</v>
      </c>
      <c r="X5926" s="6"/>
      <c r="Y5926" s="6"/>
      <c r="Z5926" s="6"/>
      <c r="AA5926" s="6" t="s">
        <v>133</v>
      </c>
      <c r="AB5926" s="8"/>
    </row>
    <row r="5927" spans="1:28" s="4" customFormat="1" ht="51.95" customHeight="1">
      <c r="A5927" s="5">
        <v>0</v>
      </c>
      <c r="B5927" s="6" t="s">
        <v>34671</v>
      </c>
      <c r="C5927" s="7">
        <v>650</v>
      </c>
      <c r="D5927" s="8" t="s">
        <v>34672</v>
      </c>
      <c r="E5927" s="8" t="s">
        <v>34650</v>
      </c>
      <c r="F5927" s="8" t="s">
        <v>34673</v>
      </c>
      <c r="G5927" s="6" t="s">
        <v>89</v>
      </c>
      <c r="H5927" s="6" t="s">
        <v>53</v>
      </c>
      <c r="I5927" s="8" t="s">
        <v>90</v>
      </c>
      <c r="J5927" s="9">
        <v>1</v>
      </c>
      <c r="K5927" s="9">
        <v>204</v>
      </c>
      <c r="L5927" s="9">
        <v>2019</v>
      </c>
      <c r="M5927" s="8" t="s">
        <v>34674</v>
      </c>
      <c r="N5927" s="8" t="s">
        <v>413</v>
      </c>
      <c r="O5927" s="8" t="s">
        <v>414</v>
      </c>
      <c r="P5927" s="6" t="s">
        <v>43</v>
      </c>
      <c r="Q5927" s="8" t="s">
        <v>44</v>
      </c>
      <c r="R5927" s="10" t="s">
        <v>23851</v>
      </c>
      <c r="S5927" s="11" t="s">
        <v>23852</v>
      </c>
      <c r="T5927" s="6"/>
      <c r="U5927" s="24" t="str">
        <f>HYPERLINK("https://media.infra-m.ru/1009/1009726/cover/1009726.jpg", "Обложка")</f>
        <v>Обложка</v>
      </c>
      <c r="V5927" s="24" t="str">
        <f>HYPERLINK("https://znanium.ru/catalog/product/2072457", "Ознакомиться")</f>
        <v>Ознакомиться</v>
      </c>
      <c r="W5927" s="8" t="s">
        <v>1587</v>
      </c>
      <c r="X5927" s="6"/>
      <c r="Y5927" s="6"/>
      <c r="Z5927" s="6"/>
      <c r="AA5927" s="6" t="s">
        <v>111</v>
      </c>
      <c r="AB5927" s="8"/>
    </row>
    <row r="5928" spans="1:28" s="4" customFormat="1" ht="51.95" customHeight="1">
      <c r="A5928" s="5">
        <v>0</v>
      </c>
      <c r="B5928" s="6" t="s">
        <v>34675</v>
      </c>
      <c r="C5928" s="13">
        <v>1660</v>
      </c>
      <c r="D5928" s="8" t="s">
        <v>34676</v>
      </c>
      <c r="E5928" s="8" t="s">
        <v>34650</v>
      </c>
      <c r="F5928" s="8" t="s">
        <v>34677</v>
      </c>
      <c r="G5928" s="6" t="s">
        <v>89</v>
      </c>
      <c r="H5928" s="6" t="s">
        <v>53</v>
      </c>
      <c r="I5928" s="8" t="s">
        <v>276</v>
      </c>
      <c r="J5928" s="9">
        <v>1</v>
      </c>
      <c r="K5928" s="9">
        <v>360</v>
      </c>
      <c r="L5928" s="9">
        <v>2024</v>
      </c>
      <c r="M5928" s="8" t="s">
        <v>34678</v>
      </c>
      <c r="N5928" s="8" t="s">
        <v>413</v>
      </c>
      <c r="O5928" s="8" t="s">
        <v>414</v>
      </c>
      <c r="P5928" s="6" t="s">
        <v>43</v>
      </c>
      <c r="Q5928" s="8" t="s">
        <v>44</v>
      </c>
      <c r="R5928" s="10" t="s">
        <v>34679</v>
      </c>
      <c r="S5928" s="11" t="s">
        <v>34680</v>
      </c>
      <c r="T5928" s="6"/>
      <c r="U5928" s="24" t="str">
        <f>HYPERLINK("https://media.infra-m.ru/2126/2126828/cover/2126828.jpg", "Обложка")</f>
        <v>Обложка</v>
      </c>
      <c r="V5928" s="24" t="str">
        <f>HYPERLINK("https://znanium.ru/catalog/product/2126828", "Ознакомиться")</f>
        <v>Ознакомиться</v>
      </c>
      <c r="W5928" s="8" t="s">
        <v>7231</v>
      </c>
      <c r="X5928" s="6"/>
      <c r="Y5928" s="6"/>
      <c r="Z5928" s="6"/>
      <c r="AA5928" s="6" t="s">
        <v>47</v>
      </c>
      <c r="AB5928" s="8"/>
    </row>
    <row r="5929" spans="1:28" s="4" customFormat="1" ht="51.95" customHeight="1">
      <c r="A5929" s="5">
        <v>0</v>
      </c>
      <c r="B5929" s="6" t="s">
        <v>34681</v>
      </c>
      <c r="C5929" s="13">
        <v>2792</v>
      </c>
      <c r="D5929" s="8" t="s">
        <v>34682</v>
      </c>
      <c r="E5929" s="8" t="s">
        <v>34683</v>
      </c>
      <c r="F5929" s="8" t="s">
        <v>34684</v>
      </c>
      <c r="G5929" s="6" t="s">
        <v>52</v>
      </c>
      <c r="H5929" s="6" t="s">
        <v>952</v>
      </c>
      <c r="I5929" s="8"/>
      <c r="J5929" s="9">
        <v>1</v>
      </c>
      <c r="K5929" s="9">
        <v>944</v>
      </c>
      <c r="L5929" s="9">
        <v>2024</v>
      </c>
      <c r="M5929" s="8" t="s">
        <v>34685</v>
      </c>
      <c r="N5929" s="8" t="s">
        <v>413</v>
      </c>
      <c r="O5929" s="8" t="s">
        <v>1141</v>
      </c>
      <c r="P5929" s="6" t="s">
        <v>167</v>
      </c>
      <c r="Q5929" s="8" t="s">
        <v>44</v>
      </c>
      <c r="R5929" s="10" t="s">
        <v>34686</v>
      </c>
      <c r="S5929" s="11"/>
      <c r="T5929" s="6"/>
      <c r="U5929" s="24" t="str">
        <f>HYPERLINK("https://media.infra-m.ru/2121/2121617/cover/2121617.jpg", "Обложка")</f>
        <v>Обложка</v>
      </c>
      <c r="V5929" s="24" t="str">
        <f>HYPERLINK("https://znanium.ru/catalog/product/2121617", "Ознакомиться")</f>
        <v>Ознакомиться</v>
      </c>
      <c r="W5929" s="8" t="s">
        <v>7926</v>
      </c>
      <c r="X5929" s="6"/>
      <c r="Y5929" s="6"/>
      <c r="Z5929" s="6"/>
      <c r="AA5929" s="6" t="s">
        <v>84</v>
      </c>
      <c r="AB5929" s="8"/>
    </row>
    <row r="5930" spans="1:28" s="4" customFormat="1" ht="51.95" customHeight="1">
      <c r="A5930" s="5">
        <v>0</v>
      </c>
      <c r="B5930" s="6" t="s">
        <v>34687</v>
      </c>
      <c r="C5930" s="13">
        <v>1390</v>
      </c>
      <c r="D5930" s="8" t="s">
        <v>34688</v>
      </c>
      <c r="E5930" s="8" t="s">
        <v>34689</v>
      </c>
      <c r="F5930" s="8" t="s">
        <v>34690</v>
      </c>
      <c r="G5930" s="6" t="s">
        <v>89</v>
      </c>
      <c r="H5930" s="6" t="s">
        <v>77</v>
      </c>
      <c r="I5930" s="8" t="s">
        <v>90</v>
      </c>
      <c r="J5930" s="9">
        <v>1</v>
      </c>
      <c r="K5930" s="9">
        <v>257</v>
      </c>
      <c r="L5930" s="9">
        <v>2019</v>
      </c>
      <c r="M5930" s="8" t="s">
        <v>34691</v>
      </c>
      <c r="N5930" s="8" t="s">
        <v>413</v>
      </c>
      <c r="O5930" s="8" t="s">
        <v>1141</v>
      </c>
      <c r="P5930" s="6" t="s">
        <v>167</v>
      </c>
      <c r="Q5930" s="8" t="s">
        <v>44</v>
      </c>
      <c r="R5930" s="10" t="s">
        <v>34692</v>
      </c>
      <c r="S5930" s="11"/>
      <c r="T5930" s="6"/>
      <c r="U5930" s="24" t="str">
        <f>HYPERLINK("https://media.infra-m.ru/1029/1029152/cover/1029152.jpg", "Обложка")</f>
        <v>Обложка</v>
      </c>
      <c r="V5930" s="24" t="str">
        <f>HYPERLINK("https://znanium.ru/catalog/product/1905581", "Ознакомиться")</f>
        <v>Ознакомиться</v>
      </c>
      <c r="W5930" s="8" t="s">
        <v>83</v>
      </c>
      <c r="X5930" s="6"/>
      <c r="Y5930" s="6"/>
      <c r="Z5930" s="6"/>
      <c r="AA5930" s="6" t="s">
        <v>151</v>
      </c>
      <c r="AB5930" s="8"/>
    </row>
    <row r="5931" spans="1:28" s="4" customFormat="1" ht="51.95" customHeight="1">
      <c r="A5931" s="5">
        <v>0</v>
      </c>
      <c r="B5931" s="6" t="s">
        <v>34693</v>
      </c>
      <c r="C5931" s="13">
        <v>1520</v>
      </c>
      <c r="D5931" s="8" t="s">
        <v>34694</v>
      </c>
      <c r="E5931" s="8" t="s">
        <v>34695</v>
      </c>
      <c r="F5931" s="8" t="s">
        <v>34696</v>
      </c>
      <c r="G5931" s="6" t="s">
        <v>89</v>
      </c>
      <c r="H5931" s="6" t="s">
        <v>53</v>
      </c>
      <c r="I5931" s="8" t="s">
        <v>165</v>
      </c>
      <c r="J5931" s="9">
        <v>1</v>
      </c>
      <c r="K5931" s="9">
        <v>300</v>
      </c>
      <c r="L5931" s="9">
        <v>2025</v>
      </c>
      <c r="M5931" s="8" t="s">
        <v>34697</v>
      </c>
      <c r="N5931" s="8" t="s">
        <v>413</v>
      </c>
      <c r="O5931" s="8" t="s">
        <v>1141</v>
      </c>
      <c r="P5931" s="6" t="s">
        <v>167</v>
      </c>
      <c r="Q5931" s="8" t="s">
        <v>279</v>
      </c>
      <c r="R5931" s="10" t="s">
        <v>34698</v>
      </c>
      <c r="S5931" s="11" t="s">
        <v>34699</v>
      </c>
      <c r="T5931" s="6"/>
      <c r="U5931" s="24" t="str">
        <f>HYPERLINK("https://media.infra-m.ru/2186/2186880/cover/2186880.jpg", "Обложка")</f>
        <v>Обложка</v>
      </c>
      <c r="V5931" s="24" t="str">
        <f>HYPERLINK("https://znanium.ru/catalog/product/2186880", "Ознакомиться")</f>
        <v>Ознакомиться</v>
      </c>
      <c r="W5931" s="8" t="s">
        <v>83</v>
      </c>
      <c r="X5931" s="6"/>
      <c r="Y5931" s="6"/>
      <c r="Z5931" s="6"/>
      <c r="AA5931" s="6" t="s">
        <v>793</v>
      </c>
      <c r="AB5931" s="8"/>
    </row>
    <row r="5932" spans="1:28" s="4" customFormat="1" ht="51.95" customHeight="1">
      <c r="A5932" s="5">
        <v>0</v>
      </c>
      <c r="B5932" s="6" t="s">
        <v>34700</v>
      </c>
      <c r="C5932" s="13">
        <v>1934</v>
      </c>
      <c r="D5932" s="8" t="s">
        <v>34701</v>
      </c>
      <c r="E5932" s="8" t="s">
        <v>34702</v>
      </c>
      <c r="F5932" s="8" t="s">
        <v>34690</v>
      </c>
      <c r="G5932" s="6" t="s">
        <v>89</v>
      </c>
      <c r="H5932" s="6" t="s">
        <v>53</v>
      </c>
      <c r="I5932" s="8" t="s">
        <v>116</v>
      </c>
      <c r="J5932" s="9">
        <v>1</v>
      </c>
      <c r="K5932" s="9">
        <v>387</v>
      </c>
      <c r="L5932" s="9">
        <v>2025</v>
      </c>
      <c r="M5932" s="8" t="s">
        <v>34703</v>
      </c>
      <c r="N5932" s="8" t="s">
        <v>413</v>
      </c>
      <c r="O5932" s="8" t="s">
        <v>1141</v>
      </c>
      <c r="P5932" s="6" t="s">
        <v>167</v>
      </c>
      <c r="Q5932" s="8" t="s">
        <v>58</v>
      </c>
      <c r="R5932" s="10" t="s">
        <v>34692</v>
      </c>
      <c r="S5932" s="11" t="s">
        <v>34704</v>
      </c>
      <c r="T5932" s="6"/>
      <c r="U5932" s="24" t="str">
        <f>HYPERLINK("https://media.infra-m.ru/2160/2160914/cover/2160914.jpg", "Обложка")</f>
        <v>Обложка</v>
      </c>
      <c r="V5932" s="24" t="str">
        <f>HYPERLINK("https://znanium.ru/catalog/product/1905581", "Ознакомиться")</f>
        <v>Ознакомиться</v>
      </c>
      <c r="W5932" s="8" t="s">
        <v>83</v>
      </c>
      <c r="X5932" s="6"/>
      <c r="Y5932" s="6"/>
      <c r="Z5932" s="6"/>
      <c r="AA5932" s="6" t="s">
        <v>95</v>
      </c>
      <c r="AB5932" s="8"/>
    </row>
    <row r="5933" spans="1:28" s="4" customFormat="1" ht="42" customHeight="1">
      <c r="A5933" s="5">
        <v>0</v>
      </c>
      <c r="B5933" s="6" t="s">
        <v>34705</v>
      </c>
      <c r="C5933" s="13">
        <v>1514</v>
      </c>
      <c r="D5933" s="8" t="s">
        <v>34706</v>
      </c>
      <c r="E5933" s="8" t="s">
        <v>34707</v>
      </c>
      <c r="F5933" s="8" t="s">
        <v>34708</v>
      </c>
      <c r="G5933" s="6" t="s">
        <v>52</v>
      </c>
      <c r="H5933" s="6" t="s">
        <v>53</v>
      </c>
      <c r="I5933" s="8" t="s">
        <v>90</v>
      </c>
      <c r="J5933" s="9">
        <v>1</v>
      </c>
      <c r="K5933" s="9">
        <v>329</v>
      </c>
      <c r="L5933" s="9">
        <v>2024</v>
      </c>
      <c r="M5933" s="8" t="s">
        <v>34709</v>
      </c>
      <c r="N5933" s="8" t="s">
        <v>413</v>
      </c>
      <c r="O5933" s="8" t="s">
        <v>1141</v>
      </c>
      <c r="P5933" s="6" t="s">
        <v>43</v>
      </c>
      <c r="Q5933" s="8" t="s">
        <v>44</v>
      </c>
      <c r="R5933" s="10" t="s">
        <v>1008</v>
      </c>
      <c r="S5933" s="11"/>
      <c r="T5933" s="6"/>
      <c r="U5933" s="24" t="str">
        <f>HYPERLINK("https://media.infra-m.ru/2086/2086861/cover/2086861.jpg", "Обложка")</f>
        <v>Обложка</v>
      </c>
      <c r="V5933" s="24" t="str">
        <f>HYPERLINK("https://znanium.ru/catalog/product/1228789", "Ознакомиться")</f>
        <v>Ознакомиться</v>
      </c>
      <c r="W5933" s="8" t="s">
        <v>4343</v>
      </c>
      <c r="X5933" s="6"/>
      <c r="Y5933" s="6"/>
      <c r="Z5933" s="6"/>
      <c r="AA5933" s="6" t="s">
        <v>84</v>
      </c>
      <c r="AB5933" s="8"/>
    </row>
    <row r="5934" spans="1:28" s="4" customFormat="1" ht="51.95" customHeight="1">
      <c r="A5934" s="5">
        <v>0</v>
      </c>
      <c r="B5934" s="6" t="s">
        <v>34710</v>
      </c>
      <c r="C5934" s="13">
        <v>1084</v>
      </c>
      <c r="D5934" s="8" t="s">
        <v>34711</v>
      </c>
      <c r="E5934" s="8" t="s">
        <v>34712</v>
      </c>
      <c r="F5934" s="8" t="s">
        <v>12030</v>
      </c>
      <c r="G5934" s="6" t="s">
        <v>38</v>
      </c>
      <c r="H5934" s="6" t="s">
        <v>53</v>
      </c>
      <c r="I5934" s="8" t="s">
        <v>90</v>
      </c>
      <c r="J5934" s="9">
        <v>1</v>
      </c>
      <c r="K5934" s="9">
        <v>216</v>
      </c>
      <c r="L5934" s="9">
        <v>2025</v>
      </c>
      <c r="M5934" s="8" t="s">
        <v>34713</v>
      </c>
      <c r="N5934" s="8" t="s">
        <v>413</v>
      </c>
      <c r="O5934" s="8" t="s">
        <v>1141</v>
      </c>
      <c r="P5934" s="6" t="s">
        <v>43</v>
      </c>
      <c r="Q5934" s="8" t="s">
        <v>44</v>
      </c>
      <c r="R5934" s="10" t="s">
        <v>34714</v>
      </c>
      <c r="S5934" s="11" t="s">
        <v>34715</v>
      </c>
      <c r="T5934" s="6" t="s">
        <v>299</v>
      </c>
      <c r="U5934" s="24" t="str">
        <f>HYPERLINK("https://media.infra-m.ru/2173/2173982/cover/2173982.jpg", "Обложка")</f>
        <v>Обложка</v>
      </c>
      <c r="V5934" s="24" t="str">
        <f>HYPERLINK("https://znanium.ru/catalog/product/1842541", "Ознакомиться")</f>
        <v>Ознакомиться</v>
      </c>
      <c r="W5934" s="8" t="s">
        <v>4228</v>
      </c>
      <c r="X5934" s="6"/>
      <c r="Y5934" s="6"/>
      <c r="Z5934" s="6"/>
      <c r="AA5934" s="6" t="s">
        <v>122</v>
      </c>
      <c r="AB5934" s="8"/>
    </row>
    <row r="5935" spans="1:28" s="4" customFormat="1" ht="51.95" customHeight="1">
      <c r="A5935" s="5">
        <v>0</v>
      </c>
      <c r="B5935" s="6" t="s">
        <v>34716</v>
      </c>
      <c r="C5935" s="7">
        <v>714.9</v>
      </c>
      <c r="D5935" s="8" t="s">
        <v>34717</v>
      </c>
      <c r="E5935" s="8" t="s">
        <v>34718</v>
      </c>
      <c r="F5935" s="8" t="s">
        <v>34719</v>
      </c>
      <c r="G5935" s="6" t="s">
        <v>38</v>
      </c>
      <c r="H5935" s="6" t="s">
        <v>184</v>
      </c>
      <c r="I5935" s="8" t="s">
        <v>90</v>
      </c>
      <c r="J5935" s="9">
        <v>1</v>
      </c>
      <c r="K5935" s="9">
        <v>207</v>
      </c>
      <c r="L5935" s="9">
        <v>2020</v>
      </c>
      <c r="M5935" s="8" t="s">
        <v>34720</v>
      </c>
      <c r="N5935" s="8" t="s">
        <v>413</v>
      </c>
      <c r="O5935" s="8" t="s">
        <v>1141</v>
      </c>
      <c r="P5935" s="6" t="s">
        <v>43</v>
      </c>
      <c r="Q5935" s="8" t="s">
        <v>44</v>
      </c>
      <c r="R5935" s="10" t="s">
        <v>34721</v>
      </c>
      <c r="S5935" s="11"/>
      <c r="T5935" s="6"/>
      <c r="U5935" s="24" t="str">
        <f>HYPERLINK("https://media.infra-m.ru/1045/1045803/cover/1045803.jpg", "Обложка")</f>
        <v>Обложка</v>
      </c>
      <c r="V5935" s="24" t="str">
        <f>HYPERLINK("https://znanium.ru/catalog/product/907587", "Ознакомиться")</f>
        <v>Ознакомиться</v>
      </c>
      <c r="W5935" s="8" t="s">
        <v>10126</v>
      </c>
      <c r="X5935" s="6"/>
      <c r="Y5935" s="6"/>
      <c r="Z5935" s="6"/>
      <c r="AA5935" s="6" t="s">
        <v>151</v>
      </c>
      <c r="AB5935" s="8"/>
    </row>
    <row r="5936" spans="1:28" s="4" customFormat="1" ht="51.95" customHeight="1">
      <c r="A5936" s="5">
        <v>0</v>
      </c>
      <c r="B5936" s="6" t="s">
        <v>34722</v>
      </c>
      <c r="C5936" s="13">
        <v>1274</v>
      </c>
      <c r="D5936" s="8" t="s">
        <v>34723</v>
      </c>
      <c r="E5936" s="8" t="s">
        <v>34724</v>
      </c>
      <c r="F5936" s="8" t="s">
        <v>20866</v>
      </c>
      <c r="G5936" s="6" t="s">
        <v>38</v>
      </c>
      <c r="H5936" s="6" t="s">
        <v>53</v>
      </c>
      <c r="I5936" s="8" t="s">
        <v>90</v>
      </c>
      <c r="J5936" s="9">
        <v>1</v>
      </c>
      <c r="K5936" s="9">
        <v>272</v>
      </c>
      <c r="L5936" s="9">
        <v>2024</v>
      </c>
      <c r="M5936" s="8" t="s">
        <v>34725</v>
      </c>
      <c r="N5936" s="8" t="s">
        <v>413</v>
      </c>
      <c r="O5936" s="8" t="s">
        <v>1141</v>
      </c>
      <c r="P5936" s="6" t="s">
        <v>43</v>
      </c>
      <c r="Q5936" s="8" t="s">
        <v>44</v>
      </c>
      <c r="R5936" s="10" t="s">
        <v>1008</v>
      </c>
      <c r="S5936" s="11" t="s">
        <v>28682</v>
      </c>
      <c r="T5936" s="6"/>
      <c r="U5936" s="24" t="str">
        <f>HYPERLINK("https://media.infra-m.ru/2136/2136851/cover/2136851.jpg", "Обложка")</f>
        <v>Обложка</v>
      </c>
      <c r="V5936" s="24" t="str">
        <f>HYPERLINK("https://znanium.ru/catalog/product/1045602", "Ознакомиться")</f>
        <v>Ознакомиться</v>
      </c>
      <c r="W5936" s="8" t="s">
        <v>1198</v>
      </c>
      <c r="X5936" s="6"/>
      <c r="Y5936" s="6"/>
      <c r="Z5936" s="6"/>
      <c r="AA5936" s="6" t="s">
        <v>644</v>
      </c>
      <c r="AB5936" s="8"/>
    </row>
    <row r="5937" spans="1:28" s="4" customFormat="1" ht="51.95" customHeight="1">
      <c r="A5937" s="5">
        <v>0</v>
      </c>
      <c r="B5937" s="6" t="s">
        <v>34726</v>
      </c>
      <c r="C5937" s="13">
        <v>1250</v>
      </c>
      <c r="D5937" s="8" t="s">
        <v>34727</v>
      </c>
      <c r="E5937" s="8" t="s">
        <v>34728</v>
      </c>
      <c r="F5937" s="8" t="s">
        <v>4127</v>
      </c>
      <c r="G5937" s="6" t="s">
        <v>52</v>
      </c>
      <c r="H5937" s="6" t="s">
        <v>53</v>
      </c>
      <c r="I5937" s="8" t="s">
        <v>2048</v>
      </c>
      <c r="J5937" s="9">
        <v>1</v>
      </c>
      <c r="K5937" s="9">
        <v>223</v>
      </c>
      <c r="L5937" s="9">
        <v>2025</v>
      </c>
      <c r="M5937" s="8" t="s">
        <v>34729</v>
      </c>
      <c r="N5937" s="8" t="s">
        <v>413</v>
      </c>
      <c r="O5937" s="8" t="s">
        <v>1141</v>
      </c>
      <c r="P5937" s="6" t="s">
        <v>43</v>
      </c>
      <c r="Q5937" s="8" t="s">
        <v>58</v>
      </c>
      <c r="R5937" s="10" t="s">
        <v>1265</v>
      </c>
      <c r="S5937" s="11"/>
      <c r="T5937" s="6"/>
      <c r="U5937" s="24" t="str">
        <f>HYPERLINK("https://media.infra-m.ru/2145/2145221/cover/2145221.jpg", "Обложка")</f>
        <v>Обложка</v>
      </c>
      <c r="V5937" s="24" t="str">
        <f>HYPERLINK("https://znanium.ru/catalog/product/2145221", "Ознакомиться")</f>
        <v>Ознакомиться</v>
      </c>
      <c r="W5937" s="8" t="s">
        <v>189</v>
      </c>
      <c r="X5937" s="6" t="s">
        <v>60</v>
      </c>
      <c r="Y5937" s="6"/>
      <c r="Z5937" s="6"/>
      <c r="AA5937" s="6" t="s">
        <v>61</v>
      </c>
      <c r="AB5937" s="8"/>
    </row>
    <row r="5938" spans="1:28" s="4" customFormat="1" ht="51.95" customHeight="1">
      <c r="A5938" s="5">
        <v>0</v>
      </c>
      <c r="B5938" s="6" t="s">
        <v>34730</v>
      </c>
      <c r="C5938" s="7">
        <v>220</v>
      </c>
      <c r="D5938" s="8" t="s">
        <v>34731</v>
      </c>
      <c r="E5938" s="8" t="s">
        <v>34728</v>
      </c>
      <c r="F5938" s="8" t="s">
        <v>12422</v>
      </c>
      <c r="G5938" s="6" t="s">
        <v>38</v>
      </c>
      <c r="H5938" s="6" t="s">
        <v>184</v>
      </c>
      <c r="I5938" s="8" t="s">
        <v>3267</v>
      </c>
      <c r="J5938" s="9">
        <v>1</v>
      </c>
      <c r="K5938" s="9">
        <v>48</v>
      </c>
      <c r="L5938" s="9">
        <v>2023</v>
      </c>
      <c r="M5938" s="8" t="s">
        <v>34732</v>
      </c>
      <c r="N5938" s="8" t="s">
        <v>413</v>
      </c>
      <c r="O5938" s="8" t="s">
        <v>1141</v>
      </c>
      <c r="P5938" s="6" t="s">
        <v>43</v>
      </c>
      <c r="Q5938" s="8" t="s">
        <v>44</v>
      </c>
      <c r="R5938" s="10" t="s">
        <v>17321</v>
      </c>
      <c r="S5938" s="11"/>
      <c r="T5938" s="6"/>
      <c r="U5938" s="24" t="str">
        <f>HYPERLINK("https://media.infra-m.ru/1918/1918517/cover/1918517.jpg", "Обложка")</f>
        <v>Обложка</v>
      </c>
      <c r="V5938" s="24" t="str">
        <f>HYPERLINK("https://znanium.ru/catalog/product/1918517", "Ознакомиться")</f>
        <v>Ознакомиться</v>
      </c>
      <c r="W5938" s="8" t="s">
        <v>4161</v>
      </c>
      <c r="X5938" s="6"/>
      <c r="Y5938" s="6"/>
      <c r="Z5938" s="6"/>
      <c r="AA5938" s="6" t="s">
        <v>3065</v>
      </c>
      <c r="AB5938" s="8"/>
    </row>
    <row r="5939" spans="1:28" s="4" customFormat="1" ht="51.95" customHeight="1">
      <c r="A5939" s="5">
        <v>0</v>
      </c>
      <c r="B5939" s="6" t="s">
        <v>34733</v>
      </c>
      <c r="C5939" s="7">
        <v>994.9</v>
      </c>
      <c r="D5939" s="8" t="s">
        <v>34734</v>
      </c>
      <c r="E5939" s="8" t="s">
        <v>34735</v>
      </c>
      <c r="F5939" s="8" t="s">
        <v>8706</v>
      </c>
      <c r="G5939" s="6" t="s">
        <v>89</v>
      </c>
      <c r="H5939" s="6" t="s">
        <v>53</v>
      </c>
      <c r="I5939" s="8" t="s">
        <v>90</v>
      </c>
      <c r="J5939" s="9">
        <v>1</v>
      </c>
      <c r="K5939" s="9">
        <v>221</v>
      </c>
      <c r="L5939" s="9">
        <v>2023</v>
      </c>
      <c r="M5939" s="8" t="s">
        <v>34736</v>
      </c>
      <c r="N5939" s="8" t="s">
        <v>413</v>
      </c>
      <c r="O5939" s="8" t="s">
        <v>1141</v>
      </c>
      <c r="P5939" s="6" t="s">
        <v>167</v>
      </c>
      <c r="Q5939" s="8" t="s">
        <v>44</v>
      </c>
      <c r="R5939" s="10" t="s">
        <v>34737</v>
      </c>
      <c r="S5939" s="11" t="s">
        <v>34738</v>
      </c>
      <c r="T5939" s="6"/>
      <c r="U5939" s="24" t="str">
        <f>HYPERLINK("https://media.infra-m.ru/2006/2006920/cover/2006920.jpg", "Обложка")</f>
        <v>Обложка</v>
      </c>
      <c r="V5939" s="24" t="str">
        <f>HYPERLINK("https://znanium.ru/catalog/product/1096421", "Ознакомиться")</f>
        <v>Ознакомиться</v>
      </c>
      <c r="W5939" s="8" t="s">
        <v>8709</v>
      </c>
      <c r="X5939" s="6"/>
      <c r="Y5939" s="6"/>
      <c r="Z5939" s="6"/>
      <c r="AA5939" s="6" t="s">
        <v>95</v>
      </c>
      <c r="AB5939" s="8"/>
    </row>
    <row r="5940" spans="1:28" s="4" customFormat="1" ht="51.95" customHeight="1">
      <c r="A5940" s="5">
        <v>0</v>
      </c>
      <c r="B5940" s="6" t="s">
        <v>34739</v>
      </c>
      <c r="C5940" s="7">
        <v>700</v>
      </c>
      <c r="D5940" s="8" t="s">
        <v>34740</v>
      </c>
      <c r="E5940" s="8" t="s">
        <v>34741</v>
      </c>
      <c r="F5940" s="8" t="s">
        <v>8706</v>
      </c>
      <c r="G5940" s="6" t="s">
        <v>52</v>
      </c>
      <c r="H5940" s="6" t="s">
        <v>53</v>
      </c>
      <c r="I5940" s="8" t="s">
        <v>90</v>
      </c>
      <c r="J5940" s="9">
        <v>1</v>
      </c>
      <c r="K5940" s="9">
        <v>216</v>
      </c>
      <c r="L5940" s="9">
        <v>2019</v>
      </c>
      <c r="M5940" s="8" t="s">
        <v>34742</v>
      </c>
      <c r="N5940" s="8" t="s">
        <v>413</v>
      </c>
      <c r="O5940" s="8" t="s">
        <v>1141</v>
      </c>
      <c r="P5940" s="6" t="s">
        <v>167</v>
      </c>
      <c r="Q5940" s="8" t="s">
        <v>44</v>
      </c>
      <c r="R5940" s="10" t="s">
        <v>34737</v>
      </c>
      <c r="S5940" s="11" t="s">
        <v>34738</v>
      </c>
      <c r="T5940" s="6"/>
      <c r="U5940" s="24" t="str">
        <f>HYPERLINK("https://media.infra-m.ru/0945/0945612/cover/945612.jpg", "Обложка")</f>
        <v>Обложка</v>
      </c>
      <c r="V5940" s="24" t="str">
        <f>HYPERLINK("https://znanium.ru/catalog/product/1096421", "Ознакомиться")</f>
        <v>Ознакомиться</v>
      </c>
      <c r="W5940" s="8" t="s">
        <v>8709</v>
      </c>
      <c r="X5940" s="6"/>
      <c r="Y5940" s="6"/>
      <c r="Z5940" s="6"/>
      <c r="AA5940" s="6" t="s">
        <v>258</v>
      </c>
      <c r="AB5940" s="8"/>
    </row>
    <row r="5941" spans="1:28" s="4" customFormat="1" ht="51.95" customHeight="1">
      <c r="A5941" s="5">
        <v>0</v>
      </c>
      <c r="B5941" s="6" t="s">
        <v>34743</v>
      </c>
      <c r="C5941" s="13">
        <v>1250</v>
      </c>
      <c r="D5941" s="8" t="s">
        <v>34744</v>
      </c>
      <c r="E5941" s="8" t="s">
        <v>34745</v>
      </c>
      <c r="F5941" s="8" t="s">
        <v>34746</v>
      </c>
      <c r="G5941" s="6" t="s">
        <v>52</v>
      </c>
      <c r="H5941" s="6" t="s">
        <v>53</v>
      </c>
      <c r="I5941" s="8" t="s">
        <v>90</v>
      </c>
      <c r="J5941" s="9">
        <v>1</v>
      </c>
      <c r="K5941" s="9">
        <v>236</v>
      </c>
      <c r="L5941" s="9">
        <v>2023</v>
      </c>
      <c r="M5941" s="8" t="s">
        <v>34747</v>
      </c>
      <c r="N5941" s="8" t="s">
        <v>413</v>
      </c>
      <c r="O5941" s="8" t="s">
        <v>1141</v>
      </c>
      <c r="P5941" s="6" t="s">
        <v>43</v>
      </c>
      <c r="Q5941" s="8" t="s">
        <v>44</v>
      </c>
      <c r="R5941" s="10" t="s">
        <v>34748</v>
      </c>
      <c r="S5941" s="11"/>
      <c r="T5941" s="6" t="s">
        <v>299</v>
      </c>
      <c r="U5941" s="24" t="str">
        <f>HYPERLINK("https://media.infra-m.ru/1732/1732940/cover/1732940.jpg", "Обложка")</f>
        <v>Обложка</v>
      </c>
      <c r="V5941" s="24" t="str">
        <f>HYPERLINK("https://znanium.ru/catalog/product/1732940", "Ознакомиться")</f>
        <v>Ознакомиться</v>
      </c>
      <c r="W5941" s="8" t="s">
        <v>1198</v>
      </c>
      <c r="X5941" s="6"/>
      <c r="Y5941" s="6"/>
      <c r="Z5941" s="6"/>
      <c r="AA5941" s="6" t="s">
        <v>207</v>
      </c>
      <c r="AB5941" s="8"/>
    </row>
    <row r="5942" spans="1:28" s="4" customFormat="1" ht="51.95" customHeight="1">
      <c r="A5942" s="5">
        <v>0</v>
      </c>
      <c r="B5942" s="6" t="s">
        <v>34749</v>
      </c>
      <c r="C5942" s="13">
        <v>1244</v>
      </c>
      <c r="D5942" s="8" t="s">
        <v>34750</v>
      </c>
      <c r="E5942" s="8" t="s">
        <v>34751</v>
      </c>
      <c r="F5942" s="8" t="s">
        <v>1195</v>
      </c>
      <c r="G5942" s="6" t="s">
        <v>89</v>
      </c>
      <c r="H5942" s="6" t="s">
        <v>184</v>
      </c>
      <c r="I5942" s="8"/>
      <c r="J5942" s="9">
        <v>1</v>
      </c>
      <c r="K5942" s="9">
        <v>239</v>
      </c>
      <c r="L5942" s="9">
        <v>2025</v>
      </c>
      <c r="M5942" s="8" t="s">
        <v>34752</v>
      </c>
      <c r="N5942" s="8" t="s">
        <v>41</v>
      </c>
      <c r="O5942" s="8" t="s">
        <v>1007</v>
      </c>
      <c r="P5942" s="6" t="s">
        <v>167</v>
      </c>
      <c r="Q5942" s="8" t="s">
        <v>102</v>
      </c>
      <c r="R5942" s="10" t="s">
        <v>34753</v>
      </c>
      <c r="S5942" s="11"/>
      <c r="T5942" s="6"/>
      <c r="U5942" s="24" t="str">
        <f>HYPERLINK("https://media.infra-m.ru/2181/2181278/cover/2181278.jpg", "Обложка")</f>
        <v>Обложка</v>
      </c>
      <c r="V5942" s="24" t="str">
        <f>HYPERLINK("https://znanium.ru/catalog/product/2125912", "Ознакомиться")</f>
        <v>Ознакомиться</v>
      </c>
      <c r="W5942" s="8" t="s">
        <v>1198</v>
      </c>
      <c r="X5942" s="6"/>
      <c r="Y5942" s="6"/>
      <c r="Z5942" s="6"/>
      <c r="AA5942" s="6" t="s">
        <v>151</v>
      </c>
      <c r="AB5942" s="8"/>
    </row>
    <row r="5943" spans="1:28" s="4" customFormat="1" ht="51.95" customHeight="1">
      <c r="A5943" s="5">
        <v>0</v>
      </c>
      <c r="B5943" s="6" t="s">
        <v>34754</v>
      </c>
      <c r="C5943" s="13">
        <v>1854</v>
      </c>
      <c r="D5943" s="8" t="s">
        <v>34755</v>
      </c>
      <c r="E5943" s="8" t="s">
        <v>34756</v>
      </c>
      <c r="F5943" s="8" t="s">
        <v>34757</v>
      </c>
      <c r="G5943" s="6" t="s">
        <v>52</v>
      </c>
      <c r="H5943" s="6" t="s">
        <v>53</v>
      </c>
      <c r="I5943" s="8" t="s">
        <v>116</v>
      </c>
      <c r="J5943" s="9">
        <v>1</v>
      </c>
      <c r="K5943" s="9">
        <v>404</v>
      </c>
      <c r="L5943" s="9">
        <v>2024</v>
      </c>
      <c r="M5943" s="8" t="s">
        <v>34758</v>
      </c>
      <c r="N5943" s="8" t="s">
        <v>41</v>
      </c>
      <c r="O5943" s="8" t="s">
        <v>1007</v>
      </c>
      <c r="P5943" s="6" t="s">
        <v>167</v>
      </c>
      <c r="Q5943" s="8" t="s">
        <v>44</v>
      </c>
      <c r="R5943" s="10" t="s">
        <v>34759</v>
      </c>
      <c r="S5943" s="11" t="s">
        <v>23610</v>
      </c>
      <c r="T5943" s="6"/>
      <c r="U5943" s="24" t="str">
        <f>HYPERLINK("https://media.infra-m.ru/2054/2054982/cover/2054982.jpg", "Обложка")</f>
        <v>Обложка</v>
      </c>
      <c r="V5943" s="24" t="str">
        <f>HYPERLINK("https://znanium.ru/catalog/product/2054982", "Ознакомиться")</f>
        <v>Ознакомиться</v>
      </c>
      <c r="W5943" s="8" t="s">
        <v>16537</v>
      </c>
      <c r="X5943" s="6"/>
      <c r="Y5943" s="6"/>
      <c r="Z5943" s="6"/>
      <c r="AA5943" s="6" t="s">
        <v>326</v>
      </c>
      <c r="AB5943" s="8"/>
    </row>
    <row r="5944" spans="1:28" s="4" customFormat="1" ht="51.95" customHeight="1">
      <c r="A5944" s="5">
        <v>0</v>
      </c>
      <c r="B5944" s="6" t="s">
        <v>34760</v>
      </c>
      <c r="C5944" s="7">
        <v>844.9</v>
      </c>
      <c r="D5944" s="8" t="s">
        <v>34761</v>
      </c>
      <c r="E5944" s="8" t="s">
        <v>34762</v>
      </c>
      <c r="F5944" s="8" t="s">
        <v>34757</v>
      </c>
      <c r="G5944" s="6" t="s">
        <v>52</v>
      </c>
      <c r="H5944" s="6" t="s">
        <v>53</v>
      </c>
      <c r="I5944" s="8" t="s">
        <v>116</v>
      </c>
      <c r="J5944" s="9">
        <v>1</v>
      </c>
      <c r="K5944" s="9">
        <v>384</v>
      </c>
      <c r="L5944" s="9">
        <v>2016</v>
      </c>
      <c r="M5944" s="8" t="s">
        <v>34763</v>
      </c>
      <c r="N5944" s="8" t="s">
        <v>41</v>
      </c>
      <c r="O5944" s="8" t="s">
        <v>1007</v>
      </c>
      <c r="P5944" s="6" t="s">
        <v>167</v>
      </c>
      <c r="Q5944" s="8" t="s">
        <v>44</v>
      </c>
      <c r="R5944" s="10" t="s">
        <v>34759</v>
      </c>
      <c r="S5944" s="11" t="s">
        <v>34764</v>
      </c>
      <c r="T5944" s="6"/>
      <c r="U5944" s="24" t="str">
        <f>HYPERLINK("https://media.infra-m.ru/0553/0553004/cover/553004.jpg", "Обложка")</f>
        <v>Обложка</v>
      </c>
      <c r="V5944" s="24" t="str">
        <f>HYPERLINK("https://znanium.ru/catalog/product/2054982", "Ознакомиться")</f>
        <v>Ознакомиться</v>
      </c>
      <c r="W5944" s="8" t="s">
        <v>16537</v>
      </c>
      <c r="X5944" s="6"/>
      <c r="Y5944" s="6"/>
      <c r="Z5944" s="6"/>
      <c r="AA5944" s="6" t="s">
        <v>555</v>
      </c>
      <c r="AB5944" s="8"/>
    </row>
    <row r="5945" spans="1:28" s="4" customFormat="1" ht="51.95" customHeight="1">
      <c r="A5945" s="5">
        <v>0</v>
      </c>
      <c r="B5945" s="6" t="s">
        <v>34765</v>
      </c>
      <c r="C5945" s="13">
        <v>1214</v>
      </c>
      <c r="D5945" s="8" t="s">
        <v>34766</v>
      </c>
      <c r="E5945" s="8" t="s">
        <v>34767</v>
      </c>
      <c r="F5945" s="8" t="s">
        <v>34768</v>
      </c>
      <c r="G5945" s="6" t="s">
        <v>52</v>
      </c>
      <c r="H5945" s="6" t="s">
        <v>53</v>
      </c>
      <c r="I5945" s="8" t="s">
        <v>90</v>
      </c>
      <c r="J5945" s="9">
        <v>1</v>
      </c>
      <c r="K5945" s="9">
        <v>232</v>
      </c>
      <c r="L5945" s="9">
        <v>2025</v>
      </c>
      <c r="M5945" s="8" t="s">
        <v>34769</v>
      </c>
      <c r="N5945" s="8" t="s">
        <v>41</v>
      </c>
      <c r="O5945" s="8" t="s">
        <v>1007</v>
      </c>
      <c r="P5945" s="6" t="s">
        <v>43</v>
      </c>
      <c r="Q5945" s="8" t="s">
        <v>44</v>
      </c>
      <c r="R5945" s="10" t="s">
        <v>157</v>
      </c>
      <c r="S5945" s="11" t="s">
        <v>34770</v>
      </c>
      <c r="T5945" s="6"/>
      <c r="U5945" s="24" t="str">
        <f>HYPERLINK("https://media.infra-m.ru/2194/2194327/cover/2194327.jpg", "Обложка")</f>
        <v>Обложка</v>
      </c>
      <c r="V5945" s="24" t="str">
        <f>HYPERLINK("https://znanium.ru/catalog/product/1903404", "Ознакомиться")</f>
        <v>Ознакомиться</v>
      </c>
      <c r="W5945" s="8" t="s">
        <v>30705</v>
      </c>
      <c r="X5945" s="6"/>
      <c r="Y5945" s="6"/>
      <c r="Z5945" s="6"/>
      <c r="AA5945" s="6" t="s">
        <v>84</v>
      </c>
      <c r="AB5945" s="8"/>
    </row>
    <row r="5946" spans="1:28" s="4" customFormat="1" ht="42" customHeight="1">
      <c r="A5946" s="5">
        <v>0</v>
      </c>
      <c r="B5946" s="6" t="s">
        <v>34771</v>
      </c>
      <c r="C5946" s="7">
        <v>920</v>
      </c>
      <c r="D5946" s="8" t="s">
        <v>34772</v>
      </c>
      <c r="E5946" s="8" t="s">
        <v>34773</v>
      </c>
      <c r="F5946" s="8" t="s">
        <v>34774</v>
      </c>
      <c r="G5946" s="6" t="s">
        <v>89</v>
      </c>
      <c r="H5946" s="6" t="s">
        <v>184</v>
      </c>
      <c r="I5946" s="8"/>
      <c r="J5946" s="9">
        <v>1</v>
      </c>
      <c r="K5946" s="9">
        <v>193</v>
      </c>
      <c r="L5946" s="9">
        <v>2024</v>
      </c>
      <c r="M5946" s="8" t="s">
        <v>34775</v>
      </c>
      <c r="N5946" s="8" t="s">
        <v>41</v>
      </c>
      <c r="O5946" s="8" t="s">
        <v>1007</v>
      </c>
      <c r="P5946" s="6" t="s">
        <v>43</v>
      </c>
      <c r="Q5946" s="8" t="s">
        <v>214</v>
      </c>
      <c r="R5946" s="10" t="s">
        <v>5237</v>
      </c>
      <c r="S5946" s="11"/>
      <c r="T5946" s="6"/>
      <c r="U5946" s="24" t="str">
        <f>HYPERLINK("https://media.infra-m.ru/2132/2132650/cover/2132650.jpg", "Обложка")</f>
        <v>Обложка</v>
      </c>
      <c r="V5946" s="24" t="str">
        <f>HYPERLINK("https://znanium.ru/catalog/product/2132650", "Ознакомиться")</f>
        <v>Ознакомиться</v>
      </c>
      <c r="W5946" s="8"/>
      <c r="X5946" s="6"/>
      <c r="Y5946" s="6"/>
      <c r="Z5946" s="6"/>
      <c r="AA5946" s="6" t="s">
        <v>151</v>
      </c>
      <c r="AB5946" s="8"/>
    </row>
    <row r="5947" spans="1:28" s="4" customFormat="1" ht="51.95" customHeight="1">
      <c r="A5947" s="5">
        <v>0</v>
      </c>
      <c r="B5947" s="6" t="s">
        <v>34776</v>
      </c>
      <c r="C5947" s="13">
        <v>1474</v>
      </c>
      <c r="D5947" s="8" t="s">
        <v>34777</v>
      </c>
      <c r="E5947" s="8" t="s">
        <v>34778</v>
      </c>
      <c r="F5947" s="8" t="s">
        <v>34779</v>
      </c>
      <c r="G5947" s="6" t="s">
        <v>52</v>
      </c>
      <c r="H5947" s="6" t="s">
        <v>39</v>
      </c>
      <c r="I5947" s="8" t="s">
        <v>90</v>
      </c>
      <c r="J5947" s="9">
        <v>1</v>
      </c>
      <c r="K5947" s="9">
        <v>320</v>
      </c>
      <c r="L5947" s="9">
        <v>2024</v>
      </c>
      <c r="M5947" s="8" t="s">
        <v>34780</v>
      </c>
      <c r="N5947" s="8" t="s">
        <v>41</v>
      </c>
      <c r="O5947" s="8" t="s">
        <v>1007</v>
      </c>
      <c r="P5947" s="6" t="s">
        <v>43</v>
      </c>
      <c r="Q5947" s="8" t="s">
        <v>44</v>
      </c>
      <c r="R5947" s="10" t="s">
        <v>34781</v>
      </c>
      <c r="S5947" s="11" t="s">
        <v>34782</v>
      </c>
      <c r="T5947" s="6"/>
      <c r="U5947" s="24" t="str">
        <f>HYPERLINK("https://media.infra-m.ru/2102/2102722/cover/2102722.jpg", "Обложка")</f>
        <v>Обложка</v>
      </c>
      <c r="V5947" s="24" t="str">
        <f>HYPERLINK("https://znanium.ru/catalog/product/2102722", "Ознакомиться")</f>
        <v>Ознакомиться</v>
      </c>
      <c r="W5947" s="8" t="s">
        <v>354</v>
      </c>
      <c r="X5947" s="6"/>
      <c r="Y5947" s="6"/>
      <c r="Z5947" s="6"/>
      <c r="AA5947" s="6" t="s">
        <v>47</v>
      </c>
      <c r="AB5947" s="8"/>
    </row>
    <row r="5948" spans="1:28" s="4" customFormat="1" ht="42" customHeight="1">
      <c r="A5948" s="5">
        <v>0</v>
      </c>
      <c r="B5948" s="6" t="s">
        <v>34783</v>
      </c>
      <c r="C5948" s="13">
        <v>1660</v>
      </c>
      <c r="D5948" s="8" t="s">
        <v>34784</v>
      </c>
      <c r="E5948" s="8" t="s">
        <v>34778</v>
      </c>
      <c r="F5948" s="8" t="s">
        <v>34779</v>
      </c>
      <c r="G5948" s="6" t="s">
        <v>52</v>
      </c>
      <c r="H5948" s="6" t="s">
        <v>39</v>
      </c>
      <c r="I5948" s="8" t="s">
        <v>100</v>
      </c>
      <c r="J5948" s="9">
        <v>1</v>
      </c>
      <c r="K5948" s="9">
        <v>320</v>
      </c>
      <c r="L5948" s="9">
        <v>2025</v>
      </c>
      <c r="M5948" s="8" t="s">
        <v>34785</v>
      </c>
      <c r="N5948" s="8" t="s">
        <v>41</v>
      </c>
      <c r="O5948" s="8" t="s">
        <v>1007</v>
      </c>
      <c r="P5948" s="6" t="s">
        <v>43</v>
      </c>
      <c r="Q5948" s="8" t="s">
        <v>102</v>
      </c>
      <c r="R5948" s="10" t="s">
        <v>2779</v>
      </c>
      <c r="S5948" s="11"/>
      <c r="T5948" s="6"/>
      <c r="U5948" s="24" t="str">
        <f>HYPERLINK("https://media.infra-m.ru/2169/2169677/cover/2169677.jpg", "Обложка")</f>
        <v>Обложка</v>
      </c>
      <c r="V5948" s="24" t="str">
        <f>HYPERLINK("https://znanium.ru/catalog/product/2169677", "Ознакомиться")</f>
        <v>Ознакомиться</v>
      </c>
      <c r="W5948" s="8" t="s">
        <v>354</v>
      </c>
      <c r="X5948" s="6" t="s">
        <v>785</v>
      </c>
      <c r="Y5948" s="6"/>
      <c r="Z5948" s="6" t="s">
        <v>104</v>
      </c>
      <c r="AA5948" s="6" t="s">
        <v>61</v>
      </c>
      <c r="AB5948" s="8"/>
    </row>
    <row r="5949" spans="1:28" s="4" customFormat="1" ht="44.1" customHeight="1">
      <c r="A5949" s="5">
        <v>0</v>
      </c>
      <c r="B5949" s="6" t="s">
        <v>34786</v>
      </c>
      <c r="C5949" s="13">
        <v>1510</v>
      </c>
      <c r="D5949" s="8" t="s">
        <v>34787</v>
      </c>
      <c r="E5949" s="8" t="s">
        <v>34788</v>
      </c>
      <c r="F5949" s="8" t="s">
        <v>34789</v>
      </c>
      <c r="G5949" s="6" t="s">
        <v>89</v>
      </c>
      <c r="H5949" s="6" t="s">
        <v>674</v>
      </c>
      <c r="I5949" s="8"/>
      <c r="J5949" s="9">
        <v>1</v>
      </c>
      <c r="K5949" s="9">
        <v>328</v>
      </c>
      <c r="L5949" s="9">
        <v>2024</v>
      </c>
      <c r="M5949" s="8" t="s">
        <v>34790</v>
      </c>
      <c r="N5949" s="8" t="s">
        <v>41</v>
      </c>
      <c r="O5949" s="8" t="s">
        <v>1007</v>
      </c>
      <c r="P5949" s="6" t="s">
        <v>167</v>
      </c>
      <c r="Q5949" s="8" t="s">
        <v>44</v>
      </c>
      <c r="R5949" s="10" t="s">
        <v>8910</v>
      </c>
      <c r="S5949" s="11"/>
      <c r="T5949" s="6"/>
      <c r="U5949" s="24" t="str">
        <f>HYPERLINK("https://media.infra-m.ru/2129/2129966/cover/2129966.jpg", "Обложка")</f>
        <v>Обложка</v>
      </c>
      <c r="V5949" s="24" t="str">
        <f>HYPERLINK("https://znanium.ru/catalog/product/2129966", "Ознакомиться")</f>
        <v>Ознакомиться</v>
      </c>
      <c r="W5949" s="8" t="s">
        <v>792</v>
      </c>
      <c r="X5949" s="6"/>
      <c r="Y5949" s="6"/>
      <c r="Z5949" s="6"/>
      <c r="AA5949" s="6" t="s">
        <v>258</v>
      </c>
      <c r="AB5949" s="8"/>
    </row>
    <row r="5950" spans="1:28" s="4" customFormat="1" ht="42" customHeight="1">
      <c r="A5950" s="5">
        <v>0</v>
      </c>
      <c r="B5950" s="6" t="s">
        <v>34791</v>
      </c>
      <c r="C5950" s="13">
        <v>1110</v>
      </c>
      <c r="D5950" s="8" t="s">
        <v>34792</v>
      </c>
      <c r="E5950" s="8" t="s">
        <v>34793</v>
      </c>
      <c r="F5950" s="8" t="s">
        <v>14485</v>
      </c>
      <c r="G5950" s="6" t="s">
        <v>52</v>
      </c>
      <c r="H5950" s="6" t="s">
        <v>53</v>
      </c>
      <c r="I5950" s="8" t="s">
        <v>116</v>
      </c>
      <c r="J5950" s="9">
        <v>1</v>
      </c>
      <c r="K5950" s="9">
        <v>215</v>
      </c>
      <c r="L5950" s="9">
        <v>2025</v>
      </c>
      <c r="M5950" s="8" t="s">
        <v>34794</v>
      </c>
      <c r="N5950" s="8" t="s">
        <v>41</v>
      </c>
      <c r="O5950" s="8" t="s">
        <v>1007</v>
      </c>
      <c r="P5950" s="6" t="s">
        <v>43</v>
      </c>
      <c r="Q5950" s="8" t="s">
        <v>58</v>
      </c>
      <c r="R5950" s="10" t="s">
        <v>1008</v>
      </c>
      <c r="S5950" s="11"/>
      <c r="T5950" s="6"/>
      <c r="U5950" s="24" t="str">
        <f>HYPERLINK("https://media.infra-m.ru/1978/1978025/cover/1978025.jpg", "Обложка")</f>
        <v>Обложка</v>
      </c>
      <c r="V5950" s="24" t="str">
        <f>HYPERLINK("https://znanium.ru/catalog/product/1978025", "Ознакомиться")</f>
        <v>Ознакомиться</v>
      </c>
      <c r="W5950" s="8" t="s">
        <v>14488</v>
      </c>
      <c r="X5950" s="6" t="s">
        <v>548</v>
      </c>
      <c r="Y5950" s="6"/>
      <c r="Z5950" s="6"/>
      <c r="AA5950" s="6" t="s">
        <v>61</v>
      </c>
      <c r="AB5950" s="8"/>
    </row>
    <row r="5951" spans="1:28" s="4" customFormat="1" ht="51.95" customHeight="1">
      <c r="A5951" s="5">
        <v>0</v>
      </c>
      <c r="B5951" s="6" t="s">
        <v>34795</v>
      </c>
      <c r="C5951" s="13">
        <v>1484</v>
      </c>
      <c r="D5951" s="8" t="s">
        <v>34796</v>
      </c>
      <c r="E5951" s="8" t="s">
        <v>34797</v>
      </c>
      <c r="F5951" s="8" t="s">
        <v>34798</v>
      </c>
      <c r="G5951" s="6" t="s">
        <v>89</v>
      </c>
      <c r="H5951" s="6" t="s">
        <v>77</v>
      </c>
      <c r="I5951" s="8"/>
      <c r="J5951" s="9">
        <v>1</v>
      </c>
      <c r="K5951" s="9">
        <v>328</v>
      </c>
      <c r="L5951" s="9">
        <v>2023</v>
      </c>
      <c r="M5951" s="8" t="s">
        <v>34799</v>
      </c>
      <c r="N5951" s="8" t="s">
        <v>41</v>
      </c>
      <c r="O5951" s="8" t="s">
        <v>1007</v>
      </c>
      <c r="P5951" s="6" t="s">
        <v>167</v>
      </c>
      <c r="Q5951" s="8" t="s">
        <v>279</v>
      </c>
      <c r="R5951" s="10" t="s">
        <v>34800</v>
      </c>
      <c r="S5951" s="11"/>
      <c r="T5951" s="6"/>
      <c r="U5951" s="24" t="str">
        <f>HYPERLINK("https://media.infra-m.ru/2006/2006042/cover/2006042.jpg", "Обложка")</f>
        <v>Обложка</v>
      </c>
      <c r="V5951" s="24" t="str">
        <f>HYPERLINK("https://znanium.ru/catalog/product/2006042", "Ознакомиться")</f>
        <v>Ознакомиться</v>
      </c>
      <c r="W5951" s="8" t="s">
        <v>83</v>
      </c>
      <c r="X5951" s="6"/>
      <c r="Y5951" s="6"/>
      <c r="Z5951" s="6"/>
      <c r="AA5951" s="6" t="s">
        <v>442</v>
      </c>
      <c r="AB5951" s="8"/>
    </row>
    <row r="5952" spans="1:28" s="4" customFormat="1" ht="51.95" customHeight="1">
      <c r="A5952" s="5">
        <v>0</v>
      </c>
      <c r="B5952" s="6" t="s">
        <v>34801</v>
      </c>
      <c r="C5952" s="13">
        <v>1614</v>
      </c>
      <c r="D5952" s="8" t="s">
        <v>34802</v>
      </c>
      <c r="E5952" s="8" t="s">
        <v>34803</v>
      </c>
      <c r="F5952" s="8" t="s">
        <v>34804</v>
      </c>
      <c r="G5952" s="6" t="s">
        <v>52</v>
      </c>
      <c r="H5952" s="6" t="s">
        <v>184</v>
      </c>
      <c r="I5952" s="8" t="s">
        <v>185</v>
      </c>
      <c r="J5952" s="9">
        <v>1</v>
      </c>
      <c r="K5952" s="9">
        <v>363</v>
      </c>
      <c r="L5952" s="9">
        <v>2024</v>
      </c>
      <c r="M5952" s="8" t="s">
        <v>34805</v>
      </c>
      <c r="N5952" s="8" t="s">
        <v>41</v>
      </c>
      <c r="O5952" s="8" t="s">
        <v>1007</v>
      </c>
      <c r="P5952" s="6" t="s">
        <v>167</v>
      </c>
      <c r="Q5952" s="8" t="s">
        <v>44</v>
      </c>
      <c r="R5952" s="10" t="s">
        <v>34806</v>
      </c>
      <c r="S5952" s="11" t="s">
        <v>34807</v>
      </c>
      <c r="T5952" s="6"/>
      <c r="U5952" s="24" t="str">
        <f>HYPERLINK("https://media.infra-m.ru/1913/1913015/cover/1913015.jpg", "Обложка")</f>
        <v>Обложка</v>
      </c>
      <c r="V5952" s="24" t="str">
        <f>HYPERLINK("https://znanium.ru/catalog/product/1913015", "Ознакомиться")</f>
        <v>Ознакомиться</v>
      </c>
      <c r="W5952" s="8" t="s">
        <v>1076</v>
      </c>
      <c r="X5952" s="6"/>
      <c r="Y5952" s="6"/>
      <c r="Z5952" s="6"/>
      <c r="AA5952" s="6" t="s">
        <v>160</v>
      </c>
      <c r="AB5952" s="8"/>
    </row>
    <row r="5953" spans="1:28" s="4" customFormat="1" ht="51.95" customHeight="1">
      <c r="A5953" s="5">
        <v>0</v>
      </c>
      <c r="B5953" s="6" t="s">
        <v>34808</v>
      </c>
      <c r="C5953" s="13">
        <v>1290</v>
      </c>
      <c r="D5953" s="8" t="s">
        <v>34809</v>
      </c>
      <c r="E5953" s="8" t="s">
        <v>34810</v>
      </c>
      <c r="F5953" s="8" t="s">
        <v>29023</v>
      </c>
      <c r="G5953" s="6" t="s">
        <v>89</v>
      </c>
      <c r="H5953" s="6" t="s">
        <v>53</v>
      </c>
      <c r="I5953" s="8" t="s">
        <v>116</v>
      </c>
      <c r="J5953" s="9">
        <v>1</v>
      </c>
      <c r="K5953" s="9">
        <v>254</v>
      </c>
      <c r="L5953" s="9">
        <v>2024</v>
      </c>
      <c r="M5953" s="8" t="s">
        <v>34811</v>
      </c>
      <c r="N5953" s="8" t="s">
        <v>41</v>
      </c>
      <c r="O5953" s="8" t="s">
        <v>1007</v>
      </c>
      <c r="P5953" s="6" t="s">
        <v>167</v>
      </c>
      <c r="Q5953" s="8" t="s">
        <v>44</v>
      </c>
      <c r="R5953" s="10" t="s">
        <v>34812</v>
      </c>
      <c r="S5953" s="11"/>
      <c r="T5953" s="6"/>
      <c r="U5953" s="24" t="str">
        <f>HYPERLINK("https://media.infra-m.ru/2130/2130685/cover/2130685.jpg", "Обложка")</f>
        <v>Обложка</v>
      </c>
      <c r="V5953" s="24" t="str">
        <f>HYPERLINK("https://znanium.ru/catalog/product/2130685", "Ознакомиться")</f>
        <v>Ознакомиться</v>
      </c>
      <c r="W5953" s="8" t="s">
        <v>3577</v>
      </c>
      <c r="X5953" s="6"/>
      <c r="Y5953" s="6"/>
      <c r="Z5953" s="6"/>
      <c r="AA5953" s="6" t="s">
        <v>207</v>
      </c>
      <c r="AB5953" s="8"/>
    </row>
    <row r="5954" spans="1:28" s="4" customFormat="1" ht="51.95" customHeight="1">
      <c r="A5954" s="5">
        <v>0</v>
      </c>
      <c r="B5954" s="6" t="s">
        <v>34813</v>
      </c>
      <c r="C5954" s="13">
        <v>2194</v>
      </c>
      <c r="D5954" s="8" t="s">
        <v>34814</v>
      </c>
      <c r="E5954" s="8" t="s">
        <v>34815</v>
      </c>
      <c r="F5954" s="8" t="s">
        <v>34816</v>
      </c>
      <c r="G5954" s="6" t="s">
        <v>89</v>
      </c>
      <c r="H5954" s="6" t="s">
        <v>39</v>
      </c>
      <c r="I5954" s="8" t="s">
        <v>100</v>
      </c>
      <c r="J5954" s="9">
        <v>1</v>
      </c>
      <c r="K5954" s="9">
        <v>544</v>
      </c>
      <c r="L5954" s="9">
        <v>2023</v>
      </c>
      <c r="M5954" s="8" t="s">
        <v>34817</v>
      </c>
      <c r="N5954" s="8" t="s">
        <v>41</v>
      </c>
      <c r="O5954" s="8" t="s">
        <v>1007</v>
      </c>
      <c r="P5954" s="6" t="s">
        <v>167</v>
      </c>
      <c r="Q5954" s="8" t="s">
        <v>102</v>
      </c>
      <c r="R5954" s="10" t="s">
        <v>3410</v>
      </c>
      <c r="S5954" s="11" t="s">
        <v>34818</v>
      </c>
      <c r="T5954" s="6"/>
      <c r="U5954" s="24" t="str">
        <f>HYPERLINK("https://media.infra-m.ru/2002/2002597/cover/2002597.jpg", "Обложка")</f>
        <v>Обложка</v>
      </c>
      <c r="V5954" s="24" t="str">
        <f>HYPERLINK("https://znanium.ru/catalog/product/1141793", "Ознакомиться")</f>
        <v>Ознакомиться</v>
      </c>
      <c r="W5954" s="8" t="s">
        <v>34819</v>
      </c>
      <c r="X5954" s="6"/>
      <c r="Y5954" s="6"/>
      <c r="Z5954" s="6"/>
      <c r="AA5954" s="6" t="s">
        <v>442</v>
      </c>
      <c r="AB5954" s="8"/>
    </row>
    <row r="5955" spans="1:28" s="4" customFormat="1" ht="51.95" customHeight="1">
      <c r="A5955" s="5">
        <v>0</v>
      </c>
      <c r="B5955" s="6" t="s">
        <v>34820</v>
      </c>
      <c r="C5955" s="7">
        <v>994</v>
      </c>
      <c r="D5955" s="8" t="s">
        <v>34821</v>
      </c>
      <c r="E5955" s="8" t="s">
        <v>34822</v>
      </c>
      <c r="F5955" s="8" t="s">
        <v>34823</v>
      </c>
      <c r="G5955" s="6" t="s">
        <v>89</v>
      </c>
      <c r="H5955" s="6" t="s">
        <v>39</v>
      </c>
      <c r="I5955" s="8" t="s">
        <v>100</v>
      </c>
      <c r="J5955" s="9">
        <v>1</v>
      </c>
      <c r="K5955" s="9">
        <v>200</v>
      </c>
      <c r="L5955" s="9">
        <v>2025</v>
      </c>
      <c r="M5955" s="8" t="s">
        <v>34824</v>
      </c>
      <c r="N5955" s="8" t="s">
        <v>41</v>
      </c>
      <c r="O5955" s="8" t="s">
        <v>1007</v>
      </c>
      <c r="P5955" s="6" t="s">
        <v>167</v>
      </c>
      <c r="Q5955" s="8" t="s">
        <v>102</v>
      </c>
      <c r="R5955" s="10" t="s">
        <v>34825</v>
      </c>
      <c r="S5955" s="11" t="s">
        <v>34818</v>
      </c>
      <c r="T5955" s="6"/>
      <c r="U5955" s="24" t="str">
        <f>HYPERLINK("https://media.infra-m.ru/2188/2188151/cover/2188151.jpg", "Обложка")</f>
        <v>Обложка</v>
      </c>
      <c r="V5955" s="24" t="str">
        <f>HYPERLINK("https://znanium.ru/catalog/product/1931475", "Ознакомиться")</f>
        <v>Ознакомиться</v>
      </c>
      <c r="W5955" s="8" t="s">
        <v>34819</v>
      </c>
      <c r="X5955" s="6"/>
      <c r="Y5955" s="6"/>
      <c r="Z5955" s="6"/>
      <c r="AA5955" s="6" t="s">
        <v>442</v>
      </c>
      <c r="AB5955" s="8"/>
    </row>
    <row r="5956" spans="1:28" s="4" customFormat="1" ht="44.1" customHeight="1">
      <c r="A5956" s="5">
        <v>0</v>
      </c>
      <c r="B5956" s="6" t="s">
        <v>34826</v>
      </c>
      <c r="C5956" s="13">
        <v>2650</v>
      </c>
      <c r="D5956" s="8" t="s">
        <v>34827</v>
      </c>
      <c r="E5956" s="8" t="s">
        <v>34828</v>
      </c>
      <c r="F5956" s="8" t="s">
        <v>34829</v>
      </c>
      <c r="G5956" s="6" t="s">
        <v>52</v>
      </c>
      <c r="H5956" s="6" t="s">
        <v>952</v>
      </c>
      <c r="I5956" s="8"/>
      <c r="J5956" s="9">
        <v>1</v>
      </c>
      <c r="K5956" s="9">
        <v>576</v>
      </c>
      <c r="L5956" s="9">
        <v>2023</v>
      </c>
      <c r="M5956" s="8" t="s">
        <v>34830</v>
      </c>
      <c r="N5956" s="8" t="s">
        <v>41</v>
      </c>
      <c r="O5956" s="8" t="s">
        <v>1007</v>
      </c>
      <c r="P5956" s="6" t="s">
        <v>167</v>
      </c>
      <c r="Q5956" s="8" t="s">
        <v>44</v>
      </c>
      <c r="R5956" s="10" t="s">
        <v>34831</v>
      </c>
      <c r="S5956" s="11"/>
      <c r="T5956" s="6" t="s">
        <v>299</v>
      </c>
      <c r="U5956" s="24" t="str">
        <f>HYPERLINK("https://media.infra-m.ru/2020/2020591/cover/2020591.jpg", "Обложка")</f>
        <v>Обложка</v>
      </c>
      <c r="V5956" s="24" t="str">
        <f>HYPERLINK("https://znanium.ru/catalog/product/2020591", "Ознакомиться")</f>
        <v>Ознакомиться</v>
      </c>
      <c r="W5956" s="8" t="s">
        <v>3282</v>
      </c>
      <c r="X5956" s="6"/>
      <c r="Y5956" s="6"/>
      <c r="Z5956" s="6"/>
      <c r="AA5956" s="6" t="s">
        <v>196</v>
      </c>
      <c r="AB5956" s="8"/>
    </row>
    <row r="5957" spans="1:28" s="4" customFormat="1" ht="44.1" customHeight="1">
      <c r="A5957" s="5">
        <v>0</v>
      </c>
      <c r="B5957" s="6" t="s">
        <v>34832</v>
      </c>
      <c r="C5957" s="13">
        <v>1230</v>
      </c>
      <c r="D5957" s="8" t="s">
        <v>34833</v>
      </c>
      <c r="E5957" s="8" t="s">
        <v>34834</v>
      </c>
      <c r="F5957" s="8" t="s">
        <v>34829</v>
      </c>
      <c r="G5957" s="6" t="s">
        <v>52</v>
      </c>
      <c r="H5957" s="6" t="s">
        <v>952</v>
      </c>
      <c r="I5957" s="8"/>
      <c r="J5957" s="9">
        <v>12</v>
      </c>
      <c r="K5957" s="9">
        <v>512</v>
      </c>
      <c r="L5957" s="9">
        <v>2017</v>
      </c>
      <c r="M5957" s="8" t="s">
        <v>34835</v>
      </c>
      <c r="N5957" s="8" t="s">
        <v>41</v>
      </c>
      <c r="O5957" s="8" t="s">
        <v>1007</v>
      </c>
      <c r="P5957" s="6" t="s">
        <v>167</v>
      </c>
      <c r="Q5957" s="8" t="s">
        <v>44</v>
      </c>
      <c r="R5957" s="10" t="s">
        <v>34831</v>
      </c>
      <c r="S5957" s="11"/>
      <c r="T5957" s="6" t="s">
        <v>299</v>
      </c>
      <c r="U5957" s="24" t="str">
        <f>HYPERLINK("https://media.infra-m.ru/0757/0757874/cover/757874.jpg", "Обложка")</f>
        <v>Обложка</v>
      </c>
      <c r="V5957" s="24" t="str">
        <f>HYPERLINK("https://znanium.ru/catalog/product/2020591", "Ознакомиться")</f>
        <v>Ознакомиться</v>
      </c>
      <c r="W5957" s="8" t="s">
        <v>3282</v>
      </c>
      <c r="X5957" s="6"/>
      <c r="Y5957" s="6"/>
      <c r="Z5957" s="6"/>
      <c r="AA5957" s="6" t="s">
        <v>418</v>
      </c>
      <c r="AB5957" s="8"/>
    </row>
    <row r="5958" spans="1:28" s="4" customFormat="1" ht="51.95" customHeight="1">
      <c r="A5958" s="5">
        <v>0</v>
      </c>
      <c r="B5958" s="6" t="s">
        <v>34836</v>
      </c>
      <c r="C5958" s="13">
        <v>1150</v>
      </c>
      <c r="D5958" s="8" t="s">
        <v>34837</v>
      </c>
      <c r="E5958" s="8" t="s">
        <v>34838</v>
      </c>
      <c r="F5958" s="8" t="s">
        <v>34839</v>
      </c>
      <c r="G5958" s="6" t="s">
        <v>89</v>
      </c>
      <c r="H5958" s="6" t="s">
        <v>53</v>
      </c>
      <c r="I5958" s="8" t="s">
        <v>100</v>
      </c>
      <c r="J5958" s="9">
        <v>1</v>
      </c>
      <c r="K5958" s="9">
        <v>221</v>
      </c>
      <c r="L5958" s="9">
        <v>2025</v>
      </c>
      <c r="M5958" s="8" t="s">
        <v>34840</v>
      </c>
      <c r="N5958" s="8" t="s">
        <v>79</v>
      </c>
      <c r="O5958" s="8" t="s">
        <v>396</v>
      </c>
      <c r="P5958" s="6" t="s">
        <v>43</v>
      </c>
      <c r="Q5958" s="8" t="s">
        <v>102</v>
      </c>
      <c r="R5958" s="10" t="s">
        <v>34841</v>
      </c>
      <c r="S5958" s="11" t="s">
        <v>34842</v>
      </c>
      <c r="T5958" s="6"/>
      <c r="U5958" s="24" t="str">
        <f>HYPERLINK("https://media.infra-m.ru/2186/2186417/cover/2186417.jpg", "Обложка")</f>
        <v>Обложка</v>
      </c>
      <c r="V5958" s="24" t="str">
        <f>HYPERLINK("https://znanium.ru/catalog/product/2186417", "Ознакомиться")</f>
        <v>Ознакомиться</v>
      </c>
      <c r="W5958" s="8"/>
      <c r="X5958" s="6"/>
      <c r="Y5958" s="6"/>
      <c r="Z5958" s="6"/>
      <c r="AA5958" s="6" t="s">
        <v>95</v>
      </c>
      <c r="AB5958" s="8" t="s">
        <v>2336</v>
      </c>
    </row>
    <row r="5959" spans="1:28" s="4" customFormat="1" ht="42" customHeight="1">
      <c r="A5959" s="5">
        <v>0</v>
      </c>
      <c r="B5959" s="6" t="s">
        <v>34843</v>
      </c>
      <c r="C5959" s="13">
        <v>1154.9000000000001</v>
      </c>
      <c r="D5959" s="8" t="s">
        <v>34844</v>
      </c>
      <c r="E5959" s="8" t="s">
        <v>34845</v>
      </c>
      <c r="F5959" s="8" t="s">
        <v>34846</v>
      </c>
      <c r="G5959" s="6" t="s">
        <v>52</v>
      </c>
      <c r="H5959" s="6" t="s">
        <v>1738</v>
      </c>
      <c r="I5959" s="8"/>
      <c r="J5959" s="9">
        <v>1</v>
      </c>
      <c r="K5959" s="9">
        <v>256</v>
      </c>
      <c r="L5959" s="9">
        <v>2023</v>
      </c>
      <c r="M5959" s="8" t="s">
        <v>34847</v>
      </c>
      <c r="N5959" s="8" t="s">
        <v>41</v>
      </c>
      <c r="O5959" s="8" t="s">
        <v>1007</v>
      </c>
      <c r="P5959" s="6" t="s">
        <v>43</v>
      </c>
      <c r="Q5959" s="8" t="s">
        <v>44</v>
      </c>
      <c r="R5959" s="10" t="s">
        <v>1343</v>
      </c>
      <c r="S5959" s="11"/>
      <c r="T5959" s="6" t="s">
        <v>299</v>
      </c>
      <c r="U5959" s="24" t="str">
        <f>HYPERLINK("https://media.infra-m.ru/1896/1896988/cover/1896988.jpg", "Обложка")</f>
        <v>Обложка</v>
      </c>
      <c r="V5959" s="24" t="str">
        <f>HYPERLINK("https://znanium.ru/catalog/product/959887", "Ознакомиться")</f>
        <v>Ознакомиться</v>
      </c>
      <c r="W5959" s="8" t="s">
        <v>2878</v>
      </c>
      <c r="X5959" s="6"/>
      <c r="Y5959" s="6"/>
      <c r="Z5959" s="6"/>
      <c r="AA5959" s="6" t="s">
        <v>122</v>
      </c>
      <c r="AB5959" s="8"/>
    </row>
    <row r="5960" spans="1:28" s="4" customFormat="1" ht="51.95" customHeight="1">
      <c r="A5960" s="5">
        <v>0</v>
      </c>
      <c r="B5960" s="6" t="s">
        <v>34848</v>
      </c>
      <c r="C5960" s="13">
        <v>1970</v>
      </c>
      <c r="D5960" s="8" t="s">
        <v>34849</v>
      </c>
      <c r="E5960" s="8" t="s">
        <v>34850</v>
      </c>
      <c r="F5960" s="8" t="s">
        <v>34851</v>
      </c>
      <c r="G5960" s="6" t="s">
        <v>89</v>
      </c>
      <c r="H5960" s="6" t="s">
        <v>53</v>
      </c>
      <c r="I5960" s="8" t="s">
        <v>116</v>
      </c>
      <c r="J5960" s="9">
        <v>1</v>
      </c>
      <c r="K5960" s="9">
        <v>381</v>
      </c>
      <c r="L5960" s="9">
        <v>2025</v>
      </c>
      <c r="M5960" s="8" t="s">
        <v>34852</v>
      </c>
      <c r="N5960" s="8" t="s">
        <v>41</v>
      </c>
      <c r="O5960" s="8" t="s">
        <v>118</v>
      </c>
      <c r="P5960" s="6" t="s">
        <v>43</v>
      </c>
      <c r="Q5960" s="8" t="s">
        <v>44</v>
      </c>
      <c r="R5960" s="10" t="s">
        <v>375</v>
      </c>
      <c r="S5960" s="11" t="s">
        <v>34853</v>
      </c>
      <c r="T5960" s="6" t="s">
        <v>299</v>
      </c>
      <c r="U5960" s="24" t="str">
        <f>HYPERLINK("https://media.infra-m.ru/2192/2192239/cover/2192239.jpg", "Обложка")</f>
        <v>Обложка</v>
      </c>
      <c r="V5960" s="24" t="str">
        <f>HYPERLINK("https://znanium.ru/catalog/product/2192239", "Ознакомиться")</f>
        <v>Ознакомиться</v>
      </c>
      <c r="W5960" s="8" t="s">
        <v>21224</v>
      </c>
      <c r="X5960" s="6"/>
      <c r="Y5960" s="6"/>
      <c r="Z5960" s="6"/>
      <c r="AA5960" s="6" t="s">
        <v>84</v>
      </c>
      <c r="AB5960" s="8"/>
    </row>
    <row r="5961" spans="1:28" s="4" customFormat="1" ht="51.95" customHeight="1">
      <c r="A5961" s="5">
        <v>0</v>
      </c>
      <c r="B5961" s="6" t="s">
        <v>34854</v>
      </c>
      <c r="C5961" s="13">
        <v>1024</v>
      </c>
      <c r="D5961" s="8" t="s">
        <v>34855</v>
      </c>
      <c r="E5961" s="8" t="s">
        <v>34856</v>
      </c>
      <c r="F5961" s="8" t="s">
        <v>34857</v>
      </c>
      <c r="G5961" s="6" t="s">
        <v>52</v>
      </c>
      <c r="H5961" s="6" t="s">
        <v>53</v>
      </c>
      <c r="I5961" s="8" t="s">
        <v>90</v>
      </c>
      <c r="J5961" s="9">
        <v>1</v>
      </c>
      <c r="K5961" s="9">
        <v>222</v>
      </c>
      <c r="L5961" s="9">
        <v>2024</v>
      </c>
      <c r="M5961" s="8" t="s">
        <v>34858</v>
      </c>
      <c r="N5961" s="8" t="s">
        <v>41</v>
      </c>
      <c r="O5961" s="8" t="s">
        <v>278</v>
      </c>
      <c r="P5961" s="6" t="s">
        <v>43</v>
      </c>
      <c r="Q5961" s="8" t="s">
        <v>44</v>
      </c>
      <c r="R5961" s="10" t="s">
        <v>168</v>
      </c>
      <c r="S5961" s="11"/>
      <c r="T5961" s="6"/>
      <c r="U5961" s="24" t="str">
        <f>HYPERLINK("https://media.infra-m.ru/2091/2091929/cover/2091929.jpg", "Обложка")</f>
        <v>Обложка</v>
      </c>
      <c r="V5961" s="24" t="str">
        <f>HYPERLINK("https://znanium.ru/catalog/product/1036414", "Ознакомиться")</f>
        <v>Ознакомиться</v>
      </c>
      <c r="W5961" s="8" t="s">
        <v>6489</v>
      </c>
      <c r="X5961" s="6"/>
      <c r="Y5961" s="6"/>
      <c r="Z5961" s="6"/>
      <c r="AA5961" s="6" t="s">
        <v>494</v>
      </c>
      <c r="AB5961" s="8"/>
    </row>
    <row r="5962" spans="1:28" s="4" customFormat="1" ht="42" customHeight="1">
      <c r="A5962" s="5">
        <v>0</v>
      </c>
      <c r="B5962" s="6" t="s">
        <v>34859</v>
      </c>
      <c r="C5962" s="13">
        <v>1004.9</v>
      </c>
      <c r="D5962" s="8" t="s">
        <v>34860</v>
      </c>
      <c r="E5962" s="8" t="s">
        <v>34861</v>
      </c>
      <c r="F5962" s="8" t="s">
        <v>34862</v>
      </c>
      <c r="G5962" s="6" t="s">
        <v>52</v>
      </c>
      <c r="H5962" s="6" t="s">
        <v>77</v>
      </c>
      <c r="I5962" s="8"/>
      <c r="J5962" s="9">
        <v>1</v>
      </c>
      <c r="K5962" s="9">
        <v>224</v>
      </c>
      <c r="L5962" s="9">
        <v>2023</v>
      </c>
      <c r="M5962" s="8" t="s">
        <v>34863</v>
      </c>
      <c r="N5962" s="8" t="s">
        <v>41</v>
      </c>
      <c r="O5962" s="8" t="s">
        <v>118</v>
      </c>
      <c r="P5962" s="6" t="s">
        <v>187</v>
      </c>
      <c r="Q5962" s="8" t="s">
        <v>58</v>
      </c>
      <c r="R5962" s="10" t="s">
        <v>8490</v>
      </c>
      <c r="S5962" s="11"/>
      <c r="T5962" s="6"/>
      <c r="U5962" s="24" t="str">
        <f>HYPERLINK("https://media.infra-m.ru/2044/2044330/cover/2044330.jpg", "Обложка")</f>
        <v>Обложка</v>
      </c>
      <c r="V5962" s="24" t="str">
        <f>HYPERLINK("https://znanium.ru/catalog/product/938079", "Ознакомиться")</f>
        <v>Ознакомиться</v>
      </c>
      <c r="W5962" s="8" t="s">
        <v>189</v>
      </c>
      <c r="X5962" s="6"/>
      <c r="Y5962" s="6"/>
      <c r="Z5962" s="6"/>
      <c r="AA5962" s="6" t="s">
        <v>47</v>
      </c>
      <c r="AB5962" s="8"/>
    </row>
    <row r="5963" spans="1:28" s="4" customFormat="1" ht="42" customHeight="1">
      <c r="A5963" s="5">
        <v>0</v>
      </c>
      <c r="B5963" s="6" t="s">
        <v>34864</v>
      </c>
      <c r="C5963" s="13">
        <v>1020</v>
      </c>
      <c r="D5963" s="8" t="s">
        <v>34865</v>
      </c>
      <c r="E5963" s="8" t="s">
        <v>34866</v>
      </c>
      <c r="F5963" s="8" t="s">
        <v>34867</v>
      </c>
      <c r="G5963" s="6" t="s">
        <v>52</v>
      </c>
      <c r="H5963" s="6" t="s">
        <v>53</v>
      </c>
      <c r="I5963" s="8" t="s">
        <v>116</v>
      </c>
      <c r="J5963" s="9">
        <v>1</v>
      </c>
      <c r="K5963" s="9">
        <v>207</v>
      </c>
      <c r="L5963" s="9">
        <v>2024</v>
      </c>
      <c r="M5963" s="8" t="s">
        <v>34868</v>
      </c>
      <c r="N5963" s="8" t="s">
        <v>41</v>
      </c>
      <c r="O5963" s="8" t="s">
        <v>1007</v>
      </c>
      <c r="P5963" s="6" t="s">
        <v>43</v>
      </c>
      <c r="Q5963" s="8" t="s">
        <v>44</v>
      </c>
      <c r="R5963" s="10" t="s">
        <v>17741</v>
      </c>
      <c r="S5963" s="11"/>
      <c r="T5963" s="6"/>
      <c r="U5963" s="24" t="str">
        <f>HYPERLINK("https://media.infra-m.ru/1900/1900972/cover/1900972.jpg", "Обложка")</f>
        <v>Обложка</v>
      </c>
      <c r="V5963" s="24" t="str">
        <f>HYPERLINK("https://znanium.ru/catalog/product/1900972", "Ознакомиться")</f>
        <v>Ознакомиться</v>
      </c>
      <c r="W5963" s="8" t="s">
        <v>744</v>
      </c>
      <c r="X5963" s="6"/>
      <c r="Y5963" s="6"/>
      <c r="Z5963" s="6"/>
      <c r="AA5963" s="6" t="s">
        <v>133</v>
      </c>
      <c r="AB5963" s="8"/>
    </row>
    <row r="5964" spans="1:28" s="4" customFormat="1" ht="42" customHeight="1">
      <c r="A5964" s="5">
        <v>0</v>
      </c>
      <c r="B5964" s="6" t="s">
        <v>34869</v>
      </c>
      <c r="C5964" s="7">
        <v>600</v>
      </c>
      <c r="D5964" s="8" t="s">
        <v>34870</v>
      </c>
      <c r="E5964" s="8" t="s">
        <v>34871</v>
      </c>
      <c r="F5964" s="8" t="s">
        <v>34872</v>
      </c>
      <c r="G5964" s="6" t="s">
        <v>52</v>
      </c>
      <c r="H5964" s="6" t="s">
        <v>184</v>
      </c>
      <c r="I5964" s="8"/>
      <c r="J5964" s="9">
        <v>1</v>
      </c>
      <c r="K5964" s="9">
        <v>190</v>
      </c>
      <c r="L5964" s="9">
        <v>2019</v>
      </c>
      <c r="M5964" s="8" t="s">
        <v>34873</v>
      </c>
      <c r="N5964" s="8" t="s">
        <v>41</v>
      </c>
      <c r="O5964" s="8" t="s">
        <v>1007</v>
      </c>
      <c r="P5964" s="6" t="s">
        <v>167</v>
      </c>
      <c r="Q5964" s="8" t="s">
        <v>44</v>
      </c>
      <c r="R5964" s="10" t="s">
        <v>7543</v>
      </c>
      <c r="S5964" s="11"/>
      <c r="T5964" s="6"/>
      <c r="U5964" s="24" t="str">
        <f>HYPERLINK("https://media.infra-m.ru/0995/0995619/cover/995619.jpg", "Обложка")</f>
        <v>Обложка</v>
      </c>
      <c r="V5964" s="24" t="str">
        <f>HYPERLINK("https://znanium.ru/catalog/product/995619", "Ознакомиться")</f>
        <v>Ознакомиться</v>
      </c>
      <c r="W5964" s="8" t="s">
        <v>1151</v>
      </c>
      <c r="X5964" s="6"/>
      <c r="Y5964" s="6"/>
      <c r="Z5964" s="6"/>
      <c r="AA5964" s="6" t="s">
        <v>151</v>
      </c>
      <c r="AB5964" s="8"/>
    </row>
    <row r="5965" spans="1:28" s="4" customFormat="1" ht="51.95" customHeight="1">
      <c r="A5965" s="5">
        <v>0</v>
      </c>
      <c r="B5965" s="6" t="s">
        <v>34874</v>
      </c>
      <c r="C5965" s="13">
        <v>2690</v>
      </c>
      <c r="D5965" s="8" t="s">
        <v>34875</v>
      </c>
      <c r="E5965" s="8" t="s">
        <v>34876</v>
      </c>
      <c r="F5965" s="8" t="s">
        <v>34877</v>
      </c>
      <c r="G5965" s="6" t="s">
        <v>52</v>
      </c>
      <c r="H5965" s="6" t="s">
        <v>53</v>
      </c>
      <c r="I5965" s="8" t="s">
        <v>116</v>
      </c>
      <c r="J5965" s="9">
        <v>1</v>
      </c>
      <c r="K5965" s="9">
        <v>584</v>
      </c>
      <c r="L5965" s="9">
        <v>2024</v>
      </c>
      <c r="M5965" s="8" t="s">
        <v>34878</v>
      </c>
      <c r="N5965" s="8" t="s">
        <v>41</v>
      </c>
      <c r="O5965" s="8" t="s">
        <v>1007</v>
      </c>
      <c r="P5965" s="6" t="s">
        <v>167</v>
      </c>
      <c r="Q5965" s="8" t="s">
        <v>44</v>
      </c>
      <c r="R5965" s="10" t="s">
        <v>10144</v>
      </c>
      <c r="S5965" s="11" t="s">
        <v>34879</v>
      </c>
      <c r="T5965" s="6"/>
      <c r="U5965" s="24" t="str">
        <f>HYPERLINK("https://media.infra-m.ru/2053/2053250/cover/2053250.jpg", "Обложка")</f>
        <v>Обложка</v>
      </c>
      <c r="V5965" s="24" t="str">
        <f>HYPERLINK("https://znanium.ru/catalog/product/2053250", "Ознакомиться")</f>
        <v>Ознакомиться</v>
      </c>
      <c r="W5965" s="8" t="s">
        <v>1345</v>
      </c>
      <c r="X5965" s="6"/>
      <c r="Y5965" s="6"/>
      <c r="Z5965" s="6"/>
      <c r="AA5965" s="6" t="s">
        <v>8847</v>
      </c>
      <c r="AB5965" s="8"/>
    </row>
    <row r="5966" spans="1:28" s="4" customFormat="1" ht="42" customHeight="1">
      <c r="A5966" s="5">
        <v>0</v>
      </c>
      <c r="B5966" s="6" t="s">
        <v>34880</v>
      </c>
      <c r="C5966" s="7">
        <v>794</v>
      </c>
      <c r="D5966" s="8" t="s">
        <v>34881</v>
      </c>
      <c r="E5966" s="8" t="s">
        <v>34876</v>
      </c>
      <c r="F5966" s="8" t="s">
        <v>34882</v>
      </c>
      <c r="G5966" s="6" t="s">
        <v>38</v>
      </c>
      <c r="H5966" s="6" t="s">
        <v>53</v>
      </c>
      <c r="I5966" s="8" t="s">
        <v>90</v>
      </c>
      <c r="J5966" s="9">
        <v>1</v>
      </c>
      <c r="K5966" s="9">
        <v>172</v>
      </c>
      <c r="L5966" s="9">
        <v>2023</v>
      </c>
      <c r="M5966" s="8" t="s">
        <v>34883</v>
      </c>
      <c r="N5966" s="8" t="s">
        <v>41</v>
      </c>
      <c r="O5966" s="8" t="s">
        <v>1007</v>
      </c>
      <c r="P5966" s="6" t="s">
        <v>43</v>
      </c>
      <c r="Q5966" s="8" t="s">
        <v>44</v>
      </c>
      <c r="R5966" s="10" t="s">
        <v>34884</v>
      </c>
      <c r="S5966" s="11"/>
      <c r="T5966" s="6"/>
      <c r="U5966" s="24" t="str">
        <f>HYPERLINK("https://media.infra-m.ru/2045/2045792/cover/2045792.jpg", "Обложка")</f>
        <v>Обложка</v>
      </c>
      <c r="V5966" s="12"/>
      <c r="W5966" s="8" t="s">
        <v>2080</v>
      </c>
      <c r="X5966" s="6"/>
      <c r="Y5966" s="6"/>
      <c r="Z5966" s="6"/>
      <c r="AA5966" s="6" t="s">
        <v>47</v>
      </c>
      <c r="AB5966" s="8"/>
    </row>
    <row r="5967" spans="1:28" s="4" customFormat="1" ht="51.95" customHeight="1">
      <c r="A5967" s="5">
        <v>0</v>
      </c>
      <c r="B5967" s="6" t="s">
        <v>34885</v>
      </c>
      <c r="C5967" s="13">
        <v>1684</v>
      </c>
      <c r="D5967" s="8" t="s">
        <v>34886</v>
      </c>
      <c r="E5967" s="8" t="s">
        <v>34887</v>
      </c>
      <c r="F5967" s="8" t="s">
        <v>13384</v>
      </c>
      <c r="G5967" s="6" t="s">
        <v>89</v>
      </c>
      <c r="H5967" s="6" t="s">
        <v>53</v>
      </c>
      <c r="I5967" s="8" t="s">
        <v>90</v>
      </c>
      <c r="J5967" s="9">
        <v>1</v>
      </c>
      <c r="K5967" s="9">
        <v>365</v>
      </c>
      <c r="L5967" s="9">
        <v>2024</v>
      </c>
      <c r="M5967" s="8" t="s">
        <v>34888</v>
      </c>
      <c r="N5967" s="8" t="s">
        <v>41</v>
      </c>
      <c r="O5967" s="8" t="s">
        <v>1007</v>
      </c>
      <c r="P5967" s="6" t="s">
        <v>167</v>
      </c>
      <c r="Q5967" s="8" t="s">
        <v>44</v>
      </c>
      <c r="R5967" s="10" t="s">
        <v>157</v>
      </c>
      <c r="S5967" s="11" t="s">
        <v>34889</v>
      </c>
      <c r="T5967" s="6"/>
      <c r="U5967" s="24" t="str">
        <f>HYPERLINK("https://media.infra-m.ru/2118/2118085/cover/2118085.jpg", "Обложка")</f>
        <v>Обложка</v>
      </c>
      <c r="V5967" s="24" t="str">
        <f>HYPERLINK("https://znanium.ru/catalog/product/2116721", "Ознакомиться")</f>
        <v>Ознакомиться</v>
      </c>
      <c r="W5967" s="8" t="s">
        <v>13388</v>
      </c>
      <c r="X5967" s="6"/>
      <c r="Y5967" s="6"/>
      <c r="Z5967" s="6"/>
      <c r="AA5967" s="6" t="s">
        <v>793</v>
      </c>
      <c r="AB5967" s="8"/>
    </row>
    <row r="5968" spans="1:28" s="4" customFormat="1" ht="51.95" customHeight="1">
      <c r="A5968" s="5">
        <v>0</v>
      </c>
      <c r="B5968" s="6" t="s">
        <v>34890</v>
      </c>
      <c r="C5968" s="13">
        <v>2050</v>
      </c>
      <c r="D5968" s="8" t="s">
        <v>34891</v>
      </c>
      <c r="E5968" s="8" t="s">
        <v>34892</v>
      </c>
      <c r="F5968" s="8" t="s">
        <v>7752</v>
      </c>
      <c r="G5968" s="6" t="s">
        <v>52</v>
      </c>
      <c r="H5968" s="6" t="s">
        <v>77</v>
      </c>
      <c r="I5968" s="8" t="s">
        <v>116</v>
      </c>
      <c r="J5968" s="9">
        <v>1</v>
      </c>
      <c r="K5968" s="9">
        <v>447</v>
      </c>
      <c r="L5968" s="9">
        <v>2024</v>
      </c>
      <c r="M5968" s="8" t="s">
        <v>34893</v>
      </c>
      <c r="N5968" s="8" t="s">
        <v>41</v>
      </c>
      <c r="O5968" s="8" t="s">
        <v>1007</v>
      </c>
      <c r="P5968" s="6" t="s">
        <v>43</v>
      </c>
      <c r="Q5968" s="8" t="s">
        <v>44</v>
      </c>
      <c r="R5968" s="10" t="s">
        <v>34894</v>
      </c>
      <c r="S5968" s="11" t="s">
        <v>34895</v>
      </c>
      <c r="T5968" s="6"/>
      <c r="U5968" s="24" t="str">
        <f>HYPERLINK("https://media.infra-m.ru/2083/2083502/cover/2083502.jpg", "Обложка")</f>
        <v>Обложка</v>
      </c>
      <c r="V5968" s="24" t="str">
        <f>HYPERLINK("https://znanium.ru/catalog/product/2083502", "Ознакомиться")</f>
        <v>Ознакомиться</v>
      </c>
      <c r="W5968" s="8" t="s">
        <v>19673</v>
      </c>
      <c r="X5968" s="6"/>
      <c r="Y5968" s="6"/>
      <c r="Z5968" s="6"/>
      <c r="AA5968" s="6" t="s">
        <v>1259</v>
      </c>
      <c r="AB5968" s="8"/>
    </row>
    <row r="5969" spans="1:28" s="4" customFormat="1" ht="42" customHeight="1">
      <c r="A5969" s="5">
        <v>0</v>
      </c>
      <c r="B5969" s="6" t="s">
        <v>34896</v>
      </c>
      <c r="C5969" s="13">
        <v>1820</v>
      </c>
      <c r="D5969" s="8" t="s">
        <v>34897</v>
      </c>
      <c r="E5969" s="8" t="s">
        <v>34898</v>
      </c>
      <c r="F5969" s="8" t="s">
        <v>34899</v>
      </c>
      <c r="G5969" s="6" t="s">
        <v>89</v>
      </c>
      <c r="H5969" s="6" t="s">
        <v>53</v>
      </c>
      <c r="I5969" s="8" t="s">
        <v>116</v>
      </c>
      <c r="J5969" s="9">
        <v>1</v>
      </c>
      <c r="K5969" s="9">
        <v>376</v>
      </c>
      <c r="L5969" s="9">
        <v>2024</v>
      </c>
      <c r="M5969" s="8" t="s">
        <v>34900</v>
      </c>
      <c r="N5969" s="8" t="s">
        <v>41</v>
      </c>
      <c r="O5969" s="8" t="s">
        <v>118</v>
      </c>
      <c r="P5969" s="6" t="s">
        <v>167</v>
      </c>
      <c r="Q5969" s="8" t="s">
        <v>44</v>
      </c>
      <c r="R5969" s="10" t="s">
        <v>18902</v>
      </c>
      <c r="S5969" s="11"/>
      <c r="T5969" s="6"/>
      <c r="U5969" s="24" t="str">
        <f>HYPERLINK("https://media.infra-m.ru/2128/2128109/cover/2128109.jpg", "Обложка")</f>
        <v>Обложка</v>
      </c>
      <c r="V5969" s="24" t="str">
        <f>HYPERLINK("https://znanium.ru/catalog/product/2128109", "Ознакомиться")</f>
        <v>Ознакомиться</v>
      </c>
      <c r="W5969" s="8" t="s">
        <v>334</v>
      </c>
      <c r="X5969" s="6"/>
      <c r="Y5969" s="6"/>
      <c r="Z5969" s="6"/>
      <c r="AA5969" s="6" t="s">
        <v>2657</v>
      </c>
      <c r="AB5969" s="8"/>
    </row>
    <row r="5970" spans="1:28" s="4" customFormat="1" ht="44.1" customHeight="1">
      <c r="A5970" s="5">
        <v>0</v>
      </c>
      <c r="B5970" s="6" t="s">
        <v>34901</v>
      </c>
      <c r="C5970" s="13">
        <v>1580</v>
      </c>
      <c r="D5970" s="8" t="s">
        <v>34902</v>
      </c>
      <c r="E5970" s="8" t="s">
        <v>34903</v>
      </c>
      <c r="F5970" s="8" t="s">
        <v>7752</v>
      </c>
      <c r="G5970" s="6" t="s">
        <v>89</v>
      </c>
      <c r="H5970" s="6" t="s">
        <v>77</v>
      </c>
      <c r="I5970" s="8" t="s">
        <v>90</v>
      </c>
      <c r="J5970" s="9">
        <v>1</v>
      </c>
      <c r="K5970" s="9">
        <v>336</v>
      </c>
      <c r="L5970" s="9">
        <v>2020</v>
      </c>
      <c r="M5970" s="8" t="s">
        <v>34904</v>
      </c>
      <c r="N5970" s="8" t="s">
        <v>41</v>
      </c>
      <c r="O5970" s="8" t="s">
        <v>1007</v>
      </c>
      <c r="P5970" s="6" t="s">
        <v>43</v>
      </c>
      <c r="Q5970" s="8" t="s">
        <v>44</v>
      </c>
      <c r="R5970" s="10" t="s">
        <v>34894</v>
      </c>
      <c r="S5970" s="11"/>
      <c r="T5970" s="6"/>
      <c r="U5970" s="24" t="str">
        <f>HYPERLINK("https://media.infra-m.ru/1085/1085897/cover/1085897.jpg", "Обложка")</f>
        <v>Обложка</v>
      </c>
      <c r="V5970" s="24" t="str">
        <f>HYPERLINK("https://znanium.ru/catalog/product/2083502", "Ознакомиться")</f>
        <v>Ознакомиться</v>
      </c>
      <c r="W5970" s="8" t="s">
        <v>19673</v>
      </c>
      <c r="X5970" s="6"/>
      <c r="Y5970" s="6"/>
      <c r="Z5970" s="6"/>
      <c r="AA5970" s="6" t="s">
        <v>47</v>
      </c>
      <c r="AB5970" s="8"/>
    </row>
    <row r="5971" spans="1:28" s="4" customFormat="1" ht="51.95" customHeight="1">
      <c r="A5971" s="5">
        <v>0</v>
      </c>
      <c r="B5971" s="6" t="s">
        <v>34905</v>
      </c>
      <c r="C5971" s="7">
        <v>690</v>
      </c>
      <c r="D5971" s="8" t="s">
        <v>34906</v>
      </c>
      <c r="E5971" s="8" t="s">
        <v>34907</v>
      </c>
      <c r="F5971" s="8" t="s">
        <v>34908</v>
      </c>
      <c r="G5971" s="6" t="s">
        <v>89</v>
      </c>
      <c r="H5971" s="6" t="s">
        <v>53</v>
      </c>
      <c r="I5971" s="8" t="s">
        <v>116</v>
      </c>
      <c r="J5971" s="9">
        <v>1</v>
      </c>
      <c r="K5971" s="9">
        <v>143</v>
      </c>
      <c r="L5971" s="9">
        <v>2024</v>
      </c>
      <c r="M5971" s="8" t="s">
        <v>34909</v>
      </c>
      <c r="N5971" s="8" t="s">
        <v>41</v>
      </c>
      <c r="O5971" s="8" t="s">
        <v>118</v>
      </c>
      <c r="P5971" s="6" t="s">
        <v>43</v>
      </c>
      <c r="Q5971" s="8" t="s">
        <v>44</v>
      </c>
      <c r="R5971" s="10" t="s">
        <v>34910</v>
      </c>
      <c r="S5971" s="11" t="s">
        <v>34911</v>
      </c>
      <c r="T5971" s="6"/>
      <c r="U5971" s="24" t="str">
        <f>HYPERLINK("https://media.infra-m.ru/2053/2053223/cover/2053223.jpg", "Обложка")</f>
        <v>Обложка</v>
      </c>
      <c r="V5971" s="24" t="str">
        <f>HYPERLINK("https://znanium.ru/catalog/product/2053223", "Ознакомиться")</f>
        <v>Ознакомиться</v>
      </c>
      <c r="W5971" s="8" t="s">
        <v>189</v>
      </c>
      <c r="X5971" s="6"/>
      <c r="Y5971" s="6"/>
      <c r="Z5971" s="6"/>
      <c r="AA5971" s="6" t="s">
        <v>47</v>
      </c>
      <c r="AB5971" s="8"/>
    </row>
    <row r="5972" spans="1:28" s="4" customFormat="1" ht="42" customHeight="1">
      <c r="A5972" s="5">
        <v>0</v>
      </c>
      <c r="B5972" s="6" t="s">
        <v>34912</v>
      </c>
      <c r="C5972" s="13">
        <v>1624</v>
      </c>
      <c r="D5972" s="8" t="s">
        <v>34913</v>
      </c>
      <c r="E5972" s="8" t="s">
        <v>34914</v>
      </c>
      <c r="F5972" s="8" t="s">
        <v>34915</v>
      </c>
      <c r="G5972" s="6" t="s">
        <v>89</v>
      </c>
      <c r="H5972" s="6" t="s">
        <v>77</v>
      </c>
      <c r="I5972" s="8" t="s">
        <v>2979</v>
      </c>
      <c r="J5972" s="9">
        <v>1</v>
      </c>
      <c r="K5972" s="9">
        <v>360</v>
      </c>
      <c r="L5972" s="9">
        <v>2023</v>
      </c>
      <c r="M5972" s="8" t="s">
        <v>34916</v>
      </c>
      <c r="N5972" s="8" t="s">
        <v>41</v>
      </c>
      <c r="O5972" s="8" t="s">
        <v>1007</v>
      </c>
      <c r="P5972" s="6" t="s">
        <v>43</v>
      </c>
      <c r="Q5972" s="8" t="s">
        <v>279</v>
      </c>
      <c r="R5972" s="10" t="s">
        <v>1380</v>
      </c>
      <c r="S5972" s="11"/>
      <c r="T5972" s="6"/>
      <c r="U5972" s="24" t="str">
        <f>HYPERLINK("https://media.infra-m.ru/2115/2115314/cover/2115314.jpg", "Обложка")</f>
        <v>Обложка</v>
      </c>
      <c r="V5972" s="24" t="str">
        <f>HYPERLINK("https://znanium.ru/catalog/product/2115312", "Ознакомиться")</f>
        <v>Ознакомиться</v>
      </c>
      <c r="W5972" s="8" t="s">
        <v>83</v>
      </c>
      <c r="X5972" s="6"/>
      <c r="Y5972" s="6"/>
      <c r="Z5972" s="6"/>
      <c r="AA5972" s="6" t="s">
        <v>418</v>
      </c>
      <c r="AB5972" s="8"/>
    </row>
    <row r="5973" spans="1:28" s="4" customFormat="1" ht="44.1" customHeight="1">
      <c r="A5973" s="5">
        <v>0</v>
      </c>
      <c r="B5973" s="6" t="s">
        <v>34917</v>
      </c>
      <c r="C5973" s="13">
        <v>1774</v>
      </c>
      <c r="D5973" s="8" t="s">
        <v>34918</v>
      </c>
      <c r="E5973" s="8" t="s">
        <v>34919</v>
      </c>
      <c r="F5973" s="8" t="s">
        <v>34920</v>
      </c>
      <c r="G5973" s="6" t="s">
        <v>52</v>
      </c>
      <c r="H5973" s="6" t="s">
        <v>53</v>
      </c>
      <c r="I5973" s="8" t="s">
        <v>276</v>
      </c>
      <c r="J5973" s="9">
        <v>1</v>
      </c>
      <c r="K5973" s="9">
        <v>377</v>
      </c>
      <c r="L5973" s="9">
        <v>2024</v>
      </c>
      <c r="M5973" s="8" t="s">
        <v>34921</v>
      </c>
      <c r="N5973" s="8" t="s">
        <v>41</v>
      </c>
      <c r="O5973" s="8" t="s">
        <v>1007</v>
      </c>
      <c r="P5973" s="6" t="s">
        <v>167</v>
      </c>
      <c r="Q5973" s="8" t="s">
        <v>279</v>
      </c>
      <c r="R5973" s="10" t="s">
        <v>6196</v>
      </c>
      <c r="S5973" s="11"/>
      <c r="T5973" s="6"/>
      <c r="U5973" s="24" t="str">
        <f>HYPERLINK("https://media.infra-m.ru/2144/2144065/cover/2144065.jpg", "Обложка")</f>
        <v>Обложка</v>
      </c>
      <c r="V5973" s="24" t="str">
        <f>HYPERLINK("https://znanium.ru/catalog/product/1844272", "Ознакомиться")</f>
        <v>Ознакомиться</v>
      </c>
      <c r="W5973" s="8" t="s">
        <v>947</v>
      </c>
      <c r="X5973" s="6"/>
      <c r="Y5973" s="6"/>
      <c r="Z5973" s="6"/>
      <c r="AA5973" s="6" t="s">
        <v>47</v>
      </c>
      <c r="AB5973" s="8"/>
    </row>
    <row r="5974" spans="1:28" s="4" customFormat="1" ht="42" customHeight="1">
      <c r="A5974" s="5">
        <v>0</v>
      </c>
      <c r="B5974" s="6" t="s">
        <v>34922</v>
      </c>
      <c r="C5974" s="13">
        <v>1034.9000000000001</v>
      </c>
      <c r="D5974" s="8" t="s">
        <v>34923</v>
      </c>
      <c r="E5974" s="8" t="s">
        <v>34924</v>
      </c>
      <c r="F5974" s="8" t="s">
        <v>34925</v>
      </c>
      <c r="G5974" s="6" t="s">
        <v>52</v>
      </c>
      <c r="H5974" s="6" t="s">
        <v>53</v>
      </c>
      <c r="I5974" s="8" t="s">
        <v>2511</v>
      </c>
      <c r="J5974" s="9">
        <v>1</v>
      </c>
      <c r="K5974" s="9">
        <v>304</v>
      </c>
      <c r="L5974" s="9">
        <v>2019</v>
      </c>
      <c r="M5974" s="8" t="s">
        <v>34926</v>
      </c>
      <c r="N5974" s="8" t="s">
        <v>41</v>
      </c>
      <c r="O5974" s="8" t="s">
        <v>1007</v>
      </c>
      <c r="P5974" s="6" t="s">
        <v>1046</v>
      </c>
      <c r="Q5974" s="8" t="s">
        <v>279</v>
      </c>
      <c r="R5974" s="10" t="s">
        <v>2701</v>
      </c>
      <c r="S5974" s="11"/>
      <c r="T5974" s="6" t="s">
        <v>299</v>
      </c>
      <c r="U5974" s="24" t="str">
        <f>HYPERLINK("https://media.infra-m.ru/1012/1012461/cover/1012461.jpg", "Обложка")</f>
        <v>Обложка</v>
      </c>
      <c r="V5974" s="24" t="str">
        <f>HYPERLINK("https://znanium.ru/catalog/product/1012461", "Ознакомиться")</f>
        <v>Ознакомиться</v>
      </c>
      <c r="W5974" s="8" t="s">
        <v>189</v>
      </c>
      <c r="X5974" s="6"/>
      <c r="Y5974" s="6"/>
      <c r="Z5974" s="6"/>
      <c r="AA5974" s="6" t="s">
        <v>84</v>
      </c>
      <c r="AB5974" s="8"/>
    </row>
    <row r="5975" spans="1:28" s="4" customFormat="1" ht="51.95" customHeight="1">
      <c r="A5975" s="5">
        <v>0</v>
      </c>
      <c r="B5975" s="6" t="s">
        <v>34927</v>
      </c>
      <c r="C5975" s="13">
        <v>1544</v>
      </c>
      <c r="D5975" s="8" t="s">
        <v>34928</v>
      </c>
      <c r="E5975" s="8" t="s">
        <v>34929</v>
      </c>
      <c r="F5975" s="8" t="s">
        <v>34930</v>
      </c>
      <c r="G5975" s="6" t="s">
        <v>52</v>
      </c>
      <c r="H5975" s="6" t="s">
        <v>77</v>
      </c>
      <c r="I5975" s="8"/>
      <c r="J5975" s="9">
        <v>1</v>
      </c>
      <c r="K5975" s="9">
        <v>336</v>
      </c>
      <c r="L5975" s="9">
        <v>2024</v>
      </c>
      <c r="M5975" s="8" t="s">
        <v>34931</v>
      </c>
      <c r="N5975" s="8" t="s">
        <v>41</v>
      </c>
      <c r="O5975" s="8" t="s">
        <v>1007</v>
      </c>
      <c r="P5975" s="6" t="s">
        <v>167</v>
      </c>
      <c r="Q5975" s="8" t="s">
        <v>279</v>
      </c>
      <c r="R5975" s="10" t="s">
        <v>34932</v>
      </c>
      <c r="S5975" s="11" t="s">
        <v>34933</v>
      </c>
      <c r="T5975" s="6"/>
      <c r="U5975" s="24" t="str">
        <f>HYPERLINK("https://media.infra-m.ru/2094/2094521/cover/2094521.jpg", "Обложка")</f>
        <v>Обложка</v>
      </c>
      <c r="V5975" s="24" t="str">
        <f>HYPERLINK("https://znanium.ru/catalog/product/2094521", "Ознакомиться")</f>
        <v>Ознакомиться</v>
      </c>
      <c r="W5975" s="8" t="s">
        <v>83</v>
      </c>
      <c r="X5975" s="6"/>
      <c r="Y5975" s="6"/>
      <c r="Z5975" s="6"/>
      <c r="AA5975" s="6" t="s">
        <v>377</v>
      </c>
      <c r="AB5975" s="8"/>
    </row>
    <row r="5976" spans="1:28" s="4" customFormat="1" ht="51.95" customHeight="1">
      <c r="A5976" s="5">
        <v>0</v>
      </c>
      <c r="B5976" s="6" t="s">
        <v>34934</v>
      </c>
      <c r="C5976" s="13">
        <v>1364</v>
      </c>
      <c r="D5976" s="8" t="s">
        <v>34935</v>
      </c>
      <c r="E5976" s="8" t="s">
        <v>34936</v>
      </c>
      <c r="F5976" s="8" t="s">
        <v>34937</v>
      </c>
      <c r="G5976" s="6" t="s">
        <v>52</v>
      </c>
      <c r="H5976" s="6" t="s">
        <v>53</v>
      </c>
      <c r="I5976" s="8" t="s">
        <v>90</v>
      </c>
      <c r="J5976" s="9">
        <v>1</v>
      </c>
      <c r="K5976" s="9">
        <v>302</v>
      </c>
      <c r="L5976" s="9">
        <v>2023</v>
      </c>
      <c r="M5976" s="8" t="s">
        <v>34938</v>
      </c>
      <c r="N5976" s="8" t="s">
        <v>41</v>
      </c>
      <c r="O5976" s="8" t="s">
        <v>1007</v>
      </c>
      <c r="P5976" s="6" t="s">
        <v>43</v>
      </c>
      <c r="Q5976" s="8" t="s">
        <v>44</v>
      </c>
      <c r="R5976" s="10" t="s">
        <v>34939</v>
      </c>
      <c r="S5976" s="11" t="s">
        <v>34940</v>
      </c>
      <c r="T5976" s="6"/>
      <c r="U5976" s="24" t="str">
        <f>HYPERLINK("https://media.infra-m.ru/2021/2021457/cover/2021457.jpg", "Обложка")</f>
        <v>Обложка</v>
      </c>
      <c r="V5976" s="24" t="str">
        <f>HYPERLINK("https://znanium.ru/catalog/product/1039916", "Ознакомиться")</f>
        <v>Ознакомиться</v>
      </c>
      <c r="W5976" s="8" t="s">
        <v>9885</v>
      </c>
      <c r="X5976" s="6"/>
      <c r="Y5976" s="6"/>
      <c r="Z5976" s="6"/>
      <c r="AA5976" s="6" t="s">
        <v>219</v>
      </c>
      <c r="AB5976" s="8"/>
    </row>
    <row r="5977" spans="1:28" s="4" customFormat="1" ht="51.95" customHeight="1">
      <c r="A5977" s="5">
        <v>0</v>
      </c>
      <c r="B5977" s="6" t="s">
        <v>34941</v>
      </c>
      <c r="C5977" s="13">
        <v>1070</v>
      </c>
      <c r="D5977" s="8" t="s">
        <v>34942</v>
      </c>
      <c r="E5977" s="8" t="s">
        <v>34943</v>
      </c>
      <c r="F5977" s="8" t="s">
        <v>34944</v>
      </c>
      <c r="G5977" s="6" t="s">
        <v>89</v>
      </c>
      <c r="H5977" s="6" t="s">
        <v>952</v>
      </c>
      <c r="I5977" s="8"/>
      <c r="J5977" s="9">
        <v>1</v>
      </c>
      <c r="K5977" s="9">
        <v>232</v>
      </c>
      <c r="L5977" s="9">
        <v>2024</v>
      </c>
      <c r="M5977" s="8" t="s">
        <v>34945</v>
      </c>
      <c r="N5977" s="8" t="s">
        <v>41</v>
      </c>
      <c r="O5977" s="8" t="s">
        <v>278</v>
      </c>
      <c r="P5977" s="6" t="s">
        <v>43</v>
      </c>
      <c r="Q5977" s="8" t="s">
        <v>44</v>
      </c>
      <c r="R5977" s="10" t="s">
        <v>3432</v>
      </c>
      <c r="S5977" s="11"/>
      <c r="T5977" s="6"/>
      <c r="U5977" s="24" t="str">
        <f>HYPERLINK("https://media.infra-m.ru/2117/2117565/cover/2117565.jpg", "Обложка")</f>
        <v>Обложка</v>
      </c>
      <c r="V5977" s="24" t="str">
        <f>HYPERLINK("https://znanium.ru/catalog/product/2117565", "Ознакомиться")</f>
        <v>Ознакомиться</v>
      </c>
      <c r="W5977" s="8" t="s">
        <v>12607</v>
      </c>
      <c r="X5977" s="6"/>
      <c r="Y5977" s="6"/>
      <c r="Z5977" s="6"/>
      <c r="AA5977" s="6" t="s">
        <v>219</v>
      </c>
      <c r="AB5977" s="8"/>
    </row>
    <row r="5978" spans="1:28" s="4" customFormat="1" ht="51.95" customHeight="1">
      <c r="A5978" s="5">
        <v>0</v>
      </c>
      <c r="B5978" s="6" t="s">
        <v>34946</v>
      </c>
      <c r="C5978" s="13">
        <v>2544</v>
      </c>
      <c r="D5978" s="8" t="s">
        <v>34947</v>
      </c>
      <c r="E5978" s="8" t="s">
        <v>34948</v>
      </c>
      <c r="F5978" s="8" t="s">
        <v>14485</v>
      </c>
      <c r="G5978" s="6" t="s">
        <v>52</v>
      </c>
      <c r="H5978" s="6" t="s">
        <v>53</v>
      </c>
      <c r="I5978" s="8" t="s">
        <v>90</v>
      </c>
      <c r="J5978" s="9">
        <v>1</v>
      </c>
      <c r="K5978" s="9">
        <v>552</v>
      </c>
      <c r="L5978" s="9">
        <v>2024</v>
      </c>
      <c r="M5978" s="8" t="s">
        <v>34949</v>
      </c>
      <c r="N5978" s="8" t="s">
        <v>41</v>
      </c>
      <c r="O5978" s="8" t="s">
        <v>1007</v>
      </c>
      <c r="P5978" s="6" t="s">
        <v>167</v>
      </c>
      <c r="Q5978" s="8" t="s">
        <v>44</v>
      </c>
      <c r="R5978" s="10" t="s">
        <v>34950</v>
      </c>
      <c r="S5978" s="11" t="s">
        <v>34951</v>
      </c>
      <c r="T5978" s="6"/>
      <c r="U5978" s="24" t="str">
        <f>HYPERLINK("https://media.infra-m.ru/2102/2102675/cover/2102675.jpg", "Обложка")</f>
        <v>Обложка</v>
      </c>
      <c r="V5978" s="24" t="str">
        <f>HYPERLINK("https://znanium.ru/catalog/product/1931478", "Ознакомиться")</f>
        <v>Ознакомиться</v>
      </c>
      <c r="W5978" s="8" t="s">
        <v>14488</v>
      </c>
      <c r="X5978" s="6"/>
      <c r="Y5978" s="6"/>
      <c r="Z5978" s="6"/>
      <c r="AA5978" s="6" t="s">
        <v>1259</v>
      </c>
      <c r="AB5978" s="8"/>
    </row>
    <row r="5979" spans="1:28" s="4" customFormat="1" ht="42" customHeight="1">
      <c r="A5979" s="5">
        <v>0</v>
      </c>
      <c r="B5979" s="6" t="s">
        <v>34952</v>
      </c>
      <c r="C5979" s="13">
        <v>1110</v>
      </c>
      <c r="D5979" s="8" t="s">
        <v>34953</v>
      </c>
      <c r="E5979" s="8" t="s">
        <v>34954</v>
      </c>
      <c r="F5979" s="8" t="s">
        <v>15557</v>
      </c>
      <c r="G5979" s="6" t="s">
        <v>52</v>
      </c>
      <c r="H5979" s="6" t="s">
        <v>53</v>
      </c>
      <c r="I5979" s="8" t="s">
        <v>276</v>
      </c>
      <c r="J5979" s="9">
        <v>1</v>
      </c>
      <c r="K5979" s="9">
        <v>215</v>
      </c>
      <c r="L5979" s="9">
        <v>2024</v>
      </c>
      <c r="M5979" s="8" t="s">
        <v>34955</v>
      </c>
      <c r="N5979" s="8" t="s">
        <v>41</v>
      </c>
      <c r="O5979" s="8" t="s">
        <v>1007</v>
      </c>
      <c r="P5979" s="6" t="s">
        <v>43</v>
      </c>
      <c r="Q5979" s="8" t="s">
        <v>279</v>
      </c>
      <c r="R5979" s="10" t="s">
        <v>34956</v>
      </c>
      <c r="S5979" s="11"/>
      <c r="T5979" s="6"/>
      <c r="U5979" s="24" t="str">
        <f>HYPERLINK("https://media.infra-m.ru/1911/1911014/cover/1911014.jpg", "Обложка")</f>
        <v>Обложка</v>
      </c>
      <c r="V5979" s="24" t="str">
        <f>HYPERLINK("https://znanium.ru/catalog/product/1911014", "Ознакомиться")</f>
        <v>Ознакомиться</v>
      </c>
      <c r="W5979" s="8" t="s">
        <v>15561</v>
      </c>
      <c r="X5979" s="6"/>
      <c r="Y5979" s="6"/>
      <c r="Z5979" s="6"/>
      <c r="AA5979" s="6" t="s">
        <v>133</v>
      </c>
      <c r="AB5979" s="8"/>
    </row>
    <row r="5980" spans="1:28" s="4" customFormat="1" ht="51.95" customHeight="1">
      <c r="A5980" s="5">
        <v>0</v>
      </c>
      <c r="B5980" s="6" t="s">
        <v>34957</v>
      </c>
      <c r="C5980" s="7">
        <v>764.9</v>
      </c>
      <c r="D5980" s="8" t="s">
        <v>34958</v>
      </c>
      <c r="E5980" s="8" t="s">
        <v>34959</v>
      </c>
      <c r="F5980" s="8" t="s">
        <v>34960</v>
      </c>
      <c r="G5980" s="6" t="s">
        <v>52</v>
      </c>
      <c r="H5980" s="6" t="s">
        <v>39</v>
      </c>
      <c r="I5980" s="8" t="s">
        <v>90</v>
      </c>
      <c r="J5980" s="9">
        <v>1</v>
      </c>
      <c r="K5980" s="9">
        <v>169</v>
      </c>
      <c r="L5980" s="9">
        <v>2023</v>
      </c>
      <c r="M5980" s="8" t="s">
        <v>34961</v>
      </c>
      <c r="N5980" s="8" t="s">
        <v>41</v>
      </c>
      <c r="O5980" s="8" t="s">
        <v>1007</v>
      </c>
      <c r="P5980" s="6" t="s">
        <v>43</v>
      </c>
      <c r="Q5980" s="8" t="s">
        <v>44</v>
      </c>
      <c r="R5980" s="10" t="s">
        <v>4159</v>
      </c>
      <c r="S5980" s="11" t="s">
        <v>34962</v>
      </c>
      <c r="T5980" s="6"/>
      <c r="U5980" s="24" t="str">
        <f>HYPERLINK("https://media.infra-m.ru/1976/1976168/cover/1976168.jpg", "Обложка")</f>
        <v>Обложка</v>
      </c>
      <c r="V5980" s="24" t="str">
        <f>HYPERLINK("https://znanium.ru/catalog/product/1976168", "Ознакомиться")</f>
        <v>Ознакомиться</v>
      </c>
      <c r="W5980" s="8" t="s">
        <v>94</v>
      </c>
      <c r="X5980" s="6"/>
      <c r="Y5980" s="6"/>
      <c r="Z5980" s="6" t="s">
        <v>335</v>
      </c>
      <c r="AA5980" s="6" t="s">
        <v>707</v>
      </c>
      <c r="AB5980" s="8"/>
    </row>
    <row r="5981" spans="1:28" s="4" customFormat="1" ht="51.95" customHeight="1">
      <c r="A5981" s="5">
        <v>0</v>
      </c>
      <c r="B5981" s="6" t="s">
        <v>34963</v>
      </c>
      <c r="C5981" s="7">
        <v>944</v>
      </c>
      <c r="D5981" s="8" t="s">
        <v>34964</v>
      </c>
      <c r="E5981" s="8" t="s">
        <v>34965</v>
      </c>
      <c r="F5981" s="8" t="s">
        <v>34966</v>
      </c>
      <c r="G5981" s="6" t="s">
        <v>52</v>
      </c>
      <c r="H5981" s="6" t="s">
        <v>53</v>
      </c>
      <c r="I5981" s="8" t="s">
        <v>90</v>
      </c>
      <c r="J5981" s="9">
        <v>1</v>
      </c>
      <c r="K5981" s="9">
        <v>207</v>
      </c>
      <c r="L5981" s="9">
        <v>2023</v>
      </c>
      <c r="M5981" s="8" t="s">
        <v>34967</v>
      </c>
      <c r="N5981" s="8" t="s">
        <v>997</v>
      </c>
      <c r="O5981" s="8" t="s">
        <v>998</v>
      </c>
      <c r="P5981" s="6" t="s">
        <v>43</v>
      </c>
      <c r="Q5981" s="8" t="s">
        <v>44</v>
      </c>
      <c r="R5981" s="10" t="s">
        <v>19715</v>
      </c>
      <c r="S5981" s="11" t="s">
        <v>34968</v>
      </c>
      <c r="T5981" s="6"/>
      <c r="U5981" s="24" t="str">
        <f>HYPERLINK("https://media.infra-m.ru/2023/2023208/cover/2023208.jpg", "Обложка")</f>
        <v>Обложка</v>
      </c>
      <c r="V5981" s="24" t="str">
        <f>HYPERLINK("https://znanium.ru/catalog/product/995584", "Ознакомиться")</f>
        <v>Ознакомиться</v>
      </c>
      <c r="W5981" s="8" t="s">
        <v>6875</v>
      </c>
      <c r="X5981" s="6"/>
      <c r="Y5981" s="6"/>
      <c r="Z5981" s="6"/>
      <c r="AA5981" s="6" t="s">
        <v>258</v>
      </c>
      <c r="AB5981" s="8"/>
    </row>
    <row r="5982" spans="1:28" s="4" customFormat="1" ht="51.95" customHeight="1">
      <c r="A5982" s="5">
        <v>0</v>
      </c>
      <c r="B5982" s="6" t="s">
        <v>34969</v>
      </c>
      <c r="C5982" s="13">
        <v>1524</v>
      </c>
      <c r="D5982" s="8" t="s">
        <v>34970</v>
      </c>
      <c r="E5982" s="8" t="s">
        <v>34965</v>
      </c>
      <c r="F5982" s="8" t="s">
        <v>34971</v>
      </c>
      <c r="G5982" s="6" t="s">
        <v>89</v>
      </c>
      <c r="H5982" s="6" t="s">
        <v>53</v>
      </c>
      <c r="I5982" s="8" t="s">
        <v>90</v>
      </c>
      <c r="J5982" s="9">
        <v>1</v>
      </c>
      <c r="K5982" s="9">
        <v>304</v>
      </c>
      <c r="L5982" s="9">
        <v>2025</v>
      </c>
      <c r="M5982" s="8" t="s">
        <v>34972</v>
      </c>
      <c r="N5982" s="8" t="s">
        <v>41</v>
      </c>
      <c r="O5982" s="8" t="s">
        <v>1007</v>
      </c>
      <c r="P5982" s="6" t="s">
        <v>43</v>
      </c>
      <c r="Q5982" s="8" t="s">
        <v>44</v>
      </c>
      <c r="R5982" s="10" t="s">
        <v>34973</v>
      </c>
      <c r="S5982" s="11" t="s">
        <v>34974</v>
      </c>
      <c r="T5982" s="6"/>
      <c r="U5982" s="24" t="str">
        <f>HYPERLINK("https://media.infra-m.ru/2157/2157925/cover/2157925.jpg", "Обложка")</f>
        <v>Обложка</v>
      </c>
      <c r="V5982" s="24" t="str">
        <f>HYPERLINK("https://znanium.ru/catalog/product/1832386", "Ознакомиться")</f>
        <v>Ознакомиться</v>
      </c>
      <c r="W5982" s="8" t="s">
        <v>7944</v>
      </c>
      <c r="X5982" s="6"/>
      <c r="Y5982" s="6"/>
      <c r="Z5982" s="6"/>
      <c r="AA5982" s="6" t="s">
        <v>442</v>
      </c>
      <c r="AB5982" s="8"/>
    </row>
    <row r="5983" spans="1:28" s="4" customFormat="1" ht="51.95" customHeight="1">
      <c r="A5983" s="5">
        <v>0</v>
      </c>
      <c r="B5983" s="6" t="s">
        <v>34975</v>
      </c>
      <c r="C5983" s="13">
        <v>1724.9</v>
      </c>
      <c r="D5983" s="8" t="s">
        <v>34976</v>
      </c>
      <c r="E5983" s="8" t="s">
        <v>34977</v>
      </c>
      <c r="F5983" s="8" t="s">
        <v>34966</v>
      </c>
      <c r="G5983" s="6" t="s">
        <v>89</v>
      </c>
      <c r="H5983" s="6" t="s">
        <v>438</v>
      </c>
      <c r="I5983" s="8"/>
      <c r="J5983" s="9">
        <v>1</v>
      </c>
      <c r="K5983" s="9">
        <v>384</v>
      </c>
      <c r="L5983" s="9">
        <v>2021</v>
      </c>
      <c r="M5983" s="8" t="s">
        <v>34978</v>
      </c>
      <c r="N5983" s="8" t="s">
        <v>997</v>
      </c>
      <c r="O5983" s="8" t="s">
        <v>998</v>
      </c>
      <c r="P5983" s="6" t="s">
        <v>167</v>
      </c>
      <c r="Q5983" s="8" t="s">
        <v>44</v>
      </c>
      <c r="R5983" s="10" t="s">
        <v>34979</v>
      </c>
      <c r="S5983" s="11" t="s">
        <v>34980</v>
      </c>
      <c r="T5983" s="6"/>
      <c r="U5983" s="24" t="str">
        <f>HYPERLINK("https://media.infra-m.ru/1911/1911820/cover/1911820.jpg", "Обложка")</f>
        <v>Обложка</v>
      </c>
      <c r="V5983" s="24" t="str">
        <f>HYPERLINK("https://znanium.ru/catalog/product/1118442", "Ознакомиться")</f>
        <v>Ознакомиться</v>
      </c>
      <c r="W5983" s="8" t="s">
        <v>6875</v>
      </c>
      <c r="X5983" s="6"/>
      <c r="Y5983" s="6"/>
      <c r="Z5983" s="6"/>
      <c r="AA5983" s="6" t="s">
        <v>196</v>
      </c>
      <c r="AB5983" s="8"/>
    </row>
    <row r="5984" spans="1:28" s="4" customFormat="1" ht="51.95" customHeight="1">
      <c r="A5984" s="5">
        <v>0</v>
      </c>
      <c r="B5984" s="6" t="s">
        <v>34981</v>
      </c>
      <c r="C5984" s="7">
        <v>960</v>
      </c>
      <c r="D5984" s="8" t="s">
        <v>34982</v>
      </c>
      <c r="E5984" s="8" t="s">
        <v>34983</v>
      </c>
      <c r="F5984" s="8" t="s">
        <v>34966</v>
      </c>
      <c r="G5984" s="6" t="s">
        <v>52</v>
      </c>
      <c r="H5984" s="6" t="s">
        <v>438</v>
      </c>
      <c r="I5984" s="8"/>
      <c r="J5984" s="9">
        <v>1</v>
      </c>
      <c r="K5984" s="9">
        <v>384</v>
      </c>
      <c r="L5984" s="9">
        <v>2017</v>
      </c>
      <c r="M5984" s="8" t="s">
        <v>34984</v>
      </c>
      <c r="N5984" s="8" t="s">
        <v>997</v>
      </c>
      <c r="O5984" s="8" t="s">
        <v>998</v>
      </c>
      <c r="P5984" s="6" t="s">
        <v>167</v>
      </c>
      <c r="Q5984" s="8" t="s">
        <v>44</v>
      </c>
      <c r="R5984" s="10" t="s">
        <v>34979</v>
      </c>
      <c r="S5984" s="11" t="s">
        <v>34980</v>
      </c>
      <c r="T5984" s="6"/>
      <c r="U5984" s="24" t="str">
        <f>HYPERLINK("https://media.infra-m.ru/0905/0905890/cover/905890.jpg", "Обложка")</f>
        <v>Обложка</v>
      </c>
      <c r="V5984" s="24" t="str">
        <f>HYPERLINK("https://znanium.ru/catalog/product/1118442", "Ознакомиться")</f>
        <v>Ознакомиться</v>
      </c>
      <c r="W5984" s="8" t="s">
        <v>6875</v>
      </c>
      <c r="X5984" s="6"/>
      <c r="Y5984" s="6"/>
      <c r="Z5984" s="6"/>
      <c r="AA5984" s="6" t="s">
        <v>418</v>
      </c>
      <c r="AB5984" s="8"/>
    </row>
    <row r="5985" spans="1:28" s="4" customFormat="1" ht="51.95" customHeight="1">
      <c r="A5985" s="5">
        <v>0</v>
      </c>
      <c r="B5985" s="6" t="s">
        <v>34985</v>
      </c>
      <c r="C5985" s="13">
        <v>1860</v>
      </c>
      <c r="D5985" s="8" t="s">
        <v>34986</v>
      </c>
      <c r="E5985" s="8" t="s">
        <v>34983</v>
      </c>
      <c r="F5985" s="8" t="s">
        <v>34987</v>
      </c>
      <c r="G5985" s="6" t="s">
        <v>89</v>
      </c>
      <c r="H5985" s="6" t="s">
        <v>53</v>
      </c>
      <c r="I5985" s="8" t="s">
        <v>90</v>
      </c>
      <c r="J5985" s="9">
        <v>1</v>
      </c>
      <c r="K5985" s="9">
        <v>413</v>
      </c>
      <c r="L5985" s="9">
        <v>2023</v>
      </c>
      <c r="M5985" s="8" t="s">
        <v>34988</v>
      </c>
      <c r="N5985" s="8" t="s">
        <v>41</v>
      </c>
      <c r="O5985" s="8" t="s">
        <v>1007</v>
      </c>
      <c r="P5985" s="6" t="s">
        <v>167</v>
      </c>
      <c r="Q5985" s="8" t="s">
        <v>44</v>
      </c>
      <c r="R5985" s="10" t="s">
        <v>34989</v>
      </c>
      <c r="S5985" s="11" t="s">
        <v>34990</v>
      </c>
      <c r="T5985" s="6"/>
      <c r="U5985" s="24" t="str">
        <f>HYPERLINK("https://media.infra-m.ru/1860/1860813/cover/1860813.jpg", "Обложка")</f>
        <v>Обложка</v>
      </c>
      <c r="V5985" s="24" t="str">
        <f>HYPERLINK("https://znanium.ru/catalog/product/1860813", "Ознакомиться")</f>
        <v>Ознакомиться</v>
      </c>
      <c r="W5985" s="8" t="s">
        <v>7944</v>
      </c>
      <c r="X5985" s="6"/>
      <c r="Y5985" s="6"/>
      <c r="Z5985" s="6"/>
      <c r="AA5985" s="6" t="s">
        <v>442</v>
      </c>
      <c r="AB5985" s="8"/>
    </row>
    <row r="5986" spans="1:28" s="4" customFormat="1" ht="51.95" customHeight="1">
      <c r="A5986" s="5">
        <v>0</v>
      </c>
      <c r="B5986" s="6" t="s">
        <v>34991</v>
      </c>
      <c r="C5986" s="7">
        <v>944</v>
      </c>
      <c r="D5986" s="8" t="s">
        <v>34992</v>
      </c>
      <c r="E5986" s="8" t="s">
        <v>34983</v>
      </c>
      <c r="F5986" s="8" t="s">
        <v>34993</v>
      </c>
      <c r="G5986" s="6" t="s">
        <v>89</v>
      </c>
      <c r="H5986" s="6" t="s">
        <v>53</v>
      </c>
      <c r="I5986" s="8" t="s">
        <v>90</v>
      </c>
      <c r="J5986" s="9">
        <v>1</v>
      </c>
      <c r="K5986" s="9">
        <v>205</v>
      </c>
      <c r="L5986" s="9">
        <v>2024</v>
      </c>
      <c r="M5986" s="8" t="s">
        <v>34994</v>
      </c>
      <c r="N5986" s="8" t="s">
        <v>997</v>
      </c>
      <c r="O5986" s="8" t="s">
        <v>998</v>
      </c>
      <c r="P5986" s="6" t="s">
        <v>167</v>
      </c>
      <c r="Q5986" s="8" t="s">
        <v>44</v>
      </c>
      <c r="R5986" s="10" t="s">
        <v>19715</v>
      </c>
      <c r="S5986" s="11" t="s">
        <v>34995</v>
      </c>
      <c r="T5986" s="6"/>
      <c r="U5986" s="24" t="str">
        <f>HYPERLINK("https://media.infra-m.ru/2102/2102692/cover/2102692.jpg", "Обложка")</f>
        <v>Обложка</v>
      </c>
      <c r="V5986" s="24" t="str">
        <f>HYPERLINK("https://znanium.ru/catalog/product/1255620", "Ознакомиться")</f>
        <v>Ознакомиться</v>
      </c>
      <c r="W5986" s="8" t="s">
        <v>2915</v>
      </c>
      <c r="X5986" s="6"/>
      <c r="Y5986" s="6"/>
      <c r="Z5986" s="6"/>
      <c r="AA5986" s="6" t="s">
        <v>418</v>
      </c>
      <c r="AB5986" s="8"/>
    </row>
    <row r="5987" spans="1:28" s="4" customFormat="1" ht="51.95" customHeight="1">
      <c r="A5987" s="5">
        <v>0</v>
      </c>
      <c r="B5987" s="6" t="s">
        <v>34996</v>
      </c>
      <c r="C5987" s="13">
        <v>1144</v>
      </c>
      <c r="D5987" s="8" t="s">
        <v>34997</v>
      </c>
      <c r="E5987" s="8" t="s">
        <v>34983</v>
      </c>
      <c r="F5987" s="8" t="s">
        <v>34998</v>
      </c>
      <c r="G5987" s="6" t="s">
        <v>52</v>
      </c>
      <c r="H5987" s="6" t="s">
        <v>53</v>
      </c>
      <c r="I5987" s="8" t="s">
        <v>90</v>
      </c>
      <c r="J5987" s="9">
        <v>1</v>
      </c>
      <c r="K5987" s="9">
        <v>219</v>
      </c>
      <c r="L5987" s="9">
        <v>2025</v>
      </c>
      <c r="M5987" s="8" t="s">
        <v>34999</v>
      </c>
      <c r="N5987" s="8" t="s">
        <v>41</v>
      </c>
      <c r="O5987" s="8" t="s">
        <v>1007</v>
      </c>
      <c r="P5987" s="6" t="s">
        <v>43</v>
      </c>
      <c r="Q5987" s="8" t="s">
        <v>44</v>
      </c>
      <c r="R5987" s="10" t="s">
        <v>12407</v>
      </c>
      <c r="S5987" s="11" t="s">
        <v>35000</v>
      </c>
      <c r="T5987" s="6"/>
      <c r="U5987" s="24" t="str">
        <f>HYPERLINK("https://media.infra-m.ru/2194/2194331/cover/2194331.jpg", "Обложка")</f>
        <v>Обложка</v>
      </c>
      <c r="V5987" s="24" t="str">
        <f>HYPERLINK("https://znanium.ru/catalog/product/1911167", "Ознакомиться")</f>
        <v>Ознакомиться</v>
      </c>
      <c r="W5987" s="8" t="s">
        <v>4161</v>
      </c>
      <c r="X5987" s="6"/>
      <c r="Y5987" s="6"/>
      <c r="Z5987" s="6"/>
      <c r="AA5987" s="6" t="s">
        <v>84</v>
      </c>
      <c r="AB5987" s="8"/>
    </row>
    <row r="5988" spans="1:28" s="4" customFormat="1" ht="51.95" customHeight="1">
      <c r="A5988" s="5">
        <v>0</v>
      </c>
      <c r="B5988" s="6" t="s">
        <v>35001</v>
      </c>
      <c r="C5988" s="7">
        <v>850</v>
      </c>
      <c r="D5988" s="8" t="s">
        <v>35002</v>
      </c>
      <c r="E5988" s="8" t="s">
        <v>34959</v>
      </c>
      <c r="F5988" s="8" t="s">
        <v>34960</v>
      </c>
      <c r="G5988" s="6" t="s">
        <v>89</v>
      </c>
      <c r="H5988" s="6" t="s">
        <v>39</v>
      </c>
      <c r="I5988" s="8" t="s">
        <v>100</v>
      </c>
      <c r="J5988" s="9">
        <v>1</v>
      </c>
      <c r="K5988" s="9">
        <v>180</v>
      </c>
      <c r="L5988" s="9">
        <v>2024</v>
      </c>
      <c r="M5988" s="8" t="s">
        <v>35003</v>
      </c>
      <c r="N5988" s="8" t="s">
        <v>41</v>
      </c>
      <c r="O5988" s="8" t="s">
        <v>1007</v>
      </c>
      <c r="P5988" s="6" t="s">
        <v>43</v>
      </c>
      <c r="Q5988" s="8" t="s">
        <v>102</v>
      </c>
      <c r="R5988" s="10" t="s">
        <v>8081</v>
      </c>
      <c r="S5988" s="11" t="s">
        <v>35004</v>
      </c>
      <c r="T5988" s="6"/>
      <c r="U5988" s="24" t="str">
        <f>HYPERLINK("https://media.infra-m.ru/2139/2139211/cover/2139211.jpg", "Обложка")</f>
        <v>Обложка</v>
      </c>
      <c r="V5988" s="24" t="str">
        <f>HYPERLINK("https://znanium.ru/catalog/product/2139211", "Ознакомиться")</f>
        <v>Ознакомиться</v>
      </c>
      <c r="W5988" s="8" t="s">
        <v>94</v>
      </c>
      <c r="X5988" s="6"/>
      <c r="Y5988" s="6"/>
      <c r="Z5988" s="6"/>
      <c r="AA5988" s="6" t="s">
        <v>707</v>
      </c>
      <c r="AB5988" s="8"/>
    </row>
    <row r="5989" spans="1:28" s="4" customFormat="1" ht="51.95" customHeight="1">
      <c r="A5989" s="5">
        <v>0</v>
      </c>
      <c r="B5989" s="6" t="s">
        <v>35005</v>
      </c>
      <c r="C5989" s="13">
        <v>2560</v>
      </c>
      <c r="D5989" s="8" t="s">
        <v>35006</v>
      </c>
      <c r="E5989" s="8" t="s">
        <v>35007</v>
      </c>
      <c r="F5989" s="8" t="s">
        <v>35008</v>
      </c>
      <c r="G5989" s="6" t="s">
        <v>52</v>
      </c>
      <c r="H5989" s="6" t="s">
        <v>53</v>
      </c>
      <c r="I5989" s="8" t="s">
        <v>90</v>
      </c>
      <c r="J5989" s="9">
        <v>1</v>
      </c>
      <c r="K5989" s="9">
        <v>556</v>
      </c>
      <c r="L5989" s="9">
        <v>2024</v>
      </c>
      <c r="M5989" s="8" t="s">
        <v>35009</v>
      </c>
      <c r="N5989" s="8" t="s">
        <v>41</v>
      </c>
      <c r="O5989" s="8" t="s">
        <v>1007</v>
      </c>
      <c r="P5989" s="6" t="s">
        <v>167</v>
      </c>
      <c r="Q5989" s="8" t="s">
        <v>44</v>
      </c>
      <c r="R5989" s="10" t="s">
        <v>35010</v>
      </c>
      <c r="S5989" s="11" t="s">
        <v>35011</v>
      </c>
      <c r="T5989" s="6" t="s">
        <v>299</v>
      </c>
      <c r="U5989" s="24" t="str">
        <f>HYPERLINK("https://media.infra-m.ru/2127/2127284/cover/2127284.jpg", "Обложка")</f>
        <v>Обложка</v>
      </c>
      <c r="V5989" s="24" t="str">
        <f>HYPERLINK("https://znanium.ru/catalog/product/2127284", "Ознакомиться")</f>
        <v>Ознакомиться</v>
      </c>
      <c r="W5989" s="8" t="s">
        <v>16376</v>
      </c>
      <c r="X5989" s="6"/>
      <c r="Y5989" s="6"/>
      <c r="Z5989" s="6"/>
      <c r="AA5989" s="6" t="s">
        <v>494</v>
      </c>
      <c r="AB5989" s="8"/>
    </row>
    <row r="5990" spans="1:28" s="4" customFormat="1" ht="51.95" customHeight="1">
      <c r="A5990" s="5">
        <v>0</v>
      </c>
      <c r="B5990" s="6" t="s">
        <v>35012</v>
      </c>
      <c r="C5990" s="7">
        <v>960</v>
      </c>
      <c r="D5990" s="8" t="s">
        <v>35013</v>
      </c>
      <c r="E5990" s="8" t="s">
        <v>35014</v>
      </c>
      <c r="F5990" s="8" t="s">
        <v>35015</v>
      </c>
      <c r="G5990" s="6" t="s">
        <v>52</v>
      </c>
      <c r="H5990" s="6" t="s">
        <v>53</v>
      </c>
      <c r="I5990" s="8" t="s">
        <v>90</v>
      </c>
      <c r="J5990" s="9">
        <v>1</v>
      </c>
      <c r="K5990" s="9">
        <v>331</v>
      </c>
      <c r="L5990" s="9">
        <v>2017</v>
      </c>
      <c r="M5990" s="8" t="s">
        <v>35016</v>
      </c>
      <c r="N5990" s="8" t="s">
        <v>41</v>
      </c>
      <c r="O5990" s="8" t="s">
        <v>1007</v>
      </c>
      <c r="P5990" s="6" t="s">
        <v>167</v>
      </c>
      <c r="Q5990" s="8" t="s">
        <v>44</v>
      </c>
      <c r="R5990" s="10" t="s">
        <v>5714</v>
      </c>
      <c r="S5990" s="11" t="s">
        <v>35017</v>
      </c>
      <c r="T5990" s="6"/>
      <c r="U5990" s="24" t="str">
        <f>HYPERLINK("https://media.infra-m.ru/0792/0792832/cover/792832.jpg", "Обложка")</f>
        <v>Обложка</v>
      </c>
      <c r="V5990" s="24" t="str">
        <f>HYPERLINK("https://znanium.ru/catalog/product/2187022", "Ознакомиться")</f>
        <v>Ознакомиться</v>
      </c>
      <c r="W5990" s="8" t="s">
        <v>1253</v>
      </c>
      <c r="X5990" s="6"/>
      <c r="Y5990" s="6"/>
      <c r="Z5990" s="6"/>
      <c r="AA5990" s="6" t="s">
        <v>72</v>
      </c>
      <c r="AB5990" s="8"/>
    </row>
    <row r="5991" spans="1:28" s="4" customFormat="1" ht="51.95" customHeight="1">
      <c r="A5991" s="5">
        <v>0</v>
      </c>
      <c r="B5991" s="6" t="s">
        <v>35018</v>
      </c>
      <c r="C5991" s="13">
        <v>1730</v>
      </c>
      <c r="D5991" s="8" t="s">
        <v>35019</v>
      </c>
      <c r="E5991" s="8" t="s">
        <v>35007</v>
      </c>
      <c r="F5991" s="8" t="s">
        <v>35015</v>
      </c>
      <c r="G5991" s="6" t="s">
        <v>89</v>
      </c>
      <c r="H5991" s="6" t="s">
        <v>53</v>
      </c>
      <c r="I5991" s="8" t="s">
        <v>116</v>
      </c>
      <c r="J5991" s="9">
        <v>1</v>
      </c>
      <c r="K5991" s="9">
        <v>341</v>
      </c>
      <c r="L5991" s="9">
        <v>2025</v>
      </c>
      <c r="M5991" s="8" t="s">
        <v>35020</v>
      </c>
      <c r="N5991" s="8" t="s">
        <v>41</v>
      </c>
      <c r="O5991" s="8" t="s">
        <v>1007</v>
      </c>
      <c r="P5991" s="6" t="s">
        <v>167</v>
      </c>
      <c r="Q5991" s="8" t="s">
        <v>44</v>
      </c>
      <c r="R5991" s="10" t="s">
        <v>5714</v>
      </c>
      <c r="S5991" s="11" t="s">
        <v>35021</v>
      </c>
      <c r="T5991" s="6"/>
      <c r="U5991" s="24" t="str">
        <f>HYPERLINK("https://media.infra-m.ru/2187/2187022/cover/2187022.jpg", "Обложка")</f>
        <v>Обложка</v>
      </c>
      <c r="V5991" s="24" t="str">
        <f>HYPERLINK("https://znanium.ru/catalog/product/2187022", "Ознакомиться")</f>
        <v>Ознакомиться</v>
      </c>
      <c r="W5991" s="8" t="s">
        <v>1253</v>
      </c>
      <c r="X5991" s="6"/>
      <c r="Y5991" s="6"/>
      <c r="Z5991" s="6"/>
      <c r="AA5991" s="6" t="s">
        <v>196</v>
      </c>
      <c r="AB5991" s="8"/>
    </row>
    <row r="5992" spans="1:28" s="4" customFormat="1" ht="51.95" customHeight="1">
      <c r="A5992" s="5">
        <v>0</v>
      </c>
      <c r="B5992" s="6" t="s">
        <v>35022</v>
      </c>
      <c r="C5992" s="13">
        <v>1174</v>
      </c>
      <c r="D5992" s="8" t="s">
        <v>35023</v>
      </c>
      <c r="E5992" s="8" t="s">
        <v>35024</v>
      </c>
      <c r="F5992" s="8" t="s">
        <v>35025</v>
      </c>
      <c r="G5992" s="6" t="s">
        <v>89</v>
      </c>
      <c r="H5992" s="6" t="s">
        <v>952</v>
      </c>
      <c r="I5992" s="8" t="s">
        <v>2662</v>
      </c>
      <c r="J5992" s="9">
        <v>1</v>
      </c>
      <c r="K5992" s="9">
        <v>256</v>
      </c>
      <c r="L5992" s="9">
        <v>2023</v>
      </c>
      <c r="M5992" s="8" t="s">
        <v>35026</v>
      </c>
      <c r="N5992" s="8" t="s">
        <v>41</v>
      </c>
      <c r="O5992" s="8" t="s">
        <v>1007</v>
      </c>
      <c r="P5992" s="6" t="s">
        <v>167</v>
      </c>
      <c r="Q5992" s="8" t="s">
        <v>102</v>
      </c>
      <c r="R5992" s="10" t="s">
        <v>15996</v>
      </c>
      <c r="S5992" s="11" t="s">
        <v>35027</v>
      </c>
      <c r="T5992" s="6"/>
      <c r="U5992" s="24" t="str">
        <f>HYPERLINK("https://media.infra-m.ru/2049/2049675/cover/2049675.jpg", "Обложка")</f>
        <v>Обложка</v>
      </c>
      <c r="V5992" s="24" t="str">
        <f>HYPERLINK("https://znanium.ru/catalog/product/1902024", "Ознакомиться")</f>
        <v>Ознакомиться</v>
      </c>
      <c r="W5992" s="8" t="s">
        <v>83</v>
      </c>
      <c r="X5992" s="6"/>
      <c r="Y5992" s="6"/>
      <c r="Z5992" s="6"/>
      <c r="AA5992" s="6" t="s">
        <v>4504</v>
      </c>
      <c r="AB5992" s="8"/>
    </row>
    <row r="5993" spans="1:28" s="4" customFormat="1" ht="42" customHeight="1">
      <c r="A5993" s="5">
        <v>0</v>
      </c>
      <c r="B5993" s="6" t="s">
        <v>35028</v>
      </c>
      <c r="C5993" s="13">
        <v>1334.9</v>
      </c>
      <c r="D5993" s="8" t="s">
        <v>35029</v>
      </c>
      <c r="E5993" s="8" t="s">
        <v>35030</v>
      </c>
      <c r="F5993" s="8" t="s">
        <v>35031</v>
      </c>
      <c r="G5993" s="6" t="s">
        <v>52</v>
      </c>
      <c r="H5993" s="6" t="s">
        <v>649</v>
      </c>
      <c r="I5993" s="8" t="s">
        <v>116</v>
      </c>
      <c r="J5993" s="9">
        <v>1</v>
      </c>
      <c r="K5993" s="9">
        <v>352</v>
      </c>
      <c r="L5993" s="9">
        <v>2022</v>
      </c>
      <c r="M5993" s="8" t="s">
        <v>35032</v>
      </c>
      <c r="N5993" s="8" t="s">
        <v>41</v>
      </c>
      <c r="O5993" s="8" t="s">
        <v>1007</v>
      </c>
      <c r="P5993" s="6" t="s">
        <v>167</v>
      </c>
      <c r="Q5993" s="8" t="s">
        <v>44</v>
      </c>
      <c r="R5993" s="10" t="s">
        <v>35033</v>
      </c>
      <c r="S5993" s="11"/>
      <c r="T5993" s="6"/>
      <c r="U5993" s="24" t="str">
        <f>HYPERLINK("https://media.infra-m.ru/1842/1842538/cover/1842538.jpg", "Обложка")</f>
        <v>Обложка</v>
      </c>
      <c r="V5993" s="24" t="str">
        <f>HYPERLINK("https://znanium.ru/catalog/product/933916", "Ознакомиться")</f>
        <v>Ознакомиться</v>
      </c>
      <c r="W5993" s="8" t="s">
        <v>189</v>
      </c>
      <c r="X5993" s="6"/>
      <c r="Y5993" s="6"/>
      <c r="Z5993" s="6"/>
      <c r="AA5993" s="6" t="s">
        <v>122</v>
      </c>
      <c r="AB5993" s="8"/>
    </row>
    <row r="5994" spans="1:28" s="4" customFormat="1" ht="51.95" customHeight="1">
      <c r="A5994" s="5">
        <v>0</v>
      </c>
      <c r="B5994" s="6" t="s">
        <v>35034</v>
      </c>
      <c r="C5994" s="7">
        <v>920</v>
      </c>
      <c r="D5994" s="8" t="s">
        <v>35035</v>
      </c>
      <c r="E5994" s="8" t="s">
        <v>35036</v>
      </c>
      <c r="F5994" s="8" t="s">
        <v>1195</v>
      </c>
      <c r="G5994" s="6" t="s">
        <v>89</v>
      </c>
      <c r="H5994" s="6" t="s">
        <v>184</v>
      </c>
      <c r="I5994" s="8" t="s">
        <v>185</v>
      </c>
      <c r="J5994" s="9">
        <v>1</v>
      </c>
      <c r="K5994" s="9">
        <v>180</v>
      </c>
      <c r="L5994" s="9">
        <v>2025</v>
      </c>
      <c r="M5994" s="8" t="s">
        <v>35037</v>
      </c>
      <c r="N5994" s="8" t="s">
        <v>41</v>
      </c>
      <c r="O5994" s="8" t="s">
        <v>1007</v>
      </c>
      <c r="P5994" s="6" t="s">
        <v>43</v>
      </c>
      <c r="Q5994" s="8" t="s">
        <v>102</v>
      </c>
      <c r="R5994" s="10" t="s">
        <v>35038</v>
      </c>
      <c r="S5994" s="11"/>
      <c r="T5994" s="6"/>
      <c r="U5994" s="24" t="str">
        <f>HYPERLINK("https://media.infra-m.ru/2181/2181281/cover/2181281.jpg", "Обложка")</f>
        <v>Обложка</v>
      </c>
      <c r="V5994" s="24" t="str">
        <f>HYPERLINK("https://znanium.ru/catalog/product/2181281", "Ознакомиться")</f>
        <v>Ознакомиться</v>
      </c>
      <c r="W5994" s="8" t="s">
        <v>1198</v>
      </c>
      <c r="X5994" s="6"/>
      <c r="Y5994" s="6"/>
      <c r="Z5994" s="6"/>
      <c r="AA5994" s="6" t="s">
        <v>793</v>
      </c>
      <c r="AB5994" s="8"/>
    </row>
    <row r="5995" spans="1:28" s="4" customFormat="1" ht="51.95" customHeight="1">
      <c r="A5995" s="5">
        <v>0</v>
      </c>
      <c r="B5995" s="6" t="s">
        <v>35039</v>
      </c>
      <c r="C5995" s="13">
        <v>1620</v>
      </c>
      <c r="D5995" s="8" t="s">
        <v>35040</v>
      </c>
      <c r="E5995" s="8" t="s">
        <v>34751</v>
      </c>
      <c r="F5995" s="8" t="s">
        <v>35041</v>
      </c>
      <c r="G5995" s="6" t="s">
        <v>89</v>
      </c>
      <c r="H5995" s="6" t="s">
        <v>53</v>
      </c>
      <c r="I5995" s="8" t="s">
        <v>90</v>
      </c>
      <c r="J5995" s="9">
        <v>1</v>
      </c>
      <c r="K5995" s="9">
        <v>351</v>
      </c>
      <c r="L5995" s="9">
        <v>2023</v>
      </c>
      <c r="M5995" s="8" t="s">
        <v>35042</v>
      </c>
      <c r="N5995" s="8" t="s">
        <v>41</v>
      </c>
      <c r="O5995" s="8" t="s">
        <v>1007</v>
      </c>
      <c r="P5995" s="6" t="s">
        <v>167</v>
      </c>
      <c r="Q5995" s="8" t="s">
        <v>44</v>
      </c>
      <c r="R5995" s="10" t="s">
        <v>168</v>
      </c>
      <c r="S5995" s="11" t="s">
        <v>1285</v>
      </c>
      <c r="T5995" s="6"/>
      <c r="U5995" s="24" t="str">
        <f>HYPERLINK("https://media.infra-m.ru/1894/1894746/cover/1894746.jpg", "Обложка")</f>
        <v>Обложка</v>
      </c>
      <c r="V5995" s="24" t="str">
        <f>HYPERLINK("https://znanium.ru/catalog/product/1894746", "Ознакомиться")</f>
        <v>Ознакомиться</v>
      </c>
      <c r="W5995" s="8" t="s">
        <v>189</v>
      </c>
      <c r="X5995" s="6"/>
      <c r="Y5995" s="6"/>
      <c r="Z5995" s="6"/>
      <c r="AA5995" s="6" t="s">
        <v>418</v>
      </c>
      <c r="AB5995" s="8"/>
    </row>
    <row r="5996" spans="1:28" s="4" customFormat="1" ht="51.95" customHeight="1">
      <c r="A5996" s="5">
        <v>0</v>
      </c>
      <c r="B5996" s="6" t="s">
        <v>35043</v>
      </c>
      <c r="C5996" s="13">
        <v>1674</v>
      </c>
      <c r="D5996" s="8" t="s">
        <v>35044</v>
      </c>
      <c r="E5996" s="8" t="s">
        <v>34751</v>
      </c>
      <c r="F5996" s="8" t="s">
        <v>35045</v>
      </c>
      <c r="G5996" s="6" t="s">
        <v>89</v>
      </c>
      <c r="H5996" s="6" t="s">
        <v>649</v>
      </c>
      <c r="I5996" s="8" t="s">
        <v>100</v>
      </c>
      <c r="J5996" s="9">
        <v>1</v>
      </c>
      <c r="K5996" s="9">
        <v>335</v>
      </c>
      <c r="L5996" s="9">
        <v>2024</v>
      </c>
      <c r="M5996" s="8" t="s">
        <v>35046</v>
      </c>
      <c r="N5996" s="8" t="s">
        <v>41</v>
      </c>
      <c r="O5996" s="8" t="s">
        <v>1007</v>
      </c>
      <c r="P5996" s="6" t="s">
        <v>167</v>
      </c>
      <c r="Q5996" s="8" t="s">
        <v>102</v>
      </c>
      <c r="R5996" s="10" t="s">
        <v>35047</v>
      </c>
      <c r="S5996" s="11" t="s">
        <v>35048</v>
      </c>
      <c r="T5996" s="6"/>
      <c r="U5996" s="24" t="str">
        <f>HYPERLINK("https://media.infra-m.ru/2104/2104838/cover/2104838.jpg", "Обложка")</f>
        <v>Обложка</v>
      </c>
      <c r="V5996" s="24" t="str">
        <f>HYPERLINK("https://znanium.ru/catalog/product/2104838", "Ознакомиться")</f>
        <v>Ознакомиться</v>
      </c>
      <c r="W5996" s="8" t="s">
        <v>1345</v>
      </c>
      <c r="X5996" s="6"/>
      <c r="Y5996" s="6"/>
      <c r="Z5996" s="6"/>
      <c r="AA5996" s="6" t="s">
        <v>614</v>
      </c>
      <c r="AB5996" s="8"/>
    </row>
    <row r="5997" spans="1:28" s="4" customFormat="1" ht="51.95" customHeight="1">
      <c r="A5997" s="5">
        <v>0</v>
      </c>
      <c r="B5997" s="6" t="s">
        <v>35049</v>
      </c>
      <c r="C5997" s="13">
        <v>4460</v>
      </c>
      <c r="D5997" s="8" t="s">
        <v>35050</v>
      </c>
      <c r="E5997" s="8" t="s">
        <v>34751</v>
      </c>
      <c r="F5997" s="8" t="s">
        <v>35051</v>
      </c>
      <c r="G5997" s="6" t="s">
        <v>52</v>
      </c>
      <c r="H5997" s="6" t="s">
        <v>53</v>
      </c>
      <c r="I5997" s="8" t="s">
        <v>116</v>
      </c>
      <c r="J5997" s="9">
        <v>1</v>
      </c>
      <c r="K5997" s="9">
        <v>952</v>
      </c>
      <c r="L5997" s="9">
        <v>2025</v>
      </c>
      <c r="M5997" s="8" t="s">
        <v>35052</v>
      </c>
      <c r="N5997" s="8" t="s">
        <v>41</v>
      </c>
      <c r="O5997" s="8" t="s">
        <v>1007</v>
      </c>
      <c r="P5997" s="6" t="s">
        <v>167</v>
      </c>
      <c r="Q5997" s="8" t="s">
        <v>58</v>
      </c>
      <c r="R5997" s="10" t="s">
        <v>35053</v>
      </c>
      <c r="S5997" s="11"/>
      <c r="T5997" s="6"/>
      <c r="U5997" s="24" t="str">
        <f>HYPERLINK("https://media.infra-m.ru/1959/1959272/cover/1959272.jpg", "Обложка")</f>
        <v>Обложка</v>
      </c>
      <c r="V5997" s="24" t="str">
        <f>HYPERLINK("https://znanium.ru/catalog/product/1959272", "Ознакомиться")</f>
        <v>Ознакомиться</v>
      </c>
      <c r="W5997" s="8" t="s">
        <v>189</v>
      </c>
      <c r="X5997" s="6" t="s">
        <v>60</v>
      </c>
      <c r="Y5997" s="6"/>
      <c r="Z5997" s="6"/>
      <c r="AA5997" s="6" t="s">
        <v>61</v>
      </c>
      <c r="AB5997" s="8"/>
    </row>
    <row r="5998" spans="1:28" s="4" customFormat="1" ht="42" customHeight="1">
      <c r="A5998" s="5">
        <v>0</v>
      </c>
      <c r="B5998" s="6" t="s">
        <v>35054</v>
      </c>
      <c r="C5998" s="13">
        <v>2754</v>
      </c>
      <c r="D5998" s="8" t="s">
        <v>35055</v>
      </c>
      <c r="E5998" s="8" t="s">
        <v>35056</v>
      </c>
      <c r="F5998" s="8" t="s">
        <v>35057</v>
      </c>
      <c r="G5998" s="6" t="s">
        <v>89</v>
      </c>
      <c r="H5998" s="6" t="s">
        <v>53</v>
      </c>
      <c r="I5998" s="8"/>
      <c r="J5998" s="9">
        <v>1</v>
      </c>
      <c r="K5998" s="9">
        <v>480</v>
      </c>
      <c r="L5998" s="9">
        <v>2024</v>
      </c>
      <c r="M5998" s="8" t="s">
        <v>35058</v>
      </c>
      <c r="N5998" s="8" t="s">
        <v>41</v>
      </c>
      <c r="O5998" s="8" t="s">
        <v>1007</v>
      </c>
      <c r="P5998" s="6" t="s">
        <v>397</v>
      </c>
      <c r="Q5998" s="8" t="s">
        <v>44</v>
      </c>
      <c r="R5998" s="10" t="s">
        <v>35059</v>
      </c>
      <c r="S5998" s="11"/>
      <c r="T5998" s="6"/>
      <c r="U5998" s="24" t="str">
        <f>HYPERLINK("https://media.infra-m.ru/2054/2054989/cover/2054989.jpg", "Обложка")</f>
        <v>Обложка</v>
      </c>
      <c r="V5998" s="24" t="str">
        <f>HYPERLINK("https://znanium.ru/catalog/product/1910620", "Ознакомиться")</f>
        <v>Ознакомиться</v>
      </c>
      <c r="W5998" s="8" t="s">
        <v>1076</v>
      </c>
      <c r="X5998" s="6"/>
      <c r="Y5998" s="6"/>
      <c r="Z5998" s="6"/>
      <c r="AA5998" s="6" t="s">
        <v>1135</v>
      </c>
      <c r="AB5998" s="8"/>
    </row>
    <row r="5999" spans="1:28" s="4" customFormat="1" ht="51.95" customHeight="1">
      <c r="A5999" s="5">
        <v>0</v>
      </c>
      <c r="B5999" s="6" t="s">
        <v>35060</v>
      </c>
      <c r="C5999" s="13">
        <v>1450</v>
      </c>
      <c r="D5999" s="8" t="s">
        <v>35061</v>
      </c>
      <c r="E5999" s="8" t="s">
        <v>35062</v>
      </c>
      <c r="F5999" s="8" t="s">
        <v>21179</v>
      </c>
      <c r="G5999" s="6" t="s">
        <v>89</v>
      </c>
      <c r="H5999" s="6" t="s">
        <v>649</v>
      </c>
      <c r="I5999" s="8" t="s">
        <v>100</v>
      </c>
      <c r="J5999" s="9">
        <v>1</v>
      </c>
      <c r="K5999" s="9">
        <v>288</v>
      </c>
      <c r="L5999" s="9">
        <v>2025</v>
      </c>
      <c r="M5999" s="8" t="s">
        <v>35063</v>
      </c>
      <c r="N5999" s="8" t="s">
        <v>41</v>
      </c>
      <c r="O5999" s="8" t="s">
        <v>1007</v>
      </c>
      <c r="P5999" s="6" t="s">
        <v>167</v>
      </c>
      <c r="Q5999" s="8" t="s">
        <v>102</v>
      </c>
      <c r="R5999" s="10" t="s">
        <v>35064</v>
      </c>
      <c r="S5999" s="11" t="s">
        <v>35065</v>
      </c>
      <c r="T5999" s="6"/>
      <c r="U5999" s="24" t="str">
        <f>HYPERLINK("https://media.infra-m.ru/2186/2186783/cover/2186783.jpg", "Обложка")</f>
        <v>Обложка</v>
      </c>
      <c r="V5999" s="24" t="str">
        <f>HYPERLINK("https://znanium.ru/catalog/product/2186783", "Ознакомиться")</f>
        <v>Ознакомиться</v>
      </c>
      <c r="W5999" s="8" t="s">
        <v>653</v>
      </c>
      <c r="X5999" s="6"/>
      <c r="Y5999" s="6"/>
      <c r="Z5999" s="6"/>
      <c r="AA5999" s="6" t="s">
        <v>1135</v>
      </c>
      <c r="AB5999" s="8"/>
    </row>
    <row r="6000" spans="1:28" s="4" customFormat="1" ht="51.95" customHeight="1">
      <c r="A6000" s="5">
        <v>0</v>
      </c>
      <c r="B6000" s="6" t="s">
        <v>35066</v>
      </c>
      <c r="C6000" s="13">
        <v>1504</v>
      </c>
      <c r="D6000" s="8" t="s">
        <v>35067</v>
      </c>
      <c r="E6000" s="8" t="s">
        <v>35068</v>
      </c>
      <c r="F6000" s="8" t="s">
        <v>35069</v>
      </c>
      <c r="G6000" s="6" t="s">
        <v>89</v>
      </c>
      <c r="H6000" s="6" t="s">
        <v>53</v>
      </c>
      <c r="I6000" s="8" t="s">
        <v>100</v>
      </c>
      <c r="J6000" s="9">
        <v>1</v>
      </c>
      <c r="K6000" s="9">
        <v>300</v>
      </c>
      <c r="L6000" s="9">
        <v>2025</v>
      </c>
      <c r="M6000" s="8" t="s">
        <v>35070</v>
      </c>
      <c r="N6000" s="8" t="s">
        <v>41</v>
      </c>
      <c r="O6000" s="8" t="s">
        <v>1007</v>
      </c>
      <c r="P6000" s="6" t="s">
        <v>167</v>
      </c>
      <c r="Q6000" s="8" t="s">
        <v>102</v>
      </c>
      <c r="R6000" s="10" t="s">
        <v>35071</v>
      </c>
      <c r="S6000" s="11" t="s">
        <v>35072</v>
      </c>
      <c r="T6000" s="6"/>
      <c r="U6000" s="24" t="str">
        <f>HYPERLINK("https://media.infra-m.ru/2179/2179461/cover/2179461.jpg", "Обложка")</f>
        <v>Обложка</v>
      </c>
      <c r="V6000" s="24" t="str">
        <f>HYPERLINK("https://znanium.ru/catalog/product/2138061", "Ознакомиться")</f>
        <v>Ознакомиться</v>
      </c>
      <c r="W6000" s="8" t="s">
        <v>3426</v>
      </c>
      <c r="X6000" s="6"/>
      <c r="Y6000" s="6"/>
      <c r="Z6000" s="6"/>
      <c r="AA6000" s="6" t="s">
        <v>1461</v>
      </c>
      <c r="AB6000" s="8"/>
    </row>
    <row r="6001" spans="1:28" s="4" customFormat="1" ht="51.95" customHeight="1">
      <c r="A6001" s="5">
        <v>0</v>
      </c>
      <c r="B6001" s="6" t="s">
        <v>35073</v>
      </c>
      <c r="C6001" s="13">
        <v>1494</v>
      </c>
      <c r="D6001" s="8" t="s">
        <v>35074</v>
      </c>
      <c r="E6001" s="8" t="s">
        <v>35075</v>
      </c>
      <c r="F6001" s="8" t="s">
        <v>35076</v>
      </c>
      <c r="G6001" s="6" t="s">
        <v>52</v>
      </c>
      <c r="H6001" s="6" t="s">
        <v>53</v>
      </c>
      <c r="I6001" s="8" t="s">
        <v>90</v>
      </c>
      <c r="J6001" s="9">
        <v>1</v>
      </c>
      <c r="K6001" s="9">
        <v>318</v>
      </c>
      <c r="L6001" s="9">
        <v>2024</v>
      </c>
      <c r="M6001" s="8" t="s">
        <v>35077</v>
      </c>
      <c r="N6001" s="8" t="s">
        <v>41</v>
      </c>
      <c r="O6001" s="8" t="s">
        <v>1007</v>
      </c>
      <c r="P6001" s="6" t="s">
        <v>167</v>
      </c>
      <c r="Q6001" s="8" t="s">
        <v>44</v>
      </c>
      <c r="R6001" s="10" t="s">
        <v>35078</v>
      </c>
      <c r="S6001" s="11" t="s">
        <v>13980</v>
      </c>
      <c r="T6001" s="6"/>
      <c r="U6001" s="24" t="str">
        <f>HYPERLINK("https://media.infra-m.ru/2134/2134048/cover/2134048.jpg", "Обложка")</f>
        <v>Обложка</v>
      </c>
      <c r="V6001" s="24" t="str">
        <f>HYPERLINK("https://znanium.ru/catalog/product/2134048", "Ознакомиться")</f>
        <v>Ознакомиться</v>
      </c>
      <c r="W6001" s="8" t="s">
        <v>5059</v>
      </c>
      <c r="X6001" s="6"/>
      <c r="Y6001" s="6"/>
      <c r="Z6001" s="6"/>
      <c r="AA6001" s="6" t="s">
        <v>47</v>
      </c>
      <c r="AB6001" s="8"/>
    </row>
    <row r="6002" spans="1:28" s="4" customFormat="1" ht="51.95" customHeight="1">
      <c r="A6002" s="5">
        <v>0</v>
      </c>
      <c r="B6002" s="6" t="s">
        <v>35079</v>
      </c>
      <c r="C6002" s="13">
        <v>1494</v>
      </c>
      <c r="D6002" s="8" t="s">
        <v>35080</v>
      </c>
      <c r="E6002" s="8" t="s">
        <v>35075</v>
      </c>
      <c r="F6002" s="8" t="s">
        <v>35081</v>
      </c>
      <c r="G6002" s="6" t="s">
        <v>89</v>
      </c>
      <c r="H6002" s="6" t="s">
        <v>53</v>
      </c>
      <c r="I6002" s="8" t="s">
        <v>100</v>
      </c>
      <c r="J6002" s="9">
        <v>1</v>
      </c>
      <c r="K6002" s="9">
        <v>318</v>
      </c>
      <c r="L6002" s="9">
        <v>2024</v>
      </c>
      <c r="M6002" s="8" t="s">
        <v>35082</v>
      </c>
      <c r="N6002" s="8" t="s">
        <v>41</v>
      </c>
      <c r="O6002" s="8" t="s">
        <v>1007</v>
      </c>
      <c r="P6002" s="6" t="s">
        <v>167</v>
      </c>
      <c r="Q6002" s="8" t="s">
        <v>102</v>
      </c>
      <c r="R6002" s="10" t="s">
        <v>2779</v>
      </c>
      <c r="S6002" s="11" t="s">
        <v>8381</v>
      </c>
      <c r="T6002" s="6"/>
      <c r="U6002" s="24" t="str">
        <f>HYPERLINK("https://media.infra-m.ru/2030/2030902/cover/2030902.jpg", "Обложка")</f>
        <v>Обложка</v>
      </c>
      <c r="V6002" s="24" t="str">
        <f>HYPERLINK("https://znanium.ru/catalog/product/1240097", "Ознакомиться")</f>
        <v>Ознакомиться</v>
      </c>
      <c r="W6002" s="8" t="s">
        <v>5059</v>
      </c>
      <c r="X6002" s="6"/>
      <c r="Y6002" s="6"/>
      <c r="Z6002" s="6" t="s">
        <v>104</v>
      </c>
      <c r="AA6002" s="6" t="s">
        <v>258</v>
      </c>
      <c r="AB6002" s="8"/>
    </row>
    <row r="6003" spans="1:28" s="4" customFormat="1" ht="51.95" customHeight="1">
      <c r="A6003" s="5">
        <v>0</v>
      </c>
      <c r="B6003" s="6" t="s">
        <v>35083</v>
      </c>
      <c r="C6003" s="7">
        <v>754</v>
      </c>
      <c r="D6003" s="8" t="s">
        <v>35084</v>
      </c>
      <c r="E6003" s="8" t="s">
        <v>35085</v>
      </c>
      <c r="F6003" s="8" t="s">
        <v>8946</v>
      </c>
      <c r="G6003" s="6" t="s">
        <v>89</v>
      </c>
      <c r="H6003" s="6" t="s">
        <v>53</v>
      </c>
      <c r="I6003" s="8" t="s">
        <v>90</v>
      </c>
      <c r="J6003" s="9">
        <v>1</v>
      </c>
      <c r="K6003" s="9">
        <v>145</v>
      </c>
      <c r="L6003" s="9">
        <v>2025</v>
      </c>
      <c r="M6003" s="8" t="s">
        <v>35086</v>
      </c>
      <c r="N6003" s="8" t="s">
        <v>41</v>
      </c>
      <c r="O6003" s="8" t="s">
        <v>1007</v>
      </c>
      <c r="P6003" s="6" t="s">
        <v>43</v>
      </c>
      <c r="Q6003" s="8" t="s">
        <v>44</v>
      </c>
      <c r="R6003" s="10" t="s">
        <v>35087</v>
      </c>
      <c r="S6003" s="11" t="s">
        <v>35088</v>
      </c>
      <c r="T6003" s="6"/>
      <c r="U6003" s="24" t="str">
        <f>HYPERLINK("https://media.infra-m.ru/2196/2196863/cover/2196863.jpg", "Обложка")</f>
        <v>Обложка</v>
      </c>
      <c r="V6003" s="24" t="str">
        <f>HYPERLINK("https://znanium.ru/catalog/product/2029844", "Ознакомиться")</f>
        <v>Ознакомиться</v>
      </c>
      <c r="W6003" s="8" t="s">
        <v>4161</v>
      </c>
      <c r="X6003" s="6"/>
      <c r="Y6003" s="6"/>
      <c r="Z6003" s="6"/>
      <c r="AA6003" s="6" t="s">
        <v>2217</v>
      </c>
      <c r="AB6003" s="8"/>
    </row>
    <row r="6004" spans="1:28" s="4" customFormat="1" ht="51.95" customHeight="1">
      <c r="A6004" s="5">
        <v>0</v>
      </c>
      <c r="B6004" s="6" t="s">
        <v>35089</v>
      </c>
      <c r="C6004" s="7">
        <v>730</v>
      </c>
      <c r="D6004" s="8" t="s">
        <v>35090</v>
      </c>
      <c r="E6004" s="8" t="s">
        <v>35085</v>
      </c>
      <c r="F6004" s="8" t="s">
        <v>12598</v>
      </c>
      <c r="G6004" s="6" t="s">
        <v>89</v>
      </c>
      <c r="H6004" s="6" t="s">
        <v>53</v>
      </c>
      <c r="I6004" s="8" t="s">
        <v>100</v>
      </c>
      <c r="J6004" s="9">
        <v>1</v>
      </c>
      <c r="K6004" s="9">
        <v>145</v>
      </c>
      <c r="L6004" s="9">
        <v>2025</v>
      </c>
      <c r="M6004" s="8" t="s">
        <v>35091</v>
      </c>
      <c r="N6004" s="8" t="s">
        <v>41</v>
      </c>
      <c r="O6004" s="8" t="s">
        <v>1007</v>
      </c>
      <c r="P6004" s="6" t="s">
        <v>43</v>
      </c>
      <c r="Q6004" s="8" t="s">
        <v>102</v>
      </c>
      <c r="R6004" s="10" t="s">
        <v>35092</v>
      </c>
      <c r="S6004" s="11" t="s">
        <v>35093</v>
      </c>
      <c r="T6004" s="6"/>
      <c r="U6004" s="24" t="str">
        <f>HYPERLINK("https://media.infra-m.ru/2177/2177737/cover/2177737.jpg", "Обложка")</f>
        <v>Обложка</v>
      </c>
      <c r="V6004" s="24" t="str">
        <f>HYPERLINK("https://znanium.ru/catalog/product/2177737", "Ознакомиться")</f>
        <v>Ознакомиться</v>
      </c>
      <c r="W6004" s="8" t="s">
        <v>4161</v>
      </c>
      <c r="X6004" s="6"/>
      <c r="Y6004" s="6"/>
      <c r="Z6004" s="6" t="s">
        <v>104</v>
      </c>
      <c r="AA6004" s="6" t="s">
        <v>793</v>
      </c>
      <c r="AB6004" s="8"/>
    </row>
    <row r="6005" spans="1:28" s="4" customFormat="1" ht="51.95" customHeight="1">
      <c r="A6005" s="5">
        <v>0</v>
      </c>
      <c r="B6005" s="6" t="s">
        <v>35094</v>
      </c>
      <c r="C6005" s="13">
        <v>1830</v>
      </c>
      <c r="D6005" s="8" t="s">
        <v>35095</v>
      </c>
      <c r="E6005" s="8" t="s">
        <v>35096</v>
      </c>
      <c r="F6005" s="8" t="s">
        <v>34757</v>
      </c>
      <c r="G6005" s="6" t="s">
        <v>89</v>
      </c>
      <c r="H6005" s="6" t="s">
        <v>53</v>
      </c>
      <c r="I6005" s="8" t="s">
        <v>116</v>
      </c>
      <c r="J6005" s="9">
        <v>1</v>
      </c>
      <c r="K6005" s="9">
        <v>394</v>
      </c>
      <c r="L6005" s="9">
        <v>2024</v>
      </c>
      <c r="M6005" s="8" t="s">
        <v>35097</v>
      </c>
      <c r="N6005" s="8" t="s">
        <v>41</v>
      </c>
      <c r="O6005" s="8" t="s">
        <v>1007</v>
      </c>
      <c r="P6005" s="6" t="s">
        <v>167</v>
      </c>
      <c r="Q6005" s="8" t="s">
        <v>44</v>
      </c>
      <c r="R6005" s="10" t="s">
        <v>5311</v>
      </c>
      <c r="S6005" s="11" t="s">
        <v>35098</v>
      </c>
      <c r="T6005" s="6"/>
      <c r="U6005" s="24" t="str">
        <f>HYPERLINK("https://media.infra-m.ru/2063/2063450/cover/2063450.jpg", "Обложка")</f>
        <v>Обложка</v>
      </c>
      <c r="V6005" s="24" t="str">
        <f>HYPERLINK("https://znanium.ru/catalog/product/2063450", "Ознакомиться")</f>
        <v>Ознакомиться</v>
      </c>
      <c r="W6005" s="8" t="s">
        <v>16537</v>
      </c>
      <c r="X6005" s="6"/>
      <c r="Y6005" s="6"/>
      <c r="Z6005" s="6"/>
      <c r="AA6005" s="6" t="s">
        <v>326</v>
      </c>
      <c r="AB6005" s="8"/>
    </row>
    <row r="6006" spans="1:28" s="4" customFormat="1" ht="51.95" customHeight="1">
      <c r="A6006" s="5">
        <v>0</v>
      </c>
      <c r="B6006" s="6" t="s">
        <v>35099</v>
      </c>
      <c r="C6006" s="13">
        <v>1730</v>
      </c>
      <c r="D6006" s="8" t="s">
        <v>35100</v>
      </c>
      <c r="E6006" s="8" t="s">
        <v>35101</v>
      </c>
      <c r="F6006" s="8" t="s">
        <v>35102</v>
      </c>
      <c r="G6006" s="6" t="s">
        <v>89</v>
      </c>
      <c r="H6006" s="6" t="s">
        <v>53</v>
      </c>
      <c r="I6006" s="8" t="s">
        <v>90</v>
      </c>
      <c r="J6006" s="9">
        <v>1</v>
      </c>
      <c r="K6006" s="9">
        <v>374</v>
      </c>
      <c r="L6006" s="9">
        <v>2024</v>
      </c>
      <c r="M6006" s="8" t="s">
        <v>35103</v>
      </c>
      <c r="N6006" s="8" t="s">
        <v>41</v>
      </c>
      <c r="O6006" s="8" t="s">
        <v>1007</v>
      </c>
      <c r="P6006" s="6" t="s">
        <v>43</v>
      </c>
      <c r="Q6006" s="8" t="s">
        <v>44</v>
      </c>
      <c r="R6006" s="10" t="s">
        <v>35104</v>
      </c>
      <c r="S6006" s="11" t="s">
        <v>35105</v>
      </c>
      <c r="T6006" s="6" t="s">
        <v>299</v>
      </c>
      <c r="U6006" s="24" t="str">
        <f>HYPERLINK("https://media.infra-m.ru/2113/2113826/cover/2113826.jpg", "Обложка")</f>
        <v>Обложка</v>
      </c>
      <c r="V6006" s="24" t="str">
        <f>HYPERLINK("https://znanium.ru/catalog/product/2113826", "Ознакомиться")</f>
        <v>Ознакомиться</v>
      </c>
      <c r="W6006" s="8" t="s">
        <v>35106</v>
      </c>
      <c r="X6006" s="6"/>
      <c r="Y6006" s="6"/>
      <c r="Z6006" s="6"/>
      <c r="AA6006" s="6" t="s">
        <v>418</v>
      </c>
      <c r="AB6006" s="8"/>
    </row>
    <row r="6007" spans="1:28" s="4" customFormat="1" ht="51.95" customHeight="1">
      <c r="A6007" s="5">
        <v>0</v>
      </c>
      <c r="B6007" s="6" t="s">
        <v>35107</v>
      </c>
      <c r="C6007" s="7">
        <v>970</v>
      </c>
      <c r="D6007" s="8" t="s">
        <v>35108</v>
      </c>
      <c r="E6007" s="8" t="s">
        <v>35109</v>
      </c>
      <c r="F6007" s="8" t="s">
        <v>35110</v>
      </c>
      <c r="G6007" s="6" t="s">
        <v>89</v>
      </c>
      <c r="H6007" s="6" t="s">
        <v>66</v>
      </c>
      <c r="I6007" s="8" t="s">
        <v>30188</v>
      </c>
      <c r="J6007" s="9">
        <v>1</v>
      </c>
      <c r="K6007" s="9">
        <v>256</v>
      </c>
      <c r="L6007" s="9">
        <v>2022</v>
      </c>
      <c r="M6007" s="8" t="s">
        <v>35111</v>
      </c>
      <c r="N6007" s="8" t="s">
        <v>41</v>
      </c>
      <c r="O6007" s="8" t="s">
        <v>1007</v>
      </c>
      <c r="P6007" s="6" t="s">
        <v>43</v>
      </c>
      <c r="Q6007" s="8" t="s">
        <v>44</v>
      </c>
      <c r="R6007" s="10" t="s">
        <v>35112</v>
      </c>
      <c r="S6007" s="11" t="s">
        <v>35113</v>
      </c>
      <c r="T6007" s="6"/>
      <c r="U6007" s="24" t="str">
        <f>HYPERLINK("https://media.infra-m.ru/1864/1864234/cover/1864234.jpg", "Обложка")</f>
        <v>Обложка</v>
      </c>
      <c r="V6007" s="24" t="str">
        <f>HYPERLINK("https://znanium.ru/catalog/product/1864234", "Ознакомиться")</f>
        <v>Ознакомиться</v>
      </c>
      <c r="W6007" s="8" t="s">
        <v>347</v>
      </c>
      <c r="X6007" s="6"/>
      <c r="Y6007" s="6"/>
      <c r="Z6007" s="6"/>
      <c r="AA6007" s="6" t="s">
        <v>25712</v>
      </c>
      <c r="AB6007" s="8"/>
    </row>
    <row r="6008" spans="1:28" s="4" customFormat="1" ht="51.95" customHeight="1">
      <c r="A6008" s="5">
        <v>0</v>
      </c>
      <c r="B6008" s="6" t="s">
        <v>35114</v>
      </c>
      <c r="C6008" s="13">
        <v>1314.9</v>
      </c>
      <c r="D6008" s="8" t="s">
        <v>35115</v>
      </c>
      <c r="E6008" s="8" t="s">
        <v>35116</v>
      </c>
      <c r="F6008" s="8" t="s">
        <v>35117</v>
      </c>
      <c r="G6008" s="6" t="s">
        <v>52</v>
      </c>
      <c r="H6008" s="6" t="s">
        <v>53</v>
      </c>
      <c r="I6008" s="8" t="s">
        <v>90</v>
      </c>
      <c r="J6008" s="9">
        <v>1</v>
      </c>
      <c r="K6008" s="9">
        <v>346</v>
      </c>
      <c r="L6008" s="9">
        <v>2022</v>
      </c>
      <c r="M6008" s="8" t="s">
        <v>35118</v>
      </c>
      <c r="N6008" s="8" t="s">
        <v>41</v>
      </c>
      <c r="O6008" s="8" t="s">
        <v>1007</v>
      </c>
      <c r="P6008" s="6" t="s">
        <v>167</v>
      </c>
      <c r="Q6008" s="8" t="s">
        <v>44</v>
      </c>
      <c r="R6008" s="10" t="s">
        <v>35119</v>
      </c>
      <c r="S6008" s="11" t="s">
        <v>35120</v>
      </c>
      <c r="T6008" s="6"/>
      <c r="U6008" s="24" t="str">
        <f>HYPERLINK("https://media.infra-m.ru/1843/1843570/cover/1843570.jpg", "Обложка")</f>
        <v>Обложка</v>
      </c>
      <c r="V6008" s="24" t="str">
        <f>HYPERLINK("https://znanium.ru/catalog/product/1010104", "Ознакомиться")</f>
        <v>Ознакомиться</v>
      </c>
      <c r="W6008" s="8" t="s">
        <v>1076</v>
      </c>
      <c r="X6008" s="6"/>
      <c r="Y6008" s="6"/>
      <c r="Z6008" s="6"/>
      <c r="AA6008" s="6" t="s">
        <v>47</v>
      </c>
      <c r="AB6008" s="8"/>
    </row>
    <row r="6009" spans="1:28" s="4" customFormat="1" ht="51.95" customHeight="1">
      <c r="A6009" s="5">
        <v>0</v>
      </c>
      <c r="B6009" s="6" t="s">
        <v>35121</v>
      </c>
      <c r="C6009" s="13">
        <v>1560</v>
      </c>
      <c r="D6009" s="8" t="s">
        <v>35122</v>
      </c>
      <c r="E6009" s="8" t="s">
        <v>35123</v>
      </c>
      <c r="F6009" s="8" t="s">
        <v>35124</v>
      </c>
      <c r="G6009" s="6" t="s">
        <v>89</v>
      </c>
      <c r="H6009" s="6" t="s">
        <v>53</v>
      </c>
      <c r="I6009" s="8" t="s">
        <v>90</v>
      </c>
      <c r="J6009" s="9">
        <v>1</v>
      </c>
      <c r="K6009" s="9">
        <v>346</v>
      </c>
      <c r="L6009" s="9">
        <v>2018</v>
      </c>
      <c r="M6009" s="8" t="s">
        <v>35125</v>
      </c>
      <c r="N6009" s="8" t="s">
        <v>41</v>
      </c>
      <c r="O6009" s="8" t="s">
        <v>1007</v>
      </c>
      <c r="P6009" s="6" t="s">
        <v>167</v>
      </c>
      <c r="Q6009" s="8" t="s">
        <v>44</v>
      </c>
      <c r="R6009" s="10" t="s">
        <v>157</v>
      </c>
      <c r="S6009" s="11" t="s">
        <v>35126</v>
      </c>
      <c r="T6009" s="6" t="s">
        <v>299</v>
      </c>
      <c r="U6009" s="24" t="str">
        <f>HYPERLINK("https://media.infra-m.ru/1950/1950297/cover/1950297.jpg", "Обложка")</f>
        <v>Обложка</v>
      </c>
      <c r="V6009" s="24" t="str">
        <f>HYPERLINK("https://znanium.ru/catalog/product/795749", "Ознакомиться")</f>
        <v>Ознакомиться</v>
      </c>
      <c r="W6009" s="8" t="s">
        <v>347</v>
      </c>
      <c r="X6009" s="6"/>
      <c r="Y6009" s="6"/>
      <c r="Z6009" s="6"/>
      <c r="AA6009" s="6" t="s">
        <v>479</v>
      </c>
      <c r="AB6009" s="8"/>
    </row>
    <row r="6010" spans="1:28" s="4" customFormat="1" ht="51.95" customHeight="1">
      <c r="A6010" s="5">
        <v>0</v>
      </c>
      <c r="B6010" s="6" t="s">
        <v>35127</v>
      </c>
      <c r="C6010" s="13">
        <v>2334</v>
      </c>
      <c r="D6010" s="8" t="s">
        <v>35128</v>
      </c>
      <c r="E6010" s="8" t="s">
        <v>35129</v>
      </c>
      <c r="F6010" s="8" t="s">
        <v>35130</v>
      </c>
      <c r="G6010" s="6" t="s">
        <v>52</v>
      </c>
      <c r="H6010" s="6" t="s">
        <v>438</v>
      </c>
      <c r="I6010" s="8" t="s">
        <v>1171</v>
      </c>
      <c r="J6010" s="9">
        <v>1</v>
      </c>
      <c r="K6010" s="9">
        <v>448</v>
      </c>
      <c r="L6010" s="9">
        <v>2025</v>
      </c>
      <c r="M6010" s="8" t="s">
        <v>35131</v>
      </c>
      <c r="N6010" s="8" t="s">
        <v>41</v>
      </c>
      <c r="O6010" s="8" t="s">
        <v>1007</v>
      </c>
      <c r="P6010" s="6" t="s">
        <v>167</v>
      </c>
      <c r="Q6010" s="8" t="s">
        <v>44</v>
      </c>
      <c r="R6010" s="10" t="s">
        <v>168</v>
      </c>
      <c r="S6010" s="11"/>
      <c r="T6010" s="6"/>
      <c r="U6010" s="24" t="str">
        <f>HYPERLINK("https://media.infra-m.ru/2186/2186862/cover/2186862.jpg", "Обложка")</f>
        <v>Обложка</v>
      </c>
      <c r="V6010" s="24" t="str">
        <f>HYPERLINK("https://znanium.ru/catalog/product/1904580", "Ознакомиться")</f>
        <v>Ознакомиться</v>
      </c>
      <c r="W6010" s="8" t="s">
        <v>7876</v>
      </c>
      <c r="X6010" s="6"/>
      <c r="Y6010" s="6"/>
      <c r="Z6010" s="6"/>
      <c r="AA6010" s="6" t="s">
        <v>31431</v>
      </c>
      <c r="AB6010" s="8"/>
    </row>
    <row r="6011" spans="1:28" s="4" customFormat="1" ht="51.95" customHeight="1">
      <c r="A6011" s="5">
        <v>0</v>
      </c>
      <c r="B6011" s="6" t="s">
        <v>35132</v>
      </c>
      <c r="C6011" s="13">
        <v>1990</v>
      </c>
      <c r="D6011" s="8" t="s">
        <v>35133</v>
      </c>
      <c r="E6011" s="8" t="s">
        <v>35134</v>
      </c>
      <c r="F6011" s="8" t="s">
        <v>35130</v>
      </c>
      <c r="G6011" s="6" t="s">
        <v>89</v>
      </c>
      <c r="H6011" s="6" t="s">
        <v>438</v>
      </c>
      <c r="I6011" s="8" t="s">
        <v>1171</v>
      </c>
      <c r="J6011" s="9">
        <v>1</v>
      </c>
      <c r="K6011" s="9">
        <v>448</v>
      </c>
      <c r="L6011" s="9">
        <v>2017</v>
      </c>
      <c r="M6011" s="8" t="s">
        <v>35135</v>
      </c>
      <c r="N6011" s="8" t="s">
        <v>41</v>
      </c>
      <c r="O6011" s="8" t="s">
        <v>1007</v>
      </c>
      <c r="P6011" s="6" t="s">
        <v>167</v>
      </c>
      <c r="Q6011" s="8" t="s">
        <v>44</v>
      </c>
      <c r="R6011" s="10" t="s">
        <v>168</v>
      </c>
      <c r="S6011" s="11"/>
      <c r="T6011" s="6"/>
      <c r="U6011" s="24" t="str">
        <f>HYPERLINK("https://media.infra-m.ru/1950/1950287/cover/1950287.jpg", "Обложка")</f>
        <v>Обложка</v>
      </c>
      <c r="V6011" s="24" t="str">
        <f>HYPERLINK("https://znanium.ru/catalog/product/1904580", "Ознакомиться")</f>
        <v>Ознакомиться</v>
      </c>
      <c r="W6011" s="8" t="s">
        <v>7876</v>
      </c>
      <c r="X6011" s="6"/>
      <c r="Y6011" s="6"/>
      <c r="Z6011" s="6"/>
      <c r="AA6011" s="6" t="s">
        <v>31529</v>
      </c>
      <c r="AB6011" s="8"/>
    </row>
    <row r="6012" spans="1:28" s="4" customFormat="1" ht="51.95" customHeight="1">
      <c r="A6012" s="5">
        <v>0</v>
      </c>
      <c r="B6012" s="6" t="s">
        <v>35136</v>
      </c>
      <c r="C6012" s="7">
        <v>680</v>
      </c>
      <c r="D6012" s="8" t="s">
        <v>35137</v>
      </c>
      <c r="E6012" s="8" t="s">
        <v>35123</v>
      </c>
      <c r="F6012" s="8" t="s">
        <v>35138</v>
      </c>
      <c r="G6012" s="6" t="s">
        <v>38</v>
      </c>
      <c r="H6012" s="6" t="s">
        <v>53</v>
      </c>
      <c r="I6012" s="8" t="s">
        <v>116</v>
      </c>
      <c r="J6012" s="9">
        <v>1</v>
      </c>
      <c r="K6012" s="9">
        <v>133</v>
      </c>
      <c r="L6012" s="9">
        <v>2024</v>
      </c>
      <c r="M6012" s="8" t="s">
        <v>35139</v>
      </c>
      <c r="N6012" s="8" t="s">
        <v>41</v>
      </c>
      <c r="O6012" s="8" t="s">
        <v>1007</v>
      </c>
      <c r="P6012" s="6" t="s">
        <v>43</v>
      </c>
      <c r="Q6012" s="8" t="s">
        <v>44</v>
      </c>
      <c r="R6012" s="10" t="s">
        <v>3378</v>
      </c>
      <c r="S6012" s="11" t="s">
        <v>35140</v>
      </c>
      <c r="T6012" s="6"/>
      <c r="U6012" s="24" t="str">
        <f>HYPERLINK("https://media.infra-m.ru/2136/2136795/cover/2136795.jpg", "Обложка")</f>
        <v>Обложка</v>
      </c>
      <c r="V6012" s="24" t="str">
        <f>HYPERLINK("https://znanium.ru/catalog/product/2136795", "Ознакомиться")</f>
        <v>Ознакомиться</v>
      </c>
      <c r="W6012" s="8" t="s">
        <v>8090</v>
      </c>
      <c r="X6012" s="6"/>
      <c r="Y6012" s="6"/>
      <c r="Z6012" s="6"/>
      <c r="AA6012" s="6" t="s">
        <v>11612</v>
      </c>
      <c r="AB6012" s="8"/>
    </row>
    <row r="6013" spans="1:28" s="4" customFormat="1" ht="51.95" customHeight="1">
      <c r="A6013" s="5">
        <v>0</v>
      </c>
      <c r="B6013" s="6" t="s">
        <v>35141</v>
      </c>
      <c r="C6013" s="7">
        <v>804.9</v>
      </c>
      <c r="D6013" s="8" t="s">
        <v>35142</v>
      </c>
      <c r="E6013" s="8" t="s">
        <v>35123</v>
      </c>
      <c r="F6013" s="8" t="s">
        <v>35124</v>
      </c>
      <c r="G6013" s="6" t="s">
        <v>52</v>
      </c>
      <c r="H6013" s="6" t="s">
        <v>53</v>
      </c>
      <c r="I6013" s="8" t="s">
        <v>90</v>
      </c>
      <c r="J6013" s="9">
        <v>1</v>
      </c>
      <c r="K6013" s="9">
        <v>192</v>
      </c>
      <c r="L6013" s="9">
        <v>2022</v>
      </c>
      <c r="M6013" s="8" t="s">
        <v>35143</v>
      </c>
      <c r="N6013" s="8" t="s">
        <v>41</v>
      </c>
      <c r="O6013" s="8" t="s">
        <v>1007</v>
      </c>
      <c r="P6013" s="6" t="s">
        <v>43</v>
      </c>
      <c r="Q6013" s="8" t="s">
        <v>44</v>
      </c>
      <c r="R6013" s="10" t="s">
        <v>168</v>
      </c>
      <c r="S6013" s="11"/>
      <c r="T6013" s="6"/>
      <c r="U6013" s="24" t="str">
        <f>HYPERLINK("https://media.infra-m.ru/1817/1817945/cover/1817945.jpg", "Обложка")</f>
        <v>Обложка</v>
      </c>
      <c r="V6013" s="24" t="str">
        <f>HYPERLINK("https://znanium.ru/catalog/product/987782", "Ознакомиться")</f>
        <v>Ознакомиться</v>
      </c>
      <c r="W6013" s="8" t="s">
        <v>347</v>
      </c>
      <c r="X6013" s="6"/>
      <c r="Y6013" s="6"/>
      <c r="Z6013" s="6"/>
      <c r="AA6013" s="6" t="s">
        <v>377</v>
      </c>
      <c r="AB6013" s="8"/>
    </row>
    <row r="6014" spans="1:28" s="4" customFormat="1" ht="51.95" customHeight="1">
      <c r="A6014" s="5">
        <v>0</v>
      </c>
      <c r="B6014" s="6" t="s">
        <v>35144</v>
      </c>
      <c r="C6014" s="13">
        <v>1220</v>
      </c>
      <c r="D6014" s="8" t="s">
        <v>35145</v>
      </c>
      <c r="E6014" s="8" t="s">
        <v>35123</v>
      </c>
      <c r="F6014" s="8" t="s">
        <v>35146</v>
      </c>
      <c r="G6014" s="6" t="s">
        <v>89</v>
      </c>
      <c r="H6014" s="6" t="s">
        <v>53</v>
      </c>
      <c r="I6014" s="8" t="s">
        <v>116</v>
      </c>
      <c r="J6014" s="9">
        <v>1</v>
      </c>
      <c r="K6014" s="9">
        <v>264</v>
      </c>
      <c r="L6014" s="9">
        <v>2023</v>
      </c>
      <c r="M6014" s="8" t="s">
        <v>35147</v>
      </c>
      <c r="N6014" s="8" t="s">
        <v>41</v>
      </c>
      <c r="O6014" s="8" t="s">
        <v>1007</v>
      </c>
      <c r="P6014" s="6" t="s">
        <v>43</v>
      </c>
      <c r="Q6014" s="8" t="s">
        <v>58</v>
      </c>
      <c r="R6014" s="10" t="s">
        <v>168</v>
      </c>
      <c r="S6014" s="11" t="s">
        <v>35148</v>
      </c>
      <c r="T6014" s="6"/>
      <c r="U6014" s="24" t="str">
        <f>HYPERLINK("https://media.infra-m.ru/2035/2035594/cover/2035594.jpg", "Обложка")</f>
        <v>Обложка</v>
      </c>
      <c r="V6014" s="24" t="str">
        <f>HYPERLINK("https://znanium.ru/catalog/product/1901312", "Ознакомиться")</f>
        <v>Ознакомиться</v>
      </c>
      <c r="W6014" s="8" t="s">
        <v>71</v>
      </c>
      <c r="X6014" s="6"/>
      <c r="Y6014" s="6"/>
      <c r="Z6014" s="6"/>
      <c r="AA6014" s="6" t="s">
        <v>377</v>
      </c>
      <c r="AB6014" s="8"/>
    </row>
    <row r="6015" spans="1:28" s="4" customFormat="1" ht="51.95" customHeight="1">
      <c r="A6015" s="5">
        <v>0</v>
      </c>
      <c r="B6015" s="6" t="s">
        <v>35149</v>
      </c>
      <c r="C6015" s="7">
        <v>994</v>
      </c>
      <c r="D6015" s="8" t="s">
        <v>35150</v>
      </c>
      <c r="E6015" s="8" t="s">
        <v>35151</v>
      </c>
      <c r="F6015" s="8" t="s">
        <v>18050</v>
      </c>
      <c r="G6015" s="6" t="s">
        <v>52</v>
      </c>
      <c r="H6015" s="6" t="s">
        <v>184</v>
      </c>
      <c r="I6015" s="8" t="s">
        <v>185</v>
      </c>
      <c r="J6015" s="9">
        <v>1</v>
      </c>
      <c r="K6015" s="9">
        <v>216</v>
      </c>
      <c r="L6015" s="9">
        <v>2024</v>
      </c>
      <c r="M6015" s="8" t="s">
        <v>35152</v>
      </c>
      <c r="N6015" s="8" t="s">
        <v>41</v>
      </c>
      <c r="O6015" s="8" t="s">
        <v>1007</v>
      </c>
      <c r="P6015" s="6" t="s">
        <v>167</v>
      </c>
      <c r="Q6015" s="8" t="s">
        <v>44</v>
      </c>
      <c r="R6015" s="10" t="s">
        <v>33173</v>
      </c>
      <c r="S6015" s="11" t="s">
        <v>35153</v>
      </c>
      <c r="T6015" s="6"/>
      <c r="U6015" s="24" t="str">
        <f>HYPERLINK("https://media.infra-m.ru/1981/1981617/cover/1981617.jpg", "Обложка")</f>
        <v>Обложка</v>
      </c>
      <c r="V6015" s="24" t="str">
        <f>HYPERLINK("https://znanium.ru/catalog/product/1981617", "Ознакомиться")</f>
        <v>Ознакомиться</v>
      </c>
      <c r="W6015" s="8" t="s">
        <v>6489</v>
      </c>
      <c r="X6015" s="6"/>
      <c r="Y6015" s="6"/>
      <c r="Z6015" s="6"/>
      <c r="AA6015" s="6" t="s">
        <v>2001</v>
      </c>
      <c r="AB6015" s="8"/>
    </row>
    <row r="6016" spans="1:28" s="4" customFormat="1" ht="42" customHeight="1">
      <c r="A6016" s="5">
        <v>0</v>
      </c>
      <c r="B6016" s="6" t="s">
        <v>35154</v>
      </c>
      <c r="C6016" s="13">
        <v>2294</v>
      </c>
      <c r="D6016" s="8" t="s">
        <v>35155</v>
      </c>
      <c r="E6016" s="8" t="s">
        <v>35156</v>
      </c>
      <c r="F6016" s="8" t="s">
        <v>12400</v>
      </c>
      <c r="G6016" s="6" t="s">
        <v>89</v>
      </c>
      <c r="H6016" s="6" t="s">
        <v>674</v>
      </c>
      <c r="I6016" s="8"/>
      <c r="J6016" s="9">
        <v>1</v>
      </c>
      <c r="K6016" s="9">
        <v>640</v>
      </c>
      <c r="L6016" s="9">
        <v>2024</v>
      </c>
      <c r="M6016" s="8" t="s">
        <v>35157</v>
      </c>
      <c r="N6016" s="8" t="s">
        <v>41</v>
      </c>
      <c r="O6016" s="8" t="s">
        <v>1007</v>
      </c>
      <c r="P6016" s="6" t="s">
        <v>167</v>
      </c>
      <c r="Q6016" s="8" t="s">
        <v>44</v>
      </c>
      <c r="R6016" s="10" t="s">
        <v>2461</v>
      </c>
      <c r="S6016" s="11"/>
      <c r="T6016" s="6"/>
      <c r="U6016" s="24" t="str">
        <f>HYPERLINK("https://media.infra-m.ru/2121/2121207/cover/2121207.jpg", "Обложка")</f>
        <v>Обложка</v>
      </c>
      <c r="V6016" s="24" t="str">
        <f>HYPERLINK("https://znanium.ru/catalog/product/2121207", "Ознакомиться")</f>
        <v>Ознакомиться</v>
      </c>
      <c r="W6016" s="8" t="s">
        <v>947</v>
      </c>
      <c r="X6016" s="6"/>
      <c r="Y6016" s="6"/>
      <c r="Z6016" s="6"/>
      <c r="AA6016" s="6" t="s">
        <v>4504</v>
      </c>
      <c r="AB6016" s="8"/>
    </row>
    <row r="6017" spans="1:28" s="4" customFormat="1" ht="51.95" customHeight="1">
      <c r="A6017" s="5">
        <v>0</v>
      </c>
      <c r="B6017" s="6" t="s">
        <v>35158</v>
      </c>
      <c r="C6017" s="13">
        <v>1850</v>
      </c>
      <c r="D6017" s="8" t="s">
        <v>35159</v>
      </c>
      <c r="E6017" s="8" t="s">
        <v>35160</v>
      </c>
      <c r="F6017" s="8" t="s">
        <v>35161</v>
      </c>
      <c r="G6017" s="6" t="s">
        <v>89</v>
      </c>
      <c r="H6017" s="6" t="s">
        <v>674</v>
      </c>
      <c r="I6017" s="8"/>
      <c r="J6017" s="9">
        <v>1</v>
      </c>
      <c r="K6017" s="9">
        <v>512</v>
      </c>
      <c r="L6017" s="9">
        <v>2021</v>
      </c>
      <c r="M6017" s="8" t="s">
        <v>35162</v>
      </c>
      <c r="N6017" s="8" t="s">
        <v>41</v>
      </c>
      <c r="O6017" s="8" t="s">
        <v>1007</v>
      </c>
      <c r="P6017" s="6" t="s">
        <v>187</v>
      </c>
      <c r="Q6017" s="8" t="s">
        <v>44</v>
      </c>
      <c r="R6017" s="10" t="s">
        <v>375</v>
      </c>
      <c r="S6017" s="11"/>
      <c r="T6017" s="6"/>
      <c r="U6017" s="24" t="str">
        <f>HYPERLINK("https://media.infra-m.ru/1233/1233217/cover/1233217.jpg", "Обложка")</f>
        <v>Обложка</v>
      </c>
      <c r="V6017" s="24" t="str">
        <f>HYPERLINK("https://znanium.ru/catalog/product/1233217", "Ознакомиться")</f>
        <v>Ознакомиться</v>
      </c>
      <c r="W6017" s="8" t="s">
        <v>947</v>
      </c>
      <c r="X6017" s="6"/>
      <c r="Y6017" s="6"/>
      <c r="Z6017" s="6"/>
      <c r="AA6017" s="6" t="s">
        <v>442</v>
      </c>
      <c r="AB6017" s="8"/>
    </row>
    <row r="6018" spans="1:28" s="4" customFormat="1" ht="51.95" customHeight="1">
      <c r="A6018" s="5">
        <v>0</v>
      </c>
      <c r="B6018" s="6" t="s">
        <v>35163</v>
      </c>
      <c r="C6018" s="13">
        <v>1834</v>
      </c>
      <c r="D6018" s="8" t="s">
        <v>35164</v>
      </c>
      <c r="E6018" s="8" t="s">
        <v>35165</v>
      </c>
      <c r="F6018" s="8" t="s">
        <v>35166</v>
      </c>
      <c r="G6018" s="6" t="s">
        <v>89</v>
      </c>
      <c r="H6018" s="6" t="s">
        <v>53</v>
      </c>
      <c r="I6018" s="8" t="s">
        <v>276</v>
      </c>
      <c r="J6018" s="9">
        <v>1</v>
      </c>
      <c r="K6018" s="9">
        <v>352</v>
      </c>
      <c r="L6018" s="9">
        <v>2025</v>
      </c>
      <c r="M6018" s="8" t="s">
        <v>35167</v>
      </c>
      <c r="N6018" s="8" t="s">
        <v>41</v>
      </c>
      <c r="O6018" s="8" t="s">
        <v>1007</v>
      </c>
      <c r="P6018" s="6" t="s">
        <v>167</v>
      </c>
      <c r="Q6018" s="8" t="s">
        <v>279</v>
      </c>
      <c r="R6018" s="10" t="s">
        <v>35168</v>
      </c>
      <c r="S6018" s="11" t="s">
        <v>26529</v>
      </c>
      <c r="T6018" s="6"/>
      <c r="U6018" s="24" t="str">
        <f>HYPERLINK("https://media.infra-m.ru/2192/2192252/cover/2192252.jpg", "Обложка")</f>
        <v>Обложка</v>
      </c>
      <c r="V6018" s="24" t="str">
        <f>HYPERLINK("https://znanium.ru/catalog/product/2126351", "Ознакомиться")</f>
        <v>Ознакомиться</v>
      </c>
      <c r="W6018" s="8" t="s">
        <v>30705</v>
      </c>
      <c r="X6018" s="6"/>
      <c r="Y6018" s="6"/>
      <c r="Z6018" s="6"/>
      <c r="AA6018" s="6" t="s">
        <v>644</v>
      </c>
      <c r="AB6018" s="8"/>
    </row>
    <row r="6019" spans="1:28" s="4" customFormat="1" ht="51.95" customHeight="1">
      <c r="A6019" s="5">
        <v>0</v>
      </c>
      <c r="B6019" s="6" t="s">
        <v>35169</v>
      </c>
      <c r="C6019" s="13">
        <v>1494</v>
      </c>
      <c r="D6019" s="8" t="s">
        <v>35170</v>
      </c>
      <c r="E6019" s="8" t="s">
        <v>35171</v>
      </c>
      <c r="F6019" s="8" t="s">
        <v>35172</v>
      </c>
      <c r="G6019" s="6" t="s">
        <v>89</v>
      </c>
      <c r="H6019" s="6" t="s">
        <v>53</v>
      </c>
      <c r="I6019" s="8" t="s">
        <v>100</v>
      </c>
      <c r="J6019" s="9">
        <v>1</v>
      </c>
      <c r="K6019" s="9">
        <v>288</v>
      </c>
      <c r="L6019" s="9">
        <v>2025</v>
      </c>
      <c r="M6019" s="8" t="s">
        <v>35173</v>
      </c>
      <c r="N6019" s="8" t="s">
        <v>41</v>
      </c>
      <c r="O6019" s="8" t="s">
        <v>1007</v>
      </c>
      <c r="P6019" s="6" t="s">
        <v>167</v>
      </c>
      <c r="Q6019" s="8" t="s">
        <v>102</v>
      </c>
      <c r="R6019" s="10" t="s">
        <v>35174</v>
      </c>
      <c r="S6019" s="11" t="s">
        <v>35175</v>
      </c>
      <c r="T6019" s="6"/>
      <c r="U6019" s="24" t="str">
        <f>HYPERLINK("https://media.infra-m.ru/2191/2191628/cover/2191628.jpg", "Обложка")</f>
        <v>Обложка</v>
      </c>
      <c r="V6019" s="24" t="str">
        <f>HYPERLINK("https://znanium.ru/catalog/product/2202497", "Ознакомиться")</f>
        <v>Ознакомиться</v>
      </c>
      <c r="W6019" s="8" t="s">
        <v>637</v>
      </c>
      <c r="X6019" s="6"/>
      <c r="Y6019" s="6"/>
      <c r="Z6019" s="6"/>
      <c r="AA6019" s="6" t="s">
        <v>122</v>
      </c>
      <c r="AB6019" s="8"/>
    </row>
    <row r="6020" spans="1:28" s="4" customFormat="1" ht="51.95" customHeight="1">
      <c r="A6020" s="5">
        <v>0</v>
      </c>
      <c r="B6020" s="6" t="s">
        <v>35176</v>
      </c>
      <c r="C6020" s="13">
        <v>1884</v>
      </c>
      <c r="D6020" s="8" t="s">
        <v>35177</v>
      </c>
      <c r="E6020" s="8" t="s">
        <v>35178</v>
      </c>
      <c r="F6020" s="8" t="s">
        <v>35179</v>
      </c>
      <c r="G6020" s="6" t="s">
        <v>52</v>
      </c>
      <c r="H6020" s="6" t="s">
        <v>53</v>
      </c>
      <c r="I6020" s="8" t="s">
        <v>90</v>
      </c>
      <c r="J6020" s="9">
        <v>1</v>
      </c>
      <c r="K6020" s="9">
        <v>363</v>
      </c>
      <c r="L6020" s="9">
        <v>2025</v>
      </c>
      <c r="M6020" s="8" t="s">
        <v>35180</v>
      </c>
      <c r="N6020" s="8" t="s">
        <v>41</v>
      </c>
      <c r="O6020" s="8" t="s">
        <v>1007</v>
      </c>
      <c r="P6020" s="6" t="s">
        <v>167</v>
      </c>
      <c r="Q6020" s="8" t="s">
        <v>44</v>
      </c>
      <c r="R6020" s="10" t="s">
        <v>1251</v>
      </c>
      <c r="S6020" s="11" t="s">
        <v>35181</v>
      </c>
      <c r="T6020" s="6"/>
      <c r="U6020" s="24" t="str">
        <f>HYPERLINK("https://media.infra-m.ru/2192/2192243/cover/2192243.jpg", "Обложка")</f>
        <v>Обложка</v>
      </c>
      <c r="V6020" s="24" t="str">
        <f>HYPERLINK("https://znanium.ru/catalog/product/1844279", "Ознакомиться")</f>
        <v>Ознакомиться</v>
      </c>
      <c r="W6020" s="8" t="s">
        <v>30705</v>
      </c>
      <c r="X6020" s="6"/>
      <c r="Y6020" s="6"/>
      <c r="Z6020" s="6"/>
      <c r="AA6020" s="6" t="s">
        <v>377</v>
      </c>
      <c r="AB6020" s="8"/>
    </row>
    <row r="6021" spans="1:28" s="4" customFormat="1" ht="51.95" customHeight="1">
      <c r="A6021" s="5">
        <v>0</v>
      </c>
      <c r="B6021" s="6" t="s">
        <v>35182</v>
      </c>
      <c r="C6021" s="13">
        <v>1360</v>
      </c>
      <c r="D6021" s="8" t="s">
        <v>35183</v>
      </c>
      <c r="E6021" s="8" t="s">
        <v>35184</v>
      </c>
      <c r="F6021" s="8" t="s">
        <v>7494</v>
      </c>
      <c r="G6021" s="6" t="s">
        <v>89</v>
      </c>
      <c r="H6021" s="6" t="s">
        <v>53</v>
      </c>
      <c r="I6021" s="8" t="s">
        <v>116</v>
      </c>
      <c r="J6021" s="9">
        <v>1</v>
      </c>
      <c r="K6021" s="9">
        <v>272</v>
      </c>
      <c r="L6021" s="9">
        <v>2025</v>
      </c>
      <c r="M6021" s="8" t="s">
        <v>35185</v>
      </c>
      <c r="N6021" s="8" t="s">
        <v>41</v>
      </c>
      <c r="O6021" s="8" t="s">
        <v>1007</v>
      </c>
      <c r="P6021" s="6" t="s">
        <v>167</v>
      </c>
      <c r="Q6021" s="8" t="s">
        <v>44</v>
      </c>
      <c r="R6021" s="10" t="s">
        <v>157</v>
      </c>
      <c r="S6021" s="11" t="s">
        <v>13394</v>
      </c>
      <c r="T6021" s="6"/>
      <c r="U6021" s="24" t="str">
        <f>HYPERLINK("https://media.infra-m.ru/2178/2178863/cover/2178863.jpg", "Обложка")</f>
        <v>Обложка</v>
      </c>
      <c r="V6021" s="24" t="str">
        <f>HYPERLINK("https://znanium.ru/catalog/product/2178863", "Ознакомиться")</f>
        <v>Ознакомиться</v>
      </c>
      <c r="W6021" s="8" t="s">
        <v>1345</v>
      </c>
      <c r="X6021" s="6"/>
      <c r="Y6021" s="6"/>
      <c r="Z6021" s="6"/>
      <c r="AA6021" s="6" t="s">
        <v>219</v>
      </c>
      <c r="AB6021" s="8"/>
    </row>
    <row r="6022" spans="1:28" s="4" customFormat="1" ht="51.95" customHeight="1">
      <c r="A6022" s="5">
        <v>0</v>
      </c>
      <c r="B6022" s="6" t="s">
        <v>35186</v>
      </c>
      <c r="C6022" s="13">
        <v>1830</v>
      </c>
      <c r="D6022" s="8" t="s">
        <v>35187</v>
      </c>
      <c r="E6022" s="8" t="s">
        <v>35188</v>
      </c>
      <c r="F6022" s="8" t="s">
        <v>35189</v>
      </c>
      <c r="G6022" s="6" t="s">
        <v>89</v>
      </c>
      <c r="H6022" s="6" t="s">
        <v>53</v>
      </c>
      <c r="I6022" s="8" t="s">
        <v>116</v>
      </c>
      <c r="J6022" s="9">
        <v>1</v>
      </c>
      <c r="K6022" s="9">
        <v>360</v>
      </c>
      <c r="L6022" s="9">
        <v>2025</v>
      </c>
      <c r="M6022" s="8" t="s">
        <v>35190</v>
      </c>
      <c r="N6022" s="8" t="s">
        <v>41</v>
      </c>
      <c r="O6022" s="8" t="s">
        <v>1007</v>
      </c>
      <c r="P6022" s="6" t="s">
        <v>167</v>
      </c>
      <c r="Q6022" s="8" t="s">
        <v>44</v>
      </c>
      <c r="R6022" s="10" t="s">
        <v>2461</v>
      </c>
      <c r="S6022" s="11" t="s">
        <v>35191</v>
      </c>
      <c r="T6022" s="6" t="s">
        <v>299</v>
      </c>
      <c r="U6022" s="24" t="str">
        <f>HYPERLINK("https://media.infra-m.ru/2163/2163981/cover/2163981.jpg", "Обложка")</f>
        <v>Обложка</v>
      </c>
      <c r="V6022" s="24" t="str">
        <f>HYPERLINK("https://znanium.ru/catalog/product/2163981", "Ознакомиться")</f>
        <v>Ознакомиться</v>
      </c>
      <c r="W6022" s="8" t="s">
        <v>29152</v>
      </c>
      <c r="X6022" s="6"/>
      <c r="Y6022" s="6"/>
      <c r="Z6022" s="6"/>
      <c r="AA6022" s="6" t="s">
        <v>494</v>
      </c>
      <c r="AB6022" s="8"/>
    </row>
    <row r="6023" spans="1:28" s="4" customFormat="1" ht="51.95" customHeight="1">
      <c r="A6023" s="5">
        <v>0</v>
      </c>
      <c r="B6023" s="6" t="s">
        <v>35192</v>
      </c>
      <c r="C6023" s="13">
        <v>1980</v>
      </c>
      <c r="D6023" s="8" t="s">
        <v>35193</v>
      </c>
      <c r="E6023" s="8" t="s">
        <v>35194</v>
      </c>
      <c r="F6023" s="8" t="s">
        <v>35195</v>
      </c>
      <c r="G6023" s="6" t="s">
        <v>89</v>
      </c>
      <c r="H6023" s="6" t="s">
        <v>53</v>
      </c>
      <c r="I6023" s="8" t="s">
        <v>90</v>
      </c>
      <c r="J6023" s="9">
        <v>1</v>
      </c>
      <c r="K6023" s="9">
        <v>439</v>
      </c>
      <c r="L6023" s="9">
        <v>2023</v>
      </c>
      <c r="M6023" s="8" t="s">
        <v>35196</v>
      </c>
      <c r="N6023" s="8" t="s">
        <v>41</v>
      </c>
      <c r="O6023" s="8" t="s">
        <v>1007</v>
      </c>
      <c r="P6023" s="6" t="s">
        <v>167</v>
      </c>
      <c r="Q6023" s="8" t="s">
        <v>44</v>
      </c>
      <c r="R6023" s="10" t="s">
        <v>35197</v>
      </c>
      <c r="S6023" s="11" t="s">
        <v>35198</v>
      </c>
      <c r="T6023" s="6" t="s">
        <v>299</v>
      </c>
      <c r="U6023" s="24" t="str">
        <f>HYPERLINK("https://media.infra-m.ru/1981/1981647/cover/1981647.jpg", "Обложка")</f>
        <v>Обложка</v>
      </c>
      <c r="V6023" s="24" t="str">
        <f>HYPERLINK("https://znanium.ru/catalog/product/1981647", "Ознакомиться")</f>
        <v>Ознакомиться</v>
      </c>
      <c r="W6023" s="8" t="s">
        <v>7944</v>
      </c>
      <c r="X6023" s="6"/>
      <c r="Y6023" s="6"/>
      <c r="Z6023" s="6"/>
      <c r="AA6023" s="6" t="s">
        <v>793</v>
      </c>
      <c r="AB6023" s="8"/>
    </row>
    <row r="6024" spans="1:28" s="4" customFormat="1" ht="51.95" customHeight="1">
      <c r="A6024" s="5">
        <v>0</v>
      </c>
      <c r="B6024" s="6" t="s">
        <v>35199</v>
      </c>
      <c r="C6024" s="13">
        <v>2524.9</v>
      </c>
      <c r="D6024" s="8" t="s">
        <v>35200</v>
      </c>
      <c r="E6024" s="8" t="s">
        <v>35201</v>
      </c>
      <c r="F6024" s="8" t="s">
        <v>35202</v>
      </c>
      <c r="G6024" s="6" t="s">
        <v>52</v>
      </c>
      <c r="H6024" s="6" t="s">
        <v>952</v>
      </c>
      <c r="I6024" s="8" t="s">
        <v>1171</v>
      </c>
      <c r="J6024" s="9">
        <v>1</v>
      </c>
      <c r="K6024" s="9">
        <v>560</v>
      </c>
      <c r="L6024" s="9">
        <v>2023</v>
      </c>
      <c r="M6024" s="8" t="s">
        <v>35203</v>
      </c>
      <c r="N6024" s="8" t="s">
        <v>41</v>
      </c>
      <c r="O6024" s="8" t="s">
        <v>1007</v>
      </c>
      <c r="P6024" s="6" t="s">
        <v>167</v>
      </c>
      <c r="Q6024" s="8" t="s">
        <v>44</v>
      </c>
      <c r="R6024" s="10" t="s">
        <v>35204</v>
      </c>
      <c r="S6024" s="11" t="s">
        <v>15321</v>
      </c>
      <c r="T6024" s="6"/>
      <c r="U6024" s="24" t="str">
        <f>HYPERLINK("https://media.infra-m.ru/1978/1978085/cover/1978085.jpg", "Обложка")</f>
        <v>Обложка</v>
      </c>
      <c r="V6024" s="24" t="str">
        <f>HYPERLINK("https://znanium.ru/catalog/product/1978085", "Ознакомиться")</f>
        <v>Ознакомиться</v>
      </c>
      <c r="W6024" s="8" t="s">
        <v>8716</v>
      </c>
      <c r="X6024" s="6"/>
      <c r="Y6024" s="6"/>
      <c r="Z6024" s="6"/>
      <c r="AA6024" s="6" t="s">
        <v>84</v>
      </c>
      <c r="AB6024" s="8"/>
    </row>
    <row r="6025" spans="1:28" s="4" customFormat="1" ht="51.95" customHeight="1">
      <c r="A6025" s="5">
        <v>0</v>
      </c>
      <c r="B6025" s="6" t="s">
        <v>35205</v>
      </c>
      <c r="C6025" s="13">
        <v>1074</v>
      </c>
      <c r="D6025" s="8" t="s">
        <v>35206</v>
      </c>
      <c r="E6025" s="8" t="s">
        <v>35207</v>
      </c>
      <c r="F6025" s="8" t="s">
        <v>35208</v>
      </c>
      <c r="G6025" s="6" t="s">
        <v>38</v>
      </c>
      <c r="H6025" s="6" t="s">
        <v>39</v>
      </c>
      <c r="I6025" s="8" t="s">
        <v>185</v>
      </c>
      <c r="J6025" s="9">
        <v>1</v>
      </c>
      <c r="K6025" s="9">
        <v>232</v>
      </c>
      <c r="L6025" s="9">
        <v>2024</v>
      </c>
      <c r="M6025" s="8" t="s">
        <v>35209</v>
      </c>
      <c r="N6025" s="8" t="s">
        <v>41</v>
      </c>
      <c r="O6025" s="8" t="s">
        <v>1007</v>
      </c>
      <c r="P6025" s="6" t="s">
        <v>43</v>
      </c>
      <c r="Q6025" s="8" t="s">
        <v>102</v>
      </c>
      <c r="R6025" s="10" t="s">
        <v>35210</v>
      </c>
      <c r="S6025" s="11" t="s">
        <v>4480</v>
      </c>
      <c r="T6025" s="6"/>
      <c r="U6025" s="24" t="str">
        <f>HYPERLINK("https://media.infra-m.ru/2040/2040001/cover/2040001.jpg", "Обложка")</f>
        <v>Обложка</v>
      </c>
      <c r="V6025" s="24" t="str">
        <f>HYPERLINK("https://znanium.ru/catalog/product/1287439", "Ознакомиться")</f>
        <v>Ознакомиться</v>
      </c>
      <c r="W6025" s="8" t="s">
        <v>159</v>
      </c>
      <c r="X6025" s="6"/>
      <c r="Y6025" s="6"/>
      <c r="Z6025" s="6"/>
      <c r="AA6025" s="6" t="s">
        <v>72</v>
      </c>
      <c r="AB6025" s="8"/>
    </row>
    <row r="6026" spans="1:28" s="4" customFormat="1" ht="51.95" customHeight="1">
      <c r="A6026" s="5">
        <v>0</v>
      </c>
      <c r="B6026" s="6" t="s">
        <v>35211</v>
      </c>
      <c r="C6026" s="7">
        <v>950</v>
      </c>
      <c r="D6026" s="8" t="s">
        <v>35212</v>
      </c>
      <c r="E6026" s="8" t="s">
        <v>35213</v>
      </c>
      <c r="F6026" s="8" t="s">
        <v>35214</v>
      </c>
      <c r="G6026" s="6" t="s">
        <v>89</v>
      </c>
      <c r="H6026" s="6" t="s">
        <v>53</v>
      </c>
      <c r="I6026" s="8" t="s">
        <v>100</v>
      </c>
      <c r="J6026" s="9">
        <v>1</v>
      </c>
      <c r="K6026" s="9">
        <v>182</v>
      </c>
      <c r="L6026" s="9">
        <v>2025</v>
      </c>
      <c r="M6026" s="8" t="s">
        <v>35215</v>
      </c>
      <c r="N6026" s="8" t="s">
        <v>41</v>
      </c>
      <c r="O6026" s="8" t="s">
        <v>278</v>
      </c>
      <c r="P6026" s="6" t="s">
        <v>167</v>
      </c>
      <c r="Q6026" s="8" t="s">
        <v>102</v>
      </c>
      <c r="R6026" s="10" t="s">
        <v>2326</v>
      </c>
      <c r="S6026" s="11" t="s">
        <v>35216</v>
      </c>
      <c r="T6026" s="6"/>
      <c r="U6026" s="24" t="str">
        <f>HYPERLINK("https://media.infra-m.ru/2196/2196783/cover/2196783.jpg", "Обложка")</f>
        <v>Обложка</v>
      </c>
      <c r="V6026" s="24" t="str">
        <f>HYPERLINK("https://znanium.ru/catalog/product/2196783", "Ознакомиться")</f>
        <v>Ознакомиться</v>
      </c>
      <c r="W6026" s="8" t="s">
        <v>189</v>
      </c>
      <c r="X6026" s="6"/>
      <c r="Y6026" s="6"/>
      <c r="Z6026" s="6" t="s">
        <v>104</v>
      </c>
      <c r="AA6026" s="6" t="s">
        <v>219</v>
      </c>
      <c r="AB6026" s="8"/>
    </row>
    <row r="6027" spans="1:28" s="4" customFormat="1" ht="51.95" customHeight="1">
      <c r="A6027" s="5">
        <v>0</v>
      </c>
      <c r="B6027" s="6" t="s">
        <v>35217</v>
      </c>
      <c r="C6027" s="7">
        <v>944</v>
      </c>
      <c r="D6027" s="8" t="s">
        <v>35218</v>
      </c>
      <c r="E6027" s="8" t="s">
        <v>35213</v>
      </c>
      <c r="F6027" s="8" t="s">
        <v>35214</v>
      </c>
      <c r="G6027" s="6" t="s">
        <v>52</v>
      </c>
      <c r="H6027" s="6" t="s">
        <v>53</v>
      </c>
      <c r="I6027" s="8" t="s">
        <v>12433</v>
      </c>
      <c r="J6027" s="9">
        <v>1</v>
      </c>
      <c r="K6027" s="9">
        <v>182</v>
      </c>
      <c r="L6027" s="9">
        <v>2025</v>
      </c>
      <c r="M6027" s="8" t="s">
        <v>35219</v>
      </c>
      <c r="N6027" s="8" t="s">
        <v>41</v>
      </c>
      <c r="O6027" s="8" t="s">
        <v>278</v>
      </c>
      <c r="P6027" s="6" t="s">
        <v>167</v>
      </c>
      <c r="Q6027" s="8" t="s">
        <v>44</v>
      </c>
      <c r="R6027" s="10" t="s">
        <v>10070</v>
      </c>
      <c r="S6027" s="11" t="s">
        <v>35220</v>
      </c>
      <c r="T6027" s="6"/>
      <c r="U6027" s="24" t="str">
        <f>HYPERLINK("https://media.infra-m.ru/2198/2198518/cover/2198518.jpg", "Обложка")</f>
        <v>Обложка</v>
      </c>
      <c r="V6027" s="24" t="str">
        <f>HYPERLINK("https://znanium.ru/catalog/product/2084480", "Ознакомиться")</f>
        <v>Ознакомиться</v>
      </c>
      <c r="W6027" s="8" t="s">
        <v>189</v>
      </c>
      <c r="X6027" s="6"/>
      <c r="Y6027" s="6"/>
      <c r="Z6027" s="6"/>
      <c r="AA6027" s="6" t="s">
        <v>219</v>
      </c>
      <c r="AB6027" s="8"/>
    </row>
    <row r="6028" spans="1:28" s="4" customFormat="1" ht="51.95" customHeight="1">
      <c r="A6028" s="5">
        <v>0</v>
      </c>
      <c r="B6028" s="6" t="s">
        <v>35221</v>
      </c>
      <c r="C6028" s="7">
        <v>994.9</v>
      </c>
      <c r="D6028" s="8" t="s">
        <v>35222</v>
      </c>
      <c r="E6028" s="8" t="s">
        <v>35223</v>
      </c>
      <c r="F6028" s="8" t="s">
        <v>35224</v>
      </c>
      <c r="G6028" s="6" t="s">
        <v>52</v>
      </c>
      <c r="H6028" s="6" t="s">
        <v>53</v>
      </c>
      <c r="I6028" s="8" t="s">
        <v>90</v>
      </c>
      <c r="J6028" s="9">
        <v>1</v>
      </c>
      <c r="K6028" s="9">
        <v>223</v>
      </c>
      <c r="L6028" s="9">
        <v>2023</v>
      </c>
      <c r="M6028" s="8" t="s">
        <v>35225</v>
      </c>
      <c r="N6028" s="8" t="s">
        <v>41</v>
      </c>
      <c r="O6028" s="8" t="s">
        <v>1007</v>
      </c>
      <c r="P6028" s="6" t="s">
        <v>43</v>
      </c>
      <c r="Q6028" s="8" t="s">
        <v>44</v>
      </c>
      <c r="R6028" s="10" t="s">
        <v>35226</v>
      </c>
      <c r="S6028" s="11" t="s">
        <v>35227</v>
      </c>
      <c r="T6028" s="6"/>
      <c r="U6028" s="24" t="str">
        <f>HYPERLINK("https://media.infra-m.ru/1981/1981674/cover/1981674.jpg", "Обложка")</f>
        <v>Обложка</v>
      </c>
      <c r="V6028" s="24" t="str">
        <f>HYPERLINK("https://znanium.ru/catalog/product/1981674", "Ознакомиться")</f>
        <v>Ознакомиться</v>
      </c>
      <c r="W6028" s="8" t="s">
        <v>637</v>
      </c>
      <c r="X6028" s="6"/>
      <c r="Y6028" s="6"/>
      <c r="Z6028" s="6"/>
      <c r="AA6028" s="6" t="s">
        <v>47</v>
      </c>
      <c r="AB6028" s="8"/>
    </row>
    <row r="6029" spans="1:28" s="4" customFormat="1" ht="51.95" customHeight="1">
      <c r="A6029" s="5">
        <v>0</v>
      </c>
      <c r="B6029" s="6" t="s">
        <v>35228</v>
      </c>
      <c r="C6029" s="13">
        <v>1614</v>
      </c>
      <c r="D6029" s="8" t="s">
        <v>35229</v>
      </c>
      <c r="E6029" s="8" t="s">
        <v>35230</v>
      </c>
      <c r="F6029" s="8" t="s">
        <v>18552</v>
      </c>
      <c r="G6029" s="6" t="s">
        <v>52</v>
      </c>
      <c r="H6029" s="6" t="s">
        <v>674</v>
      </c>
      <c r="I6029" s="8"/>
      <c r="J6029" s="9">
        <v>1</v>
      </c>
      <c r="K6029" s="9">
        <v>352</v>
      </c>
      <c r="L6029" s="9">
        <v>2024</v>
      </c>
      <c r="M6029" s="8" t="s">
        <v>35231</v>
      </c>
      <c r="N6029" s="8" t="s">
        <v>41</v>
      </c>
      <c r="O6029" s="8" t="s">
        <v>1007</v>
      </c>
      <c r="P6029" s="6" t="s">
        <v>167</v>
      </c>
      <c r="Q6029" s="8" t="s">
        <v>44</v>
      </c>
      <c r="R6029" s="10" t="s">
        <v>2461</v>
      </c>
      <c r="S6029" s="11" t="s">
        <v>35232</v>
      </c>
      <c r="T6029" s="6"/>
      <c r="U6029" s="24" t="str">
        <f>HYPERLINK("https://media.infra-m.ru/2096/2096925/cover/2096925.jpg", "Обложка")</f>
        <v>Обложка</v>
      </c>
      <c r="V6029" s="24" t="str">
        <f>HYPERLINK("https://znanium.ru/catalog/product/1943506", "Ознакомиться")</f>
        <v>Ознакомиться</v>
      </c>
      <c r="W6029" s="8" t="s">
        <v>1076</v>
      </c>
      <c r="X6029" s="6"/>
      <c r="Y6029" s="6"/>
      <c r="Z6029" s="6"/>
      <c r="AA6029" s="6" t="s">
        <v>84</v>
      </c>
      <c r="AB6029" s="8"/>
    </row>
    <row r="6030" spans="1:28" s="4" customFormat="1" ht="51.95" customHeight="1">
      <c r="A6030" s="5">
        <v>0</v>
      </c>
      <c r="B6030" s="6" t="s">
        <v>35233</v>
      </c>
      <c r="C6030" s="13">
        <v>1500</v>
      </c>
      <c r="D6030" s="8" t="s">
        <v>35234</v>
      </c>
      <c r="E6030" s="8" t="s">
        <v>35230</v>
      </c>
      <c r="F6030" s="8" t="s">
        <v>35235</v>
      </c>
      <c r="G6030" s="6" t="s">
        <v>89</v>
      </c>
      <c r="H6030" s="6" t="s">
        <v>184</v>
      </c>
      <c r="I6030" s="8" t="s">
        <v>90</v>
      </c>
      <c r="J6030" s="9">
        <v>1</v>
      </c>
      <c r="K6030" s="9">
        <v>332</v>
      </c>
      <c r="L6030" s="9">
        <v>2022</v>
      </c>
      <c r="M6030" s="8" t="s">
        <v>35236</v>
      </c>
      <c r="N6030" s="8" t="s">
        <v>41</v>
      </c>
      <c r="O6030" s="8" t="s">
        <v>1007</v>
      </c>
      <c r="P6030" s="6" t="s">
        <v>167</v>
      </c>
      <c r="Q6030" s="8" t="s">
        <v>44</v>
      </c>
      <c r="R6030" s="10" t="s">
        <v>11231</v>
      </c>
      <c r="S6030" s="11"/>
      <c r="T6030" s="6"/>
      <c r="U6030" s="24" t="str">
        <f>HYPERLINK("https://media.infra-m.ru/1948/1948206/cover/1948206.jpg", "Обложка")</f>
        <v>Обложка</v>
      </c>
      <c r="V6030" s="24" t="str">
        <f>HYPERLINK("https://znanium.ru/catalog/product/1853530", "Ознакомиться")</f>
        <v>Ознакомиться</v>
      </c>
      <c r="W6030" s="8" t="s">
        <v>621</v>
      </c>
      <c r="X6030" s="6"/>
      <c r="Y6030" s="6"/>
      <c r="Z6030" s="6"/>
      <c r="AA6030" s="6" t="s">
        <v>111</v>
      </c>
      <c r="AB6030" s="8"/>
    </row>
    <row r="6031" spans="1:28" s="4" customFormat="1" ht="42" customHeight="1">
      <c r="A6031" s="5">
        <v>0</v>
      </c>
      <c r="B6031" s="6" t="s">
        <v>35237</v>
      </c>
      <c r="C6031" s="13">
        <v>1274</v>
      </c>
      <c r="D6031" s="8" t="s">
        <v>35238</v>
      </c>
      <c r="E6031" s="8" t="s">
        <v>35230</v>
      </c>
      <c r="F6031" s="8" t="s">
        <v>35239</v>
      </c>
      <c r="G6031" s="6" t="s">
        <v>89</v>
      </c>
      <c r="H6031" s="6" t="s">
        <v>184</v>
      </c>
      <c r="I6031" s="8" t="s">
        <v>116</v>
      </c>
      <c r="J6031" s="9">
        <v>1</v>
      </c>
      <c r="K6031" s="9">
        <v>273</v>
      </c>
      <c r="L6031" s="9">
        <v>2023</v>
      </c>
      <c r="M6031" s="8" t="s">
        <v>35240</v>
      </c>
      <c r="N6031" s="8" t="s">
        <v>41</v>
      </c>
      <c r="O6031" s="8" t="s">
        <v>1007</v>
      </c>
      <c r="P6031" s="6" t="s">
        <v>167</v>
      </c>
      <c r="Q6031" s="8" t="s">
        <v>58</v>
      </c>
      <c r="R6031" s="10" t="s">
        <v>2461</v>
      </c>
      <c r="S6031" s="11"/>
      <c r="T6031" s="6"/>
      <c r="U6031" s="24" t="str">
        <f>HYPERLINK("https://media.infra-m.ru/2006/2006023/cover/2006023.jpg", "Обложка")</f>
        <v>Обложка</v>
      </c>
      <c r="V6031" s="24" t="str">
        <f>HYPERLINK("https://znanium.ru/catalog/product/1904581", "Ознакомиться")</f>
        <v>Ознакомиться</v>
      </c>
      <c r="W6031" s="8" t="s">
        <v>913</v>
      </c>
      <c r="X6031" s="6"/>
      <c r="Y6031" s="6"/>
      <c r="Z6031" s="6"/>
      <c r="AA6031" s="6" t="s">
        <v>442</v>
      </c>
      <c r="AB6031" s="8"/>
    </row>
    <row r="6032" spans="1:28" s="4" customFormat="1" ht="42" customHeight="1">
      <c r="A6032" s="5">
        <v>0</v>
      </c>
      <c r="B6032" s="6" t="s">
        <v>35241</v>
      </c>
      <c r="C6032" s="13">
        <v>1900</v>
      </c>
      <c r="D6032" s="8" t="s">
        <v>35242</v>
      </c>
      <c r="E6032" s="8" t="s">
        <v>35230</v>
      </c>
      <c r="F6032" s="8" t="s">
        <v>35243</v>
      </c>
      <c r="G6032" s="6" t="s">
        <v>89</v>
      </c>
      <c r="H6032" s="6" t="s">
        <v>952</v>
      </c>
      <c r="I6032" s="8" t="s">
        <v>1171</v>
      </c>
      <c r="J6032" s="9">
        <v>1</v>
      </c>
      <c r="K6032" s="9">
        <v>400</v>
      </c>
      <c r="L6032" s="9">
        <v>2023</v>
      </c>
      <c r="M6032" s="8" t="s">
        <v>35244</v>
      </c>
      <c r="N6032" s="8" t="s">
        <v>41</v>
      </c>
      <c r="O6032" s="8" t="s">
        <v>1007</v>
      </c>
      <c r="P6032" s="6" t="s">
        <v>167</v>
      </c>
      <c r="Q6032" s="8" t="s">
        <v>44</v>
      </c>
      <c r="R6032" s="10" t="s">
        <v>3001</v>
      </c>
      <c r="S6032" s="11"/>
      <c r="T6032" s="6"/>
      <c r="U6032" s="24" t="str">
        <f>HYPERLINK("https://media.infra-m.ru/1914/1914180/cover/1914180.jpg", "Обложка")</f>
        <v>Обложка</v>
      </c>
      <c r="V6032" s="24" t="str">
        <f>HYPERLINK("https://znanium.ru/catalog/product/1914180", "Ознакомиться")</f>
        <v>Ознакомиться</v>
      </c>
      <c r="W6032" s="8" t="s">
        <v>12607</v>
      </c>
      <c r="X6032" s="6"/>
      <c r="Y6032" s="6"/>
      <c r="Z6032" s="6"/>
      <c r="AA6032" s="6" t="s">
        <v>442</v>
      </c>
      <c r="AB6032" s="8"/>
    </row>
    <row r="6033" spans="1:28" s="4" customFormat="1" ht="51.95" customHeight="1">
      <c r="A6033" s="5">
        <v>0</v>
      </c>
      <c r="B6033" s="6" t="s">
        <v>35245</v>
      </c>
      <c r="C6033" s="13">
        <v>1744</v>
      </c>
      <c r="D6033" s="8" t="s">
        <v>35246</v>
      </c>
      <c r="E6033" s="8" t="s">
        <v>35230</v>
      </c>
      <c r="F6033" s="8" t="s">
        <v>35247</v>
      </c>
      <c r="G6033" s="6" t="s">
        <v>89</v>
      </c>
      <c r="H6033" s="6" t="s">
        <v>53</v>
      </c>
      <c r="I6033" s="8" t="s">
        <v>90</v>
      </c>
      <c r="J6033" s="9">
        <v>1</v>
      </c>
      <c r="K6033" s="9">
        <v>336</v>
      </c>
      <c r="L6033" s="9">
        <v>2025</v>
      </c>
      <c r="M6033" s="8" t="s">
        <v>35248</v>
      </c>
      <c r="N6033" s="8" t="s">
        <v>41</v>
      </c>
      <c r="O6033" s="8" t="s">
        <v>1007</v>
      </c>
      <c r="P6033" s="6" t="s">
        <v>167</v>
      </c>
      <c r="Q6033" s="8" t="s">
        <v>44</v>
      </c>
      <c r="R6033" s="10" t="s">
        <v>2461</v>
      </c>
      <c r="S6033" s="11" t="s">
        <v>35249</v>
      </c>
      <c r="T6033" s="6"/>
      <c r="U6033" s="24" t="str">
        <f>HYPERLINK("https://media.infra-m.ru/2194/2194356/cover/2194356.jpg", "Обложка")</f>
        <v>Обложка</v>
      </c>
      <c r="V6033" s="24" t="str">
        <f>HYPERLINK("https://znanium.ru/catalog/product/1941770", "Ознакомиться")</f>
        <v>Ознакомиться</v>
      </c>
      <c r="W6033" s="8" t="s">
        <v>189</v>
      </c>
      <c r="X6033" s="6"/>
      <c r="Y6033" s="6"/>
      <c r="Z6033" s="6"/>
      <c r="AA6033" s="6" t="s">
        <v>84</v>
      </c>
      <c r="AB6033" s="8"/>
    </row>
    <row r="6034" spans="1:28" s="4" customFormat="1" ht="51.95" customHeight="1">
      <c r="A6034" s="5">
        <v>0</v>
      </c>
      <c r="B6034" s="6" t="s">
        <v>35250</v>
      </c>
      <c r="C6034" s="7">
        <v>894</v>
      </c>
      <c r="D6034" s="8" t="s">
        <v>35251</v>
      </c>
      <c r="E6034" s="8" t="s">
        <v>35230</v>
      </c>
      <c r="F6034" s="8" t="s">
        <v>35252</v>
      </c>
      <c r="G6034" s="6" t="s">
        <v>89</v>
      </c>
      <c r="H6034" s="6" t="s">
        <v>53</v>
      </c>
      <c r="I6034" s="8" t="s">
        <v>90</v>
      </c>
      <c r="J6034" s="9">
        <v>1</v>
      </c>
      <c r="K6034" s="9">
        <v>171</v>
      </c>
      <c r="L6034" s="9">
        <v>2025</v>
      </c>
      <c r="M6034" s="8" t="s">
        <v>35253</v>
      </c>
      <c r="N6034" s="8" t="s">
        <v>41</v>
      </c>
      <c r="O6034" s="8" t="s">
        <v>1007</v>
      </c>
      <c r="P6034" s="6" t="s">
        <v>43</v>
      </c>
      <c r="Q6034" s="8" t="s">
        <v>44</v>
      </c>
      <c r="R6034" s="10" t="s">
        <v>34910</v>
      </c>
      <c r="S6034" s="11" t="s">
        <v>35254</v>
      </c>
      <c r="T6034" s="6"/>
      <c r="U6034" s="24" t="str">
        <f>HYPERLINK("https://media.infra-m.ru/2161/2161444/cover/2161444.jpg", "Обложка")</f>
        <v>Обложка</v>
      </c>
      <c r="V6034" s="24" t="str">
        <f>HYPERLINK("https://znanium.ru/catalog/product/1844324", "Ознакомиться")</f>
        <v>Ознакомиться</v>
      </c>
      <c r="W6034" s="8" t="s">
        <v>189</v>
      </c>
      <c r="X6034" s="6"/>
      <c r="Y6034" s="6"/>
      <c r="Z6034" s="6"/>
      <c r="AA6034" s="6" t="s">
        <v>47</v>
      </c>
      <c r="AB6034" s="8"/>
    </row>
    <row r="6035" spans="1:28" s="4" customFormat="1" ht="51.95" customHeight="1">
      <c r="A6035" s="5">
        <v>0</v>
      </c>
      <c r="B6035" s="6" t="s">
        <v>35255</v>
      </c>
      <c r="C6035" s="13">
        <v>1214</v>
      </c>
      <c r="D6035" s="8" t="s">
        <v>35256</v>
      </c>
      <c r="E6035" s="8" t="s">
        <v>35257</v>
      </c>
      <c r="F6035" s="8" t="s">
        <v>35258</v>
      </c>
      <c r="G6035" s="6" t="s">
        <v>89</v>
      </c>
      <c r="H6035" s="6" t="s">
        <v>53</v>
      </c>
      <c r="I6035" s="8" t="s">
        <v>90</v>
      </c>
      <c r="J6035" s="9">
        <v>1</v>
      </c>
      <c r="K6035" s="9">
        <v>264</v>
      </c>
      <c r="L6035" s="9">
        <v>2024</v>
      </c>
      <c r="M6035" s="8" t="s">
        <v>35259</v>
      </c>
      <c r="N6035" s="8" t="s">
        <v>41</v>
      </c>
      <c r="O6035" s="8" t="s">
        <v>1007</v>
      </c>
      <c r="P6035" s="6" t="s">
        <v>43</v>
      </c>
      <c r="Q6035" s="8" t="s">
        <v>44</v>
      </c>
      <c r="R6035" s="10" t="s">
        <v>5063</v>
      </c>
      <c r="S6035" s="11" t="s">
        <v>35260</v>
      </c>
      <c r="T6035" s="6"/>
      <c r="U6035" s="24" t="str">
        <f>HYPERLINK("https://media.infra-m.ru/2091/2091911/cover/2091911.jpg", "Обложка")</f>
        <v>Обложка</v>
      </c>
      <c r="V6035" s="24" t="str">
        <f>HYPERLINK("https://znanium.ru/catalog/product/2091911", "Ознакомиться")</f>
        <v>Ознакомиться</v>
      </c>
      <c r="W6035" s="8" t="s">
        <v>3426</v>
      </c>
      <c r="X6035" s="6"/>
      <c r="Y6035" s="6"/>
      <c r="Z6035" s="6"/>
      <c r="AA6035" s="6" t="s">
        <v>513</v>
      </c>
      <c r="AB6035" s="8"/>
    </row>
    <row r="6036" spans="1:28" s="4" customFormat="1" ht="51.95" customHeight="1">
      <c r="A6036" s="5">
        <v>0</v>
      </c>
      <c r="B6036" s="6" t="s">
        <v>35261</v>
      </c>
      <c r="C6036" s="7">
        <v>960</v>
      </c>
      <c r="D6036" s="8" t="s">
        <v>35262</v>
      </c>
      <c r="E6036" s="8" t="s">
        <v>35263</v>
      </c>
      <c r="F6036" s="8" t="s">
        <v>35258</v>
      </c>
      <c r="G6036" s="6" t="s">
        <v>89</v>
      </c>
      <c r="H6036" s="6" t="s">
        <v>53</v>
      </c>
      <c r="I6036" s="8" t="s">
        <v>90</v>
      </c>
      <c r="J6036" s="9">
        <v>1</v>
      </c>
      <c r="K6036" s="9">
        <v>253</v>
      </c>
      <c r="L6036" s="9">
        <v>2022</v>
      </c>
      <c r="M6036" s="8" t="s">
        <v>35264</v>
      </c>
      <c r="N6036" s="8" t="s">
        <v>41</v>
      </c>
      <c r="O6036" s="8" t="s">
        <v>1007</v>
      </c>
      <c r="P6036" s="6" t="s">
        <v>43</v>
      </c>
      <c r="Q6036" s="8" t="s">
        <v>44</v>
      </c>
      <c r="R6036" s="10" t="s">
        <v>5063</v>
      </c>
      <c r="S6036" s="11" t="s">
        <v>35265</v>
      </c>
      <c r="T6036" s="6"/>
      <c r="U6036" s="24" t="str">
        <f>HYPERLINK("https://media.infra-m.ru/1815/1815956/cover/1815956.jpg", "Обложка")</f>
        <v>Обложка</v>
      </c>
      <c r="V6036" s="24" t="str">
        <f>HYPERLINK("https://znanium.ru/catalog/product/2091911", "Ознакомиться")</f>
        <v>Ознакомиться</v>
      </c>
      <c r="W6036" s="8" t="s">
        <v>3426</v>
      </c>
      <c r="X6036" s="6"/>
      <c r="Y6036" s="6"/>
      <c r="Z6036" s="6"/>
      <c r="AA6036" s="6" t="s">
        <v>47</v>
      </c>
      <c r="AB6036" s="8"/>
    </row>
    <row r="6037" spans="1:28" s="4" customFormat="1" ht="51.95" customHeight="1">
      <c r="A6037" s="5">
        <v>0</v>
      </c>
      <c r="B6037" s="6" t="s">
        <v>35266</v>
      </c>
      <c r="C6037" s="7">
        <v>914</v>
      </c>
      <c r="D6037" s="8" t="s">
        <v>35267</v>
      </c>
      <c r="E6037" s="8" t="s">
        <v>35268</v>
      </c>
      <c r="F6037" s="8" t="s">
        <v>35258</v>
      </c>
      <c r="G6037" s="6" t="s">
        <v>89</v>
      </c>
      <c r="H6037" s="6" t="s">
        <v>53</v>
      </c>
      <c r="I6037" s="8" t="s">
        <v>90</v>
      </c>
      <c r="J6037" s="9">
        <v>1</v>
      </c>
      <c r="K6037" s="9">
        <v>176</v>
      </c>
      <c r="L6037" s="9">
        <v>2025</v>
      </c>
      <c r="M6037" s="8" t="s">
        <v>35269</v>
      </c>
      <c r="N6037" s="8" t="s">
        <v>41</v>
      </c>
      <c r="O6037" s="8" t="s">
        <v>1007</v>
      </c>
      <c r="P6037" s="6" t="s">
        <v>43</v>
      </c>
      <c r="Q6037" s="8" t="s">
        <v>44</v>
      </c>
      <c r="R6037" s="10" t="s">
        <v>35270</v>
      </c>
      <c r="S6037" s="11"/>
      <c r="T6037" s="6"/>
      <c r="U6037" s="24" t="str">
        <f>HYPERLINK("https://media.infra-m.ru/2196/2196912/cover/2196912.jpg", "Обложка")</f>
        <v>Обложка</v>
      </c>
      <c r="V6037" s="24" t="str">
        <f>HYPERLINK("https://znanium.ru/catalog/product/2126961", "Ознакомиться")</f>
        <v>Ознакомиться</v>
      </c>
      <c r="W6037" s="8" t="s">
        <v>3426</v>
      </c>
      <c r="X6037" s="6"/>
      <c r="Y6037" s="6"/>
      <c r="Z6037" s="6"/>
      <c r="AA6037" s="6" t="s">
        <v>47</v>
      </c>
      <c r="AB6037" s="8"/>
    </row>
    <row r="6038" spans="1:28" s="4" customFormat="1" ht="51.95" customHeight="1">
      <c r="A6038" s="5">
        <v>0</v>
      </c>
      <c r="B6038" s="6" t="s">
        <v>35271</v>
      </c>
      <c r="C6038" s="13">
        <v>2134</v>
      </c>
      <c r="D6038" s="8" t="s">
        <v>35272</v>
      </c>
      <c r="E6038" s="8" t="s">
        <v>35273</v>
      </c>
      <c r="F6038" s="8" t="s">
        <v>35274</v>
      </c>
      <c r="G6038" s="6" t="s">
        <v>52</v>
      </c>
      <c r="H6038" s="6" t="s">
        <v>53</v>
      </c>
      <c r="I6038" s="8" t="s">
        <v>90</v>
      </c>
      <c r="J6038" s="9">
        <v>1</v>
      </c>
      <c r="K6038" s="9">
        <v>427</v>
      </c>
      <c r="L6038" s="9">
        <v>2025</v>
      </c>
      <c r="M6038" s="8" t="s">
        <v>35275</v>
      </c>
      <c r="N6038" s="8" t="s">
        <v>41</v>
      </c>
      <c r="O6038" s="8" t="s">
        <v>118</v>
      </c>
      <c r="P6038" s="6" t="s">
        <v>167</v>
      </c>
      <c r="Q6038" s="8" t="s">
        <v>44</v>
      </c>
      <c r="R6038" s="10" t="s">
        <v>15750</v>
      </c>
      <c r="S6038" s="11" t="s">
        <v>35276</v>
      </c>
      <c r="T6038" s="6"/>
      <c r="U6038" s="24" t="str">
        <f>HYPERLINK("https://media.infra-m.ru/2192/2192240/cover/2192240.jpg", "Обложка")</f>
        <v>Обложка</v>
      </c>
      <c r="V6038" s="24" t="str">
        <f>HYPERLINK("https://znanium.ru/catalog/product/1939107", "Ознакомиться")</f>
        <v>Ознакомиться</v>
      </c>
      <c r="W6038" s="8" t="s">
        <v>1345</v>
      </c>
      <c r="X6038" s="6"/>
      <c r="Y6038" s="6"/>
      <c r="Z6038" s="6"/>
      <c r="AA6038" s="6" t="s">
        <v>47</v>
      </c>
      <c r="AB6038" s="8"/>
    </row>
    <row r="6039" spans="1:28" s="4" customFormat="1" ht="51.95" customHeight="1">
      <c r="A6039" s="5">
        <v>0</v>
      </c>
      <c r="B6039" s="6" t="s">
        <v>35277</v>
      </c>
      <c r="C6039" s="7">
        <v>494</v>
      </c>
      <c r="D6039" s="8" t="s">
        <v>35278</v>
      </c>
      <c r="E6039" s="8" t="s">
        <v>35279</v>
      </c>
      <c r="F6039" s="8" t="s">
        <v>35280</v>
      </c>
      <c r="G6039" s="6" t="s">
        <v>38</v>
      </c>
      <c r="H6039" s="6" t="s">
        <v>66</v>
      </c>
      <c r="I6039" s="8" t="s">
        <v>116</v>
      </c>
      <c r="J6039" s="9">
        <v>1</v>
      </c>
      <c r="K6039" s="9">
        <v>108</v>
      </c>
      <c r="L6039" s="9">
        <v>2024</v>
      </c>
      <c r="M6039" s="8" t="s">
        <v>35281</v>
      </c>
      <c r="N6039" s="8" t="s">
        <v>41</v>
      </c>
      <c r="O6039" s="8" t="s">
        <v>1007</v>
      </c>
      <c r="P6039" s="6" t="s">
        <v>43</v>
      </c>
      <c r="Q6039" s="8" t="s">
        <v>44</v>
      </c>
      <c r="R6039" s="10" t="s">
        <v>3378</v>
      </c>
      <c r="S6039" s="11" t="s">
        <v>35282</v>
      </c>
      <c r="T6039" s="6"/>
      <c r="U6039" s="24" t="str">
        <f>HYPERLINK("https://media.infra-m.ru/2063/2063451/cover/2063451.jpg", "Обложка")</f>
        <v>Обложка</v>
      </c>
      <c r="V6039" s="24" t="str">
        <f>HYPERLINK("https://znanium.ru/catalog/product/1002232", "Ознакомиться")</f>
        <v>Ознакомиться</v>
      </c>
      <c r="W6039" s="8" t="s">
        <v>189</v>
      </c>
      <c r="X6039" s="6"/>
      <c r="Y6039" s="6"/>
      <c r="Z6039" s="6"/>
      <c r="AA6039" s="6" t="s">
        <v>622</v>
      </c>
      <c r="AB6039" s="8"/>
    </row>
    <row r="6040" spans="1:28" s="4" customFormat="1" ht="51.95" customHeight="1">
      <c r="A6040" s="5">
        <v>0</v>
      </c>
      <c r="B6040" s="6" t="s">
        <v>35283</v>
      </c>
      <c r="C6040" s="13">
        <v>1114.9000000000001</v>
      </c>
      <c r="D6040" s="8" t="s">
        <v>35284</v>
      </c>
      <c r="E6040" s="8" t="s">
        <v>35285</v>
      </c>
      <c r="F6040" s="8" t="s">
        <v>35286</v>
      </c>
      <c r="G6040" s="6" t="s">
        <v>38</v>
      </c>
      <c r="H6040" s="6" t="s">
        <v>952</v>
      </c>
      <c r="I6040" s="8"/>
      <c r="J6040" s="9">
        <v>1</v>
      </c>
      <c r="K6040" s="9">
        <v>248</v>
      </c>
      <c r="L6040" s="9">
        <v>2023</v>
      </c>
      <c r="M6040" s="8" t="s">
        <v>35287</v>
      </c>
      <c r="N6040" s="8" t="s">
        <v>41</v>
      </c>
      <c r="O6040" s="8" t="s">
        <v>1007</v>
      </c>
      <c r="P6040" s="6" t="s">
        <v>43</v>
      </c>
      <c r="Q6040" s="8" t="s">
        <v>44</v>
      </c>
      <c r="R6040" s="10" t="s">
        <v>35288</v>
      </c>
      <c r="S6040" s="11"/>
      <c r="T6040" s="6"/>
      <c r="U6040" s="24" t="str">
        <f>HYPERLINK("https://media.infra-m.ru/1981/1981634/cover/1981634.jpg", "Обложка")</f>
        <v>Обложка</v>
      </c>
      <c r="V6040" s="24" t="str">
        <f>HYPERLINK("https://znanium.ru/catalog/product/960058", "Ознакомиться")</f>
        <v>Ознакомиться</v>
      </c>
      <c r="W6040" s="8" t="s">
        <v>83</v>
      </c>
      <c r="X6040" s="6"/>
      <c r="Y6040" s="6"/>
      <c r="Z6040" s="6"/>
      <c r="AA6040" s="6" t="s">
        <v>84</v>
      </c>
      <c r="AB6040" s="8"/>
    </row>
    <row r="6041" spans="1:28" s="4" customFormat="1" ht="51.95" customHeight="1">
      <c r="A6041" s="5">
        <v>0</v>
      </c>
      <c r="B6041" s="6" t="s">
        <v>35289</v>
      </c>
      <c r="C6041" s="13">
        <v>2404</v>
      </c>
      <c r="D6041" s="8" t="s">
        <v>35290</v>
      </c>
      <c r="E6041" s="8" t="s">
        <v>35291</v>
      </c>
      <c r="F6041" s="8" t="s">
        <v>35292</v>
      </c>
      <c r="G6041" s="6" t="s">
        <v>52</v>
      </c>
      <c r="H6041" s="6" t="s">
        <v>952</v>
      </c>
      <c r="I6041" s="8" t="s">
        <v>1171</v>
      </c>
      <c r="J6041" s="9">
        <v>1</v>
      </c>
      <c r="K6041" s="9">
        <v>512</v>
      </c>
      <c r="L6041" s="9">
        <v>2024</v>
      </c>
      <c r="M6041" s="8" t="s">
        <v>35293</v>
      </c>
      <c r="N6041" s="8" t="s">
        <v>41</v>
      </c>
      <c r="O6041" s="8" t="s">
        <v>1007</v>
      </c>
      <c r="P6041" s="6" t="s">
        <v>43</v>
      </c>
      <c r="Q6041" s="8" t="s">
        <v>44</v>
      </c>
      <c r="R6041" s="10" t="s">
        <v>168</v>
      </c>
      <c r="S6041" s="11" t="s">
        <v>35294</v>
      </c>
      <c r="T6041" s="6"/>
      <c r="U6041" s="24" t="str">
        <f>HYPERLINK("https://media.infra-m.ru/2151/2151915/cover/2151915.jpg", "Обложка")</f>
        <v>Обложка</v>
      </c>
      <c r="V6041" s="24" t="str">
        <f>HYPERLINK("https://znanium.ru/catalog/product/1072236", "Ознакомиться")</f>
        <v>Ознакомиться</v>
      </c>
      <c r="W6041" s="8" t="s">
        <v>83</v>
      </c>
      <c r="X6041" s="6"/>
      <c r="Y6041" s="6"/>
      <c r="Z6041" s="6"/>
      <c r="AA6041" s="6" t="s">
        <v>2217</v>
      </c>
      <c r="AB6041" s="8"/>
    </row>
    <row r="6042" spans="1:28" s="4" customFormat="1" ht="42" customHeight="1">
      <c r="A6042" s="5">
        <v>0</v>
      </c>
      <c r="B6042" s="6" t="s">
        <v>35295</v>
      </c>
      <c r="C6042" s="13">
        <v>1090</v>
      </c>
      <c r="D6042" s="8" t="s">
        <v>35296</v>
      </c>
      <c r="E6042" s="8" t="s">
        <v>35297</v>
      </c>
      <c r="F6042" s="8" t="s">
        <v>35298</v>
      </c>
      <c r="G6042" s="6" t="s">
        <v>52</v>
      </c>
      <c r="H6042" s="6" t="s">
        <v>53</v>
      </c>
      <c r="I6042" s="8" t="s">
        <v>116</v>
      </c>
      <c r="J6042" s="9">
        <v>1</v>
      </c>
      <c r="K6042" s="9">
        <v>196</v>
      </c>
      <c r="L6042" s="9">
        <v>2025</v>
      </c>
      <c r="M6042" s="8" t="s">
        <v>35299</v>
      </c>
      <c r="N6042" s="8" t="s">
        <v>41</v>
      </c>
      <c r="O6042" s="8" t="s">
        <v>1007</v>
      </c>
      <c r="P6042" s="6" t="s">
        <v>43</v>
      </c>
      <c r="Q6042" s="8" t="s">
        <v>58</v>
      </c>
      <c r="R6042" s="10" t="s">
        <v>3657</v>
      </c>
      <c r="S6042" s="11"/>
      <c r="T6042" s="6"/>
      <c r="U6042" s="24" t="str">
        <f>HYPERLINK("https://media.infra-m.ru/2086/2086335/cover/2086335.jpg", "Обложка")</f>
        <v>Обложка</v>
      </c>
      <c r="V6042" s="24" t="str">
        <f>HYPERLINK("https://znanium.ru/catalog/product/2086335", "Ознакомиться")</f>
        <v>Ознакомиться</v>
      </c>
      <c r="W6042" s="8" t="s">
        <v>1587</v>
      </c>
      <c r="X6042" s="6" t="s">
        <v>60</v>
      </c>
      <c r="Y6042" s="6"/>
      <c r="Z6042" s="6"/>
      <c r="AA6042" s="6" t="s">
        <v>61</v>
      </c>
      <c r="AB6042" s="8"/>
    </row>
    <row r="6043" spans="1:28" s="4" customFormat="1" ht="51.95" customHeight="1">
      <c r="A6043" s="5">
        <v>0</v>
      </c>
      <c r="B6043" s="6" t="s">
        <v>35300</v>
      </c>
      <c r="C6043" s="13">
        <v>1514</v>
      </c>
      <c r="D6043" s="8" t="s">
        <v>35301</v>
      </c>
      <c r="E6043" s="8" t="s">
        <v>35302</v>
      </c>
      <c r="F6043" s="8" t="s">
        <v>35303</v>
      </c>
      <c r="G6043" s="6" t="s">
        <v>52</v>
      </c>
      <c r="H6043" s="6" t="s">
        <v>53</v>
      </c>
      <c r="I6043" s="8" t="s">
        <v>90</v>
      </c>
      <c r="J6043" s="9">
        <v>1</v>
      </c>
      <c r="K6043" s="9">
        <v>317</v>
      </c>
      <c r="L6043" s="9">
        <v>2024</v>
      </c>
      <c r="M6043" s="8" t="s">
        <v>35304</v>
      </c>
      <c r="N6043" s="8" t="s">
        <v>41</v>
      </c>
      <c r="O6043" s="8" t="s">
        <v>1007</v>
      </c>
      <c r="P6043" s="6" t="s">
        <v>43</v>
      </c>
      <c r="Q6043" s="8" t="s">
        <v>44</v>
      </c>
      <c r="R6043" s="10" t="s">
        <v>35305</v>
      </c>
      <c r="S6043" s="11" t="s">
        <v>35306</v>
      </c>
      <c r="T6043" s="6"/>
      <c r="U6043" s="24" t="str">
        <f>HYPERLINK("https://media.infra-m.ru/2091/2091924/cover/2091924.jpg", "Обложка")</f>
        <v>Обложка</v>
      </c>
      <c r="V6043" s="24" t="str">
        <f>HYPERLINK("https://znanium.ru/catalog/product/2091924", "Ознакомиться")</f>
        <v>Ознакомиться</v>
      </c>
      <c r="W6043" s="8" t="s">
        <v>1587</v>
      </c>
      <c r="X6043" s="6"/>
      <c r="Y6043" s="6"/>
      <c r="Z6043" s="6"/>
      <c r="AA6043" s="6" t="s">
        <v>84</v>
      </c>
      <c r="AB6043" s="8"/>
    </row>
    <row r="6044" spans="1:28" s="4" customFormat="1" ht="51.95" customHeight="1">
      <c r="A6044" s="5">
        <v>0</v>
      </c>
      <c r="B6044" s="6" t="s">
        <v>35307</v>
      </c>
      <c r="C6044" s="13">
        <v>1254</v>
      </c>
      <c r="D6044" s="8" t="s">
        <v>35308</v>
      </c>
      <c r="E6044" s="8" t="s">
        <v>35309</v>
      </c>
      <c r="F6044" s="8" t="s">
        <v>35310</v>
      </c>
      <c r="G6044" s="6" t="s">
        <v>89</v>
      </c>
      <c r="H6044" s="6" t="s">
        <v>438</v>
      </c>
      <c r="I6044" s="8" t="s">
        <v>1171</v>
      </c>
      <c r="J6044" s="9">
        <v>1</v>
      </c>
      <c r="K6044" s="9">
        <v>272</v>
      </c>
      <c r="L6044" s="9">
        <v>2023</v>
      </c>
      <c r="M6044" s="8" t="s">
        <v>35311</v>
      </c>
      <c r="N6044" s="8" t="s">
        <v>41</v>
      </c>
      <c r="O6044" s="8" t="s">
        <v>1007</v>
      </c>
      <c r="P6044" s="6" t="s">
        <v>167</v>
      </c>
      <c r="Q6044" s="8" t="s">
        <v>44</v>
      </c>
      <c r="R6044" s="10" t="s">
        <v>157</v>
      </c>
      <c r="S6044" s="11" t="s">
        <v>35312</v>
      </c>
      <c r="T6044" s="6"/>
      <c r="U6044" s="24" t="str">
        <f>HYPERLINK("https://media.infra-m.ru/2002/2002612/cover/2002612.jpg", "Обложка")</f>
        <v>Обложка</v>
      </c>
      <c r="V6044" s="24" t="str">
        <f>HYPERLINK("https://znanium.ru/catalog/product/1976174", "Ознакомиться")</f>
        <v>Ознакомиться</v>
      </c>
      <c r="W6044" s="8" t="s">
        <v>23019</v>
      </c>
      <c r="X6044" s="6"/>
      <c r="Y6044" s="6"/>
      <c r="Z6044" s="6"/>
      <c r="AA6044" s="6" t="s">
        <v>442</v>
      </c>
      <c r="AB6044" s="8"/>
    </row>
    <row r="6045" spans="1:28" s="4" customFormat="1" ht="51.95" customHeight="1">
      <c r="A6045" s="5">
        <v>0</v>
      </c>
      <c r="B6045" s="6" t="s">
        <v>35313</v>
      </c>
      <c r="C6045" s="7">
        <v>940</v>
      </c>
      <c r="D6045" s="8" t="s">
        <v>35314</v>
      </c>
      <c r="E6045" s="8" t="s">
        <v>35315</v>
      </c>
      <c r="F6045" s="8" t="s">
        <v>35316</v>
      </c>
      <c r="G6045" s="6" t="s">
        <v>38</v>
      </c>
      <c r="H6045" s="6" t="s">
        <v>952</v>
      </c>
      <c r="I6045" s="8"/>
      <c r="J6045" s="9">
        <v>1</v>
      </c>
      <c r="K6045" s="9">
        <v>208</v>
      </c>
      <c r="L6045" s="9">
        <v>2023</v>
      </c>
      <c r="M6045" s="8" t="s">
        <v>35317</v>
      </c>
      <c r="N6045" s="8" t="s">
        <v>41</v>
      </c>
      <c r="O6045" s="8" t="s">
        <v>1007</v>
      </c>
      <c r="P6045" s="6" t="s">
        <v>43</v>
      </c>
      <c r="Q6045" s="8" t="s">
        <v>44</v>
      </c>
      <c r="R6045" s="10" t="s">
        <v>35318</v>
      </c>
      <c r="S6045" s="11"/>
      <c r="T6045" s="6"/>
      <c r="U6045" s="24" t="str">
        <f>HYPERLINK("https://media.infra-m.ru/1896/1896992/cover/1896992.jpg", "Обложка")</f>
        <v>Обложка</v>
      </c>
      <c r="V6045" s="24" t="str">
        <f>HYPERLINK("https://znanium.ru/catalog/product/1896992", "Ознакомиться")</f>
        <v>Ознакомиться</v>
      </c>
      <c r="W6045" s="8" t="s">
        <v>334</v>
      </c>
      <c r="X6045" s="6"/>
      <c r="Y6045" s="6"/>
      <c r="Z6045" s="6"/>
      <c r="AA6045" s="6" t="s">
        <v>111</v>
      </c>
      <c r="AB6045" s="8"/>
    </row>
    <row r="6046" spans="1:28" s="4" customFormat="1" ht="51.95" customHeight="1">
      <c r="A6046" s="5">
        <v>0</v>
      </c>
      <c r="B6046" s="6" t="s">
        <v>35319</v>
      </c>
      <c r="C6046" s="7">
        <v>744.9</v>
      </c>
      <c r="D6046" s="8" t="s">
        <v>35320</v>
      </c>
      <c r="E6046" s="8" t="s">
        <v>35321</v>
      </c>
      <c r="F6046" s="8" t="s">
        <v>35322</v>
      </c>
      <c r="G6046" s="6" t="s">
        <v>52</v>
      </c>
      <c r="H6046" s="6" t="s">
        <v>77</v>
      </c>
      <c r="I6046" s="8"/>
      <c r="J6046" s="9">
        <v>1</v>
      </c>
      <c r="K6046" s="9">
        <v>232</v>
      </c>
      <c r="L6046" s="9">
        <v>2019</v>
      </c>
      <c r="M6046" s="8" t="s">
        <v>35323</v>
      </c>
      <c r="N6046" s="8" t="s">
        <v>41</v>
      </c>
      <c r="O6046" s="8" t="s">
        <v>1007</v>
      </c>
      <c r="P6046" s="6" t="s">
        <v>43</v>
      </c>
      <c r="Q6046" s="8" t="s">
        <v>44</v>
      </c>
      <c r="R6046" s="10" t="s">
        <v>168</v>
      </c>
      <c r="S6046" s="11" t="s">
        <v>35324</v>
      </c>
      <c r="T6046" s="6"/>
      <c r="U6046" s="24" t="str">
        <f>HYPERLINK("https://media.infra-m.ru/1002/1002718/cover/1002718.jpg", "Обложка")</f>
        <v>Обложка</v>
      </c>
      <c r="V6046" s="24" t="str">
        <f>HYPERLINK("https://znanium.ru/catalog/product/1947413", "Ознакомиться")</f>
        <v>Ознакомиться</v>
      </c>
      <c r="W6046" s="8"/>
      <c r="X6046" s="6"/>
      <c r="Y6046" s="6"/>
      <c r="Z6046" s="6"/>
      <c r="AA6046" s="6" t="s">
        <v>122</v>
      </c>
      <c r="AB6046" s="8"/>
    </row>
    <row r="6047" spans="1:28" s="4" customFormat="1" ht="51.95" customHeight="1">
      <c r="A6047" s="5">
        <v>0</v>
      </c>
      <c r="B6047" s="6" t="s">
        <v>35325</v>
      </c>
      <c r="C6047" s="7">
        <v>864.9</v>
      </c>
      <c r="D6047" s="8" t="s">
        <v>35326</v>
      </c>
      <c r="E6047" s="8" t="s">
        <v>35327</v>
      </c>
      <c r="F6047" s="8" t="s">
        <v>35328</v>
      </c>
      <c r="G6047" s="6" t="s">
        <v>52</v>
      </c>
      <c r="H6047" s="6" t="s">
        <v>53</v>
      </c>
      <c r="I6047" s="8" t="s">
        <v>90</v>
      </c>
      <c r="J6047" s="9">
        <v>1</v>
      </c>
      <c r="K6047" s="9">
        <v>222</v>
      </c>
      <c r="L6047" s="9">
        <v>2020</v>
      </c>
      <c r="M6047" s="8" t="s">
        <v>35329</v>
      </c>
      <c r="N6047" s="8" t="s">
        <v>41</v>
      </c>
      <c r="O6047" s="8" t="s">
        <v>1007</v>
      </c>
      <c r="P6047" s="6" t="s">
        <v>43</v>
      </c>
      <c r="Q6047" s="8" t="s">
        <v>44</v>
      </c>
      <c r="R6047" s="10" t="s">
        <v>6064</v>
      </c>
      <c r="S6047" s="11" t="s">
        <v>35330</v>
      </c>
      <c r="T6047" s="6" t="s">
        <v>299</v>
      </c>
      <c r="U6047" s="24" t="str">
        <f>HYPERLINK("https://media.infra-m.ru/1084/1084317/cover/1084317.jpg", "Обложка")</f>
        <v>Обложка</v>
      </c>
      <c r="V6047" s="24" t="str">
        <f>HYPERLINK("https://znanium.ru/catalog/product/2076862", "Ознакомиться")</f>
        <v>Ознакомиться</v>
      </c>
      <c r="W6047" s="8" t="s">
        <v>2080</v>
      </c>
      <c r="X6047" s="6"/>
      <c r="Y6047" s="6"/>
      <c r="Z6047" s="6"/>
      <c r="AA6047" s="6" t="s">
        <v>160</v>
      </c>
      <c r="AB6047" s="8"/>
    </row>
    <row r="6048" spans="1:28" s="4" customFormat="1" ht="51.95" customHeight="1">
      <c r="A6048" s="5">
        <v>0</v>
      </c>
      <c r="B6048" s="6" t="s">
        <v>35331</v>
      </c>
      <c r="C6048" s="13">
        <v>1060</v>
      </c>
      <c r="D6048" s="8" t="s">
        <v>35332</v>
      </c>
      <c r="E6048" s="8" t="s">
        <v>35333</v>
      </c>
      <c r="F6048" s="8" t="s">
        <v>35328</v>
      </c>
      <c r="G6048" s="6" t="s">
        <v>52</v>
      </c>
      <c r="H6048" s="6" t="s">
        <v>53</v>
      </c>
      <c r="I6048" s="8" t="s">
        <v>116</v>
      </c>
      <c r="J6048" s="9">
        <v>1</v>
      </c>
      <c r="K6048" s="9">
        <v>223</v>
      </c>
      <c r="L6048" s="9">
        <v>2024</v>
      </c>
      <c r="M6048" s="8" t="s">
        <v>35334</v>
      </c>
      <c r="N6048" s="8" t="s">
        <v>997</v>
      </c>
      <c r="O6048" s="8" t="s">
        <v>998</v>
      </c>
      <c r="P6048" s="6" t="s">
        <v>43</v>
      </c>
      <c r="Q6048" s="8" t="s">
        <v>58</v>
      </c>
      <c r="R6048" s="10" t="s">
        <v>6064</v>
      </c>
      <c r="S6048" s="11"/>
      <c r="T6048" s="6" t="s">
        <v>299</v>
      </c>
      <c r="U6048" s="24" t="str">
        <f>HYPERLINK("https://media.infra-m.ru/2076/2076862/cover/2076862.jpg", "Обложка")</f>
        <v>Обложка</v>
      </c>
      <c r="V6048" s="24" t="str">
        <f>HYPERLINK("https://znanium.ru/catalog/product/2076862", "Ознакомиться")</f>
        <v>Ознакомиться</v>
      </c>
      <c r="W6048" s="8" t="s">
        <v>2080</v>
      </c>
      <c r="X6048" s="6"/>
      <c r="Y6048" s="6"/>
      <c r="Z6048" s="6"/>
      <c r="AA6048" s="6" t="s">
        <v>6038</v>
      </c>
      <c r="AB6048" s="8"/>
    </row>
    <row r="6049" spans="1:28" s="4" customFormat="1" ht="42" customHeight="1">
      <c r="A6049" s="5">
        <v>0</v>
      </c>
      <c r="B6049" s="6" t="s">
        <v>35335</v>
      </c>
      <c r="C6049" s="13">
        <v>2164</v>
      </c>
      <c r="D6049" s="8" t="s">
        <v>35336</v>
      </c>
      <c r="E6049" s="8" t="s">
        <v>35337</v>
      </c>
      <c r="F6049" s="8" t="s">
        <v>35338</v>
      </c>
      <c r="G6049" s="6" t="s">
        <v>52</v>
      </c>
      <c r="H6049" s="6" t="s">
        <v>952</v>
      </c>
      <c r="I6049" s="8" t="s">
        <v>1171</v>
      </c>
      <c r="J6049" s="9">
        <v>1</v>
      </c>
      <c r="K6049" s="9">
        <v>432</v>
      </c>
      <c r="L6049" s="9">
        <v>2025</v>
      </c>
      <c r="M6049" s="8" t="s">
        <v>35339</v>
      </c>
      <c r="N6049" s="8" t="s">
        <v>41</v>
      </c>
      <c r="O6049" s="8" t="s">
        <v>1007</v>
      </c>
      <c r="P6049" s="6" t="s">
        <v>167</v>
      </c>
      <c r="Q6049" s="8" t="s">
        <v>44</v>
      </c>
      <c r="R6049" s="10" t="s">
        <v>35059</v>
      </c>
      <c r="S6049" s="11"/>
      <c r="T6049" s="6"/>
      <c r="U6049" s="24" t="str">
        <f>HYPERLINK("https://media.infra-m.ru/2192/2192743/cover/2192743.jpg", "Обложка")</f>
        <v>Обложка</v>
      </c>
      <c r="V6049" s="24" t="str">
        <f>HYPERLINK("https://znanium.ru/catalog/product/1009729", "Ознакомиться")</f>
        <v>Ознакомиться</v>
      </c>
      <c r="W6049" s="8" t="s">
        <v>354</v>
      </c>
      <c r="X6049" s="6"/>
      <c r="Y6049" s="6"/>
      <c r="Z6049" s="6"/>
      <c r="AA6049" s="6" t="s">
        <v>111</v>
      </c>
      <c r="AB6049" s="8"/>
    </row>
    <row r="6050" spans="1:28" s="4" customFormat="1" ht="51.95" customHeight="1">
      <c r="A6050" s="5">
        <v>0</v>
      </c>
      <c r="B6050" s="6" t="s">
        <v>35340</v>
      </c>
      <c r="C6050" s="7">
        <v>890</v>
      </c>
      <c r="D6050" s="8" t="s">
        <v>35341</v>
      </c>
      <c r="E6050" s="8" t="s">
        <v>35342</v>
      </c>
      <c r="F6050" s="8" t="s">
        <v>35343</v>
      </c>
      <c r="G6050" s="6" t="s">
        <v>89</v>
      </c>
      <c r="H6050" s="6" t="s">
        <v>53</v>
      </c>
      <c r="I6050" s="8" t="s">
        <v>100</v>
      </c>
      <c r="J6050" s="9">
        <v>1</v>
      </c>
      <c r="K6050" s="9">
        <v>196</v>
      </c>
      <c r="L6050" s="9">
        <v>2023</v>
      </c>
      <c r="M6050" s="8" t="s">
        <v>35344</v>
      </c>
      <c r="N6050" s="8" t="s">
        <v>41</v>
      </c>
      <c r="O6050" s="8" t="s">
        <v>1007</v>
      </c>
      <c r="P6050" s="6" t="s">
        <v>167</v>
      </c>
      <c r="Q6050" s="8" t="s">
        <v>102</v>
      </c>
      <c r="R6050" s="10" t="s">
        <v>1349</v>
      </c>
      <c r="S6050" s="11" t="s">
        <v>35345</v>
      </c>
      <c r="T6050" s="6"/>
      <c r="U6050" s="24" t="str">
        <f>HYPERLINK("https://media.infra-m.ru/1911/1911500/cover/1911500.jpg", "Обложка")</f>
        <v>Обложка</v>
      </c>
      <c r="V6050" s="24" t="str">
        <f>HYPERLINK("https://znanium.ru/catalog/product/1911500", "Ознакомиться")</f>
        <v>Ознакомиться</v>
      </c>
      <c r="W6050" s="8" t="s">
        <v>19992</v>
      </c>
      <c r="X6050" s="6"/>
      <c r="Y6050" s="6"/>
      <c r="Z6050" s="6" t="s">
        <v>104</v>
      </c>
      <c r="AA6050" s="6" t="s">
        <v>1402</v>
      </c>
      <c r="AB6050" s="8"/>
    </row>
    <row r="6051" spans="1:28" s="4" customFormat="1" ht="51.95" customHeight="1">
      <c r="A6051" s="5">
        <v>0</v>
      </c>
      <c r="B6051" s="6" t="s">
        <v>35346</v>
      </c>
      <c r="C6051" s="7">
        <v>910</v>
      </c>
      <c r="D6051" s="8" t="s">
        <v>35347</v>
      </c>
      <c r="E6051" s="8" t="s">
        <v>35342</v>
      </c>
      <c r="F6051" s="8" t="s">
        <v>35343</v>
      </c>
      <c r="G6051" s="6" t="s">
        <v>89</v>
      </c>
      <c r="H6051" s="6" t="s">
        <v>53</v>
      </c>
      <c r="I6051" s="8" t="s">
        <v>116</v>
      </c>
      <c r="J6051" s="9">
        <v>1</v>
      </c>
      <c r="K6051" s="9">
        <v>196</v>
      </c>
      <c r="L6051" s="9">
        <v>2024</v>
      </c>
      <c r="M6051" s="8" t="s">
        <v>35348</v>
      </c>
      <c r="N6051" s="8" t="s">
        <v>41</v>
      </c>
      <c r="O6051" s="8" t="s">
        <v>1007</v>
      </c>
      <c r="P6051" s="6" t="s">
        <v>167</v>
      </c>
      <c r="Q6051" s="8" t="s">
        <v>44</v>
      </c>
      <c r="R6051" s="10" t="s">
        <v>35059</v>
      </c>
      <c r="S6051" s="11" t="s">
        <v>35349</v>
      </c>
      <c r="T6051" s="6"/>
      <c r="U6051" s="24" t="str">
        <f>HYPERLINK("https://media.infra-m.ru/2091/2091897/cover/2091897.jpg", "Обложка")</f>
        <v>Обложка</v>
      </c>
      <c r="V6051" s="24" t="str">
        <f>HYPERLINK("https://znanium.ru/catalog/product/2091897", "Ознакомиться")</f>
        <v>Ознакомиться</v>
      </c>
      <c r="W6051" s="8" t="s">
        <v>19992</v>
      </c>
      <c r="X6051" s="6"/>
      <c r="Y6051" s="6"/>
      <c r="Z6051" s="6"/>
      <c r="AA6051" s="6" t="s">
        <v>5763</v>
      </c>
      <c r="AB6051" s="8"/>
    </row>
    <row r="6052" spans="1:28" s="4" customFormat="1" ht="51.95" customHeight="1">
      <c r="A6052" s="5">
        <v>0</v>
      </c>
      <c r="B6052" s="6" t="s">
        <v>35350</v>
      </c>
      <c r="C6052" s="13">
        <v>2000</v>
      </c>
      <c r="D6052" s="8" t="s">
        <v>35351</v>
      </c>
      <c r="E6052" s="8" t="s">
        <v>35337</v>
      </c>
      <c r="F6052" s="8" t="s">
        <v>35352</v>
      </c>
      <c r="G6052" s="6" t="s">
        <v>89</v>
      </c>
      <c r="H6052" s="6" t="s">
        <v>649</v>
      </c>
      <c r="I6052" s="8" t="s">
        <v>212</v>
      </c>
      <c r="J6052" s="9">
        <v>1</v>
      </c>
      <c r="K6052" s="9">
        <v>672</v>
      </c>
      <c r="L6052" s="9">
        <v>2021</v>
      </c>
      <c r="M6052" s="8" t="s">
        <v>35353</v>
      </c>
      <c r="N6052" s="8" t="s">
        <v>41</v>
      </c>
      <c r="O6052" s="8" t="s">
        <v>1007</v>
      </c>
      <c r="P6052" s="6" t="s">
        <v>167</v>
      </c>
      <c r="Q6052" s="8" t="s">
        <v>214</v>
      </c>
      <c r="R6052" s="10" t="s">
        <v>35354</v>
      </c>
      <c r="S6052" s="11" t="s">
        <v>35355</v>
      </c>
      <c r="T6052" s="6"/>
      <c r="U6052" s="24" t="str">
        <f>HYPERLINK("https://media.infra-m.ru/1178/1178804/cover/1178804.jpg", "Обложка")</f>
        <v>Обложка</v>
      </c>
      <c r="V6052" s="24" t="str">
        <f>HYPERLINK("https://znanium.ru/catalog/product/2048905", "Ознакомиться")</f>
        <v>Ознакомиться</v>
      </c>
      <c r="W6052" s="8"/>
      <c r="X6052" s="6"/>
      <c r="Y6052" s="6"/>
      <c r="Z6052" s="6" t="s">
        <v>218</v>
      </c>
      <c r="AA6052" s="6" t="s">
        <v>219</v>
      </c>
      <c r="AB6052" s="8"/>
    </row>
    <row r="6053" spans="1:28" s="4" customFormat="1" ht="51.95" customHeight="1">
      <c r="A6053" s="5">
        <v>0</v>
      </c>
      <c r="B6053" s="6" t="s">
        <v>35356</v>
      </c>
      <c r="C6053" s="13">
        <v>3160</v>
      </c>
      <c r="D6053" s="8" t="s">
        <v>35357</v>
      </c>
      <c r="E6053" s="8" t="s">
        <v>35337</v>
      </c>
      <c r="F6053" s="8" t="s">
        <v>35358</v>
      </c>
      <c r="G6053" s="6" t="s">
        <v>52</v>
      </c>
      <c r="H6053" s="6" t="s">
        <v>649</v>
      </c>
      <c r="I6053" s="8" t="s">
        <v>90</v>
      </c>
      <c r="J6053" s="9">
        <v>1</v>
      </c>
      <c r="K6053" s="9">
        <v>672</v>
      </c>
      <c r="L6053" s="9">
        <v>2024</v>
      </c>
      <c r="M6053" s="8" t="s">
        <v>35359</v>
      </c>
      <c r="N6053" s="8" t="s">
        <v>41</v>
      </c>
      <c r="O6053" s="8" t="s">
        <v>1007</v>
      </c>
      <c r="P6053" s="6" t="s">
        <v>167</v>
      </c>
      <c r="Q6053" s="8" t="s">
        <v>44</v>
      </c>
      <c r="R6053" s="10" t="s">
        <v>1931</v>
      </c>
      <c r="S6053" s="11" t="s">
        <v>35355</v>
      </c>
      <c r="T6053" s="6"/>
      <c r="U6053" s="24" t="str">
        <f>HYPERLINK("https://media.infra-m.ru/2145/2145085/cover/2145085.jpg", "Обложка")</f>
        <v>Обложка</v>
      </c>
      <c r="V6053" s="24" t="str">
        <f>HYPERLINK("https://znanium.ru/catalog/product/2145085", "Ознакомиться")</f>
        <v>Ознакомиться</v>
      </c>
      <c r="W6053" s="8"/>
      <c r="X6053" s="6"/>
      <c r="Y6053" s="6"/>
      <c r="Z6053" s="6"/>
      <c r="AA6053" s="6" t="s">
        <v>2217</v>
      </c>
      <c r="AB6053" s="8"/>
    </row>
    <row r="6054" spans="1:28" s="4" customFormat="1" ht="51.95" customHeight="1">
      <c r="A6054" s="5">
        <v>0</v>
      </c>
      <c r="B6054" s="6" t="s">
        <v>35360</v>
      </c>
      <c r="C6054" s="13">
        <v>1184</v>
      </c>
      <c r="D6054" s="8" t="s">
        <v>35361</v>
      </c>
      <c r="E6054" s="8" t="s">
        <v>35337</v>
      </c>
      <c r="F6054" s="8" t="s">
        <v>35362</v>
      </c>
      <c r="G6054" s="6" t="s">
        <v>52</v>
      </c>
      <c r="H6054" s="6" t="s">
        <v>184</v>
      </c>
      <c r="I6054" s="8" t="s">
        <v>185</v>
      </c>
      <c r="J6054" s="9">
        <v>1</v>
      </c>
      <c r="K6054" s="9">
        <v>256</v>
      </c>
      <c r="L6054" s="9">
        <v>2024</v>
      </c>
      <c r="M6054" s="8" t="s">
        <v>35363</v>
      </c>
      <c r="N6054" s="8" t="s">
        <v>41</v>
      </c>
      <c r="O6054" s="8" t="s">
        <v>1007</v>
      </c>
      <c r="P6054" s="6" t="s">
        <v>167</v>
      </c>
      <c r="Q6054" s="8" t="s">
        <v>44</v>
      </c>
      <c r="R6054" s="10" t="s">
        <v>35364</v>
      </c>
      <c r="S6054" s="11" t="s">
        <v>22123</v>
      </c>
      <c r="T6054" s="6"/>
      <c r="U6054" s="24" t="str">
        <f>HYPERLINK("https://media.infra-m.ru/2078/2078405/cover/2078405.jpg", "Обложка")</f>
        <v>Обложка</v>
      </c>
      <c r="V6054" s="24" t="str">
        <f>HYPERLINK("https://znanium.ru/catalog/product/1002244", "Ознакомиться")</f>
        <v>Ознакомиться</v>
      </c>
      <c r="W6054" s="8" t="s">
        <v>20164</v>
      </c>
      <c r="X6054" s="6"/>
      <c r="Y6054" s="6"/>
      <c r="Z6054" s="6"/>
      <c r="AA6054" s="6" t="s">
        <v>122</v>
      </c>
      <c r="AB6054" s="8"/>
    </row>
    <row r="6055" spans="1:28" s="4" customFormat="1" ht="51.95" customHeight="1">
      <c r="A6055" s="5">
        <v>0</v>
      </c>
      <c r="B6055" s="6" t="s">
        <v>35365</v>
      </c>
      <c r="C6055" s="13">
        <v>1820</v>
      </c>
      <c r="D6055" s="8" t="s">
        <v>35366</v>
      </c>
      <c r="E6055" s="8" t="s">
        <v>35337</v>
      </c>
      <c r="F6055" s="8" t="s">
        <v>20884</v>
      </c>
      <c r="G6055" s="6" t="s">
        <v>52</v>
      </c>
      <c r="H6055" s="6" t="s">
        <v>53</v>
      </c>
      <c r="I6055" s="8" t="s">
        <v>90</v>
      </c>
      <c r="J6055" s="9">
        <v>1</v>
      </c>
      <c r="K6055" s="9">
        <v>566</v>
      </c>
      <c r="L6055" s="9">
        <v>2019</v>
      </c>
      <c r="M6055" s="8" t="s">
        <v>35367</v>
      </c>
      <c r="N6055" s="8" t="s">
        <v>41</v>
      </c>
      <c r="O6055" s="8" t="s">
        <v>1007</v>
      </c>
      <c r="P6055" s="6" t="s">
        <v>167</v>
      </c>
      <c r="Q6055" s="8" t="s">
        <v>44</v>
      </c>
      <c r="R6055" s="10" t="s">
        <v>35368</v>
      </c>
      <c r="S6055" s="11" t="s">
        <v>35369</v>
      </c>
      <c r="T6055" s="6" t="s">
        <v>299</v>
      </c>
      <c r="U6055" s="24" t="str">
        <f>HYPERLINK("https://media.infra-m.ru/1000/1000230/cover/1000230.jpg", "Обложка")</f>
        <v>Обложка</v>
      </c>
      <c r="V6055" s="24" t="str">
        <f>HYPERLINK("https://znanium.ru/catalog/product/1000230", "Ознакомиться")</f>
        <v>Ознакомиться</v>
      </c>
      <c r="W6055" s="8" t="s">
        <v>792</v>
      </c>
      <c r="X6055" s="6"/>
      <c r="Y6055" s="6"/>
      <c r="Z6055" s="6"/>
      <c r="AA6055" s="6" t="s">
        <v>258</v>
      </c>
      <c r="AB6055" s="8"/>
    </row>
    <row r="6056" spans="1:28" s="4" customFormat="1" ht="51.95" customHeight="1">
      <c r="A6056" s="5">
        <v>0</v>
      </c>
      <c r="B6056" s="6" t="s">
        <v>35370</v>
      </c>
      <c r="C6056" s="13">
        <v>1694</v>
      </c>
      <c r="D6056" s="8" t="s">
        <v>35371</v>
      </c>
      <c r="E6056" s="8" t="s">
        <v>35337</v>
      </c>
      <c r="F6056" s="8" t="s">
        <v>33747</v>
      </c>
      <c r="G6056" s="6" t="s">
        <v>52</v>
      </c>
      <c r="H6056" s="6" t="s">
        <v>649</v>
      </c>
      <c r="I6056" s="8" t="s">
        <v>116</v>
      </c>
      <c r="J6056" s="9">
        <v>1</v>
      </c>
      <c r="K6056" s="9">
        <v>368</v>
      </c>
      <c r="L6056" s="9">
        <v>2024</v>
      </c>
      <c r="M6056" s="8" t="s">
        <v>35372</v>
      </c>
      <c r="N6056" s="8" t="s">
        <v>41</v>
      </c>
      <c r="O6056" s="8" t="s">
        <v>1007</v>
      </c>
      <c r="P6056" s="6" t="s">
        <v>167</v>
      </c>
      <c r="Q6056" s="8" t="s">
        <v>44</v>
      </c>
      <c r="R6056" s="10" t="s">
        <v>35059</v>
      </c>
      <c r="S6056" s="11" t="s">
        <v>35373</v>
      </c>
      <c r="T6056" s="6"/>
      <c r="U6056" s="24" t="str">
        <f>HYPERLINK("https://media.infra-m.ru/2054/2054944/cover/2054944.jpg", "Обложка")</f>
        <v>Обложка</v>
      </c>
      <c r="V6056" s="24" t="str">
        <f>HYPERLINK("https://znanium.ru/catalog/product/1195607", "Ознакомиться")</f>
        <v>Ознакомиться</v>
      </c>
      <c r="W6056" s="8" t="s">
        <v>5635</v>
      </c>
      <c r="X6056" s="6"/>
      <c r="Y6056" s="6"/>
      <c r="Z6056" s="6"/>
      <c r="AA6056" s="6" t="s">
        <v>555</v>
      </c>
      <c r="AB6056" s="8"/>
    </row>
    <row r="6057" spans="1:28" s="4" customFormat="1" ht="51.95" customHeight="1">
      <c r="A6057" s="5">
        <v>0</v>
      </c>
      <c r="B6057" s="6" t="s">
        <v>35374</v>
      </c>
      <c r="C6057" s="13">
        <v>1634</v>
      </c>
      <c r="D6057" s="8" t="s">
        <v>35375</v>
      </c>
      <c r="E6057" s="8" t="s">
        <v>35376</v>
      </c>
      <c r="F6057" s="8" t="s">
        <v>35377</v>
      </c>
      <c r="G6057" s="6" t="s">
        <v>89</v>
      </c>
      <c r="H6057" s="6" t="s">
        <v>53</v>
      </c>
      <c r="I6057" s="8" t="s">
        <v>90</v>
      </c>
      <c r="J6057" s="9">
        <v>1</v>
      </c>
      <c r="K6057" s="9">
        <v>363</v>
      </c>
      <c r="L6057" s="9">
        <v>2023</v>
      </c>
      <c r="M6057" s="8" t="s">
        <v>35378</v>
      </c>
      <c r="N6057" s="8" t="s">
        <v>41</v>
      </c>
      <c r="O6057" s="8" t="s">
        <v>1007</v>
      </c>
      <c r="P6057" s="6" t="s">
        <v>167</v>
      </c>
      <c r="Q6057" s="8" t="s">
        <v>44</v>
      </c>
      <c r="R6057" s="10" t="s">
        <v>35368</v>
      </c>
      <c r="S6057" s="11" t="s">
        <v>35379</v>
      </c>
      <c r="T6057" s="6"/>
      <c r="U6057" s="24" t="str">
        <f>HYPERLINK("https://media.infra-m.ru/1898/1898030/cover/1898030.jpg", "Обложка")</f>
        <v>Обложка</v>
      </c>
      <c r="V6057" s="24" t="str">
        <f>HYPERLINK("https://znanium.ru/catalog/product/1897977", "Ознакомиться")</f>
        <v>Ознакомиться</v>
      </c>
      <c r="W6057" s="8" t="s">
        <v>12659</v>
      </c>
      <c r="X6057" s="6"/>
      <c r="Y6057" s="6"/>
      <c r="Z6057" s="6"/>
      <c r="AA6057" s="6" t="s">
        <v>1374</v>
      </c>
      <c r="AB6057" s="8"/>
    </row>
    <row r="6058" spans="1:28" s="4" customFormat="1" ht="51.95" customHeight="1">
      <c r="A6058" s="5">
        <v>0</v>
      </c>
      <c r="B6058" s="6" t="s">
        <v>35380</v>
      </c>
      <c r="C6058" s="13">
        <v>1874</v>
      </c>
      <c r="D6058" s="8" t="s">
        <v>35381</v>
      </c>
      <c r="E6058" s="8" t="s">
        <v>35337</v>
      </c>
      <c r="F6058" s="8" t="s">
        <v>10227</v>
      </c>
      <c r="G6058" s="6" t="s">
        <v>52</v>
      </c>
      <c r="H6058" s="6" t="s">
        <v>53</v>
      </c>
      <c r="I6058" s="8" t="s">
        <v>90</v>
      </c>
      <c r="J6058" s="9">
        <v>1</v>
      </c>
      <c r="K6058" s="9">
        <v>375</v>
      </c>
      <c r="L6058" s="9">
        <v>2025</v>
      </c>
      <c r="M6058" s="8" t="s">
        <v>35382</v>
      </c>
      <c r="N6058" s="8" t="s">
        <v>41</v>
      </c>
      <c r="O6058" s="8" t="s">
        <v>1007</v>
      </c>
      <c r="P6058" s="6" t="s">
        <v>43</v>
      </c>
      <c r="Q6058" s="8" t="s">
        <v>44</v>
      </c>
      <c r="R6058" s="10" t="s">
        <v>35059</v>
      </c>
      <c r="S6058" s="11" t="s">
        <v>35383</v>
      </c>
      <c r="T6058" s="6"/>
      <c r="U6058" s="24" t="str">
        <f>HYPERLINK("https://media.infra-m.ru/2169/2169234/cover/2169234.jpg", "Обложка")</f>
        <v>Обложка</v>
      </c>
      <c r="V6058" s="24" t="str">
        <f>HYPERLINK("https://znanium.ru/catalog/product/1663892", "Ознакомиться")</f>
        <v>Ознакомиться</v>
      </c>
      <c r="W6058" s="8" t="s">
        <v>4161</v>
      </c>
      <c r="X6058" s="6"/>
      <c r="Y6058" s="6"/>
      <c r="Z6058" s="6"/>
      <c r="AA6058" s="6" t="s">
        <v>72</v>
      </c>
      <c r="AB6058" s="8"/>
    </row>
    <row r="6059" spans="1:28" s="4" customFormat="1" ht="51.95" customHeight="1">
      <c r="A6059" s="5">
        <v>0</v>
      </c>
      <c r="B6059" s="6" t="s">
        <v>35384</v>
      </c>
      <c r="C6059" s="13">
        <v>1184</v>
      </c>
      <c r="D6059" s="8" t="s">
        <v>35385</v>
      </c>
      <c r="E6059" s="8" t="s">
        <v>35386</v>
      </c>
      <c r="F6059" s="8" t="s">
        <v>4297</v>
      </c>
      <c r="G6059" s="6" t="s">
        <v>89</v>
      </c>
      <c r="H6059" s="6" t="s">
        <v>53</v>
      </c>
      <c r="I6059" s="8" t="s">
        <v>4134</v>
      </c>
      <c r="J6059" s="9">
        <v>1</v>
      </c>
      <c r="K6059" s="9">
        <v>236</v>
      </c>
      <c r="L6059" s="9">
        <v>2024</v>
      </c>
      <c r="M6059" s="8" t="s">
        <v>35387</v>
      </c>
      <c r="N6059" s="8" t="s">
        <v>41</v>
      </c>
      <c r="O6059" s="8" t="s">
        <v>1007</v>
      </c>
      <c r="P6059" s="6" t="s">
        <v>43</v>
      </c>
      <c r="Q6059" s="8" t="s">
        <v>44</v>
      </c>
      <c r="R6059" s="10" t="s">
        <v>168</v>
      </c>
      <c r="S6059" s="11" t="s">
        <v>4299</v>
      </c>
      <c r="T6059" s="6"/>
      <c r="U6059" s="24" t="str">
        <f>HYPERLINK("https://media.infra-m.ru/2087/2087742/cover/2087742.jpg", "Обложка")</f>
        <v>Обложка</v>
      </c>
      <c r="V6059" s="24" t="str">
        <f>HYPERLINK("https://znanium.ru/catalog/product/2087742", "Ознакомиться")</f>
        <v>Ознакомиться</v>
      </c>
      <c r="W6059" s="8" t="s">
        <v>2080</v>
      </c>
      <c r="X6059" s="6"/>
      <c r="Y6059" s="6"/>
      <c r="Z6059" s="6"/>
      <c r="AA6059" s="6" t="s">
        <v>1382</v>
      </c>
      <c r="AB6059" s="8"/>
    </row>
    <row r="6060" spans="1:28" s="4" customFormat="1" ht="51.95" customHeight="1">
      <c r="A6060" s="5">
        <v>0</v>
      </c>
      <c r="B6060" s="6" t="s">
        <v>35388</v>
      </c>
      <c r="C6060" s="13">
        <v>1784</v>
      </c>
      <c r="D6060" s="8" t="s">
        <v>35389</v>
      </c>
      <c r="E6060" s="8" t="s">
        <v>35390</v>
      </c>
      <c r="F6060" s="8" t="s">
        <v>35391</v>
      </c>
      <c r="G6060" s="6" t="s">
        <v>89</v>
      </c>
      <c r="H6060" s="6" t="s">
        <v>77</v>
      </c>
      <c r="I6060" s="8"/>
      <c r="J6060" s="9">
        <v>1</v>
      </c>
      <c r="K6060" s="9">
        <v>389</v>
      </c>
      <c r="L6060" s="9">
        <v>2024</v>
      </c>
      <c r="M6060" s="8" t="s">
        <v>35392</v>
      </c>
      <c r="N6060" s="8" t="s">
        <v>413</v>
      </c>
      <c r="O6060" s="8" t="s">
        <v>1141</v>
      </c>
      <c r="P6060" s="6" t="s">
        <v>43</v>
      </c>
      <c r="Q6060" s="8" t="s">
        <v>44</v>
      </c>
      <c r="R6060" s="10" t="s">
        <v>157</v>
      </c>
      <c r="S6060" s="11" t="s">
        <v>35393</v>
      </c>
      <c r="T6060" s="6"/>
      <c r="U6060" s="24" t="str">
        <f>HYPERLINK("https://media.infra-m.ru/2112/2112446/cover/2112446.jpg", "Обложка")</f>
        <v>Обложка</v>
      </c>
      <c r="V6060" s="24" t="str">
        <f>HYPERLINK("https://znanium.ru/catalog/product/2056791", "Ознакомиться")</f>
        <v>Ознакомиться</v>
      </c>
      <c r="W6060" s="8" t="s">
        <v>83</v>
      </c>
      <c r="X6060" s="6"/>
      <c r="Y6060" s="6"/>
      <c r="Z6060" s="6"/>
      <c r="AA6060" s="6" t="s">
        <v>7663</v>
      </c>
      <c r="AB6060" s="8"/>
    </row>
    <row r="6061" spans="1:28" s="4" customFormat="1" ht="51.95" customHeight="1">
      <c r="A6061" s="5">
        <v>0</v>
      </c>
      <c r="B6061" s="6" t="s">
        <v>35394</v>
      </c>
      <c r="C6061" s="7">
        <v>744</v>
      </c>
      <c r="D6061" s="8" t="s">
        <v>35395</v>
      </c>
      <c r="E6061" s="8" t="s">
        <v>35396</v>
      </c>
      <c r="F6061" s="8" t="s">
        <v>35397</v>
      </c>
      <c r="G6061" s="6" t="s">
        <v>52</v>
      </c>
      <c r="H6061" s="6" t="s">
        <v>77</v>
      </c>
      <c r="I6061" s="8" t="s">
        <v>90</v>
      </c>
      <c r="J6061" s="9">
        <v>1</v>
      </c>
      <c r="K6061" s="9">
        <v>148</v>
      </c>
      <c r="L6061" s="9">
        <v>2025</v>
      </c>
      <c r="M6061" s="8" t="s">
        <v>35398</v>
      </c>
      <c r="N6061" s="8" t="s">
        <v>41</v>
      </c>
      <c r="O6061" s="8" t="s">
        <v>1007</v>
      </c>
      <c r="P6061" s="6" t="s">
        <v>167</v>
      </c>
      <c r="Q6061" s="8" t="s">
        <v>44</v>
      </c>
      <c r="R6061" s="10" t="s">
        <v>35399</v>
      </c>
      <c r="S6061" s="11" t="s">
        <v>2434</v>
      </c>
      <c r="T6061" s="6"/>
      <c r="U6061" s="24" t="str">
        <f>HYPERLINK("https://media.infra-m.ru/2143/2143595/cover/2143595.jpg", "Обложка")</f>
        <v>Обложка</v>
      </c>
      <c r="V6061" s="24" t="str">
        <f>HYPERLINK("https://znanium.ru/catalog/product/1237099", "Ознакомиться")</f>
        <v>Ознакомиться</v>
      </c>
      <c r="W6061" s="8" t="s">
        <v>7243</v>
      </c>
      <c r="X6061" s="6"/>
      <c r="Y6061" s="6"/>
      <c r="Z6061" s="6"/>
      <c r="AA6061" s="6" t="s">
        <v>707</v>
      </c>
      <c r="AB6061" s="8"/>
    </row>
    <row r="6062" spans="1:28" s="4" customFormat="1" ht="51.95" customHeight="1">
      <c r="A6062" s="5">
        <v>0</v>
      </c>
      <c r="B6062" s="6" t="s">
        <v>35400</v>
      </c>
      <c r="C6062" s="13">
        <v>2140</v>
      </c>
      <c r="D6062" s="8" t="s">
        <v>35401</v>
      </c>
      <c r="E6062" s="8" t="s">
        <v>35402</v>
      </c>
      <c r="F6062" s="8" t="s">
        <v>35403</v>
      </c>
      <c r="G6062" s="6" t="s">
        <v>52</v>
      </c>
      <c r="H6062" s="6" t="s">
        <v>53</v>
      </c>
      <c r="I6062" s="8" t="s">
        <v>116</v>
      </c>
      <c r="J6062" s="9">
        <v>1</v>
      </c>
      <c r="K6062" s="9">
        <v>456</v>
      </c>
      <c r="L6062" s="9">
        <v>2024</v>
      </c>
      <c r="M6062" s="8" t="s">
        <v>35404</v>
      </c>
      <c r="N6062" s="8" t="s">
        <v>41</v>
      </c>
      <c r="O6062" s="8" t="s">
        <v>118</v>
      </c>
      <c r="P6062" s="6" t="s">
        <v>167</v>
      </c>
      <c r="Q6062" s="8" t="s">
        <v>58</v>
      </c>
      <c r="R6062" s="10" t="s">
        <v>10198</v>
      </c>
      <c r="S6062" s="11" t="s">
        <v>14036</v>
      </c>
      <c r="T6062" s="6"/>
      <c r="U6062" s="24" t="str">
        <f>HYPERLINK("https://media.infra-m.ru/2033/2033424/cover/2033424.jpg", "Обложка")</f>
        <v>Обложка</v>
      </c>
      <c r="V6062" s="24" t="str">
        <f>HYPERLINK("https://znanium.ru/catalog/product/2033424", "Ознакомиться")</f>
        <v>Ознакомиться</v>
      </c>
      <c r="W6062" s="8" t="s">
        <v>1293</v>
      </c>
      <c r="X6062" s="6"/>
      <c r="Y6062" s="6"/>
      <c r="Z6062" s="6"/>
      <c r="AA6062" s="6" t="s">
        <v>133</v>
      </c>
      <c r="AB6062" s="8"/>
    </row>
    <row r="6063" spans="1:28" s="4" customFormat="1" ht="51.95" customHeight="1">
      <c r="A6063" s="5">
        <v>0</v>
      </c>
      <c r="B6063" s="6" t="s">
        <v>35405</v>
      </c>
      <c r="C6063" s="7">
        <v>954</v>
      </c>
      <c r="D6063" s="8" t="s">
        <v>35406</v>
      </c>
      <c r="E6063" s="8" t="s">
        <v>35407</v>
      </c>
      <c r="F6063" s="8" t="s">
        <v>35408</v>
      </c>
      <c r="G6063" s="6" t="s">
        <v>89</v>
      </c>
      <c r="H6063" s="6" t="s">
        <v>77</v>
      </c>
      <c r="I6063" s="8"/>
      <c r="J6063" s="9">
        <v>1</v>
      </c>
      <c r="K6063" s="9">
        <v>190</v>
      </c>
      <c r="L6063" s="9">
        <v>2025</v>
      </c>
      <c r="M6063" s="8" t="s">
        <v>35409</v>
      </c>
      <c r="N6063" s="8" t="s">
        <v>413</v>
      </c>
      <c r="O6063" s="8" t="s">
        <v>1141</v>
      </c>
      <c r="P6063" s="6" t="s">
        <v>366</v>
      </c>
      <c r="Q6063" s="8" t="s">
        <v>44</v>
      </c>
      <c r="R6063" s="10" t="s">
        <v>35410</v>
      </c>
      <c r="S6063" s="11"/>
      <c r="T6063" s="6"/>
      <c r="U6063" s="24" t="str">
        <f>HYPERLINK("https://media.infra-m.ru/2185/2185118/cover/2185118.jpg", "Обложка")</f>
        <v>Обложка</v>
      </c>
      <c r="V6063" s="24" t="str">
        <f>HYPERLINK("https://znanium.ru/catalog/product/1920327", "Ознакомиться")</f>
        <v>Ознакомиться</v>
      </c>
      <c r="W6063" s="8" t="s">
        <v>83</v>
      </c>
      <c r="X6063" s="6"/>
      <c r="Y6063" s="6"/>
      <c r="Z6063" s="6"/>
      <c r="AA6063" s="6" t="s">
        <v>638</v>
      </c>
      <c r="AB6063" s="8"/>
    </row>
    <row r="6064" spans="1:28" s="4" customFormat="1" ht="51.95" customHeight="1">
      <c r="A6064" s="5">
        <v>0</v>
      </c>
      <c r="B6064" s="6" t="s">
        <v>35411</v>
      </c>
      <c r="C6064" s="13">
        <v>1920</v>
      </c>
      <c r="D6064" s="8" t="s">
        <v>35412</v>
      </c>
      <c r="E6064" s="8" t="s">
        <v>35413</v>
      </c>
      <c r="F6064" s="8" t="s">
        <v>35414</v>
      </c>
      <c r="G6064" s="6" t="s">
        <v>52</v>
      </c>
      <c r="H6064" s="6" t="s">
        <v>77</v>
      </c>
      <c r="I6064" s="8" t="s">
        <v>116</v>
      </c>
      <c r="J6064" s="9">
        <v>1</v>
      </c>
      <c r="K6064" s="9">
        <v>416</v>
      </c>
      <c r="L6064" s="9">
        <v>2024</v>
      </c>
      <c r="M6064" s="8" t="s">
        <v>35415</v>
      </c>
      <c r="N6064" s="8" t="s">
        <v>413</v>
      </c>
      <c r="O6064" s="8" t="s">
        <v>1141</v>
      </c>
      <c r="P6064" s="6" t="s">
        <v>43</v>
      </c>
      <c r="Q6064" s="8" t="s">
        <v>44</v>
      </c>
      <c r="R6064" s="10" t="s">
        <v>1008</v>
      </c>
      <c r="S6064" s="11" t="s">
        <v>35416</v>
      </c>
      <c r="T6064" s="6" t="s">
        <v>299</v>
      </c>
      <c r="U6064" s="24" t="str">
        <f>HYPERLINK("https://media.infra-m.ru/2079/2079319/cover/2079319.jpg", "Обложка")</f>
        <v>Обложка</v>
      </c>
      <c r="V6064" s="24" t="str">
        <f>HYPERLINK("https://znanium.ru/catalog/product/2079319", "Ознакомиться")</f>
        <v>Ознакомиться</v>
      </c>
      <c r="W6064" s="8" t="s">
        <v>83</v>
      </c>
      <c r="X6064" s="6"/>
      <c r="Y6064" s="6"/>
      <c r="Z6064" s="6"/>
      <c r="AA6064" s="6" t="s">
        <v>47</v>
      </c>
      <c r="AB6064" s="8"/>
    </row>
    <row r="6065" spans="1:28" s="4" customFormat="1" ht="51.95" customHeight="1">
      <c r="A6065" s="5">
        <v>0</v>
      </c>
      <c r="B6065" s="6" t="s">
        <v>35417</v>
      </c>
      <c r="C6065" s="13">
        <v>1034</v>
      </c>
      <c r="D6065" s="8" t="s">
        <v>35418</v>
      </c>
      <c r="E6065" s="8" t="s">
        <v>35419</v>
      </c>
      <c r="F6065" s="8" t="s">
        <v>12975</v>
      </c>
      <c r="G6065" s="6" t="s">
        <v>52</v>
      </c>
      <c r="H6065" s="6" t="s">
        <v>53</v>
      </c>
      <c r="I6065" s="8" t="s">
        <v>116</v>
      </c>
      <c r="J6065" s="9">
        <v>1</v>
      </c>
      <c r="K6065" s="9">
        <v>224</v>
      </c>
      <c r="L6065" s="9">
        <v>2023</v>
      </c>
      <c r="M6065" s="8" t="s">
        <v>35420</v>
      </c>
      <c r="N6065" s="8" t="s">
        <v>413</v>
      </c>
      <c r="O6065" s="8" t="s">
        <v>1141</v>
      </c>
      <c r="P6065" s="6" t="s">
        <v>43</v>
      </c>
      <c r="Q6065" s="8" t="s">
        <v>44</v>
      </c>
      <c r="R6065" s="10" t="s">
        <v>35421</v>
      </c>
      <c r="S6065" s="11" t="s">
        <v>35422</v>
      </c>
      <c r="T6065" s="6"/>
      <c r="U6065" s="24" t="str">
        <f>HYPERLINK("https://media.infra-m.ru/1981/1981702/cover/1981702.jpg", "Обложка")</f>
        <v>Обложка</v>
      </c>
      <c r="V6065" s="24" t="str">
        <f>HYPERLINK("https://znanium.ru/catalog/product/1039180", "Ознакомиться")</f>
        <v>Ознакомиться</v>
      </c>
      <c r="W6065" s="8" t="s">
        <v>1544</v>
      </c>
      <c r="X6065" s="6"/>
      <c r="Y6065" s="6"/>
      <c r="Z6065" s="6"/>
      <c r="AA6065" s="6" t="s">
        <v>47</v>
      </c>
      <c r="AB6065" s="8"/>
    </row>
    <row r="6066" spans="1:28" s="4" customFormat="1" ht="51.95" customHeight="1">
      <c r="A6066" s="5">
        <v>0</v>
      </c>
      <c r="B6066" s="6" t="s">
        <v>35423</v>
      </c>
      <c r="C6066" s="7">
        <v>384.9</v>
      </c>
      <c r="D6066" s="8" t="s">
        <v>35424</v>
      </c>
      <c r="E6066" s="8" t="s">
        <v>35425</v>
      </c>
      <c r="F6066" s="8" t="s">
        <v>35426</v>
      </c>
      <c r="G6066" s="6" t="s">
        <v>38</v>
      </c>
      <c r="H6066" s="6" t="s">
        <v>77</v>
      </c>
      <c r="I6066" s="8"/>
      <c r="J6066" s="9">
        <v>24</v>
      </c>
      <c r="K6066" s="9">
        <v>144</v>
      </c>
      <c r="L6066" s="9">
        <v>2018</v>
      </c>
      <c r="M6066" s="8" t="s">
        <v>35427</v>
      </c>
      <c r="N6066" s="8" t="s">
        <v>41</v>
      </c>
      <c r="O6066" s="8" t="s">
        <v>1007</v>
      </c>
      <c r="P6066" s="6" t="s">
        <v>43</v>
      </c>
      <c r="Q6066" s="8" t="s">
        <v>44</v>
      </c>
      <c r="R6066" s="10" t="s">
        <v>35399</v>
      </c>
      <c r="S6066" s="11" t="s">
        <v>35428</v>
      </c>
      <c r="T6066" s="6"/>
      <c r="U6066" s="24" t="str">
        <f>HYPERLINK("https://media.infra-m.ru/0927/0927411/cover/927411.jpg", "Обложка")</f>
        <v>Обложка</v>
      </c>
      <c r="V6066" s="24" t="str">
        <f>HYPERLINK("https://znanium.ru/catalog/product/1237099", "Ознакомиться")</f>
        <v>Ознакомиться</v>
      </c>
      <c r="W6066" s="8" t="s">
        <v>7243</v>
      </c>
      <c r="X6066" s="6"/>
      <c r="Y6066" s="6"/>
      <c r="Z6066" s="6"/>
      <c r="AA6066" s="6" t="s">
        <v>2193</v>
      </c>
      <c r="AB6066" s="8"/>
    </row>
    <row r="6067" spans="1:28" s="4" customFormat="1" ht="51.95" customHeight="1">
      <c r="A6067" s="5">
        <v>0</v>
      </c>
      <c r="B6067" s="6" t="s">
        <v>35429</v>
      </c>
      <c r="C6067" s="13">
        <v>1864</v>
      </c>
      <c r="D6067" s="8" t="s">
        <v>35430</v>
      </c>
      <c r="E6067" s="8" t="s">
        <v>35431</v>
      </c>
      <c r="F6067" s="8" t="s">
        <v>35432</v>
      </c>
      <c r="G6067" s="6" t="s">
        <v>52</v>
      </c>
      <c r="H6067" s="6" t="s">
        <v>53</v>
      </c>
      <c r="I6067" s="8" t="s">
        <v>90</v>
      </c>
      <c r="J6067" s="9">
        <v>1</v>
      </c>
      <c r="K6067" s="9">
        <v>396</v>
      </c>
      <c r="L6067" s="9">
        <v>2024</v>
      </c>
      <c r="M6067" s="8" t="s">
        <v>35433</v>
      </c>
      <c r="N6067" s="8" t="s">
        <v>41</v>
      </c>
      <c r="O6067" s="8" t="s">
        <v>1007</v>
      </c>
      <c r="P6067" s="6" t="s">
        <v>43</v>
      </c>
      <c r="Q6067" s="8" t="s">
        <v>44</v>
      </c>
      <c r="R6067" s="10" t="s">
        <v>17321</v>
      </c>
      <c r="S6067" s="11" t="s">
        <v>35434</v>
      </c>
      <c r="T6067" s="6"/>
      <c r="U6067" s="24" t="str">
        <f>HYPERLINK("https://media.infra-m.ru/1920/1920331/cover/1920331.jpg", "Обложка")</f>
        <v>Обложка</v>
      </c>
      <c r="V6067" s="24" t="str">
        <f>HYPERLINK("https://znanium.ru/catalog/product/1920331", "Ознакомиться")</f>
        <v>Ознакомиться</v>
      </c>
      <c r="W6067" s="8" t="s">
        <v>9191</v>
      </c>
      <c r="X6067" s="6"/>
      <c r="Y6067" s="6"/>
      <c r="Z6067" s="6"/>
      <c r="AA6067" s="6" t="s">
        <v>442</v>
      </c>
      <c r="AB6067" s="8"/>
    </row>
    <row r="6068" spans="1:28" s="4" customFormat="1" ht="51.95" customHeight="1">
      <c r="A6068" s="5">
        <v>0</v>
      </c>
      <c r="B6068" s="6" t="s">
        <v>35435</v>
      </c>
      <c r="C6068" s="13">
        <v>5949</v>
      </c>
      <c r="D6068" s="8" t="s">
        <v>35436</v>
      </c>
      <c r="E6068" s="8" t="s">
        <v>35437</v>
      </c>
      <c r="F6068" s="8" t="s">
        <v>35438</v>
      </c>
      <c r="G6068" s="6" t="s">
        <v>52</v>
      </c>
      <c r="H6068" s="6" t="s">
        <v>53</v>
      </c>
      <c r="I6068" s="8"/>
      <c r="J6068" s="9">
        <v>1</v>
      </c>
      <c r="K6068" s="9">
        <v>1184</v>
      </c>
      <c r="L6068" s="9">
        <v>2025</v>
      </c>
      <c r="M6068" s="8" t="s">
        <v>35439</v>
      </c>
      <c r="N6068" s="8" t="s">
        <v>41</v>
      </c>
      <c r="O6068" s="8" t="s">
        <v>1007</v>
      </c>
      <c r="P6068" s="6" t="s">
        <v>167</v>
      </c>
      <c r="Q6068" s="8" t="s">
        <v>44</v>
      </c>
      <c r="R6068" s="10" t="s">
        <v>35440</v>
      </c>
      <c r="S6068" s="11"/>
      <c r="T6068" s="6"/>
      <c r="U6068" s="24" t="str">
        <f>HYPERLINK("https://media.infra-m.ru/2186/2186850/cover/2186850.jpg", "Обложка")</f>
        <v>Обложка</v>
      </c>
      <c r="V6068" s="24" t="str">
        <f>HYPERLINK("https://znanium.ru/catalog/product/944318", "Ознакомиться")</f>
        <v>Ознакомиться</v>
      </c>
      <c r="W6068" s="8" t="s">
        <v>71</v>
      </c>
      <c r="X6068" s="6"/>
      <c r="Y6068" s="6"/>
      <c r="Z6068" s="6"/>
      <c r="AA6068" s="6" t="s">
        <v>35441</v>
      </c>
      <c r="AB6068" s="8"/>
    </row>
    <row r="6069" spans="1:28" s="4" customFormat="1" ht="51.95" customHeight="1">
      <c r="A6069" s="5">
        <v>0</v>
      </c>
      <c r="B6069" s="6" t="s">
        <v>35442</v>
      </c>
      <c r="C6069" s="13">
        <v>1899.9</v>
      </c>
      <c r="D6069" s="8" t="s">
        <v>35443</v>
      </c>
      <c r="E6069" s="8" t="s">
        <v>35444</v>
      </c>
      <c r="F6069" s="8" t="s">
        <v>35438</v>
      </c>
      <c r="G6069" s="6" t="s">
        <v>52</v>
      </c>
      <c r="H6069" s="6" t="s">
        <v>53</v>
      </c>
      <c r="I6069" s="8"/>
      <c r="J6069" s="9">
        <v>3</v>
      </c>
      <c r="K6069" s="9">
        <v>1028</v>
      </c>
      <c r="L6069" s="9">
        <v>2017</v>
      </c>
      <c r="M6069" s="8" t="s">
        <v>35445</v>
      </c>
      <c r="N6069" s="8" t="s">
        <v>41</v>
      </c>
      <c r="O6069" s="8" t="s">
        <v>1007</v>
      </c>
      <c r="P6069" s="6" t="s">
        <v>167</v>
      </c>
      <c r="Q6069" s="8" t="s">
        <v>44</v>
      </c>
      <c r="R6069" s="10" t="s">
        <v>35440</v>
      </c>
      <c r="S6069" s="11"/>
      <c r="T6069" s="6"/>
      <c r="U6069" s="24" t="str">
        <f>HYPERLINK("https://media.infra-m.ru/0546/0546169/cover/546169.jpg", "Обложка")</f>
        <v>Обложка</v>
      </c>
      <c r="V6069" s="24" t="str">
        <f>HYPERLINK("https://znanium.ru/catalog/product/944318", "Ознакомиться")</f>
        <v>Ознакомиться</v>
      </c>
      <c r="W6069" s="8" t="s">
        <v>71</v>
      </c>
      <c r="X6069" s="6"/>
      <c r="Y6069" s="6"/>
      <c r="Z6069" s="6"/>
      <c r="AA6069" s="6" t="s">
        <v>35446</v>
      </c>
      <c r="AB6069" s="8"/>
    </row>
    <row r="6070" spans="1:28" s="4" customFormat="1" ht="51.95" customHeight="1">
      <c r="A6070" s="5">
        <v>0</v>
      </c>
      <c r="B6070" s="6" t="s">
        <v>35447</v>
      </c>
      <c r="C6070" s="13">
        <v>1154</v>
      </c>
      <c r="D6070" s="8" t="s">
        <v>35448</v>
      </c>
      <c r="E6070" s="8" t="s">
        <v>35449</v>
      </c>
      <c r="F6070" s="8" t="s">
        <v>35450</v>
      </c>
      <c r="G6070" s="6" t="s">
        <v>52</v>
      </c>
      <c r="H6070" s="6" t="s">
        <v>184</v>
      </c>
      <c r="I6070" s="8" t="s">
        <v>7049</v>
      </c>
      <c r="J6070" s="9">
        <v>1</v>
      </c>
      <c r="K6070" s="9">
        <v>222</v>
      </c>
      <c r="L6070" s="9">
        <v>2025</v>
      </c>
      <c r="M6070" s="8" t="s">
        <v>35451</v>
      </c>
      <c r="N6070" s="8" t="s">
        <v>41</v>
      </c>
      <c r="O6070" s="8" t="s">
        <v>1007</v>
      </c>
      <c r="P6070" s="6" t="s">
        <v>43</v>
      </c>
      <c r="Q6070" s="8" t="s">
        <v>44</v>
      </c>
      <c r="R6070" s="10" t="s">
        <v>157</v>
      </c>
      <c r="S6070" s="11" t="s">
        <v>35452</v>
      </c>
      <c r="T6070" s="6"/>
      <c r="U6070" s="24" t="str">
        <f>HYPERLINK("https://media.infra-m.ru/2192/2192224/cover/2192224.jpg", "Обложка")</f>
        <v>Обложка</v>
      </c>
      <c r="V6070" s="24" t="str">
        <f>HYPERLINK("https://znanium.ru/catalog/product/1843630", "Ознакомиться")</f>
        <v>Ознакомиться</v>
      </c>
      <c r="W6070" s="8" t="s">
        <v>1563</v>
      </c>
      <c r="X6070" s="6"/>
      <c r="Y6070" s="6"/>
      <c r="Z6070" s="6"/>
      <c r="AA6070" s="6" t="s">
        <v>47</v>
      </c>
      <c r="AB6070" s="8"/>
    </row>
    <row r="6071" spans="1:28" s="4" customFormat="1" ht="42" customHeight="1">
      <c r="A6071" s="5">
        <v>0</v>
      </c>
      <c r="B6071" s="6" t="s">
        <v>35453</v>
      </c>
      <c r="C6071" s="13">
        <v>1470</v>
      </c>
      <c r="D6071" s="8" t="s">
        <v>35454</v>
      </c>
      <c r="E6071" s="8" t="s">
        <v>35455</v>
      </c>
      <c r="F6071" s="8" t="s">
        <v>35456</v>
      </c>
      <c r="G6071" s="6" t="s">
        <v>89</v>
      </c>
      <c r="H6071" s="6" t="s">
        <v>184</v>
      </c>
      <c r="I6071" s="8" t="s">
        <v>116</v>
      </c>
      <c r="J6071" s="9">
        <v>1</v>
      </c>
      <c r="K6071" s="9">
        <v>293</v>
      </c>
      <c r="L6071" s="9">
        <v>2025</v>
      </c>
      <c r="M6071" s="8" t="s">
        <v>35457</v>
      </c>
      <c r="N6071" s="8" t="s">
        <v>41</v>
      </c>
      <c r="O6071" s="8" t="s">
        <v>1007</v>
      </c>
      <c r="P6071" s="6" t="s">
        <v>43</v>
      </c>
      <c r="Q6071" s="8" t="s">
        <v>44</v>
      </c>
      <c r="R6071" s="10" t="s">
        <v>35458</v>
      </c>
      <c r="S6071" s="11"/>
      <c r="T6071" s="6"/>
      <c r="U6071" s="24" t="str">
        <f>HYPERLINK("https://media.infra-m.ru/2188/2188284/cover/2188284.jpg", "Обложка")</f>
        <v>Обложка</v>
      </c>
      <c r="V6071" s="24" t="str">
        <f>HYPERLINK("https://znanium.ru/catalog/product/2188284", "Ознакомиться")</f>
        <v>Ознакомиться</v>
      </c>
      <c r="W6071" s="8" t="s">
        <v>2392</v>
      </c>
      <c r="X6071" s="6"/>
      <c r="Y6071" s="6"/>
      <c r="Z6071" s="6"/>
      <c r="AA6071" s="6" t="s">
        <v>442</v>
      </c>
      <c r="AB6071" s="8"/>
    </row>
    <row r="6072" spans="1:28" s="4" customFormat="1" ht="51.95" customHeight="1">
      <c r="A6072" s="5">
        <v>0</v>
      </c>
      <c r="B6072" s="6" t="s">
        <v>35459</v>
      </c>
      <c r="C6072" s="13">
        <v>1650</v>
      </c>
      <c r="D6072" s="8" t="s">
        <v>35460</v>
      </c>
      <c r="E6072" s="8" t="s">
        <v>35461</v>
      </c>
      <c r="F6072" s="8" t="s">
        <v>35462</v>
      </c>
      <c r="G6072" s="6" t="s">
        <v>89</v>
      </c>
      <c r="H6072" s="6" t="s">
        <v>184</v>
      </c>
      <c r="I6072" s="8" t="s">
        <v>116</v>
      </c>
      <c r="J6072" s="9">
        <v>1</v>
      </c>
      <c r="K6072" s="9">
        <v>359</v>
      </c>
      <c r="L6072" s="9">
        <v>2023</v>
      </c>
      <c r="M6072" s="8" t="s">
        <v>35463</v>
      </c>
      <c r="N6072" s="8" t="s">
        <v>41</v>
      </c>
      <c r="O6072" s="8" t="s">
        <v>1007</v>
      </c>
      <c r="P6072" s="6" t="s">
        <v>43</v>
      </c>
      <c r="Q6072" s="8" t="s">
        <v>44</v>
      </c>
      <c r="R6072" s="10" t="s">
        <v>10192</v>
      </c>
      <c r="S6072" s="11"/>
      <c r="T6072" s="6"/>
      <c r="U6072" s="24" t="str">
        <f>HYPERLINK("https://media.infra-m.ru/1907/1907709/cover/1907709.jpg", "Обложка")</f>
        <v>Обложка</v>
      </c>
      <c r="V6072" s="24" t="str">
        <f>HYPERLINK("https://znanium.ru/catalog/product/1907709", "Ознакомиться")</f>
        <v>Ознакомиться</v>
      </c>
      <c r="W6072" s="8"/>
      <c r="X6072" s="6"/>
      <c r="Y6072" s="6"/>
      <c r="Z6072" s="6"/>
      <c r="AA6072" s="6" t="s">
        <v>258</v>
      </c>
      <c r="AB6072" s="8"/>
    </row>
    <row r="6073" spans="1:28" s="4" customFormat="1" ht="51.95" customHeight="1">
      <c r="A6073" s="5">
        <v>0</v>
      </c>
      <c r="B6073" s="6" t="s">
        <v>35464</v>
      </c>
      <c r="C6073" s="7">
        <v>990</v>
      </c>
      <c r="D6073" s="8" t="s">
        <v>35465</v>
      </c>
      <c r="E6073" s="8" t="s">
        <v>35466</v>
      </c>
      <c r="F6073" s="8" t="s">
        <v>35467</v>
      </c>
      <c r="G6073" s="6" t="s">
        <v>89</v>
      </c>
      <c r="H6073" s="6" t="s">
        <v>53</v>
      </c>
      <c r="I6073" s="8" t="s">
        <v>212</v>
      </c>
      <c r="J6073" s="9">
        <v>1</v>
      </c>
      <c r="K6073" s="9">
        <v>204</v>
      </c>
      <c r="L6073" s="9">
        <v>2024</v>
      </c>
      <c r="M6073" s="8" t="s">
        <v>35468</v>
      </c>
      <c r="N6073" s="8" t="s">
        <v>41</v>
      </c>
      <c r="O6073" s="8" t="s">
        <v>1007</v>
      </c>
      <c r="P6073" s="6" t="s">
        <v>43</v>
      </c>
      <c r="Q6073" s="8" t="s">
        <v>214</v>
      </c>
      <c r="R6073" s="10" t="s">
        <v>35458</v>
      </c>
      <c r="S6073" s="11" t="s">
        <v>35469</v>
      </c>
      <c r="T6073" s="6"/>
      <c r="U6073" s="24" t="str">
        <f>HYPERLINK("https://media.infra-m.ru/2132/2132492/cover/2132492.jpg", "Обложка")</f>
        <v>Обложка</v>
      </c>
      <c r="V6073" s="24" t="str">
        <f>HYPERLINK("https://znanium.ru/catalog/product/2132492", "Ознакомиться")</f>
        <v>Ознакомиться</v>
      </c>
      <c r="W6073" s="8" t="s">
        <v>1233</v>
      </c>
      <c r="X6073" s="6"/>
      <c r="Y6073" s="6"/>
      <c r="Z6073" s="6"/>
      <c r="AA6073" s="6" t="s">
        <v>219</v>
      </c>
      <c r="AB6073" s="8"/>
    </row>
    <row r="6074" spans="1:28" s="4" customFormat="1" ht="51.95" customHeight="1">
      <c r="A6074" s="5">
        <v>0</v>
      </c>
      <c r="B6074" s="6" t="s">
        <v>35470</v>
      </c>
      <c r="C6074" s="13">
        <v>2400</v>
      </c>
      <c r="D6074" s="8" t="s">
        <v>35471</v>
      </c>
      <c r="E6074" s="8" t="s">
        <v>35472</v>
      </c>
      <c r="F6074" s="8" t="s">
        <v>35467</v>
      </c>
      <c r="G6074" s="6" t="s">
        <v>52</v>
      </c>
      <c r="H6074" s="6" t="s">
        <v>53</v>
      </c>
      <c r="I6074" s="8" t="s">
        <v>212</v>
      </c>
      <c r="J6074" s="9">
        <v>1</v>
      </c>
      <c r="K6074" s="9">
        <v>526</v>
      </c>
      <c r="L6074" s="9">
        <v>2024</v>
      </c>
      <c r="M6074" s="8" t="s">
        <v>35473</v>
      </c>
      <c r="N6074" s="8" t="s">
        <v>41</v>
      </c>
      <c r="O6074" s="8" t="s">
        <v>1007</v>
      </c>
      <c r="P6074" s="6" t="s">
        <v>167</v>
      </c>
      <c r="Q6074" s="8" t="s">
        <v>214</v>
      </c>
      <c r="R6074" s="10" t="s">
        <v>35458</v>
      </c>
      <c r="S6074" s="11" t="s">
        <v>35474</v>
      </c>
      <c r="T6074" s="6"/>
      <c r="U6074" s="24" t="str">
        <f>HYPERLINK("https://media.infra-m.ru/2081/2081764/cover/2081764.jpg", "Обложка")</f>
        <v>Обложка</v>
      </c>
      <c r="V6074" s="24" t="str">
        <f>HYPERLINK("https://znanium.ru/catalog/product/2081764", "Ознакомиться")</f>
        <v>Ознакомиться</v>
      </c>
      <c r="W6074" s="8" t="s">
        <v>1233</v>
      </c>
      <c r="X6074" s="6"/>
      <c r="Y6074" s="6"/>
      <c r="Z6074" s="6"/>
      <c r="AA6074" s="6" t="s">
        <v>219</v>
      </c>
      <c r="AB6074" s="8"/>
    </row>
    <row r="6075" spans="1:28" s="4" customFormat="1" ht="51.95" customHeight="1">
      <c r="A6075" s="5">
        <v>0</v>
      </c>
      <c r="B6075" s="6" t="s">
        <v>35475</v>
      </c>
      <c r="C6075" s="13">
        <v>1500</v>
      </c>
      <c r="D6075" s="8" t="s">
        <v>35476</v>
      </c>
      <c r="E6075" s="8" t="s">
        <v>35472</v>
      </c>
      <c r="F6075" s="8" t="s">
        <v>35477</v>
      </c>
      <c r="G6075" s="6" t="s">
        <v>89</v>
      </c>
      <c r="H6075" s="6" t="s">
        <v>53</v>
      </c>
      <c r="I6075" s="8" t="s">
        <v>116</v>
      </c>
      <c r="J6075" s="9">
        <v>1</v>
      </c>
      <c r="K6075" s="9">
        <v>320</v>
      </c>
      <c r="L6075" s="9">
        <v>2024</v>
      </c>
      <c r="M6075" s="8" t="s">
        <v>35478</v>
      </c>
      <c r="N6075" s="8" t="s">
        <v>41</v>
      </c>
      <c r="O6075" s="8" t="s">
        <v>1007</v>
      </c>
      <c r="P6075" s="6" t="s">
        <v>43</v>
      </c>
      <c r="Q6075" s="8" t="s">
        <v>44</v>
      </c>
      <c r="R6075" s="10" t="s">
        <v>16213</v>
      </c>
      <c r="S6075" s="11" t="s">
        <v>35479</v>
      </c>
      <c r="T6075" s="6"/>
      <c r="U6075" s="24" t="str">
        <f>HYPERLINK("https://media.infra-m.ru/2108/2108015/cover/2108015.jpg", "Обложка")</f>
        <v>Обложка</v>
      </c>
      <c r="V6075" s="24" t="str">
        <f>HYPERLINK("https://znanium.ru/catalog/product/2108015", "Ознакомиться")</f>
        <v>Ознакомиться</v>
      </c>
      <c r="W6075" s="8" t="s">
        <v>2878</v>
      </c>
      <c r="X6075" s="6"/>
      <c r="Y6075" s="6"/>
      <c r="Z6075" s="6"/>
      <c r="AA6075" s="6" t="s">
        <v>84</v>
      </c>
      <c r="AB6075" s="8"/>
    </row>
    <row r="6076" spans="1:28" s="4" customFormat="1" ht="51.95" customHeight="1">
      <c r="A6076" s="5">
        <v>0</v>
      </c>
      <c r="B6076" s="6" t="s">
        <v>35480</v>
      </c>
      <c r="C6076" s="13">
        <v>1474</v>
      </c>
      <c r="D6076" s="8" t="s">
        <v>35481</v>
      </c>
      <c r="E6076" s="8" t="s">
        <v>35482</v>
      </c>
      <c r="F6076" s="8" t="s">
        <v>35483</v>
      </c>
      <c r="G6076" s="6" t="s">
        <v>52</v>
      </c>
      <c r="H6076" s="6" t="s">
        <v>53</v>
      </c>
      <c r="I6076" s="8" t="s">
        <v>90</v>
      </c>
      <c r="J6076" s="9">
        <v>1</v>
      </c>
      <c r="K6076" s="9">
        <v>319</v>
      </c>
      <c r="L6076" s="9">
        <v>2024</v>
      </c>
      <c r="M6076" s="8" t="s">
        <v>35484</v>
      </c>
      <c r="N6076" s="8" t="s">
        <v>41</v>
      </c>
      <c r="O6076" s="8" t="s">
        <v>1007</v>
      </c>
      <c r="P6076" s="6" t="s">
        <v>43</v>
      </c>
      <c r="Q6076" s="8" t="s">
        <v>44</v>
      </c>
      <c r="R6076" s="10" t="s">
        <v>35485</v>
      </c>
      <c r="S6076" s="11" t="s">
        <v>35486</v>
      </c>
      <c r="T6076" s="6" t="s">
        <v>299</v>
      </c>
      <c r="U6076" s="24" t="str">
        <f>HYPERLINK("https://media.infra-m.ru/2084/2084484/cover/2084484.jpg", "Обложка")</f>
        <v>Обложка</v>
      </c>
      <c r="V6076" s="24" t="str">
        <f>HYPERLINK("https://znanium.ru/catalog/product/1939857", "Ознакомиться")</f>
        <v>Ознакомиться</v>
      </c>
      <c r="W6076" s="8" t="s">
        <v>3201</v>
      </c>
      <c r="X6076" s="6"/>
      <c r="Y6076" s="6"/>
      <c r="Z6076" s="6"/>
      <c r="AA6076" s="6" t="s">
        <v>377</v>
      </c>
      <c r="AB6076" s="8"/>
    </row>
    <row r="6077" spans="1:28" s="4" customFormat="1" ht="44.1" customHeight="1">
      <c r="A6077" s="5">
        <v>0</v>
      </c>
      <c r="B6077" s="6" t="s">
        <v>35487</v>
      </c>
      <c r="C6077" s="13">
        <v>1254</v>
      </c>
      <c r="D6077" s="8" t="s">
        <v>35488</v>
      </c>
      <c r="E6077" s="8" t="s">
        <v>35489</v>
      </c>
      <c r="F6077" s="8" t="s">
        <v>35490</v>
      </c>
      <c r="G6077" s="6" t="s">
        <v>52</v>
      </c>
      <c r="H6077" s="6" t="s">
        <v>39</v>
      </c>
      <c r="I6077" s="8"/>
      <c r="J6077" s="9">
        <v>1</v>
      </c>
      <c r="K6077" s="9">
        <v>240</v>
      </c>
      <c r="L6077" s="9">
        <v>2025</v>
      </c>
      <c r="M6077" s="8" t="s">
        <v>35491</v>
      </c>
      <c r="N6077" s="8" t="s">
        <v>41</v>
      </c>
      <c r="O6077" s="8" t="s">
        <v>1007</v>
      </c>
      <c r="P6077" s="6" t="s">
        <v>43</v>
      </c>
      <c r="Q6077" s="8" t="s">
        <v>44</v>
      </c>
      <c r="R6077" s="10" t="s">
        <v>25000</v>
      </c>
      <c r="S6077" s="11"/>
      <c r="T6077" s="6"/>
      <c r="U6077" s="24" t="str">
        <f>HYPERLINK("https://media.infra-m.ru/2194/2194379/cover/2194379.jpg", "Обложка")</f>
        <v>Обложка</v>
      </c>
      <c r="V6077" s="12"/>
      <c r="W6077" s="8" t="s">
        <v>4109</v>
      </c>
      <c r="X6077" s="6"/>
      <c r="Y6077" s="6"/>
      <c r="Z6077" s="6"/>
      <c r="AA6077" s="6" t="s">
        <v>84</v>
      </c>
      <c r="AB6077" s="8"/>
    </row>
    <row r="6078" spans="1:28" s="4" customFormat="1" ht="51.95" customHeight="1">
      <c r="A6078" s="5">
        <v>0</v>
      </c>
      <c r="B6078" s="6" t="s">
        <v>35492</v>
      </c>
      <c r="C6078" s="7">
        <v>870</v>
      </c>
      <c r="D6078" s="8" t="s">
        <v>35493</v>
      </c>
      <c r="E6078" s="8" t="s">
        <v>35494</v>
      </c>
      <c r="F6078" s="8" t="s">
        <v>35495</v>
      </c>
      <c r="G6078" s="6" t="s">
        <v>52</v>
      </c>
      <c r="H6078" s="6" t="s">
        <v>53</v>
      </c>
      <c r="I6078" s="8" t="s">
        <v>782</v>
      </c>
      <c r="J6078" s="9">
        <v>1</v>
      </c>
      <c r="K6078" s="9">
        <v>176</v>
      </c>
      <c r="L6078" s="9">
        <v>2024</v>
      </c>
      <c r="M6078" s="8" t="s">
        <v>35496</v>
      </c>
      <c r="N6078" s="8" t="s">
        <v>41</v>
      </c>
      <c r="O6078" s="8" t="s">
        <v>1007</v>
      </c>
      <c r="P6078" s="6" t="s">
        <v>43</v>
      </c>
      <c r="Q6078" s="8" t="s">
        <v>58</v>
      </c>
      <c r="R6078" s="10" t="s">
        <v>35497</v>
      </c>
      <c r="S6078" s="11"/>
      <c r="T6078" s="6"/>
      <c r="U6078" s="24" t="str">
        <f>HYPERLINK("https://media.infra-m.ru/2130/2130607/cover/2130607.jpg", "Обложка")</f>
        <v>Обложка</v>
      </c>
      <c r="V6078" s="12"/>
      <c r="W6078" s="8" t="s">
        <v>784</v>
      </c>
      <c r="X6078" s="6"/>
      <c r="Y6078" s="6"/>
      <c r="Z6078" s="6"/>
      <c r="AA6078" s="6" t="s">
        <v>133</v>
      </c>
      <c r="AB6078" s="8"/>
    </row>
    <row r="6079" spans="1:28" s="4" customFormat="1" ht="51.95" customHeight="1">
      <c r="A6079" s="5">
        <v>0</v>
      </c>
      <c r="B6079" s="6" t="s">
        <v>35498</v>
      </c>
      <c r="C6079" s="13">
        <v>1240</v>
      </c>
      <c r="D6079" s="8" t="s">
        <v>35499</v>
      </c>
      <c r="E6079" s="8" t="s">
        <v>35500</v>
      </c>
      <c r="F6079" s="8" t="s">
        <v>3573</v>
      </c>
      <c r="G6079" s="6" t="s">
        <v>89</v>
      </c>
      <c r="H6079" s="6" t="s">
        <v>53</v>
      </c>
      <c r="I6079" s="8" t="s">
        <v>20562</v>
      </c>
      <c r="J6079" s="9">
        <v>1</v>
      </c>
      <c r="K6079" s="9">
        <v>274</v>
      </c>
      <c r="L6079" s="9">
        <v>2022</v>
      </c>
      <c r="M6079" s="8" t="s">
        <v>35501</v>
      </c>
      <c r="N6079" s="8" t="s">
        <v>41</v>
      </c>
      <c r="O6079" s="8" t="s">
        <v>1007</v>
      </c>
      <c r="P6079" s="6" t="s">
        <v>167</v>
      </c>
      <c r="Q6079" s="8" t="s">
        <v>44</v>
      </c>
      <c r="R6079" s="10" t="s">
        <v>10235</v>
      </c>
      <c r="S6079" s="11" t="s">
        <v>35502</v>
      </c>
      <c r="T6079" s="6"/>
      <c r="U6079" s="24" t="str">
        <f>HYPERLINK("https://media.infra-m.ru/1843/1843555/cover/1843555.jpg", "Обложка")</f>
        <v>Обложка</v>
      </c>
      <c r="V6079" s="24" t="str">
        <f>HYPERLINK("https://znanium.ru/catalog/product/1843555", "Ознакомиться")</f>
        <v>Ознакомиться</v>
      </c>
      <c r="W6079" s="8" t="s">
        <v>3577</v>
      </c>
      <c r="X6079" s="6"/>
      <c r="Y6079" s="6"/>
      <c r="Z6079" s="6"/>
      <c r="AA6079" s="6" t="s">
        <v>793</v>
      </c>
      <c r="AB6079" s="8"/>
    </row>
    <row r="6080" spans="1:28" s="4" customFormat="1" ht="51.95" customHeight="1">
      <c r="A6080" s="5">
        <v>0</v>
      </c>
      <c r="B6080" s="6" t="s">
        <v>35503</v>
      </c>
      <c r="C6080" s="13">
        <v>1314</v>
      </c>
      <c r="D6080" s="8" t="s">
        <v>35504</v>
      </c>
      <c r="E6080" s="8" t="s">
        <v>35505</v>
      </c>
      <c r="F6080" s="8" t="s">
        <v>21860</v>
      </c>
      <c r="G6080" s="6" t="s">
        <v>52</v>
      </c>
      <c r="H6080" s="6" t="s">
        <v>53</v>
      </c>
      <c r="I6080" s="8" t="s">
        <v>90</v>
      </c>
      <c r="J6080" s="9">
        <v>1</v>
      </c>
      <c r="K6080" s="9">
        <v>252</v>
      </c>
      <c r="L6080" s="9">
        <v>2025</v>
      </c>
      <c r="M6080" s="8" t="s">
        <v>35506</v>
      </c>
      <c r="N6080" s="8" t="s">
        <v>41</v>
      </c>
      <c r="O6080" s="8" t="s">
        <v>1007</v>
      </c>
      <c r="P6080" s="6" t="s">
        <v>43</v>
      </c>
      <c r="Q6080" s="8" t="s">
        <v>44</v>
      </c>
      <c r="R6080" s="10" t="s">
        <v>157</v>
      </c>
      <c r="S6080" s="11" t="s">
        <v>35507</v>
      </c>
      <c r="T6080" s="6"/>
      <c r="U6080" s="24" t="str">
        <f>HYPERLINK("https://media.infra-m.ru/2197/2197798/cover/2197798.jpg", "Обложка")</f>
        <v>Обложка</v>
      </c>
      <c r="V6080" s="24" t="str">
        <f>HYPERLINK("https://znanium.ru/catalog/product/1981711", "Ознакомиться")</f>
        <v>Ознакомиться</v>
      </c>
      <c r="W6080" s="8" t="s">
        <v>1076</v>
      </c>
      <c r="X6080" s="6"/>
      <c r="Y6080" s="6"/>
      <c r="Z6080" s="6"/>
      <c r="AA6080" s="6" t="s">
        <v>47</v>
      </c>
      <c r="AB6080" s="8"/>
    </row>
    <row r="6081" spans="1:28" s="4" customFormat="1" ht="51.95" customHeight="1">
      <c r="A6081" s="5">
        <v>0</v>
      </c>
      <c r="B6081" s="6" t="s">
        <v>35508</v>
      </c>
      <c r="C6081" s="13">
        <v>1060</v>
      </c>
      <c r="D6081" s="8" t="s">
        <v>35509</v>
      </c>
      <c r="E6081" s="8" t="s">
        <v>35510</v>
      </c>
      <c r="F6081" s="8" t="s">
        <v>35511</v>
      </c>
      <c r="G6081" s="6" t="s">
        <v>52</v>
      </c>
      <c r="H6081" s="6" t="s">
        <v>53</v>
      </c>
      <c r="I6081" s="8" t="s">
        <v>116</v>
      </c>
      <c r="J6081" s="9">
        <v>1</v>
      </c>
      <c r="K6081" s="9">
        <v>211</v>
      </c>
      <c r="L6081" s="9">
        <v>2024</v>
      </c>
      <c r="M6081" s="8" t="s">
        <v>35512</v>
      </c>
      <c r="N6081" s="8" t="s">
        <v>41</v>
      </c>
      <c r="O6081" s="8" t="s">
        <v>1007</v>
      </c>
      <c r="P6081" s="6" t="s">
        <v>43</v>
      </c>
      <c r="Q6081" s="8" t="s">
        <v>44</v>
      </c>
      <c r="R6081" s="10" t="s">
        <v>35513</v>
      </c>
      <c r="S6081" s="11" t="s">
        <v>35514</v>
      </c>
      <c r="T6081" s="6"/>
      <c r="U6081" s="24" t="str">
        <f>HYPERLINK("https://media.infra-m.ru/1899/1899100/cover/1899100.jpg", "Обложка")</f>
        <v>Обложка</v>
      </c>
      <c r="V6081" s="24" t="str">
        <f>HYPERLINK("https://znanium.ru/catalog/product/1899100", "Ознакомиться")</f>
        <v>Ознакомиться</v>
      </c>
      <c r="W6081" s="8" t="s">
        <v>1233</v>
      </c>
      <c r="X6081" s="6" t="s">
        <v>3761</v>
      </c>
      <c r="Y6081" s="6"/>
      <c r="Z6081" s="6"/>
      <c r="AA6081" s="6" t="s">
        <v>133</v>
      </c>
      <c r="AB6081" s="8"/>
    </row>
    <row r="6082" spans="1:28" s="4" customFormat="1" ht="51.95" customHeight="1">
      <c r="A6082" s="5">
        <v>0</v>
      </c>
      <c r="B6082" s="6" t="s">
        <v>35515</v>
      </c>
      <c r="C6082" s="13">
        <v>1204</v>
      </c>
      <c r="D6082" s="8" t="s">
        <v>35516</v>
      </c>
      <c r="E6082" s="8" t="s">
        <v>35510</v>
      </c>
      <c r="F6082" s="8" t="s">
        <v>10227</v>
      </c>
      <c r="G6082" s="6" t="s">
        <v>52</v>
      </c>
      <c r="H6082" s="6" t="s">
        <v>53</v>
      </c>
      <c r="I6082" s="8" t="s">
        <v>90</v>
      </c>
      <c r="J6082" s="9">
        <v>1</v>
      </c>
      <c r="K6082" s="9">
        <v>241</v>
      </c>
      <c r="L6082" s="9">
        <v>2025</v>
      </c>
      <c r="M6082" s="8" t="s">
        <v>35517</v>
      </c>
      <c r="N6082" s="8" t="s">
        <v>41</v>
      </c>
      <c r="O6082" s="8" t="s">
        <v>1007</v>
      </c>
      <c r="P6082" s="6" t="s">
        <v>43</v>
      </c>
      <c r="Q6082" s="8" t="s">
        <v>44</v>
      </c>
      <c r="R6082" s="10" t="s">
        <v>1291</v>
      </c>
      <c r="S6082" s="11" t="s">
        <v>35518</v>
      </c>
      <c r="T6082" s="6"/>
      <c r="U6082" s="24" t="str">
        <f>HYPERLINK("https://media.infra-m.ru/2185/2185919/cover/2185919.jpg", "Обложка")</f>
        <v>Обложка</v>
      </c>
      <c r="V6082" s="24" t="str">
        <f>HYPERLINK("https://znanium.ru/catalog/product/1971861", "Ознакомиться")</f>
        <v>Ознакомиться</v>
      </c>
      <c r="W6082" s="8" t="s">
        <v>4161</v>
      </c>
      <c r="X6082" s="6"/>
      <c r="Y6082" s="6"/>
      <c r="Z6082" s="6"/>
      <c r="AA6082" s="6" t="s">
        <v>1135</v>
      </c>
      <c r="AB6082" s="8"/>
    </row>
    <row r="6083" spans="1:28" s="4" customFormat="1" ht="51.95" customHeight="1">
      <c r="A6083" s="5">
        <v>0</v>
      </c>
      <c r="B6083" s="6" t="s">
        <v>35519</v>
      </c>
      <c r="C6083" s="7">
        <v>490</v>
      </c>
      <c r="D6083" s="8" t="s">
        <v>35520</v>
      </c>
      <c r="E6083" s="8" t="s">
        <v>35510</v>
      </c>
      <c r="F6083" s="8" t="s">
        <v>35521</v>
      </c>
      <c r="G6083" s="6" t="s">
        <v>38</v>
      </c>
      <c r="H6083" s="6" t="s">
        <v>438</v>
      </c>
      <c r="I6083" s="8"/>
      <c r="J6083" s="9">
        <v>1</v>
      </c>
      <c r="K6083" s="9">
        <v>144</v>
      </c>
      <c r="L6083" s="9">
        <v>2020</v>
      </c>
      <c r="M6083" s="8" t="s">
        <v>35522</v>
      </c>
      <c r="N6083" s="8" t="s">
        <v>41</v>
      </c>
      <c r="O6083" s="8" t="s">
        <v>1007</v>
      </c>
      <c r="P6083" s="6" t="s">
        <v>43</v>
      </c>
      <c r="Q6083" s="8" t="s">
        <v>44</v>
      </c>
      <c r="R6083" s="10" t="s">
        <v>25341</v>
      </c>
      <c r="S6083" s="11"/>
      <c r="T6083" s="6"/>
      <c r="U6083" s="24" t="str">
        <f>HYPERLINK("https://media.infra-m.ru/1048/1048522/cover/1048522.jpg", "Обложка")</f>
        <v>Обложка</v>
      </c>
      <c r="V6083" s="24" t="str">
        <f>HYPERLINK("https://znanium.ru/catalog/product/1033474", "Ознакомиться")</f>
        <v>Ознакомиться</v>
      </c>
      <c r="W6083" s="8" t="s">
        <v>1245</v>
      </c>
      <c r="X6083" s="6"/>
      <c r="Y6083" s="6"/>
      <c r="Z6083" s="6"/>
      <c r="AA6083" s="6" t="s">
        <v>84</v>
      </c>
      <c r="AB6083" s="8"/>
    </row>
    <row r="6084" spans="1:28" s="4" customFormat="1" ht="51.95" customHeight="1">
      <c r="A6084" s="5">
        <v>0</v>
      </c>
      <c r="B6084" s="6" t="s">
        <v>35523</v>
      </c>
      <c r="C6084" s="13">
        <v>1134</v>
      </c>
      <c r="D6084" s="8" t="s">
        <v>35524</v>
      </c>
      <c r="E6084" s="8" t="s">
        <v>35525</v>
      </c>
      <c r="F6084" s="8" t="s">
        <v>35526</v>
      </c>
      <c r="G6084" s="6" t="s">
        <v>52</v>
      </c>
      <c r="H6084" s="6" t="s">
        <v>184</v>
      </c>
      <c r="I6084" s="8" t="s">
        <v>90</v>
      </c>
      <c r="J6084" s="9">
        <v>1</v>
      </c>
      <c r="K6084" s="9">
        <v>252</v>
      </c>
      <c r="L6084" s="9">
        <v>2023</v>
      </c>
      <c r="M6084" s="8" t="s">
        <v>35527</v>
      </c>
      <c r="N6084" s="8" t="s">
        <v>41</v>
      </c>
      <c r="O6084" s="8" t="s">
        <v>1204</v>
      </c>
      <c r="P6084" s="6" t="s">
        <v>167</v>
      </c>
      <c r="Q6084" s="8" t="s">
        <v>44</v>
      </c>
      <c r="R6084" s="10" t="s">
        <v>20061</v>
      </c>
      <c r="S6084" s="11" t="s">
        <v>35528</v>
      </c>
      <c r="T6084" s="6"/>
      <c r="U6084" s="24" t="str">
        <f>HYPERLINK("https://media.infra-m.ru/1981/1981658/cover/1981658.jpg", "Обложка")</f>
        <v>Обложка</v>
      </c>
      <c r="V6084" s="24" t="str">
        <f>HYPERLINK("https://znanium.ru/catalog/product/1233826", "Ознакомиться")</f>
        <v>Ознакомиться</v>
      </c>
      <c r="W6084" s="8"/>
      <c r="X6084" s="6"/>
      <c r="Y6084" s="6"/>
      <c r="Z6084" s="6"/>
      <c r="AA6084" s="6" t="s">
        <v>418</v>
      </c>
      <c r="AB6084" s="8"/>
    </row>
    <row r="6085" spans="1:28" s="4" customFormat="1" ht="51.95" customHeight="1">
      <c r="A6085" s="5">
        <v>0</v>
      </c>
      <c r="B6085" s="6" t="s">
        <v>35529</v>
      </c>
      <c r="C6085" s="13">
        <v>1690</v>
      </c>
      <c r="D6085" s="8" t="s">
        <v>35530</v>
      </c>
      <c r="E6085" s="8" t="s">
        <v>35531</v>
      </c>
      <c r="F6085" s="8" t="s">
        <v>3573</v>
      </c>
      <c r="G6085" s="6" t="s">
        <v>52</v>
      </c>
      <c r="H6085" s="6" t="s">
        <v>53</v>
      </c>
      <c r="I6085" s="8" t="s">
        <v>35532</v>
      </c>
      <c r="J6085" s="9">
        <v>1</v>
      </c>
      <c r="K6085" s="9">
        <v>366</v>
      </c>
      <c r="L6085" s="9">
        <v>2023</v>
      </c>
      <c r="M6085" s="8" t="s">
        <v>35533</v>
      </c>
      <c r="N6085" s="8" t="s">
        <v>41</v>
      </c>
      <c r="O6085" s="8" t="s">
        <v>1007</v>
      </c>
      <c r="P6085" s="6" t="s">
        <v>167</v>
      </c>
      <c r="Q6085" s="8" t="s">
        <v>279</v>
      </c>
      <c r="R6085" s="10" t="s">
        <v>35534</v>
      </c>
      <c r="S6085" s="11" t="s">
        <v>35535</v>
      </c>
      <c r="T6085" s="6"/>
      <c r="U6085" s="24" t="str">
        <f>HYPERLINK("https://media.infra-m.ru/1200/1200561/cover/1200561.jpg", "Обложка")</f>
        <v>Обложка</v>
      </c>
      <c r="V6085" s="24" t="str">
        <f>HYPERLINK("https://znanium.ru/catalog/product/1200561", "Ознакомиться")</f>
        <v>Ознакомиться</v>
      </c>
      <c r="W6085" s="8" t="s">
        <v>3577</v>
      </c>
      <c r="X6085" s="6"/>
      <c r="Y6085" s="6"/>
      <c r="Z6085" s="6"/>
      <c r="AA6085" s="6" t="s">
        <v>207</v>
      </c>
      <c r="AB6085" s="8" t="s">
        <v>27754</v>
      </c>
    </row>
    <row r="6086" spans="1:28" s="4" customFormat="1" ht="51.95" customHeight="1">
      <c r="A6086" s="5">
        <v>0</v>
      </c>
      <c r="B6086" s="6" t="s">
        <v>35536</v>
      </c>
      <c r="C6086" s="7">
        <v>884</v>
      </c>
      <c r="D6086" s="8" t="s">
        <v>35537</v>
      </c>
      <c r="E6086" s="8" t="s">
        <v>35538</v>
      </c>
      <c r="F6086" s="8" t="s">
        <v>35539</v>
      </c>
      <c r="G6086" s="6" t="s">
        <v>38</v>
      </c>
      <c r="H6086" s="6" t="s">
        <v>53</v>
      </c>
      <c r="I6086" s="8" t="s">
        <v>90</v>
      </c>
      <c r="J6086" s="9">
        <v>1</v>
      </c>
      <c r="K6086" s="9">
        <v>176</v>
      </c>
      <c r="L6086" s="9">
        <v>2025</v>
      </c>
      <c r="M6086" s="8" t="s">
        <v>35540</v>
      </c>
      <c r="N6086" s="8" t="s">
        <v>41</v>
      </c>
      <c r="O6086" s="8" t="s">
        <v>6182</v>
      </c>
      <c r="P6086" s="6" t="s">
        <v>43</v>
      </c>
      <c r="Q6086" s="8" t="s">
        <v>44</v>
      </c>
      <c r="R6086" s="10" t="s">
        <v>7913</v>
      </c>
      <c r="S6086" s="11" t="s">
        <v>1320</v>
      </c>
      <c r="T6086" s="6"/>
      <c r="U6086" s="24" t="str">
        <f>HYPERLINK("https://media.infra-m.ru/2157/2157819/cover/2157819.jpg", "Обложка")</f>
        <v>Обложка</v>
      </c>
      <c r="V6086" s="24" t="str">
        <f>HYPERLINK("https://znanium.ru/catalog/product/1861038", "Ознакомиться")</f>
        <v>Ознакомиться</v>
      </c>
      <c r="W6086" s="8" t="s">
        <v>1253</v>
      </c>
      <c r="X6086" s="6"/>
      <c r="Y6086" s="6"/>
      <c r="Z6086" s="6"/>
      <c r="AA6086" s="6" t="s">
        <v>442</v>
      </c>
      <c r="AB6086" s="8"/>
    </row>
    <row r="6087" spans="1:28" s="4" customFormat="1" ht="51.95" customHeight="1">
      <c r="A6087" s="5">
        <v>0</v>
      </c>
      <c r="B6087" s="6" t="s">
        <v>35541</v>
      </c>
      <c r="C6087" s="13">
        <v>2650</v>
      </c>
      <c r="D6087" s="8" t="s">
        <v>35542</v>
      </c>
      <c r="E6087" s="8" t="s">
        <v>35543</v>
      </c>
      <c r="F6087" s="8" t="s">
        <v>35544</v>
      </c>
      <c r="G6087" s="6" t="s">
        <v>52</v>
      </c>
      <c r="H6087" s="6" t="s">
        <v>53</v>
      </c>
      <c r="I6087" s="8" t="s">
        <v>116</v>
      </c>
      <c r="J6087" s="9">
        <v>1</v>
      </c>
      <c r="K6087" s="9">
        <v>584</v>
      </c>
      <c r="L6087" s="9">
        <v>2024</v>
      </c>
      <c r="M6087" s="8" t="s">
        <v>35545</v>
      </c>
      <c r="N6087" s="8" t="s">
        <v>41</v>
      </c>
      <c r="O6087" s="8" t="s">
        <v>6182</v>
      </c>
      <c r="P6087" s="6" t="s">
        <v>167</v>
      </c>
      <c r="Q6087" s="8" t="s">
        <v>44</v>
      </c>
      <c r="R6087" s="10" t="s">
        <v>4266</v>
      </c>
      <c r="S6087" s="11" t="s">
        <v>35546</v>
      </c>
      <c r="T6087" s="6" t="s">
        <v>299</v>
      </c>
      <c r="U6087" s="24" t="str">
        <f>HYPERLINK("https://media.infra-m.ru/2152/2152068/cover/2152068.jpg", "Обложка")</f>
        <v>Обложка</v>
      </c>
      <c r="V6087" s="24" t="str">
        <f>HYPERLINK("https://znanium.ru/catalog/product/2152068", "Ознакомиться")</f>
        <v>Ознакомиться</v>
      </c>
      <c r="W6087" s="8" t="s">
        <v>1253</v>
      </c>
      <c r="X6087" s="6"/>
      <c r="Y6087" s="6"/>
      <c r="Z6087" s="6"/>
      <c r="AA6087" s="6" t="s">
        <v>3501</v>
      </c>
      <c r="AB6087" s="8"/>
    </row>
    <row r="6088" spans="1:28" s="4" customFormat="1" ht="51.95" customHeight="1">
      <c r="A6088" s="5">
        <v>0</v>
      </c>
      <c r="B6088" s="6" t="s">
        <v>35547</v>
      </c>
      <c r="C6088" s="13">
        <v>2954</v>
      </c>
      <c r="D6088" s="8" t="s">
        <v>35548</v>
      </c>
      <c r="E6088" s="8" t="s">
        <v>35549</v>
      </c>
      <c r="F6088" s="8" t="s">
        <v>35550</v>
      </c>
      <c r="G6088" s="6" t="s">
        <v>89</v>
      </c>
      <c r="H6088" s="6" t="s">
        <v>66</v>
      </c>
      <c r="I6088" s="8" t="s">
        <v>116</v>
      </c>
      <c r="J6088" s="9">
        <v>1</v>
      </c>
      <c r="K6088" s="9">
        <v>864</v>
      </c>
      <c r="L6088" s="9">
        <v>2025</v>
      </c>
      <c r="M6088" s="8" t="s">
        <v>35551</v>
      </c>
      <c r="N6088" s="8" t="s">
        <v>41</v>
      </c>
      <c r="O6088" s="8" t="s">
        <v>1007</v>
      </c>
      <c r="P6088" s="6" t="s">
        <v>167</v>
      </c>
      <c r="Q6088" s="8" t="s">
        <v>44</v>
      </c>
      <c r="R6088" s="10" t="s">
        <v>168</v>
      </c>
      <c r="S6088" s="11" t="s">
        <v>35552</v>
      </c>
      <c r="T6088" s="6"/>
      <c r="U6088" s="24" t="str">
        <f>HYPERLINK("https://media.infra-m.ru/2184/2184941/cover/2184941.jpg", "Обложка")</f>
        <v>Обложка</v>
      </c>
      <c r="V6088" s="24" t="str">
        <f>HYPERLINK("https://znanium.ru/catalog/product/1891785", "Ознакомиться")</f>
        <v>Ознакомиться</v>
      </c>
      <c r="W6088" s="8" t="s">
        <v>189</v>
      </c>
      <c r="X6088" s="6"/>
      <c r="Y6088" s="6"/>
      <c r="Z6088" s="6"/>
      <c r="AA6088" s="6" t="s">
        <v>11602</v>
      </c>
      <c r="AB6088" s="8"/>
    </row>
    <row r="6089" spans="1:28" s="4" customFormat="1" ht="51.95" customHeight="1">
      <c r="A6089" s="5">
        <v>0</v>
      </c>
      <c r="B6089" s="6" t="s">
        <v>35553</v>
      </c>
      <c r="C6089" s="13">
        <v>2284</v>
      </c>
      <c r="D6089" s="8" t="s">
        <v>35554</v>
      </c>
      <c r="E6089" s="8" t="s">
        <v>35555</v>
      </c>
      <c r="F6089" s="8" t="s">
        <v>35556</v>
      </c>
      <c r="G6089" s="6" t="s">
        <v>52</v>
      </c>
      <c r="H6089" s="6" t="s">
        <v>53</v>
      </c>
      <c r="I6089" s="8" t="s">
        <v>90</v>
      </c>
      <c r="J6089" s="9">
        <v>1</v>
      </c>
      <c r="K6089" s="9">
        <v>440</v>
      </c>
      <c r="L6089" s="9">
        <v>2025</v>
      </c>
      <c r="M6089" s="8" t="s">
        <v>35557</v>
      </c>
      <c r="N6089" s="8" t="s">
        <v>41</v>
      </c>
      <c r="O6089" s="8" t="s">
        <v>1007</v>
      </c>
      <c r="P6089" s="6" t="s">
        <v>167</v>
      </c>
      <c r="Q6089" s="8" t="s">
        <v>44</v>
      </c>
      <c r="R6089" s="10" t="s">
        <v>1231</v>
      </c>
      <c r="S6089" s="11" t="s">
        <v>35558</v>
      </c>
      <c r="T6089" s="6"/>
      <c r="U6089" s="24" t="str">
        <f>HYPERLINK("https://media.infra-m.ru/2193/2193211/cover/2193211.jpg", "Обложка")</f>
        <v>Обложка</v>
      </c>
      <c r="V6089" s="24" t="str">
        <f>HYPERLINK("https://znanium.ru/catalog/product/1913212", "Ознакомиться")</f>
        <v>Ознакомиться</v>
      </c>
      <c r="W6089" s="8" t="s">
        <v>189</v>
      </c>
      <c r="X6089" s="6"/>
      <c r="Y6089" s="6"/>
      <c r="Z6089" s="6"/>
      <c r="AA6089" s="6" t="s">
        <v>622</v>
      </c>
      <c r="AB6089" s="8"/>
    </row>
    <row r="6090" spans="1:28" s="4" customFormat="1" ht="51.95" customHeight="1">
      <c r="A6090" s="5">
        <v>0</v>
      </c>
      <c r="B6090" s="6" t="s">
        <v>35559</v>
      </c>
      <c r="C6090" s="13">
        <v>1124</v>
      </c>
      <c r="D6090" s="8" t="s">
        <v>35560</v>
      </c>
      <c r="E6090" s="8" t="s">
        <v>35561</v>
      </c>
      <c r="F6090" s="8" t="s">
        <v>35562</v>
      </c>
      <c r="G6090" s="6" t="s">
        <v>38</v>
      </c>
      <c r="H6090" s="6" t="s">
        <v>53</v>
      </c>
      <c r="I6090" s="8" t="s">
        <v>90</v>
      </c>
      <c r="J6090" s="9">
        <v>1</v>
      </c>
      <c r="K6090" s="9">
        <v>224</v>
      </c>
      <c r="L6090" s="9">
        <v>2025</v>
      </c>
      <c r="M6090" s="8" t="s">
        <v>35563</v>
      </c>
      <c r="N6090" s="8" t="s">
        <v>41</v>
      </c>
      <c r="O6090" s="8" t="s">
        <v>1007</v>
      </c>
      <c r="P6090" s="6" t="s">
        <v>43</v>
      </c>
      <c r="Q6090" s="8" t="s">
        <v>44</v>
      </c>
      <c r="R6090" s="10" t="s">
        <v>35564</v>
      </c>
      <c r="S6090" s="11" t="s">
        <v>35565</v>
      </c>
      <c r="T6090" s="6"/>
      <c r="U6090" s="24" t="str">
        <f>HYPERLINK("https://media.infra-m.ru/2184/2184945/cover/2184945.jpg", "Обложка")</f>
        <v>Обложка</v>
      </c>
      <c r="V6090" s="24" t="str">
        <f>HYPERLINK("https://znanium.ru/catalog/product/1987575", "Ознакомиться")</f>
        <v>Ознакомиться</v>
      </c>
      <c r="W6090" s="8" t="s">
        <v>1076</v>
      </c>
      <c r="X6090" s="6"/>
      <c r="Y6090" s="6"/>
      <c r="Z6090" s="6"/>
      <c r="AA6090" s="6" t="s">
        <v>35566</v>
      </c>
      <c r="AB6090" s="8"/>
    </row>
    <row r="6091" spans="1:28" s="4" customFormat="1" ht="51.95" customHeight="1">
      <c r="A6091" s="5">
        <v>0</v>
      </c>
      <c r="B6091" s="6" t="s">
        <v>35567</v>
      </c>
      <c r="C6091" s="13">
        <v>1994</v>
      </c>
      <c r="D6091" s="8" t="s">
        <v>35568</v>
      </c>
      <c r="E6091" s="8" t="s">
        <v>35569</v>
      </c>
      <c r="F6091" s="8" t="s">
        <v>35570</v>
      </c>
      <c r="G6091" s="6" t="s">
        <v>52</v>
      </c>
      <c r="H6091" s="6" t="s">
        <v>53</v>
      </c>
      <c r="I6091" s="8" t="s">
        <v>90</v>
      </c>
      <c r="J6091" s="9">
        <v>1</v>
      </c>
      <c r="K6091" s="9">
        <v>576</v>
      </c>
      <c r="L6091" s="9">
        <v>2024</v>
      </c>
      <c r="M6091" s="8" t="s">
        <v>35571</v>
      </c>
      <c r="N6091" s="8" t="s">
        <v>41</v>
      </c>
      <c r="O6091" s="8" t="s">
        <v>1007</v>
      </c>
      <c r="P6091" s="6" t="s">
        <v>43</v>
      </c>
      <c r="Q6091" s="8" t="s">
        <v>44</v>
      </c>
      <c r="R6091" s="10" t="s">
        <v>35572</v>
      </c>
      <c r="S6091" s="11" t="s">
        <v>35573</v>
      </c>
      <c r="T6091" s="6"/>
      <c r="U6091" s="24" t="str">
        <f>HYPERLINK("https://media.infra-m.ru/2102/2102186/cover/2102186.jpg", "Обложка")</f>
        <v>Обложка</v>
      </c>
      <c r="V6091" s="24" t="str">
        <f>HYPERLINK("https://znanium.ru/catalog/product/2102186", "Ознакомиться")</f>
        <v>Ознакомиться</v>
      </c>
      <c r="W6091" s="8" t="s">
        <v>913</v>
      </c>
      <c r="X6091" s="6"/>
      <c r="Y6091" s="6"/>
      <c r="Z6091" s="6"/>
      <c r="AA6091" s="6" t="s">
        <v>47</v>
      </c>
      <c r="AB6091" s="8"/>
    </row>
    <row r="6092" spans="1:28" s="4" customFormat="1" ht="51.95" customHeight="1">
      <c r="A6092" s="5">
        <v>0</v>
      </c>
      <c r="B6092" s="6" t="s">
        <v>35574</v>
      </c>
      <c r="C6092" s="7">
        <v>790</v>
      </c>
      <c r="D6092" s="8" t="s">
        <v>35575</v>
      </c>
      <c r="E6092" s="8" t="s">
        <v>35576</v>
      </c>
      <c r="F6092" s="8" t="s">
        <v>35577</v>
      </c>
      <c r="G6092" s="6" t="s">
        <v>38</v>
      </c>
      <c r="H6092" s="6" t="s">
        <v>39</v>
      </c>
      <c r="I6092" s="8" t="s">
        <v>185</v>
      </c>
      <c r="J6092" s="9">
        <v>1</v>
      </c>
      <c r="K6092" s="9">
        <v>176</v>
      </c>
      <c r="L6092" s="9">
        <v>2023</v>
      </c>
      <c r="M6092" s="8" t="s">
        <v>35578</v>
      </c>
      <c r="N6092" s="8" t="s">
        <v>41</v>
      </c>
      <c r="O6092" s="8" t="s">
        <v>1007</v>
      </c>
      <c r="P6092" s="6" t="s">
        <v>7629</v>
      </c>
      <c r="Q6092" s="8" t="s">
        <v>102</v>
      </c>
      <c r="R6092" s="10" t="s">
        <v>1349</v>
      </c>
      <c r="S6092" s="11" t="s">
        <v>35579</v>
      </c>
      <c r="T6092" s="6"/>
      <c r="U6092" s="24" t="str">
        <f>HYPERLINK("https://media.infra-m.ru/2022/2022259/cover/2022259.jpg", "Обложка")</f>
        <v>Обложка</v>
      </c>
      <c r="V6092" s="24" t="str">
        <f>HYPERLINK("https://znanium.ru/catalog/product/2022259", "Ознакомиться")</f>
        <v>Ознакомиться</v>
      </c>
      <c r="W6092" s="8" t="s">
        <v>20905</v>
      </c>
      <c r="X6092" s="6"/>
      <c r="Y6092" s="6"/>
      <c r="Z6092" s="6"/>
      <c r="AA6092" s="6" t="s">
        <v>9405</v>
      </c>
      <c r="AB6092" s="8"/>
    </row>
    <row r="6093" spans="1:28" s="4" customFormat="1" ht="51.95" customHeight="1">
      <c r="A6093" s="5">
        <v>0</v>
      </c>
      <c r="B6093" s="6" t="s">
        <v>35580</v>
      </c>
      <c r="C6093" s="13">
        <v>1994</v>
      </c>
      <c r="D6093" s="8" t="s">
        <v>35581</v>
      </c>
      <c r="E6093" s="8" t="s">
        <v>35582</v>
      </c>
      <c r="F6093" s="8" t="s">
        <v>35358</v>
      </c>
      <c r="G6093" s="6" t="s">
        <v>89</v>
      </c>
      <c r="H6093" s="6" t="s">
        <v>649</v>
      </c>
      <c r="I6093" s="8" t="s">
        <v>100</v>
      </c>
      <c r="J6093" s="9">
        <v>1</v>
      </c>
      <c r="K6093" s="9">
        <v>399</v>
      </c>
      <c r="L6093" s="9">
        <v>2025</v>
      </c>
      <c r="M6093" s="8" t="s">
        <v>35583</v>
      </c>
      <c r="N6093" s="8" t="s">
        <v>41</v>
      </c>
      <c r="O6093" s="8" t="s">
        <v>1007</v>
      </c>
      <c r="P6093" s="6" t="s">
        <v>167</v>
      </c>
      <c r="Q6093" s="8" t="s">
        <v>102</v>
      </c>
      <c r="R6093" s="10" t="s">
        <v>1349</v>
      </c>
      <c r="S6093" s="11" t="s">
        <v>35584</v>
      </c>
      <c r="T6093" s="6"/>
      <c r="U6093" s="24" t="str">
        <f>HYPERLINK("https://media.infra-m.ru/2185/2185914/cover/2185914.jpg", "Обложка")</f>
        <v>Обложка</v>
      </c>
      <c r="V6093" s="24" t="str">
        <f>HYPERLINK("https://znanium.ru/catalog/product/1959240", "Ознакомиться")</f>
        <v>Ознакомиться</v>
      </c>
      <c r="W6093" s="8"/>
      <c r="X6093" s="6"/>
      <c r="Y6093" s="6"/>
      <c r="Z6093" s="6"/>
      <c r="AA6093" s="6" t="s">
        <v>555</v>
      </c>
      <c r="AB6093" s="8"/>
    </row>
    <row r="6094" spans="1:28" s="4" customFormat="1" ht="51.95" customHeight="1">
      <c r="A6094" s="5">
        <v>0</v>
      </c>
      <c r="B6094" s="6" t="s">
        <v>35585</v>
      </c>
      <c r="C6094" s="13">
        <v>2860</v>
      </c>
      <c r="D6094" s="8" t="s">
        <v>35586</v>
      </c>
      <c r="E6094" s="8" t="s">
        <v>35587</v>
      </c>
      <c r="F6094" s="8" t="s">
        <v>35588</v>
      </c>
      <c r="G6094" s="6" t="s">
        <v>52</v>
      </c>
      <c r="H6094" s="6" t="s">
        <v>649</v>
      </c>
      <c r="I6094" s="8" t="s">
        <v>15153</v>
      </c>
      <c r="J6094" s="9">
        <v>1</v>
      </c>
      <c r="K6094" s="9">
        <v>608</v>
      </c>
      <c r="L6094" s="9">
        <v>2025</v>
      </c>
      <c r="M6094" s="8" t="s">
        <v>35589</v>
      </c>
      <c r="N6094" s="8" t="s">
        <v>41</v>
      </c>
      <c r="O6094" s="8" t="s">
        <v>1007</v>
      </c>
      <c r="P6094" s="6" t="s">
        <v>167</v>
      </c>
      <c r="Q6094" s="8" t="s">
        <v>44</v>
      </c>
      <c r="R6094" s="10" t="s">
        <v>35590</v>
      </c>
      <c r="S6094" s="11" t="s">
        <v>4932</v>
      </c>
      <c r="T6094" s="6"/>
      <c r="U6094" s="24" t="str">
        <f>HYPERLINK("https://media.infra-m.ru/2151/2151379/cover/2151379.jpg", "Обложка")</f>
        <v>Обложка</v>
      </c>
      <c r="V6094" s="24" t="str">
        <f>HYPERLINK("https://znanium.ru/catalog/product/2151379", "Ознакомиться")</f>
        <v>Ознакомиться</v>
      </c>
      <c r="W6094" s="8" t="s">
        <v>5635</v>
      </c>
      <c r="X6094" s="6"/>
      <c r="Y6094" s="6"/>
      <c r="Z6094" s="6"/>
      <c r="AA6094" s="6" t="s">
        <v>7663</v>
      </c>
      <c r="AB6094" s="8"/>
    </row>
    <row r="6095" spans="1:28" s="4" customFormat="1" ht="51.95" customHeight="1">
      <c r="A6095" s="5">
        <v>0</v>
      </c>
      <c r="B6095" s="6" t="s">
        <v>35591</v>
      </c>
      <c r="C6095" s="13">
        <v>3580</v>
      </c>
      <c r="D6095" s="8" t="s">
        <v>35592</v>
      </c>
      <c r="E6095" s="8" t="s">
        <v>35582</v>
      </c>
      <c r="F6095" s="8" t="s">
        <v>14485</v>
      </c>
      <c r="G6095" s="6" t="s">
        <v>52</v>
      </c>
      <c r="H6095" s="6" t="s">
        <v>53</v>
      </c>
      <c r="I6095" s="8" t="s">
        <v>276</v>
      </c>
      <c r="J6095" s="9">
        <v>1</v>
      </c>
      <c r="K6095" s="9">
        <v>716</v>
      </c>
      <c r="L6095" s="9">
        <v>2024</v>
      </c>
      <c r="M6095" s="8" t="s">
        <v>35593</v>
      </c>
      <c r="N6095" s="8" t="s">
        <v>41</v>
      </c>
      <c r="O6095" s="8" t="s">
        <v>1007</v>
      </c>
      <c r="P6095" s="6" t="s">
        <v>167</v>
      </c>
      <c r="Q6095" s="8" t="s">
        <v>279</v>
      </c>
      <c r="R6095" s="10" t="s">
        <v>35594</v>
      </c>
      <c r="S6095" s="11"/>
      <c r="T6095" s="6" t="s">
        <v>299</v>
      </c>
      <c r="U6095" s="24" t="str">
        <f>HYPERLINK("https://media.infra-m.ru/1874/1874254/cover/1874254.jpg", "Обложка")</f>
        <v>Обложка</v>
      </c>
      <c r="V6095" s="24" t="str">
        <f>HYPERLINK("https://znanium.ru/catalog/product/1874254", "Ознакомиться")</f>
        <v>Ознакомиться</v>
      </c>
      <c r="W6095" s="8" t="s">
        <v>14488</v>
      </c>
      <c r="X6095" s="6" t="s">
        <v>389</v>
      </c>
      <c r="Y6095" s="6"/>
      <c r="Z6095" s="6"/>
      <c r="AA6095" s="6" t="s">
        <v>133</v>
      </c>
      <c r="AB6095" s="8" t="s">
        <v>1969</v>
      </c>
    </row>
    <row r="6096" spans="1:28" s="4" customFormat="1" ht="51.95" customHeight="1">
      <c r="A6096" s="5">
        <v>0</v>
      </c>
      <c r="B6096" s="6" t="s">
        <v>35595</v>
      </c>
      <c r="C6096" s="13">
        <v>1554</v>
      </c>
      <c r="D6096" s="8" t="s">
        <v>35596</v>
      </c>
      <c r="E6096" s="8" t="s">
        <v>35582</v>
      </c>
      <c r="F6096" s="8" t="s">
        <v>35597</v>
      </c>
      <c r="G6096" s="6" t="s">
        <v>52</v>
      </c>
      <c r="H6096" s="6" t="s">
        <v>53</v>
      </c>
      <c r="I6096" s="8" t="s">
        <v>90</v>
      </c>
      <c r="J6096" s="9">
        <v>1</v>
      </c>
      <c r="K6096" s="9">
        <v>330</v>
      </c>
      <c r="L6096" s="9">
        <v>2024</v>
      </c>
      <c r="M6096" s="8" t="s">
        <v>35598</v>
      </c>
      <c r="N6096" s="8" t="s">
        <v>41</v>
      </c>
      <c r="O6096" s="8" t="s">
        <v>1007</v>
      </c>
      <c r="P6096" s="6" t="s">
        <v>167</v>
      </c>
      <c r="Q6096" s="8" t="s">
        <v>44</v>
      </c>
      <c r="R6096" s="10" t="s">
        <v>35599</v>
      </c>
      <c r="S6096" s="11" t="s">
        <v>35600</v>
      </c>
      <c r="T6096" s="6"/>
      <c r="U6096" s="24" t="str">
        <f>HYPERLINK("https://media.infra-m.ru/2084/2084556/cover/2084556.jpg", "Обложка")</f>
        <v>Обложка</v>
      </c>
      <c r="V6096" s="24" t="str">
        <f>HYPERLINK("https://znanium.ru/catalog/product/2084556", "Ознакомиться")</f>
        <v>Ознакомиться</v>
      </c>
      <c r="W6096" s="8" t="s">
        <v>637</v>
      </c>
      <c r="X6096" s="6"/>
      <c r="Y6096" s="6"/>
      <c r="Z6096" s="6"/>
      <c r="AA6096" s="6" t="s">
        <v>122</v>
      </c>
      <c r="AB6096" s="8"/>
    </row>
    <row r="6097" spans="1:28" s="4" customFormat="1" ht="51.95" customHeight="1">
      <c r="A6097" s="5">
        <v>0</v>
      </c>
      <c r="B6097" s="6" t="s">
        <v>35601</v>
      </c>
      <c r="C6097" s="13">
        <v>1874.9</v>
      </c>
      <c r="D6097" s="8" t="s">
        <v>35602</v>
      </c>
      <c r="E6097" s="8" t="s">
        <v>35582</v>
      </c>
      <c r="F6097" s="8" t="s">
        <v>35603</v>
      </c>
      <c r="G6097" s="6" t="s">
        <v>52</v>
      </c>
      <c r="H6097" s="6" t="s">
        <v>53</v>
      </c>
      <c r="I6097" s="8" t="s">
        <v>90</v>
      </c>
      <c r="J6097" s="9">
        <v>1</v>
      </c>
      <c r="K6097" s="9">
        <v>416</v>
      </c>
      <c r="L6097" s="9">
        <v>2023</v>
      </c>
      <c r="M6097" s="8" t="s">
        <v>35604</v>
      </c>
      <c r="N6097" s="8" t="s">
        <v>41</v>
      </c>
      <c r="O6097" s="8" t="s">
        <v>1007</v>
      </c>
      <c r="P6097" s="6" t="s">
        <v>167</v>
      </c>
      <c r="Q6097" s="8" t="s">
        <v>44</v>
      </c>
      <c r="R6097" s="10" t="s">
        <v>168</v>
      </c>
      <c r="S6097" s="11" t="s">
        <v>35605</v>
      </c>
      <c r="T6097" s="6"/>
      <c r="U6097" s="24" t="str">
        <f>HYPERLINK("https://media.infra-m.ru/1981/1981731/cover/1981731.jpg", "Обложка")</f>
        <v>Обложка</v>
      </c>
      <c r="V6097" s="24" t="str">
        <f>HYPERLINK("https://znanium.ru/catalog/product/1981731", "Ознакомиться")</f>
        <v>Ознакомиться</v>
      </c>
      <c r="W6097" s="8" t="s">
        <v>20164</v>
      </c>
      <c r="X6097" s="6"/>
      <c r="Y6097" s="6"/>
      <c r="Z6097" s="6"/>
      <c r="AA6097" s="6" t="s">
        <v>47</v>
      </c>
      <c r="AB6097" s="8"/>
    </row>
    <row r="6098" spans="1:28" s="4" customFormat="1" ht="51.95" customHeight="1">
      <c r="A6098" s="5">
        <v>0</v>
      </c>
      <c r="B6098" s="6" t="s">
        <v>35606</v>
      </c>
      <c r="C6098" s="13">
        <v>1724</v>
      </c>
      <c r="D6098" s="8" t="s">
        <v>35607</v>
      </c>
      <c r="E6098" s="8" t="s">
        <v>35582</v>
      </c>
      <c r="F6098" s="8" t="s">
        <v>10227</v>
      </c>
      <c r="G6098" s="6" t="s">
        <v>52</v>
      </c>
      <c r="H6098" s="6" t="s">
        <v>66</v>
      </c>
      <c r="I6098" s="8" t="s">
        <v>116</v>
      </c>
      <c r="J6098" s="9">
        <v>1</v>
      </c>
      <c r="K6098" s="9">
        <v>375</v>
      </c>
      <c r="L6098" s="9">
        <v>2024</v>
      </c>
      <c r="M6098" s="8" t="s">
        <v>35608</v>
      </c>
      <c r="N6098" s="8" t="s">
        <v>41</v>
      </c>
      <c r="O6098" s="8" t="s">
        <v>1007</v>
      </c>
      <c r="P6098" s="6" t="s">
        <v>43</v>
      </c>
      <c r="Q6098" s="8" t="s">
        <v>44</v>
      </c>
      <c r="R6098" s="10" t="s">
        <v>35059</v>
      </c>
      <c r="S6098" s="11" t="s">
        <v>35383</v>
      </c>
      <c r="T6098" s="6"/>
      <c r="U6098" s="24" t="str">
        <f>HYPERLINK("https://media.infra-m.ru/2100/2100468/cover/2100468.jpg", "Обложка")</f>
        <v>Обложка</v>
      </c>
      <c r="V6098" s="24" t="str">
        <f>HYPERLINK("https://znanium.ru/catalog/product/2100468", "Ознакомиться")</f>
        <v>Ознакомиться</v>
      </c>
      <c r="W6098" s="8" t="s">
        <v>4161</v>
      </c>
      <c r="X6098" s="6"/>
      <c r="Y6098" s="6"/>
      <c r="Z6098" s="6"/>
      <c r="AA6098" s="6" t="s">
        <v>622</v>
      </c>
      <c r="AB6098" s="8"/>
    </row>
    <row r="6099" spans="1:28" s="4" customFormat="1" ht="51.95" customHeight="1">
      <c r="A6099" s="5">
        <v>0</v>
      </c>
      <c r="B6099" s="6" t="s">
        <v>35609</v>
      </c>
      <c r="C6099" s="13">
        <v>2494</v>
      </c>
      <c r="D6099" s="8" t="s">
        <v>35610</v>
      </c>
      <c r="E6099" s="8" t="s">
        <v>35611</v>
      </c>
      <c r="F6099" s="8" t="s">
        <v>35612</v>
      </c>
      <c r="G6099" s="6" t="s">
        <v>52</v>
      </c>
      <c r="H6099" s="6" t="s">
        <v>53</v>
      </c>
      <c r="I6099" s="8" t="s">
        <v>90</v>
      </c>
      <c r="J6099" s="9">
        <v>1</v>
      </c>
      <c r="K6099" s="9">
        <v>747</v>
      </c>
      <c r="L6099" s="9">
        <v>2024</v>
      </c>
      <c r="M6099" s="8" t="s">
        <v>35613</v>
      </c>
      <c r="N6099" s="8" t="s">
        <v>41</v>
      </c>
      <c r="O6099" s="8" t="s">
        <v>1007</v>
      </c>
      <c r="P6099" s="6" t="s">
        <v>167</v>
      </c>
      <c r="Q6099" s="8" t="s">
        <v>44</v>
      </c>
      <c r="R6099" s="10" t="s">
        <v>168</v>
      </c>
      <c r="S6099" s="11" t="s">
        <v>33967</v>
      </c>
      <c r="T6099" s="6"/>
      <c r="U6099" s="24" t="str">
        <f>HYPERLINK("https://media.infra-m.ru/2053/2053193/cover/2053193.jpg", "Обложка")</f>
        <v>Обложка</v>
      </c>
      <c r="V6099" s="24" t="str">
        <f>HYPERLINK("https://znanium.ru/catalog/product/2053193", "Ознакомиться")</f>
        <v>Ознакомиться</v>
      </c>
      <c r="W6099" s="8" t="s">
        <v>8022</v>
      </c>
      <c r="X6099" s="6"/>
      <c r="Y6099" s="6"/>
      <c r="Z6099" s="6"/>
      <c r="AA6099" s="6" t="s">
        <v>2193</v>
      </c>
      <c r="AB6099" s="8"/>
    </row>
    <row r="6100" spans="1:28" s="4" customFormat="1" ht="51.95" customHeight="1">
      <c r="A6100" s="5">
        <v>0</v>
      </c>
      <c r="B6100" s="6" t="s">
        <v>35614</v>
      </c>
      <c r="C6100" s="13">
        <v>1274</v>
      </c>
      <c r="D6100" s="8" t="s">
        <v>35615</v>
      </c>
      <c r="E6100" s="8" t="s">
        <v>35582</v>
      </c>
      <c r="F6100" s="8" t="s">
        <v>35616</v>
      </c>
      <c r="G6100" s="6" t="s">
        <v>52</v>
      </c>
      <c r="H6100" s="6" t="s">
        <v>53</v>
      </c>
      <c r="I6100" s="8" t="s">
        <v>90</v>
      </c>
      <c r="J6100" s="9">
        <v>1</v>
      </c>
      <c r="K6100" s="9">
        <v>255</v>
      </c>
      <c r="L6100" s="9">
        <v>2025</v>
      </c>
      <c r="M6100" s="8" t="s">
        <v>35617</v>
      </c>
      <c r="N6100" s="8" t="s">
        <v>41</v>
      </c>
      <c r="O6100" s="8" t="s">
        <v>1007</v>
      </c>
      <c r="P6100" s="6" t="s">
        <v>167</v>
      </c>
      <c r="Q6100" s="8" t="s">
        <v>44</v>
      </c>
      <c r="R6100" s="10" t="s">
        <v>35618</v>
      </c>
      <c r="S6100" s="11" t="s">
        <v>35619</v>
      </c>
      <c r="T6100" s="6"/>
      <c r="U6100" s="24" t="str">
        <f>HYPERLINK("https://media.infra-m.ru/2192/2192237/cover/2192237.jpg", "Обложка")</f>
        <v>Обложка</v>
      </c>
      <c r="V6100" s="24" t="str">
        <f>HYPERLINK("https://znanium.ru/catalog/product/2131876", "Ознакомиться")</f>
        <v>Ознакомиться</v>
      </c>
      <c r="W6100" s="8" t="s">
        <v>6509</v>
      </c>
      <c r="X6100" s="6"/>
      <c r="Y6100" s="6"/>
      <c r="Z6100" s="6"/>
      <c r="AA6100" s="6" t="s">
        <v>84</v>
      </c>
      <c r="AB6100" s="8"/>
    </row>
    <row r="6101" spans="1:28" s="4" customFormat="1" ht="51.95" customHeight="1">
      <c r="A6101" s="5">
        <v>0</v>
      </c>
      <c r="B6101" s="6" t="s">
        <v>35620</v>
      </c>
      <c r="C6101" s="7">
        <v>608</v>
      </c>
      <c r="D6101" s="8" t="s">
        <v>35621</v>
      </c>
      <c r="E6101" s="8" t="s">
        <v>35611</v>
      </c>
      <c r="F6101" s="8" t="s">
        <v>35622</v>
      </c>
      <c r="G6101" s="6" t="s">
        <v>38</v>
      </c>
      <c r="H6101" s="6" t="s">
        <v>184</v>
      </c>
      <c r="I6101" s="8" t="s">
        <v>13321</v>
      </c>
      <c r="J6101" s="9">
        <v>1</v>
      </c>
      <c r="K6101" s="9">
        <v>209</v>
      </c>
      <c r="L6101" s="9">
        <v>2022</v>
      </c>
      <c r="M6101" s="8" t="s">
        <v>35623</v>
      </c>
      <c r="N6101" s="8" t="s">
        <v>41</v>
      </c>
      <c r="O6101" s="8" t="s">
        <v>1007</v>
      </c>
      <c r="P6101" s="6" t="s">
        <v>43</v>
      </c>
      <c r="Q6101" s="8" t="s">
        <v>44</v>
      </c>
      <c r="R6101" s="10" t="s">
        <v>168</v>
      </c>
      <c r="S6101" s="11" t="s">
        <v>28682</v>
      </c>
      <c r="T6101" s="6"/>
      <c r="U6101" s="24" t="str">
        <f>HYPERLINK("https://media.infra-m.ru/1893/1893212/cover/1893212.jpg", "Обложка")</f>
        <v>Обложка</v>
      </c>
      <c r="V6101" s="24" t="str">
        <f>HYPERLINK("https://znanium.ru/catalog/product/1893212", "Ознакомиться")</f>
        <v>Ознакомиться</v>
      </c>
      <c r="W6101" s="8"/>
      <c r="X6101" s="6"/>
      <c r="Y6101" s="6"/>
      <c r="Z6101" s="6"/>
      <c r="AA6101" s="6" t="s">
        <v>663</v>
      </c>
      <c r="AB6101" s="8"/>
    </row>
    <row r="6102" spans="1:28" s="4" customFormat="1" ht="51.95" customHeight="1">
      <c r="A6102" s="5">
        <v>0</v>
      </c>
      <c r="B6102" s="6" t="s">
        <v>35624</v>
      </c>
      <c r="C6102" s="7">
        <v>850</v>
      </c>
      <c r="D6102" s="8" t="s">
        <v>35625</v>
      </c>
      <c r="E6102" s="8" t="s">
        <v>35626</v>
      </c>
      <c r="F6102" s="8" t="s">
        <v>7931</v>
      </c>
      <c r="G6102" s="6" t="s">
        <v>52</v>
      </c>
      <c r="H6102" s="6" t="s">
        <v>53</v>
      </c>
      <c r="I6102" s="8" t="s">
        <v>90</v>
      </c>
      <c r="J6102" s="9">
        <v>1</v>
      </c>
      <c r="K6102" s="9">
        <v>185</v>
      </c>
      <c r="L6102" s="9">
        <v>2023</v>
      </c>
      <c r="M6102" s="8" t="s">
        <v>35627</v>
      </c>
      <c r="N6102" s="8" t="s">
        <v>41</v>
      </c>
      <c r="O6102" s="8" t="s">
        <v>1007</v>
      </c>
      <c r="P6102" s="6" t="s">
        <v>43</v>
      </c>
      <c r="Q6102" s="8" t="s">
        <v>44</v>
      </c>
      <c r="R6102" s="10" t="s">
        <v>2461</v>
      </c>
      <c r="S6102" s="11" t="s">
        <v>35628</v>
      </c>
      <c r="T6102" s="6"/>
      <c r="U6102" s="24" t="str">
        <f>HYPERLINK("https://media.infra-m.ru/1225/1225034/cover/1225034.jpg", "Обложка")</f>
        <v>Обложка</v>
      </c>
      <c r="V6102" s="24" t="str">
        <f>HYPERLINK("https://znanium.ru/catalog/product/1225034", "Ознакомиться")</f>
        <v>Ознакомиться</v>
      </c>
      <c r="W6102" s="8" t="s">
        <v>2915</v>
      </c>
      <c r="X6102" s="6"/>
      <c r="Y6102" s="6"/>
      <c r="Z6102" s="6"/>
      <c r="AA6102" s="6" t="s">
        <v>207</v>
      </c>
      <c r="AB6102" s="8"/>
    </row>
    <row r="6103" spans="1:28" s="4" customFormat="1" ht="42" customHeight="1">
      <c r="A6103" s="5">
        <v>0</v>
      </c>
      <c r="B6103" s="6" t="s">
        <v>35629</v>
      </c>
      <c r="C6103" s="7">
        <v>514</v>
      </c>
      <c r="D6103" s="8" t="s">
        <v>35630</v>
      </c>
      <c r="E6103" s="8" t="s">
        <v>35631</v>
      </c>
      <c r="F6103" s="8" t="s">
        <v>35632</v>
      </c>
      <c r="G6103" s="6" t="s">
        <v>38</v>
      </c>
      <c r="H6103" s="6" t="s">
        <v>53</v>
      </c>
      <c r="I6103" s="8" t="s">
        <v>90</v>
      </c>
      <c r="J6103" s="9">
        <v>1</v>
      </c>
      <c r="K6103" s="9">
        <v>111</v>
      </c>
      <c r="L6103" s="9">
        <v>2024</v>
      </c>
      <c r="M6103" s="8" t="s">
        <v>35633</v>
      </c>
      <c r="N6103" s="8" t="s">
        <v>41</v>
      </c>
      <c r="O6103" s="8" t="s">
        <v>1007</v>
      </c>
      <c r="P6103" s="6" t="s">
        <v>43</v>
      </c>
      <c r="Q6103" s="8" t="s">
        <v>44</v>
      </c>
      <c r="R6103" s="10" t="s">
        <v>35634</v>
      </c>
      <c r="S6103" s="11"/>
      <c r="T6103" s="6"/>
      <c r="U6103" s="24" t="str">
        <f>HYPERLINK("https://media.infra-m.ru/2087/2087264/cover/2087264.jpg", "Обложка")</f>
        <v>Обложка</v>
      </c>
      <c r="V6103" s="24" t="str">
        <f>HYPERLINK("https://znanium.ru/catalog/product/1946417", "Ознакомиться")</f>
        <v>Ознакомиться</v>
      </c>
      <c r="W6103" s="8" t="s">
        <v>450</v>
      </c>
      <c r="X6103" s="6"/>
      <c r="Y6103" s="6"/>
      <c r="Z6103" s="6"/>
      <c r="AA6103" s="6" t="s">
        <v>111</v>
      </c>
      <c r="AB6103" s="8"/>
    </row>
    <row r="6104" spans="1:28" s="4" customFormat="1" ht="51.95" customHeight="1">
      <c r="A6104" s="5">
        <v>0</v>
      </c>
      <c r="B6104" s="6" t="s">
        <v>35635</v>
      </c>
      <c r="C6104" s="13">
        <v>1950</v>
      </c>
      <c r="D6104" s="8" t="s">
        <v>35636</v>
      </c>
      <c r="E6104" s="8" t="s">
        <v>35637</v>
      </c>
      <c r="F6104" s="8" t="s">
        <v>35638</v>
      </c>
      <c r="G6104" s="6" t="s">
        <v>89</v>
      </c>
      <c r="H6104" s="6" t="s">
        <v>53</v>
      </c>
      <c r="I6104" s="8" t="s">
        <v>90</v>
      </c>
      <c r="J6104" s="9">
        <v>1</v>
      </c>
      <c r="K6104" s="9">
        <v>528</v>
      </c>
      <c r="L6104" s="9">
        <v>2021</v>
      </c>
      <c r="M6104" s="8" t="s">
        <v>35639</v>
      </c>
      <c r="N6104" s="8" t="s">
        <v>41</v>
      </c>
      <c r="O6104" s="8" t="s">
        <v>118</v>
      </c>
      <c r="P6104" s="6" t="s">
        <v>167</v>
      </c>
      <c r="Q6104" s="8" t="s">
        <v>44</v>
      </c>
      <c r="R6104" s="10" t="s">
        <v>35640</v>
      </c>
      <c r="S6104" s="11" t="s">
        <v>35641</v>
      </c>
      <c r="T6104" s="6"/>
      <c r="U6104" s="24" t="str">
        <f>HYPERLINK("https://media.infra-m.ru/1359/1359744/cover/1359744.jpg", "Обложка")</f>
        <v>Обложка</v>
      </c>
      <c r="V6104" s="24" t="str">
        <f>HYPERLINK("https://znanium.ru/catalog/product/2152128", "Ознакомиться")</f>
        <v>Ознакомиться</v>
      </c>
      <c r="W6104" s="8" t="s">
        <v>2216</v>
      </c>
      <c r="X6104" s="6"/>
      <c r="Y6104" s="6"/>
      <c r="Z6104" s="6"/>
      <c r="AA6104" s="6" t="s">
        <v>654</v>
      </c>
      <c r="AB6104" s="8"/>
    </row>
    <row r="6105" spans="1:28" s="4" customFormat="1" ht="51.95" customHeight="1">
      <c r="A6105" s="5">
        <v>0</v>
      </c>
      <c r="B6105" s="6" t="s">
        <v>35642</v>
      </c>
      <c r="C6105" s="13">
        <v>2400</v>
      </c>
      <c r="D6105" s="8" t="s">
        <v>35643</v>
      </c>
      <c r="E6105" s="8" t="s">
        <v>35644</v>
      </c>
      <c r="F6105" s="8" t="s">
        <v>35645</v>
      </c>
      <c r="G6105" s="6" t="s">
        <v>52</v>
      </c>
      <c r="H6105" s="6" t="s">
        <v>53</v>
      </c>
      <c r="I6105" s="8" t="s">
        <v>116</v>
      </c>
      <c r="J6105" s="9">
        <v>1</v>
      </c>
      <c r="K6105" s="9">
        <v>578</v>
      </c>
      <c r="L6105" s="9">
        <v>2024</v>
      </c>
      <c r="M6105" s="8" t="s">
        <v>35646</v>
      </c>
      <c r="N6105" s="8" t="s">
        <v>41</v>
      </c>
      <c r="O6105" s="8" t="s">
        <v>118</v>
      </c>
      <c r="P6105" s="6" t="s">
        <v>167</v>
      </c>
      <c r="Q6105" s="8" t="s">
        <v>44</v>
      </c>
      <c r="R6105" s="10" t="s">
        <v>35640</v>
      </c>
      <c r="S6105" s="11" t="s">
        <v>35641</v>
      </c>
      <c r="T6105" s="6"/>
      <c r="U6105" s="24" t="str">
        <f>HYPERLINK("https://media.infra-m.ru/2152/2152128/cover/2152128.jpg", "Обложка")</f>
        <v>Обложка</v>
      </c>
      <c r="V6105" s="24" t="str">
        <f>HYPERLINK("https://znanium.ru/catalog/product/2152128", "Ознакомиться")</f>
        <v>Ознакомиться</v>
      </c>
      <c r="W6105" s="8" t="s">
        <v>2216</v>
      </c>
      <c r="X6105" s="6"/>
      <c r="Y6105" s="6"/>
      <c r="Z6105" s="6"/>
      <c r="AA6105" s="6" t="s">
        <v>513</v>
      </c>
      <c r="AB6105" s="8"/>
    </row>
    <row r="6106" spans="1:28" s="4" customFormat="1" ht="51.95" customHeight="1">
      <c r="A6106" s="5">
        <v>0</v>
      </c>
      <c r="B6106" s="6" t="s">
        <v>35647</v>
      </c>
      <c r="C6106" s="7">
        <v>964</v>
      </c>
      <c r="D6106" s="8" t="s">
        <v>35648</v>
      </c>
      <c r="E6106" s="8" t="s">
        <v>35649</v>
      </c>
      <c r="F6106" s="8" t="s">
        <v>35650</v>
      </c>
      <c r="G6106" s="6" t="s">
        <v>52</v>
      </c>
      <c r="H6106" s="6" t="s">
        <v>53</v>
      </c>
      <c r="I6106" s="8" t="s">
        <v>90</v>
      </c>
      <c r="J6106" s="9">
        <v>1</v>
      </c>
      <c r="K6106" s="9">
        <v>208</v>
      </c>
      <c r="L6106" s="9">
        <v>2024</v>
      </c>
      <c r="M6106" s="8" t="s">
        <v>35651</v>
      </c>
      <c r="N6106" s="8" t="s">
        <v>41</v>
      </c>
      <c r="O6106" s="8" t="s">
        <v>1204</v>
      </c>
      <c r="P6106" s="6" t="s">
        <v>43</v>
      </c>
      <c r="Q6106" s="8" t="s">
        <v>44</v>
      </c>
      <c r="R6106" s="10" t="s">
        <v>13917</v>
      </c>
      <c r="S6106" s="11" t="s">
        <v>35652</v>
      </c>
      <c r="T6106" s="6"/>
      <c r="U6106" s="24" t="str">
        <f>HYPERLINK("https://media.infra-m.ru/2056/2056796/cover/2056796.jpg", "Обложка")</f>
        <v>Обложка</v>
      </c>
      <c r="V6106" s="24" t="str">
        <f>HYPERLINK("https://znanium.ru/catalog/product/1496283", "Ознакомиться")</f>
        <v>Ознакомиться</v>
      </c>
      <c r="W6106" s="8" t="s">
        <v>189</v>
      </c>
      <c r="X6106" s="6"/>
      <c r="Y6106" s="6"/>
      <c r="Z6106" s="6"/>
      <c r="AA6106" s="6" t="s">
        <v>654</v>
      </c>
      <c r="AB6106" s="8"/>
    </row>
    <row r="6107" spans="1:28" s="4" customFormat="1" ht="51.95" customHeight="1">
      <c r="A6107" s="5">
        <v>0</v>
      </c>
      <c r="B6107" s="6" t="s">
        <v>35653</v>
      </c>
      <c r="C6107" s="13">
        <v>1114</v>
      </c>
      <c r="D6107" s="8" t="s">
        <v>35654</v>
      </c>
      <c r="E6107" s="8" t="s">
        <v>35655</v>
      </c>
      <c r="F6107" s="8" t="s">
        <v>35656</v>
      </c>
      <c r="G6107" s="6" t="s">
        <v>52</v>
      </c>
      <c r="H6107" s="6" t="s">
        <v>53</v>
      </c>
      <c r="I6107" s="8" t="s">
        <v>90</v>
      </c>
      <c r="J6107" s="9">
        <v>1</v>
      </c>
      <c r="K6107" s="9">
        <v>237</v>
      </c>
      <c r="L6107" s="9">
        <v>2024</v>
      </c>
      <c r="M6107" s="8" t="s">
        <v>35657</v>
      </c>
      <c r="N6107" s="8" t="s">
        <v>41</v>
      </c>
      <c r="O6107" s="8" t="s">
        <v>1204</v>
      </c>
      <c r="P6107" s="6" t="s">
        <v>167</v>
      </c>
      <c r="Q6107" s="8" t="s">
        <v>44</v>
      </c>
      <c r="R6107" s="10" t="s">
        <v>23937</v>
      </c>
      <c r="S6107" s="11" t="s">
        <v>35658</v>
      </c>
      <c r="T6107" s="6"/>
      <c r="U6107" s="24" t="str">
        <f>HYPERLINK("https://media.infra-m.ru/2152/2152111/cover/2152111.jpg", "Обложка")</f>
        <v>Обложка</v>
      </c>
      <c r="V6107" s="24" t="str">
        <f>HYPERLINK("https://znanium.ru/catalog/product/1001311", "Ознакомиться")</f>
        <v>Ознакомиться</v>
      </c>
      <c r="W6107" s="8" t="s">
        <v>2915</v>
      </c>
      <c r="X6107" s="6"/>
      <c r="Y6107" s="6"/>
      <c r="Z6107" s="6"/>
      <c r="AA6107" s="6" t="s">
        <v>47</v>
      </c>
      <c r="AB6107" s="8"/>
    </row>
    <row r="6108" spans="1:28" s="4" customFormat="1" ht="51.95" customHeight="1">
      <c r="A6108" s="5">
        <v>0</v>
      </c>
      <c r="B6108" s="6" t="s">
        <v>35659</v>
      </c>
      <c r="C6108" s="13">
        <v>1160</v>
      </c>
      <c r="D6108" s="8" t="s">
        <v>35660</v>
      </c>
      <c r="E6108" s="8" t="s">
        <v>35661</v>
      </c>
      <c r="F6108" s="8" t="s">
        <v>34966</v>
      </c>
      <c r="G6108" s="6" t="s">
        <v>52</v>
      </c>
      <c r="H6108" s="6" t="s">
        <v>53</v>
      </c>
      <c r="I6108" s="8" t="s">
        <v>90</v>
      </c>
      <c r="J6108" s="9">
        <v>1</v>
      </c>
      <c r="K6108" s="9">
        <v>319</v>
      </c>
      <c r="L6108" s="9">
        <v>2021</v>
      </c>
      <c r="M6108" s="8" t="s">
        <v>35662</v>
      </c>
      <c r="N6108" s="8" t="s">
        <v>41</v>
      </c>
      <c r="O6108" s="8" t="s">
        <v>1007</v>
      </c>
      <c r="P6108" s="6" t="s">
        <v>167</v>
      </c>
      <c r="Q6108" s="8" t="s">
        <v>44</v>
      </c>
      <c r="R6108" s="10" t="s">
        <v>35663</v>
      </c>
      <c r="S6108" s="11" t="s">
        <v>35664</v>
      </c>
      <c r="T6108" s="6"/>
      <c r="U6108" s="24" t="str">
        <f>HYPERLINK("https://media.infra-m.ru/1014/1014619/cover/1014619.jpg", "Обложка")</f>
        <v>Обложка</v>
      </c>
      <c r="V6108" s="24" t="str">
        <f>HYPERLINK("https://znanium.ru/catalog/product/1014619", "Ознакомиться")</f>
        <v>Ознакомиться</v>
      </c>
      <c r="W6108" s="8" t="s">
        <v>6875</v>
      </c>
      <c r="X6108" s="6"/>
      <c r="Y6108" s="6"/>
      <c r="Z6108" s="6"/>
      <c r="AA6108" s="6" t="s">
        <v>219</v>
      </c>
      <c r="AB6108" s="8"/>
    </row>
    <row r="6109" spans="1:28" s="4" customFormat="1" ht="51.95" customHeight="1">
      <c r="A6109" s="5">
        <v>0</v>
      </c>
      <c r="B6109" s="6" t="s">
        <v>35665</v>
      </c>
      <c r="C6109" s="13">
        <v>1984</v>
      </c>
      <c r="D6109" s="8" t="s">
        <v>35666</v>
      </c>
      <c r="E6109" s="8" t="s">
        <v>35667</v>
      </c>
      <c r="F6109" s="8" t="s">
        <v>24855</v>
      </c>
      <c r="G6109" s="6" t="s">
        <v>52</v>
      </c>
      <c r="H6109" s="6" t="s">
        <v>952</v>
      </c>
      <c r="I6109" s="8" t="s">
        <v>1171</v>
      </c>
      <c r="J6109" s="9">
        <v>1</v>
      </c>
      <c r="K6109" s="9">
        <v>432</v>
      </c>
      <c r="L6109" s="9">
        <v>2024</v>
      </c>
      <c r="M6109" s="8" t="s">
        <v>35668</v>
      </c>
      <c r="N6109" s="8" t="s">
        <v>41</v>
      </c>
      <c r="O6109" s="8" t="s">
        <v>1007</v>
      </c>
      <c r="P6109" s="6" t="s">
        <v>43</v>
      </c>
      <c r="Q6109" s="8" t="s">
        <v>44</v>
      </c>
      <c r="R6109" s="10" t="s">
        <v>1231</v>
      </c>
      <c r="S6109" s="11" t="s">
        <v>35669</v>
      </c>
      <c r="T6109" s="6"/>
      <c r="U6109" s="24" t="str">
        <f>HYPERLINK("https://media.infra-m.ru/2056/2056629/cover/2056629.jpg", "Обложка")</f>
        <v>Обложка</v>
      </c>
      <c r="V6109" s="24" t="str">
        <f>HYPERLINK("https://znanium.ru/catalog/product/2056629", "Ознакомиться")</f>
        <v>Ознакомиться</v>
      </c>
      <c r="W6109" s="8" t="s">
        <v>2463</v>
      </c>
      <c r="X6109" s="6"/>
      <c r="Y6109" s="6"/>
      <c r="Z6109" s="6"/>
      <c r="AA6109" s="6" t="s">
        <v>479</v>
      </c>
      <c r="AB6109" s="8"/>
    </row>
    <row r="6110" spans="1:28" s="4" customFormat="1" ht="51.95" customHeight="1">
      <c r="A6110" s="5">
        <v>0</v>
      </c>
      <c r="B6110" s="6" t="s">
        <v>35670</v>
      </c>
      <c r="C6110" s="13">
        <v>1604</v>
      </c>
      <c r="D6110" s="8" t="s">
        <v>35671</v>
      </c>
      <c r="E6110" s="8" t="s">
        <v>35672</v>
      </c>
      <c r="F6110" s="8" t="s">
        <v>35673</v>
      </c>
      <c r="G6110" s="6" t="s">
        <v>52</v>
      </c>
      <c r="H6110" s="6" t="s">
        <v>53</v>
      </c>
      <c r="I6110" s="8" t="s">
        <v>90</v>
      </c>
      <c r="J6110" s="9">
        <v>1</v>
      </c>
      <c r="K6110" s="9">
        <v>348</v>
      </c>
      <c r="L6110" s="9">
        <v>2024</v>
      </c>
      <c r="M6110" s="8" t="s">
        <v>35674</v>
      </c>
      <c r="N6110" s="8" t="s">
        <v>41</v>
      </c>
      <c r="O6110" s="8" t="s">
        <v>1007</v>
      </c>
      <c r="P6110" s="6" t="s">
        <v>167</v>
      </c>
      <c r="Q6110" s="8" t="s">
        <v>44</v>
      </c>
      <c r="R6110" s="10" t="s">
        <v>6765</v>
      </c>
      <c r="S6110" s="11" t="s">
        <v>35675</v>
      </c>
      <c r="T6110" s="6"/>
      <c r="U6110" s="24" t="str">
        <f>HYPERLINK("https://media.infra-m.ru/2094/2094502/cover/2094502.jpg", "Обложка")</f>
        <v>Обложка</v>
      </c>
      <c r="V6110" s="24" t="str">
        <f>HYPERLINK("https://znanium.ru/catalog/product/2094502", "Ознакомиться")</f>
        <v>Ознакомиться</v>
      </c>
      <c r="W6110" s="8" t="s">
        <v>1345</v>
      </c>
      <c r="X6110" s="6"/>
      <c r="Y6110" s="6"/>
      <c r="Z6110" s="6"/>
      <c r="AA6110" s="6" t="s">
        <v>47</v>
      </c>
      <c r="AB6110" s="8"/>
    </row>
    <row r="6111" spans="1:28" s="4" customFormat="1" ht="42" customHeight="1">
      <c r="A6111" s="5">
        <v>0</v>
      </c>
      <c r="B6111" s="6" t="s">
        <v>35676</v>
      </c>
      <c r="C6111" s="13">
        <v>1190</v>
      </c>
      <c r="D6111" s="8" t="s">
        <v>35677</v>
      </c>
      <c r="E6111" s="8" t="s">
        <v>35678</v>
      </c>
      <c r="F6111" s="8" t="s">
        <v>1378</v>
      </c>
      <c r="G6111" s="6" t="s">
        <v>52</v>
      </c>
      <c r="H6111" s="6" t="s">
        <v>53</v>
      </c>
      <c r="I6111" s="8" t="s">
        <v>276</v>
      </c>
      <c r="J6111" s="9">
        <v>1</v>
      </c>
      <c r="K6111" s="9">
        <v>252</v>
      </c>
      <c r="L6111" s="9">
        <v>2024</v>
      </c>
      <c r="M6111" s="8" t="s">
        <v>35679</v>
      </c>
      <c r="N6111" s="8" t="s">
        <v>41</v>
      </c>
      <c r="O6111" s="8" t="s">
        <v>1007</v>
      </c>
      <c r="P6111" s="6" t="s">
        <v>167</v>
      </c>
      <c r="Q6111" s="8" t="s">
        <v>279</v>
      </c>
      <c r="R6111" s="10" t="s">
        <v>9570</v>
      </c>
      <c r="S6111" s="11"/>
      <c r="T6111" s="6"/>
      <c r="U6111" s="24" t="str">
        <f>HYPERLINK("https://media.infra-m.ru/1907/1907632/cover/1907632.jpg", "Обложка")</f>
        <v>Обложка</v>
      </c>
      <c r="V6111" s="24" t="str">
        <f>HYPERLINK("https://znanium.ru/catalog/product/1907632", "Ознакомиться")</f>
        <v>Ознакомиться</v>
      </c>
      <c r="W6111" s="8" t="s">
        <v>189</v>
      </c>
      <c r="X6111" s="6"/>
      <c r="Y6111" s="6"/>
      <c r="Z6111" s="6"/>
      <c r="AA6111" s="6" t="s">
        <v>133</v>
      </c>
      <c r="AB6111" s="8"/>
    </row>
    <row r="6112" spans="1:28" s="4" customFormat="1" ht="44.1" customHeight="1">
      <c r="A6112" s="5">
        <v>0</v>
      </c>
      <c r="B6112" s="6" t="s">
        <v>35680</v>
      </c>
      <c r="C6112" s="13">
        <v>1480</v>
      </c>
      <c r="D6112" s="8" t="s">
        <v>35681</v>
      </c>
      <c r="E6112" s="8" t="s">
        <v>35682</v>
      </c>
      <c r="F6112" s="8" t="s">
        <v>27570</v>
      </c>
      <c r="G6112" s="6" t="s">
        <v>52</v>
      </c>
      <c r="H6112" s="6" t="s">
        <v>952</v>
      </c>
      <c r="I6112" s="8"/>
      <c r="J6112" s="9">
        <v>1</v>
      </c>
      <c r="K6112" s="9">
        <v>328</v>
      </c>
      <c r="L6112" s="9">
        <v>2023</v>
      </c>
      <c r="M6112" s="8" t="s">
        <v>35683</v>
      </c>
      <c r="N6112" s="8" t="s">
        <v>41</v>
      </c>
      <c r="O6112" s="8" t="s">
        <v>1007</v>
      </c>
      <c r="P6112" s="6" t="s">
        <v>167</v>
      </c>
      <c r="Q6112" s="8" t="s">
        <v>44</v>
      </c>
      <c r="R6112" s="10" t="s">
        <v>35684</v>
      </c>
      <c r="S6112" s="11"/>
      <c r="T6112" s="6"/>
      <c r="U6112" s="24" t="str">
        <f>HYPERLINK("https://media.infra-m.ru/1898/1898180/cover/1898180.jpg", "Обложка")</f>
        <v>Обложка</v>
      </c>
      <c r="V6112" s="24" t="str">
        <f>HYPERLINK("https://znanium.ru/catalog/product/1898180", "Ознакомиться")</f>
        <v>Ознакомиться</v>
      </c>
      <c r="W6112" s="8" t="s">
        <v>3426</v>
      </c>
      <c r="X6112" s="6"/>
      <c r="Y6112" s="6"/>
      <c r="Z6112" s="6"/>
      <c r="AA6112" s="6" t="s">
        <v>207</v>
      </c>
      <c r="AB6112" s="8"/>
    </row>
    <row r="6113" spans="1:28" s="4" customFormat="1" ht="51.95" customHeight="1">
      <c r="A6113" s="5">
        <v>0</v>
      </c>
      <c r="B6113" s="6" t="s">
        <v>35685</v>
      </c>
      <c r="C6113" s="7">
        <v>794</v>
      </c>
      <c r="D6113" s="8" t="s">
        <v>35686</v>
      </c>
      <c r="E6113" s="8" t="s">
        <v>35687</v>
      </c>
      <c r="F6113" s="8" t="s">
        <v>35688</v>
      </c>
      <c r="G6113" s="6" t="s">
        <v>89</v>
      </c>
      <c r="H6113" s="6" t="s">
        <v>53</v>
      </c>
      <c r="I6113" s="8" t="s">
        <v>1223</v>
      </c>
      <c r="J6113" s="9">
        <v>1</v>
      </c>
      <c r="K6113" s="9">
        <v>172</v>
      </c>
      <c r="L6113" s="9">
        <v>2023</v>
      </c>
      <c r="M6113" s="8" t="s">
        <v>35689</v>
      </c>
      <c r="N6113" s="8" t="s">
        <v>41</v>
      </c>
      <c r="O6113" s="8" t="s">
        <v>1007</v>
      </c>
      <c r="P6113" s="6" t="s">
        <v>43</v>
      </c>
      <c r="Q6113" s="8" t="s">
        <v>44</v>
      </c>
      <c r="R6113" s="10" t="s">
        <v>35690</v>
      </c>
      <c r="S6113" s="11" t="s">
        <v>35691</v>
      </c>
      <c r="T6113" s="6"/>
      <c r="U6113" s="24" t="str">
        <f>HYPERLINK("https://media.infra-m.ru/2126/2126391/cover/2126391.jpg", "Обложка")</f>
        <v>Обложка</v>
      </c>
      <c r="V6113" s="24" t="str">
        <f>HYPERLINK("https://znanium.ru/catalog/product/2126391", "Ознакомиться")</f>
        <v>Ознакомиться</v>
      </c>
      <c r="W6113" s="8" t="s">
        <v>83</v>
      </c>
      <c r="X6113" s="6"/>
      <c r="Y6113" s="6"/>
      <c r="Z6113" s="6"/>
      <c r="AA6113" s="6" t="s">
        <v>258</v>
      </c>
      <c r="AB6113" s="8"/>
    </row>
    <row r="6114" spans="1:28" s="4" customFormat="1" ht="42" customHeight="1">
      <c r="A6114" s="5">
        <v>0</v>
      </c>
      <c r="B6114" s="6" t="s">
        <v>35692</v>
      </c>
      <c r="C6114" s="13">
        <v>1540</v>
      </c>
      <c r="D6114" s="8" t="s">
        <v>35693</v>
      </c>
      <c r="E6114" s="8" t="s">
        <v>35694</v>
      </c>
      <c r="F6114" s="8" t="s">
        <v>35695</v>
      </c>
      <c r="G6114" s="6" t="s">
        <v>52</v>
      </c>
      <c r="H6114" s="6" t="s">
        <v>53</v>
      </c>
      <c r="I6114" s="8" t="s">
        <v>116</v>
      </c>
      <c r="J6114" s="9">
        <v>1</v>
      </c>
      <c r="K6114" s="9">
        <v>306</v>
      </c>
      <c r="L6114" s="9">
        <v>2025</v>
      </c>
      <c r="M6114" s="8" t="s">
        <v>35696</v>
      </c>
      <c r="N6114" s="8" t="s">
        <v>41</v>
      </c>
      <c r="O6114" s="8" t="s">
        <v>1007</v>
      </c>
      <c r="P6114" s="6" t="s">
        <v>43</v>
      </c>
      <c r="Q6114" s="8" t="s">
        <v>44</v>
      </c>
      <c r="R6114" s="10" t="s">
        <v>35697</v>
      </c>
      <c r="S6114" s="11"/>
      <c r="T6114" s="6"/>
      <c r="U6114" s="24" t="str">
        <f>HYPERLINK("https://media.infra-m.ru/2089/2089374/cover/2089374.jpg", "Обложка")</f>
        <v>Обложка</v>
      </c>
      <c r="V6114" s="24" t="str">
        <f>HYPERLINK("https://znanium.ru/catalog/product/2089374", "Ознакомиться")</f>
        <v>Ознакомиться</v>
      </c>
      <c r="W6114" s="8" t="s">
        <v>1313</v>
      </c>
      <c r="X6114" s="6" t="s">
        <v>389</v>
      </c>
      <c r="Y6114" s="6"/>
      <c r="Z6114" s="6"/>
      <c r="AA6114" s="6" t="s">
        <v>818</v>
      </c>
      <c r="AB6114" s="8"/>
    </row>
    <row r="6115" spans="1:28" s="4" customFormat="1" ht="51.95" customHeight="1">
      <c r="A6115" s="5">
        <v>0</v>
      </c>
      <c r="B6115" s="6" t="s">
        <v>35698</v>
      </c>
      <c r="C6115" s="13">
        <v>1004.9</v>
      </c>
      <c r="D6115" s="8" t="s">
        <v>35699</v>
      </c>
      <c r="E6115" s="8" t="s">
        <v>35700</v>
      </c>
      <c r="F6115" s="8" t="s">
        <v>35695</v>
      </c>
      <c r="G6115" s="6" t="s">
        <v>52</v>
      </c>
      <c r="H6115" s="6" t="s">
        <v>77</v>
      </c>
      <c r="I6115" s="8"/>
      <c r="J6115" s="9">
        <v>1</v>
      </c>
      <c r="K6115" s="9">
        <v>296</v>
      </c>
      <c r="L6115" s="9">
        <v>2020</v>
      </c>
      <c r="M6115" s="8" t="s">
        <v>35701</v>
      </c>
      <c r="N6115" s="8" t="s">
        <v>41</v>
      </c>
      <c r="O6115" s="8" t="s">
        <v>1007</v>
      </c>
      <c r="P6115" s="6" t="s">
        <v>43</v>
      </c>
      <c r="Q6115" s="8" t="s">
        <v>44</v>
      </c>
      <c r="R6115" s="10" t="s">
        <v>35697</v>
      </c>
      <c r="S6115" s="11" t="s">
        <v>35702</v>
      </c>
      <c r="T6115" s="6"/>
      <c r="U6115" s="24" t="str">
        <f>HYPERLINK("https://media.infra-m.ru/1068/1068837/cover/1068837.jpg", "Обложка")</f>
        <v>Обложка</v>
      </c>
      <c r="V6115" s="24" t="str">
        <f>HYPERLINK("https://znanium.ru/catalog/product/2089374", "Ознакомиться")</f>
        <v>Ознакомиться</v>
      </c>
      <c r="W6115" s="8" t="s">
        <v>1313</v>
      </c>
      <c r="X6115" s="6"/>
      <c r="Y6115" s="6"/>
      <c r="Z6115" s="6"/>
      <c r="AA6115" s="6" t="s">
        <v>160</v>
      </c>
      <c r="AB6115" s="8"/>
    </row>
    <row r="6116" spans="1:28" s="4" customFormat="1" ht="51.95" customHeight="1">
      <c r="A6116" s="5">
        <v>0</v>
      </c>
      <c r="B6116" s="6" t="s">
        <v>35703</v>
      </c>
      <c r="C6116" s="7">
        <v>794</v>
      </c>
      <c r="D6116" s="8" t="s">
        <v>35704</v>
      </c>
      <c r="E6116" s="8" t="s">
        <v>35687</v>
      </c>
      <c r="F6116" s="8" t="s">
        <v>35688</v>
      </c>
      <c r="G6116" s="6" t="s">
        <v>89</v>
      </c>
      <c r="H6116" s="6" t="s">
        <v>53</v>
      </c>
      <c r="I6116" s="8" t="s">
        <v>100</v>
      </c>
      <c r="J6116" s="9">
        <v>1</v>
      </c>
      <c r="K6116" s="9">
        <v>172</v>
      </c>
      <c r="L6116" s="9">
        <v>2024</v>
      </c>
      <c r="M6116" s="8" t="s">
        <v>35705</v>
      </c>
      <c r="N6116" s="8" t="s">
        <v>41</v>
      </c>
      <c r="O6116" s="8" t="s">
        <v>1007</v>
      </c>
      <c r="P6116" s="6" t="s">
        <v>43</v>
      </c>
      <c r="Q6116" s="8" t="s">
        <v>102</v>
      </c>
      <c r="R6116" s="10" t="s">
        <v>35706</v>
      </c>
      <c r="S6116" s="11" t="s">
        <v>16067</v>
      </c>
      <c r="T6116" s="6"/>
      <c r="U6116" s="24" t="str">
        <f>HYPERLINK("https://media.infra-m.ru/2100/2100959/cover/2100959.jpg", "Обложка")</f>
        <v>Обложка</v>
      </c>
      <c r="V6116" s="24" t="str">
        <f>HYPERLINK("https://znanium.ru/catalog/product/2080756", "Ознакомиться")</f>
        <v>Ознакомиться</v>
      </c>
      <c r="W6116" s="8" t="s">
        <v>83</v>
      </c>
      <c r="X6116" s="6"/>
      <c r="Y6116" s="6"/>
      <c r="Z6116" s="6" t="s">
        <v>104</v>
      </c>
      <c r="AA6116" s="6" t="s">
        <v>793</v>
      </c>
      <c r="AB6116" s="8"/>
    </row>
    <row r="6117" spans="1:28" s="4" customFormat="1" ht="42" customHeight="1">
      <c r="A6117" s="5">
        <v>0</v>
      </c>
      <c r="B6117" s="6" t="s">
        <v>35707</v>
      </c>
      <c r="C6117" s="7">
        <v>744.9</v>
      </c>
      <c r="D6117" s="8" t="s">
        <v>35708</v>
      </c>
      <c r="E6117" s="8" t="s">
        <v>35709</v>
      </c>
      <c r="F6117" s="8" t="s">
        <v>35710</v>
      </c>
      <c r="G6117" s="6" t="s">
        <v>52</v>
      </c>
      <c r="H6117" s="6" t="s">
        <v>184</v>
      </c>
      <c r="I6117" s="8" t="s">
        <v>185</v>
      </c>
      <c r="J6117" s="9">
        <v>1</v>
      </c>
      <c r="K6117" s="9">
        <v>219</v>
      </c>
      <c r="L6117" s="9">
        <v>2020</v>
      </c>
      <c r="M6117" s="8" t="s">
        <v>35711</v>
      </c>
      <c r="N6117" s="8" t="s">
        <v>41</v>
      </c>
      <c r="O6117" s="8" t="s">
        <v>1007</v>
      </c>
      <c r="P6117" s="6" t="s">
        <v>43</v>
      </c>
      <c r="Q6117" s="8" t="s">
        <v>44</v>
      </c>
      <c r="R6117" s="10" t="s">
        <v>2461</v>
      </c>
      <c r="S6117" s="11"/>
      <c r="T6117" s="6"/>
      <c r="U6117" s="24" t="str">
        <f>HYPERLINK("https://media.infra-m.ru/1045/1045776/cover/1045776.jpg", "Обложка")</f>
        <v>Обложка</v>
      </c>
      <c r="V6117" s="24" t="str">
        <f>HYPERLINK("https://znanium.ru/catalog/product/1045776", "Ознакомиться")</f>
        <v>Ознакомиться</v>
      </c>
      <c r="W6117" s="8" t="s">
        <v>1151</v>
      </c>
      <c r="X6117" s="6"/>
      <c r="Y6117" s="6"/>
      <c r="Z6117" s="6"/>
      <c r="AA6117" s="6" t="s">
        <v>442</v>
      </c>
      <c r="AB6117" s="8"/>
    </row>
    <row r="6118" spans="1:28" s="4" customFormat="1" ht="42" customHeight="1">
      <c r="A6118" s="5">
        <v>0</v>
      </c>
      <c r="B6118" s="6" t="s">
        <v>35712</v>
      </c>
      <c r="C6118" s="13">
        <v>1490</v>
      </c>
      <c r="D6118" s="8" t="s">
        <v>35713</v>
      </c>
      <c r="E6118" s="8" t="s">
        <v>35714</v>
      </c>
      <c r="F6118" s="8" t="s">
        <v>3370</v>
      </c>
      <c r="G6118" s="6" t="s">
        <v>38</v>
      </c>
      <c r="H6118" s="6" t="s">
        <v>184</v>
      </c>
      <c r="I6118" s="8" t="s">
        <v>90</v>
      </c>
      <c r="J6118" s="9">
        <v>1</v>
      </c>
      <c r="K6118" s="9">
        <v>286</v>
      </c>
      <c r="L6118" s="9">
        <v>2025</v>
      </c>
      <c r="M6118" s="8" t="s">
        <v>35715</v>
      </c>
      <c r="N6118" s="8" t="s">
        <v>41</v>
      </c>
      <c r="O6118" s="8" t="s">
        <v>1007</v>
      </c>
      <c r="P6118" s="6" t="s">
        <v>43</v>
      </c>
      <c r="Q6118" s="8" t="s">
        <v>44</v>
      </c>
      <c r="R6118" s="10" t="s">
        <v>35716</v>
      </c>
      <c r="S6118" s="11"/>
      <c r="T6118" s="6"/>
      <c r="U6118" s="24" t="str">
        <f>HYPERLINK("https://media.infra-m.ru/2194/2194989/cover/2194989.jpg", "Обложка")</f>
        <v>Обложка</v>
      </c>
      <c r="V6118" s="24" t="str">
        <f>HYPERLINK("https://znanium.ru/catalog/product/2194989", "Ознакомиться")</f>
        <v>Ознакомиться</v>
      </c>
      <c r="W6118" s="8"/>
      <c r="X6118" s="6"/>
      <c r="Y6118" s="6"/>
      <c r="Z6118" s="6"/>
      <c r="AA6118" s="6" t="s">
        <v>84</v>
      </c>
      <c r="AB6118" s="8"/>
    </row>
    <row r="6119" spans="1:28" s="4" customFormat="1" ht="42" customHeight="1">
      <c r="A6119" s="5">
        <v>0</v>
      </c>
      <c r="B6119" s="6" t="s">
        <v>35717</v>
      </c>
      <c r="C6119" s="13">
        <v>1410</v>
      </c>
      <c r="D6119" s="8" t="s">
        <v>35718</v>
      </c>
      <c r="E6119" s="8" t="s">
        <v>35709</v>
      </c>
      <c r="F6119" s="8" t="s">
        <v>35719</v>
      </c>
      <c r="G6119" s="6" t="s">
        <v>52</v>
      </c>
      <c r="H6119" s="6" t="s">
        <v>184</v>
      </c>
      <c r="I6119" s="8" t="s">
        <v>185</v>
      </c>
      <c r="J6119" s="9">
        <v>1</v>
      </c>
      <c r="K6119" s="9">
        <v>439</v>
      </c>
      <c r="L6119" s="9">
        <v>2019</v>
      </c>
      <c r="M6119" s="8" t="s">
        <v>35720</v>
      </c>
      <c r="N6119" s="8" t="s">
        <v>41</v>
      </c>
      <c r="O6119" s="8" t="s">
        <v>1007</v>
      </c>
      <c r="P6119" s="6" t="s">
        <v>167</v>
      </c>
      <c r="Q6119" s="8" t="s">
        <v>44</v>
      </c>
      <c r="R6119" s="10" t="s">
        <v>4242</v>
      </c>
      <c r="S6119" s="11"/>
      <c r="T6119" s="6"/>
      <c r="U6119" s="24" t="str">
        <f>HYPERLINK("https://media.infra-m.ru/0990/0990330/cover/990330.jpg", "Обложка")</f>
        <v>Обложка</v>
      </c>
      <c r="V6119" s="24" t="str">
        <f>HYPERLINK("https://znanium.ru/catalog/product/990330", "Ознакомиться")</f>
        <v>Ознакомиться</v>
      </c>
      <c r="W6119" s="8" t="s">
        <v>3570</v>
      </c>
      <c r="X6119" s="6"/>
      <c r="Y6119" s="6"/>
      <c r="Z6119" s="6"/>
      <c r="AA6119" s="6" t="s">
        <v>151</v>
      </c>
      <c r="AB6119" s="8" t="s">
        <v>840</v>
      </c>
    </row>
    <row r="6120" spans="1:28" s="4" customFormat="1" ht="51.95" customHeight="1">
      <c r="A6120" s="5">
        <v>0</v>
      </c>
      <c r="B6120" s="6" t="s">
        <v>35721</v>
      </c>
      <c r="C6120" s="13">
        <v>1299.9000000000001</v>
      </c>
      <c r="D6120" s="8" t="s">
        <v>35722</v>
      </c>
      <c r="E6120" s="8" t="s">
        <v>35723</v>
      </c>
      <c r="F6120" s="8" t="s">
        <v>1333</v>
      </c>
      <c r="G6120" s="6" t="s">
        <v>52</v>
      </c>
      <c r="H6120" s="6" t="s">
        <v>53</v>
      </c>
      <c r="I6120" s="8" t="s">
        <v>90</v>
      </c>
      <c r="J6120" s="9">
        <v>1</v>
      </c>
      <c r="K6120" s="9">
        <v>649</v>
      </c>
      <c r="L6120" s="9">
        <v>2018</v>
      </c>
      <c r="M6120" s="8" t="s">
        <v>35724</v>
      </c>
      <c r="N6120" s="8" t="s">
        <v>41</v>
      </c>
      <c r="O6120" s="8" t="s">
        <v>1007</v>
      </c>
      <c r="P6120" s="6" t="s">
        <v>167</v>
      </c>
      <c r="Q6120" s="8" t="s">
        <v>44</v>
      </c>
      <c r="R6120" s="10" t="s">
        <v>1216</v>
      </c>
      <c r="S6120" s="11" t="s">
        <v>35725</v>
      </c>
      <c r="T6120" s="6"/>
      <c r="U6120" s="24" t="str">
        <f>HYPERLINK("https://media.infra-m.ru/0939/0939010/cover/939010.jpg", "Обложка")</f>
        <v>Обложка</v>
      </c>
      <c r="V6120" s="24" t="str">
        <f>HYPERLINK("https://znanium.ru/catalog/product/2158137", "Ознакомиться")</f>
        <v>Ознакомиться</v>
      </c>
      <c r="W6120" s="8" t="s">
        <v>71</v>
      </c>
      <c r="X6120" s="6"/>
      <c r="Y6120" s="6"/>
      <c r="Z6120" s="6"/>
      <c r="AA6120" s="6" t="s">
        <v>35726</v>
      </c>
      <c r="AB6120" s="8"/>
    </row>
    <row r="6121" spans="1:28" s="4" customFormat="1" ht="51.95" customHeight="1">
      <c r="A6121" s="5">
        <v>0</v>
      </c>
      <c r="B6121" s="6" t="s">
        <v>35727</v>
      </c>
      <c r="C6121" s="13">
        <v>2934</v>
      </c>
      <c r="D6121" s="8" t="s">
        <v>35728</v>
      </c>
      <c r="E6121" s="8" t="s">
        <v>35729</v>
      </c>
      <c r="F6121" s="8" t="s">
        <v>1333</v>
      </c>
      <c r="G6121" s="6" t="s">
        <v>52</v>
      </c>
      <c r="H6121" s="6" t="s">
        <v>53</v>
      </c>
      <c r="I6121" s="8" t="s">
        <v>127</v>
      </c>
      <c r="J6121" s="9">
        <v>1</v>
      </c>
      <c r="K6121" s="9">
        <v>587</v>
      </c>
      <c r="L6121" s="9">
        <v>2025</v>
      </c>
      <c r="M6121" s="8" t="s">
        <v>35730</v>
      </c>
      <c r="N6121" s="8" t="s">
        <v>41</v>
      </c>
      <c r="O6121" s="8" t="s">
        <v>1007</v>
      </c>
      <c r="P6121" s="6" t="s">
        <v>167</v>
      </c>
      <c r="Q6121" s="8" t="s">
        <v>44</v>
      </c>
      <c r="R6121" s="10" t="s">
        <v>1216</v>
      </c>
      <c r="S6121" s="11" t="s">
        <v>35725</v>
      </c>
      <c r="T6121" s="6"/>
      <c r="U6121" s="24" t="str">
        <f>HYPERLINK("https://media.infra-m.ru/2163/2163873/cover/2163873.jpg", "Обложка")</f>
        <v>Обложка</v>
      </c>
      <c r="V6121" s="24" t="str">
        <f>HYPERLINK("https://znanium.ru/catalog/product/2158137", "Ознакомиться")</f>
        <v>Ознакомиться</v>
      </c>
      <c r="W6121" s="8" t="s">
        <v>71</v>
      </c>
      <c r="X6121" s="6"/>
      <c r="Y6121" s="6"/>
      <c r="Z6121" s="6"/>
      <c r="AA6121" s="6" t="s">
        <v>35731</v>
      </c>
      <c r="AB6121" s="8"/>
    </row>
    <row r="6122" spans="1:28" s="4" customFormat="1" ht="51.95" customHeight="1">
      <c r="A6122" s="5">
        <v>0</v>
      </c>
      <c r="B6122" s="6" t="s">
        <v>35732</v>
      </c>
      <c r="C6122" s="13">
        <v>1030</v>
      </c>
      <c r="D6122" s="8" t="s">
        <v>35733</v>
      </c>
      <c r="E6122" s="8" t="s">
        <v>35709</v>
      </c>
      <c r="F6122" s="8" t="s">
        <v>1222</v>
      </c>
      <c r="G6122" s="6" t="s">
        <v>52</v>
      </c>
      <c r="H6122" s="6" t="s">
        <v>53</v>
      </c>
      <c r="I6122" s="8" t="s">
        <v>223</v>
      </c>
      <c r="J6122" s="9">
        <v>1</v>
      </c>
      <c r="K6122" s="9">
        <v>245</v>
      </c>
      <c r="L6122" s="9">
        <v>2022</v>
      </c>
      <c r="M6122" s="8" t="s">
        <v>35734</v>
      </c>
      <c r="N6122" s="8" t="s">
        <v>41</v>
      </c>
      <c r="O6122" s="8" t="s">
        <v>1007</v>
      </c>
      <c r="P6122" s="6" t="s">
        <v>167</v>
      </c>
      <c r="Q6122" s="8" t="s">
        <v>102</v>
      </c>
      <c r="R6122" s="10" t="s">
        <v>35735</v>
      </c>
      <c r="S6122" s="11" t="s">
        <v>35736</v>
      </c>
      <c r="T6122" s="6"/>
      <c r="U6122" s="24" t="str">
        <f>HYPERLINK("https://media.infra-m.ru/1417/1417072/cover/1417072.jpg", "Обложка")</f>
        <v>Обложка</v>
      </c>
      <c r="V6122" s="24" t="str">
        <f>HYPERLINK("https://znanium.ru/catalog/product/1417072", "Ознакомиться")</f>
        <v>Ознакомиться</v>
      </c>
      <c r="W6122" s="8" t="s">
        <v>83</v>
      </c>
      <c r="X6122" s="6"/>
      <c r="Y6122" s="6"/>
      <c r="Z6122" s="6"/>
      <c r="AA6122" s="6" t="s">
        <v>235</v>
      </c>
      <c r="AB6122" s="8"/>
    </row>
    <row r="6123" spans="1:28" s="4" customFormat="1" ht="51.95" customHeight="1">
      <c r="A6123" s="5">
        <v>0</v>
      </c>
      <c r="B6123" s="6" t="s">
        <v>35737</v>
      </c>
      <c r="C6123" s="13">
        <v>1784</v>
      </c>
      <c r="D6123" s="8" t="s">
        <v>35738</v>
      </c>
      <c r="E6123" s="8" t="s">
        <v>35709</v>
      </c>
      <c r="F6123" s="8" t="s">
        <v>12793</v>
      </c>
      <c r="G6123" s="6" t="s">
        <v>52</v>
      </c>
      <c r="H6123" s="6" t="s">
        <v>66</v>
      </c>
      <c r="I6123" s="8" t="s">
        <v>116</v>
      </c>
      <c r="J6123" s="9">
        <v>1</v>
      </c>
      <c r="K6123" s="9">
        <v>343</v>
      </c>
      <c r="L6123" s="9">
        <v>2025</v>
      </c>
      <c r="M6123" s="8" t="s">
        <v>35739</v>
      </c>
      <c r="N6123" s="8" t="s">
        <v>41</v>
      </c>
      <c r="O6123" s="8" t="s">
        <v>1007</v>
      </c>
      <c r="P6123" s="6" t="s">
        <v>167</v>
      </c>
      <c r="Q6123" s="8" t="s">
        <v>44</v>
      </c>
      <c r="R6123" s="10" t="s">
        <v>1278</v>
      </c>
      <c r="S6123" s="11" t="s">
        <v>35740</v>
      </c>
      <c r="T6123" s="6"/>
      <c r="U6123" s="24" t="str">
        <f>HYPERLINK("https://media.infra-m.ru/2193/2193219/cover/2193219.jpg", "Обложка")</f>
        <v>Обложка</v>
      </c>
      <c r="V6123" s="24" t="str">
        <f>HYPERLINK("https://znanium.ru/catalog/product/1841435", "Ознакомиться")</f>
        <v>Ознакомиться</v>
      </c>
      <c r="W6123" s="8" t="s">
        <v>189</v>
      </c>
      <c r="X6123" s="6"/>
      <c r="Y6123" s="6"/>
      <c r="Z6123" s="6"/>
      <c r="AA6123" s="6" t="s">
        <v>72</v>
      </c>
      <c r="AB6123" s="8"/>
    </row>
    <row r="6124" spans="1:28" s="4" customFormat="1" ht="51.95" customHeight="1">
      <c r="A6124" s="5">
        <v>0</v>
      </c>
      <c r="B6124" s="6" t="s">
        <v>35741</v>
      </c>
      <c r="C6124" s="13">
        <v>1620</v>
      </c>
      <c r="D6124" s="8" t="s">
        <v>35742</v>
      </c>
      <c r="E6124" s="8" t="s">
        <v>35709</v>
      </c>
      <c r="F6124" s="8" t="s">
        <v>35743</v>
      </c>
      <c r="G6124" s="6" t="s">
        <v>89</v>
      </c>
      <c r="H6124" s="6" t="s">
        <v>53</v>
      </c>
      <c r="I6124" s="8" t="s">
        <v>116</v>
      </c>
      <c r="J6124" s="9">
        <v>1</v>
      </c>
      <c r="K6124" s="9">
        <v>324</v>
      </c>
      <c r="L6124" s="9">
        <v>2024</v>
      </c>
      <c r="M6124" s="8" t="s">
        <v>35744</v>
      </c>
      <c r="N6124" s="8" t="s">
        <v>41</v>
      </c>
      <c r="O6124" s="8" t="s">
        <v>1007</v>
      </c>
      <c r="P6124" s="6" t="s">
        <v>167</v>
      </c>
      <c r="Q6124" s="8" t="s">
        <v>44</v>
      </c>
      <c r="R6124" s="10" t="s">
        <v>1413</v>
      </c>
      <c r="S6124" s="11" t="s">
        <v>3878</v>
      </c>
      <c r="T6124" s="6"/>
      <c r="U6124" s="24" t="str">
        <f>HYPERLINK("https://media.infra-m.ru/2158/2158136/cover/2158136.jpg", "Обложка")</f>
        <v>Обложка</v>
      </c>
      <c r="V6124" s="24" t="str">
        <f>HYPERLINK("https://znanium.ru/catalog/product/2158136", "Ознакомиться")</f>
        <v>Ознакомиться</v>
      </c>
      <c r="W6124" s="8" t="s">
        <v>189</v>
      </c>
      <c r="X6124" s="6"/>
      <c r="Y6124" s="6"/>
      <c r="Z6124" s="6"/>
      <c r="AA6124" s="6" t="s">
        <v>219</v>
      </c>
      <c r="AB6124" s="8"/>
    </row>
    <row r="6125" spans="1:28" s="4" customFormat="1" ht="51.95" customHeight="1">
      <c r="A6125" s="5">
        <v>0</v>
      </c>
      <c r="B6125" s="6" t="s">
        <v>35745</v>
      </c>
      <c r="C6125" s="13">
        <v>1994</v>
      </c>
      <c r="D6125" s="8" t="s">
        <v>35746</v>
      </c>
      <c r="E6125" s="8" t="s">
        <v>35709</v>
      </c>
      <c r="F6125" s="8" t="s">
        <v>35747</v>
      </c>
      <c r="G6125" s="6" t="s">
        <v>52</v>
      </c>
      <c r="H6125" s="6" t="s">
        <v>952</v>
      </c>
      <c r="I6125" s="8"/>
      <c r="J6125" s="9">
        <v>1</v>
      </c>
      <c r="K6125" s="9">
        <v>624</v>
      </c>
      <c r="L6125" s="9">
        <v>2023</v>
      </c>
      <c r="M6125" s="8" t="s">
        <v>35748</v>
      </c>
      <c r="N6125" s="8" t="s">
        <v>41</v>
      </c>
      <c r="O6125" s="8" t="s">
        <v>1007</v>
      </c>
      <c r="P6125" s="6" t="s">
        <v>43</v>
      </c>
      <c r="Q6125" s="8" t="s">
        <v>58</v>
      </c>
      <c r="R6125" s="10" t="s">
        <v>2461</v>
      </c>
      <c r="S6125" s="11" t="s">
        <v>6234</v>
      </c>
      <c r="T6125" s="6"/>
      <c r="U6125" s="24" t="str">
        <f>HYPERLINK("https://media.infra-m.ru/2039/2039897/cover/2039897.jpg", "Обложка")</f>
        <v>Обложка</v>
      </c>
      <c r="V6125" s="24" t="str">
        <f>HYPERLINK("https://znanium.ru/catalog/product/2039897", "Ознакомиться")</f>
        <v>Ознакомиться</v>
      </c>
      <c r="W6125" s="8" t="s">
        <v>189</v>
      </c>
      <c r="X6125" s="6"/>
      <c r="Y6125" s="6"/>
      <c r="Z6125" s="6"/>
      <c r="AA6125" s="6" t="s">
        <v>72</v>
      </c>
      <c r="AB6125" s="8"/>
    </row>
    <row r="6126" spans="1:28" s="4" customFormat="1" ht="51.95" customHeight="1">
      <c r="A6126" s="5">
        <v>0</v>
      </c>
      <c r="B6126" s="6" t="s">
        <v>35749</v>
      </c>
      <c r="C6126" s="7">
        <v>864.9</v>
      </c>
      <c r="D6126" s="8" t="s">
        <v>35750</v>
      </c>
      <c r="E6126" s="8" t="s">
        <v>35709</v>
      </c>
      <c r="F6126" s="8" t="s">
        <v>35751</v>
      </c>
      <c r="G6126" s="6" t="s">
        <v>52</v>
      </c>
      <c r="H6126" s="6" t="s">
        <v>53</v>
      </c>
      <c r="I6126" s="8" t="s">
        <v>90</v>
      </c>
      <c r="J6126" s="9">
        <v>1</v>
      </c>
      <c r="K6126" s="9">
        <v>192</v>
      </c>
      <c r="L6126" s="9">
        <v>2023</v>
      </c>
      <c r="M6126" s="8" t="s">
        <v>35752</v>
      </c>
      <c r="N6126" s="8" t="s">
        <v>41</v>
      </c>
      <c r="O6126" s="8" t="s">
        <v>1007</v>
      </c>
      <c r="P6126" s="6" t="s">
        <v>43</v>
      </c>
      <c r="Q6126" s="8" t="s">
        <v>44</v>
      </c>
      <c r="R6126" s="10" t="s">
        <v>6765</v>
      </c>
      <c r="S6126" s="11" t="s">
        <v>35753</v>
      </c>
      <c r="T6126" s="6"/>
      <c r="U6126" s="24" t="str">
        <f>HYPERLINK("https://media.infra-m.ru/1981/1981714/cover/1981714.jpg", "Обложка")</f>
        <v>Обложка</v>
      </c>
      <c r="V6126" s="24" t="str">
        <f>HYPERLINK("https://znanium.ru/catalog/product/1981714", "Ознакомиться")</f>
        <v>Ознакомиться</v>
      </c>
      <c r="W6126" s="8" t="s">
        <v>784</v>
      </c>
      <c r="X6126" s="6"/>
      <c r="Y6126" s="6"/>
      <c r="Z6126" s="6"/>
      <c r="AA6126" s="6" t="s">
        <v>47</v>
      </c>
      <c r="AB6126" s="8"/>
    </row>
    <row r="6127" spans="1:28" s="4" customFormat="1" ht="51.95" customHeight="1">
      <c r="A6127" s="5">
        <v>0</v>
      </c>
      <c r="B6127" s="6" t="s">
        <v>35754</v>
      </c>
      <c r="C6127" s="7">
        <v>824</v>
      </c>
      <c r="D6127" s="8" t="s">
        <v>35755</v>
      </c>
      <c r="E6127" s="8" t="s">
        <v>35709</v>
      </c>
      <c r="F6127" s="8" t="s">
        <v>33689</v>
      </c>
      <c r="G6127" s="6" t="s">
        <v>52</v>
      </c>
      <c r="H6127" s="6" t="s">
        <v>53</v>
      </c>
      <c r="I6127" s="8" t="s">
        <v>90</v>
      </c>
      <c r="J6127" s="9">
        <v>1</v>
      </c>
      <c r="K6127" s="9">
        <v>158</v>
      </c>
      <c r="L6127" s="9">
        <v>2025</v>
      </c>
      <c r="M6127" s="8" t="s">
        <v>35756</v>
      </c>
      <c r="N6127" s="8" t="s">
        <v>41</v>
      </c>
      <c r="O6127" s="8" t="s">
        <v>1007</v>
      </c>
      <c r="P6127" s="6" t="s">
        <v>43</v>
      </c>
      <c r="Q6127" s="8" t="s">
        <v>44</v>
      </c>
      <c r="R6127" s="10" t="s">
        <v>157</v>
      </c>
      <c r="S6127" s="11" t="s">
        <v>35757</v>
      </c>
      <c r="T6127" s="6"/>
      <c r="U6127" s="24" t="str">
        <f>HYPERLINK("https://media.infra-m.ru/2152/2152066/cover/2152066.jpg", "Обложка")</f>
        <v>Обложка</v>
      </c>
      <c r="V6127" s="24" t="str">
        <f>HYPERLINK("https://znanium.ru/catalog/product/1850666", "Ознакомиться")</f>
        <v>Ознакомиться</v>
      </c>
      <c r="W6127" s="8" t="s">
        <v>83</v>
      </c>
      <c r="X6127" s="6"/>
      <c r="Y6127" s="6"/>
      <c r="Z6127" s="6"/>
      <c r="AA6127" s="6" t="s">
        <v>84</v>
      </c>
      <c r="AB6127" s="8"/>
    </row>
    <row r="6128" spans="1:28" s="4" customFormat="1" ht="51.95" customHeight="1">
      <c r="A6128" s="5">
        <v>0</v>
      </c>
      <c r="B6128" s="6" t="s">
        <v>35758</v>
      </c>
      <c r="C6128" s="13">
        <v>1324</v>
      </c>
      <c r="D6128" s="8" t="s">
        <v>35759</v>
      </c>
      <c r="E6128" s="8" t="s">
        <v>35709</v>
      </c>
      <c r="F6128" s="8" t="s">
        <v>35760</v>
      </c>
      <c r="G6128" s="6" t="s">
        <v>52</v>
      </c>
      <c r="H6128" s="6" t="s">
        <v>66</v>
      </c>
      <c r="I6128" s="8" t="s">
        <v>116</v>
      </c>
      <c r="J6128" s="9">
        <v>1</v>
      </c>
      <c r="K6128" s="9">
        <v>288</v>
      </c>
      <c r="L6128" s="9">
        <v>2024</v>
      </c>
      <c r="M6128" s="8" t="s">
        <v>35761</v>
      </c>
      <c r="N6128" s="8" t="s">
        <v>41</v>
      </c>
      <c r="O6128" s="8" t="s">
        <v>1007</v>
      </c>
      <c r="P6128" s="6" t="s">
        <v>43</v>
      </c>
      <c r="Q6128" s="8" t="s">
        <v>44</v>
      </c>
      <c r="R6128" s="10" t="s">
        <v>2684</v>
      </c>
      <c r="S6128" s="11" t="s">
        <v>35762</v>
      </c>
      <c r="T6128" s="6"/>
      <c r="U6128" s="24" t="str">
        <f>HYPERLINK("https://media.infra-m.ru/2078/2078404/cover/2078404.jpg", "Обложка")</f>
        <v>Обложка</v>
      </c>
      <c r="V6128" s="24" t="str">
        <f>HYPERLINK("https://znanium.ru/catalog/product/2078404", "Ознакомиться")</f>
        <v>Ознакомиться</v>
      </c>
      <c r="W6128" s="8" t="s">
        <v>12269</v>
      </c>
      <c r="X6128" s="6"/>
      <c r="Y6128" s="6"/>
      <c r="Z6128" s="6"/>
      <c r="AA6128" s="6" t="s">
        <v>622</v>
      </c>
      <c r="AB6128" s="8"/>
    </row>
    <row r="6129" spans="1:28" s="4" customFormat="1" ht="51.95" customHeight="1">
      <c r="A6129" s="5">
        <v>0</v>
      </c>
      <c r="B6129" s="6" t="s">
        <v>35763</v>
      </c>
      <c r="C6129" s="7">
        <v>804.9</v>
      </c>
      <c r="D6129" s="8" t="s">
        <v>35764</v>
      </c>
      <c r="E6129" s="8" t="s">
        <v>35709</v>
      </c>
      <c r="F6129" s="8" t="s">
        <v>12287</v>
      </c>
      <c r="G6129" s="6" t="s">
        <v>52</v>
      </c>
      <c r="H6129" s="6" t="s">
        <v>53</v>
      </c>
      <c r="I6129" s="8" t="s">
        <v>90</v>
      </c>
      <c r="J6129" s="9">
        <v>1</v>
      </c>
      <c r="K6129" s="9">
        <v>179</v>
      </c>
      <c r="L6129" s="9">
        <v>2023</v>
      </c>
      <c r="M6129" s="8" t="s">
        <v>35765</v>
      </c>
      <c r="N6129" s="8" t="s">
        <v>41</v>
      </c>
      <c r="O6129" s="8" t="s">
        <v>1007</v>
      </c>
      <c r="P6129" s="6" t="s">
        <v>43</v>
      </c>
      <c r="Q6129" s="8" t="s">
        <v>44</v>
      </c>
      <c r="R6129" s="10" t="s">
        <v>157</v>
      </c>
      <c r="S6129" s="11" t="s">
        <v>35766</v>
      </c>
      <c r="T6129" s="6"/>
      <c r="U6129" s="24" t="str">
        <f>HYPERLINK("https://media.infra-m.ru/1900/1900854/cover/1900854.jpg", "Обложка")</f>
        <v>Обложка</v>
      </c>
      <c r="V6129" s="24" t="str">
        <f>HYPERLINK("https://znanium.ru/catalog/product/1900854", "Ознакомиться")</f>
        <v>Ознакомиться</v>
      </c>
      <c r="W6129" s="8" t="s">
        <v>12269</v>
      </c>
      <c r="X6129" s="6"/>
      <c r="Y6129" s="6"/>
      <c r="Z6129" s="6"/>
      <c r="AA6129" s="6" t="s">
        <v>418</v>
      </c>
      <c r="AB6129" s="8"/>
    </row>
    <row r="6130" spans="1:28" s="4" customFormat="1" ht="51.95" customHeight="1">
      <c r="A6130" s="5">
        <v>0</v>
      </c>
      <c r="B6130" s="6" t="s">
        <v>35767</v>
      </c>
      <c r="C6130" s="7">
        <v>474.9</v>
      </c>
      <c r="D6130" s="8" t="s">
        <v>35768</v>
      </c>
      <c r="E6130" s="8" t="s">
        <v>35709</v>
      </c>
      <c r="F6130" s="8" t="s">
        <v>35769</v>
      </c>
      <c r="G6130" s="6" t="s">
        <v>38</v>
      </c>
      <c r="H6130" s="6" t="s">
        <v>53</v>
      </c>
      <c r="I6130" s="8" t="s">
        <v>90</v>
      </c>
      <c r="J6130" s="9">
        <v>1</v>
      </c>
      <c r="K6130" s="9">
        <v>157</v>
      </c>
      <c r="L6130" s="9">
        <v>2019</v>
      </c>
      <c r="M6130" s="8" t="s">
        <v>35770</v>
      </c>
      <c r="N6130" s="8" t="s">
        <v>41</v>
      </c>
      <c r="O6130" s="8" t="s">
        <v>1007</v>
      </c>
      <c r="P6130" s="6" t="s">
        <v>43</v>
      </c>
      <c r="Q6130" s="8" t="s">
        <v>44</v>
      </c>
      <c r="R6130" s="10" t="s">
        <v>157</v>
      </c>
      <c r="S6130" s="11" t="s">
        <v>35771</v>
      </c>
      <c r="T6130" s="6"/>
      <c r="U6130" s="24" t="str">
        <f>HYPERLINK("https://media.infra-m.ru/1010/1010107/cover/1010107.jpg", "Обложка")</f>
        <v>Обложка</v>
      </c>
      <c r="V6130" s="24" t="str">
        <f>HYPERLINK("https://znanium.ru/catalog/product/2045825", "Ознакомиться")</f>
        <v>Ознакомиться</v>
      </c>
      <c r="W6130" s="8" t="s">
        <v>189</v>
      </c>
      <c r="X6130" s="6"/>
      <c r="Y6130" s="6"/>
      <c r="Z6130" s="6"/>
      <c r="AA6130" s="6" t="s">
        <v>47</v>
      </c>
      <c r="AB6130" s="8"/>
    </row>
    <row r="6131" spans="1:28" s="4" customFormat="1" ht="42" customHeight="1">
      <c r="A6131" s="5">
        <v>0</v>
      </c>
      <c r="B6131" s="6" t="s">
        <v>35772</v>
      </c>
      <c r="C6131" s="13">
        <v>1344</v>
      </c>
      <c r="D6131" s="8" t="s">
        <v>35773</v>
      </c>
      <c r="E6131" s="8" t="s">
        <v>35774</v>
      </c>
      <c r="F6131" s="8" t="s">
        <v>35775</v>
      </c>
      <c r="G6131" s="6" t="s">
        <v>52</v>
      </c>
      <c r="H6131" s="6" t="s">
        <v>53</v>
      </c>
      <c r="I6131" s="8" t="s">
        <v>90</v>
      </c>
      <c r="J6131" s="9">
        <v>1</v>
      </c>
      <c r="K6131" s="9">
        <v>293</v>
      </c>
      <c r="L6131" s="9">
        <v>2024</v>
      </c>
      <c r="M6131" s="8" t="s">
        <v>35776</v>
      </c>
      <c r="N6131" s="8" t="s">
        <v>41</v>
      </c>
      <c r="O6131" s="8" t="s">
        <v>1007</v>
      </c>
      <c r="P6131" s="6" t="s">
        <v>43</v>
      </c>
      <c r="Q6131" s="8" t="s">
        <v>44</v>
      </c>
      <c r="R6131" s="10" t="s">
        <v>2461</v>
      </c>
      <c r="S6131" s="11"/>
      <c r="T6131" s="6"/>
      <c r="U6131" s="24" t="str">
        <f>HYPERLINK("https://media.infra-m.ru/2085/2085111/cover/2085111.jpg", "Обложка")</f>
        <v>Обложка</v>
      </c>
      <c r="V6131" s="24" t="str">
        <f>HYPERLINK("https://znanium.ru/catalog/product/2085111", "Ознакомиться")</f>
        <v>Ознакомиться</v>
      </c>
      <c r="W6131" s="8" t="s">
        <v>3605</v>
      </c>
      <c r="X6131" s="6"/>
      <c r="Y6131" s="6"/>
      <c r="Z6131" s="6"/>
      <c r="AA6131" s="6" t="s">
        <v>47</v>
      </c>
      <c r="AB6131" s="8"/>
    </row>
    <row r="6132" spans="1:28" s="4" customFormat="1" ht="51.95" customHeight="1">
      <c r="A6132" s="5">
        <v>0</v>
      </c>
      <c r="B6132" s="6" t="s">
        <v>35777</v>
      </c>
      <c r="C6132" s="13">
        <v>1260</v>
      </c>
      <c r="D6132" s="8" t="s">
        <v>35778</v>
      </c>
      <c r="E6132" s="8" t="s">
        <v>35779</v>
      </c>
      <c r="F6132" s="8" t="s">
        <v>35780</v>
      </c>
      <c r="G6132" s="6" t="s">
        <v>52</v>
      </c>
      <c r="H6132" s="6" t="s">
        <v>53</v>
      </c>
      <c r="I6132" s="8" t="s">
        <v>2511</v>
      </c>
      <c r="J6132" s="9">
        <v>1</v>
      </c>
      <c r="K6132" s="9">
        <v>251</v>
      </c>
      <c r="L6132" s="9">
        <v>2024</v>
      </c>
      <c r="M6132" s="8" t="s">
        <v>35781</v>
      </c>
      <c r="N6132" s="8" t="s">
        <v>41</v>
      </c>
      <c r="O6132" s="8" t="s">
        <v>1007</v>
      </c>
      <c r="P6132" s="6" t="s">
        <v>1046</v>
      </c>
      <c r="Q6132" s="8" t="s">
        <v>1047</v>
      </c>
      <c r="R6132" s="10" t="s">
        <v>35782</v>
      </c>
      <c r="S6132" s="11"/>
      <c r="T6132" s="6"/>
      <c r="U6132" s="24" t="str">
        <f>HYPERLINK("https://media.infra-m.ru/2167/2167514/cover/2167514.jpg", "Обложка")</f>
        <v>Обложка</v>
      </c>
      <c r="V6132" s="24" t="str">
        <f>HYPERLINK("https://znanium.ru/catalog/product/2167514", "Ознакомиться")</f>
        <v>Ознакомиться</v>
      </c>
      <c r="W6132" s="8" t="s">
        <v>792</v>
      </c>
      <c r="X6132" s="6" t="s">
        <v>785</v>
      </c>
      <c r="Y6132" s="6"/>
      <c r="Z6132" s="6"/>
      <c r="AA6132" s="6" t="s">
        <v>133</v>
      </c>
      <c r="AB6132" s="8"/>
    </row>
    <row r="6133" spans="1:28" s="4" customFormat="1" ht="51.95" customHeight="1">
      <c r="A6133" s="5">
        <v>0</v>
      </c>
      <c r="B6133" s="6" t="s">
        <v>35783</v>
      </c>
      <c r="C6133" s="7">
        <v>660</v>
      </c>
      <c r="D6133" s="8" t="s">
        <v>35784</v>
      </c>
      <c r="E6133" s="8" t="s">
        <v>35785</v>
      </c>
      <c r="F6133" s="8" t="s">
        <v>35786</v>
      </c>
      <c r="G6133" s="6" t="s">
        <v>38</v>
      </c>
      <c r="H6133" s="6" t="s">
        <v>53</v>
      </c>
      <c r="I6133" s="8" t="s">
        <v>90</v>
      </c>
      <c r="J6133" s="9">
        <v>1</v>
      </c>
      <c r="K6133" s="9">
        <v>143</v>
      </c>
      <c r="L6133" s="9">
        <v>2024</v>
      </c>
      <c r="M6133" s="8" t="s">
        <v>35787</v>
      </c>
      <c r="N6133" s="8" t="s">
        <v>41</v>
      </c>
      <c r="O6133" s="8" t="s">
        <v>1007</v>
      </c>
      <c r="P6133" s="6" t="s">
        <v>43</v>
      </c>
      <c r="Q6133" s="8" t="s">
        <v>44</v>
      </c>
      <c r="R6133" s="10" t="s">
        <v>35788</v>
      </c>
      <c r="S6133" s="11" t="s">
        <v>35789</v>
      </c>
      <c r="T6133" s="6"/>
      <c r="U6133" s="24" t="str">
        <f>HYPERLINK("https://media.infra-m.ru/2125/2125656/cover/2125656.jpg", "Обложка")</f>
        <v>Обложка</v>
      </c>
      <c r="V6133" s="24" t="str">
        <f>HYPERLINK("https://znanium.ru/catalog/product/2125656", "Ознакомиться")</f>
        <v>Ознакомиться</v>
      </c>
      <c r="W6133" s="8" t="s">
        <v>913</v>
      </c>
      <c r="X6133" s="6"/>
      <c r="Y6133" s="6"/>
      <c r="Z6133" s="6"/>
      <c r="AA6133" s="6" t="s">
        <v>122</v>
      </c>
      <c r="AB6133" s="8"/>
    </row>
    <row r="6134" spans="1:28" s="4" customFormat="1" ht="42" customHeight="1">
      <c r="A6134" s="5">
        <v>0</v>
      </c>
      <c r="B6134" s="6" t="s">
        <v>35790</v>
      </c>
      <c r="C6134" s="13">
        <v>1934</v>
      </c>
      <c r="D6134" s="8" t="s">
        <v>35791</v>
      </c>
      <c r="E6134" s="8" t="s">
        <v>35792</v>
      </c>
      <c r="F6134" s="8" t="s">
        <v>35793</v>
      </c>
      <c r="G6134" s="6" t="s">
        <v>52</v>
      </c>
      <c r="H6134" s="6" t="s">
        <v>53</v>
      </c>
      <c r="I6134" s="8" t="s">
        <v>276</v>
      </c>
      <c r="J6134" s="9">
        <v>1</v>
      </c>
      <c r="K6134" s="9">
        <v>409</v>
      </c>
      <c r="L6134" s="9">
        <v>2023</v>
      </c>
      <c r="M6134" s="8" t="s">
        <v>35794</v>
      </c>
      <c r="N6134" s="8" t="s">
        <v>41</v>
      </c>
      <c r="O6134" s="8" t="s">
        <v>1007</v>
      </c>
      <c r="P6134" s="6" t="s">
        <v>167</v>
      </c>
      <c r="Q6134" s="8" t="s">
        <v>58</v>
      </c>
      <c r="R6134" s="10" t="s">
        <v>2701</v>
      </c>
      <c r="S6134" s="11"/>
      <c r="T6134" s="6"/>
      <c r="U6134" s="24" t="str">
        <f>HYPERLINK("https://media.infra-m.ru/2132/2132487/cover/2132487.jpg", "Обложка")</f>
        <v>Обложка</v>
      </c>
      <c r="V6134" s="24" t="str">
        <f>HYPERLINK("https://znanium.ru/catalog/product/2132487", "Ознакомиться")</f>
        <v>Ознакомиться</v>
      </c>
      <c r="W6134" s="8" t="s">
        <v>347</v>
      </c>
      <c r="X6134" s="6"/>
      <c r="Y6134" s="6"/>
      <c r="Z6134" s="6"/>
      <c r="AA6134" s="6" t="s">
        <v>207</v>
      </c>
      <c r="AB6134" s="8" t="s">
        <v>2232</v>
      </c>
    </row>
    <row r="6135" spans="1:28" s="4" customFormat="1" ht="44.1" customHeight="1">
      <c r="A6135" s="5">
        <v>0</v>
      </c>
      <c r="B6135" s="6" t="s">
        <v>35795</v>
      </c>
      <c r="C6135" s="7">
        <v>424</v>
      </c>
      <c r="D6135" s="8" t="s">
        <v>35796</v>
      </c>
      <c r="E6135" s="8" t="s">
        <v>35797</v>
      </c>
      <c r="F6135" s="8" t="s">
        <v>35798</v>
      </c>
      <c r="G6135" s="6" t="s">
        <v>38</v>
      </c>
      <c r="H6135" s="6" t="s">
        <v>39</v>
      </c>
      <c r="I6135" s="8" t="s">
        <v>116</v>
      </c>
      <c r="J6135" s="9">
        <v>1</v>
      </c>
      <c r="K6135" s="9">
        <v>64</v>
      </c>
      <c r="L6135" s="9">
        <v>2025</v>
      </c>
      <c r="M6135" s="8" t="s">
        <v>35799</v>
      </c>
      <c r="N6135" s="8" t="s">
        <v>997</v>
      </c>
      <c r="O6135" s="8" t="s">
        <v>998</v>
      </c>
      <c r="P6135" s="6" t="s">
        <v>175</v>
      </c>
      <c r="Q6135" s="8" t="s">
        <v>44</v>
      </c>
      <c r="R6135" s="10" t="s">
        <v>21503</v>
      </c>
      <c r="S6135" s="11"/>
      <c r="T6135" s="6"/>
      <c r="U6135" s="24" t="str">
        <f>HYPERLINK("https://media.infra-m.ru/2178/2178194/cover/2178194.jpg", "Обложка")</f>
        <v>Обложка</v>
      </c>
      <c r="V6135" s="24" t="str">
        <f>HYPERLINK("https://znanium.ru/catalog/product/2161449", "Ознакомиться")</f>
        <v>Ознакомиться</v>
      </c>
      <c r="W6135" s="8" t="s">
        <v>19296</v>
      </c>
      <c r="X6135" s="6"/>
      <c r="Y6135" s="6"/>
      <c r="Z6135" s="6"/>
      <c r="AA6135" s="6" t="s">
        <v>72</v>
      </c>
      <c r="AB6135" s="8"/>
    </row>
    <row r="6136" spans="1:28" s="4" customFormat="1" ht="51.95" customHeight="1">
      <c r="A6136" s="5">
        <v>0</v>
      </c>
      <c r="B6136" s="6" t="s">
        <v>35800</v>
      </c>
      <c r="C6136" s="13">
        <v>1060</v>
      </c>
      <c r="D6136" s="8" t="s">
        <v>35801</v>
      </c>
      <c r="E6136" s="8" t="s">
        <v>35802</v>
      </c>
      <c r="F6136" s="8" t="s">
        <v>35803</v>
      </c>
      <c r="G6136" s="6" t="s">
        <v>89</v>
      </c>
      <c r="H6136" s="6" t="s">
        <v>77</v>
      </c>
      <c r="I6136" s="8" t="s">
        <v>100</v>
      </c>
      <c r="J6136" s="9">
        <v>1</v>
      </c>
      <c r="K6136" s="9">
        <v>204</v>
      </c>
      <c r="L6136" s="9">
        <v>2025</v>
      </c>
      <c r="M6136" s="8" t="s">
        <v>35804</v>
      </c>
      <c r="N6136" s="8" t="s">
        <v>41</v>
      </c>
      <c r="O6136" s="8" t="s">
        <v>278</v>
      </c>
      <c r="P6136" s="6" t="s">
        <v>43</v>
      </c>
      <c r="Q6136" s="8" t="s">
        <v>102</v>
      </c>
      <c r="R6136" s="10" t="s">
        <v>35805</v>
      </c>
      <c r="S6136" s="11" t="s">
        <v>35806</v>
      </c>
      <c r="T6136" s="6"/>
      <c r="U6136" s="24" t="str">
        <f>HYPERLINK("https://media.infra-m.ru/2198/2198344/cover/2198344.jpg", "Обложка")</f>
        <v>Обложка</v>
      </c>
      <c r="V6136" s="24" t="str">
        <f>HYPERLINK("https://znanium.ru/catalog/product/2198344", "Ознакомиться")</f>
        <v>Ознакомиться</v>
      </c>
      <c r="W6136" s="8"/>
      <c r="X6136" s="6"/>
      <c r="Y6136" s="6"/>
      <c r="Z6136" s="6" t="s">
        <v>104</v>
      </c>
      <c r="AA6136" s="6" t="s">
        <v>793</v>
      </c>
      <c r="AB6136" s="8" t="s">
        <v>2344</v>
      </c>
    </row>
    <row r="6137" spans="1:28" s="4" customFormat="1" ht="51.95" customHeight="1">
      <c r="A6137" s="5">
        <v>0</v>
      </c>
      <c r="B6137" s="6" t="s">
        <v>35807</v>
      </c>
      <c r="C6137" s="7">
        <v>934</v>
      </c>
      <c r="D6137" s="8" t="s">
        <v>35808</v>
      </c>
      <c r="E6137" s="8" t="s">
        <v>35802</v>
      </c>
      <c r="F6137" s="8" t="s">
        <v>35809</v>
      </c>
      <c r="G6137" s="6" t="s">
        <v>52</v>
      </c>
      <c r="H6137" s="6" t="s">
        <v>77</v>
      </c>
      <c r="I6137" s="8"/>
      <c r="J6137" s="9">
        <v>1</v>
      </c>
      <c r="K6137" s="9">
        <v>204</v>
      </c>
      <c r="L6137" s="9">
        <v>2024</v>
      </c>
      <c r="M6137" s="8" t="s">
        <v>35810</v>
      </c>
      <c r="N6137" s="8" t="s">
        <v>41</v>
      </c>
      <c r="O6137" s="8" t="s">
        <v>278</v>
      </c>
      <c r="P6137" s="6" t="s">
        <v>43</v>
      </c>
      <c r="Q6137" s="8" t="s">
        <v>44</v>
      </c>
      <c r="R6137" s="10" t="s">
        <v>35811</v>
      </c>
      <c r="S6137" s="11"/>
      <c r="T6137" s="6"/>
      <c r="U6137" s="24" t="str">
        <f>HYPERLINK("https://media.infra-m.ru/2079/2079683/cover/2079683.jpg", "Обложка")</f>
        <v>Обложка</v>
      </c>
      <c r="V6137" s="24" t="str">
        <f>HYPERLINK("https://znanium.ru/catalog/product/2079683", "Ознакомиться")</f>
        <v>Ознакомиться</v>
      </c>
      <c r="W6137" s="8" t="s">
        <v>9885</v>
      </c>
      <c r="X6137" s="6"/>
      <c r="Y6137" s="6"/>
      <c r="Z6137" s="6"/>
      <c r="AA6137" s="6" t="s">
        <v>122</v>
      </c>
      <c r="AB6137" s="8"/>
    </row>
    <row r="6138" spans="1:28" s="4" customFormat="1" ht="51.95" customHeight="1">
      <c r="A6138" s="5">
        <v>0</v>
      </c>
      <c r="B6138" s="6" t="s">
        <v>35812</v>
      </c>
      <c r="C6138" s="7">
        <v>570</v>
      </c>
      <c r="D6138" s="8" t="s">
        <v>35813</v>
      </c>
      <c r="E6138" s="8" t="s">
        <v>35814</v>
      </c>
      <c r="F6138" s="8" t="s">
        <v>35815</v>
      </c>
      <c r="G6138" s="6" t="s">
        <v>38</v>
      </c>
      <c r="H6138" s="6" t="s">
        <v>53</v>
      </c>
      <c r="I6138" s="8" t="s">
        <v>116</v>
      </c>
      <c r="J6138" s="9">
        <v>1</v>
      </c>
      <c r="K6138" s="9">
        <v>120</v>
      </c>
      <c r="L6138" s="9">
        <v>2024</v>
      </c>
      <c r="M6138" s="8" t="s">
        <v>35816</v>
      </c>
      <c r="N6138" s="8" t="s">
        <v>56</v>
      </c>
      <c r="O6138" s="8" t="s">
        <v>741</v>
      </c>
      <c r="P6138" s="6" t="s">
        <v>43</v>
      </c>
      <c r="Q6138" s="8" t="s">
        <v>44</v>
      </c>
      <c r="R6138" s="10" t="s">
        <v>12989</v>
      </c>
      <c r="S6138" s="11" t="s">
        <v>35817</v>
      </c>
      <c r="T6138" s="6" t="s">
        <v>299</v>
      </c>
      <c r="U6138" s="24" t="str">
        <f>HYPERLINK("https://media.infra-m.ru/2118/2118170/cover/2118170.jpg", "Обложка")</f>
        <v>Обложка</v>
      </c>
      <c r="V6138" s="24" t="str">
        <f>HYPERLINK("https://znanium.ru/catalog/product/2118170", "Ознакомиться")</f>
        <v>Ознакомиться</v>
      </c>
      <c r="W6138" s="8" t="s">
        <v>35818</v>
      </c>
      <c r="X6138" s="6"/>
      <c r="Y6138" s="6"/>
      <c r="Z6138" s="6"/>
      <c r="AA6138" s="6" t="s">
        <v>84</v>
      </c>
      <c r="AB6138" s="8"/>
    </row>
    <row r="6139" spans="1:28" s="4" customFormat="1" ht="51.95" customHeight="1">
      <c r="A6139" s="5">
        <v>0</v>
      </c>
      <c r="B6139" s="6" t="s">
        <v>35819</v>
      </c>
      <c r="C6139" s="7">
        <v>460</v>
      </c>
      <c r="D6139" s="8" t="s">
        <v>35820</v>
      </c>
      <c r="E6139" s="8" t="s">
        <v>35821</v>
      </c>
      <c r="F6139" s="8" t="s">
        <v>23067</v>
      </c>
      <c r="G6139" s="6" t="s">
        <v>38</v>
      </c>
      <c r="H6139" s="6" t="s">
        <v>39</v>
      </c>
      <c r="I6139" s="8"/>
      <c r="J6139" s="9">
        <v>1</v>
      </c>
      <c r="K6139" s="9">
        <v>96</v>
      </c>
      <c r="L6139" s="9">
        <v>2022</v>
      </c>
      <c r="M6139" s="8" t="s">
        <v>35822</v>
      </c>
      <c r="N6139" s="8" t="s">
        <v>79</v>
      </c>
      <c r="O6139" s="8" t="s">
        <v>684</v>
      </c>
      <c r="P6139" s="6" t="s">
        <v>43</v>
      </c>
      <c r="Q6139" s="8" t="s">
        <v>44</v>
      </c>
      <c r="R6139" s="10" t="s">
        <v>25149</v>
      </c>
      <c r="S6139" s="11" t="s">
        <v>35823</v>
      </c>
      <c r="T6139" s="6"/>
      <c r="U6139" s="24" t="str">
        <f>HYPERLINK("https://media.infra-m.ru/1946/1946462/cover/1946462.jpg", "Обложка")</f>
        <v>Обложка</v>
      </c>
      <c r="V6139" s="24" t="str">
        <f>HYPERLINK("https://znanium.ru/catalog/product/1946462", "Ознакомиться")</f>
        <v>Ознакомиться</v>
      </c>
      <c r="W6139" s="8" t="s">
        <v>10544</v>
      </c>
      <c r="X6139" s="6"/>
      <c r="Y6139" s="6"/>
      <c r="Z6139" s="6"/>
      <c r="AA6139" s="6" t="s">
        <v>84</v>
      </c>
      <c r="AB6139" s="8"/>
    </row>
    <row r="6140" spans="1:28" s="4" customFormat="1" ht="51.95" customHeight="1">
      <c r="A6140" s="5">
        <v>0</v>
      </c>
      <c r="B6140" s="6" t="s">
        <v>35824</v>
      </c>
      <c r="C6140" s="7">
        <v>374.9</v>
      </c>
      <c r="D6140" s="8" t="s">
        <v>35825</v>
      </c>
      <c r="E6140" s="8" t="s">
        <v>35826</v>
      </c>
      <c r="F6140" s="8" t="s">
        <v>35827</v>
      </c>
      <c r="G6140" s="6" t="s">
        <v>38</v>
      </c>
      <c r="H6140" s="6" t="s">
        <v>674</v>
      </c>
      <c r="I6140" s="8"/>
      <c r="J6140" s="9">
        <v>1</v>
      </c>
      <c r="K6140" s="9">
        <v>176</v>
      </c>
      <c r="L6140" s="9">
        <v>2017</v>
      </c>
      <c r="M6140" s="8" t="s">
        <v>35828</v>
      </c>
      <c r="N6140" s="8" t="s">
        <v>41</v>
      </c>
      <c r="O6140" s="8" t="s">
        <v>676</v>
      </c>
      <c r="P6140" s="6" t="s">
        <v>6614</v>
      </c>
      <c r="Q6140" s="8" t="s">
        <v>44</v>
      </c>
      <c r="R6140" s="10" t="s">
        <v>35829</v>
      </c>
      <c r="S6140" s="11"/>
      <c r="T6140" s="6"/>
      <c r="U6140" s="12"/>
      <c r="V6140" s="24" t="str">
        <f>HYPERLINK("https://znanium.ru/catalog/product/1429044", "Ознакомиться")</f>
        <v>Ознакомиться</v>
      </c>
      <c r="W6140" s="8" t="s">
        <v>35830</v>
      </c>
      <c r="X6140" s="6"/>
      <c r="Y6140" s="6"/>
      <c r="Z6140" s="6"/>
      <c r="AA6140" s="6" t="s">
        <v>47</v>
      </c>
      <c r="AB6140" s="8"/>
    </row>
    <row r="6141" spans="1:28" s="4" customFormat="1" ht="51.95" customHeight="1">
      <c r="A6141" s="5">
        <v>0</v>
      </c>
      <c r="B6141" s="6" t="s">
        <v>35831</v>
      </c>
      <c r="C6141" s="13">
        <v>2130</v>
      </c>
      <c r="D6141" s="8" t="s">
        <v>35832</v>
      </c>
      <c r="E6141" s="8" t="s">
        <v>35833</v>
      </c>
      <c r="F6141" s="8" t="s">
        <v>35834</v>
      </c>
      <c r="G6141" s="6" t="s">
        <v>52</v>
      </c>
      <c r="H6141" s="6" t="s">
        <v>53</v>
      </c>
      <c r="I6141" s="8" t="s">
        <v>116</v>
      </c>
      <c r="J6141" s="9">
        <v>1</v>
      </c>
      <c r="K6141" s="9">
        <v>463</v>
      </c>
      <c r="L6141" s="9">
        <v>2024</v>
      </c>
      <c r="M6141" s="8" t="s">
        <v>35835</v>
      </c>
      <c r="N6141" s="8" t="s">
        <v>41</v>
      </c>
      <c r="O6141" s="8" t="s">
        <v>278</v>
      </c>
      <c r="P6141" s="6" t="s">
        <v>167</v>
      </c>
      <c r="Q6141" s="8" t="s">
        <v>44</v>
      </c>
      <c r="R6141" s="10" t="s">
        <v>2913</v>
      </c>
      <c r="S6141" s="11" t="s">
        <v>35836</v>
      </c>
      <c r="T6141" s="6" t="s">
        <v>299</v>
      </c>
      <c r="U6141" s="24" t="str">
        <f>HYPERLINK("https://media.infra-m.ru/2104/2104855/cover/2104855.jpg", "Обложка")</f>
        <v>Обложка</v>
      </c>
      <c r="V6141" s="24" t="str">
        <f>HYPERLINK("https://znanium.ru/catalog/product/2104855", "Ознакомиться")</f>
        <v>Ознакомиться</v>
      </c>
      <c r="W6141" s="8" t="s">
        <v>320</v>
      </c>
      <c r="X6141" s="6"/>
      <c r="Y6141" s="6"/>
      <c r="Z6141" s="6"/>
      <c r="AA6141" s="6" t="s">
        <v>5325</v>
      </c>
      <c r="AB6141" s="8"/>
    </row>
    <row r="6142" spans="1:28" s="4" customFormat="1" ht="51.95" customHeight="1">
      <c r="A6142" s="5">
        <v>0</v>
      </c>
      <c r="B6142" s="6" t="s">
        <v>35837</v>
      </c>
      <c r="C6142" s="7">
        <v>590</v>
      </c>
      <c r="D6142" s="8" t="s">
        <v>35838</v>
      </c>
      <c r="E6142" s="8" t="s">
        <v>35839</v>
      </c>
      <c r="F6142" s="8" t="s">
        <v>35840</v>
      </c>
      <c r="G6142" s="6" t="s">
        <v>38</v>
      </c>
      <c r="H6142" s="6" t="s">
        <v>39</v>
      </c>
      <c r="I6142" s="8" t="s">
        <v>116</v>
      </c>
      <c r="J6142" s="9">
        <v>1</v>
      </c>
      <c r="K6142" s="9">
        <v>96</v>
      </c>
      <c r="L6142" s="9">
        <v>2024</v>
      </c>
      <c r="M6142" s="8" t="s">
        <v>35841</v>
      </c>
      <c r="N6142" s="8" t="s">
        <v>56</v>
      </c>
      <c r="O6142" s="8" t="s">
        <v>2183</v>
      </c>
      <c r="P6142" s="6" t="s">
        <v>43</v>
      </c>
      <c r="Q6142" s="8" t="s">
        <v>44</v>
      </c>
      <c r="R6142" s="10" t="s">
        <v>35842</v>
      </c>
      <c r="S6142" s="11" t="s">
        <v>35843</v>
      </c>
      <c r="T6142" s="6"/>
      <c r="U6142" s="24" t="str">
        <f>HYPERLINK("https://media.infra-m.ru/2087/2087720/cover/2087720.jpg", "Обложка")</f>
        <v>Обложка</v>
      </c>
      <c r="V6142" s="24" t="str">
        <f>HYPERLINK("https://znanium.ru/catalog/product/2087720", "Ознакомиться")</f>
        <v>Ознакомиться</v>
      </c>
      <c r="W6142" s="8" t="s">
        <v>28445</v>
      </c>
      <c r="X6142" s="6"/>
      <c r="Y6142" s="6"/>
      <c r="Z6142" s="6"/>
      <c r="AA6142" s="6" t="s">
        <v>160</v>
      </c>
      <c r="AB6142" s="8"/>
    </row>
    <row r="6143" spans="1:28" s="4" customFormat="1" ht="51.95" customHeight="1">
      <c r="A6143" s="5">
        <v>0</v>
      </c>
      <c r="B6143" s="6" t="s">
        <v>35844</v>
      </c>
      <c r="C6143" s="7">
        <v>444</v>
      </c>
      <c r="D6143" s="8" t="s">
        <v>35845</v>
      </c>
      <c r="E6143" s="8" t="s">
        <v>35839</v>
      </c>
      <c r="F6143" s="8" t="s">
        <v>35840</v>
      </c>
      <c r="G6143" s="6" t="s">
        <v>38</v>
      </c>
      <c r="H6143" s="6" t="s">
        <v>39</v>
      </c>
      <c r="I6143" s="8" t="s">
        <v>100</v>
      </c>
      <c r="J6143" s="9">
        <v>1</v>
      </c>
      <c r="K6143" s="9">
        <v>96</v>
      </c>
      <c r="L6143" s="9">
        <v>2024</v>
      </c>
      <c r="M6143" s="8" t="s">
        <v>35846</v>
      </c>
      <c r="N6143" s="8" t="s">
        <v>56</v>
      </c>
      <c r="O6143" s="8" t="s">
        <v>2183</v>
      </c>
      <c r="P6143" s="6" t="s">
        <v>43</v>
      </c>
      <c r="Q6143" s="8" t="s">
        <v>102</v>
      </c>
      <c r="R6143" s="10" t="s">
        <v>35847</v>
      </c>
      <c r="S6143" s="11" t="s">
        <v>35848</v>
      </c>
      <c r="T6143" s="6"/>
      <c r="U6143" s="24" t="str">
        <f>HYPERLINK("https://media.infra-m.ru/2125/2125004/cover/2125004.jpg", "Обложка")</f>
        <v>Обложка</v>
      </c>
      <c r="V6143" s="24" t="str">
        <f>HYPERLINK("https://znanium.ru/catalog/product/1074616", "Ознакомиться")</f>
        <v>Ознакомиться</v>
      </c>
      <c r="W6143" s="8" t="s">
        <v>28445</v>
      </c>
      <c r="X6143" s="6"/>
      <c r="Y6143" s="6"/>
      <c r="Z6143" s="6" t="s">
        <v>104</v>
      </c>
      <c r="AA6143" s="6" t="s">
        <v>1374</v>
      </c>
      <c r="AB6143" s="8" t="s">
        <v>2336</v>
      </c>
    </row>
    <row r="6144" spans="1:28" s="4" customFormat="1" ht="51.95" customHeight="1">
      <c r="A6144" s="5">
        <v>0</v>
      </c>
      <c r="B6144" s="6" t="s">
        <v>35849</v>
      </c>
      <c r="C6144" s="13">
        <v>1204</v>
      </c>
      <c r="D6144" s="8" t="s">
        <v>35850</v>
      </c>
      <c r="E6144" s="8" t="s">
        <v>35851</v>
      </c>
      <c r="F6144" s="8" t="s">
        <v>35852</v>
      </c>
      <c r="G6144" s="6" t="s">
        <v>52</v>
      </c>
      <c r="H6144" s="6" t="s">
        <v>1738</v>
      </c>
      <c r="I6144" s="8" t="s">
        <v>1739</v>
      </c>
      <c r="J6144" s="9">
        <v>1</v>
      </c>
      <c r="K6144" s="9">
        <v>256</v>
      </c>
      <c r="L6144" s="9">
        <v>2024</v>
      </c>
      <c r="M6144" s="8" t="s">
        <v>35853</v>
      </c>
      <c r="N6144" s="8" t="s">
        <v>41</v>
      </c>
      <c r="O6144" s="8" t="s">
        <v>278</v>
      </c>
      <c r="P6144" s="6" t="s">
        <v>43</v>
      </c>
      <c r="Q6144" s="8" t="s">
        <v>102</v>
      </c>
      <c r="R6144" s="10" t="s">
        <v>35854</v>
      </c>
      <c r="S6144" s="11" t="s">
        <v>35855</v>
      </c>
      <c r="T6144" s="6"/>
      <c r="U6144" s="24" t="str">
        <f>HYPERLINK("https://media.infra-m.ru/2139/2139111/cover/2139111.jpg", "Обложка")</f>
        <v>Обложка</v>
      </c>
      <c r="V6144" s="24" t="str">
        <f>HYPERLINK("https://znanium.ru/catalog/product/1841699", "Ознакомиться")</f>
        <v>Ознакомиться</v>
      </c>
      <c r="W6144" s="8" t="s">
        <v>189</v>
      </c>
      <c r="X6144" s="6"/>
      <c r="Y6144" s="6"/>
      <c r="Z6144" s="6"/>
      <c r="AA6144" s="6" t="s">
        <v>72</v>
      </c>
      <c r="AB6144" s="8"/>
    </row>
    <row r="6145" spans="1:28" s="4" customFormat="1" ht="51.95" customHeight="1">
      <c r="A6145" s="5">
        <v>0</v>
      </c>
      <c r="B6145" s="6" t="s">
        <v>35856</v>
      </c>
      <c r="C6145" s="13">
        <v>1194</v>
      </c>
      <c r="D6145" s="8" t="s">
        <v>35857</v>
      </c>
      <c r="E6145" s="8" t="s">
        <v>35858</v>
      </c>
      <c r="F6145" s="8" t="s">
        <v>35852</v>
      </c>
      <c r="G6145" s="6" t="s">
        <v>52</v>
      </c>
      <c r="H6145" s="6" t="s">
        <v>1738</v>
      </c>
      <c r="I6145" s="8"/>
      <c r="J6145" s="9">
        <v>1</v>
      </c>
      <c r="K6145" s="9">
        <v>240</v>
      </c>
      <c r="L6145" s="9">
        <v>2025</v>
      </c>
      <c r="M6145" s="8" t="s">
        <v>35859</v>
      </c>
      <c r="N6145" s="8" t="s">
        <v>41</v>
      </c>
      <c r="O6145" s="8" t="s">
        <v>278</v>
      </c>
      <c r="P6145" s="6" t="s">
        <v>43</v>
      </c>
      <c r="Q6145" s="8" t="s">
        <v>102</v>
      </c>
      <c r="R6145" s="10" t="s">
        <v>35860</v>
      </c>
      <c r="S6145" s="11" t="s">
        <v>35861</v>
      </c>
      <c r="T6145" s="6"/>
      <c r="U6145" s="24" t="str">
        <f>HYPERLINK("https://media.infra-m.ru/2187/2187241/cover/2187241.jpg", "Обложка")</f>
        <v>Обложка</v>
      </c>
      <c r="V6145" s="24" t="str">
        <f>HYPERLINK("https://znanium.ru/catalog/product/2186562", "Ознакомиться")</f>
        <v>Ознакомиться</v>
      </c>
      <c r="W6145" s="8" t="s">
        <v>189</v>
      </c>
      <c r="X6145" s="6"/>
      <c r="Y6145" s="6"/>
      <c r="Z6145" s="6"/>
      <c r="AA6145" s="6" t="s">
        <v>72</v>
      </c>
      <c r="AB6145" s="8"/>
    </row>
    <row r="6146" spans="1:28" s="4" customFormat="1" ht="51.95" customHeight="1">
      <c r="A6146" s="5">
        <v>0</v>
      </c>
      <c r="B6146" s="6" t="s">
        <v>35862</v>
      </c>
      <c r="C6146" s="13">
        <v>1260</v>
      </c>
      <c r="D6146" s="8" t="s">
        <v>35863</v>
      </c>
      <c r="E6146" s="8" t="s">
        <v>35864</v>
      </c>
      <c r="F6146" s="8" t="s">
        <v>35865</v>
      </c>
      <c r="G6146" s="6" t="s">
        <v>89</v>
      </c>
      <c r="H6146" s="6" t="s">
        <v>53</v>
      </c>
      <c r="I6146" s="8" t="s">
        <v>116</v>
      </c>
      <c r="J6146" s="9">
        <v>1</v>
      </c>
      <c r="K6146" s="9">
        <v>274</v>
      </c>
      <c r="L6146" s="9">
        <v>2024</v>
      </c>
      <c r="M6146" s="8" t="s">
        <v>35866</v>
      </c>
      <c r="N6146" s="8" t="s">
        <v>79</v>
      </c>
      <c r="O6146" s="8" t="s">
        <v>396</v>
      </c>
      <c r="P6146" s="6" t="s">
        <v>167</v>
      </c>
      <c r="Q6146" s="8" t="s">
        <v>44</v>
      </c>
      <c r="R6146" s="10" t="s">
        <v>35867</v>
      </c>
      <c r="S6146" s="11" t="s">
        <v>35868</v>
      </c>
      <c r="T6146" s="6" t="s">
        <v>299</v>
      </c>
      <c r="U6146" s="24" t="str">
        <f>HYPERLINK("https://media.infra-m.ru/2083/2083887/cover/2083887.jpg", "Обложка")</f>
        <v>Обложка</v>
      </c>
      <c r="V6146" s="24" t="str">
        <f>HYPERLINK("https://znanium.ru/catalog/product/2083887", "Ознакомиться")</f>
        <v>Ознакомиться</v>
      </c>
      <c r="W6146" s="8"/>
      <c r="X6146" s="6"/>
      <c r="Y6146" s="6"/>
      <c r="Z6146" s="6"/>
      <c r="AA6146" s="6" t="s">
        <v>418</v>
      </c>
      <c r="AB6146" s="8"/>
    </row>
    <row r="6147" spans="1:28" s="4" customFormat="1" ht="42" customHeight="1">
      <c r="A6147" s="5">
        <v>0</v>
      </c>
      <c r="B6147" s="6" t="s">
        <v>35869</v>
      </c>
      <c r="C6147" s="13">
        <v>1244</v>
      </c>
      <c r="D6147" s="8" t="s">
        <v>35870</v>
      </c>
      <c r="E6147" s="8" t="s">
        <v>35871</v>
      </c>
      <c r="F6147" s="8" t="s">
        <v>35872</v>
      </c>
      <c r="G6147" s="6" t="s">
        <v>52</v>
      </c>
      <c r="H6147" s="6" t="s">
        <v>53</v>
      </c>
      <c r="I6147" s="8" t="s">
        <v>90</v>
      </c>
      <c r="J6147" s="9">
        <v>1</v>
      </c>
      <c r="K6147" s="9">
        <v>270</v>
      </c>
      <c r="L6147" s="9">
        <v>2024</v>
      </c>
      <c r="M6147" s="8" t="s">
        <v>35873</v>
      </c>
      <c r="N6147" s="8" t="s">
        <v>41</v>
      </c>
      <c r="O6147" s="8" t="s">
        <v>278</v>
      </c>
      <c r="P6147" s="6" t="s">
        <v>43</v>
      </c>
      <c r="Q6147" s="8" t="s">
        <v>44</v>
      </c>
      <c r="R6147" s="10" t="s">
        <v>2319</v>
      </c>
      <c r="S6147" s="11"/>
      <c r="T6147" s="6" t="s">
        <v>299</v>
      </c>
      <c r="U6147" s="24" t="str">
        <f>HYPERLINK("https://media.infra-m.ru/2083/2083886/cover/2083886.jpg", "Обложка")</f>
        <v>Обложка</v>
      </c>
      <c r="V6147" s="24" t="str">
        <f>HYPERLINK("https://znanium.ru/catalog/product/1081371", "Ознакомиться")</f>
        <v>Ознакомиться</v>
      </c>
      <c r="W6147" s="8"/>
      <c r="X6147" s="6"/>
      <c r="Y6147" s="6"/>
      <c r="Z6147" s="6"/>
      <c r="AA6147" s="6" t="s">
        <v>244</v>
      </c>
      <c r="AB6147" s="8"/>
    </row>
    <row r="6148" spans="1:28" s="4" customFormat="1" ht="42" customHeight="1">
      <c r="A6148" s="5">
        <v>0</v>
      </c>
      <c r="B6148" s="6" t="s">
        <v>35874</v>
      </c>
      <c r="C6148" s="13">
        <v>1444.9</v>
      </c>
      <c r="D6148" s="8" t="s">
        <v>35875</v>
      </c>
      <c r="E6148" s="8" t="s">
        <v>35876</v>
      </c>
      <c r="F6148" s="8" t="s">
        <v>30978</v>
      </c>
      <c r="G6148" s="6" t="s">
        <v>52</v>
      </c>
      <c r="H6148" s="6" t="s">
        <v>649</v>
      </c>
      <c r="I6148" s="8" t="s">
        <v>116</v>
      </c>
      <c r="J6148" s="9">
        <v>1</v>
      </c>
      <c r="K6148" s="9">
        <v>320</v>
      </c>
      <c r="L6148" s="9">
        <v>2023</v>
      </c>
      <c r="M6148" s="8" t="s">
        <v>35877</v>
      </c>
      <c r="N6148" s="8" t="s">
        <v>41</v>
      </c>
      <c r="O6148" s="8" t="s">
        <v>278</v>
      </c>
      <c r="P6148" s="6" t="s">
        <v>43</v>
      </c>
      <c r="Q6148" s="8" t="s">
        <v>44</v>
      </c>
      <c r="R6148" s="10" t="s">
        <v>2913</v>
      </c>
      <c r="S6148" s="11"/>
      <c r="T6148" s="6"/>
      <c r="U6148" s="24" t="str">
        <f>HYPERLINK("https://media.infra-m.ru/1981/1981612/cover/1981612.jpg", "Обложка")</f>
        <v>Обложка</v>
      </c>
      <c r="V6148" s="24" t="str">
        <f>HYPERLINK("https://znanium.ru/catalog/product/1013472", "Ознакомиться")</f>
        <v>Ознакомиться</v>
      </c>
      <c r="W6148" s="8" t="s">
        <v>1198</v>
      </c>
      <c r="X6148" s="6"/>
      <c r="Y6148" s="6"/>
      <c r="Z6148" s="6"/>
      <c r="AA6148" s="6" t="s">
        <v>84</v>
      </c>
      <c r="AB6148" s="8"/>
    </row>
    <row r="6149" spans="1:28" s="4" customFormat="1" ht="51.95" customHeight="1">
      <c r="A6149" s="5">
        <v>0</v>
      </c>
      <c r="B6149" s="6" t="s">
        <v>35878</v>
      </c>
      <c r="C6149" s="7">
        <v>834</v>
      </c>
      <c r="D6149" s="8" t="s">
        <v>35879</v>
      </c>
      <c r="E6149" s="8" t="s">
        <v>35880</v>
      </c>
      <c r="F6149" s="8" t="s">
        <v>35881</v>
      </c>
      <c r="G6149" s="6" t="s">
        <v>89</v>
      </c>
      <c r="H6149" s="6" t="s">
        <v>649</v>
      </c>
      <c r="I6149" s="8" t="s">
        <v>90</v>
      </c>
      <c r="J6149" s="9">
        <v>1</v>
      </c>
      <c r="K6149" s="9">
        <v>160</v>
      </c>
      <c r="L6149" s="9">
        <v>2025</v>
      </c>
      <c r="M6149" s="8" t="s">
        <v>35882</v>
      </c>
      <c r="N6149" s="8" t="s">
        <v>79</v>
      </c>
      <c r="O6149" s="8" t="s">
        <v>80</v>
      </c>
      <c r="P6149" s="6" t="s">
        <v>43</v>
      </c>
      <c r="Q6149" s="8" t="s">
        <v>44</v>
      </c>
      <c r="R6149" s="10" t="s">
        <v>18648</v>
      </c>
      <c r="S6149" s="11" t="s">
        <v>35883</v>
      </c>
      <c r="T6149" s="6"/>
      <c r="U6149" s="24" t="str">
        <f>HYPERLINK("https://media.infra-m.ru/2188/2188704/cover/2188704.jpg", "Обложка")</f>
        <v>Обложка</v>
      </c>
      <c r="V6149" s="24" t="str">
        <f>HYPERLINK("https://znanium.ru/catalog/product/2126637", "Ознакомиться")</f>
        <v>Ознакомиться</v>
      </c>
      <c r="W6149" s="8" t="s">
        <v>2216</v>
      </c>
      <c r="X6149" s="6"/>
      <c r="Y6149" s="6"/>
      <c r="Z6149" s="6"/>
      <c r="AA6149" s="6" t="s">
        <v>2217</v>
      </c>
      <c r="AB6149" s="8"/>
    </row>
    <row r="6150" spans="1:28" s="4" customFormat="1" ht="42" customHeight="1">
      <c r="A6150" s="5">
        <v>0</v>
      </c>
      <c r="B6150" s="6" t="s">
        <v>35884</v>
      </c>
      <c r="C6150" s="13">
        <v>1124</v>
      </c>
      <c r="D6150" s="8" t="s">
        <v>35885</v>
      </c>
      <c r="E6150" s="8" t="s">
        <v>35886</v>
      </c>
      <c r="F6150" s="8" t="s">
        <v>28080</v>
      </c>
      <c r="G6150" s="6" t="s">
        <v>52</v>
      </c>
      <c r="H6150" s="6" t="s">
        <v>674</v>
      </c>
      <c r="I6150" s="8"/>
      <c r="J6150" s="9">
        <v>1</v>
      </c>
      <c r="K6150" s="9">
        <v>240</v>
      </c>
      <c r="L6150" s="9">
        <v>2024</v>
      </c>
      <c r="M6150" s="8" t="s">
        <v>35887</v>
      </c>
      <c r="N6150" s="8" t="s">
        <v>41</v>
      </c>
      <c r="O6150" s="8" t="s">
        <v>676</v>
      </c>
      <c r="P6150" s="6" t="s">
        <v>43</v>
      </c>
      <c r="Q6150" s="8" t="s">
        <v>44</v>
      </c>
      <c r="R6150" s="10" t="s">
        <v>791</v>
      </c>
      <c r="S6150" s="11"/>
      <c r="T6150" s="6"/>
      <c r="U6150" s="24" t="str">
        <f>HYPERLINK("https://media.infra-m.ru/2133/2133513/cover/2133513.jpg", "Обложка")</f>
        <v>Обложка</v>
      </c>
      <c r="V6150" s="24" t="str">
        <f>HYPERLINK("https://znanium.ru/catalog/product/1816459", "Ознакомиться")</f>
        <v>Ознакомиться</v>
      </c>
      <c r="W6150" s="8" t="s">
        <v>792</v>
      </c>
      <c r="X6150" s="6"/>
      <c r="Y6150" s="6"/>
      <c r="Z6150" s="6"/>
      <c r="AA6150" s="6" t="s">
        <v>235</v>
      </c>
      <c r="AB6150" s="8"/>
    </row>
    <row r="6151" spans="1:28" s="4" customFormat="1" ht="51.95" customHeight="1">
      <c r="A6151" s="5">
        <v>0</v>
      </c>
      <c r="B6151" s="6" t="s">
        <v>35888</v>
      </c>
      <c r="C6151" s="13">
        <v>1530</v>
      </c>
      <c r="D6151" s="8" t="s">
        <v>35889</v>
      </c>
      <c r="E6151" s="8" t="s">
        <v>35890</v>
      </c>
      <c r="F6151" s="8" t="s">
        <v>20616</v>
      </c>
      <c r="G6151" s="6" t="s">
        <v>89</v>
      </c>
      <c r="H6151" s="6" t="s">
        <v>53</v>
      </c>
      <c r="I6151" s="8" t="s">
        <v>212</v>
      </c>
      <c r="J6151" s="9">
        <v>1</v>
      </c>
      <c r="K6151" s="9">
        <v>332</v>
      </c>
      <c r="L6151" s="9">
        <v>2023</v>
      </c>
      <c r="M6151" s="8" t="s">
        <v>35891</v>
      </c>
      <c r="N6151" s="8" t="s">
        <v>79</v>
      </c>
      <c r="O6151" s="8" t="s">
        <v>570</v>
      </c>
      <c r="P6151" s="6" t="s">
        <v>43</v>
      </c>
      <c r="Q6151" s="8" t="s">
        <v>214</v>
      </c>
      <c r="R6151" s="10" t="s">
        <v>32317</v>
      </c>
      <c r="S6151" s="11" t="s">
        <v>35892</v>
      </c>
      <c r="T6151" s="6" t="s">
        <v>299</v>
      </c>
      <c r="U6151" s="24" t="str">
        <f>HYPERLINK("https://media.infra-m.ru/2126/2126818/cover/2126818.jpg", "Обложка")</f>
        <v>Обложка</v>
      </c>
      <c r="V6151" s="24" t="str">
        <f>HYPERLINK("https://znanium.ru/catalog/product/2126818", "Ознакомиться")</f>
        <v>Ознакомиться</v>
      </c>
      <c r="W6151" s="8" t="s">
        <v>8022</v>
      </c>
      <c r="X6151" s="6"/>
      <c r="Y6151" s="6"/>
      <c r="Z6151" s="6"/>
      <c r="AA6151" s="6" t="s">
        <v>442</v>
      </c>
      <c r="AB6151" s="8"/>
    </row>
    <row r="6152" spans="1:28" s="4" customFormat="1" ht="42" customHeight="1">
      <c r="A6152" s="5">
        <v>0</v>
      </c>
      <c r="B6152" s="6" t="s">
        <v>35893</v>
      </c>
      <c r="C6152" s="13">
        <v>1350</v>
      </c>
      <c r="D6152" s="8" t="s">
        <v>35894</v>
      </c>
      <c r="E6152" s="8" t="s">
        <v>35895</v>
      </c>
      <c r="F6152" s="8" t="s">
        <v>35896</v>
      </c>
      <c r="G6152" s="6" t="s">
        <v>52</v>
      </c>
      <c r="H6152" s="6" t="s">
        <v>53</v>
      </c>
      <c r="I6152" s="8" t="s">
        <v>212</v>
      </c>
      <c r="J6152" s="9">
        <v>1</v>
      </c>
      <c r="K6152" s="9">
        <v>277</v>
      </c>
      <c r="L6152" s="9">
        <v>2024</v>
      </c>
      <c r="M6152" s="8" t="s">
        <v>35897</v>
      </c>
      <c r="N6152" s="8" t="s">
        <v>79</v>
      </c>
      <c r="O6152" s="8" t="s">
        <v>570</v>
      </c>
      <c r="P6152" s="6" t="s">
        <v>43</v>
      </c>
      <c r="Q6152" s="8" t="s">
        <v>214</v>
      </c>
      <c r="R6152" s="10" t="s">
        <v>35898</v>
      </c>
      <c r="S6152" s="11"/>
      <c r="T6152" s="6"/>
      <c r="U6152" s="24" t="str">
        <f>HYPERLINK("https://media.infra-m.ru/1900/1900961/cover/1900961.jpg", "Обложка")</f>
        <v>Обложка</v>
      </c>
      <c r="V6152" s="24" t="str">
        <f>HYPERLINK("https://znanium.ru/catalog/product/1900961", "Ознакомиться")</f>
        <v>Ознакомиться</v>
      </c>
      <c r="W6152" s="8" t="s">
        <v>18724</v>
      </c>
      <c r="X6152" s="6"/>
      <c r="Y6152" s="6"/>
      <c r="Z6152" s="6"/>
      <c r="AA6152" s="6" t="s">
        <v>133</v>
      </c>
      <c r="AB6152" s="8"/>
    </row>
    <row r="6153" spans="1:28" s="4" customFormat="1" ht="51.95" customHeight="1">
      <c r="A6153" s="5">
        <v>0</v>
      </c>
      <c r="B6153" s="6" t="s">
        <v>35899</v>
      </c>
      <c r="C6153" s="13">
        <v>1290</v>
      </c>
      <c r="D6153" s="8" t="s">
        <v>35900</v>
      </c>
      <c r="E6153" s="8" t="s">
        <v>35901</v>
      </c>
      <c r="F6153" s="8" t="s">
        <v>35902</v>
      </c>
      <c r="G6153" s="6" t="s">
        <v>89</v>
      </c>
      <c r="H6153" s="6" t="s">
        <v>53</v>
      </c>
      <c r="I6153" s="8" t="s">
        <v>560</v>
      </c>
      <c r="J6153" s="9">
        <v>1</v>
      </c>
      <c r="K6153" s="9">
        <v>273</v>
      </c>
      <c r="L6153" s="9">
        <v>2024</v>
      </c>
      <c r="M6153" s="8" t="s">
        <v>35903</v>
      </c>
      <c r="N6153" s="8" t="s">
        <v>41</v>
      </c>
      <c r="O6153" s="8" t="s">
        <v>129</v>
      </c>
      <c r="P6153" s="6" t="s">
        <v>167</v>
      </c>
      <c r="Q6153" s="8" t="s">
        <v>58</v>
      </c>
      <c r="R6153" s="10" t="s">
        <v>35904</v>
      </c>
      <c r="S6153" s="11" t="s">
        <v>35905</v>
      </c>
      <c r="T6153" s="6"/>
      <c r="U6153" s="24" t="str">
        <f>HYPERLINK("https://media.infra-m.ru/2116/2116771/cover/2116771.jpg", "Обложка")</f>
        <v>Обложка</v>
      </c>
      <c r="V6153" s="24" t="str">
        <f>HYPERLINK("https://znanium.ru/catalog/product/2116771", "Ознакомиться")</f>
        <v>Ознакомиться</v>
      </c>
      <c r="W6153" s="8" t="s">
        <v>564</v>
      </c>
      <c r="X6153" s="6"/>
      <c r="Y6153" s="6"/>
      <c r="Z6153" s="6"/>
      <c r="AA6153" s="6" t="s">
        <v>258</v>
      </c>
      <c r="AB6153" s="8"/>
    </row>
    <row r="6154" spans="1:28" s="4" customFormat="1" ht="51.95" customHeight="1">
      <c r="A6154" s="5">
        <v>0</v>
      </c>
      <c r="B6154" s="6" t="s">
        <v>35906</v>
      </c>
      <c r="C6154" s="13">
        <v>1044</v>
      </c>
      <c r="D6154" s="8" t="s">
        <v>35907</v>
      </c>
      <c r="E6154" s="8" t="s">
        <v>35908</v>
      </c>
      <c r="F6154" s="8" t="s">
        <v>35909</v>
      </c>
      <c r="G6154" s="6" t="s">
        <v>89</v>
      </c>
      <c r="H6154" s="6" t="s">
        <v>53</v>
      </c>
      <c r="I6154" s="8" t="s">
        <v>212</v>
      </c>
      <c r="J6154" s="9">
        <v>1</v>
      </c>
      <c r="K6154" s="9">
        <v>201</v>
      </c>
      <c r="L6154" s="9">
        <v>2025</v>
      </c>
      <c r="M6154" s="8" t="s">
        <v>35910</v>
      </c>
      <c r="N6154" s="8" t="s">
        <v>79</v>
      </c>
      <c r="O6154" s="8" t="s">
        <v>396</v>
      </c>
      <c r="P6154" s="6" t="s">
        <v>43</v>
      </c>
      <c r="Q6154" s="8" t="s">
        <v>214</v>
      </c>
      <c r="R6154" s="10" t="s">
        <v>35911</v>
      </c>
      <c r="S6154" s="11" t="s">
        <v>35912</v>
      </c>
      <c r="T6154" s="6"/>
      <c r="U6154" s="24" t="str">
        <f>HYPERLINK("https://media.infra-m.ru/2196/2196083/cover/2196083.jpg", "Обложка")</f>
        <v>Обложка</v>
      </c>
      <c r="V6154" s="24" t="str">
        <f>HYPERLINK("https://znanium.ru/catalog/product/1077325", "Ознакомиться")</f>
        <v>Ознакомиться</v>
      </c>
      <c r="W6154" s="8" t="s">
        <v>27041</v>
      </c>
      <c r="X6154" s="6"/>
      <c r="Y6154" s="6"/>
      <c r="Z6154" s="6"/>
      <c r="AA6154" s="6" t="s">
        <v>1259</v>
      </c>
      <c r="AB6154" s="8"/>
    </row>
    <row r="6155" spans="1:28" s="4" customFormat="1" ht="51.95" customHeight="1">
      <c r="A6155" s="5">
        <v>0</v>
      </c>
      <c r="B6155" s="6" t="s">
        <v>35913</v>
      </c>
      <c r="C6155" s="7">
        <v>484.9</v>
      </c>
      <c r="D6155" s="8" t="s">
        <v>35914</v>
      </c>
      <c r="E6155" s="8" t="s">
        <v>35915</v>
      </c>
      <c r="F6155" s="8" t="s">
        <v>35916</v>
      </c>
      <c r="G6155" s="6" t="s">
        <v>38</v>
      </c>
      <c r="H6155" s="6" t="s">
        <v>39</v>
      </c>
      <c r="I6155" s="8" t="s">
        <v>116</v>
      </c>
      <c r="J6155" s="9">
        <v>1</v>
      </c>
      <c r="K6155" s="9">
        <v>144</v>
      </c>
      <c r="L6155" s="9">
        <v>2020</v>
      </c>
      <c r="M6155" s="8" t="s">
        <v>35917</v>
      </c>
      <c r="N6155" s="8" t="s">
        <v>79</v>
      </c>
      <c r="O6155" s="8" t="s">
        <v>570</v>
      </c>
      <c r="P6155" s="6" t="s">
        <v>43</v>
      </c>
      <c r="Q6155" s="8" t="s">
        <v>44</v>
      </c>
      <c r="R6155" s="10" t="s">
        <v>35911</v>
      </c>
      <c r="S6155" s="11" t="s">
        <v>35918</v>
      </c>
      <c r="T6155" s="6"/>
      <c r="U6155" s="24" t="str">
        <f>HYPERLINK("https://media.infra-m.ru/1057/1057776/cover/1057776.jpg", "Обложка")</f>
        <v>Обложка</v>
      </c>
      <c r="V6155" s="24" t="str">
        <f>HYPERLINK("https://znanium.ru/catalog/product/1077325", "Ознакомиться")</f>
        <v>Ознакомиться</v>
      </c>
      <c r="W6155" s="8" t="s">
        <v>27041</v>
      </c>
      <c r="X6155" s="6"/>
      <c r="Y6155" s="6"/>
      <c r="Z6155" s="6"/>
      <c r="AA6155" s="6" t="s">
        <v>111</v>
      </c>
      <c r="AB6155" s="8"/>
    </row>
    <row r="6156" spans="1:28" s="4" customFormat="1" ht="51.95" customHeight="1">
      <c r="A6156" s="5">
        <v>0</v>
      </c>
      <c r="B6156" s="6" t="s">
        <v>35919</v>
      </c>
      <c r="C6156" s="13">
        <v>1830</v>
      </c>
      <c r="D6156" s="8" t="s">
        <v>35920</v>
      </c>
      <c r="E6156" s="8" t="s">
        <v>35921</v>
      </c>
      <c r="F6156" s="8" t="s">
        <v>35922</v>
      </c>
      <c r="G6156" s="6" t="s">
        <v>38</v>
      </c>
      <c r="H6156" s="6" t="s">
        <v>53</v>
      </c>
      <c r="I6156" s="8" t="s">
        <v>560</v>
      </c>
      <c r="J6156" s="9">
        <v>1</v>
      </c>
      <c r="K6156" s="9">
        <v>199</v>
      </c>
      <c r="L6156" s="9">
        <v>2024</v>
      </c>
      <c r="M6156" s="8" t="s">
        <v>35923</v>
      </c>
      <c r="N6156" s="8" t="s">
        <v>41</v>
      </c>
      <c r="O6156" s="8" t="s">
        <v>129</v>
      </c>
      <c r="P6156" s="6" t="s">
        <v>43</v>
      </c>
      <c r="Q6156" s="8" t="s">
        <v>58</v>
      </c>
      <c r="R6156" s="10" t="s">
        <v>25192</v>
      </c>
      <c r="S6156" s="11"/>
      <c r="T6156" s="6"/>
      <c r="U6156" s="24" t="str">
        <f>HYPERLINK("https://media.infra-m.ru/2082/2082780/cover/2082780.jpg", "Обложка")</f>
        <v>Обложка</v>
      </c>
      <c r="V6156" s="24" t="str">
        <f>HYPERLINK("https://znanium.ru/catalog/product/2082780", "Ознакомиться")</f>
        <v>Ознакомиться</v>
      </c>
      <c r="W6156" s="8" t="s">
        <v>564</v>
      </c>
      <c r="X6156" s="6"/>
      <c r="Y6156" s="6"/>
      <c r="Z6156" s="6"/>
      <c r="AA6156" s="6" t="s">
        <v>133</v>
      </c>
      <c r="AB6156" s="8"/>
    </row>
    <row r="6157" spans="1:28" s="4" customFormat="1" ht="51.95" customHeight="1">
      <c r="A6157" s="5">
        <v>0</v>
      </c>
      <c r="B6157" s="6" t="s">
        <v>35924</v>
      </c>
      <c r="C6157" s="7">
        <v>914</v>
      </c>
      <c r="D6157" s="8" t="s">
        <v>35925</v>
      </c>
      <c r="E6157" s="8" t="s">
        <v>35926</v>
      </c>
      <c r="F6157" s="8" t="s">
        <v>35927</v>
      </c>
      <c r="G6157" s="6" t="s">
        <v>52</v>
      </c>
      <c r="H6157" s="6" t="s">
        <v>53</v>
      </c>
      <c r="I6157" s="8" t="s">
        <v>276</v>
      </c>
      <c r="J6157" s="9">
        <v>1</v>
      </c>
      <c r="K6157" s="9">
        <v>200</v>
      </c>
      <c r="L6157" s="9">
        <v>2023</v>
      </c>
      <c r="M6157" s="8" t="s">
        <v>35928</v>
      </c>
      <c r="N6157" s="8" t="s">
        <v>79</v>
      </c>
      <c r="O6157" s="8" t="s">
        <v>396</v>
      </c>
      <c r="P6157" s="6" t="s">
        <v>167</v>
      </c>
      <c r="Q6157" s="8" t="s">
        <v>279</v>
      </c>
      <c r="R6157" s="10" t="s">
        <v>35929</v>
      </c>
      <c r="S6157" s="11" t="s">
        <v>35930</v>
      </c>
      <c r="T6157" s="6" t="s">
        <v>299</v>
      </c>
      <c r="U6157" s="24" t="str">
        <f>HYPERLINK("https://media.infra-m.ru/2006/2006841/cover/2006841.jpg", "Обложка")</f>
        <v>Обложка</v>
      </c>
      <c r="V6157" s="24" t="str">
        <f>HYPERLINK("https://znanium.ru/catalog/product/971768", "Ознакомиться")</f>
        <v>Ознакомиться</v>
      </c>
      <c r="W6157" s="8" t="s">
        <v>5142</v>
      </c>
      <c r="X6157" s="6"/>
      <c r="Y6157" s="6"/>
      <c r="Z6157" s="6"/>
      <c r="AA6157" s="6" t="s">
        <v>219</v>
      </c>
      <c r="AB6157" s="8"/>
    </row>
    <row r="6158" spans="1:28" s="4" customFormat="1" ht="51.95" customHeight="1">
      <c r="A6158" s="5">
        <v>0</v>
      </c>
      <c r="B6158" s="6" t="s">
        <v>35931</v>
      </c>
      <c r="C6158" s="13">
        <v>1190</v>
      </c>
      <c r="D6158" s="8" t="s">
        <v>35932</v>
      </c>
      <c r="E6158" s="8" t="s">
        <v>35933</v>
      </c>
      <c r="F6158" s="8" t="s">
        <v>35934</v>
      </c>
      <c r="G6158" s="6" t="s">
        <v>89</v>
      </c>
      <c r="H6158" s="6" t="s">
        <v>53</v>
      </c>
      <c r="I6158" s="8" t="s">
        <v>100</v>
      </c>
      <c r="J6158" s="9">
        <v>1</v>
      </c>
      <c r="K6158" s="9">
        <v>237</v>
      </c>
      <c r="L6158" s="9">
        <v>2025</v>
      </c>
      <c r="M6158" s="8" t="s">
        <v>35935</v>
      </c>
      <c r="N6158" s="8" t="s">
        <v>79</v>
      </c>
      <c r="O6158" s="8" t="s">
        <v>424</v>
      </c>
      <c r="P6158" s="6" t="s">
        <v>167</v>
      </c>
      <c r="Q6158" s="8" t="s">
        <v>102</v>
      </c>
      <c r="R6158" s="10" t="s">
        <v>35936</v>
      </c>
      <c r="S6158" s="11" t="s">
        <v>35937</v>
      </c>
      <c r="T6158" s="6"/>
      <c r="U6158" s="24" t="str">
        <f>HYPERLINK("https://media.infra-m.ru/2169/2169483/cover/2169483.jpg", "Обложка")</f>
        <v>Обложка</v>
      </c>
      <c r="V6158" s="24" t="str">
        <f>HYPERLINK("https://znanium.ru/catalog/product/2169483", "Ознакомиться")</f>
        <v>Ознакомиться</v>
      </c>
      <c r="W6158" s="8" t="s">
        <v>478</v>
      </c>
      <c r="X6158" s="6"/>
      <c r="Y6158" s="6"/>
      <c r="Z6158" s="6"/>
      <c r="AA6158" s="6" t="s">
        <v>3065</v>
      </c>
      <c r="AB6158" s="8"/>
    </row>
    <row r="6159" spans="1:28" s="4" customFormat="1" ht="51.95" customHeight="1">
      <c r="A6159" s="5">
        <v>0</v>
      </c>
      <c r="B6159" s="6" t="s">
        <v>35938</v>
      </c>
      <c r="C6159" s="13">
        <v>1794</v>
      </c>
      <c r="D6159" s="8" t="s">
        <v>35939</v>
      </c>
      <c r="E6159" s="8" t="s">
        <v>35940</v>
      </c>
      <c r="F6159" s="8" t="s">
        <v>35941</v>
      </c>
      <c r="G6159" s="6" t="s">
        <v>89</v>
      </c>
      <c r="H6159" s="6" t="s">
        <v>438</v>
      </c>
      <c r="I6159" s="8" t="s">
        <v>100</v>
      </c>
      <c r="J6159" s="9">
        <v>1</v>
      </c>
      <c r="K6159" s="9">
        <v>360</v>
      </c>
      <c r="L6159" s="9">
        <v>2025</v>
      </c>
      <c r="M6159" s="8" t="s">
        <v>35942</v>
      </c>
      <c r="N6159" s="8" t="s">
        <v>79</v>
      </c>
      <c r="O6159" s="8" t="s">
        <v>80</v>
      </c>
      <c r="P6159" s="6" t="s">
        <v>167</v>
      </c>
      <c r="Q6159" s="8" t="s">
        <v>102</v>
      </c>
      <c r="R6159" s="10" t="s">
        <v>35943</v>
      </c>
      <c r="S6159" s="11"/>
      <c r="T6159" s="6"/>
      <c r="U6159" s="24" t="str">
        <f>HYPERLINK("https://media.infra-m.ru/2179/2179453/cover/2179453.jpg", "Обложка")</f>
        <v>Обложка</v>
      </c>
      <c r="V6159" s="24" t="str">
        <f>HYPERLINK("https://znanium.ru/catalog/product/2139063", "Ознакомиться")</f>
        <v>Ознакомиться</v>
      </c>
      <c r="W6159" s="8" t="s">
        <v>1514</v>
      </c>
      <c r="X6159" s="6"/>
      <c r="Y6159" s="6" t="s">
        <v>30</v>
      </c>
      <c r="Z6159" s="6"/>
      <c r="AA6159" s="6" t="s">
        <v>442</v>
      </c>
      <c r="AB6159" s="8"/>
    </row>
    <row r="6160" spans="1:28" s="4" customFormat="1" ht="51.95" customHeight="1">
      <c r="A6160" s="5">
        <v>0</v>
      </c>
      <c r="B6160" s="6" t="s">
        <v>35944</v>
      </c>
      <c r="C6160" s="7">
        <v>810</v>
      </c>
      <c r="D6160" s="8" t="s">
        <v>35945</v>
      </c>
      <c r="E6160" s="8" t="s">
        <v>35946</v>
      </c>
      <c r="F6160" s="8"/>
      <c r="G6160" s="6" t="s">
        <v>89</v>
      </c>
      <c r="H6160" s="6" t="s">
        <v>53</v>
      </c>
      <c r="I6160" s="8" t="s">
        <v>116</v>
      </c>
      <c r="J6160" s="9">
        <v>1</v>
      </c>
      <c r="K6160" s="9">
        <v>176</v>
      </c>
      <c r="L6160" s="9">
        <v>2024</v>
      </c>
      <c r="M6160" s="8" t="s">
        <v>35947</v>
      </c>
      <c r="N6160" s="8" t="s">
        <v>79</v>
      </c>
      <c r="O6160" s="8" t="s">
        <v>684</v>
      </c>
      <c r="P6160" s="6" t="s">
        <v>187</v>
      </c>
      <c r="Q6160" s="8" t="s">
        <v>58</v>
      </c>
      <c r="R6160" s="10" t="s">
        <v>35948</v>
      </c>
      <c r="S6160" s="11" t="s">
        <v>35949</v>
      </c>
      <c r="T6160" s="6"/>
      <c r="U6160" s="24" t="str">
        <f>HYPERLINK("https://media.infra-m.ru/1081/1081358/cover/1081358.jpg", "Обложка")</f>
        <v>Обложка</v>
      </c>
      <c r="V6160" s="24" t="str">
        <f>HYPERLINK("https://znanium.ru/catalog/product/1081358", "Ознакомиться")</f>
        <v>Ознакомиться</v>
      </c>
      <c r="W6160" s="8" t="s">
        <v>71</v>
      </c>
      <c r="X6160" s="6"/>
      <c r="Y6160" s="6"/>
      <c r="Z6160" s="6"/>
      <c r="AA6160" s="6" t="s">
        <v>84</v>
      </c>
      <c r="AB6160" s="8"/>
    </row>
    <row r="6161" spans="1:28" s="4" customFormat="1" ht="51.95" customHeight="1">
      <c r="A6161" s="5">
        <v>0</v>
      </c>
      <c r="B6161" s="6" t="s">
        <v>35950</v>
      </c>
      <c r="C6161" s="13">
        <v>1444</v>
      </c>
      <c r="D6161" s="8" t="s">
        <v>35951</v>
      </c>
      <c r="E6161" s="8" t="s">
        <v>35952</v>
      </c>
      <c r="F6161" s="8" t="s">
        <v>35953</v>
      </c>
      <c r="G6161" s="6" t="s">
        <v>89</v>
      </c>
      <c r="H6161" s="6" t="s">
        <v>53</v>
      </c>
      <c r="I6161" s="8" t="s">
        <v>90</v>
      </c>
      <c r="J6161" s="9">
        <v>1</v>
      </c>
      <c r="K6161" s="9">
        <v>288</v>
      </c>
      <c r="L6161" s="9">
        <v>2025</v>
      </c>
      <c r="M6161" s="8" t="s">
        <v>35954</v>
      </c>
      <c r="N6161" s="8" t="s">
        <v>79</v>
      </c>
      <c r="O6161" s="8" t="s">
        <v>396</v>
      </c>
      <c r="P6161" s="6" t="s">
        <v>43</v>
      </c>
      <c r="Q6161" s="8" t="s">
        <v>44</v>
      </c>
      <c r="R6161" s="10" t="s">
        <v>15567</v>
      </c>
      <c r="S6161" s="11" t="s">
        <v>18097</v>
      </c>
      <c r="T6161" s="6"/>
      <c r="U6161" s="24" t="str">
        <f>HYPERLINK("https://media.infra-m.ru/2186/2186901/cover/2186901.jpg", "Обложка")</f>
        <v>Обложка</v>
      </c>
      <c r="V6161" s="24" t="str">
        <f>HYPERLINK("https://znanium.ru/catalog/product/1911141", "Ознакомиться")</f>
        <v>Ознакомиться</v>
      </c>
      <c r="W6161" s="8" t="s">
        <v>10544</v>
      </c>
      <c r="X6161" s="6"/>
      <c r="Y6161" s="6"/>
      <c r="Z6161" s="6"/>
      <c r="AA6161" s="6" t="s">
        <v>47</v>
      </c>
      <c r="AB6161" s="8"/>
    </row>
    <row r="6162" spans="1:28" s="4" customFormat="1" ht="51.95" customHeight="1">
      <c r="A6162" s="5">
        <v>0</v>
      </c>
      <c r="B6162" s="6" t="s">
        <v>35955</v>
      </c>
      <c r="C6162" s="13">
        <v>1440</v>
      </c>
      <c r="D6162" s="8" t="s">
        <v>35956</v>
      </c>
      <c r="E6162" s="8" t="s">
        <v>35952</v>
      </c>
      <c r="F6162" s="8" t="s">
        <v>35953</v>
      </c>
      <c r="G6162" s="6" t="s">
        <v>89</v>
      </c>
      <c r="H6162" s="6" t="s">
        <v>53</v>
      </c>
      <c r="I6162" s="8" t="s">
        <v>100</v>
      </c>
      <c r="J6162" s="9">
        <v>1</v>
      </c>
      <c r="K6162" s="9">
        <v>288</v>
      </c>
      <c r="L6162" s="9">
        <v>2025</v>
      </c>
      <c r="M6162" s="8" t="s">
        <v>35957</v>
      </c>
      <c r="N6162" s="8" t="s">
        <v>79</v>
      </c>
      <c r="O6162" s="8" t="s">
        <v>396</v>
      </c>
      <c r="P6162" s="6" t="s">
        <v>43</v>
      </c>
      <c r="Q6162" s="8" t="s">
        <v>102</v>
      </c>
      <c r="R6162" s="10" t="s">
        <v>35958</v>
      </c>
      <c r="S6162" s="11" t="s">
        <v>35959</v>
      </c>
      <c r="T6162" s="6"/>
      <c r="U6162" s="24" t="str">
        <f>HYPERLINK("https://media.infra-m.ru/2177/2177795/cover/2177795.jpg", "Обложка")</f>
        <v>Обложка</v>
      </c>
      <c r="V6162" s="24" t="str">
        <f>HYPERLINK("https://znanium.ru/catalog/product/2177795", "Ознакомиться")</f>
        <v>Ознакомиться</v>
      </c>
      <c r="W6162" s="8" t="s">
        <v>10544</v>
      </c>
      <c r="X6162" s="6"/>
      <c r="Y6162" s="6" t="s">
        <v>30</v>
      </c>
      <c r="Z6162" s="6" t="s">
        <v>104</v>
      </c>
      <c r="AA6162" s="6" t="s">
        <v>258</v>
      </c>
      <c r="AB6162" s="8"/>
    </row>
    <row r="6163" spans="1:28" s="4" customFormat="1" ht="51.95" customHeight="1">
      <c r="A6163" s="5">
        <v>0</v>
      </c>
      <c r="B6163" s="6" t="s">
        <v>35960</v>
      </c>
      <c r="C6163" s="7">
        <v>770</v>
      </c>
      <c r="D6163" s="8" t="s">
        <v>35961</v>
      </c>
      <c r="E6163" s="8" t="s">
        <v>35962</v>
      </c>
      <c r="F6163" s="8" t="s">
        <v>35963</v>
      </c>
      <c r="G6163" s="6" t="s">
        <v>38</v>
      </c>
      <c r="H6163" s="6" t="s">
        <v>53</v>
      </c>
      <c r="I6163" s="8" t="s">
        <v>1325</v>
      </c>
      <c r="J6163" s="9">
        <v>1</v>
      </c>
      <c r="K6163" s="9">
        <v>135</v>
      </c>
      <c r="L6163" s="9">
        <v>2024</v>
      </c>
      <c r="M6163" s="8" t="s">
        <v>35964</v>
      </c>
      <c r="N6163" s="8" t="s">
        <v>79</v>
      </c>
      <c r="O6163" s="8" t="s">
        <v>570</v>
      </c>
      <c r="P6163" s="6" t="s">
        <v>43</v>
      </c>
      <c r="Q6163" s="8" t="s">
        <v>58</v>
      </c>
      <c r="R6163" s="10" t="s">
        <v>35965</v>
      </c>
      <c r="S6163" s="11"/>
      <c r="T6163" s="6"/>
      <c r="U6163" s="24" t="str">
        <f>HYPERLINK("https://media.infra-m.ru/1898/1898393/cover/1898393.jpg", "Обложка")</f>
        <v>Обложка</v>
      </c>
      <c r="V6163" s="24" t="str">
        <f>HYPERLINK("https://znanium.ru/catalog/product/1898393", "Ознакомиться")</f>
        <v>Ознакомиться</v>
      </c>
      <c r="W6163" s="8" t="s">
        <v>1329</v>
      </c>
      <c r="X6163" s="6"/>
      <c r="Y6163" s="6"/>
      <c r="Z6163" s="6"/>
      <c r="AA6163" s="6" t="s">
        <v>133</v>
      </c>
      <c r="AB6163" s="8"/>
    </row>
    <row r="6164" spans="1:28" s="4" customFormat="1" ht="51.95" customHeight="1">
      <c r="A6164" s="5">
        <v>0</v>
      </c>
      <c r="B6164" s="6" t="s">
        <v>35966</v>
      </c>
      <c r="C6164" s="13">
        <v>1310</v>
      </c>
      <c r="D6164" s="8" t="s">
        <v>35967</v>
      </c>
      <c r="E6164" s="8" t="s">
        <v>35968</v>
      </c>
      <c r="F6164" s="8" t="s">
        <v>28221</v>
      </c>
      <c r="G6164" s="6" t="s">
        <v>52</v>
      </c>
      <c r="H6164" s="6" t="s">
        <v>53</v>
      </c>
      <c r="I6164" s="8" t="s">
        <v>1325</v>
      </c>
      <c r="J6164" s="9">
        <v>1</v>
      </c>
      <c r="K6164" s="9">
        <v>231</v>
      </c>
      <c r="L6164" s="9">
        <v>2025</v>
      </c>
      <c r="M6164" s="8" t="s">
        <v>35969</v>
      </c>
      <c r="N6164" s="8" t="s">
        <v>41</v>
      </c>
      <c r="O6164" s="8" t="s">
        <v>129</v>
      </c>
      <c r="P6164" s="6" t="s">
        <v>43</v>
      </c>
      <c r="Q6164" s="8" t="s">
        <v>58</v>
      </c>
      <c r="R6164" s="10" t="s">
        <v>4010</v>
      </c>
      <c r="S6164" s="11" t="s">
        <v>35970</v>
      </c>
      <c r="T6164" s="6"/>
      <c r="U6164" s="24" t="str">
        <f>HYPERLINK("https://media.infra-m.ru/2157/2157613/cover/2157613.jpg", "Обложка")</f>
        <v>Обложка</v>
      </c>
      <c r="V6164" s="24" t="str">
        <f>HYPERLINK("https://znanium.ru/catalog/product/2157613", "Ознакомиться")</f>
        <v>Ознакомиться</v>
      </c>
      <c r="W6164" s="8" t="s">
        <v>1329</v>
      </c>
      <c r="X6164" s="6" t="s">
        <v>60</v>
      </c>
      <c r="Y6164" s="6"/>
      <c r="Z6164" s="6"/>
      <c r="AA6164" s="6" t="s">
        <v>61</v>
      </c>
      <c r="AB6164" s="8"/>
    </row>
    <row r="6165" spans="1:28" s="4" customFormat="1" ht="51.95" customHeight="1">
      <c r="A6165" s="5">
        <v>0</v>
      </c>
      <c r="B6165" s="6" t="s">
        <v>35971</v>
      </c>
      <c r="C6165" s="7">
        <v>520</v>
      </c>
      <c r="D6165" s="8" t="s">
        <v>35972</v>
      </c>
      <c r="E6165" s="8" t="s">
        <v>35973</v>
      </c>
      <c r="F6165" s="8" t="s">
        <v>35974</v>
      </c>
      <c r="G6165" s="6" t="s">
        <v>16127</v>
      </c>
      <c r="H6165" s="6" t="s">
        <v>53</v>
      </c>
      <c r="I6165" s="8" t="s">
        <v>1325</v>
      </c>
      <c r="J6165" s="9">
        <v>1</v>
      </c>
      <c r="K6165" s="9">
        <v>38</v>
      </c>
      <c r="L6165" s="9">
        <v>2023</v>
      </c>
      <c r="M6165" s="8" t="s">
        <v>35975</v>
      </c>
      <c r="N6165" s="8" t="s">
        <v>79</v>
      </c>
      <c r="O6165" s="8" t="s">
        <v>570</v>
      </c>
      <c r="P6165" s="6" t="s">
        <v>43</v>
      </c>
      <c r="Q6165" s="8" t="s">
        <v>58</v>
      </c>
      <c r="R6165" s="10" t="s">
        <v>35976</v>
      </c>
      <c r="S6165" s="11" t="s">
        <v>35977</v>
      </c>
      <c r="T6165" s="6"/>
      <c r="U6165" s="24" t="str">
        <f>HYPERLINK("https://media.infra-m.ru/1914/1914003/cover/1914003.jpg", "Обложка")</f>
        <v>Обложка</v>
      </c>
      <c r="V6165" s="24" t="str">
        <f>HYPERLINK("https://znanium.ru/catalog/product/1914003", "Ознакомиться")</f>
        <v>Ознакомиться</v>
      </c>
      <c r="W6165" s="8" t="s">
        <v>1329</v>
      </c>
      <c r="X6165" s="6"/>
      <c r="Y6165" s="6"/>
      <c r="Z6165" s="6"/>
      <c r="AA6165" s="6" t="s">
        <v>258</v>
      </c>
      <c r="AB6165" s="8"/>
    </row>
    <row r="6166" spans="1:28" s="4" customFormat="1" ht="51.95" customHeight="1">
      <c r="A6166" s="5">
        <v>0</v>
      </c>
      <c r="B6166" s="6" t="s">
        <v>35978</v>
      </c>
      <c r="C6166" s="7">
        <v>540</v>
      </c>
      <c r="D6166" s="8" t="s">
        <v>35979</v>
      </c>
      <c r="E6166" s="8" t="s">
        <v>35980</v>
      </c>
      <c r="F6166" s="8" t="s">
        <v>35974</v>
      </c>
      <c r="G6166" s="6" t="s">
        <v>38</v>
      </c>
      <c r="H6166" s="6" t="s">
        <v>53</v>
      </c>
      <c r="I6166" s="8" t="s">
        <v>1325</v>
      </c>
      <c r="J6166" s="9">
        <v>1</v>
      </c>
      <c r="K6166" s="9">
        <v>51</v>
      </c>
      <c r="L6166" s="9">
        <v>2025</v>
      </c>
      <c r="M6166" s="8" t="s">
        <v>35981</v>
      </c>
      <c r="N6166" s="8" t="s">
        <v>79</v>
      </c>
      <c r="O6166" s="8" t="s">
        <v>570</v>
      </c>
      <c r="P6166" s="6" t="s">
        <v>43</v>
      </c>
      <c r="Q6166" s="8" t="s">
        <v>58</v>
      </c>
      <c r="R6166" s="10" t="s">
        <v>28209</v>
      </c>
      <c r="S6166" s="11" t="s">
        <v>35977</v>
      </c>
      <c r="T6166" s="6"/>
      <c r="U6166" s="24" t="str">
        <f>HYPERLINK("https://media.infra-m.ru/2188/2188191/cover/2188191.jpg", "Обложка")</f>
        <v>Обложка</v>
      </c>
      <c r="V6166" s="24" t="str">
        <f>HYPERLINK("https://znanium.ru/catalog/product/2188191", "Ознакомиться")</f>
        <v>Ознакомиться</v>
      </c>
      <c r="W6166" s="8" t="s">
        <v>1329</v>
      </c>
      <c r="X6166" s="6"/>
      <c r="Y6166" s="6"/>
      <c r="Z6166" s="6"/>
      <c r="AA6166" s="6" t="s">
        <v>258</v>
      </c>
      <c r="AB6166" s="8"/>
    </row>
    <row r="6167" spans="1:28" s="4" customFormat="1" ht="51.95" customHeight="1">
      <c r="A6167" s="5">
        <v>0</v>
      </c>
      <c r="B6167" s="6" t="s">
        <v>35982</v>
      </c>
      <c r="C6167" s="7">
        <v>880</v>
      </c>
      <c r="D6167" s="8" t="s">
        <v>35983</v>
      </c>
      <c r="E6167" s="8" t="s">
        <v>35984</v>
      </c>
      <c r="F6167" s="8" t="s">
        <v>35985</v>
      </c>
      <c r="G6167" s="6" t="s">
        <v>89</v>
      </c>
      <c r="H6167" s="6" t="s">
        <v>53</v>
      </c>
      <c r="I6167" s="8" t="s">
        <v>3356</v>
      </c>
      <c r="J6167" s="9">
        <v>1</v>
      </c>
      <c r="K6167" s="9">
        <v>191</v>
      </c>
      <c r="L6167" s="9">
        <v>2024</v>
      </c>
      <c r="M6167" s="8" t="s">
        <v>35986</v>
      </c>
      <c r="N6167" s="8" t="s">
        <v>79</v>
      </c>
      <c r="O6167" s="8" t="s">
        <v>570</v>
      </c>
      <c r="P6167" s="6" t="s">
        <v>43</v>
      </c>
      <c r="Q6167" s="8" t="s">
        <v>214</v>
      </c>
      <c r="R6167" s="10" t="s">
        <v>28355</v>
      </c>
      <c r="S6167" s="11" t="s">
        <v>35987</v>
      </c>
      <c r="T6167" s="6"/>
      <c r="U6167" s="24" t="str">
        <f>HYPERLINK("https://media.infra-m.ru/2103/2103194/cover/2103194.jpg", "Обложка")</f>
        <v>Обложка</v>
      </c>
      <c r="V6167" s="12"/>
      <c r="W6167" s="8" t="s">
        <v>784</v>
      </c>
      <c r="X6167" s="6"/>
      <c r="Y6167" s="6"/>
      <c r="Z6167" s="6"/>
      <c r="AA6167" s="6" t="s">
        <v>151</v>
      </c>
      <c r="AB6167" s="8"/>
    </row>
    <row r="6168" spans="1:28" s="4" customFormat="1" ht="44.1" customHeight="1">
      <c r="A6168" s="5">
        <v>0</v>
      </c>
      <c r="B6168" s="6" t="s">
        <v>35988</v>
      </c>
      <c r="C6168" s="7">
        <v>649.9</v>
      </c>
      <c r="D6168" s="8" t="s">
        <v>35989</v>
      </c>
      <c r="E6168" s="8" t="s">
        <v>35990</v>
      </c>
      <c r="F6168" s="8" t="s">
        <v>35991</v>
      </c>
      <c r="G6168" s="6" t="s">
        <v>52</v>
      </c>
      <c r="H6168" s="6" t="s">
        <v>53</v>
      </c>
      <c r="I6168" s="8" t="s">
        <v>116</v>
      </c>
      <c r="J6168" s="9">
        <v>1</v>
      </c>
      <c r="K6168" s="9">
        <v>333</v>
      </c>
      <c r="L6168" s="9">
        <v>2015</v>
      </c>
      <c r="M6168" s="8" t="s">
        <v>35992</v>
      </c>
      <c r="N6168" s="8" t="s">
        <v>79</v>
      </c>
      <c r="O6168" s="8" t="s">
        <v>537</v>
      </c>
      <c r="P6168" s="6" t="s">
        <v>43</v>
      </c>
      <c r="Q6168" s="8" t="s">
        <v>44</v>
      </c>
      <c r="R6168" s="10" t="s">
        <v>35993</v>
      </c>
      <c r="S6168" s="11"/>
      <c r="T6168" s="6"/>
      <c r="U6168" s="24" t="str">
        <f>HYPERLINK("https://media.infra-m.ru/0483/0483146/cover/483146.jpg", "Обложка")</f>
        <v>Обложка</v>
      </c>
      <c r="V6168" s="24" t="str">
        <f>HYPERLINK("https://znanium.ru/catalog/product/483146", "Ознакомиться")</f>
        <v>Ознакомиться</v>
      </c>
      <c r="W6168" s="8" t="s">
        <v>521</v>
      </c>
      <c r="X6168" s="6"/>
      <c r="Y6168" s="6"/>
      <c r="Z6168" s="6"/>
      <c r="AA6168" s="6" t="s">
        <v>111</v>
      </c>
      <c r="AB6168" s="8"/>
    </row>
    <row r="6169" spans="1:28" s="4" customFormat="1" ht="51.95" customHeight="1">
      <c r="A6169" s="5">
        <v>0</v>
      </c>
      <c r="B6169" s="6" t="s">
        <v>35994</v>
      </c>
      <c r="C6169" s="7">
        <v>884</v>
      </c>
      <c r="D6169" s="8" t="s">
        <v>35995</v>
      </c>
      <c r="E6169" s="8" t="s">
        <v>35996</v>
      </c>
      <c r="F6169" s="8" t="s">
        <v>35997</v>
      </c>
      <c r="G6169" s="6" t="s">
        <v>38</v>
      </c>
      <c r="H6169" s="6" t="s">
        <v>39</v>
      </c>
      <c r="I6169" s="8" t="s">
        <v>116</v>
      </c>
      <c r="J6169" s="9">
        <v>1</v>
      </c>
      <c r="K6169" s="9">
        <v>176</v>
      </c>
      <c r="L6169" s="9">
        <v>2025</v>
      </c>
      <c r="M6169" s="8" t="s">
        <v>35998</v>
      </c>
      <c r="N6169" s="8" t="s">
        <v>79</v>
      </c>
      <c r="O6169" s="8" t="s">
        <v>396</v>
      </c>
      <c r="P6169" s="6" t="s">
        <v>43</v>
      </c>
      <c r="Q6169" s="8" t="s">
        <v>44</v>
      </c>
      <c r="R6169" s="10" t="s">
        <v>35999</v>
      </c>
      <c r="S6169" s="11" t="s">
        <v>36000</v>
      </c>
      <c r="T6169" s="6"/>
      <c r="U6169" s="24" t="str">
        <f>HYPERLINK("https://media.infra-m.ru/2168/2168880/cover/2168880.jpg", "Обложка")</f>
        <v>Обложка</v>
      </c>
      <c r="V6169" s="24" t="str">
        <f>HYPERLINK("https://znanium.ru/catalog/product/2155745", "Ознакомиться")</f>
        <v>Ознакомиться</v>
      </c>
      <c r="W6169" s="8" t="s">
        <v>10544</v>
      </c>
      <c r="X6169" s="6"/>
      <c r="Y6169" s="6"/>
      <c r="Z6169" s="6"/>
      <c r="AA6169" s="6" t="s">
        <v>84</v>
      </c>
      <c r="AB6169" s="8"/>
    </row>
    <row r="6170" spans="1:28" s="4" customFormat="1" ht="51.95" customHeight="1">
      <c r="A6170" s="5">
        <v>0</v>
      </c>
      <c r="B6170" s="6" t="s">
        <v>36001</v>
      </c>
      <c r="C6170" s="7">
        <v>820</v>
      </c>
      <c r="D6170" s="8" t="s">
        <v>36002</v>
      </c>
      <c r="E6170" s="8" t="s">
        <v>35996</v>
      </c>
      <c r="F6170" s="8" t="s">
        <v>35997</v>
      </c>
      <c r="G6170" s="6" t="s">
        <v>38</v>
      </c>
      <c r="H6170" s="6" t="s">
        <v>39</v>
      </c>
      <c r="I6170" s="8" t="s">
        <v>100</v>
      </c>
      <c r="J6170" s="9">
        <v>1</v>
      </c>
      <c r="K6170" s="9">
        <v>176</v>
      </c>
      <c r="L6170" s="9">
        <v>2024</v>
      </c>
      <c r="M6170" s="8" t="s">
        <v>36003</v>
      </c>
      <c r="N6170" s="8" t="s">
        <v>79</v>
      </c>
      <c r="O6170" s="8" t="s">
        <v>684</v>
      </c>
      <c r="P6170" s="6" t="s">
        <v>43</v>
      </c>
      <c r="Q6170" s="8" t="s">
        <v>102</v>
      </c>
      <c r="R6170" s="10" t="s">
        <v>36004</v>
      </c>
      <c r="S6170" s="11" t="s">
        <v>36005</v>
      </c>
      <c r="T6170" s="6"/>
      <c r="U6170" s="24" t="str">
        <f>HYPERLINK("https://media.infra-m.ru/2116/2116909/cover/2116909.jpg", "Обложка")</f>
        <v>Обложка</v>
      </c>
      <c r="V6170" s="24" t="str">
        <f>HYPERLINK("https://znanium.ru/catalog/product/2116909", "Ознакомиться")</f>
        <v>Ознакомиться</v>
      </c>
      <c r="W6170" s="8" t="s">
        <v>10544</v>
      </c>
      <c r="X6170" s="6"/>
      <c r="Y6170" s="6"/>
      <c r="Z6170" s="6" t="s">
        <v>104</v>
      </c>
      <c r="AA6170" s="6" t="s">
        <v>258</v>
      </c>
      <c r="AB6170" s="8"/>
    </row>
    <row r="6171" spans="1:28" s="4" customFormat="1" ht="51.95" customHeight="1">
      <c r="A6171" s="5">
        <v>0</v>
      </c>
      <c r="B6171" s="6" t="s">
        <v>36006</v>
      </c>
      <c r="C6171" s="13">
        <v>1510</v>
      </c>
      <c r="D6171" s="8" t="s">
        <v>36007</v>
      </c>
      <c r="E6171" s="8" t="s">
        <v>36008</v>
      </c>
      <c r="F6171" s="8" t="s">
        <v>36009</v>
      </c>
      <c r="G6171" s="6" t="s">
        <v>89</v>
      </c>
      <c r="H6171" s="6" t="s">
        <v>53</v>
      </c>
      <c r="I6171" s="8" t="s">
        <v>90</v>
      </c>
      <c r="J6171" s="9">
        <v>1</v>
      </c>
      <c r="K6171" s="9">
        <v>336</v>
      </c>
      <c r="L6171" s="9">
        <v>2019</v>
      </c>
      <c r="M6171" s="8" t="s">
        <v>36010</v>
      </c>
      <c r="N6171" s="8" t="s">
        <v>79</v>
      </c>
      <c r="O6171" s="8" t="s">
        <v>684</v>
      </c>
      <c r="P6171" s="6" t="s">
        <v>167</v>
      </c>
      <c r="Q6171" s="8" t="s">
        <v>44</v>
      </c>
      <c r="R6171" s="10" t="s">
        <v>5343</v>
      </c>
      <c r="S6171" s="11" t="s">
        <v>5351</v>
      </c>
      <c r="T6171" s="6"/>
      <c r="U6171" s="24" t="str">
        <f>HYPERLINK("https://media.infra-m.ru/1960/1960132/cover/1960132.jpg", "Обложка")</f>
        <v>Обложка</v>
      </c>
      <c r="V6171" s="24" t="str">
        <f>HYPERLINK("https://znanium.ru/catalog/product/1058537", "Ознакомиться")</f>
        <v>Ознакомиться</v>
      </c>
      <c r="W6171" s="8" t="s">
        <v>20467</v>
      </c>
      <c r="X6171" s="6"/>
      <c r="Y6171" s="6"/>
      <c r="Z6171" s="6"/>
      <c r="AA6171" s="6" t="s">
        <v>84</v>
      </c>
      <c r="AB6171" s="8"/>
    </row>
    <row r="6172" spans="1:28" s="4" customFormat="1" ht="51.95" customHeight="1">
      <c r="A6172" s="5">
        <v>0</v>
      </c>
      <c r="B6172" s="6" t="s">
        <v>36011</v>
      </c>
      <c r="C6172" s="13">
        <v>1060</v>
      </c>
      <c r="D6172" s="8" t="s">
        <v>36012</v>
      </c>
      <c r="E6172" s="8" t="s">
        <v>36013</v>
      </c>
      <c r="F6172" s="8" t="s">
        <v>17426</v>
      </c>
      <c r="G6172" s="6" t="s">
        <v>89</v>
      </c>
      <c r="H6172" s="6" t="s">
        <v>53</v>
      </c>
      <c r="I6172" s="8" t="s">
        <v>100</v>
      </c>
      <c r="J6172" s="9">
        <v>1</v>
      </c>
      <c r="K6172" s="9">
        <v>203</v>
      </c>
      <c r="L6172" s="9">
        <v>2025</v>
      </c>
      <c r="M6172" s="8" t="s">
        <v>36014</v>
      </c>
      <c r="N6172" s="8" t="s">
        <v>79</v>
      </c>
      <c r="O6172" s="8" t="s">
        <v>396</v>
      </c>
      <c r="P6172" s="6" t="s">
        <v>43</v>
      </c>
      <c r="Q6172" s="8" t="s">
        <v>102</v>
      </c>
      <c r="R6172" s="10" t="s">
        <v>36015</v>
      </c>
      <c r="S6172" s="11" t="s">
        <v>36016</v>
      </c>
      <c r="T6172" s="6"/>
      <c r="U6172" s="24" t="str">
        <f>HYPERLINK("https://media.infra-m.ru/2188/2188286/cover/2188286.jpg", "Обложка")</f>
        <v>Обложка</v>
      </c>
      <c r="V6172" s="24" t="str">
        <f>HYPERLINK("https://znanium.ru/catalog/product/2188286", "Ознакомиться")</f>
        <v>Ознакомиться</v>
      </c>
      <c r="W6172" s="8" t="s">
        <v>2470</v>
      </c>
      <c r="X6172" s="6"/>
      <c r="Y6172" s="6"/>
      <c r="Z6172" s="6" t="s">
        <v>502</v>
      </c>
      <c r="AA6172" s="6" t="s">
        <v>219</v>
      </c>
      <c r="AB6172" s="8"/>
    </row>
    <row r="6173" spans="1:28" s="4" customFormat="1" ht="51.95" customHeight="1">
      <c r="A6173" s="5">
        <v>0</v>
      </c>
      <c r="B6173" s="6" t="s">
        <v>36017</v>
      </c>
      <c r="C6173" s="13">
        <v>1020</v>
      </c>
      <c r="D6173" s="8" t="s">
        <v>36018</v>
      </c>
      <c r="E6173" s="8" t="s">
        <v>36013</v>
      </c>
      <c r="F6173" s="8" t="s">
        <v>17426</v>
      </c>
      <c r="G6173" s="6" t="s">
        <v>89</v>
      </c>
      <c r="H6173" s="6" t="s">
        <v>53</v>
      </c>
      <c r="I6173" s="8" t="s">
        <v>116</v>
      </c>
      <c r="J6173" s="9">
        <v>1</v>
      </c>
      <c r="K6173" s="9">
        <v>203</v>
      </c>
      <c r="L6173" s="9">
        <v>2025</v>
      </c>
      <c r="M6173" s="8" t="s">
        <v>36019</v>
      </c>
      <c r="N6173" s="8" t="s">
        <v>79</v>
      </c>
      <c r="O6173" s="8" t="s">
        <v>396</v>
      </c>
      <c r="P6173" s="6" t="s">
        <v>43</v>
      </c>
      <c r="Q6173" s="8" t="s">
        <v>58</v>
      </c>
      <c r="R6173" s="10" t="s">
        <v>6409</v>
      </c>
      <c r="S6173" s="11" t="s">
        <v>36020</v>
      </c>
      <c r="T6173" s="6"/>
      <c r="U6173" s="24" t="str">
        <f>HYPERLINK("https://media.infra-m.ru/2168/2168887/cover/2168887.jpg", "Обложка")</f>
        <v>Обложка</v>
      </c>
      <c r="V6173" s="24" t="str">
        <f>HYPERLINK("https://znanium.ru/catalog/product/2168887", "Ознакомиться")</f>
        <v>Ознакомиться</v>
      </c>
      <c r="W6173" s="8" t="s">
        <v>2470</v>
      </c>
      <c r="X6173" s="6"/>
      <c r="Y6173" s="6"/>
      <c r="Z6173" s="6"/>
      <c r="AA6173" s="6" t="s">
        <v>793</v>
      </c>
      <c r="AB6173" s="8"/>
    </row>
    <row r="6174" spans="1:28" s="4" customFormat="1" ht="51.95" customHeight="1">
      <c r="A6174" s="5">
        <v>0</v>
      </c>
      <c r="B6174" s="6" t="s">
        <v>36021</v>
      </c>
      <c r="C6174" s="13">
        <v>1854</v>
      </c>
      <c r="D6174" s="8" t="s">
        <v>36022</v>
      </c>
      <c r="E6174" s="8" t="s">
        <v>36023</v>
      </c>
      <c r="F6174" s="8" t="s">
        <v>36024</v>
      </c>
      <c r="G6174" s="6" t="s">
        <v>89</v>
      </c>
      <c r="H6174" s="6" t="s">
        <v>53</v>
      </c>
      <c r="I6174" s="8" t="s">
        <v>90</v>
      </c>
      <c r="J6174" s="9">
        <v>1</v>
      </c>
      <c r="K6174" s="9">
        <v>356</v>
      </c>
      <c r="L6174" s="9">
        <v>2025</v>
      </c>
      <c r="M6174" s="8" t="s">
        <v>36025</v>
      </c>
      <c r="N6174" s="8" t="s">
        <v>79</v>
      </c>
      <c r="O6174" s="8" t="s">
        <v>396</v>
      </c>
      <c r="P6174" s="6" t="s">
        <v>43</v>
      </c>
      <c r="Q6174" s="8" t="s">
        <v>44</v>
      </c>
      <c r="R6174" s="10" t="s">
        <v>30526</v>
      </c>
      <c r="S6174" s="11" t="s">
        <v>36026</v>
      </c>
      <c r="T6174" s="6"/>
      <c r="U6174" s="24" t="str">
        <f>HYPERLINK("https://media.infra-m.ru/2198/2198393/cover/2198393.jpg", "Обложка")</f>
        <v>Обложка</v>
      </c>
      <c r="V6174" s="24" t="str">
        <f>HYPERLINK("https://znanium.ru/catalog/product/1932265", "Ознакомиться")</f>
        <v>Ознакомиться</v>
      </c>
      <c r="W6174" s="8" t="s">
        <v>150</v>
      </c>
      <c r="X6174" s="6"/>
      <c r="Y6174" s="6"/>
      <c r="Z6174" s="6"/>
      <c r="AA6174" s="6" t="s">
        <v>258</v>
      </c>
      <c r="AB6174" s="8"/>
    </row>
    <row r="6175" spans="1:28" s="4" customFormat="1" ht="51.95" customHeight="1">
      <c r="A6175" s="5">
        <v>0</v>
      </c>
      <c r="B6175" s="6" t="s">
        <v>36027</v>
      </c>
      <c r="C6175" s="13">
        <v>1484</v>
      </c>
      <c r="D6175" s="8" t="s">
        <v>36028</v>
      </c>
      <c r="E6175" s="8" t="s">
        <v>36029</v>
      </c>
      <c r="F6175" s="8" t="s">
        <v>36030</v>
      </c>
      <c r="G6175" s="6" t="s">
        <v>89</v>
      </c>
      <c r="H6175" s="6" t="s">
        <v>53</v>
      </c>
      <c r="I6175" s="8" t="s">
        <v>100</v>
      </c>
      <c r="J6175" s="9">
        <v>1</v>
      </c>
      <c r="K6175" s="9">
        <v>295</v>
      </c>
      <c r="L6175" s="9">
        <v>2025</v>
      </c>
      <c r="M6175" s="8" t="s">
        <v>36031</v>
      </c>
      <c r="N6175" s="8" t="s">
        <v>79</v>
      </c>
      <c r="O6175" s="8" t="s">
        <v>424</v>
      </c>
      <c r="P6175" s="6" t="s">
        <v>167</v>
      </c>
      <c r="Q6175" s="8" t="s">
        <v>102</v>
      </c>
      <c r="R6175" s="10" t="s">
        <v>36032</v>
      </c>
      <c r="S6175" s="11" t="s">
        <v>36033</v>
      </c>
      <c r="T6175" s="6"/>
      <c r="U6175" s="24" t="str">
        <f>HYPERLINK("https://media.infra-m.ru/2185/2185214/cover/2185214.jpg", "Обложка")</f>
        <v>Обложка</v>
      </c>
      <c r="V6175" s="24" t="str">
        <f>HYPERLINK("https://znanium.ru/catalog/product/2163168", "Ознакомиться")</f>
        <v>Ознакомиться</v>
      </c>
      <c r="W6175" s="8" t="s">
        <v>6489</v>
      </c>
      <c r="X6175" s="6"/>
      <c r="Y6175" s="6" t="s">
        <v>30</v>
      </c>
      <c r="Z6175" s="6"/>
      <c r="AA6175" s="6" t="s">
        <v>219</v>
      </c>
      <c r="AB6175" s="8"/>
    </row>
    <row r="6176" spans="1:28" s="4" customFormat="1" ht="51.95" customHeight="1">
      <c r="A6176" s="5">
        <v>0</v>
      </c>
      <c r="B6176" s="6" t="s">
        <v>36034</v>
      </c>
      <c r="C6176" s="13">
        <v>1850</v>
      </c>
      <c r="D6176" s="8" t="s">
        <v>36035</v>
      </c>
      <c r="E6176" s="8" t="s">
        <v>36023</v>
      </c>
      <c r="F6176" s="8" t="s">
        <v>36024</v>
      </c>
      <c r="G6176" s="6" t="s">
        <v>89</v>
      </c>
      <c r="H6176" s="6" t="s">
        <v>53</v>
      </c>
      <c r="I6176" s="8" t="s">
        <v>100</v>
      </c>
      <c r="J6176" s="9">
        <v>1</v>
      </c>
      <c r="K6176" s="9">
        <v>356</v>
      </c>
      <c r="L6176" s="9">
        <v>2025</v>
      </c>
      <c r="M6176" s="8" t="s">
        <v>36036</v>
      </c>
      <c r="N6176" s="8" t="s">
        <v>79</v>
      </c>
      <c r="O6176" s="8" t="s">
        <v>396</v>
      </c>
      <c r="P6176" s="6" t="s">
        <v>43</v>
      </c>
      <c r="Q6176" s="8" t="s">
        <v>102</v>
      </c>
      <c r="R6176" s="10" t="s">
        <v>36037</v>
      </c>
      <c r="S6176" s="11" t="s">
        <v>36038</v>
      </c>
      <c r="T6176" s="6"/>
      <c r="U6176" s="24" t="str">
        <f>HYPERLINK("https://media.infra-m.ru/2201/2201204/cover/2201204.jpg", "Обложка")</f>
        <v>Обложка</v>
      </c>
      <c r="V6176" s="24" t="str">
        <f>HYPERLINK("https://znanium.ru/catalog/product/2201204", "Ознакомиться")</f>
        <v>Ознакомиться</v>
      </c>
      <c r="W6176" s="8" t="s">
        <v>150</v>
      </c>
      <c r="X6176" s="6"/>
      <c r="Y6176" s="6" t="s">
        <v>30</v>
      </c>
      <c r="Z6176" s="6" t="s">
        <v>104</v>
      </c>
      <c r="AA6176" s="6" t="s">
        <v>793</v>
      </c>
      <c r="AB6176" s="8"/>
    </row>
    <row r="6177" spans="1:28" s="4" customFormat="1" ht="51.95" customHeight="1">
      <c r="A6177" s="5">
        <v>0</v>
      </c>
      <c r="B6177" s="6" t="s">
        <v>36039</v>
      </c>
      <c r="C6177" s="13">
        <v>1364.9</v>
      </c>
      <c r="D6177" s="8" t="s">
        <v>36040</v>
      </c>
      <c r="E6177" s="8" t="s">
        <v>36041</v>
      </c>
      <c r="F6177" s="8" t="s">
        <v>36042</v>
      </c>
      <c r="G6177" s="6" t="s">
        <v>52</v>
      </c>
      <c r="H6177" s="6" t="s">
        <v>649</v>
      </c>
      <c r="I6177" s="8" t="s">
        <v>116</v>
      </c>
      <c r="J6177" s="9">
        <v>1</v>
      </c>
      <c r="K6177" s="9">
        <v>304</v>
      </c>
      <c r="L6177" s="9">
        <v>2023</v>
      </c>
      <c r="M6177" s="8" t="s">
        <v>36043</v>
      </c>
      <c r="N6177" s="8" t="s">
        <v>413</v>
      </c>
      <c r="O6177" s="8" t="s">
        <v>1141</v>
      </c>
      <c r="P6177" s="6" t="s">
        <v>43</v>
      </c>
      <c r="Q6177" s="8" t="s">
        <v>44</v>
      </c>
      <c r="R6177" s="10" t="s">
        <v>36044</v>
      </c>
      <c r="S6177" s="11" t="s">
        <v>2528</v>
      </c>
      <c r="T6177" s="6"/>
      <c r="U6177" s="24" t="str">
        <f>HYPERLINK("https://media.infra-m.ru/1913/1913684/cover/1913684.jpg", "Обложка")</f>
        <v>Обложка</v>
      </c>
      <c r="V6177" s="24" t="str">
        <f>HYPERLINK("https://znanium.ru/catalog/product/938037", "Ознакомиться")</f>
        <v>Ознакомиться</v>
      </c>
      <c r="W6177" s="8" t="s">
        <v>71</v>
      </c>
      <c r="X6177" s="6"/>
      <c r="Y6177" s="6"/>
      <c r="Z6177" s="6"/>
      <c r="AA6177" s="6" t="s">
        <v>418</v>
      </c>
      <c r="AB6177" s="8"/>
    </row>
    <row r="6178" spans="1:28" s="4" customFormat="1" ht="51.95" customHeight="1">
      <c r="A6178" s="5">
        <v>0</v>
      </c>
      <c r="B6178" s="6" t="s">
        <v>36045</v>
      </c>
      <c r="C6178" s="7">
        <v>647</v>
      </c>
      <c r="D6178" s="8" t="s">
        <v>36046</v>
      </c>
      <c r="E6178" s="8" t="s">
        <v>36047</v>
      </c>
      <c r="F6178" s="8" t="s">
        <v>36048</v>
      </c>
      <c r="G6178" s="6" t="s">
        <v>38</v>
      </c>
      <c r="H6178" s="6" t="s">
        <v>39</v>
      </c>
      <c r="I6178" s="8" t="s">
        <v>116</v>
      </c>
      <c r="J6178" s="9">
        <v>1</v>
      </c>
      <c r="K6178" s="9">
        <v>96</v>
      </c>
      <c r="L6178" s="9">
        <v>2025</v>
      </c>
      <c r="M6178" s="8" t="s">
        <v>36049</v>
      </c>
      <c r="N6178" s="8" t="s">
        <v>79</v>
      </c>
      <c r="O6178" s="8" t="s">
        <v>174</v>
      </c>
      <c r="P6178" s="6" t="s">
        <v>43</v>
      </c>
      <c r="Q6178" s="8" t="s">
        <v>44</v>
      </c>
      <c r="R6178" s="10" t="s">
        <v>24776</v>
      </c>
      <c r="S6178" s="11" t="s">
        <v>36050</v>
      </c>
      <c r="T6178" s="6"/>
      <c r="U6178" s="24" t="str">
        <f>HYPERLINK("https://media.infra-m.ru/2197/2197609/cover/2197609.jpg", "Обложка")</f>
        <v>Обложка</v>
      </c>
      <c r="V6178" s="24" t="str">
        <f>HYPERLINK("https://znanium.ru/catalog/product/1595188", "Ознакомиться")</f>
        <v>Ознакомиться</v>
      </c>
      <c r="W6178" s="8" t="s">
        <v>5973</v>
      </c>
      <c r="X6178" s="6"/>
      <c r="Y6178" s="6"/>
      <c r="Z6178" s="6"/>
      <c r="AA6178" s="6" t="s">
        <v>111</v>
      </c>
      <c r="AB6178" s="8"/>
    </row>
    <row r="6179" spans="1:28" s="4" customFormat="1" ht="51.95" customHeight="1">
      <c r="A6179" s="5">
        <v>0</v>
      </c>
      <c r="B6179" s="6" t="s">
        <v>36051</v>
      </c>
      <c r="C6179" s="13">
        <v>1390</v>
      </c>
      <c r="D6179" s="8" t="s">
        <v>36052</v>
      </c>
      <c r="E6179" s="8" t="s">
        <v>36053</v>
      </c>
      <c r="F6179" s="8" t="s">
        <v>36054</v>
      </c>
      <c r="G6179" s="6" t="s">
        <v>89</v>
      </c>
      <c r="H6179" s="6" t="s">
        <v>53</v>
      </c>
      <c r="I6179" s="8" t="s">
        <v>100</v>
      </c>
      <c r="J6179" s="9">
        <v>1</v>
      </c>
      <c r="K6179" s="9">
        <v>278</v>
      </c>
      <c r="L6179" s="9">
        <v>2025</v>
      </c>
      <c r="M6179" s="8" t="s">
        <v>36055</v>
      </c>
      <c r="N6179" s="8" t="s">
        <v>79</v>
      </c>
      <c r="O6179" s="8" t="s">
        <v>570</v>
      </c>
      <c r="P6179" s="6" t="s">
        <v>43</v>
      </c>
      <c r="Q6179" s="8" t="s">
        <v>102</v>
      </c>
      <c r="R6179" s="10" t="s">
        <v>36056</v>
      </c>
      <c r="S6179" s="11" t="s">
        <v>36057</v>
      </c>
      <c r="T6179" s="6" t="s">
        <v>299</v>
      </c>
      <c r="U6179" s="24" t="str">
        <f>HYPERLINK("https://media.infra-m.ru/2171/2171474/cover/2171474.jpg", "Обложка")</f>
        <v>Обложка</v>
      </c>
      <c r="V6179" s="24" t="str">
        <f>HYPERLINK("https://znanium.ru/catalog/product/2171474", "Ознакомиться")</f>
        <v>Ознакомиться</v>
      </c>
      <c r="W6179" s="8" t="s">
        <v>6503</v>
      </c>
      <c r="X6179" s="6"/>
      <c r="Y6179" s="6"/>
      <c r="Z6179" s="6"/>
      <c r="AA6179" s="6" t="s">
        <v>1259</v>
      </c>
      <c r="AB6179" s="8" t="s">
        <v>2344</v>
      </c>
    </row>
    <row r="6180" spans="1:28" s="4" customFormat="1" ht="51.95" customHeight="1">
      <c r="A6180" s="5">
        <v>0</v>
      </c>
      <c r="B6180" s="6" t="s">
        <v>36058</v>
      </c>
      <c r="C6180" s="13">
        <v>1822</v>
      </c>
      <c r="D6180" s="8" t="s">
        <v>36059</v>
      </c>
      <c r="E6180" s="8" t="s">
        <v>36060</v>
      </c>
      <c r="F6180" s="8" t="s">
        <v>36061</v>
      </c>
      <c r="G6180" s="6" t="s">
        <v>89</v>
      </c>
      <c r="H6180" s="6" t="s">
        <v>39</v>
      </c>
      <c r="I6180" s="8" t="s">
        <v>116</v>
      </c>
      <c r="J6180" s="9">
        <v>1</v>
      </c>
      <c r="K6180" s="9">
        <v>303</v>
      </c>
      <c r="L6180" s="9">
        <v>2024</v>
      </c>
      <c r="M6180" s="8" t="s">
        <v>36062</v>
      </c>
      <c r="N6180" s="8" t="s">
        <v>79</v>
      </c>
      <c r="O6180" s="8" t="s">
        <v>396</v>
      </c>
      <c r="P6180" s="6" t="s">
        <v>43</v>
      </c>
      <c r="Q6180" s="8" t="s">
        <v>44</v>
      </c>
      <c r="R6180" s="10" t="s">
        <v>15567</v>
      </c>
      <c r="S6180" s="11" t="s">
        <v>36063</v>
      </c>
      <c r="T6180" s="6"/>
      <c r="U6180" s="24" t="str">
        <f>HYPERLINK("https://media.infra-m.ru/2084/2084333/cover/2084333.jpg", "Обложка")</f>
        <v>Обложка</v>
      </c>
      <c r="V6180" s="24" t="str">
        <f>HYPERLINK("https://znanium.ru/catalog/product/2084333", "Ознакомиться")</f>
        <v>Ознакомиться</v>
      </c>
      <c r="W6180" s="8" t="s">
        <v>8065</v>
      </c>
      <c r="X6180" s="6"/>
      <c r="Y6180" s="6"/>
      <c r="Z6180" s="6"/>
      <c r="AA6180" s="6" t="s">
        <v>111</v>
      </c>
      <c r="AB6180" s="8"/>
    </row>
    <row r="6181" spans="1:28" s="4" customFormat="1" ht="51.95" customHeight="1">
      <c r="A6181" s="5">
        <v>0</v>
      </c>
      <c r="B6181" s="6" t="s">
        <v>36064</v>
      </c>
      <c r="C6181" s="13">
        <v>1977</v>
      </c>
      <c r="D6181" s="8" t="s">
        <v>36065</v>
      </c>
      <c r="E6181" s="8" t="s">
        <v>36060</v>
      </c>
      <c r="F6181" s="8" t="s">
        <v>36061</v>
      </c>
      <c r="G6181" s="6" t="s">
        <v>89</v>
      </c>
      <c r="H6181" s="6" t="s">
        <v>39</v>
      </c>
      <c r="I6181" s="8" t="s">
        <v>100</v>
      </c>
      <c r="J6181" s="9">
        <v>1</v>
      </c>
      <c r="K6181" s="9">
        <v>303</v>
      </c>
      <c r="L6181" s="9">
        <v>2025</v>
      </c>
      <c r="M6181" s="8" t="s">
        <v>36066</v>
      </c>
      <c r="N6181" s="8" t="s">
        <v>79</v>
      </c>
      <c r="O6181" s="8" t="s">
        <v>396</v>
      </c>
      <c r="P6181" s="6" t="s">
        <v>43</v>
      </c>
      <c r="Q6181" s="8" t="s">
        <v>102</v>
      </c>
      <c r="R6181" s="10" t="s">
        <v>2037</v>
      </c>
      <c r="S6181" s="11" t="s">
        <v>36067</v>
      </c>
      <c r="T6181" s="6"/>
      <c r="U6181" s="24" t="str">
        <f>HYPERLINK("https://media.infra-m.ru/2180/2180434/cover/2180434.jpg", "Обложка")</f>
        <v>Обложка</v>
      </c>
      <c r="V6181" s="24" t="str">
        <f>HYPERLINK("https://znanium.ru/catalog/product/2179489", "Ознакомиться")</f>
        <v>Ознакомиться</v>
      </c>
      <c r="W6181" s="8" t="s">
        <v>8065</v>
      </c>
      <c r="X6181" s="6"/>
      <c r="Y6181" s="6"/>
      <c r="Z6181" s="6" t="s">
        <v>104</v>
      </c>
      <c r="AA6181" s="6" t="s">
        <v>151</v>
      </c>
      <c r="AB6181" s="8"/>
    </row>
    <row r="6182" spans="1:28" s="4" customFormat="1" ht="42" customHeight="1">
      <c r="A6182" s="5">
        <v>0</v>
      </c>
      <c r="B6182" s="6" t="s">
        <v>36068</v>
      </c>
      <c r="C6182" s="7">
        <v>840</v>
      </c>
      <c r="D6182" s="8" t="s">
        <v>36069</v>
      </c>
      <c r="E6182" s="8" t="s">
        <v>36070</v>
      </c>
      <c r="F6182" s="8" t="s">
        <v>36071</v>
      </c>
      <c r="G6182" s="6" t="s">
        <v>38</v>
      </c>
      <c r="H6182" s="6" t="s">
        <v>184</v>
      </c>
      <c r="I6182" s="8"/>
      <c r="J6182" s="9">
        <v>1</v>
      </c>
      <c r="K6182" s="9">
        <v>148</v>
      </c>
      <c r="L6182" s="9">
        <v>2025</v>
      </c>
      <c r="M6182" s="8" t="s">
        <v>36072</v>
      </c>
      <c r="N6182" s="8" t="s">
        <v>79</v>
      </c>
      <c r="O6182" s="8" t="s">
        <v>684</v>
      </c>
      <c r="P6182" s="6" t="s">
        <v>43</v>
      </c>
      <c r="Q6182" s="8" t="s">
        <v>44</v>
      </c>
      <c r="R6182" s="10" t="s">
        <v>36073</v>
      </c>
      <c r="S6182" s="11"/>
      <c r="T6182" s="6"/>
      <c r="U6182" s="24" t="str">
        <f>HYPERLINK("https://media.infra-m.ru/2187/2187592/cover/2187592.jpg", "Обложка")</f>
        <v>Обложка</v>
      </c>
      <c r="V6182" s="24" t="str">
        <f>HYPERLINK("https://znanium.ru/catalog/product/2187592", "Ознакомиться")</f>
        <v>Ознакомиться</v>
      </c>
      <c r="W6182" s="8" t="s">
        <v>637</v>
      </c>
      <c r="X6182" s="6"/>
      <c r="Y6182" s="6"/>
      <c r="Z6182" s="6"/>
      <c r="AA6182" s="6" t="s">
        <v>151</v>
      </c>
      <c r="AB6182" s="8"/>
    </row>
    <row r="6183" spans="1:28" s="4" customFormat="1" ht="42" customHeight="1">
      <c r="A6183" s="5">
        <v>0</v>
      </c>
      <c r="B6183" s="6" t="s">
        <v>36074</v>
      </c>
      <c r="C6183" s="13">
        <v>1380</v>
      </c>
      <c r="D6183" s="8" t="s">
        <v>36075</v>
      </c>
      <c r="E6183" s="8" t="s">
        <v>36076</v>
      </c>
      <c r="F6183" s="8" t="s">
        <v>36077</v>
      </c>
      <c r="G6183" s="6" t="s">
        <v>52</v>
      </c>
      <c r="H6183" s="6" t="s">
        <v>53</v>
      </c>
      <c r="I6183" s="8" t="s">
        <v>782</v>
      </c>
      <c r="J6183" s="9">
        <v>1</v>
      </c>
      <c r="K6183" s="9">
        <v>275</v>
      </c>
      <c r="L6183" s="9">
        <v>2024</v>
      </c>
      <c r="M6183" s="8" t="s">
        <v>36078</v>
      </c>
      <c r="N6183" s="8" t="s">
        <v>79</v>
      </c>
      <c r="O6183" s="8" t="s">
        <v>396</v>
      </c>
      <c r="P6183" s="6" t="s">
        <v>43</v>
      </c>
      <c r="Q6183" s="8" t="s">
        <v>58</v>
      </c>
      <c r="R6183" s="10" t="s">
        <v>6409</v>
      </c>
      <c r="S6183" s="11"/>
      <c r="T6183" s="6"/>
      <c r="U6183" s="24" t="str">
        <f>HYPERLINK("https://media.infra-m.ru/2134/2134000/cover/2134000.jpg", "Обложка")</f>
        <v>Обложка</v>
      </c>
      <c r="V6183" s="12"/>
      <c r="W6183" s="8" t="s">
        <v>784</v>
      </c>
      <c r="X6183" s="6" t="s">
        <v>389</v>
      </c>
      <c r="Y6183" s="6"/>
      <c r="Z6183" s="6"/>
      <c r="AA6183" s="6" t="s">
        <v>133</v>
      </c>
      <c r="AB6183" s="8"/>
    </row>
    <row r="6184" spans="1:28" s="4" customFormat="1" ht="51.95" customHeight="1">
      <c r="A6184" s="5">
        <v>0</v>
      </c>
      <c r="B6184" s="6" t="s">
        <v>36079</v>
      </c>
      <c r="C6184" s="13">
        <v>1034</v>
      </c>
      <c r="D6184" s="8" t="s">
        <v>36080</v>
      </c>
      <c r="E6184" s="8" t="s">
        <v>36081</v>
      </c>
      <c r="F6184" s="8" t="s">
        <v>36082</v>
      </c>
      <c r="G6184" s="6" t="s">
        <v>38</v>
      </c>
      <c r="H6184" s="6" t="s">
        <v>39</v>
      </c>
      <c r="I6184" s="8" t="s">
        <v>100</v>
      </c>
      <c r="J6184" s="9">
        <v>1</v>
      </c>
      <c r="K6184" s="9">
        <v>224</v>
      </c>
      <c r="L6184" s="9">
        <v>2024</v>
      </c>
      <c r="M6184" s="8" t="s">
        <v>36083</v>
      </c>
      <c r="N6184" s="8" t="s">
        <v>79</v>
      </c>
      <c r="O6184" s="8" t="s">
        <v>396</v>
      </c>
      <c r="P6184" s="6" t="s">
        <v>43</v>
      </c>
      <c r="Q6184" s="8" t="s">
        <v>102</v>
      </c>
      <c r="R6184" s="10" t="s">
        <v>36084</v>
      </c>
      <c r="S6184" s="11" t="s">
        <v>36085</v>
      </c>
      <c r="T6184" s="6"/>
      <c r="U6184" s="24" t="str">
        <f>HYPERLINK("https://media.infra-m.ru/1913/1913644/cover/1913644.jpg", "Обложка")</f>
        <v>Обложка</v>
      </c>
      <c r="V6184" s="24" t="str">
        <f>HYPERLINK("https://znanium.ru/catalog/product/1209815", "Ознакомиться")</f>
        <v>Ознакомиться</v>
      </c>
      <c r="W6184" s="8" t="s">
        <v>1571</v>
      </c>
      <c r="X6184" s="6"/>
      <c r="Y6184" s="6"/>
      <c r="Z6184" s="6" t="s">
        <v>104</v>
      </c>
      <c r="AA6184" s="6" t="s">
        <v>793</v>
      </c>
      <c r="AB6184" s="8"/>
    </row>
    <row r="6185" spans="1:28" s="4" customFormat="1" ht="51.95" customHeight="1">
      <c r="A6185" s="5">
        <v>0</v>
      </c>
      <c r="B6185" s="6" t="s">
        <v>36086</v>
      </c>
      <c r="C6185" s="13">
        <v>1014.9</v>
      </c>
      <c r="D6185" s="8" t="s">
        <v>36087</v>
      </c>
      <c r="E6185" s="8" t="s">
        <v>36081</v>
      </c>
      <c r="F6185" s="8" t="s">
        <v>36082</v>
      </c>
      <c r="G6185" s="6" t="s">
        <v>38</v>
      </c>
      <c r="H6185" s="6" t="s">
        <v>39</v>
      </c>
      <c r="I6185" s="8" t="s">
        <v>90</v>
      </c>
      <c r="J6185" s="9">
        <v>1</v>
      </c>
      <c r="K6185" s="9">
        <v>224</v>
      </c>
      <c r="L6185" s="9">
        <v>2023</v>
      </c>
      <c r="M6185" s="8" t="s">
        <v>36088</v>
      </c>
      <c r="N6185" s="8" t="s">
        <v>79</v>
      </c>
      <c r="O6185" s="8" t="s">
        <v>396</v>
      </c>
      <c r="P6185" s="6" t="s">
        <v>43</v>
      </c>
      <c r="Q6185" s="8" t="s">
        <v>44</v>
      </c>
      <c r="R6185" s="10" t="s">
        <v>36089</v>
      </c>
      <c r="S6185" s="11" t="s">
        <v>28593</v>
      </c>
      <c r="T6185" s="6"/>
      <c r="U6185" s="24" t="str">
        <f>HYPERLINK("https://media.infra-m.ru/1912/1912688/cover/1912688.jpg", "Обложка")</f>
        <v>Обложка</v>
      </c>
      <c r="V6185" s="24" t="str">
        <f>HYPERLINK("https://znanium.ru/catalog/product/1896999", "Ознакомиться")</f>
        <v>Ознакомиться</v>
      </c>
      <c r="W6185" s="8" t="s">
        <v>1571</v>
      </c>
      <c r="X6185" s="6"/>
      <c r="Y6185" s="6"/>
      <c r="Z6185" s="6"/>
      <c r="AA6185" s="6" t="s">
        <v>111</v>
      </c>
      <c r="AB6185" s="8"/>
    </row>
    <row r="6186" spans="1:28" s="4" customFormat="1" ht="51.95" customHeight="1">
      <c r="A6186" s="5">
        <v>0</v>
      </c>
      <c r="B6186" s="6" t="s">
        <v>36090</v>
      </c>
      <c r="C6186" s="7">
        <v>584</v>
      </c>
      <c r="D6186" s="8" t="s">
        <v>36091</v>
      </c>
      <c r="E6186" s="8" t="s">
        <v>36092</v>
      </c>
      <c r="F6186" s="8" t="s">
        <v>36093</v>
      </c>
      <c r="G6186" s="6" t="s">
        <v>38</v>
      </c>
      <c r="H6186" s="6" t="s">
        <v>184</v>
      </c>
      <c r="I6186" s="8" t="s">
        <v>185</v>
      </c>
      <c r="J6186" s="9">
        <v>1</v>
      </c>
      <c r="K6186" s="9">
        <v>96</v>
      </c>
      <c r="L6186" s="9">
        <v>2025</v>
      </c>
      <c r="M6186" s="8" t="s">
        <v>36094</v>
      </c>
      <c r="N6186" s="8" t="s">
        <v>79</v>
      </c>
      <c r="O6186" s="8" t="s">
        <v>396</v>
      </c>
      <c r="P6186" s="6" t="s">
        <v>43</v>
      </c>
      <c r="Q6186" s="8" t="s">
        <v>102</v>
      </c>
      <c r="R6186" s="10" t="s">
        <v>36095</v>
      </c>
      <c r="S6186" s="11" t="s">
        <v>36096</v>
      </c>
      <c r="T6186" s="6"/>
      <c r="U6186" s="24" t="str">
        <f>HYPERLINK("https://media.infra-m.ru/2202/2202908/cover/2202908.jpg", "Обложка")</f>
        <v>Обложка</v>
      </c>
      <c r="V6186" s="24" t="str">
        <f>HYPERLINK("https://znanium.ru/catalog/product/2139097", "Ознакомиться")</f>
        <v>Ознакомиться</v>
      </c>
      <c r="W6186" s="8" t="s">
        <v>35818</v>
      </c>
      <c r="X6186" s="6"/>
      <c r="Y6186" s="6"/>
      <c r="Z6186" s="6"/>
      <c r="AA6186" s="6" t="s">
        <v>84</v>
      </c>
      <c r="AB6186" s="8"/>
    </row>
    <row r="6187" spans="1:28" s="4" customFormat="1" ht="51.95" customHeight="1">
      <c r="A6187" s="5">
        <v>0</v>
      </c>
      <c r="B6187" s="6" t="s">
        <v>36097</v>
      </c>
      <c r="C6187" s="13">
        <v>2120</v>
      </c>
      <c r="D6187" s="8" t="s">
        <v>36098</v>
      </c>
      <c r="E6187" s="8" t="s">
        <v>36099</v>
      </c>
      <c r="F6187" s="8" t="s">
        <v>36100</v>
      </c>
      <c r="G6187" s="6" t="s">
        <v>52</v>
      </c>
      <c r="H6187" s="6" t="s">
        <v>53</v>
      </c>
      <c r="I6187" s="8" t="s">
        <v>4855</v>
      </c>
      <c r="J6187" s="9">
        <v>1</v>
      </c>
      <c r="K6187" s="9">
        <v>462</v>
      </c>
      <c r="L6187" s="9">
        <v>2023</v>
      </c>
      <c r="M6187" s="8" t="s">
        <v>36101</v>
      </c>
      <c r="N6187" s="8" t="s">
        <v>79</v>
      </c>
      <c r="O6187" s="8" t="s">
        <v>396</v>
      </c>
      <c r="P6187" s="6" t="s">
        <v>43</v>
      </c>
      <c r="Q6187" s="8" t="s">
        <v>44</v>
      </c>
      <c r="R6187" s="10" t="s">
        <v>6409</v>
      </c>
      <c r="S6187" s="11" t="s">
        <v>36102</v>
      </c>
      <c r="T6187" s="6"/>
      <c r="U6187" s="24" t="str">
        <f>HYPERLINK("https://media.infra-m.ru/2126/2126770/cover/2126770.jpg", "Обложка")</f>
        <v>Обложка</v>
      </c>
      <c r="V6187" s="12"/>
      <c r="W6187" s="8" t="s">
        <v>784</v>
      </c>
      <c r="X6187" s="6"/>
      <c r="Y6187" s="6"/>
      <c r="Z6187" s="6"/>
      <c r="AA6187" s="6" t="s">
        <v>151</v>
      </c>
      <c r="AB6187" s="8"/>
    </row>
    <row r="6188" spans="1:28" s="4" customFormat="1" ht="51.95" customHeight="1">
      <c r="A6188" s="5">
        <v>0</v>
      </c>
      <c r="B6188" s="6" t="s">
        <v>36103</v>
      </c>
      <c r="C6188" s="13">
        <v>2404</v>
      </c>
      <c r="D6188" s="8" t="s">
        <v>36104</v>
      </c>
      <c r="E6188" s="8" t="s">
        <v>36099</v>
      </c>
      <c r="F6188" s="8" t="s">
        <v>36100</v>
      </c>
      <c r="G6188" s="6" t="s">
        <v>52</v>
      </c>
      <c r="H6188" s="6" t="s">
        <v>53</v>
      </c>
      <c r="I6188" s="8" t="s">
        <v>7025</v>
      </c>
      <c r="J6188" s="9">
        <v>1</v>
      </c>
      <c r="K6188" s="9">
        <v>462</v>
      </c>
      <c r="L6188" s="9">
        <v>2025</v>
      </c>
      <c r="M6188" s="8" t="s">
        <v>36105</v>
      </c>
      <c r="N6188" s="8" t="s">
        <v>79</v>
      </c>
      <c r="O6188" s="8" t="s">
        <v>396</v>
      </c>
      <c r="P6188" s="6" t="s">
        <v>43</v>
      </c>
      <c r="Q6188" s="8" t="s">
        <v>102</v>
      </c>
      <c r="R6188" s="10" t="s">
        <v>36106</v>
      </c>
      <c r="S6188" s="11" t="s">
        <v>36107</v>
      </c>
      <c r="T6188" s="6"/>
      <c r="U6188" s="24" t="str">
        <f>HYPERLINK("https://media.infra-m.ru/2201/2201767/cover/2201767.jpg", "Обложка")</f>
        <v>Обложка</v>
      </c>
      <c r="V6188" s="12"/>
      <c r="W6188" s="8" t="s">
        <v>784</v>
      </c>
      <c r="X6188" s="6"/>
      <c r="Y6188" s="6"/>
      <c r="Z6188" s="6" t="s">
        <v>104</v>
      </c>
      <c r="AA6188" s="6" t="s">
        <v>258</v>
      </c>
      <c r="AB6188" s="8"/>
    </row>
    <row r="6189" spans="1:28" s="4" customFormat="1" ht="51.95" customHeight="1">
      <c r="A6189" s="5">
        <v>0</v>
      </c>
      <c r="B6189" s="6" t="s">
        <v>36108</v>
      </c>
      <c r="C6189" s="13">
        <v>1700</v>
      </c>
      <c r="D6189" s="8" t="s">
        <v>36109</v>
      </c>
      <c r="E6189" s="8" t="s">
        <v>36110</v>
      </c>
      <c r="F6189" s="8" t="s">
        <v>36111</v>
      </c>
      <c r="G6189" s="6" t="s">
        <v>89</v>
      </c>
      <c r="H6189" s="6" t="s">
        <v>53</v>
      </c>
      <c r="I6189" s="8" t="s">
        <v>100</v>
      </c>
      <c r="J6189" s="9">
        <v>1</v>
      </c>
      <c r="K6189" s="9">
        <v>364</v>
      </c>
      <c r="L6189" s="9">
        <v>2024</v>
      </c>
      <c r="M6189" s="8" t="s">
        <v>36112</v>
      </c>
      <c r="N6189" s="8" t="s">
        <v>79</v>
      </c>
      <c r="O6189" s="8" t="s">
        <v>396</v>
      </c>
      <c r="P6189" s="6" t="s">
        <v>167</v>
      </c>
      <c r="Q6189" s="8" t="s">
        <v>102</v>
      </c>
      <c r="R6189" s="10" t="s">
        <v>36113</v>
      </c>
      <c r="S6189" s="11" t="s">
        <v>36114</v>
      </c>
      <c r="T6189" s="6"/>
      <c r="U6189" s="24" t="str">
        <f>HYPERLINK("https://media.infra-m.ru/1902/1902852/cover/1902852.jpg", "Обложка")</f>
        <v>Обложка</v>
      </c>
      <c r="V6189" s="24" t="str">
        <f>HYPERLINK("https://znanium.ru/catalog/product/1902852", "Ознакомиться")</f>
        <v>Ознакомиться</v>
      </c>
      <c r="W6189" s="8" t="s">
        <v>22135</v>
      </c>
      <c r="X6189" s="6"/>
      <c r="Y6189" s="6"/>
      <c r="Z6189" s="6" t="s">
        <v>104</v>
      </c>
      <c r="AA6189" s="6" t="s">
        <v>258</v>
      </c>
      <c r="AB6189" s="8"/>
    </row>
    <row r="6190" spans="1:28" s="4" customFormat="1" ht="51.95" customHeight="1">
      <c r="A6190" s="5">
        <v>0</v>
      </c>
      <c r="B6190" s="6" t="s">
        <v>36115</v>
      </c>
      <c r="C6190" s="13">
        <v>1680</v>
      </c>
      <c r="D6190" s="8" t="s">
        <v>36116</v>
      </c>
      <c r="E6190" s="8" t="s">
        <v>36110</v>
      </c>
      <c r="F6190" s="8" t="s">
        <v>36111</v>
      </c>
      <c r="G6190" s="6" t="s">
        <v>89</v>
      </c>
      <c r="H6190" s="6" t="s">
        <v>53</v>
      </c>
      <c r="I6190" s="8" t="s">
        <v>90</v>
      </c>
      <c r="J6190" s="9">
        <v>1</v>
      </c>
      <c r="K6190" s="9">
        <v>364</v>
      </c>
      <c r="L6190" s="9">
        <v>2024</v>
      </c>
      <c r="M6190" s="8" t="s">
        <v>36117</v>
      </c>
      <c r="N6190" s="8" t="s">
        <v>79</v>
      </c>
      <c r="O6190" s="8" t="s">
        <v>396</v>
      </c>
      <c r="P6190" s="6" t="s">
        <v>167</v>
      </c>
      <c r="Q6190" s="8" t="s">
        <v>44</v>
      </c>
      <c r="R6190" s="10" t="s">
        <v>15567</v>
      </c>
      <c r="S6190" s="11" t="s">
        <v>36118</v>
      </c>
      <c r="T6190" s="6"/>
      <c r="U6190" s="24" t="str">
        <f>HYPERLINK("https://media.infra-m.ru/2126/2126826/cover/2126826.jpg", "Обложка")</f>
        <v>Обложка</v>
      </c>
      <c r="V6190" s="24" t="str">
        <f>HYPERLINK("https://znanium.ru/catalog/product/2126826", "Ознакомиться")</f>
        <v>Ознакомиться</v>
      </c>
      <c r="W6190" s="8" t="s">
        <v>22135</v>
      </c>
      <c r="X6190" s="6"/>
      <c r="Y6190" s="6"/>
      <c r="Z6190" s="6"/>
      <c r="AA6190" s="6" t="s">
        <v>111</v>
      </c>
      <c r="AB6190" s="8"/>
    </row>
    <row r="6191" spans="1:28" s="4" customFormat="1" ht="51.95" customHeight="1">
      <c r="A6191" s="5">
        <v>0</v>
      </c>
      <c r="B6191" s="6" t="s">
        <v>36119</v>
      </c>
      <c r="C6191" s="13">
        <v>1010</v>
      </c>
      <c r="D6191" s="8" t="s">
        <v>36120</v>
      </c>
      <c r="E6191" s="8" t="s">
        <v>36110</v>
      </c>
      <c r="F6191" s="8" t="s">
        <v>36121</v>
      </c>
      <c r="G6191" s="6" t="s">
        <v>89</v>
      </c>
      <c r="H6191" s="6" t="s">
        <v>39</v>
      </c>
      <c r="I6191" s="8" t="s">
        <v>116</v>
      </c>
      <c r="J6191" s="9">
        <v>1</v>
      </c>
      <c r="K6191" s="9">
        <v>224</v>
      </c>
      <c r="L6191" s="9">
        <v>2023</v>
      </c>
      <c r="M6191" s="8" t="s">
        <v>36122</v>
      </c>
      <c r="N6191" s="8" t="s">
        <v>79</v>
      </c>
      <c r="O6191" s="8" t="s">
        <v>570</v>
      </c>
      <c r="P6191" s="6" t="s">
        <v>167</v>
      </c>
      <c r="Q6191" s="8" t="s">
        <v>44</v>
      </c>
      <c r="R6191" s="10" t="s">
        <v>36123</v>
      </c>
      <c r="S6191" s="11" t="s">
        <v>36124</v>
      </c>
      <c r="T6191" s="6"/>
      <c r="U6191" s="24" t="str">
        <f>HYPERLINK("https://media.infra-m.ru/1941/1941742/cover/1941742.jpg", "Обложка")</f>
        <v>Обложка</v>
      </c>
      <c r="V6191" s="24" t="str">
        <f>HYPERLINK("https://znanium.ru/catalog/product/987416", "Ознакомиться")</f>
        <v>Ознакомиться</v>
      </c>
      <c r="W6191" s="8" t="s">
        <v>450</v>
      </c>
      <c r="X6191" s="6"/>
      <c r="Y6191" s="6"/>
      <c r="Z6191" s="6"/>
      <c r="AA6191" s="6" t="s">
        <v>72</v>
      </c>
      <c r="AB6191" s="8"/>
    </row>
    <row r="6192" spans="1:28" s="4" customFormat="1" ht="51.95" customHeight="1">
      <c r="A6192" s="5">
        <v>0</v>
      </c>
      <c r="B6192" s="6" t="s">
        <v>36125</v>
      </c>
      <c r="C6192" s="13">
        <v>1034</v>
      </c>
      <c r="D6192" s="8" t="s">
        <v>36126</v>
      </c>
      <c r="E6192" s="8" t="s">
        <v>36110</v>
      </c>
      <c r="F6192" s="8" t="s">
        <v>3305</v>
      </c>
      <c r="G6192" s="6" t="s">
        <v>52</v>
      </c>
      <c r="H6192" s="6" t="s">
        <v>39</v>
      </c>
      <c r="I6192" s="8" t="s">
        <v>100</v>
      </c>
      <c r="J6192" s="9">
        <v>1</v>
      </c>
      <c r="K6192" s="9">
        <v>224</v>
      </c>
      <c r="L6192" s="9">
        <v>2024</v>
      </c>
      <c r="M6192" s="8" t="s">
        <v>36127</v>
      </c>
      <c r="N6192" s="8" t="s">
        <v>79</v>
      </c>
      <c r="O6192" s="8" t="s">
        <v>570</v>
      </c>
      <c r="P6192" s="6" t="s">
        <v>167</v>
      </c>
      <c r="Q6192" s="8" t="s">
        <v>102</v>
      </c>
      <c r="R6192" s="10" t="s">
        <v>1187</v>
      </c>
      <c r="S6192" s="11" t="s">
        <v>36128</v>
      </c>
      <c r="T6192" s="6"/>
      <c r="U6192" s="24" t="str">
        <f>HYPERLINK("https://media.infra-m.ru/2090/2090120/cover/2090120.jpg", "Обложка")</f>
        <v>Обложка</v>
      </c>
      <c r="V6192" s="24" t="str">
        <f>HYPERLINK("https://znanium.ru/catalog/product/1872732", "Ознакомиться")</f>
        <v>Ознакомиться</v>
      </c>
      <c r="W6192" s="8" t="s">
        <v>450</v>
      </c>
      <c r="X6192" s="6"/>
      <c r="Y6192" s="6"/>
      <c r="Z6192" s="6" t="s">
        <v>104</v>
      </c>
      <c r="AA6192" s="6" t="s">
        <v>258</v>
      </c>
      <c r="AB6192" s="8"/>
    </row>
    <row r="6193" spans="1:28" s="4" customFormat="1" ht="51.95" customHeight="1">
      <c r="A6193" s="5">
        <v>0</v>
      </c>
      <c r="B6193" s="6" t="s">
        <v>36129</v>
      </c>
      <c r="C6193" s="13">
        <v>2652</v>
      </c>
      <c r="D6193" s="8" t="s">
        <v>36130</v>
      </c>
      <c r="E6193" s="8" t="s">
        <v>36131</v>
      </c>
      <c r="F6193" s="8" t="s">
        <v>24806</v>
      </c>
      <c r="G6193" s="6" t="s">
        <v>52</v>
      </c>
      <c r="H6193" s="6" t="s">
        <v>53</v>
      </c>
      <c r="I6193" s="8" t="s">
        <v>100</v>
      </c>
      <c r="J6193" s="9">
        <v>1</v>
      </c>
      <c r="K6193" s="9">
        <v>407</v>
      </c>
      <c r="L6193" s="9">
        <v>2025</v>
      </c>
      <c r="M6193" s="8" t="s">
        <v>36132</v>
      </c>
      <c r="N6193" s="8" t="s">
        <v>79</v>
      </c>
      <c r="O6193" s="8" t="s">
        <v>396</v>
      </c>
      <c r="P6193" s="6" t="s">
        <v>167</v>
      </c>
      <c r="Q6193" s="8" t="s">
        <v>102</v>
      </c>
      <c r="R6193" s="10" t="s">
        <v>36133</v>
      </c>
      <c r="S6193" s="11" t="s">
        <v>36134</v>
      </c>
      <c r="T6193" s="6"/>
      <c r="U6193" s="24" t="str">
        <f>HYPERLINK("https://media.infra-m.ru/2192/2192469/cover/2192469.jpg", "Обложка")</f>
        <v>Обложка</v>
      </c>
      <c r="V6193" s="24" t="str">
        <f>HYPERLINK("https://znanium.ru/catalog/product/2192469", "Ознакомиться")</f>
        <v>Ознакомиться</v>
      </c>
      <c r="W6193" s="8"/>
      <c r="X6193" s="6"/>
      <c r="Y6193" s="6"/>
      <c r="Z6193" s="6"/>
      <c r="AA6193" s="6" t="s">
        <v>4952</v>
      </c>
      <c r="AB6193" s="8"/>
    </row>
    <row r="6194" spans="1:28" s="4" customFormat="1" ht="51.95" customHeight="1">
      <c r="A6194" s="5">
        <v>0</v>
      </c>
      <c r="B6194" s="6" t="s">
        <v>36135</v>
      </c>
      <c r="C6194" s="7">
        <v>370</v>
      </c>
      <c r="D6194" s="8" t="s">
        <v>36136</v>
      </c>
      <c r="E6194" s="8" t="s">
        <v>36137</v>
      </c>
      <c r="F6194" s="8" t="s">
        <v>36138</v>
      </c>
      <c r="G6194" s="6" t="s">
        <v>38</v>
      </c>
      <c r="H6194" s="6" t="s">
        <v>39</v>
      </c>
      <c r="I6194" s="8" t="s">
        <v>100</v>
      </c>
      <c r="J6194" s="9">
        <v>1</v>
      </c>
      <c r="K6194" s="9">
        <v>96</v>
      </c>
      <c r="L6194" s="9">
        <v>2022</v>
      </c>
      <c r="M6194" s="8" t="s">
        <v>36139</v>
      </c>
      <c r="N6194" s="8" t="s">
        <v>79</v>
      </c>
      <c r="O6194" s="8" t="s">
        <v>684</v>
      </c>
      <c r="P6194" s="6" t="s">
        <v>43</v>
      </c>
      <c r="Q6194" s="8" t="s">
        <v>102</v>
      </c>
      <c r="R6194" s="10" t="s">
        <v>36140</v>
      </c>
      <c r="S6194" s="11" t="s">
        <v>36141</v>
      </c>
      <c r="T6194" s="6"/>
      <c r="U6194" s="24" t="str">
        <f>HYPERLINK("https://media.infra-m.ru/1864/1864138/cover/1864138.jpg", "Обложка")</f>
        <v>Обложка</v>
      </c>
      <c r="V6194" s="24" t="str">
        <f>HYPERLINK("https://znanium.ru/catalog/product/1864138", "Ознакомиться")</f>
        <v>Ознакомиться</v>
      </c>
      <c r="W6194" s="8" t="s">
        <v>10544</v>
      </c>
      <c r="X6194" s="6"/>
      <c r="Y6194" s="6"/>
      <c r="Z6194" s="6" t="s">
        <v>104</v>
      </c>
      <c r="AA6194" s="6" t="s">
        <v>219</v>
      </c>
      <c r="AB6194" s="8"/>
    </row>
    <row r="6195" spans="1:28" s="4" customFormat="1" ht="51.95" customHeight="1">
      <c r="A6195" s="5">
        <v>0</v>
      </c>
      <c r="B6195" s="6" t="s">
        <v>36142</v>
      </c>
      <c r="C6195" s="7">
        <v>484</v>
      </c>
      <c r="D6195" s="8" t="s">
        <v>36143</v>
      </c>
      <c r="E6195" s="8" t="s">
        <v>36137</v>
      </c>
      <c r="F6195" s="8" t="s">
        <v>36144</v>
      </c>
      <c r="G6195" s="6" t="s">
        <v>38</v>
      </c>
      <c r="H6195" s="6" t="s">
        <v>39</v>
      </c>
      <c r="I6195" s="8" t="s">
        <v>116</v>
      </c>
      <c r="J6195" s="9">
        <v>1</v>
      </c>
      <c r="K6195" s="9">
        <v>96</v>
      </c>
      <c r="L6195" s="9">
        <v>2024</v>
      </c>
      <c r="M6195" s="8" t="s">
        <v>36145</v>
      </c>
      <c r="N6195" s="8" t="s">
        <v>79</v>
      </c>
      <c r="O6195" s="8" t="s">
        <v>684</v>
      </c>
      <c r="P6195" s="6" t="s">
        <v>43</v>
      </c>
      <c r="Q6195" s="8" t="s">
        <v>44</v>
      </c>
      <c r="R6195" s="10" t="s">
        <v>6409</v>
      </c>
      <c r="S6195" s="11" t="s">
        <v>36146</v>
      </c>
      <c r="T6195" s="6"/>
      <c r="U6195" s="24" t="str">
        <f>HYPERLINK("https://media.infra-m.ru/2087/2087258/cover/2087258.jpg", "Обложка")</f>
        <v>Обложка</v>
      </c>
      <c r="V6195" s="24" t="str">
        <f>HYPERLINK("https://znanium.ru/catalog/product/1081377", "Ознакомиться")</f>
        <v>Ознакомиться</v>
      </c>
      <c r="W6195" s="8" t="s">
        <v>10544</v>
      </c>
      <c r="X6195" s="6"/>
      <c r="Y6195" s="6"/>
      <c r="Z6195" s="6"/>
      <c r="AA6195" s="6" t="s">
        <v>84</v>
      </c>
      <c r="AB6195" s="8"/>
    </row>
    <row r="6196" spans="1:28" s="4" customFormat="1" ht="51.95" customHeight="1">
      <c r="A6196" s="5">
        <v>0</v>
      </c>
      <c r="B6196" s="6" t="s">
        <v>36147</v>
      </c>
      <c r="C6196" s="7">
        <v>714</v>
      </c>
      <c r="D6196" s="8" t="s">
        <v>36148</v>
      </c>
      <c r="E6196" s="8" t="s">
        <v>36149</v>
      </c>
      <c r="F6196" s="8" t="s">
        <v>36150</v>
      </c>
      <c r="G6196" s="6" t="s">
        <v>52</v>
      </c>
      <c r="H6196" s="6" t="s">
        <v>53</v>
      </c>
      <c r="I6196" s="8" t="s">
        <v>276</v>
      </c>
      <c r="J6196" s="9">
        <v>1</v>
      </c>
      <c r="K6196" s="9">
        <v>159</v>
      </c>
      <c r="L6196" s="9">
        <v>2023</v>
      </c>
      <c r="M6196" s="8" t="s">
        <v>36151</v>
      </c>
      <c r="N6196" s="8" t="s">
        <v>413</v>
      </c>
      <c r="O6196" s="8" t="s">
        <v>1141</v>
      </c>
      <c r="P6196" s="6" t="s">
        <v>43</v>
      </c>
      <c r="Q6196" s="8" t="s">
        <v>279</v>
      </c>
      <c r="R6196" s="10" t="s">
        <v>36152</v>
      </c>
      <c r="S6196" s="11"/>
      <c r="T6196" s="6"/>
      <c r="U6196" s="24" t="str">
        <f>HYPERLINK("https://media.infra-m.ru/1856/1856495/cover/1856495.jpg", "Обложка")</f>
        <v>Обложка</v>
      </c>
      <c r="V6196" s="24" t="str">
        <f>HYPERLINK("https://znanium.ru/catalog/product/1062336", "Ознакомиться")</f>
        <v>Ознакомиться</v>
      </c>
      <c r="W6196" s="8" t="s">
        <v>46</v>
      </c>
      <c r="X6196" s="6"/>
      <c r="Y6196" s="6"/>
      <c r="Z6196" s="6"/>
      <c r="AA6196" s="6" t="s">
        <v>644</v>
      </c>
      <c r="AB6196" s="8"/>
    </row>
    <row r="6197" spans="1:28" s="4" customFormat="1" ht="51.95" customHeight="1">
      <c r="A6197" s="5">
        <v>0</v>
      </c>
      <c r="B6197" s="6" t="s">
        <v>36153</v>
      </c>
      <c r="C6197" s="13">
        <v>1374</v>
      </c>
      <c r="D6197" s="8" t="s">
        <v>36154</v>
      </c>
      <c r="E6197" s="8" t="s">
        <v>36155</v>
      </c>
      <c r="F6197" s="8" t="s">
        <v>36156</v>
      </c>
      <c r="G6197" s="6" t="s">
        <v>52</v>
      </c>
      <c r="H6197" s="6" t="s">
        <v>1738</v>
      </c>
      <c r="I6197" s="8" t="s">
        <v>2699</v>
      </c>
      <c r="J6197" s="9">
        <v>1</v>
      </c>
      <c r="K6197" s="9">
        <v>304</v>
      </c>
      <c r="L6197" s="9">
        <v>2023</v>
      </c>
      <c r="M6197" s="8" t="s">
        <v>36157</v>
      </c>
      <c r="N6197" s="8" t="s">
        <v>79</v>
      </c>
      <c r="O6197" s="8" t="s">
        <v>396</v>
      </c>
      <c r="P6197" s="6" t="s">
        <v>43</v>
      </c>
      <c r="Q6197" s="8" t="s">
        <v>44</v>
      </c>
      <c r="R6197" s="10" t="s">
        <v>36158</v>
      </c>
      <c r="S6197" s="11" t="s">
        <v>36159</v>
      </c>
      <c r="T6197" s="6"/>
      <c r="U6197" s="24" t="str">
        <f>HYPERLINK("https://media.infra-m.ru/2045/2045824/cover/2045824.jpg", "Обложка")</f>
        <v>Обложка</v>
      </c>
      <c r="V6197" s="24" t="str">
        <f>HYPERLINK("https://znanium.ru/catalog/product/1010105", "Ознакомиться")</f>
        <v>Ознакомиться</v>
      </c>
      <c r="W6197" s="8" t="s">
        <v>9885</v>
      </c>
      <c r="X6197" s="6"/>
      <c r="Y6197" s="6"/>
      <c r="Z6197" s="6"/>
      <c r="AA6197" s="6" t="s">
        <v>47</v>
      </c>
      <c r="AB6197" s="8"/>
    </row>
    <row r="6198" spans="1:28" s="4" customFormat="1" ht="51.95" customHeight="1">
      <c r="A6198" s="5">
        <v>0</v>
      </c>
      <c r="B6198" s="6" t="s">
        <v>36160</v>
      </c>
      <c r="C6198" s="13">
        <v>1724</v>
      </c>
      <c r="D6198" s="8" t="s">
        <v>36161</v>
      </c>
      <c r="E6198" s="8" t="s">
        <v>36162</v>
      </c>
      <c r="F6198" s="8" t="s">
        <v>36163</v>
      </c>
      <c r="G6198" s="6" t="s">
        <v>52</v>
      </c>
      <c r="H6198" s="6" t="s">
        <v>184</v>
      </c>
      <c r="I6198" s="8" t="s">
        <v>116</v>
      </c>
      <c r="J6198" s="9">
        <v>1</v>
      </c>
      <c r="K6198" s="9">
        <v>375</v>
      </c>
      <c r="L6198" s="9">
        <v>2023</v>
      </c>
      <c r="M6198" s="8" t="s">
        <v>36164</v>
      </c>
      <c r="N6198" s="8" t="s">
        <v>413</v>
      </c>
      <c r="O6198" s="8" t="s">
        <v>1141</v>
      </c>
      <c r="P6198" s="6" t="s">
        <v>43</v>
      </c>
      <c r="Q6198" s="8" t="s">
        <v>44</v>
      </c>
      <c r="R6198" s="10" t="s">
        <v>33173</v>
      </c>
      <c r="S6198" s="11" t="s">
        <v>36165</v>
      </c>
      <c r="T6198" s="6"/>
      <c r="U6198" s="24" t="str">
        <f>HYPERLINK("https://media.infra-m.ru/2051/2051481/cover/2051481.jpg", "Обложка")</f>
        <v>Обложка</v>
      </c>
      <c r="V6198" s="12"/>
      <c r="W6198" s="8" t="s">
        <v>1293</v>
      </c>
      <c r="X6198" s="6"/>
      <c r="Y6198" s="6"/>
      <c r="Z6198" s="6"/>
      <c r="AA6198" s="6" t="s">
        <v>84</v>
      </c>
      <c r="AB6198" s="8"/>
    </row>
    <row r="6199" spans="1:28" s="4" customFormat="1" ht="51.95" customHeight="1">
      <c r="A6199" s="5">
        <v>0</v>
      </c>
      <c r="B6199" s="6" t="s">
        <v>36166</v>
      </c>
      <c r="C6199" s="13">
        <v>1790</v>
      </c>
      <c r="D6199" s="8" t="s">
        <v>36167</v>
      </c>
      <c r="E6199" s="8" t="s">
        <v>36168</v>
      </c>
      <c r="F6199" s="8" t="s">
        <v>7535</v>
      </c>
      <c r="G6199" s="6" t="s">
        <v>52</v>
      </c>
      <c r="H6199" s="6" t="s">
        <v>53</v>
      </c>
      <c r="I6199" s="8" t="s">
        <v>116</v>
      </c>
      <c r="J6199" s="9">
        <v>1</v>
      </c>
      <c r="K6199" s="9">
        <v>349</v>
      </c>
      <c r="L6199" s="9">
        <v>2024</v>
      </c>
      <c r="M6199" s="8" t="s">
        <v>36169</v>
      </c>
      <c r="N6199" s="8" t="s">
        <v>79</v>
      </c>
      <c r="O6199" s="8" t="s">
        <v>396</v>
      </c>
      <c r="P6199" s="6" t="s">
        <v>43</v>
      </c>
      <c r="Q6199" s="8" t="s">
        <v>44</v>
      </c>
      <c r="R6199" s="10" t="s">
        <v>36170</v>
      </c>
      <c r="S6199" s="11"/>
      <c r="T6199" s="6"/>
      <c r="U6199" s="24" t="str">
        <f>HYPERLINK("https://media.infra-m.ru/1211/1211188/cover/1211188.jpg", "Обложка")</f>
        <v>Обложка</v>
      </c>
      <c r="V6199" s="24" t="str">
        <f>HYPERLINK("https://znanium.ru/catalog/product/1211188", "Ознакомиться")</f>
        <v>Ознакомиться</v>
      </c>
      <c r="W6199" s="8" t="s">
        <v>487</v>
      </c>
      <c r="X6199" s="6"/>
      <c r="Y6199" s="6"/>
      <c r="Z6199" s="6"/>
      <c r="AA6199" s="6" t="s">
        <v>105</v>
      </c>
      <c r="AB6199" s="8"/>
    </row>
    <row r="6200" spans="1:28" s="4" customFormat="1" ht="44.1" customHeight="1">
      <c r="A6200" s="5">
        <v>0</v>
      </c>
      <c r="B6200" s="6" t="s">
        <v>36171</v>
      </c>
      <c r="C6200" s="13">
        <v>2800</v>
      </c>
      <c r="D6200" s="8" t="s">
        <v>36172</v>
      </c>
      <c r="E6200" s="8" t="s">
        <v>36173</v>
      </c>
      <c r="F6200" s="8" t="s">
        <v>36174</v>
      </c>
      <c r="G6200" s="6" t="s">
        <v>52</v>
      </c>
      <c r="H6200" s="6" t="s">
        <v>53</v>
      </c>
      <c r="I6200" s="8" t="s">
        <v>782</v>
      </c>
      <c r="J6200" s="9">
        <v>1</v>
      </c>
      <c r="K6200" s="9">
        <v>581</v>
      </c>
      <c r="L6200" s="9">
        <v>2025</v>
      </c>
      <c r="M6200" s="8" t="s">
        <v>36175</v>
      </c>
      <c r="N6200" s="8" t="s">
        <v>79</v>
      </c>
      <c r="O6200" s="8" t="s">
        <v>537</v>
      </c>
      <c r="P6200" s="6" t="s">
        <v>167</v>
      </c>
      <c r="Q6200" s="8" t="s">
        <v>58</v>
      </c>
      <c r="R6200" s="10" t="s">
        <v>36176</v>
      </c>
      <c r="S6200" s="11"/>
      <c r="T6200" s="6"/>
      <c r="U6200" s="24" t="str">
        <f>HYPERLINK("https://media.infra-m.ru/2162/2162069/cover/2162069.jpg", "Обложка")</f>
        <v>Обложка</v>
      </c>
      <c r="V6200" s="12"/>
      <c r="W6200" s="8" t="s">
        <v>784</v>
      </c>
      <c r="X6200" s="6" t="s">
        <v>1049</v>
      </c>
      <c r="Y6200" s="6"/>
      <c r="Z6200" s="6"/>
      <c r="AA6200" s="6" t="s">
        <v>61</v>
      </c>
      <c r="AB6200" s="8"/>
    </row>
    <row r="6201" spans="1:28" s="4" customFormat="1" ht="51.95" customHeight="1">
      <c r="A6201" s="5">
        <v>0</v>
      </c>
      <c r="B6201" s="6" t="s">
        <v>36177</v>
      </c>
      <c r="C6201" s="13">
        <v>1220</v>
      </c>
      <c r="D6201" s="8" t="s">
        <v>36178</v>
      </c>
      <c r="E6201" s="8" t="s">
        <v>36179</v>
      </c>
      <c r="F6201" s="8" t="s">
        <v>36180</v>
      </c>
      <c r="G6201" s="6" t="s">
        <v>89</v>
      </c>
      <c r="H6201" s="6" t="s">
        <v>53</v>
      </c>
      <c r="I6201" s="8" t="s">
        <v>90</v>
      </c>
      <c r="J6201" s="9">
        <v>1</v>
      </c>
      <c r="K6201" s="9">
        <v>242</v>
      </c>
      <c r="L6201" s="9">
        <v>2023</v>
      </c>
      <c r="M6201" s="8" t="s">
        <v>36181</v>
      </c>
      <c r="N6201" s="8" t="s">
        <v>79</v>
      </c>
      <c r="O6201" s="8" t="s">
        <v>537</v>
      </c>
      <c r="P6201" s="6" t="s">
        <v>43</v>
      </c>
      <c r="Q6201" s="8" t="s">
        <v>44</v>
      </c>
      <c r="R6201" s="10" t="s">
        <v>6409</v>
      </c>
      <c r="S6201" s="11" t="s">
        <v>36182</v>
      </c>
      <c r="T6201" s="6"/>
      <c r="U6201" s="24" t="str">
        <f>HYPERLINK("https://media.infra-m.ru/2127/2127940/cover/2127940.jpg", "Обложка")</f>
        <v>Обложка</v>
      </c>
      <c r="V6201" s="24" t="str">
        <f>HYPERLINK("https://znanium.ru/catalog/product/2127940", "Ознакомиться")</f>
        <v>Ознакомиться</v>
      </c>
      <c r="W6201" s="8" t="s">
        <v>1514</v>
      </c>
      <c r="X6201" s="6"/>
      <c r="Y6201" s="6"/>
      <c r="Z6201" s="6"/>
      <c r="AA6201" s="6" t="s">
        <v>207</v>
      </c>
      <c r="AB6201" s="8"/>
    </row>
    <row r="6202" spans="1:28" s="4" customFormat="1" ht="51.95" customHeight="1">
      <c r="A6202" s="5">
        <v>0</v>
      </c>
      <c r="B6202" s="6" t="s">
        <v>36183</v>
      </c>
      <c r="C6202" s="7">
        <v>954</v>
      </c>
      <c r="D6202" s="8" t="s">
        <v>36184</v>
      </c>
      <c r="E6202" s="8" t="s">
        <v>36185</v>
      </c>
      <c r="F6202" s="8" t="s">
        <v>36186</v>
      </c>
      <c r="G6202" s="6" t="s">
        <v>52</v>
      </c>
      <c r="H6202" s="6" t="s">
        <v>649</v>
      </c>
      <c r="I6202" s="8" t="s">
        <v>116</v>
      </c>
      <c r="J6202" s="9">
        <v>1</v>
      </c>
      <c r="K6202" s="9">
        <v>192</v>
      </c>
      <c r="L6202" s="9">
        <v>2025</v>
      </c>
      <c r="M6202" s="8" t="s">
        <v>36187</v>
      </c>
      <c r="N6202" s="8" t="s">
        <v>41</v>
      </c>
      <c r="O6202" s="8" t="s">
        <v>278</v>
      </c>
      <c r="P6202" s="6" t="s">
        <v>167</v>
      </c>
      <c r="Q6202" s="8" t="s">
        <v>44</v>
      </c>
      <c r="R6202" s="10" t="s">
        <v>36188</v>
      </c>
      <c r="S6202" s="11" t="s">
        <v>10089</v>
      </c>
      <c r="T6202" s="6"/>
      <c r="U6202" s="24" t="str">
        <f>HYPERLINK("https://media.infra-m.ru/2163/2163774/cover/2163774.jpg", "Обложка")</f>
        <v>Обложка</v>
      </c>
      <c r="V6202" s="24" t="str">
        <f>HYPERLINK("https://znanium.ru/catalog/product/1758036", "Ознакомиться")</f>
        <v>Ознакомиться</v>
      </c>
      <c r="W6202" s="8" t="s">
        <v>189</v>
      </c>
      <c r="X6202" s="6"/>
      <c r="Y6202" s="6"/>
      <c r="Z6202" s="6"/>
      <c r="AA6202" s="6" t="s">
        <v>122</v>
      </c>
      <c r="AB6202" s="8"/>
    </row>
    <row r="6203" spans="1:28" s="4" customFormat="1" ht="51.95" customHeight="1">
      <c r="A6203" s="5">
        <v>0</v>
      </c>
      <c r="B6203" s="6" t="s">
        <v>36189</v>
      </c>
      <c r="C6203" s="13">
        <v>1660</v>
      </c>
      <c r="D6203" s="8" t="s">
        <v>36190</v>
      </c>
      <c r="E6203" s="8" t="s">
        <v>36191</v>
      </c>
      <c r="F6203" s="8" t="s">
        <v>34506</v>
      </c>
      <c r="G6203" s="6" t="s">
        <v>89</v>
      </c>
      <c r="H6203" s="6" t="s">
        <v>53</v>
      </c>
      <c r="I6203" s="8" t="s">
        <v>100</v>
      </c>
      <c r="J6203" s="9">
        <v>1</v>
      </c>
      <c r="K6203" s="9">
        <v>352</v>
      </c>
      <c r="L6203" s="9">
        <v>2024</v>
      </c>
      <c r="M6203" s="8" t="s">
        <v>36192</v>
      </c>
      <c r="N6203" s="8" t="s">
        <v>79</v>
      </c>
      <c r="O6203" s="8" t="s">
        <v>537</v>
      </c>
      <c r="P6203" s="6" t="s">
        <v>167</v>
      </c>
      <c r="Q6203" s="8" t="s">
        <v>102</v>
      </c>
      <c r="R6203" s="10" t="s">
        <v>36193</v>
      </c>
      <c r="S6203" s="11" t="s">
        <v>36194</v>
      </c>
      <c r="T6203" s="6"/>
      <c r="U6203" s="24" t="str">
        <f>HYPERLINK("https://media.infra-m.ru/2136/2136807/cover/2136807.jpg", "Обложка")</f>
        <v>Обложка</v>
      </c>
      <c r="V6203" s="24" t="str">
        <f>HYPERLINK("https://znanium.ru/catalog/product/2136807", "Ознакомиться")</f>
        <v>Ознакомиться</v>
      </c>
      <c r="W6203" s="8" t="s">
        <v>613</v>
      </c>
      <c r="X6203" s="6"/>
      <c r="Y6203" s="6"/>
      <c r="Z6203" s="6"/>
      <c r="AA6203" s="6" t="s">
        <v>1442</v>
      </c>
      <c r="AB6203" s="8"/>
    </row>
    <row r="6204" spans="1:28" s="4" customFormat="1" ht="51.95" customHeight="1">
      <c r="A6204" s="5">
        <v>0</v>
      </c>
      <c r="B6204" s="6" t="s">
        <v>36195</v>
      </c>
      <c r="C6204" s="7">
        <v>600</v>
      </c>
      <c r="D6204" s="8" t="s">
        <v>36196</v>
      </c>
      <c r="E6204" s="8" t="s">
        <v>36197</v>
      </c>
      <c r="F6204" s="8" t="s">
        <v>36198</v>
      </c>
      <c r="G6204" s="6" t="s">
        <v>38</v>
      </c>
      <c r="H6204" s="6" t="s">
        <v>184</v>
      </c>
      <c r="I6204" s="8" t="s">
        <v>116</v>
      </c>
      <c r="J6204" s="9">
        <v>1</v>
      </c>
      <c r="K6204" s="9">
        <v>119</v>
      </c>
      <c r="L6204" s="9">
        <v>2024</v>
      </c>
      <c r="M6204" s="8" t="s">
        <v>36199</v>
      </c>
      <c r="N6204" s="8" t="s">
        <v>997</v>
      </c>
      <c r="O6204" s="8" t="s">
        <v>998</v>
      </c>
      <c r="P6204" s="6" t="s">
        <v>175</v>
      </c>
      <c r="Q6204" s="8" t="s">
        <v>58</v>
      </c>
      <c r="R6204" s="10" t="s">
        <v>36200</v>
      </c>
      <c r="S6204" s="11"/>
      <c r="T6204" s="6" t="s">
        <v>299</v>
      </c>
      <c r="U6204" s="24" t="str">
        <f>HYPERLINK("https://media.infra-m.ru/2079/2079291/cover/2079291.jpg", "Обложка")</f>
        <v>Обложка</v>
      </c>
      <c r="V6204" s="24" t="str">
        <f>HYPERLINK("https://znanium.ru/catalog/product/2079291", "Ознакомиться")</f>
        <v>Ознакомиться</v>
      </c>
      <c r="W6204" s="8"/>
      <c r="X6204" s="6"/>
      <c r="Y6204" s="6"/>
      <c r="Z6204" s="6"/>
      <c r="AA6204" s="6" t="s">
        <v>442</v>
      </c>
      <c r="AB6204" s="8"/>
    </row>
    <row r="6205" spans="1:28" s="4" customFormat="1" ht="51.95" customHeight="1">
      <c r="A6205" s="5">
        <v>0</v>
      </c>
      <c r="B6205" s="6" t="s">
        <v>36201</v>
      </c>
      <c r="C6205" s="13">
        <v>1480</v>
      </c>
      <c r="D6205" s="8" t="s">
        <v>36202</v>
      </c>
      <c r="E6205" s="8" t="s">
        <v>36203</v>
      </c>
      <c r="F6205" s="8" t="s">
        <v>5835</v>
      </c>
      <c r="G6205" s="6" t="s">
        <v>89</v>
      </c>
      <c r="H6205" s="6" t="s">
        <v>53</v>
      </c>
      <c r="I6205" s="8" t="s">
        <v>116</v>
      </c>
      <c r="J6205" s="9">
        <v>1</v>
      </c>
      <c r="K6205" s="9">
        <v>320</v>
      </c>
      <c r="L6205" s="9">
        <v>2024</v>
      </c>
      <c r="M6205" s="8" t="s">
        <v>36204</v>
      </c>
      <c r="N6205" s="8" t="s">
        <v>41</v>
      </c>
      <c r="O6205" s="8" t="s">
        <v>118</v>
      </c>
      <c r="P6205" s="6" t="s">
        <v>43</v>
      </c>
      <c r="Q6205" s="8" t="s">
        <v>44</v>
      </c>
      <c r="R6205" s="10" t="s">
        <v>36205</v>
      </c>
      <c r="S6205" s="11" t="s">
        <v>36206</v>
      </c>
      <c r="T6205" s="6"/>
      <c r="U6205" s="24" t="str">
        <f>HYPERLINK("https://media.infra-m.ru/2103/2103130/cover/2103130.jpg", "Обложка")</f>
        <v>Обложка</v>
      </c>
      <c r="V6205" s="24" t="str">
        <f>HYPERLINK("https://znanium.ru/catalog/product/2103130", "Ознакомиться")</f>
        <v>Ознакомиться</v>
      </c>
      <c r="W6205" s="8" t="s">
        <v>2059</v>
      </c>
      <c r="X6205" s="6"/>
      <c r="Y6205" s="6"/>
      <c r="Z6205" s="6"/>
      <c r="AA6205" s="6" t="s">
        <v>47</v>
      </c>
      <c r="AB6205" s="8"/>
    </row>
    <row r="6206" spans="1:28" s="4" customFormat="1" ht="51.95" customHeight="1">
      <c r="A6206" s="5">
        <v>0</v>
      </c>
      <c r="B6206" s="6" t="s">
        <v>36207</v>
      </c>
      <c r="C6206" s="7">
        <v>704</v>
      </c>
      <c r="D6206" s="8" t="s">
        <v>36208</v>
      </c>
      <c r="E6206" s="8" t="s">
        <v>36209</v>
      </c>
      <c r="F6206" s="8" t="s">
        <v>36210</v>
      </c>
      <c r="G6206" s="6" t="s">
        <v>89</v>
      </c>
      <c r="H6206" s="6" t="s">
        <v>53</v>
      </c>
      <c r="I6206" s="8" t="s">
        <v>212</v>
      </c>
      <c r="J6206" s="9">
        <v>1</v>
      </c>
      <c r="K6206" s="9">
        <v>139</v>
      </c>
      <c r="L6206" s="9">
        <v>2025</v>
      </c>
      <c r="M6206" s="8" t="s">
        <v>36211</v>
      </c>
      <c r="N6206" s="8" t="s">
        <v>79</v>
      </c>
      <c r="O6206" s="8" t="s">
        <v>570</v>
      </c>
      <c r="P6206" s="6" t="s">
        <v>43</v>
      </c>
      <c r="Q6206" s="8" t="s">
        <v>214</v>
      </c>
      <c r="R6206" s="10" t="s">
        <v>10259</v>
      </c>
      <c r="S6206" s="11" t="s">
        <v>6502</v>
      </c>
      <c r="T6206" s="6"/>
      <c r="U6206" s="24" t="str">
        <f>HYPERLINK("https://media.infra-m.ru/2178/2178342/cover/2178342.jpg", "Обложка")</f>
        <v>Обложка</v>
      </c>
      <c r="V6206" s="24" t="str">
        <f>HYPERLINK("https://znanium.ru/catalog/product/1012733", "Ознакомиться")</f>
        <v>Ознакомиться</v>
      </c>
      <c r="W6206" s="8" t="s">
        <v>6503</v>
      </c>
      <c r="X6206" s="6"/>
      <c r="Y6206" s="6"/>
      <c r="Z6206" s="6"/>
      <c r="AA6206" s="6" t="s">
        <v>219</v>
      </c>
      <c r="AB6206" s="8"/>
    </row>
    <row r="6207" spans="1:28" s="4" customFormat="1" ht="51.95" customHeight="1">
      <c r="A6207" s="5">
        <v>0</v>
      </c>
      <c r="B6207" s="6" t="s">
        <v>36212</v>
      </c>
      <c r="C6207" s="7">
        <v>740</v>
      </c>
      <c r="D6207" s="8" t="s">
        <v>36213</v>
      </c>
      <c r="E6207" s="8" t="s">
        <v>36214</v>
      </c>
      <c r="F6207" s="8" t="s">
        <v>36215</v>
      </c>
      <c r="G6207" s="6" t="s">
        <v>89</v>
      </c>
      <c r="H6207" s="6" t="s">
        <v>53</v>
      </c>
      <c r="I6207" s="8" t="s">
        <v>100</v>
      </c>
      <c r="J6207" s="9">
        <v>1</v>
      </c>
      <c r="K6207" s="9">
        <v>160</v>
      </c>
      <c r="L6207" s="9">
        <v>2024</v>
      </c>
      <c r="M6207" s="8" t="s">
        <v>36216</v>
      </c>
      <c r="N6207" s="8" t="s">
        <v>79</v>
      </c>
      <c r="O6207" s="8" t="s">
        <v>570</v>
      </c>
      <c r="P6207" s="6" t="s">
        <v>43</v>
      </c>
      <c r="Q6207" s="8" t="s">
        <v>102</v>
      </c>
      <c r="R6207" s="10" t="s">
        <v>36217</v>
      </c>
      <c r="S6207" s="11" t="s">
        <v>20361</v>
      </c>
      <c r="T6207" s="6"/>
      <c r="U6207" s="24" t="str">
        <f>HYPERLINK("https://media.infra-m.ru/2126/2126600/cover/2126600.jpg", "Обложка")</f>
        <v>Обложка</v>
      </c>
      <c r="V6207" s="24" t="str">
        <f>HYPERLINK("https://znanium.ru/catalog/product/2126600", "Ознакомиться")</f>
        <v>Ознакомиться</v>
      </c>
      <c r="W6207" s="8" t="s">
        <v>2938</v>
      </c>
      <c r="X6207" s="6"/>
      <c r="Y6207" s="6"/>
      <c r="Z6207" s="6" t="s">
        <v>104</v>
      </c>
      <c r="AA6207" s="6" t="s">
        <v>793</v>
      </c>
      <c r="AB6207" s="8"/>
    </row>
    <row r="6208" spans="1:28" s="4" customFormat="1" ht="51.95" customHeight="1">
      <c r="A6208" s="5">
        <v>0</v>
      </c>
      <c r="B6208" s="6" t="s">
        <v>36218</v>
      </c>
      <c r="C6208" s="13">
        <v>1004.9</v>
      </c>
      <c r="D6208" s="8" t="s">
        <v>36219</v>
      </c>
      <c r="E6208" s="8" t="s">
        <v>36220</v>
      </c>
      <c r="F6208" s="8" t="s">
        <v>36221</v>
      </c>
      <c r="G6208" s="6" t="s">
        <v>52</v>
      </c>
      <c r="H6208" s="6" t="s">
        <v>53</v>
      </c>
      <c r="I6208" s="8" t="s">
        <v>90</v>
      </c>
      <c r="J6208" s="9">
        <v>1</v>
      </c>
      <c r="K6208" s="9">
        <v>224</v>
      </c>
      <c r="L6208" s="9">
        <v>2023</v>
      </c>
      <c r="M6208" s="8" t="s">
        <v>36222</v>
      </c>
      <c r="N6208" s="8" t="s">
        <v>79</v>
      </c>
      <c r="O6208" s="8" t="s">
        <v>570</v>
      </c>
      <c r="P6208" s="6" t="s">
        <v>43</v>
      </c>
      <c r="Q6208" s="8" t="s">
        <v>44</v>
      </c>
      <c r="R6208" s="10" t="s">
        <v>36223</v>
      </c>
      <c r="S6208" s="11" t="s">
        <v>36224</v>
      </c>
      <c r="T6208" s="6"/>
      <c r="U6208" s="24" t="str">
        <f>HYPERLINK("https://media.infra-m.ru/1897/1897001/cover/1897001.jpg", "Обложка")</f>
        <v>Обложка</v>
      </c>
      <c r="V6208" s="24" t="str">
        <f>HYPERLINK("https://znanium.ru/catalog/product/1844423", "Ознакомиться")</f>
        <v>Ознакомиться</v>
      </c>
      <c r="W6208" s="8" t="s">
        <v>637</v>
      </c>
      <c r="X6208" s="6"/>
      <c r="Y6208" s="6"/>
      <c r="Z6208" s="6"/>
      <c r="AA6208" s="6" t="s">
        <v>418</v>
      </c>
      <c r="AB6208" s="8"/>
    </row>
    <row r="6209" spans="1:28" s="4" customFormat="1" ht="51.95" customHeight="1">
      <c r="A6209" s="5">
        <v>0</v>
      </c>
      <c r="B6209" s="6" t="s">
        <v>36225</v>
      </c>
      <c r="C6209" s="13">
        <v>1014.9</v>
      </c>
      <c r="D6209" s="8" t="s">
        <v>36226</v>
      </c>
      <c r="E6209" s="8" t="s">
        <v>36220</v>
      </c>
      <c r="F6209" s="8" t="s">
        <v>36221</v>
      </c>
      <c r="G6209" s="6" t="s">
        <v>52</v>
      </c>
      <c r="H6209" s="6" t="s">
        <v>53</v>
      </c>
      <c r="I6209" s="8" t="s">
        <v>100</v>
      </c>
      <c r="J6209" s="9">
        <v>1</v>
      </c>
      <c r="K6209" s="9">
        <v>224</v>
      </c>
      <c r="L6209" s="9">
        <v>2023</v>
      </c>
      <c r="M6209" s="8" t="s">
        <v>36227</v>
      </c>
      <c r="N6209" s="8" t="s">
        <v>79</v>
      </c>
      <c r="O6209" s="8" t="s">
        <v>570</v>
      </c>
      <c r="P6209" s="6" t="s">
        <v>43</v>
      </c>
      <c r="Q6209" s="8" t="s">
        <v>102</v>
      </c>
      <c r="R6209" s="10" t="s">
        <v>1187</v>
      </c>
      <c r="S6209" s="11" t="s">
        <v>30093</v>
      </c>
      <c r="T6209" s="6"/>
      <c r="U6209" s="24" t="str">
        <f>HYPERLINK("https://media.infra-m.ru/1897/1897003/cover/1897003.jpg", "Обложка")</f>
        <v>Обложка</v>
      </c>
      <c r="V6209" s="24" t="str">
        <f>HYPERLINK("https://znanium.ru/catalog/product/961719", "Ознакомиться")</f>
        <v>Ознакомиться</v>
      </c>
      <c r="W6209" s="8" t="s">
        <v>637</v>
      </c>
      <c r="X6209" s="6"/>
      <c r="Y6209" s="6"/>
      <c r="Z6209" s="6" t="s">
        <v>104</v>
      </c>
      <c r="AA6209" s="6" t="s">
        <v>793</v>
      </c>
      <c r="AB6209" s="8"/>
    </row>
    <row r="6210" spans="1:28" s="4" customFormat="1" ht="51.95" customHeight="1">
      <c r="A6210" s="5">
        <v>0</v>
      </c>
      <c r="B6210" s="6" t="s">
        <v>36228</v>
      </c>
      <c r="C6210" s="7">
        <v>724</v>
      </c>
      <c r="D6210" s="8" t="s">
        <v>36229</v>
      </c>
      <c r="E6210" s="8" t="s">
        <v>36214</v>
      </c>
      <c r="F6210" s="8" t="s">
        <v>36215</v>
      </c>
      <c r="G6210" s="6" t="s">
        <v>38</v>
      </c>
      <c r="H6210" s="6" t="s">
        <v>53</v>
      </c>
      <c r="I6210" s="8" t="s">
        <v>90</v>
      </c>
      <c r="J6210" s="9">
        <v>1</v>
      </c>
      <c r="K6210" s="9">
        <v>160</v>
      </c>
      <c r="L6210" s="9">
        <v>2023</v>
      </c>
      <c r="M6210" s="8" t="s">
        <v>36230</v>
      </c>
      <c r="N6210" s="8" t="s">
        <v>79</v>
      </c>
      <c r="O6210" s="8" t="s">
        <v>570</v>
      </c>
      <c r="P6210" s="6" t="s">
        <v>43</v>
      </c>
      <c r="Q6210" s="8" t="s">
        <v>44</v>
      </c>
      <c r="R6210" s="10" t="s">
        <v>36231</v>
      </c>
      <c r="S6210" s="11" t="s">
        <v>36232</v>
      </c>
      <c r="T6210" s="6"/>
      <c r="U6210" s="24" t="str">
        <f>HYPERLINK("https://media.infra-m.ru/1870/1870757/cover/1870757.jpg", "Обложка")</f>
        <v>Обложка</v>
      </c>
      <c r="V6210" s="24" t="str">
        <f>HYPERLINK("https://znanium.ru/catalog/product/1515070", "Ознакомиться")</f>
        <v>Ознакомиться</v>
      </c>
      <c r="W6210" s="8" t="s">
        <v>2938</v>
      </c>
      <c r="X6210" s="6"/>
      <c r="Y6210" s="6"/>
      <c r="Z6210" s="6"/>
      <c r="AA6210" s="6" t="s">
        <v>442</v>
      </c>
      <c r="AB6210" s="8"/>
    </row>
    <row r="6211" spans="1:28" s="4" customFormat="1" ht="51.95" customHeight="1">
      <c r="A6211" s="5">
        <v>0</v>
      </c>
      <c r="B6211" s="6" t="s">
        <v>36233</v>
      </c>
      <c r="C6211" s="13">
        <v>1484</v>
      </c>
      <c r="D6211" s="8" t="s">
        <v>36234</v>
      </c>
      <c r="E6211" s="8" t="s">
        <v>36235</v>
      </c>
      <c r="F6211" s="8" t="s">
        <v>36236</v>
      </c>
      <c r="G6211" s="6" t="s">
        <v>52</v>
      </c>
      <c r="H6211" s="6" t="s">
        <v>438</v>
      </c>
      <c r="I6211" s="8"/>
      <c r="J6211" s="9">
        <v>1</v>
      </c>
      <c r="K6211" s="9">
        <v>296</v>
      </c>
      <c r="L6211" s="9">
        <v>2025</v>
      </c>
      <c r="M6211" s="8" t="s">
        <v>36237</v>
      </c>
      <c r="N6211" s="8" t="s">
        <v>79</v>
      </c>
      <c r="O6211" s="8" t="s">
        <v>80</v>
      </c>
      <c r="P6211" s="6" t="s">
        <v>43</v>
      </c>
      <c r="Q6211" s="8" t="s">
        <v>58</v>
      </c>
      <c r="R6211" s="10" t="s">
        <v>36238</v>
      </c>
      <c r="S6211" s="11"/>
      <c r="T6211" s="6"/>
      <c r="U6211" s="24" t="str">
        <f>HYPERLINK("https://media.infra-m.ru/2180/2180465/cover/2180465.jpg", "Обложка")</f>
        <v>Обложка</v>
      </c>
      <c r="V6211" s="24" t="str">
        <f>HYPERLINK("https://znanium.ru/catalog/product/1902497", "Ознакомиться")</f>
        <v>Ознакомиться</v>
      </c>
      <c r="W6211" s="8" t="s">
        <v>1175</v>
      </c>
      <c r="X6211" s="6"/>
      <c r="Y6211" s="6"/>
      <c r="Z6211" s="6"/>
      <c r="AA6211" s="6" t="s">
        <v>442</v>
      </c>
      <c r="AB6211" s="8"/>
    </row>
    <row r="6212" spans="1:28" s="4" customFormat="1" ht="51.95" customHeight="1">
      <c r="A6212" s="5">
        <v>0</v>
      </c>
      <c r="B6212" s="6" t="s">
        <v>36239</v>
      </c>
      <c r="C6212" s="13">
        <v>1914</v>
      </c>
      <c r="D6212" s="8" t="s">
        <v>36240</v>
      </c>
      <c r="E6212" s="8" t="s">
        <v>36241</v>
      </c>
      <c r="F6212" s="8" t="s">
        <v>648</v>
      </c>
      <c r="G6212" s="6" t="s">
        <v>89</v>
      </c>
      <c r="H6212" s="6" t="s">
        <v>649</v>
      </c>
      <c r="I6212" s="8" t="s">
        <v>100</v>
      </c>
      <c r="J6212" s="9">
        <v>1</v>
      </c>
      <c r="K6212" s="9">
        <v>368</v>
      </c>
      <c r="L6212" s="9">
        <v>2025</v>
      </c>
      <c r="M6212" s="8" t="s">
        <v>36242</v>
      </c>
      <c r="N6212" s="8" t="s">
        <v>79</v>
      </c>
      <c r="O6212" s="8" t="s">
        <v>570</v>
      </c>
      <c r="P6212" s="6" t="s">
        <v>43</v>
      </c>
      <c r="Q6212" s="8" t="s">
        <v>102</v>
      </c>
      <c r="R6212" s="10" t="s">
        <v>36243</v>
      </c>
      <c r="S6212" s="11" t="s">
        <v>6528</v>
      </c>
      <c r="T6212" s="6"/>
      <c r="U6212" s="24" t="str">
        <f>HYPERLINK("https://media.infra-m.ru/2201/2201495/cover/2201495.jpg", "Обложка")</f>
        <v>Обложка</v>
      </c>
      <c r="V6212" s="24" t="str">
        <f>HYPERLINK("https://znanium.ru/catalog/product/2177947", "Ознакомиться")</f>
        <v>Ознакомиться</v>
      </c>
      <c r="W6212" s="8" t="s">
        <v>653</v>
      </c>
      <c r="X6212" s="6"/>
      <c r="Y6212" s="6"/>
      <c r="Z6212" s="6"/>
      <c r="AA6212" s="6" t="s">
        <v>8847</v>
      </c>
      <c r="AB6212" s="8"/>
    </row>
    <row r="6213" spans="1:28" s="4" customFormat="1" ht="44.1" customHeight="1">
      <c r="A6213" s="5">
        <v>0</v>
      </c>
      <c r="B6213" s="6" t="s">
        <v>36244</v>
      </c>
      <c r="C6213" s="7">
        <v>920</v>
      </c>
      <c r="D6213" s="8" t="s">
        <v>36245</v>
      </c>
      <c r="E6213" s="8" t="s">
        <v>36246</v>
      </c>
      <c r="F6213" s="8" t="s">
        <v>36247</v>
      </c>
      <c r="G6213" s="6" t="s">
        <v>89</v>
      </c>
      <c r="H6213" s="6" t="s">
        <v>53</v>
      </c>
      <c r="I6213" s="8" t="s">
        <v>14079</v>
      </c>
      <c r="J6213" s="9">
        <v>1</v>
      </c>
      <c r="K6213" s="9">
        <v>200</v>
      </c>
      <c r="L6213" s="9">
        <v>2024</v>
      </c>
      <c r="M6213" s="8" t="s">
        <v>36248</v>
      </c>
      <c r="N6213" s="8" t="s">
        <v>79</v>
      </c>
      <c r="O6213" s="8" t="s">
        <v>570</v>
      </c>
      <c r="P6213" s="6" t="s">
        <v>7733</v>
      </c>
      <c r="Q6213" s="8" t="s">
        <v>58</v>
      </c>
      <c r="R6213" s="10" t="s">
        <v>36249</v>
      </c>
      <c r="S6213" s="11"/>
      <c r="T6213" s="6"/>
      <c r="U6213" s="24" t="str">
        <f>HYPERLINK("https://media.infra-m.ru/2112/2112509/cover/2112509.jpg", "Обложка")</f>
        <v>Обложка</v>
      </c>
      <c r="V6213" s="24" t="str">
        <f>HYPERLINK("https://znanium.ru/catalog/product/2112509", "Ознакомиться")</f>
        <v>Ознакомиться</v>
      </c>
      <c r="W6213" s="8" t="s">
        <v>9885</v>
      </c>
      <c r="X6213" s="6"/>
      <c r="Y6213" s="6"/>
      <c r="Z6213" s="6"/>
      <c r="AA6213" s="6" t="s">
        <v>219</v>
      </c>
      <c r="AB6213" s="8"/>
    </row>
    <row r="6214" spans="1:28" s="4" customFormat="1" ht="51.95" customHeight="1">
      <c r="A6214" s="5">
        <v>0</v>
      </c>
      <c r="B6214" s="6" t="s">
        <v>36250</v>
      </c>
      <c r="C6214" s="13">
        <v>2120</v>
      </c>
      <c r="D6214" s="8" t="s">
        <v>36251</v>
      </c>
      <c r="E6214" s="8" t="s">
        <v>36252</v>
      </c>
      <c r="F6214" s="8" t="s">
        <v>36253</v>
      </c>
      <c r="G6214" s="6" t="s">
        <v>89</v>
      </c>
      <c r="H6214" s="6" t="s">
        <v>53</v>
      </c>
      <c r="I6214" s="8" t="s">
        <v>116</v>
      </c>
      <c r="J6214" s="9">
        <v>1</v>
      </c>
      <c r="K6214" s="9">
        <v>470</v>
      </c>
      <c r="L6214" s="9">
        <v>2023</v>
      </c>
      <c r="M6214" s="8" t="s">
        <v>36254</v>
      </c>
      <c r="N6214" s="8" t="s">
        <v>79</v>
      </c>
      <c r="O6214" s="8" t="s">
        <v>396</v>
      </c>
      <c r="P6214" s="6" t="s">
        <v>43</v>
      </c>
      <c r="Q6214" s="8" t="s">
        <v>58</v>
      </c>
      <c r="R6214" s="10" t="s">
        <v>6409</v>
      </c>
      <c r="S6214" s="11" t="s">
        <v>36255</v>
      </c>
      <c r="T6214" s="6"/>
      <c r="U6214" s="24" t="str">
        <f>HYPERLINK("https://media.infra-m.ru/1996/1996313/cover/1996313.jpg", "Обложка")</f>
        <v>Обложка</v>
      </c>
      <c r="V6214" s="24" t="str">
        <f>HYPERLINK("https://znanium.ru/catalog/product/1996313", "Ознакомиться")</f>
        <v>Ознакомиться</v>
      </c>
      <c r="W6214" s="8" t="s">
        <v>3865</v>
      </c>
      <c r="X6214" s="6"/>
      <c r="Y6214" s="6"/>
      <c r="Z6214" s="6"/>
      <c r="AA6214" s="6" t="s">
        <v>1259</v>
      </c>
      <c r="AB6214" s="8"/>
    </row>
    <row r="6215" spans="1:28" s="4" customFormat="1" ht="51.95" customHeight="1">
      <c r="A6215" s="5">
        <v>0</v>
      </c>
      <c r="B6215" s="6" t="s">
        <v>36256</v>
      </c>
      <c r="C6215" s="13">
        <v>2450</v>
      </c>
      <c r="D6215" s="8" t="s">
        <v>36257</v>
      </c>
      <c r="E6215" s="8" t="s">
        <v>36258</v>
      </c>
      <c r="F6215" s="8" t="s">
        <v>36259</v>
      </c>
      <c r="G6215" s="6" t="s">
        <v>89</v>
      </c>
      <c r="H6215" s="6" t="s">
        <v>649</v>
      </c>
      <c r="I6215" s="8" t="s">
        <v>116</v>
      </c>
      <c r="J6215" s="9">
        <v>1</v>
      </c>
      <c r="K6215" s="9">
        <v>544</v>
      </c>
      <c r="L6215" s="9">
        <v>2023</v>
      </c>
      <c r="M6215" s="8" t="s">
        <v>36260</v>
      </c>
      <c r="N6215" s="8" t="s">
        <v>79</v>
      </c>
      <c r="O6215" s="8" t="s">
        <v>537</v>
      </c>
      <c r="P6215" s="6" t="s">
        <v>167</v>
      </c>
      <c r="Q6215" s="8" t="s">
        <v>44</v>
      </c>
      <c r="R6215" s="10" t="s">
        <v>3293</v>
      </c>
      <c r="S6215" s="11" t="s">
        <v>36261</v>
      </c>
      <c r="T6215" s="6"/>
      <c r="U6215" s="24" t="str">
        <f>HYPERLINK("https://media.infra-m.ru/1899/1899820/cover/1899820.jpg", "Обложка")</f>
        <v>Обложка</v>
      </c>
      <c r="V6215" s="24" t="str">
        <f>HYPERLINK("https://znanium.ru/catalog/product/1039535", "Ознакомиться")</f>
        <v>Ознакомиться</v>
      </c>
      <c r="W6215" s="8" t="s">
        <v>9885</v>
      </c>
      <c r="X6215" s="6"/>
      <c r="Y6215" s="6"/>
      <c r="Z6215" s="6"/>
      <c r="AA6215" s="6" t="s">
        <v>479</v>
      </c>
      <c r="AB6215" s="8"/>
    </row>
    <row r="6216" spans="1:28" s="4" customFormat="1" ht="51.95" customHeight="1">
      <c r="A6216" s="5">
        <v>0</v>
      </c>
      <c r="B6216" s="6" t="s">
        <v>36262</v>
      </c>
      <c r="C6216" s="13">
        <v>2044</v>
      </c>
      <c r="D6216" s="8" t="s">
        <v>36263</v>
      </c>
      <c r="E6216" s="8" t="s">
        <v>36258</v>
      </c>
      <c r="F6216" s="8" t="s">
        <v>36259</v>
      </c>
      <c r="G6216" s="6" t="s">
        <v>52</v>
      </c>
      <c r="H6216" s="6" t="s">
        <v>649</v>
      </c>
      <c r="I6216" s="8" t="s">
        <v>100</v>
      </c>
      <c r="J6216" s="9">
        <v>1</v>
      </c>
      <c r="K6216" s="9">
        <v>544</v>
      </c>
      <c r="L6216" s="9">
        <v>2023</v>
      </c>
      <c r="M6216" s="8" t="s">
        <v>36264</v>
      </c>
      <c r="N6216" s="8" t="s">
        <v>79</v>
      </c>
      <c r="O6216" s="8" t="s">
        <v>537</v>
      </c>
      <c r="P6216" s="6" t="s">
        <v>167</v>
      </c>
      <c r="Q6216" s="8" t="s">
        <v>102</v>
      </c>
      <c r="R6216" s="10" t="s">
        <v>36265</v>
      </c>
      <c r="S6216" s="11" t="s">
        <v>36266</v>
      </c>
      <c r="T6216" s="6"/>
      <c r="U6216" s="24" t="str">
        <f>HYPERLINK("https://media.infra-m.ru/2021/2021446/cover/2021446.jpg", "Обложка")</f>
        <v>Обложка</v>
      </c>
      <c r="V6216" s="24" t="str">
        <f>HYPERLINK("https://znanium.ru/catalog/product/961720", "Ознакомиться")</f>
        <v>Ознакомиться</v>
      </c>
      <c r="W6216" s="8" t="s">
        <v>9885</v>
      </c>
      <c r="X6216" s="6"/>
      <c r="Y6216" s="6"/>
      <c r="Z6216" s="6" t="s">
        <v>104</v>
      </c>
      <c r="AA6216" s="6" t="s">
        <v>1374</v>
      </c>
      <c r="AB6216" s="8"/>
    </row>
    <row r="6217" spans="1:28" s="4" customFormat="1" ht="51.95" customHeight="1">
      <c r="A6217" s="5">
        <v>0</v>
      </c>
      <c r="B6217" s="6" t="s">
        <v>36267</v>
      </c>
      <c r="C6217" s="7">
        <v>980</v>
      </c>
      <c r="D6217" s="8" t="s">
        <v>36268</v>
      </c>
      <c r="E6217" s="8" t="s">
        <v>36269</v>
      </c>
      <c r="F6217" s="8" t="s">
        <v>7535</v>
      </c>
      <c r="G6217" s="6" t="s">
        <v>89</v>
      </c>
      <c r="H6217" s="6" t="s">
        <v>53</v>
      </c>
      <c r="I6217" s="8" t="s">
        <v>116</v>
      </c>
      <c r="J6217" s="9">
        <v>1</v>
      </c>
      <c r="K6217" s="9">
        <v>200</v>
      </c>
      <c r="L6217" s="9">
        <v>2024</v>
      </c>
      <c r="M6217" s="8" t="s">
        <v>36270</v>
      </c>
      <c r="N6217" s="8" t="s">
        <v>79</v>
      </c>
      <c r="O6217" s="8" t="s">
        <v>396</v>
      </c>
      <c r="P6217" s="6" t="s">
        <v>43</v>
      </c>
      <c r="Q6217" s="8" t="s">
        <v>58</v>
      </c>
      <c r="R6217" s="10" t="s">
        <v>2031</v>
      </c>
      <c r="S6217" s="11" t="s">
        <v>36271</v>
      </c>
      <c r="T6217" s="6"/>
      <c r="U6217" s="24" t="str">
        <f>HYPERLINK("https://media.infra-m.ru/2019/2019748/cover/2019748.jpg", "Обложка")</f>
        <v>Обложка</v>
      </c>
      <c r="V6217" s="24" t="str">
        <f>HYPERLINK("https://znanium.ru/catalog/product/2019748", "Ознакомиться")</f>
        <v>Ознакомиться</v>
      </c>
      <c r="W6217" s="8" t="s">
        <v>487</v>
      </c>
      <c r="X6217" s="6"/>
      <c r="Y6217" s="6"/>
      <c r="Z6217" s="6"/>
      <c r="AA6217" s="6" t="s">
        <v>219</v>
      </c>
      <c r="AB6217" s="8"/>
    </row>
    <row r="6218" spans="1:28" s="4" customFormat="1" ht="51.95" customHeight="1">
      <c r="A6218" s="5">
        <v>0</v>
      </c>
      <c r="B6218" s="6" t="s">
        <v>36272</v>
      </c>
      <c r="C6218" s="13">
        <v>1780</v>
      </c>
      <c r="D6218" s="8" t="s">
        <v>36273</v>
      </c>
      <c r="E6218" s="8" t="s">
        <v>36274</v>
      </c>
      <c r="F6218" s="8" t="s">
        <v>36275</v>
      </c>
      <c r="G6218" s="6" t="s">
        <v>89</v>
      </c>
      <c r="H6218" s="6" t="s">
        <v>39</v>
      </c>
      <c r="I6218" s="8" t="s">
        <v>100</v>
      </c>
      <c r="J6218" s="9">
        <v>1</v>
      </c>
      <c r="K6218" s="9">
        <v>383</v>
      </c>
      <c r="L6218" s="9">
        <v>2024</v>
      </c>
      <c r="M6218" s="8" t="s">
        <v>36276</v>
      </c>
      <c r="N6218" s="8" t="s">
        <v>79</v>
      </c>
      <c r="O6218" s="8" t="s">
        <v>537</v>
      </c>
      <c r="P6218" s="6" t="s">
        <v>167</v>
      </c>
      <c r="Q6218" s="8" t="s">
        <v>102</v>
      </c>
      <c r="R6218" s="10" t="s">
        <v>36277</v>
      </c>
      <c r="S6218" s="11" t="s">
        <v>36278</v>
      </c>
      <c r="T6218" s="6"/>
      <c r="U6218" s="24" t="str">
        <f>HYPERLINK("https://media.infra-m.ru/2053/2053251/cover/2053251.jpg", "Обложка")</f>
        <v>Обложка</v>
      </c>
      <c r="V6218" s="24" t="str">
        <f>HYPERLINK("https://znanium.ru/catalog/product/2053251", "Ознакомиться")</f>
        <v>Ознакомиться</v>
      </c>
      <c r="W6218" s="8" t="s">
        <v>9885</v>
      </c>
      <c r="X6218" s="6"/>
      <c r="Y6218" s="6"/>
      <c r="Z6218" s="6"/>
      <c r="AA6218" s="6" t="s">
        <v>244</v>
      </c>
      <c r="AB6218" s="8"/>
    </row>
    <row r="6219" spans="1:28" s="4" customFormat="1" ht="44.1" customHeight="1">
      <c r="A6219" s="5">
        <v>0</v>
      </c>
      <c r="B6219" s="6" t="s">
        <v>36279</v>
      </c>
      <c r="C6219" s="13">
        <v>1240</v>
      </c>
      <c r="D6219" s="8" t="s">
        <v>36280</v>
      </c>
      <c r="E6219" s="8" t="s">
        <v>36281</v>
      </c>
      <c r="F6219" s="8" t="s">
        <v>36282</v>
      </c>
      <c r="G6219" s="6" t="s">
        <v>52</v>
      </c>
      <c r="H6219" s="6" t="s">
        <v>53</v>
      </c>
      <c r="I6219" s="8" t="s">
        <v>116</v>
      </c>
      <c r="J6219" s="9">
        <v>1</v>
      </c>
      <c r="K6219" s="9">
        <v>244</v>
      </c>
      <c r="L6219" s="9">
        <v>2024</v>
      </c>
      <c r="M6219" s="8" t="s">
        <v>36283</v>
      </c>
      <c r="N6219" s="8" t="s">
        <v>79</v>
      </c>
      <c r="O6219" s="8" t="s">
        <v>396</v>
      </c>
      <c r="P6219" s="6" t="s">
        <v>43</v>
      </c>
      <c r="Q6219" s="8" t="s">
        <v>44</v>
      </c>
      <c r="R6219" s="10" t="s">
        <v>32563</v>
      </c>
      <c r="S6219" s="11"/>
      <c r="T6219" s="6"/>
      <c r="U6219" s="24" t="str">
        <f>HYPERLINK("https://media.infra-m.ru/1903/1903340/cover/1903340.jpg", "Обложка")</f>
        <v>Обложка</v>
      </c>
      <c r="V6219" s="24" t="str">
        <f>HYPERLINK("https://znanium.ru/catalog/product/1903340", "Ознакомиться")</f>
        <v>Ознакомиться</v>
      </c>
      <c r="W6219" s="8" t="s">
        <v>9885</v>
      </c>
      <c r="X6219" s="6"/>
      <c r="Y6219" s="6"/>
      <c r="Z6219" s="6"/>
      <c r="AA6219" s="6" t="s">
        <v>133</v>
      </c>
      <c r="AB6219" s="8"/>
    </row>
    <row r="6220" spans="1:28" s="4" customFormat="1" ht="42" customHeight="1">
      <c r="A6220" s="5">
        <v>0</v>
      </c>
      <c r="B6220" s="6" t="s">
        <v>36284</v>
      </c>
      <c r="C6220" s="13">
        <v>1950</v>
      </c>
      <c r="D6220" s="8" t="s">
        <v>36285</v>
      </c>
      <c r="E6220" s="8" t="s">
        <v>36286</v>
      </c>
      <c r="F6220" s="8" t="s">
        <v>36287</v>
      </c>
      <c r="G6220" s="6" t="s">
        <v>52</v>
      </c>
      <c r="H6220" s="6" t="s">
        <v>53</v>
      </c>
      <c r="I6220" s="8" t="s">
        <v>3356</v>
      </c>
      <c r="J6220" s="9">
        <v>1</v>
      </c>
      <c r="K6220" s="9">
        <v>264</v>
      </c>
      <c r="L6220" s="9">
        <v>2022</v>
      </c>
      <c r="M6220" s="8" t="s">
        <v>36288</v>
      </c>
      <c r="N6220" s="8" t="s">
        <v>79</v>
      </c>
      <c r="O6220" s="8" t="s">
        <v>396</v>
      </c>
      <c r="P6220" s="6" t="s">
        <v>43</v>
      </c>
      <c r="Q6220" s="8" t="s">
        <v>214</v>
      </c>
      <c r="R6220" s="10" t="s">
        <v>5237</v>
      </c>
      <c r="S6220" s="11"/>
      <c r="T6220" s="6"/>
      <c r="U6220" s="24" t="str">
        <f>HYPERLINK("https://media.infra-m.ru/1837/1837902/cover/1837902.jpg", "Обложка")</f>
        <v>Обложка</v>
      </c>
      <c r="V6220" s="12"/>
      <c r="W6220" s="8" t="s">
        <v>5435</v>
      </c>
      <c r="X6220" s="6"/>
      <c r="Y6220" s="6"/>
      <c r="Z6220" s="6"/>
      <c r="AA6220" s="6" t="s">
        <v>235</v>
      </c>
      <c r="AB6220" s="8"/>
    </row>
    <row r="6221" spans="1:28" s="4" customFormat="1" ht="51.95" customHeight="1">
      <c r="A6221" s="5">
        <v>0</v>
      </c>
      <c r="B6221" s="6" t="s">
        <v>36289</v>
      </c>
      <c r="C6221" s="13">
        <v>1940</v>
      </c>
      <c r="D6221" s="8" t="s">
        <v>36290</v>
      </c>
      <c r="E6221" s="8" t="s">
        <v>36291</v>
      </c>
      <c r="F6221" s="8" t="s">
        <v>36292</v>
      </c>
      <c r="G6221" s="6" t="s">
        <v>52</v>
      </c>
      <c r="H6221" s="6" t="s">
        <v>39</v>
      </c>
      <c r="I6221" s="8" t="s">
        <v>116</v>
      </c>
      <c r="J6221" s="9">
        <v>1</v>
      </c>
      <c r="K6221" s="9">
        <v>415</v>
      </c>
      <c r="L6221" s="9">
        <v>2024</v>
      </c>
      <c r="M6221" s="8" t="s">
        <v>36293</v>
      </c>
      <c r="N6221" s="8" t="s">
        <v>79</v>
      </c>
      <c r="O6221" s="8" t="s">
        <v>396</v>
      </c>
      <c r="P6221" s="6" t="s">
        <v>167</v>
      </c>
      <c r="Q6221" s="8" t="s">
        <v>44</v>
      </c>
      <c r="R6221" s="10" t="s">
        <v>36294</v>
      </c>
      <c r="S6221" s="11" t="s">
        <v>36295</v>
      </c>
      <c r="T6221" s="6"/>
      <c r="U6221" s="24" t="str">
        <f>HYPERLINK("https://media.infra-m.ru/2078/2078400/cover/2078400.jpg", "Обложка")</f>
        <v>Обложка</v>
      </c>
      <c r="V6221" s="24" t="str">
        <f>HYPERLINK("https://znanium.ru/catalog/product/2078400", "Ознакомиться")</f>
        <v>Ознакомиться</v>
      </c>
      <c r="W6221" s="8" t="s">
        <v>1144</v>
      </c>
      <c r="X6221" s="6"/>
      <c r="Y6221" s="6"/>
      <c r="Z6221" s="6"/>
      <c r="AA6221" s="6" t="s">
        <v>479</v>
      </c>
      <c r="AB6221" s="8"/>
    </row>
    <row r="6222" spans="1:28" s="4" customFormat="1" ht="51.95" customHeight="1">
      <c r="A6222" s="5">
        <v>0</v>
      </c>
      <c r="B6222" s="6" t="s">
        <v>36296</v>
      </c>
      <c r="C6222" s="13">
        <v>2470</v>
      </c>
      <c r="D6222" s="8" t="s">
        <v>36297</v>
      </c>
      <c r="E6222" s="8" t="s">
        <v>36298</v>
      </c>
      <c r="F6222" s="8" t="s">
        <v>36299</v>
      </c>
      <c r="G6222" s="6" t="s">
        <v>52</v>
      </c>
      <c r="H6222" s="6" t="s">
        <v>39</v>
      </c>
      <c r="I6222" s="8" t="s">
        <v>185</v>
      </c>
      <c r="J6222" s="9">
        <v>1</v>
      </c>
      <c r="K6222" s="9">
        <v>495</v>
      </c>
      <c r="L6222" s="9">
        <v>2025</v>
      </c>
      <c r="M6222" s="8" t="s">
        <v>36300</v>
      </c>
      <c r="N6222" s="8" t="s">
        <v>79</v>
      </c>
      <c r="O6222" s="8" t="s">
        <v>396</v>
      </c>
      <c r="P6222" s="6" t="s">
        <v>43</v>
      </c>
      <c r="Q6222" s="8" t="s">
        <v>102</v>
      </c>
      <c r="R6222" s="10" t="s">
        <v>36301</v>
      </c>
      <c r="S6222" s="11" t="s">
        <v>620</v>
      </c>
      <c r="T6222" s="6"/>
      <c r="U6222" s="24" t="str">
        <f>HYPERLINK("https://media.infra-m.ru/2165/2165082/cover/2165082.jpg", "Обложка")</f>
        <v>Обложка</v>
      </c>
      <c r="V6222" s="24" t="str">
        <f>HYPERLINK("https://znanium.ru/catalog/product/2165082", "Ознакомиться")</f>
        <v>Ознакомиться</v>
      </c>
      <c r="W6222" s="8" t="s">
        <v>8065</v>
      </c>
      <c r="X6222" s="6"/>
      <c r="Y6222" s="6"/>
      <c r="Z6222" s="6"/>
      <c r="AA6222" s="6" t="s">
        <v>479</v>
      </c>
      <c r="AB6222" s="8"/>
    </row>
    <row r="6223" spans="1:28" s="4" customFormat="1" ht="51.95" customHeight="1">
      <c r="A6223" s="5">
        <v>0</v>
      </c>
      <c r="B6223" s="6" t="s">
        <v>36302</v>
      </c>
      <c r="C6223" s="13">
        <v>1334.9</v>
      </c>
      <c r="D6223" s="8" t="s">
        <v>36303</v>
      </c>
      <c r="E6223" s="8" t="s">
        <v>36304</v>
      </c>
      <c r="F6223" s="8" t="s">
        <v>22185</v>
      </c>
      <c r="G6223" s="6" t="s">
        <v>52</v>
      </c>
      <c r="H6223" s="6" t="s">
        <v>39</v>
      </c>
      <c r="I6223" s="8" t="s">
        <v>185</v>
      </c>
      <c r="J6223" s="9">
        <v>1</v>
      </c>
      <c r="K6223" s="9">
        <v>352</v>
      </c>
      <c r="L6223" s="9">
        <v>2022</v>
      </c>
      <c r="M6223" s="8" t="s">
        <v>36305</v>
      </c>
      <c r="N6223" s="8" t="s">
        <v>79</v>
      </c>
      <c r="O6223" s="8" t="s">
        <v>396</v>
      </c>
      <c r="P6223" s="6" t="s">
        <v>167</v>
      </c>
      <c r="Q6223" s="8" t="s">
        <v>102</v>
      </c>
      <c r="R6223" s="10" t="s">
        <v>36306</v>
      </c>
      <c r="S6223" s="11" t="s">
        <v>36307</v>
      </c>
      <c r="T6223" s="6"/>
      <c r="U6223" s="24" t="str">
        <f>HYPERLINK("https://media.infra-m.ru/1851/1851446/cover/1851446.jpg", "Обложка")</f>
        <v>Обложка</v>
      </c>
      <c r="V6223" s="24" t="str">
        <f>HYPERLINK("https://znanium.ru/catalog/product/1069163", "Ознакомиться")</f>
        <v>Ознакомиться</v>
      </c>
      <c r="W6223" s="8" t="s">
        <v>71</v>
      </c>
      <c r="X6223" s="6"/>
      <c r="Y6223" s="6"/>
      <c r="Z6223" s="6"/>
      <c r="AA6223" s="6" t="s">
        <v>84</v>
      </c>
      <c r="AB6223" s="8"/>
    </row>
    <row r="6224" spans="1:28" s="4" customFormat="1" ht="51.95" customHeight="1">
      <c r="A6224" s="5">
        <v>0</v>
      </c>
      <c r="B6224" s="6" t="s">
        <v>36308</v>
      </c>
      <c r="C6224" s="13">
        <v>1584.9</v>
      </c>
      <c r="D6224" s="8" t="s">
        <v>36309</v>
      </c>
      <c r="E6224" s="8" t="s">
        <v>36304</v>
      </c>
      <c r="F6224" s="8" t="s">
        <v>36310</v>
      </c>
      <c r="G6224" s="6" t="s">
        <v>52</v>
      </c>
      <c r="H6224" s="6" t="s">
        <v>39</v>
      </c>
      <c r="I6224" s="8" t="s">
        <v>90</v>
      </c>
      <c r="J6224" s="9">
        <v>1</v>
      </c>
      <c r="K6224" s="9">
        <v>352</v>
      </c>
      <c r="L6224" s="9">
        <v>2023</v>
      </c>
      <c r="M6224" s="8" t="s">
        <v>36311</v>
      </c>
      <c r="N6224" s="8" t="s">
        <v>79</v>
      </c>
      <c r="O6224" s="8" t="s">
        <v>396</v>
      </c>
      <c r="P6224" s="6" t="s">
        <v>167</v>
      </c>
      <c r="Q6224" s="8" t="s">
        <v>44</v>
      </c>
      <c r="R6224" s="10" t="s">
        <v>36312</v>
      </c>
      <c r="S6224" s="11" t="s">
        <v>36313</v>
      </c>
      <c r="T6224" s="6"/>
      <c r="U6224" s="24" t="str">
        <f>HYPERLINK("https://media.infra-m.ru/1941/1941739/cover/1941739.jpg", "Обложка")</f>
        <v>Обложка</v>
      </c>
      <c r="V6224" s="24" t="str">
        <f>HYPERLINK("https://znanium.ru/catalog/product/1893802", "Ознакомиться")</f>
        <v>Ознакомиться</v>
      </c>
      <c r="W6224" s="8" t="s">
        <v>71</v>
      </c>
      <c r="X6224" s="6"/>
      <c r="Y6224" s="6"/>
      <c r="Z6224" s="6" t="s">
        <v>335</v>
      </c>
      <c r="AA6224" s="6" t="s">
        <v>793</v>
      </c>
      <c r="AB6224" s="8"/>
    </row>
    <row r="6225" spans="1:28" s="4" customFormat="1" ht="51.95" customHeight="1">
      <c r="A6225" s="5">
        <v>0</v>
      </c>
      <c r="B6225" s="6" t="s">
        <v>36314</v>
      </c>
      <c r="C6225" s="13">
        <v>2464</v>
      </c>
      <c r="D6225" s="8" t="s">
        <v>36315</v>
      </c>
      <c r="E6225" s="8" t="s">
        <v>36316</v>
      </c>
      <c r="F6225" s="8" t="s">
        <v>36317</v>
      </c>
      <c r="G6225" s="6" t="s">
        <v>89</v>
      </c>
      <c r="H6225" s="6" t="s">
        <v>649</v>
      </c>
      <c r="I6225" s="8" t="s">
        <v>90</v>
      </c>
      <c r="J6225" s="9">
        <v>1</v>
      </c>
      <c r="K6225" s="9">
        <v>416</v>
      </c>
      <c r="L6225" s="9">
        <v>2024</v>
      </c>
      <c r="M6225" s="8" t="s">
        <v>36318</v>
      </c>
      <c r="N6225" s="8" t="s">
        <v>79</v>
      </c>
      <c r="O6225" s="8" t="s">
        <v>396</v>
      </c>
      <c r="P6225" s="6" t="s">
        <v>43</v>
      </c>
      <c r="Q6225" s="8" t="s">
        <v>44</v>
      </c>
      <c r="R6225" s="10" t="s">
        <v>6409</v>
      </c>
      <c r="S6225" s="11" t="s">
        <v>15568</v>
      </c>
      <c r="T6225" s="6"/>
      <c r="U6225" s="24" t="str">
        <f>HYPERLINK("https://media.infra-m.ru/1911/1911022/cover/1911022.jpg", "Обложка")</f>
        <v>Обложка</v>
      </c>
      <c r="V6225" s="24" t="str">
        <f>HYPERLINK("https://znanium.ru/catalog/product/1839660", "Ознакомиться")</f>
        <v>Ознакомиться</v>
      </c>
      <c r="W6225" s="8" t="s">
        <v>71</v>
      </c>
      <c r="X6225" s="6"/>
      <c r="Y6225" s="6"/>
      <c r="Z6225" s="6"/>
      <c r="AA6225" s="6" t="s">
        <v>442</v>
      </c>
      <c r="AB6225" s="8"/>
    </row>
    <row r="6226" spans="1:28" s="4" customFormat="1" ht="51.95" customHeight="1">
      <c r="A6226" s="5">
        <v>0</v>
      </c>
      <c r="B6226" s="6" t="s">
        <v>36319</v>
      </c>
      <c r="C6226" s="13">
        <v>1744</v>
      </c>
      <c r="D6226" s="8" t="s">
        <v>36320</v>
      </c>
      <c r="E6226" s="8" t="s">
        <v>36321</v>
      </c>
      <c r="F6226" s="8" t="s">
        <v>36322</v>
      </c>
      <c r="G6226" s="6" t="s">
        <v>89</v>
      </c>
      <c r="H6226" s="6" t="s">
        <v>39</v>
      </c>
      <c r="I6226" s="8" t="s">
        <v>90</v>
      </c>
      <c r="J6226" s="9">
        <v>1</v>
      </c>
      <c r="K6226" s="9">
        <v>367</v>
      </c>
      <c r="L6226" s="9">
        <v>2024</v>
      </c>
      <c r="M6226" s="8" t="s">
        <v>36323</v>
      </c>
      <c r="N6226" s="8" t="s">
        <v>79</v>
      </c>
      <c r="O6226" s="8" t="s">
        <v>396</v>
      </c>
      <c r="P6226" s="6" t="s">
        <v>43</v>
      </c>
      <c r="Q6226" s="8" t="s">
        <v>44</v>
      </c>
      <c r="R6226" s="10" t="s">
        <v>22168</v>
      </c>
      <c r="S6226" s="11" t="s">
        <v>36324</v>
      </c>
      <c r="T6226" s="6"/>
      <c r="U6226" s="24" t="str">
        <f>HYPERLINK("https://media.infra-m.ru/2141/2141110/cover/2141110.jpg", "Обложка")</f>
        <v>Обложка</v>
      </c>
      <c r="V6226" s="12"/>
      <c r="W6226" s="8" t="s">
        <v>71</v>
      </c>
      <c r="X6226" s="6"/>
      <c r="Y6226" s="6"/>
      <c r="Z6226" s="6" t="s">
        <v>335</v>
      </c>
      <c r="AA6226" s="6" t="s">
        <v>867</v>
      </c>
      <c r="AB6226" s="8"/>
    </row>
    <row r="6227" spans="1:28" s="4" customFormat="1" ht="51.95" customHeight="1">
      <c r="A6227" s="5">
        <v>0</v>
      </c>
      <c r="B6227" s="6" t="s">
        <v>36325</v>
      </c>
      <c r="C6227" s="13">
        <v>1690</v>
      </c>
      <c r="D6227" s="8" t="s">
        <v>36326</v>
      </c>
      <c r="E6227" s="8" t="s">
        <v>36327</v>
      </c>
      <c r="F6227" s="8" t="s">
        <v>36322</v>
      </c>
      <c r="G6227" s="6" t="s">
        <v>89</v>
      </c>
      <c r="H6227" s="6" t="s">
        <v>39</v>
      </c>
      <c r="I6227" s="8" t="s">
        <v>100</v>
      </c>
      <c r="J6227" s="9">
        <v>1</v>
      </c>
      <c r="K6227" s="9">
        <v>367</v>
      </c>
      <c r="L6227" s="9">
        <v>2024</v>
      </c>
      <c r="M6227" s="8" t="s">
        <v>36328</v>
      </c>
      <c r="N6227" s="8" t="s">
        <v>79</v>
      </c>
      <c r="O6227" s="8" t="s">
        <v>396</v>
      </c>
      <c r="P6227" s="6" t="s">
        <v>43</v>
      </c>
      <c r="Q6227" s="8" t="s">
        <v>102</v>
      </c>
      <c r="R6227" s="10" t="s">
        <v>1187</v>
      </c>
      <c r="S6227" s="11" t="s">
        <v>36329</v>
      </c>
      <c r="T6227" s="6"/>
      <c r="U6227" s="24" t="str">
        <f>HYPERLINK("https://media.infra-m.ru/2103/2103204/cover/2103204.jpg", "Обложка")</f>
        <v>Обложка</v>
      </c>
      <c r="V6227" s="24" t="str">
        <f>HYPERLINK("https://znanium.ru/catalog/product/2103204", "Ознакомиться")</f>
        <v>Ознакомиться</v>
      </c>
      <c r="W6227" s="8" t="s">
        <v>71</v>
      </c>
      <c r="X6227" s="6"/>
      <c r="Y6227" s="6"/>
      <c r="Z6227" s="6"/>
      <c r="AA6227" s="6" t="s">
        <v>701</v>
      </c>
      <c r="AB6227" s="8"/>
    </row>
    <row r="6228" spans="1:28" s="4" customFormat="1" ht="51.95" customHeight="1">
      <c r="A6228" s="5">
        <v>0</v>
      </c>
      <c r="B6228" s="6" t="s">
        <v>36330</v>
      </c>
      <c r="C6228" s="13">
        <v>1904</v>
      </c>
      <c r="D6228" s="8" t="s">
        <v>36331</v>
      </c>
      <c r="E6228" s="8" t="s">
        <v>36332</v>
      </c>
      <c r="F6228" s="8" t="s">
        <v>22185</v>
      </c>
      <c r="G6228" s="6" t="s">
        <v>89</v>
      </c>
      <c r="H6228" s="6" t="s">
        <v>53</v>
      </c>
      <c r="I6228" s="8" t="s">
        <v>100</v>
      </c>
      <c r="J6228" s="9">
        <v>1</v>
      </c>
      <c r="K6228" s="9">
        <v>405</v>
      </c>
      <c r="L6228" s="9">
        <v>2024</v>
      </c>
      <c r="M6228" s="8" t="s">
        <v>36333</v>
      </c>
      <c r="N6228" s="8" t="s">
        <v>79</v>
      </c>
      <c r="O6228" s="8" t="s">
        <v>424</v>
      </c>
      <c r="P6228" s="6" t="s">
        <v>167</v>
      </c>
      <c r="Q6228" s="8" t="s">
        <v>102</v>
      </c>
      <c r="R6228" s="10" t="s">
        <v>36334</v>
      </c>
      <c r="S6228" s="11" t="s">
        <v>242</v>
      </c>
      <c r="T6228" s="6"/>
      <c r="U6228" s="24" t="str">
        <f>HYPERLINK("https://media.infra-m.ru/2144/2144300/cover/2144300.jpg", "Обложка")</f>
        <v>Обложка</v>
      </c>
      <c r="V6228" s="24" t="str">
        <f>HYPERLINK("https://znanium.ru/catalog/product/2143461", "Ознакомиться")</f>
        <v>Ознакомиться</v>
      </c>
      <c r="W6228" s="8" t="s">
        <v>71</v>
      </c>
      <c r="X6228" s="6"/>
      <c r="Y6228" s="6"/>
      <c r="Z6228" s="6"/>
      <c r="AA6228" s="6" t="s">
        <v>7605</v>
      </c>
      <c r="AB6228" s="8"/>
    </row>
    <row r="6229" spans="1:28" s="4" customFormat="1" ht="42" customHeight="1">
      <c r="A6229" s="5">
        <v>0</v>
      </c>
      <c r="B6229" s="6" t="s">
        <v>36335</v>
      </c>
      <c r="C6229" s="13">
        <v>2584</v>
      </c>
      <c r="D6229" s="8" t="s">
        <v>36336</v>
      </c>
      <c r="E6229" s="8" t="s">
        <v>36337</v>
      </c>
      <c r="F6229" s="8" t="s">
        <v>36338</v>
      </c>
      <c r="G6229" s="6" t="s">
        <v>52</v>
      </c>
      <c r="H6229" s="6" t="s">
        <v>53</v>
      </c>
      <c r="I6229" s="8" t="s">
        <v>90</v>
      </c>
      <c r="J6229" s="9">
        <v>1</v>
      </c>
      <c r="K6229" s="9">
        <v>516</v>
      </c>
      <c r="L6229" s="9">
        <v>2025</v>
      </c>
      <c r="M6229" s="8" t="s">
        <v>36339</v>
      </c>
      <c r="N6229" s="8" t="s">
        <v>79</v>
      </c>
      <c r="O6229" s="8" t="s">
        <v>684</v>
      </c>
      <c r="P6229" s="6" t="s">
        <v>43</v>
      </c>
      <c r="Q6229" s="8" t="s">
        <v>44</v>
      </c>
      <c r="R6229" s="10" t="s">
        <v>36340</v>
      </c>
      <c r="S6229" s="11"/>
      <c r="T6229" s="6"/>
      <c r="U6229" s="24" t="str">
        <f>HYPERLINK("https://media.infra-m.ru/2174/2174742/cover/2174742.jpg", "Обложка")</f>
        <v>Обложка</v>
      </c>
      <c r="V6229" s="12"/>
      <c r="W6229" s="8" t="s">
        <v>521</v>
      </c>
      <c r="X6229" s="6"/>
      <c r="Y6229" s="6"/>
      <c r="Z6229" s="6"/>
      <c r="AA6229" s="6" t="s">
        <v>111</v>
      </c>
      <c r="AB6229" s="8"/>
    </row>
    <row r="6230" spans="1:28" s="4" customFormat="1" ht="42" customHeight="1">
      <c r="A6230" s="5">
        <v>0</v>
      </c>
      <c r="B6230" s="6" t="s">
        <v>36341</v>
      </c>
      <c r="C6230" s="13">
        <v>1980</v>
      </c>
      <c r="D6230" s="8" t="s">
        <v>36342</v>
      </c>
      <c r="E6230" s="8" t="s">
        <v>36343</v>
      </c>
      <c r="F6230" s="8" t="s">
        <v>36344</v>
      </c>
      <c r="G6230" s="6" t="s">
        <v>52</v>
      </c>
      <c r="H6230" s="6" t="s">
        <v>53</v>
      </c>
      <c r="I6230" s="8" t="s">
        <v>712</v>
      </c>
      <c r="J6230" s="9">
        <v>1</v>
      </c>
      <c r="K6230" s="9">
        <v>395</v>
      </c>
      <c r="L6230" s="9">
        <v>2025</v>
      </c>
      <c r="M6230" s="8" t="s">
        <v>36345</v>
      </c>
      <c r="N6230" s="8" t="s">
        <v>79</v>
      </c>
      <c r="O6230" s="8" t="s">
        <v>396</v>
      </c>
      <c r="P6230" s="6" t="s">
        <v>43</v>
      </c>
      <c r="Q6230" s="8" t="s">
        <v>44</v>
      </c>
      <c r="R6230" s="10" t="s">
        <v>5343</v>
      </c>
      <c r="S6230" s="11"/>
      <c r="T6230" s="6"/>
      <c r="U6230" s="24" t="str">
        <f>HYPERLINK("https://media.infra-m.ru/2136/2136165/cover/2136165.jpg", "Обложка")</f>
        <v>Обложка</v>
      </c>
      <c r="V6230" s="24" t="str">
        <f>HYPERLINK("https://znanium.ru/catalog/product/2136165", "Ознакомиться")</f>
        <v>Ознакомиться</v>
      </c>
      <c r="W6230" s="8" t="s">
        <v>716</v>
      </c>
      <c r="X6230" s="6" t="s">
        <v>548</v>
      </c>
      <c r="Y6230" s="6"/>
      <c r="Z6230" s="6"/>
      <c r="AA6230" s="6" t="s">
        <v>549</v>
      </c>
      <c r="AB6230" s="8"/>
    </row>
    <row r="6231" spans="1:28" s="4" customFormat="1" ht="51.95" customHeight="1">
      <c r="A6231" s="5">
        <v>0</v>
      </c>
      <c r="B6231" s="6" t="s">
        <v>36346</v>
      </c>
      <c r="C6231" s="13">
        <v>1700</v>
      </c>
      <c r="D6231" s="8" t="s">
        <v>36347</v>
      </c>
      <c r="E6231" s="8" t="s">
        <v>36343</v>
      </c>
      <c r="F6231" s="8" t="s">
        <v>1185</v>
      </c>
      <c r="G6231" s="6" t="s">
        <v>89</v>
      </c>
      <c r="H6231" s="6" t="s">
        <v>53</v>
      </c>
      <c r="I6231" s="8" t="s">
        <v>100</v>
      </c>
      <c r="J6231" s="9">
        <v>1</v>
      </c>
      <c r="K6231" s="9">
        <v>328</v>
      </c>
      <c r="L6231" s="9">
        <v>2025</v>
      </c>
      <c r="M6231" s="8" t="s">
        <v>36348</v>
      </c>
      <c r="N6231" s="8" t="s">
        <v>79</v>
      </c>
      <c r="O6231" s="8" t="s">
        <v>396</v>
      </c>
      <c r="P6231" s="6" t="s">
        <v>43</v>
      </c>
      <c r="Q6231" s="8" t="s">
        <v>102</v>
      </c>
      <c r="R6231" s="10" t="s">
        <v>36349</v>
      </c>
      <c r="S6231" s="11" t="s">
        <v>36350</v>
      </c>
      <c r="T6231" s="6"/>
      <c r="U6231" s="24" t="str">
        <f>HYPERLINK("https://media.infra-m.ru/2191/2191607/cover/2191607.jpg", "Обложка")</f>
        <v>Обложка</v>
      </c>
      <c r="V6231" s="24" t="str">
        <f>HYPERLINK("https://znanium.ru/catalog/product/2191607", "Ознакомиться")</f>
        <v>Ознакомиться</v>
      </c>
      <c r="W6231" s="8" t="s">
        <v>71</v>
      </c>
      <c r="X6231" s="6"/>
      <c r="Y6231" s="6"/>
      <c r="Z6231" s="6" t="s">
        <v>104</v>
      </c>
      <c r="AA6231" s="6" t="s">
        <v>813</v>
      </c>
      <c r="AB6231" s="8"/>
    </row>
    <row r="6232" spans="1:28" s="4" customFormat="1" ht="51.95" customHeight="1">
      <c r="A6232" s="5">
        <v>0</v>
      </c>
      <c r="B6232" s="6" t="s">
        <v>36351</v>
      </c>
      <c r="C6232" s="13">
        <v>1524.9</v>
      </c>
      <c r="D6232" s="8" t="s">
        <v>36352</v>
      </c>
      <c r="E6232" s="8" t="s">
        <v>36343</v>
      </c>
      <c r="F6232" s="8" t="s">
        <v>1185</v>
      </c>
      <c r="G6232" s="6" t="s">
        <v>89</v>
      </c>
      <c r="H6232" s="6" t="s">
        <v>53</v>
      </c>
      <c r="I6232" s="8" t="s">
        <v>90</v>
      </c>
      <c r="J6232" s="9">
        <v>1</v>
      </c>
      <c r="K6232" s="9">
        <v>328</v>
      </c>
      <c r="L6232" s="9">
        <v>2023</v>
      </c>
      <c r="M6232" s="8" t="s">
        <v>36353</v>
      </c>
      <c r="N6232" s="8" t="s">
        <v>79</v>
      </c>
      <c r="O6232" s="8" t="s">
        <v>396</v>
      </c>
      <c r="P6232" s="6" t="s">
        <v>43</v>
      </c>
      <c r="Q6232" s="8" t="s">
        <v>44</v>
      </c>
      <c r="R6232" s="10" t="s">
        <v>36354</v>
      </c>
      <c r="S6232" s="11" t="s">
        <v>36355</v>
      </c>
      <c r="T6232" s="6"/>
      <c r="U6232" s="24" t="str">
        <f>HYPERLINK("https://media.infra-m.ru/1981/1981736/cover/1981736.jpg", "Обложка")</f>
        <v>Обложка</v>
      </c>
      <c r="V6232" s="24" t="str">
        <f>HYPERLINK("https://znanium.ru/catalog/product/1939101", "Ознакомиться")</f>
        <v>Ознакомиться</v>
      </c>
      <c r="W6232" s="8" t="s">
        <v>71</v>
      </c>
      <c r="X6232" s="6"/>
      <c r="Y6232" s="6"/>
      <c r="Z6232" s="6"/>
      <c r="AA6232" s="6" t="s">
        <v>513</v>
      </c>
      <c r="AB6232" s="8"/>
    </row>
    <row r="6233" spans="1:28" s="4" customFormat="1" ht="51.95" customHeight="1">
      <c r="A6233" s="5">
        <v>0</v>
      </c>
      <c r="B6233" s="6" t="s">
        <v>36356</v>
      </c>
      <c r="C6233" s="13">
        <v>1614</v>
      </c>
      <c r="D6233" s="8" t="s">
        <v>36357</v>
      </c>
      <c r="E6233" s="8" t="s">
        <v>36358</v>
      </c>
      <c r="F6233" s="8" t="s">
        <v>36359</v>
      </c>
      <c r="G6233" s="6" t="s">
        <v>89</v>
      </c>
      <c r="H6233" s="6" t="s">
        <v>39</v>
      </c>
      <c r="I6233" s="8" t="s">
        <v>100</v>
      </c>
      <c r="J6233" s="9">
        <v>1</v>
      </c>
      <c r="K6233" s="9">
        <v>357</v>
      </c>
      <c r="L6233" s="9">
        <v>2023</v>
      </c>
      <c r="M6233" s="8" t="s">
        <v>36360</v>
      </c>
      <c r="N6233" s="8" t="s">
        <v>79</v>
      </c>
      <c r="O6233" s="8" t="s">
        <v>396</v>
      </c>
      <c r="P6233" s="6" t="s">
        <v>167</v>
      </c>
      <c r="Q6233" s="8" t="s">
        <v>102</v>
      </c>
      <c r="R6233" s="10" t="s">
        <v>36361</v>
      </c>
      <c r="S6233" s="11" t="s">
        <v>7670</v>
      </c>
      <c r="T6233" s="6"/>
      <c r="U6233" s="24" t="str">
        <f>HYPERLINK("https://media.infra-m.ru/1913/1913646/cover/1913646.jpg", "Обложка")</f>
        <v>Обложка</v>
      </c>
      <c r="V6233" s="24" t="str">
        <f>HYPERLINK("https://znanium.ru/catalog/product/1657587", "Ознакомиться")</f>
        <v>Ознакомиться</v>
      </c>
      <c r="W6233" s="8" t="s">
        <v>1571</v>
      </c>
      <c r="X6233" s="6"/>
      <c r="Y6233" s="6"/>
      <c r="Z6233" s="6" t="s">
        <v>104</v>
      </c>
      <c r="AA6233" s="6" t="s">
        <v>258</v>
      </c>
      <c r="AB6233" s="8"/>
    </row>
    <row r="6234" spans="1:28" s="4" customFormat="1" ht="51.95" customHeight="1">
      <c r="A6234" s="5">
        <v>0</v>
      </c>
      <c r="B6234" s="6" t="s">
        <v>36362</v>
      </c>
      <c r="C6234" s="13">
        <v>1854</v>
      </c>
      <c r="D6234" s="8" t="s">
        <v>36363</v>
      </c>
      <c r="E6234" s="8" t="s">
        <v>36358</v>
      </c>
      <c r="F6234" s="8" t="s">
        <v>36359</v>
      </c>
      <c r="G6234" s="6" t="s">
        <v>89</v>
      </c>
      <c r="H6234" s="6" t="s">
        <v>39</v>
      </c>
      <c r="I6234" s="8" t="s">
        <v>90</v>
      </c>
      <c r="J6234" s="9">
        <v>1</v>
      </c>
      <c r="K6234" s="9">
        <v>357</v>
      </c>
      <c r="L6234" s="9">
        <v>2025</v>
      </c>
      <c r="M6234" s="8" t="s">
        <v>36364</v>
      </c>
      <c r="N6234" s="8" t="s">
        <v>79</v>
      </c>
      <c r="O6234" s="8" t="s">
        <v>396</v>
      </c>
      <c r="P6234" s="6" t="s">
        <v>167</v>
      </c>
      <c r="Q6234" s="8" t="s">
        <v>44</v>
      </c>
      <c r="R6234" s="10" t="s">
        <v>6409</v>
      </c>
      <c r="S6234" s="11" t="s">
        <v>36365</v>
      </c>
      <c r="T6234" s="6"/>
      <c r="U6234" s="24" t="str">
        <f>HYPERLINK("https://media.infra-m.ru/2171/2171397/cover/2171397.jpg", "Обложка")</f>
        <v>Обложка</v>
      </c>
      <c r="V6234" s="12"/>
      <c r="W6234" s="8" t="s">
        <v>1571</v>
      </c>
      <c r="X6234" s="6"/>
      <c r="Y6234" s="6"/>
      <c r="Z6234" s="6"/>
      <c r="AA6234" s="6" t="s">
        <v>111</v>
      </c>
      <c r="AB6234" s="8"/>
    </row>
    <row r="6235" spans="1:28" s="4" customFormat="1" ht="51.95" customHeight="1">
      <c r="A6235" s="5">
        <v>0</v>
      </c>
      <c r="B6235" s="6" t="s">
        <v>36366</v>
      </c>
      <c r="C6235" s="13">
        <v>1374</v>
      </c>
      <c r="D6235" s="8" t="s">
        <v>36367</v>
      </c>
      <c r="E6235" s="8" t="s">
        <v>36368</v>
      </c>
      <c r="F6235" s="8" t="s">
        <v>36369</v>
      </c>
      <c r="G6235" s="6" t="s">
        <v>89</v>
      </c>
      <c r="H6235" s="6" t="s">
        <v>53</v>
      </c>
      <c r="I6235" s="8" t="s">
        <v>3356</v>
      </c>
      <c r="J6235" s="9">
        <v>1</v>
      </c>
      <c r="K6235" s="9">
        <v>303</v>
      </c>
      <c r="L6235" s="9">
        <v>2023</v>
      </c>
      <c r="M6235" s="8" t="s">
        <v>36370</v>
      </c>
      <c r="N6235" s="8" t="s">
        <v>79</v>
      </c>
      <c r="O6235" s="8" t="s">
        <v>396</v>
      </c>
      <c r="P6235" s="6" t="s">
        <v>43</v>
      </c>
      <c r="Q6235" s="8" t="s">
        <v>214</v>
      </c>
      <c r="R6235" s="10" t="s">
        <v>5237</v>
      </c>
      <c r="S6235" s="11" t="s">
        <v>36371</v>
      </c>
      <c r="T6235" s="6"/>
      <c r="U6235" s="24" t="str">
        <f>HYPERLINK("https://media.infra-m.ru/2006/2006858/cover/2006858.jpg", "Обложка")</f>
        <v>Обложка</v>
      </c>
      <c r="V6235" s="12"/>
      <c r="W6235" s="8" t="s">
        <v>784</v>
      </c>
      <c r="X6235" s="6"/>
      <c r="Y6235" s="6"/>
      <c r="Z6235" s="6"/>
      <c r="AA6235" s="6" t="s">
        <v>151</v>
      </c>
      <c r="AB6235" s="8"/>
    </row>
    <row r="6236" spans="1:28" s="4" customFormat="1" ht="51.95" customHeight="1">
      <c r="A6236" s="5">
        <v>0</v>
      </c>
      <c r="B6236" s="6" t="s">
        <v>36372</v>
      </c>
      <c r="C6236" s="13">
        <v>1740</v>
      </c>
      <c r="D6236" s="8" t="s">
        <v>36373</v>
      </c>
      <c r="E6236" s="8" t="s">
        <v>36374</v>
      </c>
      <c r="F6236" s="8" t="s">
        <v>36375</v>
      </c>
      <c r="G6236" s="6" t="s">
        <v>89</v>
      </c>
      <c r="H6236" s="6" t="s">
        <v>53</v>
      </c>
      <c r="I6236" s="8" t="s">
        <v>116</v>
      </c>
      <c r="J6236" s="9">
        <v>1</v>
      </c>
      <c r="K6236" s="9">
        <v>378</v>
      </c>
      <c r="L6236" s="9">
        <v>2024</v>
      </c>
      <c r="M6236" s="8" t="s">
        <v>36376</v>
      </c>
      <c r="N6236" s="8" t="s">
        <v>79</v>
      </c>
      <c r="O6236" s="8" t="s">
        <v>396</v>
      </c>
      <c r="P6236" s="6" t="s">
        <v>43</v>
      </c>
      <c r="Q6236" s="8" t="s">
        <v>58</v>
      </c>
      <c r="R6236" s="10" t="s">
        <v>36377</v>
      </c>
      <c r="S6236" s="11" t="s">
        <v>6299</v>
      </c>
      <c r="T6236" s="6"/>
      <c r="U6236" s="24" t="str">
        <f>HYPERLINK("https://media.infra-m.ru/2084/2084334/cover/2084334.jpg", "Обложка")</f>
        <v>Обложка</v>
      </c>
      <c r="V6236" s="24" t="str">
        <f>HYPERLINK("https://znanium.ru/catalog/product/2084334", "Ознакомиться")</f>
        <v>Ознакомиться</v>
      </c>
      <c r="W6236" s="8" t="s">
        <v>1571</v>
      </c>
      <c r="X6236" s="6"/>
      <c r="Y6236" s="6"/>
      <c r="Z6236" s="6"/>
      <c r="AA6236" s="6" t="s">
        <v>219</v>
      </c>
      <c r="AB6236" s="8"/>
    </row>
    <row r="6237" spans="1:28" s="4" customFormat="1" ht="51.95" customHeight="1">
      <c r="A6237" s="5">
        <v>0</v>
      </c>
      <c r="B6237" s="6" t="s">
        <v>36378</v>
      </c>
      <c r="C6237" s="13">
        <v>2220</v>
      </c>
      <c r="D6237" s="8" t="s">
        <v>36379</v>
      </c>
      <c r="E6237" s="8" t="s">
        <v>36380</v>
      </c>
      <c r="F6237" s="8" t="s">
        <v>34506</v>
      </c>
      <c r="G6237" s="6" t="s">
        <v>52</v>
      </c>
      <c r="H6237" s="6" t="s">
        <v>39</v>
      </c>
      <c r="I6237" s="8" t="s">
        <v>116</v>
      </c>
      <c r="J6237" s="9">
        <v>1</v>
      </c>
      <c r="K6237" s="9">
        <v>480</v>
      </c>
      <c r="L6237" s="9">
        <v>2023</v>
      </c>
      <c r="M6237" s="8" t="s">
        <v>36381</v>
      </c>
      <c r="N6237" s="8" t="s">
        <v>79</v>
      </c>
      <c r="O6237" s="8" t="s">
        <v>396</v>
      </c>
      <c r="P6237" s="6" t="s">
        <v>167</v>
      </c>
      <c r="Q6237" s="8" t="s">
        <v>44</v>
      </c>
      <c r="R6237" s="10" t="s">
        <v>36382</v>
      </c>
      <c r="S6237" s="11" t="s">
        <v>36383</v>
      </c>
      <c r="T6237" s="6"/>
      <c r="U6237" s="24" t="str">
        <f>HYPERLINK("https://media.infra-m.ru/2030/2030904/cover/2030904.jpg", "Обложка")</f>
        <v>Обложка</v>
      </c>
      <c r="V6237" s="24" t="str">
        <f>HYPERLINK("https://znanium.ru/catalog/product/2030904", "Ознакомиться")</f>
        <v>Ознакомиться</v>
      </c>
      <c r="W6237" s="8" t="s">
        <v>613</v>
      </c>
      <c r="X6237" s="6"/>
      <c r="Y6237" s="6"/>
      <c r="Z6237" s="6" t="s">
        <v>335</v>
      </c>
      <c r="AA6237" s="6" t="s">
        <v>1374</v>
      </c>
      <c r="AB6237" s="8"/>
    </row>
    <row r="6238" spans="1:28" s="4" customFormat="1" ht="51.95" customHeight="1">
      <c r="A6238" s="5">
        <v>0</v>
      </c>
      <c r="B6238" s="6" t="s">
        <v>36384</v>
      </c>
      <c r="C6238" s="13">
        <v>2424</v>
      </c>
      <c r="D6238" s="8" t="s">
        <v>36385</v>
      </c>
      <c r="E6238" s="8" t="s">
        <v>36380</v>
      </c>
      <c r="F6238" s="8" t="s">
        <v>34506</v>
      </c>
      <c r="G6238" s="6" t="s">
        <v>89</v>
      </c>
      <c r="H6238" s="6" t="s">
        <v>39</v>
      </c>
      <c r="I6238" s="8" t="s">
        <v>100</v>
      </c>
      <c r="J6238" s="9">
        <v>1</v>
      </c>
      <c r="K6238" s="9">
        <v>480</v>
      </c>
      <c r="L6238" s="9">
        <v>2025</v>
      </c>
      <c r="M6238" s="8" t="s">
        <v>36386</v>
      </c>
      <c r="N6238" s="8" t="s">
        <v>79</v>
      </c>
      <c r="O6238" s="8" t="s">
        <v>396</v>
      </c>
      <c r="P6238" s="6" t="s">
        <v>167</v>
      </c>
      <c r="Q6238" s="8" t="s">
        <v>102</v>
      </c>
      <c r="R6238" s="10" t="s">
        <v>36387</v>
      </c>
      <c r="S6238" s="11" t="s">
        <v>242</v>
      </c>
      <c r="T6238" s="6"/>
      <c r="U6238" s="24" t="str">
        <f>HYPERLINK("https://media.infra-m.ru/2202/2202106/cover/2202106.jpg", "Обложка")</f>
        <v>Обложка</v>
      </c>
      <c r="V6238" s="24" t="str">
        <f>HYPERLINK("https://znanium.ru/catalog/product/1819500", "Ознакомиться")</f>
        <v>Ознакомиться</v>
      </c>
      <c r="W6238" s="8" t="s">
        <v>613</v>
      </c>
      <c r="X6238" s="6"/>
      <c r="Y6238" s="6"/>
      <c r="Z6238" s="6"/>
      <c r="AA6238" s="6" t="s">
        <v>377</v>
      </c>
      <c r="AB6238" s="8"/>
    </row>
    <row r="6239" spans="1:28" s="4" customFormat="1" ht="51.95" customHeight="1">
      <c r="A6239" s="5">
        <v>0</v>
      </c>
      <c r="B6239" s="6" t="s">
        <v>36388</v>
      </c>
      <c r="C6239" s="13">
        <v>2984</v>
      </c>
      <c r="D6239" s="8" t="s">
        <v>36389</v>
      </c>
      <c r="E6239" s="8" t="s">
        <v>36390</v>
      </c>
      <c r="F6239" s="8" t="s">
        <v>36391</v>
      </c>
      <c r="G6239" s="6" t="s">
        <v>52</v>
      </c>
      <c r="H6239" s="6" t="s">
        <v>53</v>
      </c>
      <c r="I6239" s="8" t="s">
        <v>116</v>
      </c>
      <c r="J6239" s="9">
        <v>1</v>
      </c>
      <c r="K6239" s="9">
        <v>574</v>
      </c>
      <c r="L6239" s="9">
        <v>2025</v>
      </c>
      <c r="M6239" s="8" t="s">
        <v>36392</v>
      </c>
      <c r="N6239" s="8" t="s">
        <v>79</v>
      </c>
      <c r="O6239" s="8" t="s">
        <v>396</v>
      </c>
      <c r="P6239" s="6" t="s">
        <v>167</v>
      </c>
      <c r="Q6239" s="8" t="s">
        <v>58</v>
      </c>
      <c r="R6239" s="10" t="s">
        <v>36393</v>
      </c>
      <c r="S6239" s="11" t="s">
        <v>36394</v>
      </c>
      <c r="T6239" s="6" t="s">
        <v>299</v>
      </c>
      <c r="U6239" s="24" t="str">
        <f>HYPERLINK("https://media.infra-m.ru/2194/2194328/cover/2194328.jpg", "Обложка")</f>
        <v>Обложка</v>
      </c>
      <c r="V6239" s="24" t="str">
        <f>HYPERLINK("https://znanium.ru/catalog/product/2020596", "Ознакомиться")</f>
        <v>Ознакомиться</v>
      </c>
      <c r="W6239" s="8" t="s">
        <v>1514</v>
      </c>
      <c r="X6239" s="6"/>
      <c r="Y6239" s="6"/>
      <c r="Z6239" s="6"/>
      <c r="AA6239" s="6" t="s">
        <v>111</v>
      </c>
      <c r="AB6239" s="8"/>
    </row>
    <row r="6240" spans="1:28" s="4" customFormat="1" ht="51.95" customHeight="1">
      <c r="A6240" s="5">
        <v>0</v>
      </c>
      <c r="B6240" s="6" t="s">
        <v>36395</v>
      </c>
      <c r="C6240" s="13">
        <v>1800</v>
      </c>
      <c r="D6240" s="8" t="s">
        <v>36396</v>
      </c>
      <c r="E6240" s="8" t="s">
        <v>36397</v>
      </c>
      <c r="F6240" s="8" t="s">
        <v>36391</v>
      </c>
      <c r="G6240" s="6" t="s">
        <v>89</v>
      </c>
      <c r="H6240" s="6" t="s">
        <v>53</v>
      </c>
      <c r="I6240" s="8" t="s">
        <v>116</v>
      </c>
      <c r="J6240" s="9">
        <v>1</v>
      </c>
      <c r="K6240" s="9">
        <v>391</v>
      </c>
      <c r="L6240" s="9">
        <v>2023</v>
      </c>
      <c r="M6240" s="8" t="s">
        <v>36398</v>
      </c>
      <c r="N6240" s="8" t="s">
        <v>79</v>
      </c>
      <c r="O6240" s="8" t="s">
        <v>396</v>
      </c>
      <c r="P6240" s="6" t="s">
        <v>167</v>
      </c>
      <c r="Q6240" s="8" t="s">
        <v>44</v>
      </c>
      <c r="R6240" s="10" t="s">
        <v>36399</v>
      </c>
      <c r="S6240" s="11" t="s">
        <v>36400</v>
      </c>
      <c r="T6240" s="6"/>
      <c r="U6240" s="24" t="str">
        <f>HYPERLINK("https://media.infra-m.ru/2006/2006854/cover/2006854.jpg", "Обложка")</f>
        <v>Обложка</v>
      </c>
      <c r="V6240" s="24" t="str">
        <f>HYPERLINK("https://znanium.ru/catalog/product/2006854", "Ознакомиться")</f>
        <v>Ознакомиться</v>
      </c>
      <c r="W6240" s="8" t="s">
        <v>1514</v>
      </c>
      <c r="X6240" s="6"/>
      <c r="Y6240" s="6"/>
      <c r="Z6240" s="6"/>
      <c r="AA6240" s="6" t="s">
        <v>258</v>
      </c>
      <c r="AB6240" s="8"/>
    </row>
    <row r="6241" spans="1:28" s="4" customFormat="1" ht="44.1" customHeight="1">
      <c r="A6241" s="5">
        <v>0</v>
      </c>
      <c r="B6241" s="6" t="s">
        <v>36401</v>
      </c>
      <c r="C6241" s="13">
        <v>2390</v>
      </c>
      <c r="D6241" s="8" t="s">
        <v>36402</v>
      </c>
      <c r="E6241" s="8" t="s">
        <v>36403</v>
      </c>
      <c r="F6241" s="8" t="s">
        <v>36174</v>
      </c>
      <c r="G6241" s="6" t="s">
        <v>52</v>
      </c>
      <c r="H6241" s="6" t="s">
        <v>53</v>
      </c>
      <c r="I6241" s="8" t="s">
        <v>782</v>
      </c>
      <c r="J6241" s="9">
        <v>1</v>
      </c>
      <c r="K6241" s="9">
        <v>491</v>
      </c>
      <c r="L6241" s="9">
        <v>2025</v>
      </c>
      <c r="M6241" s="8" t="s">
        <v>36404</v>
      </c>
      <c r="N6241" s="8" t="s">
        <v>79</v>
      </c>
      <c r="O6241" s="8" t="s">
        <v>396</v>
      </c>
      <c r="P6241" s="6" t="s">
        <v>43</v>
      </c>
      <c r="Q6241" s="8" t="s">
        <v>58</v>
      </c>
      <c r="R6241" s="10" t="s">
        <v>1173</v>
      </c>
      <c r="S6241" s="11"/>
      <c r="T6241" s="6"/>
      <c r="U6241" s="24" t="str">
        <f>HYPERLINK("https://media.infra-m.ru/2162/2162073/cover/2162073.jpg", "Обложка")</f>
        <v>Обложка</v>
      </c>
      <c r="V6241" s="12"/>
      <c r="W6241" s="8" t="s">
        <v>784</v>
      </c>
      <c r="X6241" s="6" t="s">
        <v>1049</v>
      </c>
      <c r="Y6241" s="6"/>
      <c r="Z6241" s="6"/>
      <c r="AA6241" s="6" t="s">
        <v>61</v>
      </c>
      <c r="AB6241" s="8"/>
    </row>
    <row r="6242" spans="1:28" s="4" customFormat="1" ht="51.95" customHeight="1">
      <c r="A6242" s="5">
        <v>0</v>
      </c>
      <c r="B6242" s="6" t="s">
        <v>36405</v>
      </c>
      <c r="C6242" s="13">
        <v>1334</v>
      </c>
      <c r="D6242" s="8" t="s">
        <v>36406</v>
      </c>
      <c r="E6242" s="8" t="s">
        <v>36403</v>
      </c>
      <c r="F6242" s="8" t="s">
        <v>36407</v>
      </c>
      <c r="G6242" s="6" t="s">
        <v>52</v>
      </c>
      <c r="H6242" s="6" t="s">
        <v>39</v>
      </c>
      <c r="I6242" s="8" t="s">
        <v>90</v>
      </c>
      <c r="J6242" s="9">
        <v>1</v>
      </c>
      <c r="K6242" s="9">
        <v>267</v>
      </c>
      <c r="L6242" s="9">
        <v>2025</v>
      </c>
      <c r="M6242" s="8" t="s">
        <v>36408</v>
      </c>
      <c r="N6242" s="8" t="s">
        <v>79</v>
      </c>
      <c r="O6242" s="8" t="s">
        <v>396</v>
      </c>
      <c r="P6242" s="6" t="s">
        <v>43</v>
      </c>
      <c r="Q6242" s="8" t="s">
        <v>44</v>
      </c>
      <c r="R6242" s="10" t="s">
        <v>36409</v>
      </c>
      <c r="S6242" s="11" t="s">
        <v>36410</v>
      </c>
      <c r="T6242" s="6"/>
      <c r="U6242" s="24" t="str">
        <f>HYPERLINK("https://media.infra-m.ru/2188/2188326/cover/2188326.jpg", "Обложка")</f>
        <v>Обложка</v>
      </c>
      <c r="V6242" s="24" t="str">
        <f>HYPERLINK("https://znanium.ru/catalog/product/982772", "Ознакомиться")</f>
        <v>Ознакомиться</v>
      </c>
      <c r="W6242" s="8" t="s">
        <v>637</v>
      </c>
      <c r="X6242" s="6"/>
      <c r="Y6242" s="6"/>
      <c r="Z6242" s="6"/>
      <c r="AA6242" s="6" t="s">
        <v>84</v>
      </c>
      <c r="AB6242" s="8"/>
    </row>
    <row r="6243" spans="1:28" s="4" customFormat="1" ht="51.95" customHeight="1">
      <c r="A6243" s="5">
        <v>0</v>
      </c>
      <c r="B6243" s="6" t="s">
        <v>36411</v>
      </c>
      <c r="C6243" s="13">
        <v>1270</v>
      </c>
      <c r="D6243" s="8" t="s">
        <v>36412</v>
      </c>
      <c r="E6243" s="8" t="s">
        <v>36403</v>
      </c>
      <c r="F6243" s="8" t="s">
        <v>36407</v>
      </c>
      <c r="G6243" s="6" t="s">
        <v>89</v>
      </c>
      <c r="H6243" s="6" t="s">
        <v>53</v>
      </c>
      <c r="I6243" s="8" t="s">
        <v>100</v>
      </c>
      <c r="J6243" s="9">
        <v>1</v>
      </c>
      <c r="K6243" s="9">
        <v>267</v>
      </c>
      <c r="L6243" s="9">
        <v>2024</v>
      </c>
      <c r="M6243" s="8" t="s">
        <v>36413</v>
      </c>
      <c r="N6243" s="8" t="s">
        <v>79</v>
      </c>
      <c r="O6243" s="8" t="s">
        <v>396</v>
      </c>
      <c r="P6243" s="6" t="s">
        <v>43</v>
      </c>
      <c r="Q6243" s="8" t="s">
        <v>102</v>
      </c>
      <c r="R6243" s="10" t="s">
        <v>36414</v>
      </c>
      <c r="S6243" s="11" t="s">
        <v>36415</v>
      </c>
      <c r="T6243" s="6"/>
      <c r="U6243" s="24" t="str">
        <f>HYPERLINK("https://media.infra-m.ru/2131/2131870/cover/2131870.jpg", "Обложка")</f>
        <v>Обложка</v>
      </c>
      <c r="V6243" s="24" t="str">
        <f>HYPERLINK("https://znanium.ru/catalog/product/2131870", "Ознакомиться")</f>
        <v>Ознакомиться</v>
      </c>
      <c r="W6243" s="8" t="s">
        <v>637</v>
      </c>
      <c r="X6243" s="6"/>
      <c r="Y6243" s="6"/>
      <c r="Z6243" s="6" t="s">
        <v>104</v>
      </c>
      <c r="AA6243" s="6" t="s">
        <v>258</v>
      </c>
      <c r="AB6243" s="8"/>
    </row>
    <row r="6244" spans="1:28" s="4" customFormat="1" ht="51.95" customHeight="1">
      <c r="A6244" s="5">
        <v>0</v>
      </c>
      <c r="B6244" s="6" t="s">
        <v>36416</v>
      </c>
      <c r="C6244" s="13">
        <v>2244</v>
      </c>
      <c r="D6244" s="8" t="s">
        <v>36417</v>
      </c>
      <c r="E6244" s="8" t="s">
        <v>36418</v>
      </c>
      <c r="F6244" s="8" t="s">
        <v>36419</v>
      </c>
      <c r="G6244" s="6" t="s">
        <v>52</v>
      </c>
      <c r="H6244" s="6" t="s">
        <v>649</v>
      </c>
      <c r="I6244" s="8" t="s">
        <v>58</v>
      </c>
      <c r="J6244" s="9">
        <v>1</v>
      </c>
      <c r="K6244" s="9">
        <v>448</v>
      </c>
      <c r="L6244" s="9">
        <v>2025</v>
      </c>
      <c r="M6244" s="8" t="s">
        <v>36420</v>
      </c>
      <c r="N6244" s="8" t="s">
        <v>79</v>
      </c>
      <c r="O6244" s="8" t="s">
        <v>396</v>
      </c>
      <c r="P6244" s="6" t="s">
        <v>43</v>
      </c>
      <c r="Q6244" s="8" t="s">
        <v>102</v>
      </c>
      <c r="R6244" s="10" t="s">
        <v>36421</v>
      </c>
      <c r="S6244" s="11" t="s">
        <v>11759</v>
      </c>
      <c r="T6244" s="6"/>
      <c r="U6244" s="24" t="str">
        <f>HYPERLINK("https://media.infra-m.ru/2186/2186220/cover/2186220.jpg", "Обложка")</f>
        <v>Обложка</v>
      </c>
      <c r="V6244" s="24" t="str">
        <f>HYPERLINK("https://znanium.ru/catalog/product/2166878", "Ознакомиться")</f>
        <v>Ознакомиться</v>
      </c>
      <c r="W6244" s="8" t="s">
        <v>653</v>
      </c>
      <c r="X6244" s="6"/>
      <c r="Y6244" s="6"/>
      <c r="Z6244" s="6"/>
      <c r="AA6244" s="6" t="s">
        <v>2217</v>
      </c>
      <c r="AB6244" s="8"/>
    </row>
    <row r="6245" spans="1:28" s="4" customFormat="1" ht="51.95" customHeight="1">
      <c r="A6245" s="5">
        <v>0</v>
      </c>
      <c r="B6245" s="6" t="s">
        <v>36422</v>
      </c>
      <c r="C6245" s="13">
        <v>1374</v>
      </c>
      <c r="D6245" s="8" t="s">
        <v>36423</v>
      </c>
      <c r="E6245" s="8" t="s">
        <v>36424</v>
      </c>
      <c r="F6245" s="8" t="s">
        <v>36180</v>
      </c>
      <c r="G6245" s="6" t="s">
        <v>52</v>
      </c>
      <c r="H6245" s="6" t="s">
        <v>53</v>
      </c>
      <c r="I6245" s="8" t="s">
        <v>90</v>
      </c>
      <c r="J6245" s="9">
        <v>1</v>
      </c>
      <c r="K6245" s="9">
        <v>236</v>
      </c>
      <c r="L6245" s="9">
        <v>2025</v>
      </c>
      <c r="M6245" s="8" t="s">
        <v>36425</v>
      </c>
      <c r="N6245" s="8" t="s">
        <v>79</v>
      </c>
      <c r="O6245" s="8" t="s">
        <v>396</v>
      </c>
      <c r="P6245" s="6" t="s">
        <v>43</v>
      </c>
      <c r="Q6245" s="8" t="s">
        <v>44</v>
      </c>
      <c r="R6245" s="10" t="s">
        <v>6409</v>
      </c>
      <c r="S6245" s="11" t="s">
        <v>36426</v>
      </c>
      <c r="T6245" s="6"/>
      <c r="U6245" s="24" t="str">
        <f>HYPERLINK("https://media.infra-m.ru/2169/2169235/cover/2169235.jpg", "Обложка")</f>
        <v>Обложка</v>
      </c>
      <c r="V6245" s="24" t="str">
        <f>HYPERLINK("https://znanium.ru/catalog/product/2126280", "Ознакомиться")</f>
        <v>Ознакомиться</v>
      </c>
      <c r="W6245" s="8" t="s">
        <v>1514</v>
      </c>
      <c r="X6245" s="6"/>
      <c r="Y6245" s="6"/>
      <c r="Z6245" s="6"/>
      <c r="AA6245" s="6" t="s">
        <v>235</v>
      </c>
      <c r="AB6245" s="8"/>
    </row>
    <row r="6246" spans="1:28" s="4" customFormat="1" ht="42" customHeight="1">
      <c r="A6246" s="5">
        <v>0</v>
      </c>
      <c r="B6246" s="6" t="s">
        <v>36427</v>
      </c>
      <c r="C6246" s="7">
        <v>533</v>
      </c>
      <c r="D6246" s="8" t="s">
        <v>36428</v>
      </c>
      <c r="E6246" s="8" t="s">
        <v>36424</v>
      </c>
      <c r="F6246" s="8" t="s">
        <v>36429</v>
      </c>
      <c r="G6246" s="6" t="s">
        <v>38</v>
      </c>
      <c r="H6246" s="6" t="s">
        <v>184</v>
      </c>
      <c r="I6246" s="8" t="s">
        <v>13321</v>
      </c>
      <c r="J6246" s="9">
        <v>1</v>
      </c>
      <c r="K6246" s="9">
        <v>160</v>
      </c>
      <c r="L6246" s="9">
        <v>2025</v>
      </c>
      <c r="M6246" s="8" t="s">
        <v>36430</v>
      </c>
      <c r="N6246" s="8" t="s">
        <v>79</v>
      </c>
      <c r="O6246" s="8" t="s">
        <v>396</v>
      </c>
      <c r="P6246" s="6" t="s">
        <v>43</v>
      </c>
      <c r="Q6246" s="8" t="s">
        <v>44</v>
      </c>
      <c r="R6246" s="10" t="s">
        <v>15677</v>
      </c>
      <c r="S6246" s="11"/>
      <c r="T6246" s="6"/>
      <c r="U6246" s="24" t="str">
        <f>HYPERLINK("https://media.infra-m.ru/2165/2165087/cover/2165087.jpg", "Обложка")</f>
        <v>Обложка</v>
      </c>
      <c r="V6246" s="24" t="str">
        <f>HYPERLINK("https://znanium.ru/catalog/product/2165087", "Ознакомиться")</f>
        <v>Ознакомиться</v>
      </c>
      <c r="W6246" s="8"/>
      <c r="X6246" s="6"/>
      <c r="Y6246" s="6"/>
      <c r="Z6246" s="6"/>
      <c r="AA6246" s="6" t="s">
        <v>1135</v>
      </c>
      <c r="AB6246" s="8"/>
    </row>
    <row r="6247" spans="1:28" s="4" customFormat="1" ht="51.95" customHeight="1">
      <c r="A6247" s="5">
        <v>0</v>
      </c>
      <c r="B6247" s="6" t="s">
        <v>36431</v>
      </c>
      <c r="C6247" s="13">
        <v>1354</v>
      </c>
      <c r="D6247" s="8" t="s">
        <v>36432</v>
      </c>
      <c r="E6247" s="8" t="s">
        <v>36433</v>
      </c>
      <c r="F6247" s="8" t="s">
        <v>36434</v>
      </c>
      <c r="G6247" s="6" t="s">
        <v>89</v>
      </c>
      <c r="H6247" s="6" t="s">
        <v>39</v>
      </c>
      <c r="I6247" s="8" t="s">
        <v>100</v>
      </c>
      <c r="J6247" s="9">
        <v>1</v>
      </c>
      <c r="K6247" s="9">
        <v>288</v>
      </c>
      <c r="L6247" s="9">
        <v>2024</v>
      </c>
      <c r="M6247" s="8" t="s">
        <v>36435</v>
      </c>
      <c r="N6247" s="8" t="s">
        <v>79</v>
      </c>
      <c r="O6247" s="8" t="s">
        <v>396</v>
      </c>
      <c r="P6247" s="6" t="s">
        <v>43</v>
      </c>
      <c r="Q6247" s="8" t="s">
        <v>102</v>
      </c>
      <c r="R6247" s="10" t="s">
        <v>36436</v>
      </c>
      <c r="S6247" s="11" t="s">
        <v>4480</v>
      </c>
      <c r="T6247" s="6"/>
      <c r="U6247" s="24" t="str">
        <f>HYPERLINK("https://media.infra-m.ru/2142/2142577/cover/2142577.jpg", "Обложка")</f>
        <v>Обложка</v>
      </c>
      <c r="V6247" s="24" t="str">
        <f>HYPERLINK("https://znanium.ru/catalog/product/2130248", "Ознакомиться")</f>
        <v>Ознакомиться</v>
      </c>
      <c r="W6247" s="8" t="s">
        <v>71</v>
      </c>
      <c r="X6247" s="6"/>
      <c r="Y6247" s="6"/>
      <c r="Z6247" s="6"/>
      <c r="AA6247" s="6" t="s">
        <v>2001</v>
      </c>
      <c r="AB6247" s="8"/>
    </row>
    <row r="6248" spans="1:28" s="4" customFormat="1" ht="51.95" customHeight="1">
      <c r="A6248" s="5">
        <v>0</v>
      </c>
      <c r="B6248" s="6" t="s">
        <v>36437</v>
      </c>
      <c r="C6248" s="13">
        <v>1130</v>
      </c>
      <c r="D6248" s="8" t="s">
        <v>36438</v>
      </c>
      <c r="E6248" s="8" t="s">
        <v>36439</v>
      </c>
      <c r="F6248" s="8" t="s">
        <v>23051</v>
      </c>
      <c r="G6248" s="6" t="s">
        <v>89</v>
      </c>
      <c r="H6248" s="6" t="s">
        <v>438</v>
      </c>
      <c r="I6248" s="8" t="s">
        <v>100</v>
      </c>
      <c r="J6248" s="9">
        <v>1</v>
      </c>
      <c r="K6248" s="9">
        <v>240</v>
      </c>
      <c r="L6248" s="9">
        <v>2024</v>
      </c>
      <c r="M6248" s="8" t="s">
        <v>36440</v>
      </c>
      <c r="N6248" s="8" t="s">
        <v>79</v>
      </c>
      <c r="O6248" s="8" t="s">
        <v>396</v>
      </c>
      <c r="P6248" s="6" t="s">
        <v>167</v>
      </c>
      <c r="Q6248" s="8" t="s">
        <v>102</v>
      </c>
      <c r="R6248" s="10" t="s">
        <v>36441</v>
      </c>
      <c r="S6248" s="11" t="s">
        <v>36442</v>
      </c>
      <c r="T6248" s="6"/>
      <c r="U6248" s="24" t="str">
        <f>HYPERLINK("https://media.infra-m.ru/2135/2135608/cover/2135608.jpg", "Обложка")</f>
        <v>Обложка</v>
      </c>
      <c r="V6248" s="24" t="str">
        <f>HYPERLINK("https://znanium.ru/catalog/product/2135608", "Ознакомиться")</f>
        <v>Ознакомиться</v>
      </c>
      <c r="W6248" s="8" t="s">
        <v>399</v>
      </c>
      <c r="X6248" s="6"/>
      <c r="Y6248" s="6"/>
      <c r="Z6248" s="6"/>
      <c r="AA6248" s="6" t="s">
        <v>442</v>
      </c>
      <c r="AB6248" s="8"/>
    </row>
    <row r="6249" spans="1:28" s="4" customFormat="1" ht="51.95" customHeight="1">
      <c r="A6249" s="5">
        <v>0</v>
      </c>
      <c r="B6249" s="6" t="s">
        <v>36443</v>
      </c>
      <c r="C6249" s="13">
        <v>1880</v>
      </c>
      <c r="D6249" s="8" t="s">
        <v>36444</v>
      </c>
      <c r="E6249" s="8" t="s">
        <v>36445</v>
      </c>
      <c r="F6249" s="8" t="s">
        <v>15647</v>
      </c>
      <c r="G6249" s="6" t="s">
        <v>89</v>
      </c>
      <c r="H6249" s="6" t="s">
        <v>53</v>
      </c>
      <c r="I6249" s="8" t="s">
        <v>782</v>
      </c>
      <c r="J6249" s="9">
        <v>1</v>
      </c>
      <c r="K6249" s="9">
        <v>376</v>
      </c>
      <c r="L6249" s="9">
        <v>2025</v>
      </c>
      <c r="M6249" s="8" t="s">
        <v>36446</v>
      </c>
      <c r="N6249" s="8" t="s">
        <v>79</v>
      </c>
      <c r="O6249" s="8" t="s">
        <v>396</v>
      </c>
      <c r="P6249" s="6" t="s">
        <v>43</v>
      </c>
      <c r="Q6249" s="8" t="s">
        <v>44</v>
      </c>
      <c r="R6249" s="10" t="s">
        <v>22168</v>
      </c>
      <c r="S6249" s="11" t="s">
        <v>36447</v>
      </c>
      <c r="T6249" s="6"/>
      <c r="U6249" s="24" t="str">
        <f>HYPERLINK("https://media.infra-m.ru/2161/2161933/cover/2161933.jpg", "Обложка")</f>
        <v>Обложка</v>
      </c>
      <c r="V6249" s="12"/>
      <c r="W6249" s="8" t="s">
        <v>784</v>
      </c>
      <c r="X6249" s="6"/>
      <c r="Y6249" s="6"/>
      <c r="Z6249" s="6"/>
      <c r="AA6249" s="6" t="s">
        <v>151</v>
      </c>
      <c r="AB6249" s="8"/>
    </row>
    <row r="6250" spans="1:28" s="4" customFormat="1" ht="51.95" customHeight="1">
      <c r="A6250" s="5">
        <v>0</v>
      </c>
      <c r="B6250" s="6" t="s">
        <v>36448</v>
      </c>
      <c r="C6250" s="13">
        <v>1084</v>
      </c>
      <c r="D6250" s="8" t="s">
        <v>36449</v>
      </c>
      <c r="E6250" s="8" t="s">
        <v>36450</v>
      </c>
      <c r="F6250" s="8" t="s">
        <v>36451</v>
      </c>
      <c r="G6250" s="6" t="s">
        <v>52</v>
      </c>
      <c r="H6250" s="6" t="s">
        <v>184</v>
      </c>
      <c r="I6250" s="8" t="s">
        <v>90</v>
      </c>
      <c r="J6250" s="9">
        <v>1</v>
      </c>
      <c r="K6250" s="9">
        <v>240</v>
      </c>
      <c r="L6250" s="9">
        <v>2023</v>
      </c>
      <c r="M6250" s="8" t="s">
        <v>36452</v>
      </c>
      <c r="N6250" s="8" t="s">
        <v>79</v>
      </c>
      <c r="O6250" s="8" t="s">
        <v>537</v>
      </c>
      <c r="P6250" s="6" t="s">
        <v>43</v>
      </c>
      <c r="Q6250" s="8" t="s">
        <v>44</v>
      </c>
      <c r="R6250" s="10" t="s">
        <v>36453</v>
      </c>
      <c r="S6250" s="11" t="s">
        <v>36454</v>
      </c>
      <c r="T6250" s="6"/>
      <c r="U6250" s="24" t="str">
        <f>HYPERLINK("https://media.infra-m.ru/1981/1981636/cover/1981636.jpg", "Обложка")</f>
        <v>Обложка</v>
      </c>
      <c r="V6250" s="24" t="str">
        <f>HYPERLINK("https://znanium.ru/catalog/product/1013436", "Ознакомиться")</f>
        <v>Ознакомиться</v>
      </c>
      <c r="W6250" s="8"/>
      <c r="X6250" s="6"/>
      <c r="Y6250" s="6"/>
      <c r="Z6250" s="6"/>
      <c r="AA6250" s="6" t="s">
        <v>479</v>
      </c>
      <c r="AB6250" s="8"/>
    </row>
    <row r="6251" spans="1:28" s="4" customFormat="1" ht="51.95" customHeight="1">
      <c r="A6251" s="5">
        <v>0</v>
      </c>
      <c r="B6251" s="6" t="s">
        <v>36455</v>
      </c>
      <c r="C6251" s="13">
        <v>2594</v>
      </c>
      <c r="D6251" s="8" t="s">
        <v>36456</v>
      </c>
      <c r="E6251" s="8" t="s">
        <v>36457</v>
      </c>
      <c r="F6251" s="8" t="s">
        <v>36458</v>
      </c>
      <c r="G6251" s="6" t="s">
        <v>89</v>
      </c>
      <c r="H6251" s="6" t="s">
        <v>39</v>
      </c>
      <c r="I6251" s="8" t="s">
        <v>100</v>
      </c>
      <c r="J6251" s="9">
        <v>1</v>
      </c>
      <c r="K6251" s="9">
        <v>384</v>
      </c>
      <c r="L6251" s="9">
        <v>2025</v>
      </c>
      <c r="M6251" s="8" t="s">
        <v>36459</v>
      </c>
      <c r="N6251" s="8" t="s">
        <v>79</v>
      </c>
      <c r="O6251" s="8" t="s">
        <v>396</v>
      </c>
      <c r="P6251" s="6" t="s">
        <v>43</v>
      </c>
      <c r="Q6251" s="8" t="s">
        <v>102</v>
      </c>
      <c r="R6251" s="10" t="s">
        <v>36460</v>
      </c>
      <c r="S6251" s="11" t="s">
        <v>15671</v>
      </c>
      <c r="T6251" s="6"/>
      <c r="U6251" s="24" t="str">
        <f>HYPERLINK("https://media.infra-m.ru/2202/2202917/cover/2202917.jpg", "Обложка")</f>
        <v>Обложка</v>
      </c>
      <c r="V6251" s="24" t="str">
        <f>HYPERLINK("https://znanium.ru/catalog/product/2145820", "Ознакомиться")</f>
        <v>Ознакомиться</v>
      </c>
      <c r="W6251" s="8" t="s">
        <v>1144</v>
      </c>
      <c r="X6251" s="6"/>
      <c r="Y6251" s="6"/>
      <c r="Z6251" s="6" t="s">
        <v>104</v>
      </c>
      <c r="AA6251" s="6" t="s">
        <v>793</v>
      </c>
      <c r="AB6251" s="8"/>
    </row>
    <row r="6252" spans="1:28" s="4" customFormat="1" ht="51.95" customHeight="1">
      <c r="A6252" s="5">
        <v>0</v>
      </c>
      <c r="B6252" s="6" t="s">
        <v>36461</v>
      </c>
      <c r="C6252" s="13">
        <v>2490</v>
      </c>
      <c r="D6252" s="8" t="s">
        <v>36462</v>
      </c>
      <c r="E6252" s="8" t="s">
        <v>36457</v>
      </c>
      <c r="F6252" s="8" t="s">
        <v>36463</v>
      </c>
      <c r="G6252" s="6" t="s">
        <v>89</v>
      </c>
      <c r="H6252" s="6" t="s">
        <v>39</v>
      </c>
      <c r="I6252" s="8" t="s">
        <v>90</v>
      </c>
      <c r="J6252" s="9">
        <v>1</v>
      </c>
      <c r="K6252" s="9">
        <v>384</v>
      </c>
      <c r="L6252" s="9">
        <v>2023</v>
      </c>
      <c r="M6252" s="8" t="s">
        <v>36464</v>
      </c>
      <c r="N6252" s="8" t="s">
        <v>79</v>
      </c>
      <c r="O6252" s="8" t="s">
        <v>396</v>
      </c>
      <c r="P6252" s="6" t="s">
        <v>43</v>
      </c>
      <c r="Q6252" s="8" t="s">
        <v>44</v>
      </c>
      <c r="R6252" s="10" t="s">
        <v>6409</v>
      </c>
      <c r="S6252" s="11" t="s">
        <v>36465</v>
      </c>
      <c r="T6252" s="6"/>
      <c r="U6252" s="24" t="str">
        <f>HYPERLINK("https://media.infra-m.ru/1941/1941741/cover/1941741.jpg", "Обложка")</f>
        <v>Обложка</v>
      </c>
      <c r="V6252" s="12"/>
      <c r="W6252" s="8" t="s">
        <v>1144</v>
      </c>
      <c r="X6252" s="6"/>
      <c r="Y6252" s="6"/>
      <c r="Z6252" s="6"/>
      <c r="AA6252" s="6" t="s">
        <v>47</v>
      </c>
      <c r="AB6252" s="8"/>
    </row>
    <row r="6253" spans="1:28" s="4" customFormat="1" ht="51.95" customHeight="1">
      <c r="A6253" s="5">
        <v>0</v>
      </c>
      <c r="B6253" s="6" t="s">
        <v>36466</v>
      </c>
      <c r="C6253" s="7">
        <v>524.9</v>
      </c>
      <c r="D6253" s="8" t="s">
        <v>36467</v>
      </c>
      <c r="E6253" s="8" t="s">
        <v>36468</v>
      </c>
      <c r="F6253" s="8" t="s">
        <v>29351</v>
      </c>
      <c r="G6253" s="6" t="s">
        <v>52</v>
      </c>
      <c r="H6253" s="6" t="s">
        <v>53</v>
      </c>
      <c r="I6253" s="8"/>
      <c r="J6253" s="9">
        <v>1</v>
      </c>
      <c r="K6253" s="9">
        <v>424</v>
      </c>
      <c r="L6253" s="9">
        <v>2023</v>
      </c>
      <c r="M6253" s="8" t="s">
        <v>36469</v>
      </c>
      <c r="N6253" s="8" t="s">
        <v>41</v>
      </c>
      <c r="O6253" s="8" t="s">
        <v>1007</v>
      </c>
      <c r="P6253" s="6" t="s">
        <v>1046</v>
      </c>
      <c r="Q6253" s="8" t="s">
        <v>279</v>
      </c>
      <c r="R6253" s="10" t="s">
        <v>36470</v>
      </c>
      <c r="S6253" s="11"/>
      <c r="T6253" s="6"/>
      <c r="U6253" s="24" t="str">
        <f>HYPERLINK("https://media.infra-m.ru/2030/2030882/cover/2030882.jpg", "Обложка")</f>
        <v>Обложка</v>
      </c>
      <c r="V6253" s="24" t="str">
        <f>HYPERLINK("https://znanium.ru/catalog/product/1247124", "Ознакомиться")</f>
        <v>Ознакомиться</v>
      </c>
      <c r="W6253" s="8" t="s">
        <v>354</v>
      </c>
      <c r="X6253" s="6"/>
      <c r="Y6253" s="6"/>
      <c r="Z6253" s="6"/>
      <c r="AA6253" s="6" t="s">
        <v>151</v>
      </c>
      <c r="AB6253" s="8"/>
    </row>
    <row r="6254" spans="1:28" s="4" customFormat="1" ht="51.95" customHeight="1">
      <c r="A6254" s="5">
        <v>0</v>
      </c>
      <c r="B6254" s="6" t="s">
        <v>36471</v>
      </c>
      <c r="C6254" s="7">
        <v>424</v>
      </c>
      <c r="D6254" s="8" t="s">
        <v>36472</v>
      </c>
      <c r="E6254" s="8" t="s">
        <v>36473</v>
      </c>
      <c r="F6254" s="8" t="s">
        <v>36474</v>
      </c>
      <c r="G6254" s="6" t="s">
        <v>38</v>
      </c>
      <c r="H6254" s="6" t="s">
        <v>53</v>
      </c>
      <c r="I6254" s="8" t="s">
        <v>90</v>
      </c>
      <c r="J6254" s="9">
        <v>1</v>
      </c>
      <c r="K6254" s="9">
        <v>84</v>
      </c>
      <c r="L6254" s="9">
        <v>2025</v>
      </c>
      <c r="M6254" s="8" t="s">
        <v>36475</v>
      </c>
      <c r="N6254" s="8" t="s">
        <v>413</v>
      </c>
      <c r="O6254" s="8" t="s">
        <v>1141</v>
      </c>
      <c r="P6254" s="6" t="s">
        <v>43</v>
      </c>
      <c r="Q6254" s="8" t="s">
        <v>44</v>
      </c>
      <c r="R6254" s="10" t="s">
        <v>32909</v>
      </c>
      <c r="S6254" s="11"/>
      <c r="T6254" s="6"/>
      <c r="U6254" s="24" t="str">
        <f>HYPERLINK("https://media.infra-m.ru/2166/2166126/cover/2166126.jpg", "Обложка")</f>
        <v>Обложка</v>
      </c>
      <c r="V6254" s="24" t="str">
        <f>HYPERLINK("https://znanium.ru/catalog/product/2058787", "Ознакомиться")</f>
        <v>Ознакомиться</v>
      </c>
      <c r="W6254" s="8" t="s">
        <v>1514</v>
      </c>
      <c r="X6254" s="6"/>
      <c r="Y6254" s="6"/>
      <c r="Z6254" s="6"/>
      <c r="AA6254" s="6" t="s">
        <v>494</v>
      </c>
      <c r="AB6254" s="8"/>
    </row>
    <row r="6255" spans="1:28" s="4" customFormat="1" ht="51.95" customHeight="1">
      <c r="A6255" s="5">
        <v>0</v>
      </c>
      <c r="B6255" s="6" t="s">
        <v>36476</v>
      </c>
      <c r="C6255" s="7">
        <v>754.9</v>
      </c>
      <c r="D6255" s="8" t="s">
        <v>36477</v>
      </c>
      <c r="E6255" s="8" t="s">
        <v>36478</v>
      </c>
      <c r="F6255" s="8" t="s">
        <v>36479</v>
      </c>
      <c r="G6255" s="6" t="s">
        <v>52</v>
      </c>
      <c r="H6255" s="6" t="s">
        <v>53</v>
      </c>
      <c r="I6255" s="8" t="s">
        <v>90</v>
      </c>
      <c r="J6255" s="9">
        <v>1</v>
      </c>
      <c r="K6255" s="9">
        <v>199</v>
      </c>
      <c r="L6255" s="9">
        <v>2022</v>
      </c>
      <c r="M6255" s="8" t="s">
        <v>36480</v>
      </c>
      <c r="N6255" s="8" t="s">
        <v>79</v>
      </c>
      <c r="O6255" s="8" t="s">
        <v>396</v>
      </c>
      <c r="P6255" s="6" t="s">
        <v>167</v>
      </c>
      <c r="Q6255" s="8" t="s">
        <v>44</v>
      </c>
      <c r="R6255" s="10" t="s">
        <v>10827</v>
      </c>
      <c r="S6255" s="11" t="s">
        <v>36481</v>
      </c>
      <c r="T6255" s="6"/>
      <c r="U6255" s="24" t="str">
        <f>HYPERLINK("https://media.infra-m.ru/1859/1859051/cover/1859051.jpg", "Обложка")</f>
        <v>Обложка</v>
      </c>
      <c r="V6255" s="24" t="str">
        <f>HYPERLINK("https://znanium.ru/catalog/product/1220539", "Ознакомиться")</f>
        <v>Ознакомиться</v>
      </c>
      <c r="W6255" s="8" t="s">
        <v>399</v>
      </c>
      <c r="X6255" s="6"/>
      <c r="Y6255" s="6"/>
      <c r="Z6255" s="6"/>
      <c r="AA6255" s="6" t="s">
        <v>418</v>
      </c>
      <c r="AB6255" s="8"/>
    </row>
    <row r="6256" spans="1:28" s="4" customFormat="1" ht="51.95" customHeight="1">
      <c r="A6256" s="5">
        <v>0</v>
      </c>
      <c r="B6256" s="6" t="s">
        <v>36482</v>
      </c>
      <c r="C6256" s="13">
        <v>1250</v>
      </c>
      <c r="D6256" s="8" t="s">
        <v>36483</v>
      </c>
      <c r="E6256" s="8" t="s">
        <v>36484</v>
      </c>
      <c r="F6256" s="8" t="s">
        <v>28526</v>
      </c>
      <c r="G6256" s="6" t="s">
        <v>89</v>
      </c>
      <c r="H6256" s="6" t="s">
        <v>39</v>
      </c>
      <c r="I6256" s="8" t="s">
        <v>100</v>
      </c>
      <c r="J6256" s="9">
        <v>1</v>
      </c>
      <c r="K6256" s="9">
        <v>271</v>
      </c>
      <c r="L6256" s="9">
        <v>2024</v>
      </c>
      <c r="M6256" s="8" t="s">
        <v>36485</v>
      </c>
      <c r="N6256" s="8" t="s">
        <v>79</v>
      </c>
      <c r="O6256" s="8" t="s">
        <v>396</v>
      </c>
      <c r="P6256" s="6" t="s">
        <v>43</v>
      </c>
      <c r="Q6256" s="8" t="s">
        <v>102</v>
      </c>
      <c r="R6256" s="10" t="s">
        <v>36486</v>
      </c>
      <c r="S6256" s="11" t="s">
        <v>620</v>
      </c>
      <c r="T6256" s="6"/>
      <c r="U6256" s="24" t="str">
        <f>HYPERLINK("https://media.infra-m.ru/2102/2102664/cover/2102664.jpg", "Обложка")</f>
        <v>Обложка</v>
      </c>
      <c r="V6256" s="24" t="str">
        <f>HYPERLINK("https://znanium.ru/catalog/product/2102664", "Ознакомиться")</f>
        <v>Ознакомиться</v>
      </c>
      <c r="W6256" s="8" t="s">
        <v>621</v>
      </c>
      <c r="X6256" s="6"/>
      <c r="Y6256" s="6"/>
      <c r="Z6256" s="6"/>
      <c r="AA6256" s="6" t="s">
        <v>494</v>
      </c>
      <c r="AB6256" s="8"/>
    </row>
    <row r="6257" spans="1:28" s="4" customFormat="1" ht="51.95" customHeight="1">
      <c r="A6257" s="5">
        <v>0</v>
      </c>
      <c r="B6257" s="6" t="s">
        <v>36487</v>
      </c>
      <c r="C6257" s="13">
        <v>1360</v>
      </c>
      <c r="D6257" s="8" t="s">
        <v>36488</v>
      </c>
      <c r="E6257" s="8" t="s">
        <v>36484</v>
      </c>
      <c r="F6257" s="8" t="s">
        <v>28526</v>
      </c>
      <c r="G6257" s="6" t="s">
        <v>89</v>
      </c>
      <c r="H6257" s="6" t="s">
        <v>39</v>
      </c>
      <c r="I6257" s="8" t="s">
        <v>116</v>
      </c>
      <c r="J6257" s="9">
        <v>1</v>
      </c>
      <c r="K6257" s="9">
        <v>271</v>
      </c>
      <c r="L6257" s="9">
        <v>2025</v>
      </c>
      <c r="M6257" s="8" t="s">
        <v>36489</v>
      </c>
      <c r="N6257" s="8" t="s">
        <v>79</v>
      </c>
      <c r="O6257" s="8" t="s">
        <v>396</v>
      </c>
      <c r="P6257" s="6" t="s">
        <v>43</v>
      </c>
      <c r="Q6257" s="8" t="s">
        <v>44</v>
      </c>
      <c r="R6257" s="10" t="s">
        <v>22168</v>
      </c>
      <c r="S6257" s="11" t="s">
        <v>36490</v>
      </c>
      <c r="T6257" s="6"/>
      <c r="U6257" s="24" t="str">
        <f>HYPERLINK("https://media.infra-m.ru/2170/2170130/cover/2170130.jpg", "Обложка")</f>
        <v>Обложка</v>
      </c>
      <c r="V6257" s="24" t="str">
        <f>HYPERLINK("https://znanium.ru/catalog/product/2170130", "Ознакомиться")</f>
        <v>Ознакомиться</v>
      </c>
      <c r="W6257" s="8" t="s">
        <v>621</v>
      </c>
      <c r="X6257" s="6"/>
      <c r="Y6257" s="6"/>
      <c r="Z6257" s="6" t="s">
        <v>335</v>
      </c>
      <c r="AA6257" s="6" t="s">
        <v>1259</v>
      </c>
      <c r="AB6257" s="8"/>
    </row>
    <row r="6258" spans="1:28" s="4" customFormat="1" ht="51.95" customHeight="1">
      <c r="A6258" s="5">
        <v>0</v>
      </c>
      <c r="B6258" s="6" t="s">
        <v>36491</v>
      </c>
      <c r="C6258" s="13">
        <v>1020</v>
      </c>
      <c r="D6258" s="8" t="s">
        <v>36492</v>
      </c>
      <c r="E6258" s="8" t="s">
        <v>36493</v>
      </c>
      <c r="F6258" s="8" t="s">
        <v>16269</v>
      </c>
      <c r="G6258" s="6" t="s">
        <v>89</v>
      </c>
      <c r="H6258" s="6" t="s">
        <v>53</v>
      </c>
      <c r="I6258" s="8" t="s">
        <v>100</v>
      </c>
      <c r="J6258" s="9">
        <v>1</v>
      </c>
      <c r="K6258" s="9">
        <v>204</v>
      </c>
      <c r="L6258" s="9">
        <v>2025</v>
      </c>
      <c r="M6258" s="8" t="s">
        <v>36494</v>
      </c>
      <c r="N6258" s="8" t="s">
        <v>79</v>
      </c>
      <c r="O6258" s="8" t="s">
        <v>424</v>
      </c>
      <c r="P6258" s="6" t="s">
        <v>167</v>
      </c>
      <c r="Q6258" s="8" t="s">
        <v>102</v>
      </c>
      <c r="R6258" s="10" t="s">
        <v>36495</v>
      </c>
      <c r="S6258" s="11" t="s">
        <v>36496</v>
      </c>
      <c r="T6258" s="6" t="s">
        <v>299</v>
      </c>
      <c r="U6258" s="24" t="str">
        <f>HYPERLINK("https://media.infra-m.ru/2178/2178854/cover/2178854.jpg", "Обложка")</f>
        <v>Обложка</v>
      </c>
      <c r="V6258" s="24" t="str">
        <f>HYPERLINK("https://znanium.ru/catalog/product/2178854", "Ознакомиться")</f>
        <v>Ознакомиться</v>
      </c>
      <c r="W6258" s="8"/>
      <c r="X6258" s="6"/>
      <c r="Y6258" s="6" t="s">
        <v>30</v>
      </c>
      <c r="Z6258" s="6"/>
      <c r="AA6258" s="6" t="s">
        <v>479</v>
      </c>
      <c r="AB6258" s="8"/>
    </row>
    <row r="6259" spans="1:28" s="4" customFormat="1" ht="51.95" customHeight="1">
      <c r="A6259" s="5">
        <v>0</v>
      </c>
      <c r="B6259" s="6" t="s">
        <v>36497</v>
      </c>
      <c r="C6259" s="13">
        <v>1490</v>
      </c>
      <c r="D6259" s="8" t="s">
        <v>36498</v>
      </c>
      <c r="E6259" s="8" t="s">
        <v>36499</v>
      </c>
      <c r="F6259" s="8" t="s">
        <v>36500</v>
      </c>
      <c r="G6259" s="6" t="s">
        <v>89</v>
      </c>
      <c r="H6259" s="6" t="s">
        <v>53</v>
      </c>
      <c r="I6259" s="8" t="s">
        <v>116</v>
      </c>
      <c r="J6259" s="9">
        <v>1</v>
      </c>
      <c r="K6259" s="9">
        <v>286</v>
      </c>
      <c r="L6259" s="9">
        <v>2025</v>
      </c>
      <c r="M6259" s="8" t="s">
        <v>36501</v>
      </c>
      <c r="N6259" s="8" t="s">
        <v>79</v>
      </c>
      <c r="O6259" s="8" t="s">
        <v>396</v>
      </c>
      <c r="P6259" s="6" t="s">
        <v>43</v>
      </c>
      <c r="Q6259" s="8" t="s">
        <v>58</v>
      </c>
      <c r="R6259" s="10" t="s">
        <v>36502</v>
      </c>
      <c r="S6259" s="11" t="s">
        <v>36503</v>
      </c>
      <c r="T6259" s="6"/>
      <c r="U6259" s="24" t="str">
        <f>HYPERLINK("https://media.infra-m.ru/2192/2192158/cover/2192158.jpg", "Обложка")</f>
        <v>Обложка</v>
      </c>
      <c r="V6259" s="24" t="str">
        <f>HYPERLINK("https://znanium.ru/catalog/product/2192158", "Ознакомиться")</f>
        <v>Ознакомиться</v>
      </c>
      <c r="W6259" s="8" t="s">
        <v>5825</v>
      </c>
      <c r="X6259" s="6"/>
      <c r="Y6259" s="6"/>
      <c r="Z6259" s="6"/>
      <c r="AA6259" s="6" t="s">
        <v>122</v>
      </c>
      <c r="AB6259" s="8"/>
    </row>
    <row r="6260" spans="1:28" s="4" customFormat="1" ht="33" customHeight="1">
      <c r="A6260" s="5">
        <v>0</v>
      </c>
      <c r="B6260" s="6" t="s">
        <v>36504</v>
      </c>
      <c r="C6260" s="13">
        <v>1304.9000000000001</v>
      </c>
      <c r="D6260" s="8" t="s">
        <v>36505</v>
      </c>
      <c r="E6260" s="8" t="s">
        <v>36506</v>
      </c>
      <c r="F6260" s="8" t="s">
        <v>36507</v>
      </c>
      <c r="G6260" s="6" t="s">
        <v>52</v>
      </c>
      <c r="H6260" s="6" t="s">
        <v>649</v>
      </c>
      <c r="I6260" s="8"/>
      <c r="J6260" s="9">
        <v>1</v>
      </c>
      <c r="K6260" s="9">
        <v>448</v>
      </c>
      <c r="L6260" s="9">
        <v>2018</v>
      </c>
      <c r="M6260" s="8" t="s">
        <v>36508</v>
      </c>
      <c r="N6260" s="8" t="s">
        <v>41</v>
      </c>
      <c r="O6260" s="8" t="s">
        <v>6182</v>
      </c>
      <c r="P6260" s="6" t="s">
        <v>43</v>
      </c>
      <c r="Q6260" s="8" t="s">
        <v>279</v>
      </c>
      <c r="R6260" s="10" t="s">
        <v>36509</v>
      </c>
      <c r="S6260" s="11"/>
      <c r="T6260" s="6"/>
      <c r="U6260" s="12"/>
      <c r="V6260" s="24" t="str">
        <f>HYPERLINK("https://znanium.ru/catalog/product/2076819", "Ознакомиться")</f>
        <v>Ознакомиться</v>
      </c>
      <c r="W6260" s="8" t="s">
        <v>347</v>
      </c>
      <c r="X6260" s="6"/>
      <c r="Y6260" s="6"/>
      <c r="Z6260" s="6"/>
      <c r="AA6260" s="6" t="s">
        <v>160</v>
      </c>
      <c r="AB6260" s="8"/>
    </row>
    <row r="6261" spans="1:28" s="4" customFormat="1" ht="51.95" customHeight="1">
      <c r="A6261" s="5">
        <v>0</v>
      </c>
      <c r="B6261" s="6" t="s">
        <v>36510</v>
      </c>
      <c r="C6261" s="13">
        <v>3899</v>
      </c>
      <c r="D6261" s="8" t="s">
        <v>36511</v>
      </c>
      <c r="E6261" s="8" t="s">
        <v>36512</v>
      </c>
      <c r="F6261" s="8" t="s">
        <v>36513</v>
      </c>
      <c r="G6261" s="6" t="s">
        <v>52</v>
      </c>
      <c r="H6261" s="6" t="s">
        <v>53</v>
      </c>
      <c r="I6261" s="8" t="s">
        <v>960</v>
      </c>
      <c r="J6261" s="9">
        <v>1</v>
      </c>
      <c r="K6261" s="9">
        <v>476</v>
      </c>
      <c r="L6261" s="9">
        <v>2024</v>
      </c>
      <c r="M6261" s="8" t="s">
        <v>36514</v>
      </c>
      <c r="N6261" s="8" t="s">
        <v>79</v>
      </c>
      <c r="O6261" s="8" t="s">
        <v>174</v>
      </c>
      <c r="P6261" s="6" t="s">
        <v>43</v>
      </c>
      <c r="Q6261" s="8" t="s">
        <v>58</v>
      </c>
      <c r="R6261" s="10" t="s">
        <v>36515</v>
      </c>
      <c r="S6261" s="11" t="s">
        <v>36516</v>
      </c>
      <c r="T6261" s="6"/>
      <c r="U6261" s="24" t="str">
        <f>HYPERLINK("https://media.infra-m.ru/2151/2151088/cover/2151088.jpg", "Обложка")</f>
        <v>Обложка</v>
      </c>
      <c r="V6261" s="24" t="str">
        <f>HYPERLINK("https://znanium.ru/catalog/product/2151088", "Ознакомиться")</f>
        <v>Ознакомиться</v>
      </c>
      <c r="W6261" s="8" t="s">
        <v>178</v>
      </c>
      <c r="X6261" s="6" t="s">
        <v>772</v>
      </c>
      <c r="Y6261" s="6"/>
      <c r="Z6261" s="6"/>
      <c r="AA6261" s="6" t="s">
        <v>133</v>
      </c>
      <c r="AB6261" s="8"/>
    </row>
    <row r="6262" spans="1:28" s="4" customFormat="1" ht="42" customHeight="1">
      <c r="A6262" s="5">
        <v>0</v>
      </c>
      <c r="B6262" s="6" t="s">
        <v>36517</v>
      </c>
      <c r="C6262" s="13">
        <v>1514</v>
      </c>
      <c r="D6262" s="8" t="s">
        <v>36518</v>
      </c>
      <c r="E6262" s="8" t="s">
        <v>36519</v>
      </c>
      <c r="F6262" s="8" t="s">
        <v>36520</v>
      </c>
      <c r="G6262" s="6" t="s">
        <v>89</v>
      </c>
      <c r="H6262" s="6" t="s">
        <v>53</v>
      </c>
      <c r="I6262" s="8" t="s">
        <v>1325</v>
      </c>
      <c r="J6262" s="9">
        <v>1</v>
      </c>
      <c r="K6262" s="9">
        <v>270</v>
      </c>
      <c r="L6262" s="9">
        <v>2024</v>
      </c>
      <c r="M6262" s="8" t="s">
        <v>36521</v>
      </c>
      <c r="N6262" s="8" t="s">
        <v>79</v>
      </c>
      <c r="O6262" s="8" t="s">
        <v>570</v>
      </c>
      <c r="P6262" s="6" t="s">
        <v>43</v>
      </c>
      <c r="Q6262" s="8" t="s">
        <v>58</v>
      </c>
      <c r="R6262" s="10" t="s">
        <v>36522</v>
      </c>
      <c r="S6262" s="11"/>
      <c r="T6262" s="6"/>
      <c r="U6262" s="24" t="str">
        <f>HYPERLINK("https://media.infra-m.ru/2142/2142872/cover/2142872.jpg", "Обложка")</f>
        <v>Обложка</v>
      </c>
      <c r="V6262" s="24" t="str">
        <f>HYPERLINK("https://znanium.ru/catalog/product/1870699", "Ознакомиться")</f>
        <v>Ознакомиться</v>
      </c>
      <c r="W6262" s="8" t="s">
        <v>1329</v>
      </c>
      <c r="X6262" s="6"/>
      <c r="Y6262" s="6"/>
      <c r="Z6262" s="6"/>
      <c r="AA6262" s="6" t="s">
        <v>207</v>
      </c>
      <c r="AB6262" s="8"/>
    </row>
    <row r="6263" spans="1:28" s="4" customFormat="1" ht="44.1" customHeight="1">
      <c r="A6263" s="5">
        <v>0</v>
      </c>
      <c r="B6263" s="6" t="s">
        <v>36523</v>
      </c>
      <c r="C6263" s="13">
        <v>1690</v>
      </c>
      <c r="D6263" s="8" t="s">
        <v>36524</v>
      </c>
      <c r="E6263" s="8" t="s">
        <v>36525</v>
      </c>
      <c r="F6263" s="8" t="s">
        <v>36526</v>
      </c>
      <c r="G6263" s="6" t="s">
        <v>52</v>
      </c>
      <c r="H6263" s="6" t="s">
        <v>53</v>
      </c>
      <c r="I6263" s="8" t="s">
        <v>1325</v>
      </c>
      <c r="J6263" s="9">
        <v>1</v>
      </c>
      <c r="K6263" s="9">
        <v>312</v>
      </c>
      <c r="L6263" s="9">
        <v>2025</v>
      </c>
      <c r="M6263" s="8" t="s">
        <v>36527</v>
      </c>
      <c r="N6263" s="8" t="s">
        <v>79</v>
      </c>
      <c r="O6263" s="8" t="s">
        <v>570</v>
      </c>
      <c r="P6263" s="6" t="s">
        <v>43</v>
      </c>
      <c r="Q6263" s="8" t="s">
        <v>58</v>
      </c>
      <c r="R6263" s="10" t="s">
        <v>36528</v>
      </c>
      <c r="S6263" s="11"/>
      <c r="T6263" s="6"/>
      <c r="U6263" s="24" t="str">
        <f>HYPERLINK("https://media.infra-m.ru/2157/2157612/cover/2157612.jpg", "Обложка")</f>
        <v>Обложка</v>
      </c>
      <c r="V6263" s="24" t="str">
        <f>HYPERLINK("https://znanium.ru/catalog/product/2157612", "Ознакомиться")</f>
        <v>Ознакомиться</v>
      </c>
      <c r="W6263" s="8" t="s">
        <v>1329</v>
      </c>
      <c r="X6263" s="6" t="s">
        <v>2790</v>
      </c>
      <c r="Y6263" s="6"/>
      <c r="Z6263" s="6"/>
      <c r="AA6263" s="6" t="s">
        <v>61</v>
      </c>
      <c r="AB6263" s="8"/>
    </row>
    <row r="6264" spans="1:28" s="4" customFormat="1" ht="51.95" customHeight="1">
      <c r="A6264" s="5">
        <v>0</v>
      </c>
      <c r="B6264" s="6" t="s">
        <v>36529</v>
      </c>
      <c r="C6264" s="13">
        <v>1130</v>
      </c>
      <c r="D6264" s="8" t="s">
        <v>36530</v>
      </c>
      <c r="E6264" s="8" t="s">
        <v>36531</v>
      </c>
      <c r="F6264" s="8" t="s">
        <v>36532</v>
      </c>
      <c r="G6264" s="6" t="s">
        <v>89</v>
      </c>
      <c r="H6264" s="6" t="s">
        <v>53</v>
      </c>
      <c r="I6264" s="8" t="s">
        <v>1325</v>
      </c>
      <c r="J6264" s="9">
        <v>1</v>
      </c>
      <c r="K6264" s="9">
        <v>220</v>
      </c>
      <c r="L6264" s="9">
        <v>2024</v>
      </c>
      <c r="M6264" s="8" t="s">
        <v>36533</v>
      </c>
      <c r="N6264" s="8" t="s">
        <v>79</v>
      </c>
      <c r="O6264" s="8" t="s">
        <v>570</v>
      </c>
      <c r="P6264" s="6" t="s">
        <v>43</v>
      </c>
      <c r="Q6264" s="8" t="s">
        <v>58</v>
      </c>
      <c r="R6264" s="10" t="s">
        <v>36534</v>
      </c>
      <c r="S6264" s="11" t="s">
        <v>36535</v>
      </c>
      <c r="T6264" s="6"/>
      <c r="U6264" s="24" t="str">
        <f>HYPERLINK("https://media.infra-m.ru/2099/2099969/cover/2099969.jpg", "Обложка")</f>
        <v>Обложка</v>
      </c>
      <c r="V6264" s="24" t="str">
        <f>HYPERLINK("https://znanium.ru/catalog/product/2099969", "Ознакомиться")</f>
        <v>Ознакомиться</v>
      </c>
      <c r="W6264" s="8" t="s">
        <v>1329</v>
      </c>
      <c r="X6264" s="6"/>
      <c r="Y6264" s="6"/>
      <c r="Z6264" s="6"/>
      <c r="AA6264" s="6" t="s">
        <v>258</v>
      </c>
      <c r="AB6264" s="8"/>
    </row>
    <row r="6265" spans="1:28" s="4" customFormat="1" ht="51.95" customHeight="1">
      <c r="A6265" s="5">
        <v>0</v>
      </c>
      <c r="B6265" s="6" t="s">
        <v>36536</v>
      </c>
      <c r="C6265" s="13">
        <v>1360</v>
      </c>
      <c r="D6265" s="8" t="s">
        <v>36537</v>
      </c>
      <c r="E6265" s="8" t="s">
        <v>36538</v>
      </c>
      <c r="F6265" s="8" t="s">
        <v>11616</v>
      </c>
      <c r="G6265" s="6" t="s">
        <v>89</v>
      </c>
      <c r="H6265" s="6" t="s">
        <v>53</v>
      </c>
      <c r="I6265" s="8" t="s">
        <v>116</v>
      </c>
      <c r="J6265" s="9">
        <v>1</v>
      </c>
      <c r="K6265" s="9">
        <v>289</v>
      </c>
      <c r="L6265" s="9">
        <v>2024</v>
      </c>
      <c r="M6265" s="8" t="s">
        <v>36539</v>
      </c>
      <c r="N6265" s="8" t="s">
        <v>56</v>
      </c>
      <c r="O6265" s="8" t="s">
        <v>57</v>
      </c>
      <c r="P6265" s="6" t="s">
        <v>43</v>
      </c>
      <c r="Q6265" s="8" t="s">
        <v>44</v>
      </c>
      <c r="R6265" s="10" t="s">
        <v>14303</v>
      </c>
      <c r="S6265" s="11" t="s">
        <v>36540</v>
      </c>
      <c r="T6265" s="6"/>
      <c r="U6265" s="24" t="str">
        <f>HYPERLINK("https://media.infra-m.ru/2058/2058783/cover/2058783.jpg", "Обложка")</f>
        <v>Обложка</v>
      </c>
      <c r="V6265" s="24" t="str">
        <f>HYPERLINK("https://znanium.ru/catalog/product/2058783", "Ознакомиться")</f>
        <v>Ознакомиться</v>
      </c>
      <c r="W6265" s="8" t="s">
        <v>11620</v>
      </c>
      <c r="X6265" s="6"/>
      <c r="Y6265" s="6"/>
      <c r="Z6265" s="6"/>
      <c r="AA6265" s="6" t="s">
        <v>258</v>
      </c>
      <c r="AB6265" s="8"/>
    </row>
    <row r="6266" spans="1:28" s="4" customFormat="1" ht="51.95" customHeight="1">
      <c r="A6266" s="5">
        <v>0</v>
      </c>
      <c r="B6266" s="6" t="s">
        <v>36541</v>
      </c>
      <c r="C6266" s="7">
        <v>884</v>
      </c>
      <c r="D6266" s="8" t="s">
        <v>36542</v>
      </c>
      <c r="E6266" s="8" t="s">
        <v>36543</v>
      </c>
      <c r="F6266" s="8" t="s">
        <v>36544</v>
      </c>
      <c r="G6266" s="6" t="s">
        <v>38</v>
      </c>
      <c r="H6266" s="6" t="s">
        <v>53</v>
      </c>
      <c r="I6266" s="8" t="s">
        <v>90</v>
      </c>
      <c r="J6266" s="9">
        <v>1</v>
      </c>
      <c r="K6266" s="9">
        <v>168</v>
      </c>
      <c r="L6266" s="9">
        <v>2025</v>
      </c>
      <c r="M6266" s="8" t="s">
        <v>36545</v>
      </c>
      <c r="N6266" s="8" t="s">
        <v>41</v>
      </c>
      <c r="O6266" s="8" t="s">
        <v>278</v>
      </c>
      <c r="P6266" s="6" t="s">
        <v>43</v>
      </c>
      <c r="Q6266" s="8" t="s">
        <v>44</v>
      </c>
      <c r="R6266" s="10" t="s">
        <v>36546</v>
      </c>
      <c r="S6266" s="11" t="s">
        <v>36547</v>
      </c>
      <c r="T6266" s="6"/>
      <c r="U6266" s="24" t="str">
        <f>HYPERLINK("https://media.infra-m.ru/2194/2194321/cover/2194321.jpg", "Обложка")</f>
        <v>Обложка</v>
      </c>
      <c r="V6266" s="24" t="str">
        <f>HYPERLINK("https://znanium.ru/catalog/product/2107433", "Ознакомиться")</f>
        <v>Ознакомиться</v>
      </c>
      <c r="W6266" s="8" t="s">
        <v>4293</v>
      </c>
      <c r="X6266" s="6"/>
      <c r="Y6266" s="6"/>
      <c r="Z6266" s="6"/>
      <c r="AA6266" s="6" t="s">
        <v>644</v>
      </c>
      <c r="AB6266" s="8"/>
    </row>
    <row r="6267" spans="1:28" s="4" customFormat="1" ht="51.95" customHeight="1">
      <c r="A6267" s="5">
        <v>0</v>
      </c>
      <c r="B6267" s="6" t="s">
        <v>36548</v>
      </c>
      <c r="C6267" s="13">
        <v>1720</v>
      </c>
      <c r="D6267" s="8" t="s">
        <v>36549</v>
      </c>
      <c r="E6267" s="8" t="s">
        <v>36550</v>
      </c>
      <c r="F6267" s="8" t="s">
        <v>36551</v>
      </c>
      <c r="G6267" s="6" t="s">
        <v>89</v>
      </c>
      <c r="H6267" s="6" t="s">
        <v>53</v>
      </c>
      <c r="I6267" s="8" t="s">
        <v>90</v>
      </c>
      <c r="J6267" s="9">
        <v>1</v>
      </c>
      <c r="K6267" s="9">
        <v>383</v>
      </c>
      <c r="L6267" s="9">
        <v>2023</v>
      </c>
      <c r="M6267" s="8" t="s">
        <v>36552</v>
      </c>
      <c r="N6267" s="8" t="s">
        <v>41</v>
      </c>
      <c r="O6267" s="8" t="s">
        <v>278</v>
      </c>
      <c r="P6267" s="6" t="s">
        <v>167</v>
      </c>
      <c r="Q6267" s="8" t="s">
        <v>44</v>
      </c>
      <c r="R6267" s="10" t="s">
        <v>36553</v>
      </c>
      <c r="S6267" s="11" t="s">
        <v>36554</v>
      </c>
      <c r="T6267" s="6" t="s">
        <v>299</v>
      </c>
      <c r="U6267" s="24" t="str">
        <f>HYPERLINK("https://media.infra-m.ru/1915/1915727/cover/1915727.jpg", "Обложка")</f>
        <v>Обложка</v>
      </c>
      <c r="V6267" s="24" t="str">
        <f>HYPERLINK("https://znanium.ru/catalog/product/1915727", "Ознакомиться")</f>
        <v>Ознакомиться</v>
      </c>
      <c r="W6267" s="8" t="s">
        <v>1345</v>
      </c>
      <c r="X6267" s="6"/>
      <c r="Y6267" s="6"/>
      <c r="Z6267" s="6"/>
      <c r="AA6267" s="6" t="s">
        <v>4504</v>
      </c>
      <c r="AB6267" s="8"/>
    </row>
    <row r="6268" spans="1:28" s="4" customFormat="1" ht="51.95" customHeight="1">
      <c r="A6268" s="5">
        <v>0</v>
      </c>
      <c r="B6268" s="6" t="s">
        <v>36555</v>
      </c>
      <c r="C6268" s="7">
        <v>870</v>
      </c>
      <c r="D6268" s="8" t="s">
        <v>36556</v>
      </c>
      <c r="E6268" s="8" t="s">
        <v>36550</v>
      </c>
      <c r="F6268" s="8" t="s">
        <v>36557</v>
      </c>
      <c r="G6268" s="6" t="s">
        <v>89</v>
      </c>
      <c r="H6268" s="6" t="s">
        <v>53</v>
      </c>
      <c r="I6268" s="8" t="s">
        <v>100</v>
      </c>
      <c r="J6268" s="9">
        <v>1</v>
      </c>
      <c r="K6268" s="9">
        <v>161</v>
      </c>
      <c r="L6268" s="9">
        <v>2025</v>
      </c>
      <c r="M6268" s="8" t="s">
        <v>36558</v>
      </c>
      <c r="N6268" s="8" t="s">
        <v>56</v>
      </c>
      <c r="O6268" s="8" t="s">
        <v>4042</v>
      </c>
      <c r="P6268" s="6" t="s">
        <v>167</v>
      </c>
      <c r="Q6268" s="8" t="s">
        <v>102</v>
      </c>
      <c r="R6268" s="10" t="s">
        <v>36559</v>
      </c>
      <c r="S6268" s="11"/>
      <c r="T6268" s="6"/>
      <c r="U6268" s="24" t="str">
        <f>HYPERLINK("https://media.infra-m.ru/2192/2192156/cover/2192156.jpg", "Обложка")</f>
        <v>Обложка</v>
      </c>
      <c r="V6268" s="24" t="str">
        <f>HYPERLINK("https://znanium.ru/catalog/product/2192156", "Ознакомиться")</f>
        <v>Ознакомиться</v>
      </c>
      <c r="W6268" s="8" t="s">
        <v>5635</v>
      </c>
      <c r="X6268" s="6"/>
      <c r="Y6268" s="6"/>
      <c r="Z6268" s="6"/>
      <c r="AA6268" s="6" t="s">
        <v>105</v>
      </c>
      <c r="AB6268" s="8"/>
    </row>
    <row r="6269" spans="1:28" s="4" customFormat="1" ht="51.95" customHeight="1">
      <c r="A6269" s="5">
        <v>0</v>
      </c>
      <c r="B6269" s="6" t="s">
        <v>36560</v>
      </c>
      <c r="C6269" s="7">
        <v>790</v>
      </c>
      <c r="D6269" s="8" t="s">
        <v>36561</v>
      </c>
      <c r="E6269" s="8" t="s">
        <v>36562</v>
      </c>
      <c r="F6269" s="8" t="s">
        <v>36563</v>
      </c>
      <c r="G6269" s="6" t="s">
        <v>38</v>
      </c>
      <c r="H6269" s="6" t="s">
        <v>649</v>
      </c>
      <c r="I6269" s="8" t="s">
        <v>100</v>
      </c>
      <c r="J6269" s="9">
        <v>1</v>
      </c>
      <c r="K6269" s="9">
        <v>176</v>
      </c>
      <c r="L6269" s="9">
        <v>2020</v>
      </c>
      <c r="M6269" s="8" t="s">
        <v>36564</v>
      </c>
      <c r="N6269" s="8" t="s">
        <v>41</v>
      </c>
      <c r="O6269" s="8" t="s">
        <v>278</v>
      </c>
      <c r="P6269" s="6" t="s">
        <v>167</v>
      </c>
      <c r="Q6269" s="8" t="s">
        <v>102</v>
      </c>
      <c r="R6269" s="10" t="s">
        <v>36559</v>
      </c>
      <c r="S6269" s="11" t="s">
        <v>36565</v>
      </c>
      <c r="T6269" s="6"/>
      <c r="U6269" s="24" t="str">
        <f>HYPERLINK("https://media.infra-m.ru/1960/1960946/cover/1960946.jpg", "Обложка")</f>
        <v>Обложка</v>
      </c>
      <c r="V6269" s="24" t="str">
        <f>HYPERLINK("https://znanium.ru/catalog/product/2192156", "Ознакомиться")</f>
        <v>Ознакомиться</v>
      </c>
      <c r="W6269" s="8" t="s">
        <v>4293</v>
      </c>
      <c r="X6269" s="6"/>
      <c r="Y6269" s="6"/>
      <c r="Z6269" s="6"/>
      <c r="AA6269" s="6" t="s">
        <v>555</v>
      </c>
      <c r="AB6269" s="8"/>
    </row>
    <row r="6270" spans="1:28" s="4" customFormat="1" ht="51.95" customHeight="1">
      <c r="A6270" s="5">
        <v>0</v>
      </c>
      <c r="B6270" s="6" t="s">
        <v>36566</v>
      </c>
      <c r="C6270" s="13">
        <v>1334</v>
      </c>
      <c r="D6270" s="8" t="s">
        <v>36567</v>
      </c>
      <c r="E6270" s="8" t="s">
        <v>36568</v>
      </c>
      <c r="F6270" s="8" t="s">
        <v>3090</v>
      </c>
      <c r="G6270" s="6" t="s">
        <v>89</v>
      </c>
      <c r="H6270" s="6" t="s">
        <v>53</v>
      </c>
      <c r="I6270" s="8" t="s">
        <v>90</v>
      </c>
      <c r="J6270" s="9">
        <v>1</v>
      </c>
      <c r="K6270" s="9">
        <v>291</v>
      </c>
      <c r="L6270" s="9">
        <v>2024</v>
      </c>
      <c r="M6270" s="8" t="s">
        <v>36569</v>
      </c>
      <c r="N6270" s="8" t="s">
        <v>56</v>
      </c>
      <c r="O6270" s="8" t="s">
        <v>4042</v>
      </c>
      <c r="P6270" s="6" t="s">
        <v>43</v>
      </c>
      <c r="Q6270" s="8" t="s">
        <v>44</v>
      </c>
      <c r="R6270" s="10" t="s">
        <v>36570</v>
      </c>
      <c r="S6270" s="11" t="s">
        <v>36571</v>
      </c>
      <c r="T6270" s="6"/>
      <c r="U6270" s="24" t="str">
        <f>HYPERLINK("https://media.infra-m.ru/2064/2064443/cover/2064443.jpg", "Обложка")</f>
        <v>Обложка</v>
      </c>
      <c r="V6270" s="24" t="str">
        <f>HYPERLINK("https://znanium.ru/catalog/product/2064443", "Ознакомиться")</f>
        <v>Ознакомиться</v>
      </c>
      <c r="W6270" s="8" t="s">
        <v>2201</v>
      </c>
      <c r="X6270" s="6"/>
      <c r="Y6270" s="6"/>
      <c r="Z6270" s="6"/>
      <c r="AA6270" s="6" t="s">
        <v>1259</v>
      </c>
      <c r="AB6270" s="8"/>
    </row>
    <row r="6271" spans="1:28" s="4" customFormat="1" ht="51.95" customHeight="1">
      <c r="A6271" s="5">
        <v>0</v>
      </c>
      <c r="B6271" s="6" t="s">
        <v>36572</v>
      </c>
      <c r="C6271" s="13">
        <v>1910</v>
      </c>
      <c r="D6271" s="8" t="s">
        <v>36573</v>
      </c>
      <c r="E6271" s="8" t="s">
        <v>36574</v>
      </c>
      <c r="F6271" s="8" t="s">
        <v>36575</v>
      </c>
      <c r="G6271" s="6" t="s">
        <v>52</v>
      </c>
      <c r="H6271" s="6" t="s">
        <v>53</v>
      </c>
      <c r="I6271" s="8" t="s">
        <v>116</v>
      </c>
      <c r="J6271" s="9">
        <v>1</v>
      </c>
      <c r="K6271" s="9">
        <v>415</v>
      </c>
      <c r="L6271" s="9">
        <v>2024</v>
      </c>
      <c r="M6271" s="8" t="s">
        <v>36576</v>
      </c>
      <c r="N6271" s="8" t="s">
        <v>56</v>
      </c>
      <c r="O6271" s="8" t="s">
        <v>4042</v>
      </c>
      <c r="P6271" s="6" t="s">
        <v>167</v>
      </c>
      <c r="Q6271" s="8" t="s">
        <v>44</v>
      </c>
      <c r="R6271" s="10" t="s">
        <v>36577</v>
      </c>
      <c r="S6271" s="11" t="s">
        <v>36578</v>
      </c>
      <c r="T6271" s="6" t="s">
        <v>299</v>
      </c>
      <c r="U6271" s="24" t="str">
        <f>HYPERLINK("https://media.infra-m.ru/2110/2110944/cover/2110944.jpg", "Обложка")</f>
        <v>Обложка</v>
      </c>
      <c r="V6271" s="24" t="str">
        <f>HYPERLINK("https://znanium.ru/catalog/product/2110944", "Ознакомиться")</f>
        <v>Ознакомиться</v>
      </c>
      <c r="W6271" s="8" t="s">
        <v>12172</v>
      </c>
      <c r="X6271" s="6"/>
      <c r="Y6271" s="6"/>
      <c r="Z6271" s="6"/>
      <c r="AA6271" s="6" t="s">
        <v>8892</v>
      </c>
      <c r="AB6271" s="8"/>
    </row>
    <row r="6272" spans="1:28" s="4" customFormat="1" ht="51.95" customHeight="1">
      <c r="A6272" s="5">
        <v>0</v>
      </c>
      <c r="B6272" s="6" t="s">
        <v>36579</v>
      </c>
      <c r="C6272" s="7">
        <v>734.9</v>
      </c>
      <c r="D6272" s="8" t="s">
        <v>36580</v>
      </c>
      <c r="E6272" s="8" t="s">
        <v>36581</v>
      </c>
      <c r="F6272" s="8" t="s">
        <v>36582</v>
      </c>
      <c r="G6272" s="6" t="s">
        <v>52</v>
      </c>
      <c r="H6272" s="6" t="s">
        <v>53</v>
      </c>
      <c r="I6272" s="8" t="s">
        <v>90</v>
      </c>
      <c r="J6272" s="9">
        <v>1</v>
      </c>
      <c r="K6272" s="9">
        <v>158</v>
      </c>
      <c r="L6272" s="9">
        <v>2023</v>
      </c>
      <c r="M6272" s="8" t="s">
        <v>36583</v>
      </c>
      <c r="N6272" s="8" t="s">
        <v>56</v>
      </c>
      <c r="O6272" s="8" t="s">
        <v>4042</v>
      </c>
      <c r="P6272" s="6" t="s">
        <v>43</v>
      </c>
      <c r="Q6272" s="8" t="s">
        <v>44</v>
      </c>
      <c r="R6272" s="10" t="s">
        <v>36584</v>
      </c>
      <c r="S6272" s="11"/>
      <c r="T6272" s="6"/>
      <c r="U6272" s="24" t="str">
        <f>HYPERLINK("https://media.infra-m.ru/1910/1910624/cover/1910624.jpg", "Обложка")</f>
        <v>Обложка</v>
      </c>
      <c r="V6272" s="24" t="str">
        <f>HYPERLINK("https://znanium.ru/catalog/product/1910624", "Ознакомиться")</f>
        <v>Ознакомиться</v>
      </c>
      <c r="W6272" s="8"/>
      <c r="X6272" s="6"/>
      <c r="Y6272" s="6"/>
      <c r="Z6272" s="6"/>
      <c r="AA6272" s="6" t="s">
        <v>84</v>
      </c>
      <c r="AB6272" s="8"/>
    </row>
    <row r="6273" spans="1:28" s="4" customFormat="1" ht="51.95" customHeight="1">
      <c r="A6273" s="5">
        <v>0</v>
      </c>
      <c r="B6273" s="6" t="s">
        <v>36585</v>
      </c>
      <c r="C6273" s="13">
        <v>1144</v>
      </c>
      <c r="D6273" s="8" t="s">
        <v>36586</v>
      </c>
      <c r="E6273" s="8" t="s">
        <v>36581</v>
      </c>
      <c r="F6273" s="8" t="s">
        <v>36587</v>
      </c>
      <c r="G6273" s="6" t="s">
        <v>89</v>
      </c>
      <c r="H6273" s="6" t="s">
        <v>184</v>
      </c>
      <c r="I6273" s="8" t="s">
        <v>90</v>
      </c>
      <c r="J6273" s="9">
        <v>1</v>
      </c>
      <c r="K6273" s="9">
        <v>228</v>
      </c>
      <c r="L6273" s="9">
        <v>2024</v>
      </c>
      <c r="M6273" s="8" t="s">
        <v>36588</v>
      </c>
      <c r="N6273" s="8" t="s">
        <v>56</v>
      </c>
      <c r="O6273" s="8" t="s">
        <v>4042</v>
      </c>
      <c r="P6273" s="6" t="s">
        <v>43</v>
      </c>
      <c r="Q6273" s="8" t="s">
        <v>44</v>
      </c>
      <c r="R6273" s="10" t="s">
        <v>36589</v>
      </c>
      <c r="S6273" s="11" t="s">
        <v>36590</v>
      </c>
      <c r="T6273" s="6"/>
      <c r="U6273" s="24" t="str">
        <f>HYPERLINK("https://media.infra-m.ru/2187/2187317/cover/2187317.jpg", "Обложка")</f>
        <v>Обложка</v>
      </c>
      <c r="V6273" s="24" t="str">
        <f>HYPERLINK("https://znanium.ru/catalog/product/2185891", "Ознакомиться")</f>
        <v>Ознакомиться</v>
      </c>
      <c r="W6273" s="8"/>
      <c r="X6273" s="6"/>
      <c r="Y6273" s="6"/>
      <c r="Z6273" s="6"/>
      <c r="AA6273" s="6" t="s">
        <v>442</v>
      </c>
      <c r="AB6273" s="8"/>
    </row>
    <row r="6274" spans="1:28" s="4" customFormat="1" ht="51.95" customHeight="1">
      <c r="A6274" s="5">
        <v>0</v>
      </c>
      <c r="B6274" s="6" t="s">
        <v>36591</v>
      </c>
      <c r="C6274" s="7">
        <v>540</v>
      </c>
      <c r="D6274" s="8" t="s">
        <v>36592</v>
      </c>
      <c r="E6274" s="8" t="s">
        <v>36581</v>
      </c>
      <c r="F6274" s="8" t="s">
        <v>36593</v>
      </c>
      <c r="G6274" s="6" t="s">
        <v>52</v>
      </c>
      <c r="H6274" s="6" t="s">
        <v>53</v>
      </c>
      <c r="I6274" s="8" t="s">
        <v>100</v>
      </c>
      <c r="J6274" s="9">
        <v>1</v>
      </c>
      <c r="K6274" s="9">
        <v>158</v>
      </c>
      <c r="L6274" s="9">
        <v>2020</v>
      </c>
      <c r="M6274" s="8" t="s">
        <v>36594</v>
      </c>
      <c r="N6274" s="8" t="s">
        <v>56</v>
      </c>
      <c r="O6274" s="8" t="s">
        <v>4042</v>
      </c>
      <c r="P6274" s="6" t="s">
        <v>43</v>
      </c>
      <c r="Q6274" s="8" t="s">
        <v>102</v>
      </c>
      <c r="R6274" s="10" t="s">
        <v>36595</v>
      </c>
      <c r="S6274" s="11" t="s">
        <v>36596</v>
      </c>
      <c r="T6274" s="6"/>
      <c r="U6274" s="24" t="str">
        <f>HYPERLINK("https://media.infra-m.ru/1087/1087061/cover/1087061.jpg", "Обложка")</f>
        <v>Обложка</v>
      </c>
      <c r="V6274" s="24" t="str">
        <f>HYPERLINK("https://znanium.ru/catalog/product/1087061", "Ознакомиться")</f>
        <v>Ознакомиться</v>
      </c>
      <c r="W6274" s="8"/>
      <c r="X6274" s="6"/>
      <c r="Y6274" s="6"/>
      <c r="Z6274" s="6" t="s">
        <v>104</v>
      </c>
      <c r="AA6274" s="6" t="s">
        <v>793</v>
      </c>
      <c r="AB6274" s="8"/>
    </row>
    <row r="6275" spans="1:28" s="4" customFormat="1" ht="42" customHeight="1">
      <c r="A6275" s="5">
        <v>0</v>
      </c>
      <c r="B6275" s="6" t="s">
        <v>36597</v>
      </c>
      <c r="C6275" s="7">
        <v>650</v>
      </c>
      <c r="D6275" s="8" t="s">
        <v>36598</v>
      </c>
      <c r="E6275" s="8" t="s">
        <v>36599</v>
      </c>
      <c r="F6275" s="8" t="s">
        <v>5969</v>
      </c>
      <c r="G6275" s="6" t="s">
        <v>89</v>
      </c>
      <c r="H6275" s="6" t="s">
        <v>53</v>
      </c>
      <c r="I6275" s="8" t="s">
        <v>212</v>
      </c>
      <c r="J6275" s="9">
        <v>1</v>
      </c>
      <c r="K6275" s="9">
        <v>135</v>
      </c>
      <c r="L6275" s="9">
        <v>2022</v>
      </c>
      <c r="M6275" s="8" t="s">
        <v>36600</v>
      </c>
      <c r="N6275" s="8" t="s">
        <v>79</v>
      </c>
      <c r="O6275" s="8" t="s">
        <v>174</v>
      </c>
      <c r="P6275" s="6" t="s">
        <v>43</v>
      </c>
      <c r="Q6275" s="8" t="s">
        <v>214</v>
      </c>
      <c r="R6275" s="10" t="s">
        <v>13501</v>
      </c>
      <c r="S6275" s="11"/>
      <c r="T6275" s="6"/>
      <c r="U6275" s="24" t="str">
        <f>HYPERLINK("https://media.infra-m.ru/1743/1743895/cover/1743895.jpg", "Обложка")</f>
        <v>Обложка</v>
      </c>
      <c r="V6275" s="24" t="str">
        <f>HYPERLINK("https://znanium.ru/catalog/product/1743895", "Ознакомиться")</f>
        <v>Ознакомиться</v>
      </c>
      <c r="W6275" s="8" t="s">
        <v>5973</v>
      </c>
      <c r="X6275" s="6"/>
      <c r="Y6275" s="6"/>
      <c r="Z6275" s="6"/>
      <c r="AA6275" s="6" t="s">
        <v>219</v>
      </c>
      <c r="AB6275" s="8"/>
    </row>
    <row r="6276" spans="1:28" s="4" customFormat="1" ht="51.95" customHeight="1">
      <c r="A6276" s="5">
        <v>0</v>
      </c>
      <c r="B6276" s="6" t="s">
        <v>36601</v>
      </c>
      <c r="C6276" s="13">
        <v>1460</v>
      </c>
      <c r="D6276" s="8" t="s">
        <v>36602</v>
      </c>
      <c r="E6276" s="8" t="s">
        <v>36603</v>
      </c>
      <c r="F6276" s="8" t="s">
        <v>36604</v>
      </c>
      <c r="G6276" s="6" t="s">
        <v>89</v>
      </c>
      <c r="H6276" s="6" t="s">
        <v>53</v>
      </c>
      <c r="I6276" s="8" t="s">
        <v>116</v>
      </c>
      <c r="J6276" s="9">
        <v>1</v>
      </c>
      <c r="K6276" s="9">
        <v>317</v>
      </c>
      <c r="L6276" s="9">
        <v>2024</v>
      </c>
      <c r="M6276" s="8" t="s">
        <v>36605</v>
      </c>
      <c r="N6276" s="8" t="s">
        <v>56</v>
      </c>
      <c r="O6276" s="8" t="s">
        <v>741</v>
      </c>
      <c r="P6276" s="6" t="s">
        <v>167</v>
      </c>
      <c r="Q6276" s="8" t="s">
        <v>44</v>
      </c>
      <c r="R6276" s="10" t="s">
        <v>24371</v>
      </c>
      <c r="S6276" s="11" t="s">
        <v>36606</v>
      </c>
      <c r="T6276" s="6" t="s">
        <v>299</v>
      </c>
      <c r="U6276" s="24" t="str">
        <f>HYPERLINK("https://media.infra-m.ru/2107/2107434/cover/2107434.jpg", "Обложка")</f>
        <v>Обложка</v>
      </c>
      <c r="V6276" s="24" t="str">
        <f>HYPERLINK("https://znanium.ru/catalog/product/2107434", "Ознакомиться")</f>
        <v>Ознакомиться</v>
      </c>
      <c r="W6276" s="8" t="s">
        <v>913</v>
      </c>
      <c r="X6276" s="6"/>
      <c r="Y6276" s="6"/>
      <c r="Z6276" s="6"/>
      <c r="AA6276" s="6" t="s">
        <v>151</v>
      </c>
      <c r="AB6276" s="8"/>
    </row>
    <row r="6277" spans="1:28" s="4" customFormat="1" ht="51.95" customHeight="1">
      <c r="A6277" s="5">
        <v>0</v>
      </c>
      <c r="B6277" s="6" t="s">
        <v>36607</v>
      </c>
      <c r="C6277" s="7">
        <v>810</v>
      </c>
      <c r="D6277" s="8" t="s">
        <v>36608</v>
      </c>
      <c r="E6277" s="8" t="s">
        <v>36609</v>
      </c>
      <c r="F6277" s="8" t="s">
        <v>36610</v>
      </c>
      <c r="G6277" s="6" t="s">
        <v>52</v>
      </c>
      <c r="H6277" s="6" t="s">
        <v>53</v>
      </c>
      <c r="I6277" s="8" t="s">
        <v>90</v>
      </c>
      <c r="J6277" s="9">
        <v>1</v>
      </c>
      <c r="K6277" s="9">
        <v>207</v>
      </c>
      <c r="L6277" s="9">
        <v>2022</v>
      </c>
      <c r="M6277" s="8" t="s">
        <v>36611</v>
      </c>
      <c r="N6277" s="8" t="s">
        <v>56</v>
      </c>
      <c r="O6277" s="8" t="s">
        <v>741</v>
      </c>
      <c r="P6277" s="6" t="s">
        <v>43</v>
      </c>
      <c r="Q6277" s="8" t="s">
        <v>44</v>
      </c>
      <c r="R6277" s="10" t="s">
        <v>7531</v>
      </c>
      <c r="S6277" s="11" t="s">
        <v>36612</v>
      </c>
      <c r="T6277" s="6"/>
      <c r="U6277" s="24" t="str">
        <f>HYPERLINK("https://media.infra-m.ru/1225/1225037/cover/1225037.jpg", "Обложка")</f>
        <v>Обложка</v>
      </c>
      <c r="V6277" s="24" t="str">
        <f>HYPERLINK("https://znanium.ru/catalog/product/1225037", "Ознакомиться")</f>
        <v>Ознакомиться</v>
      </c>
      <c r="W6277" s="8" t="s">
        <v>9506</v>
      </c>
      <c r="X6277" s="6"/>
      <c r="Y6277" s="6"/>
      <c r="Z6277" s="6"/>
      <c r="AA6277" s="6" t="s">
        <v>258</v>
      </c>
      <c r="AB6277" s="8"/>
    </row>
    <row r="6278" spans="1:28" s="4" customFormat="1" ht="51.95" customHeight="1">
      <c r="A6278" s="5">
        <v>0</v>
      </c>
      <c r="B6278" s="6" t="s">
        <v>36613</v>
      </c>
      <c r="C6278" s="7">
        <v>600</v>
      </c>
      <c r="D6278" s="8" t="s">
        <v>36614</v>
      </c>
      <c r="E6278" s="8" t="s">
        <v>36615</v>
      </c>
      <c r="F6278" s="8" t="s">
        <v>36616</v>
      </c>
      <c r="G6278" s="6" t="s">
        <v>52</v>
      </c>
      <c r="H6278" s="6" t="s">
        <v>39</v>
      </c>
      <c r="I6278" s="8" t="s">
        <v>100</v>
      </c>
      <c r="J6278" s="9">
        <v>1</v>
      </c>
      <c r="K6278" s="9">
        <v>176</v>
      </c>
      <c r="L6278" s="9">
        <v>2020</v>
      </c>
      <c r="M6278" s="8" t="s">
        <v>36617</v>
      </c>
      <c r="N6278" s="8" t="s">
        <v>997</v>
      </c>
      <c r="O6278" s="8" t="s">
        <v>998</v>
      </c>
      <c r="P6278" s="6" t="s">
        <v>43</v>
      </c>
      <c r="Q6278" s="8" t="s">
        <v>102</v>
      </c>
      <c r="R6278" s="10" t="s">
        <v>36618</v>
      </c>
      <c r="S6278" s="11" t="s">
        <v>36619</v>
      </c>
      <c r="T6278" s="6"/>
      <c r="U6278" s="24" t="str">
        <f>HYPERLINK("https://media.infra-m.ru/1080/1080407/cover/1080407.jpg", "Обложка")</f>
        <v>Обложка</v>
      </c>
      <c r="V6278" s="24" t="str">
        <f>HYPERLINK("https://znanium.ru/catalog/product/1080407", "Ознакомиться")</f>
        <v>Ознакомиться</v>
      </c>
      <c r="W6278" s="8" t="s">
        <v>19296</v>
      </c>
      <c r="X6278" s="6"/>
      <c r="Y6278" s="6"/>
      <c r="Z6278" s="6" t="s">
        <v>104</v>
      </c>
      <c r="AA6278" s="6" t="s">
        <v>793</v>
      </c>
      <c r="AB6278" s="8"/>
    </row>
    <row r="6279" spans="1:28" s="4" customFormat="1" ht="44.1" customHeight="1">
      <c r="A6279" s="5">
        <v>0</v>
      </c>
      <c r="B6279" s="6" t="s">
        <v>36620</v>
      </c>
      <c r="C6279" s="7">
        <v>914</v>
      </c>
      <c r="D6279" s="8" t="s">
        <v>36621</v>
      </c>
      <c r="E6279" s="8" t="s">
        <v>36615</v>
      </c>
      <c r="F6279" s="8" t="s">
        <v>36622</v>
      </c>
      <c r="G6279" s="6" t="s">
        <v>38</v>
      </c>
      <c r="H6279" s="6" t="s">
        <v>39</v>
      </c>
      <c r="I6279" s="8" t="s">
        <v>116</v>
      </c>
      <c r="J6279" s="9">
        <v>1</v>
      </c>
      <c r="K6279" s="9">
        <v>176</v>
      </c>
      <c r="L6279" s="9">
        <v>2025</v>
      </c>
      <c r="M6279" s="8" t="s">
        <v>36623</v>
      </c>
      <c r="N6279" s="8" t="s">
        <v>997</v>
      </c>
      <c r="O6279" s="8" t="s">
        <v>998</v>
      </c>
      <c r="P6279" s="6" t="s">
        <v>43</v>
      </c>
      <c r="Q6279" s="8" t="s">
        <v>44</v>
      </c>
      <c r="R6279" s="10" t="s">
        <v>36624</v>
      </c>
      <c r="S6279" s="11"/>
      <c r="T6279" s="6"/>
      <c r="U6279" s="24" t="str">
        <f>HYPERLINK("https://media.infra-m.ru/2188/2188752/cover/2188752.jpg", "Обложка")</f>
        <v>Обложка</v>
      </c>
      <c r="V6279" s="12"/>
      <c r="W6279" s="8" t="s">
        <v>19296</v>
      </c>
      <c r="X6279" s="6"/>
      <c r="Y6279" s="6"/>
      <c r="Z6279" s="6"/>
      <c r="AA6279" s="6" t="s">
        <v>72</v>
      </c>
      <c r="AB6279" s="8"/>
    </row>
    <row r="6280" spans="1:28" s="4" customFormat="1" ht="51.95" customHeight="1">
      <c r="A6280" s="5">
        <v>0</v>
      </c>
      <c r="B6280" s="6" t="s">
        <v>36625</v>
      </c>
      <c r="C6280" s="13">
        <v>1514</v>
      </c>
      <c r="D6280" s="8" t="s">
        <v>36626</v>
      </c>
      <c r="E6280" s="8" t="s">
        <v>36627</v>
      </c>
      <c r="F6280" s="8" t="s">
        <v>36628</v>
      </c>
      <c r="G6280" s="6" t="s">
        <v>89</v>
      </c>
      <c r="H6280" s="6" t="s">
        <v>184</v>
      </c>
      <c r="I6280" s="8" t="s">
        <v>13321</v>
      </c>
      <c r="J6280" s="9">
        <v>1</v>
      </c>
      <c r="K6280" s="9">
        <v>331</v>
      </c>
      <c r="L6280" s="9">
        <v>2022</v>
      </c>
      <c r="M6280" s="8" t="s">
        <v>36629</v>
      </c>
      <c r="N6280" s="8" t="s">
        <v>41</v>
      </c>
      <c r="O6280" s="8" t="s">
        <v>4035</v>
      </c>
      <c r="P6280" s="6" t="s">
        <v>43</v>
      </c>
      <c r="Q6280" s="8" t="s">
        <v>44</v>
      </c>
      <c r="R6280" s="10" t="s">
        <v>36630</v>
      </c>
      <c r="S6280" s="11"/>
      <c r="T6280" s="6"/>
      <c r="U6280" s="24" t="str">
        <f>HYPERLINK("https://media.infra-m.ru/2110/2110033/cover/2110033.jpg", "Обложка")</f>
        <v>Обложка</v>
      </c>
      <c r="V6280" s="24" t="str">
        <f>HYPERLINK("https://znanium.ru/catalog/product/2110032", "Ознакомиться")</f>
        <v>Ознакомиться</v>
      </c>
      <c r="W6280" s="8" t="s">
        <v>354</v>
      </c>
      <c r="X6280" s="6"/>
      <c r="Y6280" s="6"/>
      <c r="Z6280" s="6"/>
      <c r="AA6280" s="6" t="s">
        <v>1402</v>
      </c>
      <c r="AB6280" s="8"/>
    </row>
    <row r="6281" spans="1:28" s="4" customFormat="1" ht="51.95" customHeight="1">
      <c r="A6281" s="5">
        <v>0</v>
      </c>
      <c r="B6281" s="6" t="s">
        <v>36631</v>
      </c>
      <c r="C6281" s="7">
        <v>760</v>
      </c>
      <c r="D6281" s="8" t="s">
        <v>36632</v>
      </c>
      <c r="E6281" s="8" t="s">
        <v>36633</v>
      </c>
      <c r="F6281" s="8" t="s">
        <v>36634</v>
      </c>
      <c r="G6281" s="6" t="s">
        <v>89</v>
      </c>
      <c r="H6281" s="6" t="s">
        <v>53</v>
      </c>
      <c r="I6281" s="8" t="s">
        <v>276</v>
      </c>
      <c r="J6281" s="9">
        <v>1</v>
      </c>
      <c r="K6281" s="9">
        <v>148</v>
      </c>
      <c r="L6281" s="9">
        <v>2024</v>
      </c>
      <c r="M6281" s="8" t="s">
        <v>36635</v>
      </c>
      <c r="N6281" s="8" t="s">
        <v>41</v>
      </c>
      <c r="O6281" s="8" t="s">
        <v>278</v>
      </c>
      <c r="P6281" s="6" t="s">
        <v>43</v>
      </c>
      <c r="Q6281" s="8" t="s">
        <v>279</v>
      </c>
      <c r="R6281" s="10" t="s">
        <v>36636</v>
      </c>
      <c r="S6281" s="11" t="s">
        <v>36637</v>
      </c>
      <c r="T6281" s="6"/>
      <c r="U6281" s="24" t="str">
        <f>HYPERLINK("https://media.infra-m.ru/2056/2056667/cover/2056667.jpg", "Обложка")</f>
        <v>Обложка</v>
      </c>
      <c r="V6281" s="24" t="str">
        <f>HYPERLINK("https://znanium.ru/catalog/product/2056667", "Ознакомиться")</f>
        <v>Ознакомиться</v>
      </c>
      <c r="W6281" s="8" t="s">
        <v>947</v>
      </c>
      <c r="X6281" s="6"/>
      <c r="Y6281" s="6"/>
      <c r="Z6281" s="6"/>
      <c r="AA6281" s="6" t="s">
        <v>235</v>
      </c>
      <c r="AB6281" s="8"/>
    </row>
    <row r="6282" spans="1:28" s="4" customFormat="1" ht="51.95" customHeight="1">
      <c r="A6282" s="5">
        <v>0</v>
      </c>
      <c r="B6282" s="6" t="s">
        <v>36638</v>
      </c>
      <c r="C6282" s="7">
        <v>584</v>
      </c>
      <c r="D6282" s="8" t="s">
        <v>36639</v>
      </c>
      <c r="E6282" s="8" t="s">
        <v>36640</v>
      </c>
      <c r="F6282" s="8" t="s">
        <v>36641</v>
      </c>
      <c r="G6282" s="6" t="s">
        <v>38</v>
      </c>
      <c r="H6282" s="6" t="s">
        <v>184</v>
      </c>
      <c r="I6282" s="8" t="s">
        <v>116</v>
      </c>
      <c r="J6282" s="9">
        <v>1</v>
      </c>
      <c r="K6282" s="9">
        <v>126</v>
      </c>
      <c r="L6282" s="9">
        <v>2024</v>
      </c>
      <c r="M6282" s="8" t="s">
        <v>36642</v>
      </c>
      <c r="N6282" s="8" t="s">
        <v>41</v>
      </c>
      <c r="O6282" s="8" t="s">
        <v>118</v>
      </c>
      <c r="P6282" s="6" t="s">
        <v>43</v>
      </c>
      <c r="Q6282" s="8" t="s">
        <v>44</v>
      </c>
      <c r="R6282" s="10" t="s">
        <v>36643</v>
      </c>
      <c r="S6282" s="11"/>
      <c r="T6282" s="6"/>
      <c r="U6282" s="24" t="str">
        <f>HYPERLINK("https://media.infra-m.ru/2102/2102713/cover/2102713.jpg", "Обложка")</f>
        <v>Обложка</v>
      </c>
      <c r="V6282" s="24" t="str">
        <f>HYPERLINK("https://znanium.ru/catalog/product/1866323", "Ознакомиться")</f>
        <v>Ознакомиться</v>
      </c>
      <c r="W6282" s="8" t="s">
        <v>5371</v>
      </c>
      <c r="X6282" s="6"/>
      <c r="Y6282" s="6"/>
      <c r="Z6282" s="6"/>
      <c r="AA6282" s="6" t="s">
        <v>1259</v>
      </c>
      <c r="AB6282" s="8"/>
    </row>
    <row r="6283" spans="1:28" s="4" customFormat="1" ht="51.95" customHeight="1">
      <c r="A6283" s="5">
        <v>0</v>
      </c>
      <c r="B6283" s="6" t="s">
        <v>36644</v>
      </c>
      <c r="C6283" s="13">
        <v>1760</v>
      </c>
      <c r="D6283" s="8" t="s">
        <v>36645</v>
      </c>
      <c r="E6283" s="8" t="s">
        <v>36646</v>
      </c>
      <c r="F6283" s="8" t="s">
        <v>19387</v>
      </c>
      <c r="G6283" s="6" t="s">
        <v>89</v>
      </c>
      <c r="H6283" s="6" t="s">
        <v>53</v>
      </c>
      <c r="I6283" s="8" t="s">
        <v>276</v>
      </c>
      <c r="J6283" s="9">
        <v>1</v>
      </c>
      <c r="K6283" s="9">
        <v>388</v>
      </c>
      <c r="L6283" s="9">
        <v>2023</v>
      </c>
      <c r="M6283" s="8" t="s">
        <v>36647</v>
      </c>
      <c r="N6283" s="8" t="s">
        <v>41</v>
      </c>
      <c r="O6283" s="8" t="s">
        <v>118</v>
      </c>
      <c r="P6283" s="6" t="s">
        <v>43</v>
      </c>
      <c r="Q6283" s="8" t="s">
        <v>279</v>
      </c>
      <c r="R6283" s="10" t="s">
        <v>1958</v>
      </c>
      <c r="S6283" s="11" t="s">
        <v>36648</v>
      </c>
      <c r="T6283" s="6"/>
      <c r="U6283" s="24" t="str">
        <f>HYPERLINK("https://media.infra-m.ru/2001/2001731/cover/2001731.jpg", "Обложка")</f>
        <v>Обложка</v>
      </c>
      <c r="V6283" s="24" t="str">
        <f>HYPERLINK("https://znanium.ru/catalog/product/2001731", "Ознакомиться")</f>
        <v>Ознакомиться</v>
      </c>
      <c r="W6283" s="8" t="s">
        <v>15752</v>
      </c>
      <c r="X6283" s="6"/>
      <c r="Y6283" s="6"/>
      <c r="Z6283" s="6"/>
      <c r="AA6283" s="6" t="s">
        <v>151</v>
      </c>
      <c r="AB6283" s="8"/>
    </row>
    <row r="6284" spans="1:28" s="4" customFormat="1" ht="51.95" customHeight="1">
      <c r="A6284" s="5">
        <v>0</v>
      </c>
      <c r="B6284" s="6" t="s">
        <v>36649</v>
      </c>
      <c r="C6284" s="7">
        <v>920</v>
      </c>
      <c r="D6284" s="8" t="s">
        <v>36650</v>
      </c>
      <c r="E6284" s="8" t="s">
        <v>36651</v>
      </c>
      <c r="F6284" s="8" t="s">
        <v>36652</v>
      </c>
      <c r="G6284" s="6" t="s">
        <v>89</v>
      </c>
      <c r="H6284" s="6" t="s">
        <v>674</v>
      </c>
      <c r="I6284" s="8"/>
      <c r="J6284" s="9">
        <v>1</v>
      </c>
      <c r="K6284" s="9">
        <v>192</v>
      </c>
      <c r="L6284" s="9">
        <v>2024</v>
      </c>
      <c r="M6284" s="8" t="s">
        <v>36653</v>
      </c>
      <c r="N6284" s="8" t="s">
        <v>41</v>
      </c>
      <c r="O6284" s="8" t="s">
        <v>676</v>
      </c>
      <c r="P6284" s="6" t="s">
        <v>43</v>
      </c>
      <c r="Q6284" s="8" t="s">
        <v>44</v>
      </c>
      <c r="R6284" s="10" t="s">
        <v>806</v>
      </c>
      <c r="S6284" s="11"/>
      <c r="T6284" s="6"/>
      <c r="U6284" s="24" t="str">
        <f>HYPERLINK("https://media.infra-m.ru/2135/2135813/cover/2135813.jpg", "Обложка")</f>
        <v>Обложка</v>
      </c>
      <c r="V6284" s="24" t="str">
        <f>HYPERLINK("https://znanium.ru/catalog/product/2135813", "Ознакомиться")</f>
        <v>Ознакомиться</v>
      </c>
      <c r="W6284" s="8" t="s">
        <v>792</v>
      </c>
      <c r="X6284" s="6"/>
      <c r="Y6284" s="6"/>
      <c r="Z6284" s="6"/>
      <c r="AA6284" s="6" t="s">
        <v>442</v>
      </c>
      <c r="AB6284" s="8"/>
    </row>
    <row r="6285" spans="1:28" s="4" customFormat="1" ht="51.95" customHeight="1">
      <c r="A6285" s="5">
        <v>0</v>
      </c>
      <c r="B6285" s="6" t="s">
        <v>36654</v>
      </c>
      <c r="C6285" s="13">
        <v>1364</v>
      </c>
      <c r="D6285" s="8" t="s">
        <v>36655</v>
      </c>
      <c r="E6285" s="8" t="s">
        <v>36656</v>
      </c>
      <c r="F6285" s="8" t="s">
        <v>36657</v>
      </c>
      <c r="G6285" s="6" t="s">
        <v>52</v>
      </c>
      <c r="H6285" s="6" t="s">
        <v>674</v>
      </c>
      <c r="I6285" s="8"/>
      <c r="J6285" s="9">
        <v>1</v>
      </c>
      <c r="K6285" s="9">
        <v>296</v>
      </c>
      <c r="L6285" s="9">
        <v>2024</v>
      </c>
      <c r="M6285" s="8" t="s">
        <v>36658</v>
      </c>
      <c r="N6285" s="8" t="s">
        <v>41</v>
      </c>
      <c r="O6285" s="8" t="s">
        <v>676</v>
      </c>
      <c r="P6285" s="6" t="s">
        <v>43</v>
      </c>
      <c r="Q6285" s="8" t="s">
        <v>44</v>
      </c>
      <c r="R6285" s="10" t="s">
        <v>36659</v>
      </c>
      <c r="S6285" s="11"/>
      <c r="T6285" s="6"/>
      <c r="U6285" s="24" t="str">
        <f>HYPERLINK("https://media.infra-m.ru/2107/2107268/cover/2107268.jpg", "Обложка")</f>
        <v>Обложка</v>
      </c>
      <c r="V6285" s="24" t="str">
        <f>HYPERLINK("https://znanium.ru/catalog/product/2107268", "Ознакомиться")</f>
        <v>Ознакомиться</v>
      </c>
      <c r="W6285" s="8" t="s">
        <v>7139</v>
      </c>
      <c r="X6285" s="6"/>
      <c r="Y6285" s="6"/>
      <c r="Z6285" s="6"/>
      <c r="AA6285" s="6" t="s">
        <v>235</v>
      </c>
      <c r="AB6285" s="8"/>
    </row>
    <row r="6286" spans="1:28" s="4" customFormat="1" ht="51.95" customHeight="1">
      <c r="A6286" s="5">
        <v>0</v>
      </c>
      <c r="B6286" s="6" t="s">
        <v>36660</v>
      </c>
      <c r="C6286" s="7">
        <v>820</v>
      </c>
      <c r="D6286" s="8" t="s">
        <v>36661</v>
      </c>
      <c r="E6286" s="8" t="s">
        <v>36662</v>
      </c>
      <c r="F6286" s="8" t="s">
        <v>36663</v>
      </c>
      <c r="G6286" s="6" t="s">
        <v>38</v>
      </c>
      <c r="H6286" s="6" t="s">
        <v>674</v>
      </c>
      <c r="I6286" s="8"/>
      <c r="J6286" s="9">
        <v>1</v>
      </c>
      <c r="K6286" s="9">
        <v>176</v>
      </c>
      <c r="L6286" s="9">
        <v>2024</v>
      </c>
      <c r="M6286" s="8" t="s">
        <v>36664</v>
      </c>
      <c r="N6286" s="8" t="s">
        <v>41</v>
      </c>
      <c r="O6286" s="8" t="s">
        <v>676</v>
      </c>
      <c r="P6286" s="6" t="s">
        <v>43</v>
      </c>
      <c r="Q6286" s="8" t="s">
        <v>44</v>
      </c>
      <c r="R6286" s="10" t="s">
        <v>36665</v>
      </c>
      <c r="S6286" s="11"/>
      <c r="T6286" s="6"/>
      <c r="U6286" s="24" t="str">
        <f>HYPERLINK("https://media.infra-m.ru/2133/2133302/cover/2133302.jpg", "Обложка")</f>
        <v>Обложка</v>
      </c>
      <c r="V6286" s="24" t="str">
        <f>HYPERLINK("https://znanium.ru/catalog/product/2133302", "Ознакомиться")</f>
        <v>Ознакомиться</v>
      </c>
      <c r="W6286" s="8" t="s">
        <v>792</v>
      </c>
      <c r="X6286" s="6"/>
      <c r="Y6286" s="6"/>
      <c r="Z6286" s="6"/>
      <c r="AA6286" s="6" t="s">
        <v>111</v>
      </c>
      <c r="AB6286" s="8"/>
    </row>
    <row r="6287" spans="1:28" s="4" customFormat="1" ht="51.95" customHeight="1">
      <c r="A6287" s="5">
        <v>0</v>
      </c>
      <c r="B6287" s="6" t="s">
        <v>36666</v>
      </c>
      <c r="C6287" s="13">
        <v>1910</v>
      </c>
      <c r="D6287" s="8" t="s">
        <v>36667</v>
      </c>
      <c r="E6287" s="8" t="s">
        <v>36668</v>
      </c>
      <c r="F6287" s="8" t="s">
        <v>36669</v>
      </c>
      <c r="G6287" s="6" t="s">
        <v>52</v>
      </c>
      <c r="H6287" s="6" t="s">
        <v>674</v>
      </c>
      <c r="I6287" s="8"/>
      <c r="J6287" s="9">
        <v>1</v>
      </c>
      <c r="K6287" s="9">
        <v>416</v>
      </c>
      <c r="L6287" s="9">
        <v>2024</v>
      </c>
      <c r="M6287" s="8" t="s">
        <v>36670</v>
      </c>
      <c r="N6287" s="8" t="s">
        <v>41</v>
      </c>
      <c r="O6287" s="8" t="s">
        <v>676</v>
      </c>
      <c r="P6287" s="6" t="s">
        <v>167</v>
      </c>
      <c r="Q6287" s="8" t="s">
        <v>44</v>
      </c>
      <c r="R6287" s="10" t="s">
        <v>806</v>
      </c>
      <c r="S6287" s="11" t="s">
        <v>36671</v>
      </c>
      <c r="T6287" s="6"/>
      <c r="U6287" s="24" t="str">
        <f>HYPERLINK("https://media.infra-m.ru/2056/2056653/cover/2056653.jpg", "Обложка")</f>
        <v>Обложка</v>
      </c>
      <c r="V6287" s="24" t="str">
        <f>HYPERLINK("https://znanium.ru/catalog/product/2056653", "Ознакомиться")</f>
        <v>Ознакомиться</v>
      </c>
      <c r="W6287" s="8" t="s">
        <v>808</v>
      </c>
      <c r="X6287" s="6"/>
      <c r="Y6287" s="6"/>
      <c r="Z6287" s="6"/>
      <c r="AA6287" s="6" t="s">
        <v>160</v>
      </c>
      <c r="AB6287" s="8"/>
    </row>
    <row r="6288" spans="1:28" s="4" customFormat="1" ht="51.95" customHeight="1">
      <c r="A6288" s="5">
        <v>0</v>
      </c>
      <c r="B6288" s="6" t="s">
        <v>36672</v>
      </c>
      <c r="C6288" s="13">
        <v>3200</v>
      </c>
      <c r="D6288" s="8" t="s">
        <v>36673</v>
      </c>
      <c r="E6288" s="8" t="s">
        <v>36674</v>
      </c>
      <c r="F6288" s="8" t="s">
        <v>17227</v>
      </c>
      <c r="G6288" s="6" t="s">
        <v>52</v>
      </c>
      <c r="H6288" s="6" t="s">
        <v>674</v>
      </c>
      <c r="I6288" s="8"/>
      <c r="J6288" s="9">
        <v>1</v>
      </c>
      <c r="K6288" s="9">
        <v>640</v>
      </c>
      <c r="L6288" s="9">
        <v>2025</v>
      </c>
      <c r="M6288" s="8" t="s">
        <v>36675</v>
      </c>
      <c r="N6288" s="8" t="s">
        <v>41</v>
      </c>
      <c r="O6288" s="8" t="s">
        <v>676</v>
      </c>
      <c r="P6288" s="6" t="s">
        <v>167</v>
      </c>
      <c r="Q6288" s="8" t="s">
        <v>279</v>
      </c>
      <c r="R6288" s="10" t="s">
        <v>2736</v>
      </c>
      <c r="S6288" s="11"/>
      <c r="T6288" s="6"/>
      <c r="U6288" s="24" t="str">
        <f>HYPERLINK("https://media.infra-m.ru/2170/2170053/cover/2170053.jpg", "Обложка")</f>
        <v>Обложка</v>
      </c>
      <c r="V6288" s="24" t="str">
        <f>HYPERLINK("https://znanium.ru/catalog/product/2170053", "Ознакомиться")</f>
        <v>Ознакомиться</v>
      </c>
      <c r="W6288" s="8" t="s">
        <v>792</v>
      </c>
      <c r="X6288" s="6"/>
      <c r="Y6288" s="6"/>
      <c r="Z6288" s="6"/>
      <c r="AA6288" s="6" t="s">
        <v>4944</v>
      </c>
      <c r="AB6288" s="8"/>
    </row>
    <row r="6289" spans="1:28" s="4" customFormat="1" ht="44.1" customHeight="1">
      <c r="A6289" s="5">
        <v>0</v>
      </c>
      <c r="B6289" s="6" t="s">
        <v>36676</v>
      </c>
      <c r="C6289" s="13">
        <v>1204</v>
      </c>
      <c r="D6289" s="8" t="s">
        <v>36677</v>
      </c>
      <c r="E6289" s="8" t="s">
        <v>36678</v>
      </c>
      <c r="F6289" s="8" t="s">
        <v>17227</v>
      </c>
      <c r="G6289" s="6" t="s">
        <v>38</v>
      </c>
      <c r="H6289" s="6" t="s">
        <v>1094</v>
      </c>
      <c r="I6289" s="8" t="s">
        <v>5841</v>
      </c>
      <c r="J6289" s="9">
        <v>1</v>
      </c>
      <c r="K6289" s="9">
        <v>256</v>
      </c>
      <c r="L6289" s="9">
        <v>2024</v>
      </c>
      <c r="M6289" s="8" t="s">
        <v>36679</v>
      </c>
      <c r="N6289" s="8" t="s">
        <v>41</v>
      </c>
      <c r="O6289" s="8" t="s">
        <v>676</v>
      </c>
      <c r="P6289" s="6" t="s">
        <v>2134</v>
      </c>
      <c r="Q6289" s="8" t="s">
        <v>58</v>
      </c>
      <c r="R6289" s="10" t="s">
        <v>36680</v>
      </c>
      <c r="S6289" s="11"/>
      <c r="T6289" s="6"/>
      <c r="U6289" s="24" t="str">
        <f>HYPERLINK("https://media.infra-m.ru/2053/2053229/cover/2053229.jpg", "Обложка")</f>
        <v>Обложка</v>
      </c>
      <c r="V6289" s="24" t="str">
        <f>HYPERLINK("https://znanium.ru/catalog/product/987781", "Ознакомиться")</f>
        <v>Ознакомиться</v>
      </c>
      <c r="W6289" s="8" t="s">
        <v>792</v>
      </c>
      <c r="X6289" s="6"/>
      <c r="Y6289" s="6"/>
      <c r="Z6289" s="6"/>
      <c r="AA6289" s="6" t="s">
        <v>16347</v>
      </c>
      <c r="AB6289" s="8"/>
    </row>
    <row r="6290" spans="1:28" s="4" customFormat="1" ht="51.95" customHeight="1">
      <c r="A6290" s="5">
        <v>0</v>
      </c>
      <c r="B6290" s="6" t="s">
        <v>36681</v>
      </c>
      <c r="C6290" s="13">
        <v>2490</v>
      </c>
      <c r="D6290" s="8" t="s">
        <v>36682</v>
      </c>
      <c r="E6290" s="8" t="s">
        <v>36678</v>
      </c>
      <c r="F6290" s="8" t="s">
        <v>20958</v>
      </c>
      <c r="G6290" s="6" t="s">
        <v>52</v>
      </c>
      <c r="H6290" s="6" t="s">
        <v>674</v>
      </c>
      <c r="I6290" s="8"/>
      <c r="J6290" s="9">
        <v>1</v>
      </c>
      <c r="K6290" s="9">
        <v>512</v>
      </c>
      <c r="L6290" s="9">
        <v>2025</v>
      </c>
      <c r="M6290" s="8" t="s">
        <v>36683</v>
      </c>
      <c r="N6290" s="8" t="s">
        <v>41</v>
      </c>
      <c r="O6290" s="8" t="s">
        <v>676</v>
      </c>
      <c r="P6290" s="6" t="s">
        <v>167</v>
      </c>
      <c r="Q6290" s="8" t="s">
        <v>279</v>
      </c>
      <c r="R6290" s="10" t="s">
        <v>36684</v>
      </c>
      <c r="S6290" s="11" t="s">
        <v>36685</v>
      </c>
      <c r="T6290" s="6"/>
      <c r="U6290" s="24" t="str">
        <f>HYPERLINK("https://media.infra-m.ru/2051/2051416/cover/2051416.jpg", "Обложка")</f>
        <v>Обложка</v>
      </c>
      <c r="V6290" s="24" t="str">
        <f>HYPERLINK("https://znanium.ru/catalog/product/2051416", "Ознакомиться")</f>
        <v>Ознакомиться</v>
      </c>
      <c r="W6290" s="8" t="s">
        <v>792</v>
      </c>
      <c r="X6290" s="6"/>
      <c r="Y6290" s="6"/>
      <c r="Z6290" s="6"/>
      <c r="AA6290" s="6" t="s">
        <v>12601</v>
      </c>
      <c r="AB6290" s="8"/>
    </row>
    <row r="6291" spans="1:28" s="4" customFormat="1" ht="51.95" customHeight="1">
      <c r="A6291" s="5">
        <v>0</v>
      </c>
      <c r="B6291" s="6" t="s">
        <v>36686</v>
      </c>
      <c r="C6291" s="7">
        <v>344.9</v>
      </c>
      <c r="D6291" s="8" t="s">
        <v>36687</v>
      </c>
      <c r="E6291" s="8" t="s">
        <v>36678</v>
      </c>
      <c r="F6291" s="8" t="s">
        <v>36688</v>
      </c>
      <c r="G6291" s="6" t="s">
        <v>38</v>
      </c>
      <c r="H6291" s="6" t="s">
        <v>184</v>
      </c>
      <c r="I6291" s="8"/>
      <c r="J6291" s="9">
        <v>1</v>
      </c>
      <c r="K6291" s="9">
        <v>94</v>
      </c>
      <c r="L6291" s="9">
        <v>2023</v>
      </c>
      <c r="M6291" s="8" t="s">
        <v>36689</v>
      </c>
      <c r="N6291" s="8" t="s">
        <v>41</v>
      </c>
      <c r="O6291" s="8" t="s">
        <v>676</v>
      </c>
      <c r="P6291" s="6" t="s">
        <v>43</v>
      </c>
      <c r="Q6291" s="8" t="s">
        <v>44</v>
      </c>
      <c r="R6291" s="10" t="s">
        <v>2736</v>
      </c>
      <c r="S6291" s="11"/>
      <c r="T6291" s="6"/>
      <c r="U6291" s="24" t="str">
        <f>HYPERLINK("https://media.infra-m.ru/1988/1988444/cover/1988444.jpg", "Обложка")</f>
        <v>Обложка</v>
      </c>
      <c r="V6291" s="24" t="str">
        <f>HYPERLINK("https://znanium.ru/catalog/product/1854790", "Ознакомиться")</f>
        <v>Ознакомиться</v>
      </c>
      <c r="W6291" s="8" t="s">
        <v>36690</v>
      </c>
      <c r="X6291" s="6"/>
      <c r="Y6291" s="6"/>
      <c r="Z6291" s="6"/>
      <c r="AA6291" s="6" t="s">
        <v>72</v>
      </c>
      <c r="AB6291" s="8"/>
    </row>
    <row r="6292" spans="1:28" s="4" customFormat="1" ht="51.95" customHeight="1">
      <c r="A6292" s="5">
        <v>0</v>
      </c>
      <c r="B6292" s="6" t="s">
        <v>36691</v>
      </c>
      <c r="C6292" s="7">
        <v>914</v>
      </c>
      <c r="D6292" s="8" t="s">
        <v>36692</v>
      </c>
      <c r="E6292" s="8" t="s">
        <v>36678</v>
      </c>
      <c r="F6292" s="8" t="s">
        <v>36693</v>
      </c>
      <c r="G6292" s="6" t="s">
        <v>52</v>
      </c>
      <c r="H6292" s="6" t="s">
        <v>184</v>
      </c>
      <c r="I6292" s="8" t="s">
        <v>90</v>
      </c>
      <c r="J6292" s="9">
        <v>1</v>
      </c>
      <c r="K6292" s="9">
        <v>176</v>
      </c>
      <c r="L6292" s="9">
        <v>2025</v>
      </c>
      <c r="M6292" s="8" t="s">
        <v>36694</v>
      </c>
      <c r="N6292" s="8" t="s">
        <v>41</v>
      </c>
      <c r="O6292" s="8" t="s">
        <v>676</v>
      </c>
      <c r="P6292" s="6" t="s">
        <v>43</v>
      </c>
      <c r="Q6292" s="8" t="s">
        <v>44</v>
      </c>
      <c r="R6292" s="10" t="s">
        <v>806</v>
      </c>
      <c r="S6292" s="11"/>
      <c r="T6292" s="6"/>
      <c r="U6292" s="24" t="str">
        <f>HYPERLINK("https://media.infra-m.ru/2192/2192159/cover/2192159.jpg", "Обложка")</f>
        <v>Обложка</v>
      </c>
      <c r="V6292" s="24" t="str">
        <f>HYPERLINK("https://znanium.ru/catalog/product/1843600", "Ознакомиться")</f>
        <v>Ознакомиться</v>
      </c>
      <c r="W6292" s="8" t="s">
        <v>36695</v>
      </c>
      <c r="X6292" s="6"/>
      <c r="Y6292" s="6"/>
      <c r="Z6292" s="6"/>
      <c r="AA6292" s="6" t="s">
        <v>122</v>
      </c>
      <c r="AB6292" s="8"/>
    </row>
    <row r="6293" spans="1:28" s="4" customFormat="1" ht="51.95" customHeight="1">
      <c r="A6293" s="5">
        <v>0</v>
      </c>
      <c r="B6293" s="6" t="s">
        <v>36696</v>
      </c>
      <c r="C6293" s="7">
        <v>700</v>
      </c>
      <c r="D6293" s="8" t="s">
        <v>36697</v>
      </c>
      <c r="E6293" s="8" t="s">
        <v>36678</v>
      </c>
      <c r="F6293" s="8" t="s">
        <v>24184</v>
      </c>
      <c r="G6293" s="6" t="s">
        <v>38</v>
      </c>
      <c r="H6293" s="6" t="s">
        <v>184</v>
      </c>
      <c r="I6293" s="8" t="s">
        <v>116</v>
      </c>
      <c r="J6293" s="9">
        <v>1</v>
      </c>
      <c r="K6293" s="9">
        <v>147</v>
      </c>
      <c r="L6293" s="9">
        <v>2024</v>
      </c>
      <c r="M6293" s="8" t="s">
        <v>36698</v>
      </c>
      <c r="N6293" s="8" t="s">
        <v>41</v>
      </c>
      <c r="O6293" s="8" t="s">
        <v>676</v>
      </c>
      <c r="P6293" s="6" t="s">
        <v>43</v>
      </c>
      <c r="Q6293" s="8" t="s">
        <v>44</v>
      </c>
      <c r="R6293" s="10" t="s">
        <v>13621</v>
      </c>
      <c r="S6293" s="11"/>
      <c r="T6293" s="6"/>
      <c r="U6293" s="24" t="str">
        <f>HYPERLINK("https://media.infra-m.ru/2151/2151151/cover/2151151.jpg", "Обложка")</f>
        <v>Обложка</v>
      </c>
      <c r="V6293" s="24" t="str">
        <f>HYPERLINK("https://znanium.ru/catalog/product/1915598", "Ознакомиться")</f>
        <v>Ознакомиться</v>
      </c>
      <c r="W6293" s="8" t="s">
        <v>17596</v>
      </c>
      <c r="X6293" s="6"/>
      <c r="Y6293" s="6"/>
      <c r="Z6293" s="6"/>
      <c r="AA6293" s="6" t="s">
        <v>151</v>
      </c>
      <c r="AB6293" s="8"/>
    </row>
    <row r="6294" spans="1:28" s="4" customFormat="1" ht="51.95" customHeight="1">
      <c r="A6294" s="5">
        <v>0</v>
      </c>
      <c r="B6294" s="6" t="s">
        <v>36699</v>
      </c>
      <c r="C6294" s="13">
        <v>1350</v>
      </c>
      <c r="D6294" s="8" t="s">
        <v>36700</v>
      </c>
      <c r="E6294" s="8" t="s">
        <v>36678</v>
      </c>
      <c r="F6294" s="8" t="s">
        <v>36701</v>
      </c>
      <c r="G6294" s="6" t="s">
        <v>89</v>
      </c>
      <c r="H6294" s="6" t="s">
        <v>184</v>
      </c>
      <c r="I6294" s="8" t="s">
        <v>90</v>
      </c>
      <c r="J6294" s="9">
        <v>1</v>
      </c>
      <c r="K6294" s="9">
        <v>270</v>
      </c>
      <c r="L6294" s="9">
        <v>2025</v>
      </c>
      <c r="M6294" s="8" t="s">
        <v>36702</v>
      </c>
      <c r="N6294" s="8" t="s">
        <v>41</v>
      </c>
      <c r="O6294" s="8" t="s">
        <v>676</v>
      </c>
      <c r="P6294" s="6" t="s">
        <v>43</v>
      </c>
      <c r="Q6294" s="8" t="s">
        <v>44</v>
      </c>
      <c r="R6294" s="10" t="s">
        <v>13621</v>
      </c>
      <c r="S6294" s="11"/>
      <c r="T6294" s="6"/>
      <c r="U6294" s="24" t="str">
        <f>HYPERLINK("https://media.infra-m.ru/2174/2174881/cover/2174881.jpg", "Обложка")</f>
        <v>Обложка</v>
      </c>
      <c r="V6294" s="24" t="str">
        <f>HYPERLINK("https://znanium.ru/catalog/product/2174881", "Ознакомиться")</f>
        <v>Ознакомиться</v>
      </c>
      <c r="W6294" s="8"/>
      <c r="X6294" s="6"/>
      <c r="Y6294" s="6"/>
      <c r="Z6294" s="6"/>
      <c r="AA6294" s="6" t="s">
        <v>418</v>
      </c>
      <c r="AB6294" s="8"/>
    </row>
    <row r="6295" spans="1:28" s="4" customFormat="1" ht="51.95" customHeight="1">
      <c r="A6295" s="5">
        <v>0</v>
      </c>
      <c r="B6295" s="6" t="s">
        <v>36703</v>
      </c>
      <c r="C6295" s="13">
        <v>1350</v>
      </c>
      <c r="D6295" s="8" t="s">
        <v>36704</v>
      </c>
      <c r="E6295" s="8" t="s">
        <v>36705</v>
      </c>
      <c r="F6295" s="8" t="s">
        <v>11825</v>
      </c>
      <c r="G6295" s="6" t="s">
        <v>89</v>
      </c>
      <c r="H6295" s="6" t="s">
        <v>674</v>
      </c>
      <c r="I6295" s="8"/>
      <c r="J6295" s="9">
        <v>1</v>
      </c>
      <c r="K6295" s="9">
        <v>288</v>
      </c>
      <c r="L6295" s="9">
        <v>2024</v>
      </c>
      <c r="M6295" s="8" t="s">
        <v>36706</v>
      </c>
      <c r="N6295" s="8" t="s">
        <v>41</v>
      </c>
      <c r="O6295" s="8" t="s">
        <v>676</v>
      </c>
      <c r="P6295" s="6" t="s">
        <v>167</v>
      </c>
      <c r="Q6295" s="8" t="s">
        <v>58</v>
      </c>
      <c r="R6295" s="10" t="s">
        <v>5025</v>
      </c>
      <c r="S6295" s="11"/>
      <c r="T6295" s="6"/>
      <c r="U6295" s="24" t="str">
        <f>HYPERLINK("https://media.infra-m.ru/2135/2135814/cover/2135814.jpg", "Обложка")</f>
        <v>Обложка</v>
      </c>
      <c r="V6295" s="24" t="str">
        <f>HYPERLINK("https://znanium.ru/catalog/product/2135814", "Ознакомиться")</f>
        <v>Ознакомиться</v>
      </c>
      <c r="W6295" s="8" t="s">
        <v>234</v>
      </c>
      <c r="X6295" s="6"/>
      <c r="Y6295" s="6"/>
      <c r="Z6295" s="6"/>
      <c r="AA6295" s="6" t="s">
        <v>84</v>
      </c>
      <c r="AB6295" s="8"/>
    </row>
    <row r="6296" spans="1:28" s="4" customFormat="1" ht="51.95" customHeight="1">
      <c r="A6296" s="5">
        <v>0</v>
      </c>
      <c r="B6296" s="6" t="s">
        <v>36707</v>
      </c>
      <c r="C6296" s="7">
        <v>884</v>
      </c>
      <c r="D6296" s="8" t="s">
        <v>36708</v>
      </c>
      <c r="E6296" s="8" t="s">
        <v>36709</v>
      </c>
      <c r="F6296" s="8" t="s">
        <v>36710</v>
      </c>
      <c r="G6296" s="6" t="s">
        <v>38</v>
      </c>
      <c r="H6296" s="6" t="s">
        <v>674</v>
      </c>
      <c r="I6296" s="8"/>
      <c r="J6296" s="9">
        <v>1</v>
      </c>
      <c r="K6296" s="9">
        <v>176</v>
      </c>
      <c r="L6296" s="9">
        <v>2025</v>
      </c>
      <c r="M6296" s="8" t="s">
        <v>36711</v>
      </c>
      <c r="N6296" s="8" t="s">
        <v>41</v>
      </c>
      <c r="O6296" s="8" t="s">
        <v>676</v>
      </c>
      <c r="P6296" s="6" t="s">
        <v>167</v>
      </c>
      <c r="Q6296" s="8" t="s">
        <v>44</v>
      </c>
      <c r="R6296" s="10" t="s">
        <v>806</v>
      </c>
      <c r="S6296" s="11" t="s">
        <v>11453</v>
      </c>
      <c r="T6296" s="6"/>
      <c r="U6296" s="24" t="str">
        <f>HYPERLINK("https://media.infra-m.ru/2180/2180524/cover/2180524.jpg", "Обложка")</f>
        <v>Обложка</v>
      </c>
      <c r="V6296" s="24" t="str">
        <f>HYPERLINK("https://znanium.ru/catalog/product/2132120", "Ознакомиться")</f>
        <v>Ознакомиться</v>
      </c>
      <c r="W6296" s="8" t="s">
        <v>11355</v>
      </c>
      <c r="X6296" s="6"/>
      <c r="Y6296" s="6"/>
      <c r="Z6296" s="6"/>
      <c r="AA6296" s="6" t="s">
        <v>8841</v>
      </c>
      <c r="AB6296" s="8"/>
    </row>
    <row r="6297" spans="1:28" s="4" customFormat="1" ht="51.95" customHeight="1">
      <c r="A6297" s="5">
        <v>0</v>
      </c>
      <c r="B6297" s="6" t="s">
        <v>36712</v>
      </c>
      <c r="C6297" s="13">
        <v>1440</v>
      </c>
      <c r="D6297" s="8" t="s">
        <v>36713</v>
      </c>
      <c r="E6297" s="8" t="s">
        <v>36714</v>
      </c>
      <c r="F6297" s="8" t="s">
        <v>20266</v>
      </c>
      <c r="G6297" s="6" t="s">
        <v>89</v>
      </c>
      <c r="H6297" s="6" t="s">
        <v>674</v>
      </c>
      <c r="I6297" s="8"/>
      <c r="J6297" s="9">
        <v>1</v>
      </c>
      <c r="K6297" s="9">
        <v>288</v>
      </c>
      <c r="L6297" s="9">
        <v>2025</v>
      </c>
      <c r="M6297" s="8" t="s">
        <v>36715</v>
      </c>
      <c r="N6297" s="8" t="s">
        <v>41</v>
      </c>
      <c r="O6297" s="8" t="s">
        <v>676</v>
      </c>
      <c r="P6297" s="6" t="s">
        <v>366</v>
      </c>
      <c r="Q6297" s="8" t="s">
        <v>58</v>
      </c>
      <c r="R6297" s="10" t="s">
        <v>5025</v>
      </c>
      <c r="S6297" s="11"/>
      <c r="T6297" s="6"/>
      <c r="U6297" s="24" t="str">
        <f>HYPERLINK("https://media.infra-m.ru/2177/2177981/cover/2177981.jpg", "Обложка")</f>
        <v>Обложка</v>
      </c>
      <c r="V6297" s="24" t="str">
        <f>HYPERLINK("https://znanium.ru/catalog/product/2177981", "Ознакомиться")</f>
        <v>Ознакомиться</v>
      </c>
      <c r="W6297" s="8" t="s">
        <v>784</v>
      </c>
      <c r="X6297" s="6"/>
      <c r="Y6297" s="6"/>
      <c r="Z6297" s="6"/>
      <c r="AA6297" s="6" t="s">
        <v>2217</v>
      </c>
      <c r="AB6297" s="8"/>
    </row>
    <row r="6298" spans="1:28" s="4" customFormat="1" ht="51.95" customHeight="1">
      <c r="A6298" s="5">
        <v>0</v>
      </c>
      <c r="B6298" s="6" t="s">
        <v>36716</v>
      </c>
      <c r="C6298" s="13">
        <v>1734</v>
      </c>
      <c r="D6298" s="8" t="s">
        <v>36717</v>
      </c>
      <c r="E6298" s="8" t="s">
        <v>36718</v>
      </c>
      <c r="F6298" s="8" t="s">
        <v>36719</v>
      </c>
      <c r="G6298" s="6" t="s">
        <v>89</v>
      </c>
      <c r="H6298" s="6" t="s">
        <v>53</v>
      </c>
      <c r="I6298" s="8" t="s">
        <v>116</v>
      </c>
      <c r="J6298" s="9">
        <v>1</v>
      </c>
      <c r="K6298" s="9">
        <v>368</v>
      </c>
      <c r="L6298" s="9">
        <v>2024</v>
      </c>
      <c r="M6298" s="8" t="s">
        <v>36720</v>
      </c>
      <c r="N6298" s="8" t="s">
        <v>41</v>
      </c>
      <c r="O6298" s="8" t="s">
        <v>42</v>
      </c>
      <c r="P6298" s="6" t="s">
        <v>167</v>
      </c>
      <c r="Q6298" s="8" t="s">
        <v>44</v>
      </c>
      <c r="R6298" s="10" t="s">
        <v>36721</v>
      </c>
      <c r="S6298" s="11" t="s">
        <v>36722</v>
      </c>
      <c r="T6298" s="6"/>
      <c r="U6298" s="24" t="str">
        <f>HYPERLINK("https://media.infra-m.ru/2125/2125288/cover/2125288.jpg", "Обложка")</f>
        <v>Обложка</v>
      </c>
      <c r="V6298" s="24" t="str">
        <f>HYPERLINK("https://znanium.ru/catalog/product/2096806", "Ознакомиться")</f>
        <v>Ознакомиться</v>
      </c>
      <c r="W6298" s="8" t="s">
        <v>1571</v>
      </c>
      <c r="X6298" s="6"/>
      <c r="Y6298" s="6"/>
      <c r="Z6298" s="6"/>
      <c r="AA6298" s="6" t="s">
        <v>442</v>
      </c>
      <c r="AB6298" s="8"/>
    </row>
    <row r="6299" spans="1:28" s="4" customFormat="1" ht="51.95" customHeight="1">
      <c r="A6299" s="5">
        <v>0</v>
      </c>
      <c r="B6299" s="6" t="s">
        <v>36723</v>
      </c>
      <c r="C6299" s="7">
        <v>750</v>
      </c>
      <c r="D6299" s="8" t="s">
        <v>36724</v>
      </c>
      <c r="E6299" s="8" t="s">
        <v>36725</v>
      </c>
      <c r="F6299" s="8" t="s">
        <v>36726</v>
      </c>
      <c r="G6299" s="6" t="s">
        <v>38</v>
      </c>
      <c r="H6299" s="6" t="s">
        <v>53</v>
      </c>
      <c r="I6299" s="8" t="s">
        <v>116</v>
      </c>
      <c r="J6299" s="9">
        <v>1</v>
      </c>
      <c r="K6299" s="9">
        <v>162</v>
      </c>
      <c r="L6299" s="9">
        <v>2023</v>
      </c>
      <c r="M6299" s="8" t="s">
        <v>36727</v>
      </c>
      <c r="N6299" s="8" t="s">
        <v>79</v>
      </c>
      <c r="O6299" s="8" t="s">
        <v>80</v>
      </c>
      <c r="P6299" s="6" t="s">
        <v>43</v>
      </c>
      <c r="Q6299" s="8" t="s">
        <v>44</v>
      </c>
      <c r="R6299" s="10" t="s">
        <v>157</v>
      </c>
      <c r="S6299" s="11" t="s">
        <v>36728</v>
      </c>
      <c r="T6299" s="6"/>
      <c r="U6299" s="24" t="str">
        <f>HYPERLINK("https://media.infra-m.ru/2049/2049696/cover/2049696.jpg", "Обложка")</f>
        <v>Обложка</v>
      </c>
      <c r="V6299" s="24" t="str">
        <f>HYPERLINK("https://znanium.ru/catalog/product/2049696", "Ознакомиться")</f>
        <v>Ознакомиться</v>
      </c>
      <c r="W6299" s="8" t="s">
        <v>83</v>
      </c>
      <c r="X6299" s="6"/>
      <c r="Y6299" s="6"/>
      <c r="Z6299" s="6"/>
      <c r="AA6299" s="6" t="s">
        <v>151</v>
      </c>
      <c r="AB6299" s="8"/>
    </row>
    <row r="6300" spans="1:28" s="4" customFormat="1" ht="51.95" customHeight="1">
      <c r="A6300" s="5">
        <v>0</v>
      </c>
      <c r="B6300" s="6" t="s">
        <v>36729</v>
      </c>
      <c r="C6300" s="13">
        <v>1020</v>
      </c>
      <c r="D6300" s="8" t="s">
        <v>36730</v>
      </c>
      <c r="E6300" s="8" t="s">
        <v>36731</v>
      </c>
      <c r="F6300" s="8" t="s">
        <v>36732</v>
      </c>
      <c r="G6300" s="6" t="s">
        <v>89</v>
      </c>
      <c r="H6300" s="6" t="s">
        <v>53</v>
      </c>
      <c r="I6300" s="8" t="s">
        <v>165</v>
      </c>
      <c r="J6300" s="9">
        <v>1</v>
      </c>
      <c r="K6300" s="9">
        <v>216</v>
      </c>
      <c r="L6300" s="9">
        <v>2024</v>
      </c>
      <c r="M6300" s="8" t="s">
        <v>36733</v>
      </c>
      <c r="N6300" s="8" t="s">
        <v>79</v>
      </c>
      <c r="O6300" s="8" t="s">
        <v>80</v>
      </c>
      <c r="P6300" s="6" t="s">
        <v>43</v>
      </c>
      <c r="Q6300" s="8" t="s">
        <v>58</v>
      </c>
      <c r="R6300" s="10" t="s">
        <v>34939</v>
      </c>
      <c r="S6300" s="11" t="s">
        <v>36734</v>
      </c>
      <c r="T6300" s="6" t="s">
        <v>299</v>
      </c>
      <c r="U6300" s="24" t="str">
        <f>HYPERLINK("https://media.infra-m.ru/2139/2139862/cover/2139862.jpg", "Обложка")</f>
        <v>Обложка</v>
      </c>
      <c r="V6300" s="24" t="str">
        <f>HYPERLINK("https://znanium.ru/catalog/product/2139862", "Ознакомиться")</f>
        <v>Ознакомиться</v>
      </c>
      <c r="W6300" s="8" t="s">
        <v>25086</v>
      </c>
      <c r="X6300" s="6"/>
      <c r="Y6300" s="6"/>
      <c r="Z6300" s="6"/>
      <c r="AA6300" s="6" t="s">
        <v>258</v>
      </c>
      <c r="AB6300" s="8"/>
    </row>
    <row r="6301" spans="1:28" s="4" customFormat="1" ht="51.95" customHeight="1">
      <c r="A6301" s="5">
        <v>0</v>
      </c>
      <c r="B6301" s="6" t="s">
        <v>36735</v>
      </c>
      <c r="C6301" s="13">
        <v>1030</v>
      </c>
      <c r="D6301" s="8" t="s">
        <v>36736</v>
      </c>
      <c r="E6301" s="8" t="s">
        <v>36737</v>
      </c>
      <c r="F6301" s="8" t="s">
        <v>36732</v>
      </c>
      <c r="G6301" s="6" t="s">
        <v>89</v>
      </c>
      <c r="H6301" s="6" t="s">
        <v>53</v>
      </c>
      <c r="I6301" s="8" t="s">
        <v>100</v>
      </c>
      <c r="J6301" s="9">
        <v>1</v>
      </c>
      <c r="K6301" s="9">
        <v>216</v>
      </c>
      <c r="L6301" s="9">
        <v>2024</v>
      </c>
      <c r="M6301" s="8" t="s">
        <v>36738</v>
      </c>
      <c r="N6301" s="8" t="s">
        <v>79</v>
      </c>
      <c r="O6301" s="8" t="s">
        <v>80</v>
      </c>
      <c r="P6301" s="6" t="s">
        <v>43</v>
      </c>
      <c r="Q6301" s="8" t="s">
        <v>102</v>
      </c>
      <c r="R6301" s="10" t="s">
        <v>17528</v>
      </c>
      <c r="S6301" s="11" t="s">
        <v>36739</v>
      </c>
      <c r="T6301" s="6" t="s">
        <v>299</v>
      </c>
      <c r="U6301" s="24" t="str">
        <f>HYPERLINK("https://media.infra-m.ru/2131/2131861/cover/2131861.jpg", "Обложка")</f>
        <v>Обложка</v>
      </c>
      <c r="V6301" s="24" t="str">
        <f>HYPERLINK("https://znanium.ru/catalog/product/2131861", "Ознакомиться")</f>
        <v>Ознакомиться</v>
      </c>
      <c r="W6301" s="8" t="s">
        <v>25086</v>
      </c>
      <c r="X6301" s="6"/>
      <c r="Y6301" s="6"/>
      <c r="Z6301" s="6" t="s">
        <v>502</v>
      </c>
      <c r="AA6301" s="6" t="s">
        <v>793</v>
      </c>
      <c r="AB6301" s="8"/>
    </row>
    <row r="6302" spans="1:28" s="4" customFormat="1" ht="51.95" customHeight="1">
      <c r="A6302" s="5">
        <v>0</v>
      </c>
      <c r="B6302" s="6" t="s">
        <v>36740</v>
      </c>
      <c r="C6302" s="13">
        <v>1480</v>
      </c>
      <c r="D6302" s="8" t="s">
        <v>36741</v>
      </c>
      <c r="E6302" s="8" t="s">
        <v>36742</v>
      </c>
      <c r="F6302" s="8" t="s">
        <v>36743</v>
      </c>
      <c r="G6302" s="6" t="s">
        <v>89</v>
      </c>
      <c r="H6302" s="6" t="s">
        <v>53</v>
      </c>
      <c r="I6302" s="8" t="s">
        <v>116</v>
      </c>
      <c r="J6302" s="9">
        <v>1</v>
      </c>
      <c r="K6302" s="9">
        <v>320</v>
      </c>
      <c r="L6302" s="9">
        <v>2024</v>
      </c>
      <c r="M6302" s="8" t="s">
        <v>36744</v>
      </c>
      <c r="N6302" s="8" t="s">
        <v>79</v>
      </c>
      <c r="O6302" s="8" t="s">
        <v>80</v>
      </c>
      <c r="P6302" s="6" t="s">
        <v>43</v>
      </c>
      <c r="Q6302" s="8" t="s">
        <v>58</v>
      </c>
      <c r="R6302" s="10" t="s">
        <v>36745</v>
      </c>
      <c r="S6302" s="11" t="s">
        <v>36746</v>
      </c>
      <c r="T6302" s="6"/>
      <c r="U6302" s="24" t="str">
        <f>HYPERLINK("https://media.infra-m.ru/2092/2092884/cover/2092884.jpg", "Обложка")</f>
        <v>Обложка</v>
      </c>
      <c r="V6302" s="24" t="str">
        <f>HYPERLINK("https://znanium.ru/catalog/product/2092884", "Ознакомиться")</f>
        <v>Ознакомиться</v>
      </c>
      <c r="W6302" s="8" t="s">
        <v>9885</v>
      </c>
      <c r="X6302" s="6"/>
      <c r="Y6302" s="6"/>
      <c r="Z6302" s="6"/>
      <c r="AA6302" s="6" t="s">
        <v>84</v>
      </c>
      <c r="AB6302" s="8"/>
    </row>
    <row r="6303" spans="1:28" s="4" customFormat="1" ht="51.95" customHeight="1">
      <c r="A6303" s="5">
        <v>0</v>
      </c>
      <c r="B6303" s="6" t="s">
        <v>36747</v>
      </c>
      <c r="C6303" s="13">
        <v>1994</v>
      </c>
      <c r="D6303" s="8" t="s">
        <v>36748</v>
      </c>
      <c r="E6303" s="8" t="s">
        <v>36749</v>
      </c>
      <c r="F6303" s="8" t="s">
        <v>19929</v>
      </c>
      <c r="G6303" s="6" t="s">
        <v>89</v>
      </c>
      <c r="H6303" s="6" t="s">
        <v>39</v>
      </c>
      <c r="I6303" s="8" t="s">
        <v>100</v>
      </c>
      <c r="J6303" s="9">
        <v>1</v>
      </c>
      <c r="K6303" s="9">
        <v>399</v>
      </c>
      <c r="L6303" s="9">
        <v>2025</v>
      </c>
      <c r="M6303" s="8" t="s">
        <v>36750</v>
      </c>
      <c r="N6303" s="8" t="s">
        <v>79</v>
      </c>
      <c r="O6303" s="8" t="s">
        <v>80</v>
      </c>
      <c r="P6303" s="6" t="s">
        <v>43</v>
      </c>
      <c r="Q6303" s="8" t="s">
        <v>102</v>
      </c>
      <c r="R6303" s="10" t="s">
        <v>36751</v>
      </c>
      <c r="S6303" s="11" t="s">
        <v>3081</v>
      </c>
      <c r="T6303" s="6"/>
      <c r="U6303" s="24" t="str">
        <f>HYPERLINK("https://media.infra-m.ru/2188/2188207/cover/2188207.jpg", "Обложка")</f>
        <v>Обложка</v>
      </c>
      <c r="V6303" s="24" t="str">
        <f>HYPERLINK("https://znanium.ru/catalog/product/1941740", "Ознакомиться")</f>
        <v>Ознакомиться</v>
      </c>
      <c r="W6303" s="8" t="s">
        <v>2201</v>
      </c>
      <c r="X6303" s="6"/>
      <c r="Y6303" s="6"/>
      <c r="Z6303" s="6"/>
      <c r="AA6303" s="6" t="s">
        <v>2414</v>
      </c>
      <c r="AB6303" s="8"/>
    </row>
  </sheetData>
  <mergeCells count="8">
    <mergeCell ref="A1:E1"/>
    <mergeCell ref="F1:I5"/>
    <mergeCell ref="J1:O1"/>
    <mergeCell ref="A2:E2"/>
    <mergeCell ref="J2:O5"/>
    <mergeCell ref="A3:E3"/>
    <mergeCell ref="A4:E4"/>
    <mergeCell ref="A5:E5"/>
  </mergeCells>
  <pageMargins left="0.39370078740157483" right="0.39370078740157483" top="0.39370078740157483" bottom="0.39370078740157483" header="0" footer="0"/>
  <pageSetup paperSize="9" pageOrder="overThenDown"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USR1CV8</cp:lastModifiedBy>
  <dcterms:modified xsi:type="dcterms:W3CDTF">2025-03-31T19:10:01Z</dcterms:modified>
</cp:coreProperties>
</file>